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39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17.xml" ContentType="application/vnd.openxmlformats-officedocument.drawing+xml"/>
  <Override PartName="/xl/drawings/drawing28.xml" ContentType="application/vnd.openxmlformats-officedocument.drawing+xml"/>
  <Default Extension="xml" ContentType="application/xml"/>
  <Override PartName="/xl/drawings/drawing2.xml" ContentType="application/vnd.openxmlformats-officedocument.drawing+xml"/>
  <Override PartName="/xl/comments4.xml" ContentType="application/vnd.openxmlformats-officedocument.spreadsheetml.comments+xml"/>
  <Override PartName="/xl/drawings/drawing35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4.xml" ContentType="application/vnd.openxmlformats-officedocument.drawing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drawings/drawing38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drawings/drawing36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xl/comments5.xml" ContentType="application/vnd.openxmlformats-officedocument.spreadsheetml.comments+xml"/>
  <Override PartName="/xl/drawings/drawing34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drawings/drawing14.xml" ContentType="application/vnd.openxmlformats-officedocument.drawing+xml"/>
  <Override PartName="/xl/drawings/drawing23.xml" ContentType="application/vnd.openxmlformats-officedocument.drawing+xml"/>
  <Override PartName="/xl/drawings/drawing32.xml" ContentType="application/vnd.openxmlformats-officedocument.drawing+xml"/>
  <Override PartName="/xl/drawings/drawing41.xml" ContentType="application/vnd.openxmlformats-officedocument.drawing+xml"/>
  <Default Extension="wdp" ContentType="image/vnd.ms-photo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2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drawings/drawing37.xml" ContentType="application/vnd.openxmlformats-officedocument.drawing+xml"/>
  <Default Extension="rels" ContentType="application/vnd.openxmlformats-package.relationships+xml"/>
  <Override PartName="/xl/worksheets/sheet5.xml" ContentType="application/vnd.openxmlformats-officedocument.spreadsheetml.worksheet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comments2.xml" ContentType="application/vnd.openxmlformats-officedocument.spreadsheetml.comments+xml"/>
  <Override PartName="/xl/drawings/drawing22.xml" ContentType="application/vnd.openxmlformats-officedocument.drawing+xml"/>
  <Override PartName="/xl/drawings/drawing33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drawings/drawing11.xml" ContentType="application/vnd.openxmlformats-officedocument.drawing+xml"/>
  <Override PartName="/xl/drawings/drawing40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codeName="ЭтаКнига"/>
  <bookViews>
    <workbookView xWindow="0" yWindow="0" windowWidth="28800" windowHeight="12435" tabRatio="953" firstSheet="9" activeTab="12"/>
  </bookViews>
  <sheets>
    <sheet name="стекла сайт" sheetId="342" state="hidden" r:id="rId1"/>
    <sheet name="погонаж сайт" sheetId="341" state="hidden" r:id="rId2"/>
    <sheet name="полотна сайт" sheetId="343" state="hidden" r:id="rId3"/>
    <sheet name="кр" sheetId="339" state="hidden" r:id="rId4"/>
    <sheet name="К_пвх" sheetId="340" state="hidden" r:id="rId5"/>
    <sheet name="К_эмаль" sheetId="337" state="hidden" r:id="rId6"/>
    <sheet name="К_ясень" sheetId="344" state="hidden" r:id="rId7"/>
    <sheet name="К_дуб" sheetId="338" state="hidden" r:id="rId8"/>
    <sheet name="К_орех" sheetId="345" state="hidden" r:id="rId9"/>
    <sheet name="скидки розница" sheetId="313" r:id="rId10"/>
    <sheet name="наценки РФ" sheetId="291" r:id="rId11"/>
    <sheet name="скидки_наценки" sheetId="199" r:id="rId12"/>
    <sheet name="изменения прайса" sheetId="308" r:id="rId13"/>
    <sheet name="Титул" sheetId="188" r:id="rId14"/>
    <sheet name="Содержание" sheetId="220" r:id="rId15"/>
    <sheet name="Содержание (2)" sheetId="359" state="hidden" r:id="rId16"/>
    <sheet name="Techno_Porte" sheetId="317" r:id="rId17"/>
    <sheet name="стекло+зеркала_база" sheetId="356" state="hidden" r:id="rId18"/>
    <sheet name="Techno_Vetro" sheetId="192" r:id="rId19"/>
    <sheet name="Techno_Slot" sheetId="351" r:id="rId20"/>
    <sheet name="Design" sheetId="138" r:id="rId21"/>
    <sheet name="E-Design" sheetId="358" r:id="rId22"/>
    <sheet name="Twist" sheetId="137" r:id="rId23"/>
    <sheet name="Полотна база" sheetId="294" state="hidden" r:id="rId24"/>
    <sheet name="Fusion_Plainе" sheetId="332" r:id="rId25"/>
    <sheet name="Fusion" sheetId="125" r:id="rId26"/>
    <sheet name="Fusion Bruno" sheetId="363" r:id="rId27"/>
    <sheet name="Eclectica_Stripe" sheetId="350" r:id="rId28"/>
    <sheet name="Eclectica_Belluno" sheetId="355" r:id="rId29"/>
    <sheet name="Elegance" sheetId="310" r:id="rId30"/>
    <sheet name="Modern Turin" sheetId="123" r:id="rId31"/>
    <sheet name="Modern Bergamo" sheetId="249" r:id="rId32"/>
    <sheet name="Provеnce Sienna" sheetId="236" r:id="rId33"/>
    <sheet name="Provеnce Amelia" sheetId="121" r:id="rId34"/>
    <sheet name="E-Classic" sheetId="122" r:id="rId35"/>
    <sheet name="Classic Rosso" sheetId="352" r:id="rId36"/>
    <sheet name="Classic Rimini " sheetId="235" r:id="rId37"/>
    <sheet name="Neoclassic" sheetId="124" r:id="rId38"/>
    <sheet name="Standart" sheetId="190" r:id="rId39"/>
    <sheet name="Алюминивые двери Steel" sheetId="360" state="hidden" r:id="rId40"/>
    <sheet name="Погонаж база" sheetId="295" state="hidden" r:id="rId41"/>
    <sheet name="Алюм. двери Frame" sheetId="362" r:id="rId42"/>
    <sheet name="Алюм.погонаж" sheetId="335" r:id="rId43"/>
    <sheet name="Standart Strada2" sheetId="320" state="hidden" r:id="rId44"/>
    <sheet name="Standart Vario" sheetId="191" state="hidden" r:id="rId45"/>
    <sheet name="Декоры база" sheetId="318" state="hidden" r:id="rId46"/>
    <sheet name="Погонаж" sheetId="193" r:id="rId47"/>
    <sheet name="Скрытая дверь РРЦ" sheetId="348" state="hidden" r:id="rId48"/>
    <sheet name="Скрытая дверь ОПТ" sheetId="347" state="hidden" r:id="rId49"/>
    <sheet name="Погонаж для прочих" sheetId="287" r:id="rId50"/>
    <sheet name="Стык.элементы" sheetId="245" r:id="rId51"/>
    <sheet name="Плинтусы" sheetId="253" r:id="rId52"/>
    <sheet name="Рейки" sheetId="254" r:id="rId53"/>
    <sheet name="Порталы" sheetId="194" r:id="rId54"/>
    <sheet name="Стекла для перегородок" sheetId="361" state="hidden" r:id="rId55"/>
    <sheet name="Перегородки база " sheetId="297" state="hidden" r:id="rId56"/>
    <sheet name="Классические прегородки" sheetId="271" r:id="rId57"/>
    <sheet name="Современные перегородки" sheetId="270" r:id="rId58"/>
    <sheet name="Алюм. перегородки Meta_Steel" sheetId="315" state="hidden" r:id="rId59"/>
    <sheet name="Стен. панели" sheetId="197" r:id="rId60"/>
    <sheet name="Фрамуги_накладки" sheetId="312" r:id="rId61"/>
    <sheet name="Двери для обьектов" sheetId="336" r:id="rId62"/>
    <sheet name="Жалюзийные двери Louver" sheetId="255" r:id="rId63"/>
    <sheet name="Наценки (1)" sheetId="223" state="hidden" r:id="rId64"/>
    <sheet name="Наценки за габариты" sheetId="357" r:id="rId65"/>
    <sheet name="Прочее наценки" sheetId="183" r:id="rId66"/>
    <sheet name="Покрытия_шпон_эмаль" sheetId="241" r:id="rId67"/>
    <sheet name="Покрытия_ПВХ" sheetId="290" r:id="rId68"/>
    <sheet name="Рекламная продукция" sheetId="304" r:id="rId69"/>
    <sheet name="Лист1" sheetId="364" r:id="rId70"/>
  </sheets>
  <externalReferences>
    <externalReference r:id="rId71"/>
    <externalReference r:id="rId72"/>
  </externalReferences>
  <definedNames>
    <definedName name="_xlnm._FilterDatabase" localSheetId="10" hidden="1">'наценки РФ'!$A$13:$H$87</definedName>
    <definedName name="_xlnm._FilterDatabase" localSheetId="1" hidden="1">'погонаж сайт'!$A$5:$W$186</definedName>
    <definedName name="_xlnm._FilterDatabase" localSheetId="67" hidden="1">Покрытия_ПВХ!$A$3:$S$56</definedName>
    <definedName name="_xlnm._FilterDatabase" localSheetId="2" hidden="1">'полотна сайт'!$A$4:$IH$181</definedName>
    <definedName name="_xlnm._FilterDatabase" localSheetId="0" hidden="1">'стекла сайт'!$A$1:$ET$241</definedName>
    <definedName name="Eclec" localSheetId="28">#REF!</definedName>
    <definedName name="Eclec" localSheetId="21">#REF!</definedName>
    <definedName name="Eclec" localSheetId="41">#REF!</definedName>
    <definedName name="Eclec" localSheetId="39">#REF!</definedName>
    <definedName name="Eclec" localSheetId="64">#REF!</definedName>
    <definedName name="Eclec" localSheetId="15">#REF!</definedName>
    <definedName name="Eclec">#REF!</definedName>
    <definedName name="Eclectica_Bel" localSheetId="28">#REF!</definedName>
    <definedName name="Eclectica_Bel" localSheetId="21">#REF!</definedName>
    <definedName name="Eclectica_Bel" localSheetId="41">#REF!</definedName>
    <definedName name="Eclectica_Bel" localSheetId="39">#REF!</definedName>
    <definedName name="Eclectica_Bel" localSheetId="64">#REF!</definedName>
    <definedName name="Eclectica_Bel" localSheetId="15">#REF!</definedName>
    <definedName name="Eclectica_Bel">#REF!</definedName>
    <definedName name="Enamale" localSheetId="35">#REF!</definedName>
    <definedName name="Enamale" localSheetId="28">#REF!</definedName>
    <definedName name="Enamale" localSheetId="27">#REF!</definedName>
    <definedName name="Enamale" localSheetId="21">#REF!</definedName>
    <definedName name="Enamale" localSheetId="24">#REF!</definedName>
    <definedName name="Enamale" localSheetId="19">#REF!</definedName>
    <definedName name="Enamale" localSheetId="41">#REF!</definedName>
    <definedName name="Enamale" localSheetId="42">#REF!</definedName>
    <definedName name="Enamale" localSheetId="39">#REF!</definedName>
    <definedName name="Enamale" localSheetId="61">#REF!</definedName>
    <definedName name="Enamale" localSheetId="8">#REF!</definedName>
    <definedName name="Enamale" localSheetId="4">#REF!</definedName>
    <definedName name="Enamale" localSheetId="6">#REF!</definedName>
    <definedName name="Enamale" localSheetId="64">#REF!</definedName>
    <definedName name="Enamale" localSheetId="47">#REF!</definedName>
    <definedName name="Enamale" localSheetId="15">#REF!</definedName>
    <definedName name="Enamale" localSheetId="17">#REF!</definedName>
    <definedName name="Enamale">#REF!</definedName>
    <definedName name="Excel_BuiltIn__FilterDatabase_1" localSheetId="35">#REF!</definedName>
    <definedName name="Excel_BuiltIn__FilterDatabase_1" localSheetId="28">#REF!</definedName>
    <definedName name="Excel_BuiltIn__FilterDatabase_1" localSheetId="27">#REF!</definedName>
    <definedName name="Excel_BuiltIn__FilterDatabase_1" localSheetId="21">#REF!</definedName>
    <definedName name="Excel_BuiltIn__FilterDatabase_1" localSheetId="24">#REF!</definedName>
    <definedName name="Excel_BuiltIn__FilterDatabase_1" localSheetId="43">#REF!</definedName>
    <definedName name="Excel_BuiltIn__FilterDatabase_1" localSheetId="16">#REF!</definedName>
    <definedName name="Excel_BuiltIn__FilterDatabase_1" localSheetId="19">#REF!</definedName>
    <definedName name="Excel_BuiltIn__FilterDatabase_1" localSheetId="41">#REF!</definedName>
    <definedName name="Excel_BuiltIn__FilterDatabase_1" localSheetId="42">#REF!</definedName>
    <definedName name="Excel_BuiltIn__FilterDatabase_1" localSheetId="39">#REF!</definedName>
    <definedName name="Excel_BuiltIn__FilterDatabase_1" localSheetId="61">#REF!</definedName>
    <definedName name="Excel_BuiltIn__FilterDatabase_1" localSheetId="45">#REF!</definedName>
    <definedName name="Excel_BuiltIn__FilterDatabase_1" localSheetId="12">#REF!</definedName>
    <definedName name="Excel_BuiltIn__FilterDatabase_1" localSheetId="8">#REF!</definedName>
    <definedName name="Excel_BuiltIn__FilterDatabase_1" localSheetId="4">#REF!</definedName>
    <definedName name="Excel_BuiltIn__FilterDatabase_1" localSheetId="6">#REF!</definedName>
    <definedName name="Excel_BuiltIn__FilterDatabase_1" localSheetId="3">#REF!</definedName>
    <definedName name="Excel_BuiltIn__FilterDatabase_1" localSheetId="64">#REF!</definedName>
    <definedName name="Excel_BuiltIn__FilterDatabase_1" localSheetId="40">#REF!</definedName>
    <definedName name="Excel_BuiltIn__FilterDatabase_1" localSheetId="67">#REF!</definedName>
    <definedName name="Excel_BuiltIn__FilterDatabase_1" localSheetId="23">#REF!</definedName>
    <definedName name="Excel_BuiltIn__FilterDatabase_1" localSheetId="68">#REF!</definedName>
    <definedName name="Excel_BuiltIn__FilterDatabase_1" localSheetId="9">#REF!</definedName>
    <definedName name="Excel_BuiltIn__FilterDatabase_1" localSheetId="48">#REF!</definedName>
    <definedName name="Excel_BuiltIn__FilterDatabase_1" localSheetId="47">#REF!</definedName>
    <definedName name="Excel_BuiltIn__FilterDatabase_1" localSheetId="15">#REF!</definedName>
    <definedName name="Excel_BuiltIn__FilterDatabase_1" localSheetId="17">#REF!</definedName>
    <definedName name="Excel_BuiltIn__FilterDatabase_1" localSheetId="60">#REF!</definedName>
    <definedName name="Excel_BuiltIn__FilterDatabase_1">#REF!</definedName>
    <definedName name="Excel_BuiltIn_Print_Area_1_1" localSheetId="35">#REF!</definedName>
    <definedName name="Excel_BuiltIn_Print_Area_1_1" localSheetId="28">#REF!</definedName>
    <definedName name="Excel_BuiltIn_Print_Area_1_1" localSheetId="27">#REF!</definedName>
    <definedName name="Excel_BuiltIn_Print_Area_1_1" localSheetId="21">#REF!</definedName>
    <definedName name="Excel_BuiltIn_Print_Area_1_1" localSheetId="24">#REF!</definedName>
    <definedName name="Excel_BuiltIn_Print_Area_1_1" localSheetId="43">#REF!</definedName>
    <definedName name="Excel_BuiltIn_Print_Area_1_1" localSheetId="16">#REF!</definedName>
    <definedName name="Excel_BuiltIn_Print_Area_1_1" localSheetId="19">#REF!</definedName>
    <definedName name="Excel_BuiltIn_Print_Area_1_1" localSheetId="41">#REF!</definedName>
    <definedName name="Excel_BuiltIn_Print_Area_1_1" localSheetId="42">#REF!</definedName>
    <definedName name="Excel_BuiltIn_Print_Area_1_1" localSheetId="39">#REF!</definedName>
    <definedName name="Excel_BuiltIn_Print_Area_1_1" localSheetId="61">#REF!</definedName>
    <definedName name="Excel_BuiltIn_Print_Area_1_1" localSheetId="45">#REF!</definedName>
    <definedName name="Excel_BuiltIn_Print_Area_1_1" localSheetId="12">#REF!</definedName>
    <definedName name="Excel_BuiltIn_Print_Area_1_1" localSheetId="8">#REF!</definedName>
    <definedName name="Excel_BuiltIn_Print_Area_1_1" localSheetId="4">#REF!</definedName>
    <definedName name="Excel_BuiltIn_Print_Area_1_1" localSheetId="6">#REF!</definedName>
    <definedName name="Excel_BuiltIn_Print_Area_1_1" localSheetId="3">#REF!</definedName>
    <definedName name="Excel_BuiltIn_Print_Area_1_1" localSheetId="64">#REF!</definedName>
    <definedName name="Excel_BuiltIn_Print_Area_1_1" localSheetId="40">#REF!</definedName>
    <definedName name="Excel_BuiltIn_Print_Area_1_1" localSheetId="67">#REF!</definedName>
    <definedName name="Excel_BuiltIn_Print_Area_1_1" localSheetId="23">#REF!</definedName>
    <definedName name="Excel_BuiltIn_Print_Area_1_1" localSheetId="68">#REF!</definedName>
    <definedName name="Excel_BuiltIn_Print_Area_1_1" localSheetId="9">#REF!</definedName>
    <definedName name="Excel_BuiltIn_Print_Area_1_1" localSheetId="48">#REF!</definedName>
    <definedName name="Excel_BuiltIn_Print_Area_1_1" localSheetId="47">#REF!</definedName>
    <definedName name="Excel_BuiltIn_Print_Area_1_1" localSheetId="15">#REF!</definedName>
    <definedName name="Excel_BuiltIn_Print_Area_1_1" localSheetId="17">#REF!</definedName>
    <definedName name="Excel_BuiltIn_Print_Area_1_1" localSheetId="60">#REF!</definedName>
    <definedName name="Excel_BuiltIn_Print_Area_1_1">#REF!</definedName>
    <definedName name="Excel_BuiltIn_Print_Area_1_1_1" localSheetId="35">#REF!</definedName>
    <definedName name="Excel_BuiltIn_Print_Area_1_1_1" localSheetId="28">#REF!</definedName>
    <definedName name="Excel_BuiltIn_Print_Area_1_1_1" localSheetId="27">#REF!</definedName>
    <definedName name="Excel_BuiltIn_Print_Area_1_1_1" localSheetId="21">#REF!</definedName>
    <definedName name="Excel_BuiltIn_Print_Area_1_1_1" localSheetId="24">#REF!</definedName>
    <definedName name="Excel_BuiltIn_Print_Area_1_1_1" localSheetId="43">#REF!</definedName>
    <definedName name="Excel_BuiltIn_Print_Area_1_1_1" localSheetId="16">#REF!</definedName>
    <definedName name="Excel_BuiltIn_Print_Area_1_1_1" localSheetId="19">#REF!</definedName>
    <definedName name="Excel_BuiltIn_Print_Area_1_1_1" localSheetId="41">#REF!</definedName>
    <definedName name="Excel_BuiltIn_Print_Area_1_1_1" localSheetId="42">#REF!</definedName>
    <definedName name="Excel_BuiltIn_Print_Area_1_1_1" localSheetId="39">#REF!</definedName>
    <definedName name="Excel_BuiltIn_Print_Area_1_1_1" localSheetId="61">#REF!</definedName>
    <definedName name="Excel_BuiltIn_Print_Area_1_1_1" localSheetId="45">#REF!</definedName>
    <definedName name="Excel_BuiltIn_Print_Area_1_1_1" localSheetId="12">#REF!</definedName>
    <definedName name="Excel_BuiltIn_Print_Area_1_1_1" localSheetId="8">#REF!</definedName>
    <definedName name="Excel_BuiltIn_Print_Area_1_1_1" localSheetId="4">#REF!</definedName>
    <definedName name="Excel_BuiltIn_Print_Area_1_1_1" localSheetId="6">#REF!</definedName>
    <definedName name="Excel_BuiltIn_Print_Area_1_1_1" localSheetId="3">#REF!</definedName>
    <definedName name="Excel_BuiltIn_Print_Area_1_1_1" localSheetId="64">#REF!</definedName>
    <definedName name="Excel_BuiltIn_Print_Area_1_1_1" localSheetId="40">#REF!</definedName>
    <definedName name="Excel_BuiltIn_Print_Area_1_1_1" localSheetId="67">#REF!</definedName>
    <definedName name="Excel_BuiltIn_Print_Area_1_1_1" localSheetId="23">#REF!</definedName>
    <definedName name="Excel_BuiltIn_Print_Area_1_1_1" localSheetId="68">#REF!</definedName>
    <definedName name="Excel_BuiltIn_Print_Area_1_1_1" localSheetId="9">#REF!</definedName>
    <definedName name="Excel_BuiltIn_Print_Area_1_1_1" localSheetId="48">#REF!</definedName>
    <definedName name="Excel_BuiltIn_Print_Area_1_1_1" localSheetId="47">#REF!</definedName>
    <definedName name="Excel_BuiltIn_Print_Area_1_1_1" localSheetId="15">#REF!</definedName>
    <definedName name="Excel_BuiltIn_Print_Area_1_1_1" localSheetId="17">#REF!</definedName>
    <definedName name="Excel_BuiltIn_Print_Area_1_1_1" localSheetId="60">#REF!</definedName>
    <definedName name="Excel_BuiltIn_Print_Area_1_1_1">#REF!</definedName>
    <definedName name="Excel_BuiltIn_Print_Area_1_2" localSheetId="35">#REF!</definedName>
    <definedName name="Excel_BuiltIn_Print_Area_1_2" localSheetId="28">#REF!</definedName>
    <definedName name="Excel_BuiltIn_Print_Area_1_2" localSheetId="27">#REF!</definedName>
    <definedName name="Excel_BuiltIn_Print_Area_1_2" localSheetId="21">#REF!</definedName>
    <definedName name="Excel_BuiltIn_Print_Area_1_2" localSheetId="24">#REF!</definedName>
    <definedName name="Excel_BuiltIn_Print_Area_1_2" localSheetId="43">#REF!</definedName>
    <definedName name="Excel_BuiltIn_Print_Area_1_2" localSheetId="16">#REF!</definedName>
    <definedName name="Excel_BuiltIn_Print_Area_1_2" localSheetId="19">#REF!</definedName>
    <definedName name="Excel_BuiltIn_Print_Area_1_2" localSheetId="41">#REF!</definedName>
    <definedName name="Excel_BuiltIn_Print_Area_1_2" localSheetId="42">#REF!</definedName>
    <definedName name="Excel_BuiltIn_Print_Area_1_2" localSheetId="39">#REF!</definedName>
    <definedName name="Excel_BuiltIn_Print_Area_1_2" localSheetId="61">#REF!</definedName>
    <definedName name="Excel_BuiltIn_Print_Area_1_2" localSheetId="45">#REF!</definedName>
    <definedName name="Excel_BuiltIn_Print_Area_1_2" localSheetId="12">#REF!</definedName>
    <definedName name="Excel_BuiltIn_Print_Area_1_2" localSheetId="8">#REF!</definedName>
    <definedName name="Excel_BuiltIn_Print_Area_1_2" localSheetId="4">#REF!</definedName>
    <definedName name="Excel_BuiltIn_Print_Area_1_2" localSheetId="6">#REF!</definedName>
    <definedName name="Excel_BuiltIn_Print_Area_1_2" localSheetId="3">#REF!</definedName>
    <definedName name="Excel_BuiltIn_Print_Area_1_2" localSheetId="64">#REF!</definedName>
    <definedName name="Excel_BuiltIn_Print_Area_1_2" localSheetId="40">#REF!</definedName>
    <definedName name="Excel_BuiltIn_Print_Area_1_2" localSheetId="67">#REF!</definedName>
    <definedName name="Excel_BuiltIn_Print_Area_1_2" localSheetId="23">#REF!</definedName>
    <definedName name="Excel_BuiltIn_Print_Area_1_2" localSheetId="68">#REF!</definedName>
    <definedName name="Excel_BuiltIn_Print_Area_1_2" localSheetId="9">#REF!</definedName>
    <definedName name="Excel_BuiltIn_Print_Area_1_2" localSheetId="48">#REF!</definedName>
    <definedName name="Excel_BuiltIn_Print_Area_1_2" localSheetId="47">#REF!</definedName>
    <definedName name="Excel_BuiltIn_Print_Area_1_2" localSheetId="15">#REF!</definedName>
    <definedName name="Excel_BuiltIn_Print_Area_1_2" localSheetId="17">#REF!</definedName>
    <definedName name="Excel_BuiltIn_Print_Area_1_2" localSheetId="60">#REF!</definedName>
    <definedName name="Excel_BuiltIn_Print_Area_1_2">#REF!</definedName>
    <definedName name="Excel_BuiltIn_Print_Titles_1" localSheetId="35">#REF!</definedName>
    <definedName name="Excel_BuiltIn_Print_Titles_1" localSheetId="28">#REF!</definedName>
    <definedName name="Excel_BuiltIn_Print_Titles_1" localSheetId="27">#REF!</definedName>
    <definedName name="Excel_BuiltIn_Print_Titles_1" localSheetId="21">#REF!</definedName>
    <definedName name="Excel_BuiltIn_Print_Titles_1" localSheetId="24">#REF!</definedName>
    <definedName name="Excel_BuiltIn_Print_Titles_1" localSheetId="43">#REF!</definedName>
    <definedName name="Excel_BuiltIn_Print_Titles_1" localSheetId="16">#REF!</definedName>
    <definedName name="Excel_BuiltIn_Print_Titles_1" localSheetId="19">#REF!</definedName>
    <definedName name="Excel_BuiltIn_Print_Titles_1" localSheetId="41">#REF!</definedName>
    <definedName name="Excel_BuiltIn_Print_Titles_1" localSheetId="42">#REF!</definedName>
    <definedName name="Excel_BuiltIn_Print_Titles_1" localSheetId="39">#REF!</definedName>
    <definedName name="Excel_BuiltIn_Print_Titles_1" localSheetId="61">#REF!</definedName>
    <definedName name="Excel_BuiltIn_Print_Titles_1" localSheetId="45">#REF!</definedName>
    <definedName name="Excel_BuiltIn_Print_Titles_1" localSheetId="12">#REF!</definedName>
    <definedName name="Excel_BuiltIn_Print_Titles_1" localSheetId="8">#REF!</definedName>
    <definedName name="Excel_BuiltIn_Print_Titles_1" localSheetId="4">#REF!</definedName>
    <definedName name="Excel_BuiltIn_Print_Titles_1" localSheetId="6">#REF!</definedName>
    <definedName name="Excel_BuiltIn_Print_Titles_1" localSheetId="3">#REF!</definedName>
    <definedName name="Excel_BuiltIn_Print_Titles_1" localSheetId="64">#REF!</definedName>
    <definedName name="Excel_BuiltIn_Print_Titles_1" localSheetId="40">#REF!</definedName>
    <definedName name="Excel_BuiltIn_Print_Titles_1" localSheetId="67">#REF!</definedName>
    <definedName name="Excel_BuiltIn_Print_Titles_1" localSheetId="23">#REF!</definedName>
    <definedName name="Excel_BuiltIn_Print_Titles_1" localSheetId="68">#REF!</definedName>
    <definedName name="Excel_BuiltIn_Print_Titles_1" localSheetId="9">#REF!</definedName>
    <definedName name="Excel_BuiltIn_Print_Titles_1" localSheetId="48">#REF!</definedName>
    <definedName name="Excel_BuiltIn_Print_Titles_1" localSheetId="47">#REF!</definedName>
    <definedName name="Excel_BuiltIn_Print_Titles_1" localSheetId="15">#REF!</definedName>
    <definedName name="Excel_BuiltIn_Print_Titles_1" localSheetId="17">#REF!</definedName>
    <definedName name="Excel_BuiltIn_Print_Titles_1" localSheetId="60">#REF!</definedName>
    <definedName name="Excel_BuiltIn_Print_Titles_1">#REF!</definedName>
    <definedName name="Excel_BuiltIn_Print_Titles_1_1" localSheetId="35">#REF!</definedName>
    <definedName name="Excel_BuiltIn_Print_Titles_1_1" localSheetId="28">#REF!</definedName>
    <definedName name="Excel_BuiltIn_Print_Titles_1_1" localSheetId="27">#REF!</definedName>
    <definedName name="Excel_BuiltIn_Print_Titles_1_1" localSheetId="21">#REF!</definedName>
    <definedName name="Excel_BuiltIn_Print_Titles_1_1" localSheetId="24">#REF!</definedName>
    <definedName name="Excel_BuiltIn_Print_Titles_1_1" localSheetId="43">#REF!</definedName>
    <definedName name="Excel_BuiltIn_Print_Titles_1_1" localSheetId="16">#REF!</definedName>
    <definedName name="Excel_BuiltIn_Print_Titles_1_1" localSheetId="19">#REF!</definedName>
    <definedName name="Excel_BuiltIn_Print_Titles_1_1" localSheetId="41">#REF!</definedName>
    <definedName name="Excel_BuiltIn_Print_Titles_1_1" localSheetId="42">#REF!</definedName>
    <definedName name="Excel_BuiltIn_Print_Titles_1_1" localSheetId="39">#REF!</definedName>
    <definedName name="Excel_BuiltIn_Print_Titles_1_1" localSheetId="61">#REF!</definedName>
    <definedName name="Excel_BuiltIn_Print_Titles_1_1" localSheetId="45">#REF!</definedName>
    <definedName name="Excel_BuiltIn_Print_Titles_1_1" localSheetId="12">#REF!</definedName>
    <definedName name="Excel_BuiltIn_Print_Titles_1_1" localSheetId="8">#REF!</definedName>
    <definedName name="Excel_BuiltIn_Print_Titles_1_1" localSheetId="4">#REF!</definedName>
    <definedName name="Excel_BuiltIn_Print_Titles_1_1" localSheetId="6">#REF!</definedName>
    <definedName name="Excel_BuiltIn_Print_Titles_1_1" localSheetId="3">#REF!</definedName>
    <definedName name="Excel_BuiltIn_Print_Titles_1_1" localSheetId="64">#REF!</definedName>
    <definedName name="Excel_BuiltIn_Print_Titles_1_1" localSheetId="40">#REF!</definedName>
    <definedName name="Excel_BuiltIn_Print_Titles_1_1" localSheetId="67">#REF!</definedName>
    <definedName name="Excel_BuiltIn_Print_Titles_1_1" localSheetId="23">#REF!</definedName>
    <definedName name="Excel_BuiltIn_Print_Titles_1_1" localSheetId="68">#REF!</definedName>
    <definedName name="Excel_BuiltIn_Print_Titles_1_1" localSheetId="9">#REF!</definedName>
    <definedName name="Excel_BuiltIn_Print_Titles_1_1" localSheetId="48">#REF!</definedName>
    <definedName name="Excel_BuiltIn_Print_Titles_1_1" localSheetId="47">#REF!</definedName>
    <definedName name="Excel_BuiltIn_Print_Titles_1_1" localSheetId="15">#REF!</definedName>
    <definedName name="Excel_BuiltIn_Print_Titles_1_1" localSheetId="17">#REF!</definedName>
    <definedName name="Excel_BuiltIn_Print_Titles_1_1" localSheetId="60">#REF!</definedName>
    <definedName name="Excel_BuiltIn_Print_Titles_1_1">#REF!</definedName>
    <definedName name="ghh" localSheetId="28">#REF!</definedName>
    <definedName name="ghh" localSheetId="21">#REF!</definedName>
    <definedName name="ghh" localSheetId="41">#REF!</definedName>
    <definedName name="ghh" localSheetId="39">#REF!</definedName>
    <definedName name="ghh" localSheetId="64">#REF!</definedName>
    <definedName name="ghh" localSheetId="15">#REF!</definedName>
    <definedName name="ghh">#REF!</definedName>
    <definedName name="New" localSheetId="28">#REF!</definedName>
    <definedName name="New" localSheetId="21">#REF!</definedName>
    <definedName name="New" localSheetId="41">#REF!</definedName>
    <definedName name="New" localSheetId="39">#REF!</definedName>
    <definedName name="New" localSheetId="64">#REF!</definedName>
    <definedName name="New" localSheetId="15">#REF!</definedName>
    <definedName name="New">#REF!</definedName>
    <definedName name="Print_Area" localSheetId="36">'Classic Rimini '!$A$2:$K$114</definedName>
    <definedName name="Print_Area" localSheetId="35">'Classic Rosso'!$A$2:$N$42</definedName>
    <definedName name="Print_Area" localSheetId="20">Design!$A$1:$AA$22</definedName>
    <definedName name="Print_Area" localSheetId="34">'E-Classic'!$A$2:$K$32</definedName>
    <definedName name="Print_Area" localSheetId="28">Eclectica_Belluno!$A$1:$M$93</definedName>
    <definedName name="Print_Area" localSheetId="27">Eclectica_Stripe!$A$1:$M$27</definedName>
    <definedName name="Print_Area" localSheetId="21">'E-Design'!$A$1:$W$33</definedName>
    <definedName name="Print_Area" localSheetId="29">Elegance!$A$1:$R$28</definedName>
    <definedName name="Print_Area" localSheetId="25">Fusion!$A$1:$N$71</definedName>
    <definedName name="Print_Area" localSheetId="24">Fusion_Plainе!$A$1:$M$94</definedName>
    <definedName name="Print_Area" localSheetId="31">'Modern Bergamo'!$A$1:$O$36</definedName>
    <definedName name="Print_Area" localSheetId="30">'Modern Turin'!$A$1:$O$36</definedName>
    <definedName name="Print_Area" localSheetId="37">Neoclassic!$A$1:$O$101</definedName>
    <definedName name="Print_Area" localSheetId="33">'Provеnce Amelia'!$A$1:$K$41</definedName>
    <definedName name="Print_Area" localSheetId="32">'Provеnce Sienna'!$A$1:$M$68</definedName>
    <definedName name="Print_Area" localSheetId="38">Standart!$A$2:$K$58</definedName>
    <definedName name="Print_Area" localSheetId="43">'Standart Strada2'!$A$2:$N$41</definedName>
    <definedName name="Print_Area" localSheetId="44">'Standart Vario'!$A$2:$N$133</definedName>
    <definedName name="Print_Area" localSheetId="16">Techno_Porte!$A$1:$M$67</definedName>
    <definedName name="Print_Area" localSheetId="19">Techno_Slot!$A$1:$M$61</definedName>
    <definedName name="Print_Area" localSheetId="18">Techno_Vetro!$A$1:$L$68</definedName>
    <definedName name="Print_Area" localSheetId="22">Twist!$A$1:$H$22</definedName>
    <definedName name="Print_Area" localSheetId="41">'Алюм. двери Frame'!#REF!</definedName>
    <definedName name="Print_Area" localSheetId="58">'Алюм. перегородки Meta_Steel'!$A$32:$E$36</definedName>
    <definedName name="Print_Area" localSheetId="42">Алюм.погонаж!$A$1:$F$20</definedName>
    <definedName name="Print_Area" localSheetId="39">'Алюминивые двери Steel'!$A$1:$J$99</definedName>
    <definedName name="Print_Area" localSheetId="61">'Двери для обьектов'!$A$2:$I$30</definedName>
    <definedName name="Print_Area" localSheetId="62">'Жалюзийные двери Louver'!$A$2:$I$9</definedName>
    <definedName name="Print_Area" localSheetId="56">'Классические прегородки'!$A$2:$C$41</definedName>
    <definedName name="Print_Area" localSheetId="63">'Наценки (1)'!$B$2:$I$91</definedName>
    <definedName name="Print_Area" localSheetId="64">'Наценки за габариты'!$B$2:$J$60</definedName>
    <definedName name="Print_Area" localSheetId="55">'Перегородки база '!$A$1:$I$14</definedName>
    <definedName name="Print_Area" localSheetId="51">Плинтусы!$A$29:$Q$37</definedName>
    <definedName name="Print_Area" localSheetId="46">Погонаж!$A$1:$Y$68</definedName>
    <definedName name="Print_Area" localSheetId="40">'Погонаж база'!$A$1:$BD$185</definedName>
    <definedName name="Print_Area" localSheetId="49">'Погонаж для прочих'!$A$1:$I$23</definedName>
    <definedName name="Print_Area" localSheetId="67">Покрытия_ПВХ!$A$2:$K$47</definedName>
    <definedName name="Print_Area" localSheetId="66">Покрытия_шпон_эмаль!$A$2:$E$60</definedName>
    <definedName name="Print_Area" localSheetId="53">Порталы!$A$2:$P$96</definedName>
    <definedName name="Print_Area" localSheetId="52">Рейки!$A$28:$M$38</definedName>
    <definedName name="Print_Area" localSheetId="68">'Рекламная продукция'!$B$1:$C$18</definedName>
    <definedName name="Print_Area" localSheetId="48">'Скрытая дверь ОПТ'!$A$1:$M$29</definedName>
    <definedName name="Print_Area" localSheetId="47">'Скрытая дверь РРЦ'!$A$1:$M$29</definedName>
    <definedName name="Print_Area" localSheetId="57">'Современные перегородки'!$A$34:$D$34</definedName>
    <definedName name="Print_Area" localSheetId="14">Содержание!$A$1:$J$39</definedName>
    <definedName name="Print_Area" localSheetId="15">'Содержание (2)'!$A$1:$J$35</definedName>
    <definedName name="Print_Area" localSheetId="59">'Стен. панели'!$A$2:$P$37</definedName>
    <definedName name="Print_Area" localSheetId="50">Стык.элементы!#REF!</definedName>
    <definedName name="Print_Area" localSheetId="13">Титул!$A$1:$Q$42</definedName>
    <definedName name="Print_Area" localSheetId="60">Фрамуги_накладки!$A$2:$I$24</definedName>
    <definedName name="А" localSheetId="28">#REF!</definedName>
    <definedName name="А" localSheetId="21">#REF!</definedName>
    <definedName name="А" localSheetId="41">#REF!</definedName>
    <definedName name="А" localSheetId="39">#REF!</definedName>
    <definedName name="А" localSheetId="64">#REF!</definedName>
    <definedName name="А" localSheetId="15">#REF!</definedName>
    <definedName name="А">#REF!</definedName>
    <definedName name="амелия" localSheetId="1">'погонаж сайт'!$A$5:$W$186</definedName>
    <definedName name="амелия1" localSheetId="2">'полотна сайт'!#REF!</definedName>
    <definedName name="амелия2" localSheetId="2">'полотна сайт'!#REF!</definedName>
    <definedName name="амелия3">'погонаж сайт'!$A$5:$W$186</definedName>
    <definedName name="амелия4" localSheetId="2">'полотна сайт'!$A$3:$FD$181</definedName>
    <definedName name="апвп4" localSheetId="35">#REF!</definedName>
    <definedName name="апвп4" localSheetId="28">#REF!</definedName>
    <definedName name="апвп4" localSheetId="27">#REF!</definedName>
    <definedName name="апвп4" localSheetId="21">#REF!</definedName>
    <definedName name="апвп4" localSheetId="24">#REF!</definedName>
    <definedName name="апвп4" localSheetId="19">#REF!</definedName>
    <definedName name="апвп4" localSheetId="41">#REF!</definedName>
    <definedName name="апвп4" localSheetId="42">#REF!</definedName>
    <definedName name="апвп4" localSheetId="39">#REF!</definedName>
    <definedName name="апвп4" localSheetId="61">#REF!</definedName>
    <definedName name="апвп4" localSheetId="8">#REF!</definedName>
    <definedName name="апвп4" localSheetId="4">#REF!</definedName>
    <definedName name="апвп4" localSheetId="6">#REF!</definedName>
    <definedName name="апвп4" localSheetId="3">#REF!</definedName>
    <definedName name="апвп4" localSheetId="64">#REF!</definedName>
    <definedName name="апвп4" localSheetId="47">#REF!</definedName>
    <definedName name="апвп4" localSheetId="15">#REF!</definedName>
    <definedName name="апвп4" localSheetId="17">#REF!</definedName>
    <definedName name="апвп4">#REF!</definedName>
    <definedName name="Декоры" localSheetId="35">#REF!</definedName>
    <definedName name="Декоры" localSheetId="28">#REF!</definedName>
    <definedName name="Декоры" localSheetId="27">#REF!</definedName>
    <definedName name="Декоры" localSheetId="21">#REF!</definedName>
    <definedName name="Декоры" localSheetId="24">#REF!</definedName>
    <definedName name="Декоры" localSheetId="43">#REF!</definedName>
    <definedName name="Декоры" localSheetId="19">#REF!</definedName>
    <definedName name="Декоры" localSheetId="41">#REF!</definedName>
    <definedName name="Декоры" localSheetId="42">#REF!</definedName>
    <definedName name="Декоры" localSheetId="39">#REF!</definedName>
    <definedName name="Декоры" localSheetId="61">#REF!</definedName>
    <definedName name="Декоры" localSheetId="8">#REF!</definedName>
    <definedName name="Декоры" localSheetId="4">#REF!</definedName>
    <definedName name="Декоры" localSheetId="6">#REF!</definedName>
    <definedName name="Декоры" localSheetId="3">#REF!</definedName>
    <definedName name="Декоры" localSheetId="64">#REF!</definedName>
    <definedName name="Декоры" localSheetId="47">#REF!</definedName>
    <definedName name="Декоры" localSheetId="15">#REF!</definedName>
    <definedName name="Декоры" localSheetId="17">#REF!</definedName>
    <definedName name="Декоры">#REF!</definedName>
    <definedName name="Еми_АПАР_ми" localSheetId="35">#REF!</definedName>
    <definedName name="Еми_АПАР_ми" localSheetId="28">#REF!</definedName>
    <definedName name="Еми_АПАР_ми" localSheetId="27">#REF!</definedName>
    <definedName name="Еми_АПАР_ми" localSheetId="21">#REF!</definedName>
    <definedName name="Еми_АПАР_ми" localSheetId="24">#REF!</definedName>
    <definedName name="Еми_АПАР_ми" localSheetId="43">#REF!</definedName>
    <definedName name="Еми_АПАР_ми" localSheetId="16">#REF!</definedName>
    <definedName name="Еми_АПАР_ми" localSheetId="19">#REF!</definedName>
    <definedName name="Еми_АПАР_ми" localSheetId="41">#REF!</definedName>
    <definedName name="Еми_АПАР_ми" localSheetId="42">#REF!</definedName>
    <definedName name="Еми_АПАР_ми" localSheetId="39">#REF!</definedName>
    <definedName name="Еми_АПАР_ми" localSheetId="61">#REF!</definedName>
    <definedName name="Еми_АПАР_ми" localSheetId="45">#REF!</definedName>
    <definedName name="Еми_АПАР_ми" localSheetId="12">#REF!</definedName>
    <definedName name="Еми_АПАР_ми" localSheetId="8">#REF!</definedName>
    <definedName name="Еми_АПАР_ми" localSheetId="4">#REF!</definedName>
    <definedName name="Еми_АПАР_ми" localSheetId="6">#REF!</definedName>
    <definedName name="Еми_АПАР_ми" localSheetId="3">#REF!</definedName>
    <definedName name="Еми_АПАР_ми" localSheetId="64">#REF!</definedName>
    <definedName name="Еми_АПАР_ми" localSheetId="40">#REF!</definedName>
    <definedName name="Еми_АПАР_ми" localSheetId="23">#REF!</definedName>
    <definedName name="Еми_АПАР_ми" localSheetId="68">#REF!</definedName>
    <definedName name="Еми_АПАР_ми" localSheetId="9">#REF!</definedName>
    <definedName name="Еми_АПАР_ми" localSheetId="47">#REF!</definedName>
    <definedName name="Еми_АПАР_ми" localSheetId="15">#REF!</definedName>
    <definedName name="Еми_АПАР_ми" localSheetId="17">#REF!</definedName>
    <definedName name="Еми_АПАР_ми" localSheetId="60">#REF!</definedName>
    <definedName name="Еми_АПАР_ми">#REF!</definedName>
    <definedName name="_xlnm.Print_Titles" localSheetId="10">'наценки РФ'!$9:$13</definedName>
    <definedName name="_xlnm.Print_Titles" localSheetId="67">Покрытия_ПВХ!$2:$3</definedName>
    <definedName name="К111111" localSheetId="35">#REF!</definedName>
    <definedName name="К111111" localSheetId="28">#REF!</definedName>
    <definedName name="К111111" localSheetId="27">#REF!</definedName>
    <definedName name="К111111" localSheetId="21">#REF!</definedName>
    <definedName name="К111111" localSheetId="24">#REF!</definedName>
    <definedName name="К111111" localSheetId="43">#REF!</definedName>
    <definedName name="К111111" localSheetId="19">#REF!</definedName>
    <definedName name="К111111" localSheetId="41">#REF!</definedName>
    <definedName name="К111111" localSheetId="42">#REF!</definedName>
    <definedName name="К111111" localSheetId="39">#REF!</definedName>
    <definedName name="К111111" localSheetId="61">#REF!</definedName>
    <definedName name="К111111" localSheetId="8">#REF!</definedName>
    <definedName name="К111111" localSheetId="4">#REF!</definedName>
    <definedName name="К111111" localSheetId="6">#REF!</definedName>
    <definedName name="К111111" localSheetId="3">#REF!</definedName>
    <definedName name="К111111" localSheetId="64">#REF!</definedName>
    <definedName name="К111111" localSheetId="47">#REF!</definedName>
    <definedName name="К111111" localSheetId="15">#REF!</definedName>
    <definedName name="К111111" localSheetId="17">#REF!</definedName>
    <definedName name="К111111">#REF!</definedName>
    <definedName name="кува2" localSheetId="35">#REF!</definedName>
    <definedName name="кува2" localSheetId="28">#REF!</definedName>
    <definedName name="кува2" localSheetId="27">#REF!</definedName>
    <definedName name="кува2" localSheetId="21">#REF!</definedName>
    <definedName name="кува2" localSheetId="24">#REF!</definedName>
    <definedName name="кува2" localSheetId="19">#REF!</definedName>
    <definedName name="кува2" localSheetId="41">#REF!</definedName>
    <definedName name="кува2" localSheetId="42">#REF!</definedName>
    <definedName name="кува2" localSheetId="39">#REF!</definedName>
    <definedName name="кува2" localSheetId="61">#REF!</definedName>
    <definedName name="кува2" localSheetId="8">#REF!</definedName>
    <definedName name="кува2" localSheetId="4">#REF!</definedName>
    <definedName name="кува2" localSheetId="6">#REF!</definedName>
    <definedName name="кува2" localSheetId="3">#REF!</definedName>
    <definedName name="кува2" localSheetId="64">#REF!</definedName>
    <definedName name="кува2" localSheetId="47">#REF!</definedName>
    <definedName name="кува2" localSheetId="15">#REF!</definedName>
    <definedName name="кува2" localSheetId="17">#REF!</definedName>
    <definedName name="кува2">#REF!</definedName>
    <definedName name="кува4" localSheetId="35">#REF!</definedName>
    <definedName name="кува4" localSheetId="28">#REF!</definedName>
    <definedName name="кува4" localSheetId="27">#REF!</definedName>
    <definedName name="кува4" localSheetId="21">#REF!</definedName>
    <definedName name="кува4" localSheetId="24">#REF!</definedName>
    <definedName name="кува4" localSheetId="19">#REF!</definedName>
    <definedName name="кува4" localSheetId="41">#REF!</definedName>
    <definedName name="кува4" localSheetId="42">#REF!</definedName>
    <definedName name="кува4" localSheetId="39">#REF!</definedName>
    <definedName name="кува4" localSheetId="61">#REF!</definedName>
    <definedName name="кува4" localSheetId="8">#REF!</definedName>
    <definedName name="кува4" localSheetId="4">#REF!</definedName>
    <definedName name="кува4" localSheetId="6">#REF!</definedName>
    <definedName name="кува4" localSheetId="3">#REF!</definedName>
    <definedName name="кува4" localSheetId="64">#REF!</definedName>
    <definedName name="кува4" localSheetId="47">#REF!</definedName>
    <definedName name="кува4" localSheetId="15">#REF!</definedName>
    <definedName name="кува4" localSheetId="17">#REF!</definedName>
    <definedName name="кува4">#REF!</definedName>
    <definedName name="куыв3" localSheetId="35">#REF!</definedName>
    <definedName name="куыв3" localSheetId="28">#REF!</definedName>
    <definedName name="куыв3" localSheetId="27">#REF!</definedName>
    <definedName name="куыв3" localSheetId="21">#REF!</definedName>
    <definedName name="куыв3" localSheetId="24">#REF!</definedName>
    <definedName name="куыв3" localSheetId="19">#REF!</definedName>
    <definedName name="куыв3" localSheetId="41">#REF!</definedName>
    <definedName name="куыв3" localSheetId="42">#REF!</definedName>
    <definedName name="куыв3" localSheetId="39">#REF!</definedName>
    <definedName name="куыв3" localSheetId="61">#REF!</definedName>
    <definedName name="куыв3" localSheetId="8">#REF!</definedName>
    <definedName name="куыв3" localSheetId="4">#REF!</definedName>
    <definedName name="куыв3" localSheetId="6">#REF!</definedName>
    <definedName name="куыв3" localSheetId="3">#REF!</definedName>
    <definedName name="куыв3" localSheetId="64">#REF!</definedName>
    <definedName name="куыв3" localSheetId="47">#REF!</definedName>
    <definedName name="куыв3" localSheetId="15">#REF!</definedName>
    <definedName name="куыв3" localSheetId="17">#REF!</definedName>
    <definedName name="куыв3">#REF!</definedName>
    <definedName name="НОВОЕ" localSheetId="35">#REF!</definedName>
    <definedName name="НОВОЕ" localSheetId="28">#REF!</definedName>
    <definedName name="НОВОЕ" localSheetId="27">#REF!</definedName>
    <definedName name="НОВОЕ" localSheetId="21">#REF!</definedName>
    <definedName name="НОВОЕ" localSheetId="24">#REF!</definedName>
    <definedName name="НОВОЕ" localSheetId="43">#REF!</definedName>
    <definedName name="НОВОЕ" localSheetId="16">#REF!</definedName>
    <definedName name="НОВОЕ" localSheetId="19">#REF!</definedName>
    <definedName name="НОВОЕ" localSheetId="41">#REF!</definedName>
    <definedName name="НОВОЕ" localSheetId="42">#REF!</definedName>
    <definedName name="НОВОЕ" localSheetId="39">#REF!</definedName>
    <definedName name="НОВОЕ" localSheetId="61">#REF!</definedName>
    <definedName name="НОВОЕ" localSheetId="45">#REF!</definedName>
    <definedName name="НОВОЕ" localSheetId="12">#REF!</definedName>
    <definedName name="НОВОЕ" localSheetId="8">#REF!</definedName>
    <definedName name="НОВОЕ" localSheetId="4">#REF!</definedName>
    <definedName name="НОВОЕ" localSheetId="6">#REF!</definedName>
    <definedName name="НОВОЕ" localSheetId="3">#REF!</definedName>
    <definedName name="НОВОЕ" localSheetId="64">#REF!</definedName>
    <definedName name="НОВОЕ" localSheetId="40">#REF!</definedName>
    <definedName name="НОВОЕ" localSheetId="23">#REF!</definedName>
    <definedName name="НОВОЕ" localSheetId="68">#REF!</definedName>
    <definedName name="НОВОЕ" localSheetId="9">#REF!</definedName>
    <definedName name="НОВОЕ" localSheetId="47">#REF!</definedName>
    <definedName name="НОВОЕ" localSheetId="15">#REF!</definedName>
    <definedName name="НОВОЕ" localSheetId="17">#REF!</definedName>
    <definedName name="НОВОЕ" localSheetId="60">#REF!</definedName>
    <definedName name="НОВОЕ">#REF!</definedName>
    <definedName name="Новое_новое" localSheetId="28">#REF!</definedName>
    <definedName name="Новое_новое" localSheetId="21">#REF!</definedName>
    <definedName name="Новое_новое" localSheetId="41">#REF!</definedName>
    <definedName name="Новое_новое" localSheetId="39">#REF!</definedName>
    <definedName name="Новое_новое" localSheetId="64">#REF!</definedName>
    <definedName name="Новое_новое" localSheetId="15">#REF!</definedName>
    <definedName name="Новое_новое">#REF!</definedName>
    <definedName name="_xlnm.Print_Area" localSheetId="36">'Classic Rimini '!$A$2:$K$47</definedName>
    <definedName name="_xlnm.Print_Area" localSheetId="35">'Classic Rosso'!$A$2:$L$42</definedName>
    <definedName name="_xlnm.Print_Area" localSheetId="20">Design!$A$2:$L$50</definedName>
    <definedName name="_xlnm.Print_Area" localSheetId="34">'E-Classic'!$A$2:$N$32</definedName>
    <definedName name="_xlnm.Print_Area" localSheetId="28">Eclectica_Belluno!$A$2:$M$28</definedName>
    <definedName name="_xlnm.Print_Area" localSheetId="27">Eclectica_Stripe!$A$2:$L$27</definedName>
    <definedName name="_xlnm.Print_Area" localSheetId="21">'E-Design'!$A$2:$J$45</definedName>
    <definedName name="_xlnm.Print_Area" localSheetId="29">Elegance!$A$2:$M$27</definedName>
    <definedName name="_xlnm.Print_Area" localSheetId="25">Fusion!$A$2:$N$26</definedName>
    <definedName name="_xlnm.Print_Area" localSheetId="26">'Fusion Bruno'!$A$2:$M$33</definedName>
    <definedName name="_xlnm.Print_Area" localSheetId="24">Fusion_Plainе!$A$2:$L$25</definedName>
    <definedName name="_xlnm.Print_Area" localSheetId="31">'Modern Bergamo'!$A$2:$M$28</definedName>
    <definedName name="_xlnm.Print_Area" localSheetId="30">'Modern Turin'!$A$2:$L$28</definedName>
    <definedName name="_xlnm.Print_Area" localSheetId="37">Neoclassic!$A$2:$O$36</definedName>
    <definedName name="_xlnm.Print_Area" localSheetId="33">'Provеnce Amelia'!$A$2:$K$40</definedName>
    <definedName name="_xlnm.Print_Area" localSheetId="32">'Provеnce Sienna'!$A$2:$M$23</definedName>
    <definedName name="_xlnm.Print_Area" localSheetId="38">Standart!$A$2:$K$52</definedName>
    <definedName name="_xlnm.Print_Area" localSheetId="43">'Standart Strada2'!$A$2:$N$43</definedName>
    <definedName name="_xlnm.Print_Area" localSheetId="44">'Standart Vario'!$A$2:$N$82</definedName>
    <definedName name="_xlnm.Print_Area" localSheetId="16">Techno_Porte!$A$2:$L$57</definedName>
    <definedName name="_xlnm.Print_Area" localSheetId="19">Techno_Slot!$A$2:$N$49</definedName>
    <definedName name="_xlnm.Print_Area" localSheetId="18">Techno_Vetro!$A$2:$L$61</definedName>
    <definedName name="_xlnm.Print_Area" localSheetId="22">Twist!$A$2:$J$44</definedName>
    <definedName name="_xlnm.Print_Area" localSheetId="41">'Алюм. двери Frame'!$A$2:$H$43</definedName>
    <definedName name="_xlnm.Print_Area" localSheetId="58">'Алюм. перегородки Meta_Steel'!$A$2:$E$45</definedName>
    <definedName name="_xlnm.Print_Area" localSheetId="42">Алюм.погонаж!$A$2:$I$39</definedName>
    <definedName name="_xlnm.Print_Area" localSheetId="39">'Алюминивые двери Steel'!$A$2:$J$38</definedName>
    <definedName name="_xlnm.Print_Area" localSheetId="61">'Двери для обьектов'!$A$2:$I$21</definedName>
    <definedName name="_xlnm.Print_Area" localSheetId="62">'Жалюзийные двери Louver'!$A$2:$I$8</definedName>
    <definedName name="_xlnm.Print_Area" localSheetId="12">'изменения прайса'!$A$2:$F$274</definedName>
    <definedName name="_xlnm.Print_Area" localSheetId="56">'Классические прегородки'!$A$2:$C$36</definedName>
    <definedName name="_xlnm.Print_Area" localSheetId="63">'Наценки (1)'!$A$2:$H$117</definedName>
    <definedName name="_xlnm.Print_Area" localSheetId="64">'Наценки за габариты'!$A$2:$I$71</definedName>
    <definedName name="_xlnm.Print_Area" localSheetId="55">'Перегородки база '!$A$2:$U$53</definedName>
    <definedName name="_xlnm.Print_Area" localSheetId="51">Плинтусы!$A$2:$P$18</definedName>
    <definedName name="_xlnm.Print_Area" localSheetId="46">Погонаж!$A$2:$Y$61</definedName>
    <definedName name="_xlnm.Print_Area" localSheetId="40">'Погонаж база'!$A$1:$BD$185</definedName>
    <definedName name="_xlnm.Print_Area" localSheetId="49">'Погонаж для прочих'!$A$2:$I$23</definedName>
    <definedName name="_xlnm.Print_Area" localSheetId="67">Покрытия_ПВХ!$A$2:$J$59</definedName>
    <definedName name="_xlnm.Print_Area" localSheetId="66">Покрытия_шпон_эмаль!$A$2:$E$45</definedName>
    <definedName name="_xlnm.Print_Area" localSheetId="2">'полотна сайт'!$A$3:$FD$181</definedName>
    <definedName name="_xlnm.Print_Area" localSheetId="53">Порталы!$A$2:$P$94</definedName>
    <definedName name="_xlnm.Print_Area" localSheetId="65">'Прочее наценки'!$A$2:$G$66</definedName>
    <definedName name="_xlnm.Print_Area" localSheetId="52">Рейки!$A$2:$J$24</definedName>
    <definedName name="_xlnm.Print_Area" localSheetId="68">'Рекламная продукция'!$A$2:$H$42</definedName>
    <definedName name="_xlnm.Print_Area" localSheetId="9">'скидки розница'!$A$2:$H$23</definedName>
    <definedName name="_xlnm.Print_Area" localSheetId="11">скидки_наценки!$A$1:$K$24</definedName>
    <definedName name="_xlnm.Print_Area" localSheetId="48">'Скрытая дверь ОПТ'!$A$1:$P$68</definedName>
    <definedName name="_xlnm.Print_Area" localSheetId="47">'Скрытая дверь РРЦ'!$A$1:$P$68</definedName>
    <definedName name="_xlnm.Print_Area" localSheetId="57">'Современные перегородки'!$A$2:$K$30</definedName>
    <definedName name="_xlnm.Print_Area" localSheetId="14">Содержание!$A$1:$J$40</definedName>
    <definedName name="_xlnm.Print_Area" localSheetId="15">'Содержание (2)'!$A$1:$J$38</definedName>
    <definedName name="_xlnm.Print_Area" localSheetId="59">'Стен. панели'!$A$2:$Q$32</definedName>
    <definedName name="_xlnm.Print_Area" localSheetId="50">Стык.элементы!$A$2:$Q$39</definedName>
    <definedName name="_xlnm.Print_Area" localSheetId="13">Титул!$A$1:$Q$41</definedName>
    <definedName name="_xlnm.Print_Area" localSheetId="60">Фрамуги_накладки!$A$2:$I$23</definedName>
    <definedName name="погонаж_до1марта" localSheetId="35">#REF!</definedName>
    <definedName name="погонаж_до1марта" localSheetId="28">#REF!</definedName>
    <definedName name="погонаж_до1марта" localSheetId="27">#REF!</definedName>
    <definedName name="погонаж_до1марта" localSheetId="21">#REF!</definedName>
    <definedName name="погонаж_до1марта" localSheetId="24">#REF!</definedName>
    <definedName name="погонаж_до1марта" localSheetId="19">#REF!</definedName>
    <definedName name="погонаж_до1марта" localSheetId="41">#REF!</definedName>
    <definedName name="погонаж_до1марта" localSheetId="42">#REF!</definedName>
    <definedName name="погонаж_до1марта" localSheetId="39">#REF!</definedName>
    <definedName name="погонаж_до1марта" localSheetId="61">#REF!</definedName>
    <definedName name="погонаж_до1марта" localSheetId="8">#REF!</definedName>
    <definedName name="погонаж_до1марта" localSheetId="4">#REF!</definedName>
    <definedName name="погонаж_до1марта" localSheetId="6">#REF!</definedName>
    <definedName name="погонаж_до1марта" localSheetId="3">#REF!</definedName>
    <definedName name="погонаж_до1марта" localSheetId="64">#REF!</definedName>
    <definedName name="погонаж_до1марта" localSheetId="47">#REF!</definedName>
    <definedName name="погонаж_до1марта" localSheetId="15">#REF!</definedName>
    <definedName name="погонаж_до1марта" localSheetId="17">#REF!</definedName>
    <definedName name="погонаж_до1марта">#REF!</definedName>
    <definedName name="полотна" localSheetId="21">#REF!</definedName>
    <definedName name="полотна" localSheetId="41">#REF!</definedName>
    <definedName name="полотна" localSheetId="39">#REF!</definedName>
    <definedName name="полотна" localSheetId="64">#REF!</definedName>
    <definedName name="полотна" localSheetId="15">#REF!</definedName>
    <definedName name="полотна">#REF!</definedName>
    <definedName name="склад2" localSheetId="35">#REF!</definedName>
    <definedName name="склад2" localSheetId="28">#REF!</definedName>
    <definedName name="склад2" localSheetId="27">#REF!</definedName>
    <definedName name="склад2" localSheetId="21">#REF!</definedName>
    <definedName name="склад2" localSheetId="19">#REF!</definedName>
    <definedName name="склад2" localSheetId="41">#REF!</definedName>
    <definedName name="склад2" localSheetId="42">#REF!</definedName>
    <definedName name="склад2" localSheetId="39">#REF!</definedName>
    <definedName name="склад2" localSheetId="61">#REF!</definedName>
    <definedName name="склад2" localSheetId="8">#REF!</definedName>
    <definedName name="склад2" localSheetId="4">#REF!</definedName>
    <definedName name="склад2" localSheetId="6">#REF!</definedName>
    <definedName name="склад2" localSheetId="64">#REF!</definedName>
    <definedName name="склад2" localSheetId="47">#REF!</definedName>
    <definedName name="склад2" localSheetId="15">#REF!</definedName>
    <definedName name="склад2" localSheetId="17">#REF!</definedName>
    <definedName name="склад2">#REF!</definedName>
    <definedName name="СкладскаяПрограмма" localSheetId="35">#REF!</definedName>
    <definedName name="СкладскаяПрограмма" localSheetId="28">#REF!</definedName>
    <definedName name="СкладскаяПрограмма" localSheetId="27">#REF!</definedName>
    <definedName name="СкладскаяПрограмма" localSheetId="21">#REF!</definedName>
    <definedName name="СкладскаяПрограмма" localSheetId="19">#REF!</definedName>
    <definedName name="СкладскаяПрограмма" localSheetId="41">#REF!</definedName>
    <definedName name="СкладскаяПрограмма" localSheetId="42">#REF!</definedName>
    <definedName name="СкладскаяПрограмма" localSheetId="39">#REF!</definedName>
    <definedName name="СкладскаяПрограмма" localSheetId="61">#REF!</definedName>
    <definedName name="СкладскаяПрограмма" localSheetId="8">#REF!</definedName>
    <definedName name="СкладскаяПрограмма" localSheetId="4">#REF!</definedName>
    <definedName name="СкладскаяПрограмма" localSheetId="6">#REF!</definedName>
    <definedName name="СкладскаяПрограмма" localSheetId="64">#REF!</definedName>
    <definedName name="СкладскаяПрограмма" localSheetId="47">#REF!</definedName>
    <definedName name="СкладскаяПрограмма" localSheetId="15">#REF!</definedName>
    <definedName name="СкладскаяПрограмма" localSheetId="17">#REF!</definedName>
    <definedName name="СкладскаяПрограмма">#REF!</definedName>
    <definedName name="фурнитура22" localSheetId="35">#REF!</definedName>
    <definedName name="фурнитура22" localSheetId="28">#REF!</definedName>
    <definedName name="фурнитура22" localSheetId="27">#REF!</definedName>
    <definedName name="фурнитура22" localSheetId="21">#REF!</definedName>
    <definedName name="фурнитура22" localSheetId="24">#REF!</definedName>
    <definedName name="фурнитура22" localSheetId="19">#REF!</definedName>
    <definedName name="фурнитура22" localSheetId="41">#REF!</definedName>
    <definedName name="фурнитура22" localSheetId="42">#REF!</definedName>
    <definedName name="фурнитура22" localSheetId="39">#REF!</definedName>
    <definedName name="фурнитура22" localSheetId="61">#REF!</definedName>
    <definedName name="фурнитура22" localSheetId="8">#REF!</definedName>
    <definedName name="фурнитура22" localSheetId="4">#REF!</definedName>
    <definedName name="фурнитура22" localSheetId="6">#REF!</definedName>
    <definedName name="фурнитура22" localSheetId="3">#REF!</definedName>
    <definedName name="фурнитура22" localSheetId="64">#REF!</definedName>
    <definedName name="фурнитура22" localSheetId="47">#REF!</definedName>
    <definedName name="фурнитура22" localSheetId="15">#REF!</definedName>
    <definedName name="фурнитура22" localSheetId="17">#REF!</definedName>
    <definedName name="фурнитура22">#REF!</definedName>
    <definedName name="ыапва1" localSheetId="35">#REF!</definedName>
    <definedName name="ыапва1" localSheetId="28">#REF!</definedName>
    <definedName name="ыапва1" localSheetId="27">#REF!</definedName>
    <definedName name="ыапва1" localSheetId="21">#REF!</definedName>
    <definedName name="ыапва1" localSheetId="24">#REF!</definedName>
    <definedName name="ыапва1" localSheetId="19">#REF!</definedName>
    <definedName name="ыапва1" localSheetId="41">#REF!</definedName>
    <definedName name="ыапва1" localSheetId="42">#REF!</definedName>
    <definedName name="ыапва1" localSheetId="39">#REF!</definedName>
    <definedName name="ыапва1" localSheetId="61">#REF!</definedName>
    <definedName name="ыапва1" localSheetId="8">#REF!</definedName>
    <definedName name="ыапва1" localSheetId="4">#REF!</definedName>
    <definedName name="ыапва1" localSheetId="6">#REF!</definedName>
    <definedName name="ыапва1" localSheetId="3">#REF!</definedName>
    <definedName name="ыапва1" localSheetId="64">#REF!</definedName>
    <definedName name="ыапва1" localSheetId="47">#REF!</definedName>
    <definedName name="ыапва1" localSheetId="15">#REF!</definedName>
    <definedName name="ыапва1" localSheetId="17">#REF!</definedName>
    <definedName name="ыапва1">#REF!</definedName>
    <definedName name="ыва2" localSheetId="35">#REF!</definedName>
    <definedName name="ыва2" localSheetId="28">#REF!</definedName>
    <definedName name="ыва2" localSheetId="27">#REF!</definedName>
    <definedName name="ыва2" localSheetId="21">#REF!</definedName>
    <definedName name="ыва2" localSheetId="24">#REF!</definedName>
    <definedName name="ыва2" localSheetId="19">#REF!</definedName>
    <definedName name="ыва2" localSheetId="41">#REF!</definedName>
    <definedName name="ыва2" localSheetId="42">#REF!</definedName>
    <definedName name="ыва2" localSheetId="39">#REF!</definedName>
    <definedName name="ыва2" localSheetId="61">#REF!</definedName>
    <definedName name="ыва2" localSheetId="8">#REF!</definedName>
    <definedName name="ыва2" localSheetId="4">#REF!</definedName>
    <definedName name="ыва2" localSheetId="6">#REF!</definedName>
    <definedName name="ыва2" localSheetId="3">#REF!</definedName>
    <definedName name="ыва2" localSheetId="64">#REF!</definedName>
    <definedName name="ыва2" localSheetId="47">#REF!</definedName>
    <definedName name="ыва2" localSheetId="15">#REF!</definedName>
    <definedName name="ыва2" localSheetId="17">#REF!</definedName>
    <definedName name="ыва2">#REF!</definedName>
    <definedName name="Эклектика" localSheetId="28">#REF!</definedName>
    <definedName name="Эклектика" localSheetId="21">#REF!</definedName>
    <definedName name="Эклектика" localSheetId="41">#REF!</definedName>
    <definedName name="Эклектика" localSheetId="39">#REF!</definedName>
    <definedName name="Эклектика" localSheetId="64">#REF!</definedName>
    <definedName name="Эклектика" localSheetId="15">#REF!</definedName>
    <definedName name="Эклектика">#REF!</definedName>
  </definedNames>
  <calcPr calcId="125725"/>
</workbook>
</file>

<file path=xl/calcChain.xml><?xml version="1.0" encoding="utf-8"?>
<calcChain xmlns="http://schemas.openxmlformats.org/spreadsheetml/2006/main">
  <c r="H11" i="304"/>
  <c r="H12" s="1"/>
  <c r="H9"/>
  <c r="F31" i="297"/>
  <c r="H7" i="363"/>
  <c r="AY54" i="294"/>
  <c r="J22" i="121" l="1"/>
  <c r="A22" i="295"/>
  <c r="O13" i="197"/>
  <c r="BG36" i="295"/>
  <c r="H54" i="294"/>
  <c r="BH33" i="295" l="1"/>
  <c r="BH35" l="1"/>
  <c r="BH36"/>
  <c r="O29"/>
  <c r="D52" i="297"/>
  <c r="D53" s="1"/>
  <c r="E14"/>
  <c r="F20" s="1"/>
  <c r="G20" s="1"/>
  <c r="C8" i="271"/>
  <c r="E43" i="295"/>
  <c r="F43"/>
  <c r="G43"/>
  <c r="H43"/>
  <c r="I43"/>
  <c r="K43"/>
  <c r="L43"/>
  <c r="M43"/>
  <c r="N43"/>
  <c r="O43"/>
  <c r="P43"/>
  <c r="Q43"/>
  <c r="R43"/>
  <c r="S43"/>
  <c r="T43"/>
  <c r="V43"/>
  <c r="W43"/>
  <c r="X43"/>
  <c r="Y43"/>
  <c r="Z43"/>
  <c r="AA43"/>
  <c r="AB43"/>
  <c r="AC43"/>
  <c r="AF43"/>
  <c r="AG43"/>
  <c r="AH43"/>
  <c r="AI43"/>
  <c r="AJ43"/>
  <c r="AK43"/>
  <c r="AL43"/>
  <c r="AM43"/>
  <c r="AN43"/>
  <c r="AO43"/>
  <c r="AP43"/>
  <c r="AQ43"/>
  <c r="AR43"/>
  <c r="AS43"/>
  <c r="AT43"/>
  <c r="AU43"/>
  <c r="AW43"/>
  <c r="AX43"/>
  <c r="AY43"/>
  <c r="AZ43"/>
  <c r="BA43"/>
  <c r="BB43"/>
  <c r="BC43"/>
  <c r="BD43"/>
  <c r="BE43"/>
  <c r="BF43"/>
  <c r="BG43"/>
  <c r="BH43"/>
  <c r="BJ43"/>
  <c r="BK43"/>
  <c r="BL43"/>
  <c r="BM43"/>
  <c r="BN43"/>
  <c r="BO43"/>
  <c r="BP43"/>
  <c r="BQ43"/>
  <c r="BR43"/>
  <c r="BS43"/>
  <c r="BT43"/>
  <c r="BU43"/>
  <c r="BW43"/>
  <c r="BX43"/>
  <c r="BY43"/>
  <c r="BZ43"/>
  <c r="CA43"/>
  <c r="CB43"/>
  <c r="CC43"/>
  <c r="CE43"/>
  <c r="CF43"/>
  <c r="CG43"/>
  <c r="CH43"/>
  <c r="CI43"/>
  <c r="CJ43"/>
  <c r="CK43"/>
  <c r="CL43"/>
  <c r="CM43"/>
  <c r="CN43"/>
  <c r="CP43"/>
  <c r="CQ43"/>
  <c r="CR43"/>
  <c r="CS43"/>
  <c r="CT43"/>
  <c r="CU43"/>
  <c r="CV43"/>
  <c r="CX43"/>
  <c r="CY43"/>
  <c r="D43"/>
  <c r="CY65" l="1"/>
  <c r="CX65"/>
  <c r="CV65"/>
  <c r="CU65"/>
  <c r="CT65"/>
  <c r="CS65"/>
  <c r="CR65"/>
  <c r="CQ65"/>
  <c r="CP65"/>
  <c r="CN65"/>
  <c r="CM65"/>
  <c r="CL65"/>
  <c r="CK65"/>
  <c r="CJ65"/>
  <c r="CI65"/>
  <c r="CH65"/>
  <c r="CG65"/>
  <c r="CF65"/>
  <c r="CE65"/>
  <c r="CC65"/>
  <c r="CB65"/>
  <c r="CA65"/>
  <c r="BZ65"/>
  <c r="BY65"/>
  <c r="BX65"/>
  <c r="BW65"/>
  <c r="BU65"/>
  <c r="BT65"/>
  <c r="BS65"/>
  <c r="BR65"/>
  <c r="BQ65"/>
  <c r="BP65"/>
  <c r="BO65"/>
  <c r="BN65"/>
  <c r="BM65"/>
  <c r="BL65"/>
  <c r="BK65"/>
  <c r="BJ65"/>
  <c r="BH65"/>
  <c r="BG65"/>
  <c r="BF65"/>
  <c r="BE65"/>
  <c r="BD65"/>
  <c r="BC65"/>
  <c r="BB65"/>
  <c r="BA65"/>
  <c r="AZ65"/>
  <c r="AY65"/>
  <c r="AX65"/>
  <c r="AW65"/>
  <c r="AU65"/>
  <c r="AT65"/>
  <c r="AS65"/>
  <c r="AR65"/>
  <c r="AQ65"/>
  <c r="AP65"/>
  <c r="AO65"/>
  <c r="AN65"/>
  <c r="AM65"/>
  <c r="AL65"/>
  <c r="AK65"/>
  <c r="AJ65"/>
  <c r="AI65"/>
  <c r="AH65"/>
  <c r="AG65"/>
  <c r="AF65"/>
  <c r="AC65"/>
  <c r="AB65"/>
  <c r="AA65"/>
  <c r="Z65"/>
  <c r="Y65"/>
  <c r="W65"/>
  <c r="V65"/>
  <c r="T65"/>
  <c r="S65"/>
  <c r="R65"/>
  <c r="Q65"/>
  <c r="P65"/>
  <c r="O65"/>
  <c r="N65"/>
  <c r="M65"/>
  <c r="L65"/>
  <c r="K65"/>
  <c r="I65"/>
  <c r="H65"/>
  <c r="G65"/>
  <c r="F65"/>
  <c r="E65"/>
  <c r="D65"/>
  <c r="DX51"/>
  <c r="H94" i="294"/>
  <c r="M54" l="1"/>
  <c r="M94" s="1"/>
  <c r="L54" l="1"/>
  <c r="N54" l="1"/>
  <c r="N94" s="1"/>
  <c r="L94"/>
  <c r="Q7" i="356" l="1"/>
  <c r="Q6"/>
  <c r="Q5"/>
  <c r="I48"/>
  <c r="I49" s="1"/>
  <c r="H48"/>
  <c r="H49"/>
  <c r="G48"/>
  <c r="G49" s="1"/>
  <c r="C48"/>
  <c r="C49" s="1"/>
  <c r="AC55" i="294" l="1"/>
  <c r="AC95" s="1"/>
  <c r="AD55" l="1"/>
  <c r="AD95" s="1"/>
  <c r="BA54" l="1"/>
  <c r="AZ54"/>
  <c r="AZ94" s="1"/>
  <c r="AO54"/>
  <c r="AO94" s="1"/>
  <c r="AS54"/>
  <c r="AQ54"/>
  <c r="AQ94" s="1"/>
  <c r="AR54"/>
  <c r="AR94" s="1"/>
  <c r="AP54"/>
  <c r="AP94" s="1"/>
  <c r="AN54"/>
  <c r="AN94" s="1"/>
  <c r="AF55"/>
  <c r="AF95" s="1"/>
  <c r="AE54"/>
  <c r="AE94" s="1"/>
  <c r="AB54"/>
  <c r="AB94" s="1"/>
  <c r="AA54"/>
  <c r="AA94" s="1"/>
  <c r="Z55"/>
  <c r="Y55"/>
  <c r="Y95" s="1"/>
  <c r="X55"/>
  <c r="W54"/>
  <c r="W94" s="1"/>
  <c r="V54"/>
  <c r="V94" s="1"/>
  <c r="T54"/>
  <c r="R54"/>
  <c r="R94" s="1"/>
  <c r="Q54"/>
  <c r="Q94" s="1"/>
  <c r="P54"/>
  <c r="P94" s="1"/>
  <c r="O54"/>
  <c r="K54"/>
  <c r="K94" s="1"/>
  <c r="J54"/>
  <c r="J94" s="1"/>
  <c r="I54"/>
  <c r="I94" s="1"/>
  <c r="G54"/>
  <c r="DP33" i="295"/>
  <c r="CN33"/>
  <c r="BZ33"/>
  <c r="BX33"/>
  <c r="BD33"/>
  <c r="AI33"/>
  <c r="AH33"/>
  <c r="AH36" s="1"/>
  <c r="AG33"/>
  <c r="AF33"/>
  <c r="AL33" s="1"/>
  <c r="AE33"/>
  <c r="AD33"/>
  <c r="AC33"/>
  <c r="AK33" s="1"/>
  <c r="X33"/>
  <c r="X36" s="1"/>
  <c r="W33"/>
  <c r="W36" s="1"/>
  <c r="V33"/>
  <c r="Q33"/>
  <c r="L33"/>
  <c r="L36" s="1"/>
  <c r="H33"/>
  <c r="G33"/>
  <c r="E33"/>
  <c r="BA94" i="294" l="1"/>
  <c r="X95"/>
  <c r="AI36" i="295"/>
  <c r="AI35"/>
  <c r="G35"/>
  <c r="G36"/>
  <c r="H37"/>
  <c r="H35"/>
  <c r="H36"/>
  <c r="S33"/>
  <c r="AM33" s="1"/>
  <c r="V36"/>
  <c r="I33"/>
  <c r="E36"/>
  <c r="E35"/>
  <c r="Q35"/>
  <c r="Q36"/>
  <c r="AG36"/>
  <c r="AG35"/>
  <c r="BX36"/>
  <c r="BX35"/>
  <c r="BD35"/>
  <c r="BD36"/>
  <c r="G94" i="294"/>
  <c r="H55"/>
  <c r="G55"/>
  <c r="I55" s="1"/>
  <c r="G57"/>
  <c r="G51"/>
  <c r="H56"/>
  <c r="H57"/>
  <c r="G56"/>
  <c r="O94"/>
  <c r="BD34" i="295"/>
  <c r="BD32"/>
  <c r="BD31" s="1"/>
  <c r="U33"/>
  <c r="AS33"/>
  <c r="AS36" s="1"/>
  <c r="BE33"/>
  <c r="BE36" s="1"/>
  <c r="AB33"/>
  <c r="AJ33"/>
  <c r="AJ36" s="1"/>
  <c r="K33"/>
  <c r="K36" s="1"/>
  <c r="W35"/>
  <c r="AA33"/>
  <c r="AT54" i="294"/>
  <c r="AT94" s="1"/>
  <c r="AS94"/>
  <c r="AW54"/>
  <c r="AW94" s="1"/>
  <c r="AY94"/>
  <c r="AA55"/>
  <c r="AB55" s="1"/>
  <c r="AB95" s="1"/>
  <c r="Z95"/>
  <c r="S54"/>
  <c r="U54"/>
  <c r="U94" s="1"/>
  <c r="T94"/>
  <c r="H52"/>
  <c r="H92" s="1"/>
  <c r="H58"/>
  <c r="AX54"/>
  <c r="AX94" s="1"/>
  <c r="W31" i="295"/>
  <c r="W37"/>
  <c r="W32"/>
  <c r="W34"/>
  <c r="J33"/>
  <c r="BB54" i="294"/>
  <c r="BB94" s="1"/>
  <c r="H95"/>
  <c r="G95" l="1"/>
  <c r="U36" i="295"/>
  <c r="U35"/>
  <c r="S36"/>
  <c r="AM36" s="1"/>
  <c r="BB56" i="294"/>
  <c r="K56"/>
  <c r="I56"/>
  <c r="AZ56"/>
  <c r="AU56"/>
  <c r="AV56" s="1"/>
  <c r="J56"/>
  <c r="AZ57"/>
  <c r="AU57"/>
  <c r="J57"/>
  <c r="BB57"/>
  <c r="K57"/>
  <c r="I57"/>
  <c r="AA95"/>
  <c r="T33" i="295"/>
  <c r="Y33"/>
  <c r="Z33"/>
  <c r="BQ33"/>
  <c r="BQ36" s="1"/>
  <c r="S119" i="294"/>
  <c r="S94"/>
  <c r="AX56"/>
  <c r="AX96" s="1"/>
  <c r="I95"/>
  <c r="J55"/>
  <c r="J95" s="1"/>
  <c r="AZ55"/>
  <c r="AZ95" s="1"/>
  <c r="K55"/>
  <c r="K95" s="1"/>
  <c r="T34" i="295" l="1"/>
  <c r="T36"/>
  <c r="T35"/>
  <c r="AV57" i="294"/>
  <c r="BF33" i="295"/>
  <c r="AC94"/>
  <c r="T92"/>
  <c r="Y96"/>
  <c r="CA33"/>
  <c r="CB33"/>
  <c r="CC33"/>
  <c r="CJ33"/>
  <c r="DX91"/>
  <c r="K96"/>
  <c r="Q96"/>
  <c r="L35"/>
  <c r="L98" s="1"/>
  <c r="H96"/>
  <c r="G31"/>
  <c r="G94" s="1"/>
  <c r="E32"/>
  <c r="E95" s="1"/>
  <c r="DX74"/>
  <c r="BB119" i="294"/>
  <c r="BB55"/>
  <c r="BB95" s="1"/>
  <c r="BA119"/>
  <c r="AZ119"/>
  <c r="AY119"/>
  <c r="AX119"/>
  <c r="AR119"/>
  <c r="AS119"/>
  <c r="AB119"/>
  <c r="AA119"/>
  <c r="Z120"/>
  <c r="X54"/>
  <c r="V119"/>
  <c r="R119"/>
  <c r="Q119"/>
  <c r="L119"/>
  <c r="I119"/>
  <c r="H96"/>
  <c r="H53"/>
  <c r="J119"/>
  <c r="K119"/>
  <c r="M119"/>
  <c r="P119"/>
  <c r="T119"/>
  <c r="W119"/>
  <c r="AE119"/>
  <c r="AN119"/>
  <c r="AO119"/>
  <c r="AP119"/>
  <c r="G119"/>
  <c r="Q131"/>
  <c r="H131"/>
  <c r="BF36" i="295" l="1"/>
  <c r="BF35"/>
  <c r="BF37"/>
  <c r="CB34"/>
  <c r="AV33"/>
  <c r="H118" i="294"/>
  <c r="H93"/>
  <c r="Z54"/>
  <c r="Z94" s="1"/>
  <c r="X94"/>
  <c r="H60"/>
  <c r="AF120"/>
  <c r="AF56"/>
  <c r="AG55"/>
  <c r="AF58"/>
  <c r="AF122" s="1"/>
  <c r="X119"/>
  <c r="Y120"/>
  <c r="AC120"/>
  <c r="AD120"/>
  <c r="X56"/>
  <c r="X58"/>
  <c r="T96" i="295"/>
  <c r="T97"/>
  <c r="CA37"/>
  <c r="CA34"/>
  <c r="V34"/>
  <c r="V96"/>
  <c r="S96"/>
  <c r="CI33"/>
  <c r="G96"/>
  <c r="L96"/>
  <c r="AG96"/>
  <c r="G37"/>
  <c r="G99" s="1"/>
  <c r="G98"/>
  <c r="G32"/>
  <c r="G95" s="1"/>
  <c r="E96"/>
  <c r="I96"/>
  <c r="E34"/>
  <c r="E97" s="1"/>
  <c r="J96"/>
  <c r="AQ119" i="294"/>
  <c r="X120"/>
  <c r="H120"/>
  <c r="G131"/>
  <c r="X96" l="1"/>
  <c r="V97" i="295"/>
  <c r="S34"/>
  <c r="AF121" i="294"/>
  <c r="AF96"/>
  <c r="AG120"/>
  <c r="AG95"/>
  <c r="AC58"/>
  <c r="AD58"/>
  <c r="AC56"/>
  <c r="AC96" s="1"/>
  <c r="AD56"/>
  <c r="AD96" s="1"/>
  <c r="AI55"/>
  <c r="AI95" s="1"/>
  <c r="AG58"/>
  <c r="AG122" s="1"/>
  <c r="AH55"/>
  <c r="AH95" s="1"/>
  <c r="AG56"/>
  <c r="Y58"/>
  <c r="Z58"/>
  <c r="AA58" s="1"/>
  <c r="AB58" s="1"/>
  <c r="Z56"/>
  <c r="Y56"/>
  <c r="Y96" s="1"/>
  <c r="O119"/>
  <c r="N119"/>
  <c r="AB96" i="295"/>
  <c r="AC96"/>
  <c r="AJ35"/>
  <c r="AJ37"/>
  <c r="AJ99" s="1"/>
  <c r="AJ96"/>
  <c r="G120" i="294"/>
  <c r="H119"/>
  <c r="AZ120"/>
  <c r="AG121" l="1"/>
  <c r="AG96"/>
  <c r="AA56"/>
  <c r="AB56" s="1"/>
  <c r="AB96" s="1"/>
  <c r="Z96"/>
  <c r="AJ55"/>
  <c r="AJ95" s="1"/>
  <c r="AI56"/>
  <c r="AI96" s="1"/>
  <c r="AI58"/>
  <c r="AH56"/>
  <c r="AH96" s="1"/>
  <c r="AH58"/>
  <c r="AH120"/>
  <c r="I120"/>
  <c r="AA96" l="1"/>
  <c r="AK55"/>
  <c r="AK95" s="1"/>
  <c r="AJ58"/>
  <c r="AL55"/>
  <c r="AL95" s="1"/>
  <c r="AJ56"/>
  <c r="AJ96" s="1"/>
  <c r="I13" i="355" l="1"/>
  <c r="X391" i="295" l="1"/>
  <c r="X18" i="361" l="1"/>
  <c r="S18"/>
  <c r="X16"/>
  <c r="S16"/>
  <c r="H12"/>
  <c r="L12" s="1"/>
  <c r="U12" s="1"/>
  <c r="U25" s="1"/>
  <c r="H11"/>
  <c r="L11" s="1"/>
  <c r="U11" s="1"/>
  <c r="U24" s="1"/>
  <c r="J8"/>
  <c r="N8" s="1"/>
  <c r="W8" s="1"/>
  <c r="W21" s="1"/>
  <c r="I8"/>
  <c r="M8" s="1"/>
  <c r="H8"/>
  <c r="L8" s="1"/>
  <c r="U8" s="1"/>
  <c r="U21" s="1"/>
  <c r="H6"/>
  <c r="L6" s="1"/>
  <c r="U6" s="1"/>
  <c r="U19" s="1"/>
  <c r="J5"/>
  <c r="N5" s="1"/>
  <c r="W5" s="1"/>
  <c r="W18" s="1"/>
  <c r="I5"/>
  <c r="M5" s="1"/>
  <c r="H5"/>
  <c r="L5" s="1"/>
  <c r="U5" s="1"/>
  <c r="U18" s="1"/>
  <c r="H4"/>
  <c r="L4" s="1"/>
  <c r="U4" s="1"/>
  <c r="U17" s="1"/>
  <c r="J3"/>
  <c r="N3" s="1"/>
  <c r="W3" s="1"/>
  <c r="W16" s="1"/>
  <c r="I3"/>
  <c r="M3" s="1"/>
  <c r="H3"/>
  <c r="L3" s="1"/>
  <c r="U3" s="1"/>
  <c r="U16" s="1"/>
  <c r="Q3" l="1"/>
  <c r="Q16" s="1"/>
  <c r="V3"/>
  <c r="V16" s="1"/>
  <c r="Q8"/>
  <c r="Q21" s="1"/>
  <c r="V8"/>
  <c r="V21" s="1"/>
  <c r="Q5"/>
  <c r="Q18" s="1"/>
  <c r="V5"/>
  <c r="V18" s="1"/>
  <c r="P3"/>
  <c r="P16" s="1"/>
  <c r="R3"/>
  <c r="R16" s="1"/>
  <c r="P4"/>
  <c r="P17" s="1"/>
  <c r="P5"/>
  <c r="P18" s="1"/>
  <c r="R5"/>
  <c r="R18" s="1"/>
  <c r="P6"/>
  <c r="P19" s="1"/>
  <c r="P8"/>
  <c r="P21" s="1"/>
  <c r="R8"/>
  <c r="R21" s="1"/>
  <c r="P11"/>
  <c r="P24" s="1"/>
  <c r="P12"/>
  <c r="P25" s="1"/>
  <c r="B24" i="318"/>
  <c r="E24"/>
  <c r="E25" s="1"/>
  <c r="E391" i="295"/>
  <c r="F391"/>
  <c r="H391"/>
  <c r="K391"/>
  <c r="N391"/>
  <c r="BN391"/>
  <c r="CL391"/>
  <c r="CX391"/>
  <c r="A104"/>
  <c r="A103"/>
  <c r="Y15"/>
  <c r="Z15"/>
  <c r="AA15"/>
  <c r="AC15"/>
  <c r="AD15"/>
  <c r="AE15"/>
  <c r="AF15"/>
  <c r="AK15"/>
  <c r="AL15"/>
  <c r="AO15"/>
  <c r="AP15"/>
  <c r="AQ15"/>
  <c r="AW15"/>
  <c r="BN15"/>
  <c r="BO15"/>
  <c r="BP15"/>
  <c r="CN15"/>
  <c r="DD15"/>
  <c r="DS15"/>
  <c r="DW15"/>
  <c r="F15"/>
  <c r="I15"/>
  <c r="I131" i="294"/>
  <c r="J131"/>
  <c r="K131"/>
  <c r="L131"/>
  <c r="M131"/>
  <c r="N131"/>
  <c r="O131"/>
  <c r="P131"/>
  <c r="R131"/>
  <c r="S131"/>
  <c r="T131"/>
  <c r="U131"/>
  <c r="V131"/>
  <c r="W131"/>
  <c r="X131"/>
  <c r="Y131"/>
  <c r="Z131"/>
  <c r="AA131"/>
  <c r="AB131"/>
  <c r="AC131"/>
  <c r="AD131"/>
  <c r="AE131"/>
  <c r="AF131"/>
  <c r="AG131"/>
  <c r="AH131"/>
  <c r="AI131"/>
  <c r="AJ131"/>
  <c r="AK131"/>
  <c r="AL131"/>
  <c r="AM131"/>
  <c r="AN131"/>
  <c r="AO131"/>
  <c r="AP131"/>
  <c r="AQ131"/>
  <c r="AR131"/>
  <c r="AS131"/>
  <c r="AT131"/>
  <c r="AU131"/>
  <c r="AV131"/>
  <c r="AW131"/>
  <c r="AX131"/>
  <c r="AY131"/>
  <c r="AZ131"/>
  <c r="BA131"/>
  <c r="BB131"/>
  <c r="G91"/>
  <c r="E130"/>
  <c r="R130" s="1"/>
  <c r="E129"/>
  <c r="E134"/>
  <c r="G134" s="1"/>
  <c r="E133"/>
  <c r="E132"/>
  <c r="AO132" l="1"/>
  <c r="H132"/>
  <c r="Q132"/>
  <c r="G132"/>
  <c r="G156" s="1"/>
  <c r="AO133"/>
  <c r="G133"/>
  <c r="R129"/>
  <c r="R153" s="1"/>
  <c r="G129"/>
  <c r="G153" s="1"/>
  <c r="BD391" i="295"/>
  <c r="AR391"/>
  <c r="AJ391"/>
  <c r="W391"/>
  <c r="BP391"/>
  <c r="BG391"/>
  <c r="BC391"/>
  <c r="AY391"/>
  <c r="AQ391"/>
  <c r="AM391"/>
  <c r="AI391"/>
  <c r="AA391"/>
  <c r="V391"/>
  <c r="R391"/>
  <c r="AZ391"/>
  <c r="AN391"/>
  <c r="AB391"/>
  <c r="O391"/>
  <c r="BO391"/>
  <c r="BF391"/>
  <c r="BB391"/>
  <c r="AX391"/>
  <c r="AT391"/>
  <c r="AP391"/>
  <c r="AL391"/>
  <c r="AH391"/>
  <c r="Z391"/>
  <c r="Q391"/>
  <c r="M391"/>
  <c r="I391"/>
  <c r="BH391"/>
  <c r="AV391"/>
  <c r="AF391"/>
  <c r="S391"/>
  <c r="BE391"/>
  <c r="BA391"/>
  <c r="AW391"/>
  <c r="AS391"/>
  <c r="AO391"/>
  <c r="AK391"/>
  <c r="AG391"/>
  <c r="AC391"/>
  <c r="Y391"/>
  <c r="T391"/>
  <c r="P391"/>
  <c r="L391"/>
  <c r="CI391"/>
  <c r="BZ391"/>
  <c r="BQ391"/>
  <c r="CC391"/>
  <c r="CY391"/>
  <c r="CT391"/>
  <c r="CK391"/>
  <c r="CB391"/>
  <c r="BX391"/>
  <c r="CV391"/>
  <c r="CM391"/>
  <c r="CU391"/>
  <c r="CN391"/>
  <c r="CJ391"/>
  <c r="CA391"/>
  <c r="H134" i="294"/>
  <c r="AO134"/>
  <c r="AO158" s="1"/>
  <c r="Y121"/>
  <c r="Y122"/>
  <c r="BB134"/>
  <c r="BB158" s="1"/>
  <c r="I133"/>
  <c r="I157" s="1"/>
  <c r="K133"/>
  <c r="K157" s="1"/>
  <c r="M133"/>
  <c r="M157" s="1"/>
  <c r="O133"/>
  <c r="O157" s="1"/>
  <c r="Q133"/>
  <c r="Q157" s="1"/>
  <c r="S133"/>
  <c r="S157" s="1"/>
  <c r="U133"/>
  <c r="W133"/>
  <c r="Y133"/>
  <c r="AA133"/>
  <c r="AC133"/>
  <c r="AE133"/>
  <c r="AG133"/>
  <c r="AI133"/>
  <c r="I132"/>
  <c r="I156" s="1"/>
  <c r="K132"/>
  <c r="M132"/>
  <c r="O132"/>
  <c r="O156" s="1"/>
  <c r="S132"/>
  <c r="S156" s="1"/>
  <c r="U132"/>
  <c r="W132"/>
  <c r="Y132"/>
  <c r="AA132"/>
  <c r="AC132"/>
  <c r="AE132"/>
  <c r="AG132"/>
  <c r="AI132"/>
  <c r="AK132"/>
  <c r="AM132"/>
  <c r="AQ132"/>
  <c r="AQ156" s="1"/>
  <c r="AS132"/>
  <c r="AS156" s="1"/>
  <c r="AU132"/>
  <c r="AU156" s="1"/>
  <c r="H156"/>
  <c r="J132"/>
  <c r="J156" s="1"/>
  <c r="L132"/>
  <c r="N132"/>
  <c r="P132"/>
  <c r="P156" s="1"/>
  <c r="R132"/>
  <c r="R156" s="1"/>
  <c r="T132"/>
  <c r="T156" s="1"/>
  <c r="V132"/>
  <c r="X132"/>
  <c r="Z132"/>
  <c r="AB132"/>
  <c r="AD132"/>
  <c r="AF132"/>
  <c r="AH132"/>
  <c r="AJ132"/>
  <c r="AL132"/>
  <c r="AN132"/>
  <c r="AN156" s="1"/>
  <c r="AP132"/>
  <c r="AR132"/>
  <c r="AT132"/>
  <c r="AT156" s="1"/>
  <c r="AV132"/>
  <c r="AX132"/>
  <c r="AX156" s="1"/>
  <c r="AZ132"/>
  <c r="AZ156" s="1"/>
  <c r="BB132"/>
  <c r="BB156" s="1"/>
  <c r="I130"/>
  <c r="K130"/>
  <c r="M130"/>
  <c r="O130"/>
  <c r="O154" s="1"/>
  <c r="Q130"/>
  <c r="Q154" s="1"/>
  <c r="S130"/>
  <c r="S154" s="1"/>
  <c r="U130"/>
  <c r="W130"/>
  <c r="Y130"/>
  <c r="AA130"/>
  <c r="AC130"/>
  <c r="AE130"/>
  <c r="AG130"/>
  <c r="AI130"/>
  <c r="AK130"/>
  <c r="AM130"/>
  <c r="AO130"/>
  <c r="AQ130"/>
  <c r="AS130"/>
  <c r="AU130"/>
  <c r="AW130"/>
  <c r="AY130"/>
  <c r="BA130"/>
  <c r="H130"/>
  <c r="J130"/>
  <c r="L130"/>
  <c r="N130"/>
  <c r="P130"/>
  <c r="P154" s="1"/>
  <c r="R154"/>
  <c r="T130"/>
  <c r="T154" s="1"/>
  <c r="V130"/>
  <c r="X130"/>
  <c r="Z130"/>
  <c r="AB130"/>
  <c r="AD130"/>
  <c r="AF130"/>
  <c r="AH130"/>
  <c r="AJ130"/>
  <c r="AL130"/>
  <c r="AN130"/>
  <c r="AP130"/>
  <c r="AR130"/>
  <c r="AT130"/>
  <c r="AV130"/>
  <c r="AX130"/>
  <c r="AZ130"/>
  <c r="BB130"/>
  <c r="G130"/>
  <c r="G154" s="1"/>
  <c r="G158"/>
  <c r="BA134"/>
  <c r="BA158" s="1"/>
  <c r="AY134"/>
  <c r="AY158" s="1"/>
  <c r="AW134"/>
  <c r="AW158" s="1"/>
  <c r="AU134"/>
  <c r="AU158" s="1"/>
  <c r="AS134"/>
  <c r="AS158" s="1"/>
  <c r="AQ134"/>
  <c r="AQ158" s="1"/>
  <c r="AM134"/>
  <c r="AK134"/>
  <c r="AI134"/>
  <c r="AG134"/>
  <c r="AE134"/>
  <c r="AC134"/>
  <c r="AA134"/>
  <c r="Y134"/>
  <c r="W134"/>
  <c r="W158" s="1"/>
  <c r="U134"/>
  <c r="U158" s="1"/>
  <c r="S134"/>
  <c r="S158" s="1"/>
  <c r="Q134"/>
  <c r="Q158" s="1"/>
  <c r="O134"/>
  <c r="O158" s="1"/>
  <c r="M134"/>
  <c r="M158" s="1"/>
  <c r="K134"/>
  <c r="K158" s="1"/>
  <c r="I134"/>
  <c r="I158" s="1"/>
  <c r="BB133"/>
  <c r="BB157" s="1"/>
  <c r="AZ133"/>
  <c r="AZ157" s="1"/>
  <c r="AX133"/>
  <c r="AX157" s="1"/>
  <c r="AV133"/>
  <c r="AV157" s="1"/>
  <c r="AT133"/>
  <c r="AT157" s="1"/>
  <c r="AR133"/>
  <c r="AR157" s="1"/>
  <c r="AP133"/>
  <c r="AP157" s="1"/>
  <c r="AN133"/>
  <c r="AN157" s="1"/>
  <c r="AL133"/>
  <c r="AJ133"/>
  <c r="AF133"/>
  <c r="AB133"/>
  <c r="X133"/>
  <c r="T133"/>
  <c r="T157" s="1"/>
  <c r="P133"/>
  <c r="P157" s="1"/>
  <c r="L133"/>
  <c r="L157" s="1"/>
  <c r="H133"/>
  <c r="H157" s="1"/>
  <c r="AY132"/>
  <c r="AY156" s="1"/>
  <c r="H129"/>
  <c r="J129"/>
  <c r="L129"/>
  <c r="N129"/>
  <c r="P129"/>
  <c r="P153" s="1"/>
  <c r="T129"/>
  <c r="T153" s="1"/>
  <c r="V129"/>
  <c r="X129"/>
  <c r="Z129"/>
  <c r="AB129"/>
  <c r="AD129"/>
  <c r="AF129"/>
  <c r="AH129"/>
  <c r="AJ129"/>
  <c r="AL129"/>
  <c r="AN129"/>
  <c r="AP129"/>
  <c r="AR129"/>
  <c r="AT129"/>
  <c r="AV129"/>
  <c r="AX129"/>
  <c r="AZ129"/>
  <c r="BB129"/>
  <c r="I129"/>
  <c r="K129"/>
  <c r="M129"/>
  <c r="O129"/>
  <c r="O153" s="1"/>
  <c r="Q129"/>
  <c r="Q153" s="1"/>
  <c r="S129"/>
  <c r="S153" s="1"/>
  <c r="U129"/>
  <c r="W129"/>
  <c r="Y129"/>
  <c r="AA129"/>
  <c r="AC129"/>
  <c r="AE129"/>
  <c r="AG129"/>
  <c r="AI129"/>
  <c r="AK129"/>
  <c r="AM129"/>
  <c r="AO129"/>
  <c r="AQ129"/>
  <c r="AS129"/>
  <c r="AU129"/>
  <c r="AW129"/>
  <c r="AY129"/>
  <c r="BA129"/>
  <c r="G157"/>
  <c r="AZ134"/>
  <c r="AZ158" s="1"/>
  <c r="AX134"/>
  <c r="AX158" s="1"/>
  <c r="AV134"/>
  <c r="AV158" s="1"/>
  <c r="AT134"/>
  <c r="AT158" s="1"/>
  <c r="AR134"/>
  <c r="AR158" s="1"/>
  <c r="AP134"/>
  <c r="AP158" s="1"/>
  <c r="AN134"/>
  <c r="AN158" s="1"/>
  <c r="AL134"/>
  <c r="AJ134"/>
  <c r="AH134"/>
  <c r="AF134"/>
  <c r="AD134"/>
  <c r="AB134"/>
  <c r="Z134"/>
  <c r="X134"/>
  <c r="X158" s="1"/>
  <c r="V134"/>
  <c r="T134"/>
  <c r="T158" s="1"/>
  <c r="R134"/>
  <c r="R158" s="1"/>
  <c r="P134"/>
  <c r="P158" s="1"/>
  <c r="N134"/>
  <c r="L134"/>
  <c r="L158" s="1"/>
  <c r="J134"/>
  <c r="J158" s="1"/>
  <c r="BA133"/>
  <c r="BA157" s="1"/>
  <c r="AY133"/>
  <c r="AY157" s="1"/>
  <c r="AW133"/>
  <c r="AW157" s="1"/>
  <c r="AU133"/>
  <c r="AU157" s="1"/>
  <c r="AS133"/>
  <c r="AS157" s="1"/>
  <c r="AQ133"/>
  <c r="AQ157" s="1"/>
  <c r="AO157"/>
  <c r="AM133"/>
  <c r="AK133"/>
  <c r="AH133"/>
  <c r="AD133"/>
  <c r="Z133"/>
  <c r="V133"/>
  <c r="R133"/>
  <c r="R157" s="1"/>
  <c r="N133"/>
  <c r="N157" s="1"/>
  <c r="J133"/>
  <c r="J157" s="1"/>
  <c r="BA132"/>
  <c r="BA156" s="1"/>
  <c r="AW132"/>
  <c r="AW156" s="1"/>
  <c r="G391" i="295"/>
  <c r="E31"/>
  <c r="E94" s="1"/>
  <c r="E37"/>
  <c r="E99" s="1"/>
  <c r="H155" i="294"/>
  <c r="N155"/>
  <c r="O155"/>
  <c r="P155"/>
  <c r="Q155"/>
  <c r="R155"/>
  <c r="S155"/>
  <c r="T155"/>
  <c r="U155"/>
  <c r="V155"/>
  <c r="W155"/>
  <c r="X155"/>
  <c r="Y155"/>
  <c r="Z155"/>
  <c r="AA155"/>
  <c r="AB155"/>
  <c r="AC155"/>
  <c r="AD155"/>
  <c r="AE155"/>
  <c r="AF155"/>
  <c r="AG155"/>
  <c r="AH155"/>
  <c r="AI155"/>
  <c r="AJ155"/>
  <c r="AK155"/>
  <c r="AL155"/>
  <c r="AM155"/>
  <c r="AS155"/>
  <c r="AT155"/>
  <c r="Q156"/>
  <c r="H158"/>
  <c r="G155"/>
  <c r="C152"/>
  <c r="E15" i="295" l="1"/>
  <c r="E98"/>
  <c r="AB120" i="294"/>
  <c r="AA120"/>
  <c r="AR156"/>
  <c r="AV156"/>
  <c r="AP156"/>
  <c r="AO156"/>
  <c r="E31" i="318"/>
  <c r="D31" s="1"/>
  <c r="F31" s="1"/>
  <c r="K29" l="1"/>
  <c r="K30"/>
  <c r="J16" i="360" l="1"/>
  <c r="I16"/>
  <c r="H16"/>
  <c r="J32" l="1"/>
  <c r="J26"/>
  <c r="J25"/>
  <c r="J23"/>
  <c r="J22"/>
  <c r="J21"/>
  <c r="J20"/>
  <c r="J19"/>
  <c r="D65" i="297"/>
  <c r="M1" i="359"/>
  <c r="BG32" i="295" l="1"/>
  <c r="U119" i="294" l="1"/>
  <c r="BG34" i="295"/>
  <c r="DM33" l="1"/>
  <c r="DL33"/>
  <c r="DL34" s="1"/>
  <c r="DK33"/>
  <c r="DJ33"/>
  <c r="DI33"/>
  <c r="DQ33"/>
  <c r="DQ37" s="1"/>
  <c r="DP34"/>
  <c r="DH33"/>
  <c r="DG33"/>
  <c r="DF33"/>
  <c r="DE33"/>
  <c r="CT33"/>
  <c r="CU33"/>
  <c r="CV33"/>
  <c r="CV37" s="1"/>
  <c r="CS33"/>
  <c r="X121" i="294"/>
  <c r="DE35" i="295" l="1"/>
  <c r="DE15" s="1"/>
  <c r="DH34"/>
  <c r="CS35"/>
  <c r="CS15" s="1"/>
  <c r="CS391"/>
  <c r="DI34"/>
  <c r="DJ35"/>
  <c r="DJ15" s="1"/>
  <c r="DK37"/>
  <c r="DM35"/>
  <c r="DM15" s="1"/>
  <c r="DN33"/>
  <c r="DN34" s="1"/>
  <c r="AC121" i="294"/>
  <c r="EI34" i="295"/>
  <c r="EJ34" s="1"/>
  <c r="AX121" i="294"/>
  <c r="DQ34" i="295"/>
  <c r="DE34"/>
  <c r="DM37"/>
  <c r="DL37"/>
  <c r="CS37"/>
  <c r="DL35"/>
  <c r="DL15" s="1"/>
  <c r="DM34"/>
  <c r="DK34"/>
  <c r="Z121" i="294" l="1"/>
  <c r="CH33" i="295"/>
  <c r="CL33"/>
  <c r="CJ35"/>
  <c r="CJ15" s="1"/>
  <c r="CD33"/>
  <c r="CE33"/>
  <c r="CF33"/>
  <c r="CG33"/>
  <c r="CA32"/>
  <c r="CB31"/>
  <c r="CC32"/>
  <c r="BZ37"/>
  <c r="BX37"/>
  <c r="BW33"/>
  <c r="BV33"/>
  <c r="BV36" s="1"/>
  <c r="BU33"/>
  <c r="BU36" s="1"/>
  <c r="BP33"/>
  <c r="BO33"/>
  <c r="BN33"/>
  <c r="BM33"/>
  <c r="BM36" s="1"/>
  <c r="BL33"/>
  <c r="BL36" s="1"/>
  <c r="BF34"/>
  <c r="BD37"/>
  <c r="AV32"/>
  <c r="AS34"/>
  <c r="AS32" s="1"/>
  <c r="DZ33"/>
  <c r="DZ32" s="1"/>
  <c r="AG37"/>
  <c r="AG99" s="1"/>
  <c r="AE96"/>
  <c r="AD96"/>
  <c r="AA96"/>
  <c r="Z96"/>
  <c r="AM96"/>
  <c r="T17"/>
  <c r="Q32"/>
  <c r="Q95" s="1"/>
  <c r="Q98"/>
  <c r="Q34"/>
  <c r="Q97" s="1"/>
  <c r="Q31"/>
  <c r="Q94" s="1"/>
  <c r="L15"/>
  <c r="K32"/>
  <c r="K95" s="1"/>
  <c r="H34"/>
  <c r="H97" s="1"/>
  <c r="M11" i="318"/>
  <c r="M12"/>
  <c r="BW35" i="295" l="1"/>
  <c r="BW36"/>
  <c r="BL31"/>
  <c r="CD35"/>
  <c r="CD15" s="1"/>
  <c r="BM35"/>
  <c r="BM15" s="1"/>
  <c r="BV35"/>
  <c r="BV15" s="1"/>
  <c r="CF31"/>
  <c r="CE31"/>
  <c r="BU37"/>
  <c r="BW15"/>
  <c r="CK33"/>
  <c r="CK37" s="1"/>
  <c r="CG31"/>
  <c r="AL96"/>
  <c r="AF96"/>
  <c r="BQ37"/>
  <c r="W99"/>
  <c r="U96"/>
  <c r="AH31"/>
  <c r="AH96"/>
  <c r="X34"/>
  <c r="X97" s="1"/>
  <c r="X96"/>
  <c r="AI34"/>
  <c r="AI97" s="1"/>
  <c r="AI96"/>
  <c r="AB121" i="294"/>
  <c r="AA121"/>
  <c r="L31" i="295"/>
  <c r="L94" s="1"/>
  <c r="CD37"/>
  <c r="K34"/>
  <c r="K97" s="1"/>
  <c r="L34"/>
  <c r="L97" s="1"/>
  <c r="AH37"/>
  <c r="AH99" s="1"/>
  <c r="BQ30"/>
  <c r="AH35"/>
  <c r="CD31"/>
  <c r="CH35"/>
  <c r="CH15" s="1"/>
  <c r="K37"/>
  <c r="K99" s="1"/>
  <c r="AI37"/>
  <c r="AI99" s="1"/>
  <c r="AS31"/>
  <c r="K35"/>
  <c r="BV37"/>
  <c r="BZ31"/>
  <c r="AV31"/>
  <c r="BZ32"/>
  <c r="J37"/>
  <c r="J99" s="1"/>
  <c r="K31"/>
  <c r="K94" s="1"/>
  <c r="T37"/>
  <c r="T99" s="1"/>
  <c r="BY33"/>
  <c r="BY36" s="1"/>
  <c r="AK96"/>
  <c r="BF31"/>
  <c r="BX34"/>
  <c r="CH34"/>
  <c r="CH37"/>
  <c r="CM33"/>
  <c r="CC31"/>
  <c r="V32"/>
  <c r="V95" s="1"/>
  <c r="X35"/>
  <c r="BE32"/>
  <c r="X37"/>
  <c r="X99" s="1"/>
  <c r="BA33"/>
  <c r="AB34"/>
  <c r="AB97" s="1"/>
  <c r="AB37"/>
  <c r="AB99" s="1"/>
  <c r="AB35"/>
  <c r="G34"/>
  <c r="G97" s="1"/>
  <c r="H99"/>
  <c r="U32"/>
  <c r="U95" s="1"/>
  <c r="U31"/>
  <c r="U94" s="1"/>
  <c r="AG32"/>
  <c r="AG95" s="1"/>
  <c r="DZ34"/>
  <c r="BL35"/>
  <c r="BL15" s="1"/>
  <c r="CB32"/>
  <c r="L37"/>
  <c r="L99" s="1"/>
  <c r="L32"/>
  <c r="L95" s="1"/>
  <c r="T31"/>
  <c r="T94" s="1"/>
  <c r="U34"/>
  <c r="U97" s="1"/>
  <c r="V37"/>
  <c r="X31"/>
  <c r="X94" s="1"/>
  <c r="AG34"/>
  <c r="AG97" s="1"/>
  <c r="AG31"/>
  <c r="AH32"/>
  <c r="AH95" s="1"/>
  <c r="DZ35"/>
  <c r="AS37"/>
  <c r="AV34"/>
  <c r="BZ34"/>
  <c r="CA31"/>
  <c r="T32"/>
  <c r="U37"/>
  <c r="U99" s="1"/>
  <c r="DZ31"/>
  <c r="J34"/>
  <c r="J97" s="1"/>
  <c r="G15"/>
  <c r="V31"/>
  <c r="V94" s="1"/>
  <c r="V35"/>
  <c r="AH34"/>
  <c r="AH97" s="1"/>
  <c r="V99" l="1"/>
  <c r="S37"/>
  <c r="AM37" s="1"/>
  <c r="BY391"/>
  <c r="CF391"/>
  <c r="BI33"/>
  <c r="BI36" s="1"/>
  <c r="AR33"/>
  <c r="BW391"/>
  <c r="CG391"/>
  <c r="BJ33"/>
  <c r="BJ36" s="1"/>
  <c r="BU391"/>
  <c r="DC33"/>
  <c r="BY37"/>
  <c r="CH391"/>
  <c r="BK33"/>
  <c r="BK36" s="1"/>
  <c r="CE391"/>
  <c r="BL391"/>
  <c r="CQ33"/>
  <c r="BM391"/>
  <c r="CR33"/>
  <c r="BQ35"/>
  <c r="BQ34"/>
  <c r="U15"/>
  <c r="U98"/>
  <c r="W96"/>
  <c r="W97"/>
  <c r="W94"/>
  <c r="T15"/>
  <c r="T98"/>
  <c r="W95"/>
  <c r="H15"/>
  <c r="H98"/>
  <c r="K15"/>
  <c r="K98"/>
  <c r="X15"/>
  <c r="X98"/>
  <c r="AH15"/>
  <c r="AH98"/>
  <c r="V15"/>
  <c r="V98"/>
  <c r="T30"/>
  <c r="T93" s="1"/>
  <c r="T95"/>
  <c r="AB15"/>
  <c r="AB98"/>
  <c r="AI15"/>
  <c r="AI98"/>
  <c r="AG15"/>
  <c r="AG98"/>
  <c r="BY30"/>
  <c r="BY35"/>
  <c r="BY34"/>
  <c r="AJ31"/>
  <c r="AJ94" s="1"/>
  <c r="AJ32"/>
  <c r="AJ95" s="1"/>
  <c r="AJ34"/>
  <c r="AJ97" s="1"/>
  <c r="EI120"/>
  <c r="EJ120" s="1"/>
  <c r="EG119"/>
  <c r="EH119" s="1"/>
  <c r="DY119" s="1"/>
  <c r="EE119"/>
  <c r="EF119" s="1"/>
  <c r="EA119"/>
  <c r="EB119" s="1"/>
  <c r="DT117" s="1"/>
  <c r="J53" i="297"/>
  <c r="J55" s="1"/>
  <c r="J56" s="1"/>
  <c r="J57" s="1"/>
  <c r="J58" s="1"/>
  <c r="I53"/>
  <c r="I54" s="1"/>
  <c r="G32"/>
  <c r="D41" i="356"/>
  <c r="E42"/>
  <c r="AF124" i="295"/>
  <c r="AC124"/>
  <c r="CV123"/>
  <c r="CU123"/>
  <c r="CT123"/>
  <c r="CS123"/>
  <c r="CR123"/>
  <c r="CQ123"/>
  <c r="CP123"/>
  <c r="CO123"/>
  <c r="CM123"/>
  <c r="CL123"/>
  <c r="CK123"/>
  <c r="CJ123"/>
  <c r="CI123"/>
  <c r="CH123"/>
  <c r="CG123"/>
  <c r="CF123"/>
  <c r="CE123"/>
  <c r="CD123"/>
  <c r="CC123"/>
  <c r="CB123"/>
  <c r="CA123"/>
  <c r="BZ123"/>
  <c r="AF123"/>
  <c r="AC123"/>
  <c r="C123"/>
  <c r="DC122"/>
  <c r="CN122"/>
  <c r="BZ122"/>
  <c r="BG122"/>
  <c r="BD122"/>
  <c r="BC122"/>
  <c r="AS122"/>
  <c r="AR122"/>
  <c r="AT122" s="1"/>
  <c r="AI122"/>
  <c r="AH122"/>
  <c r="AG122"/>
  <c r="X122"/>
  <c r="T122"/>
  <c r="Q122"/>
  <c r="E122"/>
  <c r="L122" s="1"/>
  <c r="DZ121"/>
  <c r="BZ121"/>
  <c r="BG121"/>
  <c r="BD121"/>
  <c r="BC121"/>
  <c r="AS121"/>
  <c r="BA121" s="1"/>
  <c r="AR121"/>
  <c r="AT121" s="1"/>
  <c r="AI121"/>
  <c r="AH121"/>
  <c r="AG121"/>
  <c r="AJ121" s="1"/>
  <c r="X121"/>
  <c r="W121"/>
  <c r="U121"/>
  <c r="V121" s="1"/>
  <c r="S121" s="1"/>
  <c r="AM121" s="1"/>
  <c r="T121"/>
  <c r="AN121" s="1"/>
  <c r="Q121"/>
  <c r="E121"/>
  <c r="EM120"/>
  <c r="EL120"/>
  <c r="DZ120"/>
  <c r="CV120"/>
  <c r="CU120"/>
  <c r="CT120"/>
  <c r="CS120"/>
  <c r="BZ120"/>
  <c r="BG120"/>
  <c r="BD120"/>
  <c r="BC120"/>
  <c r="AV120"/>
  <c r="AV121" s="1"/>
  <c r="AV122" s="1"/>
  <c r="AS120"/>
  <c r="BA120" s="1"/>
  <c r="AR120"/>
  <c r="AT120" s="1"/>
  <c r="AI120"/>
  <c r="AH120"/>
  <c r="AG120"/>
  <c r="AJ120" s="1"/>
  <c r="X120"/>
  <c r="W120"/>
  <c r="W122" s="1"/>
  <c r="U120"/>
  <c r="U122" s="1"/>
  <c r="V122" s="1"/>
  <c r="T120"/>
  <c r="AN120" s="1"/>
  <c r="Q120"/>
  <c r="E120"/>
  <c r="K120" s="1"/>
  <c r="EN119"/>
  <c r="EK119"/>
  <c r="EL119" s="1"/>
  <c r="DU119" s="1"/>
  <c r="DZ119"/>
  <c r="DR119"/>
  <c r="DR122" s="1"/>
  <c r="DP119"/>
  <c r="DP122" s="1"/>
  <c r="DE119"/>
  <c r="DF119" s="1"/>
  <c r="CO119"/>
  <c r="CK119"/>
  <c r="CK121" s="1"/>
  <c r="CH119"/>
  <c r="CD119"/>
  <c r="CS119" s="1"/>
  <c r="CA119"/>
  <c r="CI119" s="1"/>
  <c r="CI124" s="1"/>
  <c r="BR119"/>
  <c r="BP119"/>
  <c r="BO119"/>
  <c r="BN119"/>
  <c r="BJ119"/>
  <c r="BM119" s="1"/>
  <c r="BI119"/>
  <c r="BH119"/>
  <c r="BH121" s="1"/>
  <c r="BF119"/>
  <c r="BF121" s="1"/>
  <c r="BE119"/>
  <c r="BE118" s="1"/>
  <c r="BA119"/>
  <c r="AX119"/>
  <c r="AZ119" s="1"/>
  <c r="AT119"/>
  <c r="AU119" s="1"/>
  <c r="AW119" s="1"/>
  <c r="AP119"/>
  <c r="AN119"/>
  <c r="AL119"/>
  <c r="DK119" s="1"/>
  <c r="DL119" s="1"/>
  <c r="AK119"/>
  <c r="AK123" s="1"/>
  <c r="AJ119"/>
  <c r="AJ122" s="1"/>
  <c r="AB119"/>
  <c r="S119"/>
  <c r="AM119" s="1"/>
  <c r="L119"/>
  <c r="K119"/>
  <c r="J119"/>
  <c r="G119"/>
  <c r="G118" s="1"/>
  <c r="DZ118"/>
  <c r="BG118"/>
  <c r="BD118"/>
  <c r="BC118"/>
  <c r="AV118"/>
  <c r="AR118"/>
  <c r="AT118" s="1"/>
  <c r="AH118"/>
  <c r="AG118"/>
  <c r="AJ118" s="1"/>
  <c r="X118"/>
  <c r="W118"/>
  <c r="V118"/>
  <c r="U118"/>
  <c r="T118"/>
  <c r="Q118"/>
  <c r="E118"/>
  <c r="L118" s="1"/>
  <c r="DZ117"/>
  <c r="BG117"/>
  <c r="BD117"/>
  <c r="BC117"/>
  <c r="AV117"/>
  <c r="AS117"/>
  <c r="AR117"/>
  <c r="AT117" s="1"/>
  <c r="AH117"/>
  <c r="AG117"/>
  <c r="AJ117" s="1"/>
  <c r="X117"/>
  <c r="W117"/>
  <c r="V117"/>
  <c r="U117"/>
  <c r="T117"/>
  <c r="Q117"/>
  <c r="E117"/>
  <c r="EN117" s="1"/>
  <c r="EN116"/>
  <c r="P116"/>
  <c r="DC115"/>
  <c r="DB115"/>
  <c r="DA115"/>
  <c r="CZ115"/>
  <c r="CY115"/>
  <c r="CX115"/>
  <c r="CW115"/>
  <c r="CV115"/>
  <c r="CU115"/>
  <c r="CT115"/>
  <c r="CS115"/>
  <c r="CR115"/>
  <c r="CQ115"/>
  <c r="CP115"/>
  <c r="CO115"/>
  <c r="CN115"/>
  <c r="CM115"/>
  <c r="CL115"/>
  <c r="CK115"/>
  <c r="CJ115"/>
  <c r="CI115"/>
  <c r="CH115"/>
  <c r="CG115"/>
  <c r="CF115"/>
  <c r="CE115"/>
  <c r="CD115"/>
  <c r="CC115"/>
  <c r="CB115"/>
  <c r="CA115"/>
  <c r="BZ115"/>
  <c r="BP115"/>
  <c r="BO115"/>
  <c r="BN115"/>
  <c r="BM115"/>
  <c r="BL115"/>
  <c r="BK115"/>
  <c r="BJ115"/>
  <c r="BI115"/>
  <c r="BH115"/>
  <c r="BF115"/>
  <c r="BE115"/>
  <c r="BD115"/>
  <c r="BC115"/>
  <c r="BB115"/>
  <c r="BA115"/>
  <c r="AZ115"/>
  <c r="AY115"/>
  <c r="AX115"/>
  <c r="AW115"/>
  <c r="AU115"/>
  <c r="AT115"/>
  <c r="AS115"/>
  <c r="AR115"/>
  <c r="AN115"/>
  <c r="AM115"/>
  <c r="AL115"/>
  <c r="AK115"/>
  <c r="AJ115"/>
  <c r="AG115"/>
  <c r="AF115"/>
  <c r="AC115"/>
  <c r="AB115"/>
  <c r="W115"/>
  <c r="V115"/>
  <c r="U115"/>
  <c r="S115"/>
  <c r="DX114"/>
  <c r="J25" i="318"/>
  <c r="L25" s="1"/>
  <c r="O24"/>
  <c r="K24"/>
  <c r="L24"/>
  <c r="O12"/>
  <c r="AA12" s="1"/>
  <c r="O11"/>
  <c r="N12"/>
  <c r="Z12" s="1"/>
  <c r="N11"/>
  <c r="Y12"/>
  <c r="Y11"/>
  <c r="M13"/>
  <c r="O13" s="1"/>
  <c r="AA13" s="1"/>
  <c r="Z11" l="1"/>
  <c r="G28" i="362"/>
  <c r="AR36" i="295"/>
  <c r="AR35"/>
  <c r="BQ15"/>
  <c r="BJ35"/>
  <c r="BJ15" s="1"/>
  <c r="BJ31"/>
  <c r="BH15"/>
  <c r="BH34"/>
  <c r="BH31"/>
  <c r="AT33"/>
  <c r="AU33" s="1"/>
  <c r="AU36" s="1"/>
  <c r="AR31"/>
  <c r="AT31" s="1"/>
  <c r="AX33"/>
  <c r="AR32"/>
  <c r="AR34"/>
  <c r="BI32"/>
  <c r="BI35"/>
  <c r="BI15" s="1"/>
  <c r="W98"/>
  <c r="W15"/>
  <c r="AJ15"/>
  <c r="AJ98"/>
  <c r="BY15"/>
  <c r="AW119" i="294"/>
  <c r="L52" i="297"/>
  <c r="BF117" i="295"/>
  <c r="AS118"/>
  <c r="I55" i="297"/>
  <c r="I56" s="1"/>
  <c r="I57" s="1"/>
  <c r="I58" s="1"/>
  <c r="Q31"/>
  <c r="Y13" i="318"/>
  <c r="N13"/>
  <c r="Z13" s="1"/>
  <c r="K25"/>
  <c r="F24"/>
  <c r="G24"/>
  <c r="G117" i="295"/>
  <c r="BH117"/>
  <c r="H119"/>
  <c r="H120" s="1"/>
  <c r="BK119"/>
  <c r="AX120"/>
  <c r="AY120" s="1"/>
  <c r="K117"/>
  <c r="CK120"/>
  <c r="AX121"/>
  <c r="BB121" s="1"/>
  <c r="BH118"/>
  <c r="CB119"/>
  <c r="CJ119" s="1"/>
  <c r="CL119"/>
  <c r="CL121" s="1"/>
  <c r="DQ119"/>
  <c r="DQ121" s="1"/>
  <c r="CP119"/>
  <c r="V120"/>
  <c r="S120" s="1"/>
  <c r="AM120" s="1"/>
  <c r="AK124"/>
  <c r="BE117"/>
  <c r="CZ119"/>
  <c r="CZ121" s="1"/>
  <c r="BH120"/>
  <c r="DP120"/>
  <c r="K118"/>
  <c r="DT119"/>
  <c r="DT122" s="1"/>
  <c r="F21" i="297"/>
  <c r="G21" s="1"/>
  <c r="F23"/>
  <c r="G23" s="1"/>
  <c r="Q20"/>
  <c r="BB119" i="295"/>
  <c r="BI121"/>
  <c r="BI120"/>
  <c r="BI122"/>
  <c r="BL119"/>
  <c r="DU122"/>
  <c r="DU121"/>
  <c r="L117"/>
  <c r="AY119"/>
  <c r="BE121"/>
  <c r="BE120"/>
  <c r="BE122"/>
  <c r="CX119"/>
  <c r="DG119"/>
  <c r="DH119" s="1"/>
  <c r="EM119"/>
  <c r="DV119" s="1"/>
  <c r="AL123"/>
  <c r="DI123" s="1"/>
  <c r="AL124"/>
  <c r="BF122"/>
  <c r="BF118"/>
  <c r="DI119"/>
  <c r="BF120"/>
  <c r="CI120"/>
  <c r="CI121" s="1"/>
  <c r="CI122" s="1"/>
  <c r="EN121"/>
  <c r="J121"/>
  <c r="L121"/>
  <c r="G121"/>
  <c r="AB123"/>
  <c r="AB124"/>
  <c r="BS119"/>
  <c r="BU119"/>
  <c r="CW119"/>
  <c r="CH124"/>
  <c r="DL122"/>
  <c r="DL121"/>
  <c r="DL120"/>
  <c r="DY120"/>
  <c r="DY121"/>
  <c r="DY122"/>
  <c r="EN120"/>
  <c r="J120"/>
  <c r="L120"/>
  <c r="G120"/>
  <c r="K121"/>
  <c r="K122"/>
  <c r="G122"/>
  <c r="CE119"/>
  <c r="CT119" s="1"/>
  <c r="DR120"/>
  <c r="DR121"/>
  <c r="BH122"/>
  <c r="CK122"/>
  <c r="CK124"/>
  <c r="DP121"/>
  <c r="AA11" i="318"/>
  <c r="EI121" i="295"/>
  <c r="EJ121" s="1"/>
  <c r="Z119" i="294"/>
  <c r="G27" i="362" l="1"/>
  <c r="G29"/>
  <c r="AT36" i="295"/>
  <c r="CQ391"/>
  <c r="BS33"/>
  <c r="BS36" s="1"/>
  <c r="AW33"/>
  <c r="CR391"/>
  <c r="BT33"/>
  <c r="BT36" s="1"/>
  <c r="AY33"/>
  <c r="AZ33"/>
  <c r="BB33"/>
  <c r="BJ391"/>
  <c r="CO33"/>
  <c r="BK391"/>
  <c r="CP33"/>
  <c r="AU34"/>
  <c r="AT35"/>
  <c r="AT15" s="1"/>
  <c r="AR15"/>
  <c r="CF119"/>
  <c r="CU119" s="1"/>
  <c r="CU122" s="1"/>
  <c r="R20" i="297"/>
  <c r="AY121" i="295"/>
  <c r="AZ121"/>
  <c r="CC119"/>
  <c r="CG119" s="1"/>
  <c r="CV119" s="1"/>
  <c r="DQ120"/>
  <c r="CZ122"/>
  <c r="G25" i="318"/>
  <c r="F25"/>
  <c r="DQ122" i="295"/>
  <c r="H121"/>
  <c r="H122"/>
  <c r="CM119"/>
  <c r="CM122" s="1"/>
  <c r="CL124"/>
  <c r="CQ119"/>
  <c r="BB120"/>
  <c r="AZ120"/>
  <c r="DA119"/>
  <c r="DA122" s="1"/>
  <c r="CL120"/>
  <c r="CL122"/>
  <c r="CZ124"/>
  <c r="CZ120"/>
  <c r="DT118"/>
  <c r="DT120"/>
  <c r="DT121"/>
  <c r="Q21" i="297"/>
  <c r="BV119" i="295"/>
  <c r="BV120" s="1"/>
  <c r="BT119"/>
  <c r="DJ119"/>
  <c r="DM119"/>
  <c r="CX124"/>
  <c r="CX122"/>
  <c r="CX121"/>
  <c r="CX120"/>
  <c r="CT122"/>
  <c r="CT121"/>
  <c r="CW124"/>
  <c r="CW122"/>
  <c r="CW121"/>
  <c r="CW120"/>
  <c r="DN123"/>
  <c r="DJ123"/>
  <c r="DP123"/>
  <c r="CJ120"/>
  <c r="CY119"/>
  <c r="CN119"/>
  <c r="CJ124"/>
  <c r="AU391" l="1"/>
  <c r="DR33"/>
  <c r="BT31"/>
  <c r="BT35"/>
  <c r="BT15" s="1"/>
  <c r="CP37"/>
  <c r="CP34"/>
  <c r="CO37"/>
  <c r="CO34"/>
  <c r="BS34"/>
  <c r="BS35"/>
  <c r="BS15" s="1"/>
  <c r="CU121"/>
  <c r="X122" i="294"/>
  <c r="CR119" i="295"/>
  <c r="DA124"/>
  <c r="CM121"/>
  <c r="DB119"/>
  <c r="DB124" s="1"/>
  <c r="CM124"/>
  <c r="CM120"/>
  <c r="DA120"/>
  <c r="DA121"/>
  <c r="AD121" i="294"/>
  <c r="CV122" i="295"/>
  <c r="CV121"/>
  <c r="DC119"/>
  <c r="DC124" s="1"/>
  <c r="CN124"/>
  <c r="CY124"/>
  <c r="CY122"/>
  <c r="CY121"/>
  <c r="CY120"/>
  <c r="BW119"/>
  <c r="BX119"/>
  <c r="DN119"/>
  <c r="DM122"/>
  <c r="DM120"/>
  <c r="DO119"/>
  <c r="DM121"/>
  <c r="AI120" i="294"/>
  <c r="R21" i="297"/>
  <c r="DR37" i="295" l="1"/>
  <c r="DR35"/>
  <c r="BR33"/>
  <c r="BR36" s="1"/>
  <c r="CP391"/>
  <c r="BT391"/>
  <c r="CY33"/>
  <c r="DB33" s="1"/>
  <c r="DR34"/>
  <c r="BS391"/>
  <c r="CX33"/>
  <c r="DA33" s="1"/>
  <c r="Z122" i="294"/>
  <c r="DB121" i="295"/>
  <c r="DB120"/>
  <c r="DB122"/>
  <c r="EA33"/>
  <c r="EB33" s="1"/>
  <c r="DT31" s="1"/>
  <c r="H122" i="294"/>
  <c r="H117"/>
  <c r="H121"/>
  <c r="G96"/>
  <c r="EA121" i="295"/>
  <c r="EB121" s="1"/>
  <c r="AJ120" i="294"/>
  <c r="EA117" i="295"/>
  <c r="EB117" s="1"/>
  <c r="EA120"/>
  <c r="EB120" s="1"/>
  <c r="EA118"/>
  <c r="Q23" i="297"/>
  <c r="DN122" i="295"/>
  <c r="DN121"/>
  <c r="DN120"/>
  <c r="DO122"/>
  <c r="DO121"/>
  <c r="DO120"/>
  <c r="G53" i="294"/>
  <c r="G93" s="1"/>
  <c r="G52"/>
  <c r="G92" s="1"/>
  <c r="BR35" i="295" l="1"/>
  <c r="BR15" s="1"/>
  <c r="G117" i="294"/>
  <c r="K52"/>
  <c r="K92" s="1"/>
  <c r="BB52"/>
  <c r="J52"/>
  <c r="J92" s="1"/>
  <c r="I52"/>
  <c r="I92" s="1"/>
  <c r="AZ52"/>
  <c r="AZ92" s="1"/>
  <c r="K53"/>
  <c r="AZ53"/>
  <c r="I53"/>
  <c r="BB53"/>
  <c r="BB93" s="1"/>
  <c r="J53"/>
  <c r="J93" s="1"/>
  <c r="G121"/>
  <c r="AU96"/>
  <c r="DT33" i="295"/>
  <c r="AB122" i="294"/>
  <c r="AA122"/>
  <c r="G118"/>
  <c r="AK120"/>
  <c r="EK122" i="295"/>
  <c r="EK121"/>
  <c r="DT35" l="1"/>
  <c r="DT15" s="1"/>
  <c r="DT36"/>
  <c r="AU121" i="294"/>
  <c r="BR391" i="295"/>
  <c r="CW33"/>
  <c r="CZ33" s="1"/>
  <c r="BB117" i="294"/>
  <c r="BB92"/>
  <c r="AZ118"/>
  <c r="AZ93"/>
  <c r="AZ121"/>
  <c r="AZ96"/>
  <c r="AZ117"/>
  <c r="K118"/>
  <c r="K93"/>
  <c r="I118"/>
  <c r="I93"/>
  <c r="I117"/>
  <c r="AW56"/>
  <c r="AV96"/>
  <c r="DT34" i="295"/>
  <c r="DT32"/>
  <c r="DT37"/>
  <c r="AM55" i="294"/>
  <c r="EM121" i="295"/>
  <c r="DV121" s="1"/>
  <c r="EL121"/>
  <c r="EM122"/>
  <c r="DV122" s="1"/>
  <c r="EL122"/>
  <c r="I16" i="357"/>
  <c r="I15"/>
  <c r="I12"/>
  <c r="I24" s="1"/>
  <c r="H13"/>
  <c r="H14" s="1"/>
  <c r="H9"/>
  <c r="H33" s="1"/>
  <c r="H10"/>
  <c r="H22" s="1"/>
  <c r="I13"/>
  <c r="I14" s="1"/>
  <c r="H15"/>
  <c r="H12"/>
  <c r="I36" l="1"/>
  <c r="AW121" i="294"/>
  <c r="AW96"/>
  <c r="AM120"/>
  <c r="AM95"/>
  <c r="H21" i="357"/>
  <c r="E11" i="199" l="1"/>
  <c r="E19" s="1"/>
  <c r="E20" s="1"/>
  <c r="E21"/>
  <c r="E15"/>
  <c r="E10" l="1"/>
  <c r="I28" i="357"/>
  <c r="O14" i="197" l="1"/>
  <c r="BE35" i="295"/>
  <c r="BE15" s="1"/>
  <c r="BG35"/>
  <c r="BG15" s="1"/>
  <c r="BG37"/>
  <c r="BG31"/>
  <c r="BC37"/>
  <c r="BC35"/>
  <c r="BC15" s="1"/>
  <c r="BC34"/>
  <c r="BC32"/>
  <c r="BC31"/>
  <c r="BC39" l="1"/>
  <c r="BC36"/>
  <c r="BE31"/>
  <c r="BE37"/>
  <c r="BE34"/>
  <c r="F181" i="318"/>
  <c r="D181"/>
  <c r="C181"/>
  <c r="H28" i="335"/>
  <c r="I28"/>
  <c r="F28"/>
  <c r="E41" i="297"/>
  <c r="BC38" i="295" l="1"/>
  <c r="AU122"/>
  <c r="AU121"/>
  <c r="AU120"/>
  <c r="AU118"/>
  <c r="AU117"/>
  <c r="AU37"/>
  <c r="AU31"/>
  <c r="AU35"/>
  <c r="AU15" s="1"/>
  <c r="AU32"/>
  <c r="L26" i="138" l="1"/>
  <c r="I26"/>
  <c r="I25"/>
  <c r="H25"/>
  <c r="J25"/>
  <c r="K25"/>
  <c r="L25"/>
  <c r="G25"/>
  <c r="H21" i="358"/>
  <c r="K31" i="351"/>
  <c r="I31"/>
  <c r="H31"/>
  <c r="H30"/>
  <c r="J30"/>
  <c r="I30"/>
  <c r="I40" i="357" l="1"/>
  <c r="I27"/>
  <c r="I39" s="1"/>
  <c r="I25"/>
  <c r="I37" s="1"/>
  <c r="H28"/>
  <c r="H40" s="1"/>
  <c r="H27"/>
  <c r="H39" s="1"/>
  <c r="H25"/>
  <c r="H37" s="1"/>
  <c r="H34"/>
  <c r="H24"/>
  <c r="H36" s="1"/>
  <c r="D66" i="183"/>
  <c r="D62"/>
  <c r="D63"/>
  <c r="D61"/>
  <c r="D57"/>
  <c r="D58"/>
  <c r="D56"/>
  <c r="D55"/>
  <c r="D52"/>
  <c r="D51"/>
  <c r="AD5" i="356"/>
  <c r="AF5" s="1"/>
  <c r="AD9"/>
  <c r="AF9" s="1"/>
  <c r="H26" i="357" l="1"/>
  <c r="H38" s="1"/>
  <c r="I26"/>
  <c r="I38" s="1"/>
  <c r="H11"/>
  <c r="H23" s="1"/>
  <c r="H35" s="1"/>
  <c r="AR37" i="295"/>
  <c r="H49" i="317"/>
  <c r="I49" s="1"/>
  <c r="J49" s="1"/>
  <c r="K49" s="1"/>
  <c r="L49" s="1"/>
  <c r="M49" s="1"/>
  <c r="H50"/>
  <c r="I50" s="1"/>
  <c r="J50" s="1"/>
  <c r="K50" s="1"/>
  <c r="L50" s="1"/>
  <c r="M50" s="1"/>
  <c r="H51"/>
  <c r="I51" s="1"/>
  <c r="J51" s="1"/>
  <c r="K51" s="1"/>
  <c r="L51" s="1"/>
  <c r="M51" s="1"/>
  <c r="D39" i="356"/>
  <c r="E39"/>
  <c r="AE5"/>
  <c r="AG5" s="1"/>
  <c r="AE8"/>
  <c r="AG8" s="1"/>
  <c r="AD8"/>
  <c r="AF8" s="1"/>
  <c r="AE9"/>
  <c r="AG9" s="1"/>
  <c r="AE14"/>
  <c r="AD14"/>
  <c r="F31" i="357" l="1"/>
  <c r="F32"/>
  <c r="F33"/>
  <c r="F34"/>
  <c r="F35"/>
  <c r="F36"/>
  <c r="F37"/>
  <c r="F38"/>
  <c r="F39"/>
  <c r="F40"/>
  <c r="G30"/>
  <c r="G31"/>
  <c r="G32"/>
  <c r="G33"/>
  <c r="G34"/>
  <c r="G35"/>
  <c r="G36"/>
  <c r="G37"/>
  <c r="G38"/>
  <c r="G39"/>
  <c r="G40"/>
  <c r="G29"/>
  <c r="G18"/>
  <c r="G19"/>
  <c r="G20"/>
  <c r="G21"/>
  <c r="G22"/>
  <c r="G23"/>
  <c r="G24"/>
  <c r="G25"/>
  <c r="G26"/>
  <c r="G27"/>
  <c r="G28"/>
  <c r="G17"/>
  <c r="F19"/>
  <c r="F20"/>
  <c r="F21"/>
  <c r="F22"/>
  <c r="F23"/>
  <c r="F24"/>
  <c r="F25"/>
  <c r="F26"/>
  <c r="F27"/>
  <c r="F28"/>
  <c r="D17"/>
  <c r="C17"/>
  <c r="D30" i="223"/>
  <c r="D53" s="1"/>
  <c r="D32"/>
  <c r="D55" s="1"/>
  <c r="D34"/>
  <c r="D57" s="1"/>
  <c r="D36"/>
  <c r="D59" s="1"/>
  <c r="D38"/>
  <c r="D61" s="1"/>
  <c r="D40"/>
  <c r="D63" s="1"/>
  <c r="D42"/>
  <c r="D65" s="1"/>
  <c r="D44"/>
  <c r="D67" s="1"/>
  <c r="D46"/>
  <c r="D69" s="1"/>
  <c r="D48"/>
  <c r="D71" s="1"/>
  <c r="D50"/>
  <c r="D73" s="1"/>
  <c r="D28"/>
  <c r="D51" s="1"/>
  <c r="D26"/>
  <c r="D49" s="1"/>
  <c r="D72" s="1"/>
  <c r="D24"/>
  <c r="D47" s="1"/>
  <c r="D70" s="1"/>
  <c r="D20"/>
  <c r="D43" s="1"/>
  <c r="D66" s="1"/>
  <c r="D22"/>
  <c r="D45" s="1"/>
  <c r="D68" s="1"/>
  <c r="D18"/>
  <c r="D41" s="1"/>
  <c r="D64" s="1"/>
  <c r="D16"/>
  <c r="D39" s="1"/>
  <c r="D62" s="1"/>
  <c r="D14"/>
  <c r="D37" s="1"/>
  <c r="D60" s="1"/>
  <c r="D12"/>
  <c r="D35" s="1"/>
  <c r="D58" s="1"/>
  <c r="D10"/>
  <c r="D33" s="1"/>
  <c r="D56" s="1"/>
  <c r="D8"/>
  <c r="D31" s="1"/>
  <c r="D54" s="1"/>
  <c r="D6"/>
  <c r="D29" s="1"/>
  <c r="D52" s="1"/>
  <c r="D18" i="357"/>
  <c r="D19"/>
  <c r="D20"/>
  <c r="D21"/>
  <c r="D22"/>
  <c r="D23"/>
  <c r="D24"/>
  <c r="D25"/>
  <c r="D26"/>
  <c r="D27"/>
  <c r="D28"/>
  <c r="D40" s="1"/>
  <c r="C31"/>
  <c r="C32"/>
  <c r="C33"/>
  <c r="C34"/>
  <c r="C35"/>
  <c r="C36"/>
  <c r="C37"/>
  <c r="C38"/>
  <c r="C39"/>
  <c r="C40"/>
  <c r="C72" i="223"/>
  <c r="C73"/>
  <c r="C71"/>
  <c r="C67"/>
  <c r="C68"/>
  <c r="C69"/>
  <c r="C70"/>
  <c r="C52"/>
  <c r="C53"/>
  <c r="C54"/>
  <c r="C55"/>
  <c r="C56"/>
  <c r="C57"/>
  <c r="C58"/>
  <c r="C59"/>
  <c r="C60"/>
  <c r="C61"/>
  <c r="C62"/>
  <c r="C63"/>
  <c r="C64"/>
  <c r="C65"/>
  <c r="C66"/>
  <c r="C30" i="357"/>
  <c r="F29"/>
  <c r="C29"/>
  <c r="C28"/>
  <c r="C27"/>
  <c r="C26"/>
  <c r="C25"/>
  <c r="C24"/>
  <c r="C23"/>
  <c r="C22"/>
  <c r="C21"/>
  <c r="C20"/>
  <c r="C19"/>
  <c r="C18"/>
  <c r="F17"/>
  <c r="F6"/>
  <c r="F18" s="1"/>
  <c r="C50" i="223"/>
  <c r="C49"/>
  <c r="C48"/>
  <c r="C46"/>
  <c r="C47"/>
  <c r="C29"/>
  <c r="C30"/>
  <c r="C31"/>
  <c r="C32"/>
  <c r="C33"/>
  <c r="C34"/>
  <c r="C35"/>
  <c r="C36"/>
  <c r="C37"/>
  <c r="C38"/>
  <c r="C39"/>
  <c r="C40"/>
  <c r="C41"/>
  <c r="C42"/>
  <c r="C43"/>
  <c r="C44"/>
  <c r="C45"/>
  <c r="C28"/>
  <c r="D29" i="357" l="1"/>
  <c r="D39"/>
  <c r="D35"/>
  <c r="D31"/>
  <c r="D38"/>
  <c r="D34"/>
  <c r="D30"/>
  <c r="F30"/>
  <c r="D37"/>
  <c r="D33"/>
  <c r="D36"/>
  <c r="D32"/>
  <c r="D79" i="356" l="1"/>
  <c r="DX28" i="295"/>
  <c r="DX119" s="1"/>
  <c r="DX121" s="1"/>
  <c r="BD15"/>
  <c r="AN33"/>
  <c r="AN96" s="1"/>
  <c r="X32" l="1"/>
  <c r="X95" s="1"/>
  <c r="BF32"/>
  <c r="BZ35"/>
  <c r="BZ15" s="1"/>
  <c r="BR37" l="1"/>
  <c r="BR122"/>
  <c r="BR118"/>
  <c r="BR120"/>
  <c r="BR117"/>
  <c r="BR121"/>
  <c r="CH121"/>
  <c r="CH120"/>
  <c r="CH122"/>
  <c r="DE121"/>
  <c r="DE120"/>
  <c r="DE122"/>
  <c r="DR15"/>
  <c r="BR32"/>
  <c r="DG34"/>
  <c r="CW34"/>
  <c r="BR34"/>
  <c r="BF15"/>
  <c r="DP37"/>
  <c r="BR31"/>
  <c r="DE37"/>
  <c r="DP35"/>
  <c r="DP15" s="1"/>
  <c r="DI121" l="1"/>
  <c r="DI122"/>
  <c r="DI120"/>
  <c r="BU121"/>
  <c r="BU120"/>
  <c r="BU122"/>
  <c r="DG35"/>
  <c r="DG15" s="1"/>
  <c r="DG122"/>
  <c r="DG121"/>
  <c r="DG120"/>
  <c r="BS37"/>
  <c r="BS121"/>
  <c r="BS120"/>
  <c r="BS122"/>
  <c r="BS118"/>
  <c r="BS117"/>
  <c r="DF37"/>
  <c r="DF122"/>
  <c r="DF121"/>
  <c r="DF120"/>
  <c r="BT34"/>
  <c r="DF34"/>
  <c r="DI37"/>
  <c r="DI35"/>
  <c r="DG37"/>
  <c r="BS31"/>
  <c r="BS32"/>
  <c r="DF35"/>
  <c r="DF15" s="1"/>
  <c r="CW37"/>
  <c r="CW35"/>
  <c r="CW15" s="1"/>
  <c r="DQ35"/>
  <c r="DQ15" s="1"/>
  <c r="BU35"/>
  <c r="BU15" s="1"/>
  <c r="BU34"/>
  <c r="Q37"/>
  <c r="Q99" s="1"/>
  <c r="AV35"/>
  <c r="AV36" s="1"/>
  <c r="AT32"/>
  <c r="J35"/>
  <c r="J32"/>
  <c r="J95" s="1"/>
  <c r="J31"/>
  <c r="J94" s="1"/>
  <c r="J15" l="1"/>
  <c r="J98"/>
  <c r="AV37"/>
  <c r="AV15"/>
  <c r="DI15"/>
  <c r="EN31"/>
  <c r="DH37"/>
  <c r="DH122"/>
  <c r="DH121"/>
  <c r="DH120"/>
  <c r="BW121"/>
  <c r="BW120"/>
  <c r="BW122"/>
  <c r="BT32"/>
  <c r="BT121"/>
  <c r="BT122"/>
  <c r="BT118"/>
  <c r="BT117"/>
  <c r="BT120"/>
  <c r="BV34"/>
  <c r="BV122"/>
  <c r="BV121"/>
  <c r="DO33"/>
  <c r="DO37" s="1"/>
  <c r="BT37"/>
  <c r="DN37"/>
  <c r="DH35"/>
  <c r="BH32"/>
  <c r="BH37"/>
  <c r="BW34"/>
  <c r="BW37"/>
  <c r="BB118" i="294"/>
  <c r="J118"/>
  <c r="J117"/>
  <c r="AS35" i="295"/>
  <c r="AS15" s="1"/>
  <c r="K117" i="294"/>
  <c r="DH15" i="295" l="1"/>
  <c r="BX121"/>
  <c r="BX122"/>
  <c r="BX120"/>
  <c r="BK121"/>
  <c r="BK120"/>
  <c r="BK118"/>
  <c r="BK122"/>
  <c r="BK117"/>
  <c r="BX15"/>
  <c r="BK35"/>
  <c r="BK15" s="1"/>
  <c r="BK32"/>
  <c r="BK34"/>
  <c r="BK37"/>
  <c r="BK31"/>
  <c r="F182" i="318" l="1"/>
  <c r="E182"/>
  <c r="D182"/>
  <c r="F189"/>
  <c r="E181"/>
  <c r="E183" s="1"/>
  <c r="D183"/>
  <c r="C183"/>
  <c r="I22" i="121"/>
  <c r="F183" i="318" l="1"/>
  <c r="J30" i="352"/>
  <c r="H14" i="318"/>
  <c r="G14" s="1"/>
  <c r="H17"/>
  <c r="H18"/>
  <c r="H15"/>
  <c r="G15" s="1"/>
  <c r="H12"/>
  <c r="Q24"/>
  <c r="P24"/>
  <c r="Q25" l="1"/>
  <c r="O25"/>
  <c r="P25"/>
  <c r="C182"/>
  <c r="F177"/>
  <c r="E177"/>
  <c r="F173"/>
  <c r="E173"/>
  <c r="E187"/>
  <c r="E185"/>
  <c r="F185"/>
  <c r="F180"/>
  <c r="E180"/>
  <c r="G178" l="1"/>
  <c r="G179" s="1"/>
  <c r="H42"/>
  <c r="EM34" i="295" l="1"/>
  <c r="EL34"/>
  <c r="EK33"/>
  <c r="EL33" l="1"/>
  <c r="DU33" s="1"/>
  <c r="EM33"/>
  <c r="DV33" s="1"/>
  <c r="DV161"/>
  <c r="DV155"/>
  <c r="EA31"/>
  <c r="DU37" l="1"/>
  <c r="DU35"/>
  <c r="DU15" s="1"/>
  <c r="EB31"/>
  <c r="EB130" s="1"/>
  <c r="EA130"/>
  <c r="EB132"/>
  <c r="EA132"/>
  <c r="DG31"/>
  <c r="DH31"/>
  <c r="DI31"/>
  <c r="DJ31"/>
  <c r="DF31"/>
  <c r="DJ122" l="1"/>
  <c r="DJ121"/>
  <c r="DJ120"/>
  <c r="DJ37"/>
  <c r="DJ34"/>
  <c r="DO35" l="1"/>
  <c r="DO15" s="1"/>
  <c r="DO34"/>
  <c r="DN35"/>
  <c r="DN15" s="1"/>
  <c r="BC155" l="1"/>
  <c r="BC158"/>
  <c r="AD7" i="356" l="1"/>
  <c r="AF7" s="1"/>
  <c r="E85" l="1"/>
  <c r="D85"/>
  <c r="G85" s="1"/>
  <c r="H85" s="1"/>
  <c r="M83"/>
  <c r="C83"/>
  <c r="M82"/>
  <c r="C82"/>
  <c r="M81"/>
  <c r="E81"/>
  <c r="D81"/>
  <c r="M80"/>
  <c r="E80"/>
  <c r="D80"/>
  <c r="M79"/>
  <c r="E79"/>
  <c r="E67"/>
  <c r="D67"/>
  <c r="C67"/>
  <c r="E66"/>
  <c r="E72" s="1"/>
  <c r="D66"/>
  <c r="D71" s="1"/>
  <c r="C66"/>
  <c r="C72" s="1"/>
  <c r="E65"/>
  <c r="E68" s="1"/>
  <c r="D65"/>
  <c r="D68" s="1"/>
  <c r="C65"/>
  <c r="C70" s="1"/>
  <c r="E64"/>
  <c r="D64"/>
  <c r="C64"/>
  <c r="E63"/>
  <c r="D63"/>
  <c r="C63"/>
  <c r="E60"/>
  <c r="D60"/>
  <c r="C60"/>
  <c r="E59"/>
  <c r="D59"/>
  <c r="C59"/>
  <c r="E48"/>
  <c r="E49" s="1"/>
  <c r="D48"/>
  <c r="D49" s="1"/>
  <c r="D42"/>
  <c r="E41"/>
  <c r="E40"/>
  <c r="D40"/>
  <c r="C36"/>
  <c r="C37" s="1"/>
  <c r="D24"/>
  <c r="D25" s="1"/>
  <c r="C24"/>
  <c r="C25" s="1"/>
  <c r="F19"/>
  <c r="E19"/>
  <c r="F18"/>
  <c r="E18"/>
  <c r="D17"/>
  <c r="C17"/>
  <c r="F16"/>
  <c r="E16"/>
  <c r="C89" s="1"/>
  <c r="F15"/>
  <c r="E15"/>
  <c r="C88" s="1"/>
  <c r="E14"/>
  <c r="E13"/>
  <c r="E12"/>
  <c r="E11"/>
  <c r="E10"/>
  <c r="E9"/>
  <c r="D8"/>
  <c r="E8" s="1"/>
  <c r="AE7"/>
  <c r="AG7" s="1"/>
  <c r="E7"/>
  <c r="R22"/>
  <c r="E5"/>
  <c r="K9" l="1"/>
  <c r="T9" s="1"/>
  <c r="J9"/>
  <c r="L9"/>
  <c r="L7"/>
  <c r="K7"/>
  <c r="T7" s="1"/>
  <c r="J7"/>
  <c r="S7" s="1"/>
  <c r="K10"/>
  <c r="J10"/>
  <c r="S10" s="1"/>
  <c r="L10"/>
  <c r="L5"/>
  <c r="H5"/>
  <c r="J5"/>
  <c r="S5" s="1"/>
  <c r="K5"/>
  <c r="T5" s="1"/>
  <c r="L8"/>
  <c r="J8"/>
  <c r="S8" s="1"/>
  <c r="K8"/>
  <c r="T8" s="1"/>
  <c r="I9"/>
  <c r="J120" i="294"/>
  <c r="K120"/>
  <c r="M13" i="356"/>
  <c r="V13" s="1"/>
  <c r="M11"/>
  <c r="V11" s="1"/>
  <c r="Q11" s="1"/>
  <c r="M12"/>
  <c r="V12" s="1"/>
  <c r="I5"/>
  <c r="BB120" i="294"/>
  <c r="F17" i="356"/>
  <c r="G81"/>
  <c r="D82"/>
  <c r="G82" s="1"/>
  <c r="G79"/>
  <c r="F80"/>
  <c r="E17"/>
  <c r="C90" s="1"/>
  <c r="C91" s="1"/>
  <c r="F81"/>
  <c r="E83"/>
  <c r="E6"/>
  <c r="F79"/>
  <c r="D83"/>
  <c r="G83" s="1"/>
  <c r="F85"/>
  <c r="R19"/>
  <c r="I7"/>
  <c r="L52" s="1"/>
  <c r="L51"/>
  <c r="C69"/>
  <c r="E71"/>
  <c r="D70"/>
  <c r="C71"/>
  <c r="E69"/>
  <c r="D72"/>
  <c r="Q18"/>
  <c r="H8"/>
  <c r="Q19"/>
  <c r="H19"/>
  <c r="H16"/>
  <c r="H10"/>
  <c r="H9"/>
  <c r="K51" s="1"/>
  <c r="H7"/>
  <c r="H18"/>
  <c r="Q17"/>
  <c r="H15"/>
  <c r="G8"/>
  <c r="AH9" s="1"/>
  <c r="G9"/>
  <c r="AH10" s="1"/>
  <c r="G7"/>
  <c r="K52" s="1"/>
  <c r="G10"/>
  <c r="AH11" s="1"/>
  <c r="G5"/>
  <c r="AH6" s="1"/>
  <c r="N11"/>
  <c r="W11" s="1"/>
  <c r="N13"/>
  <c r="W13" s="1"/>
  <c r="N12"/>
  <c r="W12" s="1"/>
  <c r="N14"/>
  <c r="W14" s="1"/>
  <c r="I8"/>
  <c r="R18"/>
  <c r="I19"/>
  <c r="C68"/>
  <c r="D69"/>
  <c r="E70"/>
  <c r="G80"/>
  <c r="E82"/>
  <c r="M14"/>
  <c r="V14" s="1"/>
  <c r="I10"/>
  <c r="I15"/>
  <c r="I16"/>
  <c r="R17"/>
  <c r="I18"/>
  <c r="CN31" i="295"/>
  <c r="CS34"/>
  <c r="H6" i="356" l="1"/>
  <c r="K6"/>
  <c r="T6" s="1"/>
  <c r="J6"/>
  <c r="S6" s="1"/>
  <c r="L6"/>
  <c r="G6"/>
  <c r="F82"/>
  <c r="CA122" i="295"/>
  <c r="CA121"/>
  <c r="CA120"/>
  <c r="CO122"/>
  <c r="CO121"/>
  <c r="CO120"/>
  <c r="CD121"/>
  <c r="CD122"/>
  <c r="H17" i="356"/>
  <c r="I6"/>
  <c r="AH7"/>
  <c r="C92"/>
  <c r="I17"/>
  <c r="CO35" i="295"/>
  <c r="CO15" s="1"/>
  <c r="CA35"/>
  <c r="CA15" s="1"/>
  <c r="CK34"/>
  <c r="CK35"/>
  <c r="CK15" s="1"/>
  <c r="H83" i="356"/>
  <c r="R11"/>
  <c r="F83"/>
  <c r="H80"/>
  <c r="H79"/>
  <c r="R12"/>
  <c r="H82"/>
  <c r="AC11"/>
  <c r="H81"/>
  <c r="CT34" i="295"/>
  <c r="Q12" i="356"/>
  <c r="AC12" s="1"/>
  <c r="AH8"/>
  <c r="BZ30" i="295"/>
  <c r="CA30"/>
  <c r="CB30"/>
  <c r="CC30"/>
  <c r="CD30"/>
  <c r="CE30"/>
  <c r="CF30"/>
  <c r="CG30"/>
  <c r="CH30"/>
  <c r="CI30"/>
  <c r="CJ30"/>
  <c r="CK30"/>
  <c r="CL30"/>
  <c r="CM30"/>
  <c r="CN30"/>
  <c r="CO30"/>
  <c r="CP30"/>
  <c r="CQ30"/>
  <c r="CR30"/>
  <c r="CS30"/>
  <c r="CT30"/>
  <c r="CU30"/>
  <c r="CV30"/>
  <c r="CW30"/>
  <c r="CX30"/>
  <c r="CY30"/>
  <c r="CZ30"/>
  <c r="DA30"/>
  <c r="DB30"/>
  <c r="DC30"/>
  <c r="BZ175"/>
  <c r="BZ116" s="1"/>
  <c r="CA175"/>
  <c r="CA116" s="1"/>
  <c r="CJ175"/>
  <c r="CJ116" s="1"/>
  <c r="CC175"/>
  <c r="CC116" s="1"/>
  <c r="CD175"/>
  <c r="CD116" s="1"/>
  <c r="CE175"/>
  <c r="CE116" s="1"/>
  <c r="CF175"/>
  <c r="CF116" s="1"/>
  <c r="CG175"/>
  <c r="CG116" s="1"/>
  <c r="CM175"/>
  <c r="CM116" s="1"/>
  <c r="CQ175"/>
  <c r="CQ116" s="1"/>
  <c r="CR175"/>
  <c r="CR116" s="1"/>
  <c r="CS31"/>
  <c r="CS175" s="1"/>
  <c r="CS116" s="1"/>
  <c r="CT31"/>
  <c r="CT175" s="1"/>
  <c r="CT116" s="1"/>
  <c r="CU31"/>
  <c r="CU175" s="1"/>
  <c r="CU116" s="1"/>
  <c r="CV31"/>
  <c r="CV175" s="1"/>
  <c r="CV116" s="1"/>
  <c r="CW31"/>
  <c r="CW175" s="1"/>
  <c r="CW116" s="1"/>
  <c r="CX31"/>
  <c r="CX175" s="1"/>
  <c r="CX116" s="1"/>
  <c r="CY31"/>
  <c r="CY175" s="1"/>
  <c r="CY116" s="1"/>
  <c r="CZ31"/>
  <c r="CZ175" s="1"/>
  <c r="CZ116" s="1"/>
  <c r="DA31"/>
  <c r="DA175" s="1"/>
  <c r="DA116" s="1"/>
  <c r="DB31"/>
  <c r="DB175" s="1"/>
  <c r="DB116" s="1"/>
  <c r="DC31"/>
  <c r="DC175" s="1"/>
  <c r="DC116" s="1"/>
  <c r="DC34"/>
  <c r="DC176" s="1"/>
  <c r="DC117" s="1"/>
  <c r="DC177"/>
  <c r="DC120" s="1"/>
  <c r="DC35"/>
  <c r="BZ38"/>
  <c r="CA38"/>
  <c r="CB38"/>
  <c r="CC38"/>
  <c r="CD38"/>
  <c r="CE38"/>
  <c r="CF38"/>
  <c r="CG38"/>
  <c r="CO38"/>
  <c r="CP38"/>
  <c r="CQ38"/>
  <c r="CR38"/>
  <c r="CS38"/>
  <c r="CT38"/>
  <c r="CU38"/>
  <c r="CV38"/>
  <c r="AH107"/>
  <c r="AF107"/>
  <c r="AC107"/>
  <c r="P30"/>
  <c r="DV175"/>
  <c r="DY175"/>
  <c r="DU176"/>
  <c r="DV176"/>
  <c r="DX176"/>
  <c r="DU177"/>
  <c r="DV177"/>
  <c r="DX177"/>
  <c r="DV178"/>
  <c r="DU179"/>
  <c r="DX179"/>
  <c r="DT175"/>
  <c r="DF175"/>
  <c r="DG175"/>
  <c r="DH175"/>
  <c r="DI175"/>
  <c r="DJ175"/>
  <c r="DK175"/>
  <c r="DL175"/>
  <c r="DM175"/>
  <c r="DN175"/>
  <c r="DO175"/>
  <c r="DP175"/>
  <c r="DQ175"/>
  <c r="DR175"/>
  <c r="DM179"/>
  <c r="DN179"/>
  <c r="DO179"/>
  <c r="DE175"/>
  <c r="CP175"/>
  <c r="CP116" s="1"/>
  <c r="CO175"/>
  <c r="CO116" s="1"/>
  <c r="CH175"/>
  <c r="CH116" s="1"/>
  <c r="CI175"/>
  <c r="CI116" s="1"/>
  <c r="CK175"/>
  <c r="CK116" s="1"/>
  <c r="CL175"/>
  <c r="CL116" s="1"/>
  <c r="CN175"/>
  <c r="CN116" s="1"/>
  <c r="CN176"/>
  <c r="CN117" s="1"/>
  <c r="CN177"/>
  <c r="CN178"/>
  <c r="BS175"/>
  <c r="BT175"/>
  <c r="BU175"/>
  <c r="BV175"/>
  <c r="BW175"/>
  <c r="BX175"/>
  <c r="BR175"/>
  <c r="BO175"/>
  <c r="BP175"/>
  <c r="BO176"/>
  <c r="BP176"/>
  <c r="BO177"/>
  <c r="BP177"/>
  <c r="BO178"/>
  <c r="BP178"/>
  <c r="BP179"/>
  <c r="BK175"/>
  <c r="BN175"/>
  <c r="BN176"/>
  <c r="BN177"/>
  <c r="BN178"/>
  <c r="BN179"/>
  <c r="BH175"/>
  <c r="BE175"/>
  <c r="BF175"/>
  <c r="BD175"/>
  <c r="BC176"/>
  <c r="BC175"/>
  <c r="AY175"/>
  <c r="AZ175"/>
  <c r="BA175"/>
  <c r="BB175"/>
  <c r="AX175"/>
  <c r="AQ175"/>
  <c r="AR175"/>
  <c r="AS175"/>
  <c r="AT175"/>
  <c r="AU175"/>
  <c r="AV175"/>
  <c r="AQ176"/>
  <c r="AQ177"/>
  <c r="AQ178"/>
  <c r="AP176"/>
  <c r="AP177"/>
  <c r="AP178"/>
  <c r="AP175"/>
  <c r="AF175"/>
  <c r="AN175"/>
  <c r="AM175"/>
  <c r="AH175"/>
  <c r="AI175"/>
  <c r="AJ175"/>
  <c r="AH179"/>
  <c r="AI179"/>
  <c r="AG175"/>
  <c r="S175"/>
  <c r="T175"/>
  <c r="U175"/>
  <c r="V175"/>
  <c r="W175"/>
  <c r="X175"/>
  <c r="Y175"/>
  <c r="Z175"/>
  <c r="AA175"/>
  <c r="AC175"/>
  <c r="Y176"/>
  <c r="Z176"/>
  <c r="AA176"/>
  <c r="Y177"/>
  <c r="Z177"/>
  <c r="AA177"/>
  <c r="Y178"/>
  <c r="Z178"/>
  <c r="AA178"/>
  <c r="X179"/>
  <c r="Y179"/>
  <c r="Z179"/>
  <c r="AA179"/>
  <c r="R179"/>
  <c r="R178"/>
  <c r="R177"/>
  <c r="R176"/>
  <c r="R175"/>
  <c r="G175"/>
  <c r="J175"/>
  <c r="K175"/>
  <c r="L175"/>
  <c r="E179"/>
  <c r="E176"/>
  <c r="E177"/>
  <c r="E178"/>
  <c r="E172"/>
  <c r="E173"/>
  <c r="E174"/>
  <c r="E175"/>
  <c r="E13"/>
  <c r="DE155"/>
  <c r="G109" i="318"/>
  <c r="G10"/>
  <c r="BR155" i="295"/>
  <c r="BZ155"/>
  <c r="BP162"/>
  <c r="X178"/>
  <c r="X177"/>
  <c r="U155"/>
  <c r="S35"/>
  <c r="AM35" s="1"/>
  <c r="L158"/>
  <c r="L176" s="1"/>
  <c r="S15" l="1"/>
  <c r="S98"/>
  <c r="DC178"/>
  <c r="DC15"/>
  <c r="BI117"/>
  <c r="BI118"/>
  <c r="CB121"/>
  <c r="CB120"/>
  <c r="CB122"/>
  <c r="BJ122"/>
  <c r="BJ118"/>
  <c r="BJ121"/>
  <c r="BJ117"/>
  <c r="BJ120"/>
  <c r="CS122"/>
  <c r="CS121"/>
  <c r="CP122"/>
  <c r="CP121"/>
  <c r="CP120"/>
  <c r="CE122"/>
  <c r="CE121"/>
  <c r="BI37"/>
  <c r="BI31"/>
  <c r="BI175" s="1"/>
  <c r="BI34"/>
  <c r="CI34"/>
  <c r="CB35"/>
  <c r="CB15" s="1"/>
  <c r="CB37"/>
  <c r="CL37"/>
  <c r="CL35"/>
  <c r="CL15" s="1"/>
  <c r="CL34"/>
  <c r="BJ175"/>
  <c r="BJ34"/>
  <c r="BJ37"/>
  <c r="BJ32"/>
  <c r="CP35"/>
  <c r="CP15" s="1"/>
  <c r="CZ35"/>
  <c r="CZ15" s="1"/>
  <c r="CZ37"/>
  <c r="CZ34"/>
  <c r="CE35"/>
  <c r="CE15" s="1"/>
  <c r="CE37"/>
  <c r="X176"/>
  <c r="CB175"/>
  <c r="CB116" s="1"/>
  <c r="AT37"/>
  <c r="AS179"/>
  <c r="AS177"/>
  <c r="AR179"/>
  <c r="AR177"/>
  <c r="AS178"/>
  <c r="CU34"/>
  <c r="AV177"/>
  <c r="BN162"/>
  <c r="CI35" l="1"/>
  <c r="BL121"/>
  <c r="BL122"/>
  <c r="BL118"/>
  <c r="BL120"/>
  <c r="BL117"/>
  <c r="CC121"/>
  <c r="CC122"/>
  <c r="CC120"/>
  <c r="CJ121"/>
  <c r="CJ122"/>
  <c r="CF121"/>
  <c r="CF122"/>
  <c r="CQ122"/>
  <c r="CQ121"/>
  <c r="CQ120"/>
  <c r="CC34"/>
  <c r="CC37"/>
  <c r="CC35"/>
  <c r="CC15" s="1"/>
  <c r="CM37"/>
  <c r="CM35"/>
  <c r="CM15" s="1"/>
  <c r="CM34"/>
  <c r="CT35"/>
  <c r="CT15" s="1"/>
  <c r="CT37"/>
  <c r="CJ37"/>
  <c r="CJ34"/>
  <c r="DA37"/>
  <c r="DA34"/>
  <c r="DA35"/>
  <c r="DA15" s="1"/>
  <c r="CX34"/>
  <c r="CX35"/>
  <c r="CX15" s="1"/>
  <c r="CX37"/>
  <c r="BL175"/>
  <c r="BL34"/>
  <c r="BL37"/>
  <c r="BL32"/>
  <c r="CF35"/>
  <c r="CF15" s="1"/>
  <c r="CF37"/>
  <c r="CQ34"/>
  <c r="CQ37"/>
  <c r="CQ35"/>
  <c r="CQ15" s="1"/>
  <c r="AV176"/>
  <c r="AV178"/>
  <c r="AV179"/>
  <c r="AT179"/>
  <c r="CV34"/>
  <c r="AT177"/>
  <c r="AT34"/>
  <c r="AR176"/>
  <c r="AR178"/>
  <c r="CI37" l="1"/>
  <c r="CI15"/>
  <c r="CG121"/>
  <c r="CG122"/>
  <c r="CR121"/>
  <c r="CR120"/>
  <c r="CR122"/>
  <c r="DB34"/>
  <c r="DB35"/>
  <c r="DB15" s="1"/>
  <c r="DB37"/>
  <c r="CY34"/>
  <c r="CY35"/>
  <c r="CY15" s="1"/>
  <c r="CY37"/>
  <c r="CR34"/>
  <c r="CR37"/>
  <c r="CR35"/>
  <c r="CR15" s="1"/>
  <c r="CG35"/>
  <c r="CG15" s="1"/>
  <c r="CG37"/>
  <c r="CU35"/>
  <c r="CU15" s="1"/>
  <c r="CU37"/>
  <c r="AT178"/>
  <c r="AT176"/>
  <c r="CV35" l="1"/>
  <c r="CV15" s="1"/>
  <c r="BH155"/>
  <c r="BP29"/>
  <c r="BO29"/>
  <c r="BN29"/>
  <c r="BA35"/>
  <c r="BA15" s="1"/>
  <c r="AX35"/>
  <c r="AX15" s="1"/>
  <c r="AX34"/>
  <c r="BB29"/>
  <c r="AZ29"/>
  <c r="AY29"/>
  <c r="AW29"/>
  <c r="AP33"/>
  <c r="AN35"/>
  <c r="AN15" s="1"/>
  <c r="AN34"/>
  <c r="AM29"/>
  <c r="AL29"/>
  <c r="AK29"/>
  <c r="AJ29"/>
  <c r="AF29"/>
  <c r="AE29"/>
  <c r="AD29"/>
  <c r="AB29"/>
  <c r="S29"/>
  <c r="M165"/>
  <c r="H165"/>
  <c r="G165"/>
  <c r="E165"/>
  <c r="C162"/>
  <c r="EN161"/>
  <c r="EG161"/>
  <c r="EH161" s="1"/>
  <c r="EE161"/>
  <c r="EF161" s="1"/>
  <c r="EA161"/>
  <c r="EB161" s="1"/>
  <c r="DK161"/>
  <c r="BR161"/>
  <c r="BF161"/>
  <c r="BF179" s="1"/>
  <c r="BA161"/>
  <c r="AX161"/>
  <c r="AW161"/>
  <c r="AW179" s="1"/>
  <c r="AU161"/>
  <c r="AP161"/>
  <c r="AQ161" s="1"/>
  <c r="AQ179" s="1"/>
  <c r="T161"/>
  <c r="L161"/>
  <c r="L179" s="1"/>
  <c r="K161"/>
  <c r="K179" s="1"/>
  <c r="J161"/>
  <c r="G161"/>
  <c r="F161"/>
  <c r="F179" s="1"/>
  <c r="C161"/>
  <c r="EN160"/>
  <c r="EI160"/>
  <c r="EJ160" s="1"/>
  <c r="EA160"/>
  <c r="EB160" s="1"/>
  <c r="DU160"/>
  <c r="DU178" s="1"/>
  <c r="DK160"/>
  <c r="BZ160"/>
  <c r="BR160"/>
  <c r="BF160"/>
  <c r="BF178" s="1"/>
  <c r="BA160"/>
  <c r="AX160"/>
  <c r="AY160" s="1"/>
  <c r="AU160"/>
  <c r="T160"/>
  <c r="L160"/>
  <c r="L178" s="1"/>
  <c r="K160"/>
  <c r="K178" s="1"/>
  <c r="J160"/>
  <c r="G160"/>
  <c r="F160"/>
  <c r="F178" s="1"/>
  <c r="C160"/>
  <c r="EN159"/>
  <c r="EI159"/>
  <c r="EJ159" s="1"/>
  <c r="EA159"/>
  <c r="EB159" s="1"/>
  <c r="DK159"/>
  <c r="BZ159"/>
  <c r="BR159"/>
  <c r="BF159"/>
  <c r="BF177" s="1"/>
  <c r="BA159"/>
  <c r="AX159"/>
  <c r="BB159" s="1"/>
  <c r="AU159"/>
  <c r="BU159" s="1"/>
  <c r="BV159" s="1"/>
  <c r="BW159" s="1"/>
  <c r="BW177" s="1"/>
  <c r="T159"/>
  <c r="L159"/>
  <c r="L177" s="1"/>
  <c r="K159"/>
  <c r="K177" s="1"/>
  <c r="J159"/>
  <c r="G159"/>
  <c r="H159" s="1"/>
  <c r="H177" s="1"/>
  <c r="F159"/>
  <c r="C159"/>
  <c r="EN158"/>
  <c r="EI158"/>
  <c r="EJ158" s="1"/>
  <c r="EA158"/>
  <c r="EB158" s="1"/>
  <c r="DK158"/>
  <c r="BR158"/>
  <c r="BF158"/>
  <c r="BF176" s="1"/>
  <c r="BC159"/>
  <c r="BA158"/>
  <c r="AX158"/>
  <c r="BB158" s="1"/>
  <c r="AU158"/>
  <c r="T158"/>
  <c r="K158"/>
  <c r="K176" s="1"/>
  <c r="J158"/>
  <c r="J176" s="1"/>
  <c r="G158"/>
  <c r="H158" s="1"/>
  <c r="F158"/>
  <c r="F176" s="1"/>
  <c r="C158"/>
  <c r="EN157"/>
  <c r="EA157"/>
  <c r="EB157" s="1"/>
  <c r="EN156"/>
  <c r="P156"/>
  <c r="N156"/>
  <c r="DY155"/>
  <c r="DX155"/>
  <c r="DU155"/>
  <c r="DT155"/>
  <c r="DR155"/>
  <c r="DQ155"/>
  <c r="DP155"/>
  <c r="DO155"/>
  <c r="DN155"/>
  <c r="DM155"/>
  <c r="DL155"/>
  <c r="DK155"/>
  <c r="DJ155"/>
  <c r="DI155"/>
  <c r="DH155"/>
  <c r="DG155"/>
  <c r="DF155"/>
  <c r="DC155"/>
  <c r="DC29" s="1"/>
  <c r="DB155"/>
  <c r="DB29" s="1"/>
  <c r="DA155"/>
  <c r="DA29" s="1"/>
  <c r="CZ155"/>
  <c r="CZ29" s="1"/>
  <c r="CY155"/>
  <c r="CY29" s="1"/>
  <c r="CX155"/>
  <c r="CX29" s="1"/>
  <c r="CW155"/>
  <c r="CW29" s="1"/>
  <c r="CV155"/>
  <c r="CV29" s="1"/>
  <c r="CU155"/>
  <c r="CU29" s="1"/>
  <c r="CT155"/>
  <c r="CT29" s="1"/>
  <c r="CS155"/>
  <c r="CS29" s="1"/>
  <c r="CR155"/>
  <c r="CR29" s="1"/>
  <c r="CQ155"/>
  <c r="CQ29" s="1"/>
  <c r="CP155"/>
  <c r="CP29" s="1"/>
  <c r="CO155"/>
  <c r="CO29" s="1"/>
  <c r="CN155"/>
  <c r="CN29" s="1"/>
  <c r="CM155"/>
  <c r="CM29" s="1"/>
  <c r="CL155"/>
  <c r="CL29" s="1"/>
  <c r="CK155"/>
  <c r="CK29" s="1"/>
  <c r="CJ155"/>
  <c r="CJ29" s="1"/>
  <c r="CI155"/>
  <c r="CI29" s="1"/>
  <c r="CH155"/>
  <c r="CH29" s="1"/>
  <c r="CG155"/>
  <c r="CF155"/>
  <c r="CE155"/>
  <c r="CD155"/>
  <c r="CC155"/>
  <c r="CB155"/>
  <c r="CA155"/>
  <c r="BX155"/>
  <c r="BW155"/>
  <c r="BV155"/>
  <c r="BU155"/>
  <c r="BT155"/>
  <c r="BS155"/>
  <c r="BP155"/>
  <c r="BO155"/>
  <c r="BN155"/>
  <c r="BM155"/>
  <c r="BL155"/>
  <c r="BK155"/>
  <c r="BJ155"/>
  <c r="BI155"/>
  <c r="BF155"/>
  <c r="BE155"/>
  <c r="BD155"/>
  <c r="BB155"/>
  <c r="BA155"/>
  <c r="AZ155"/>
  <c r="AY155"/>
  <c r="AX155"/>
  <c r="AW155"/>
  <c r="AU155"/>
  <c r="AT155"/>
  <c r="AS155"/>
  <c r="AR155"/>
  <c r="AN155"/>
  <c r="AM155"/>
  <c r="AL155"/>
  <c r="AK155"/>
  <c r="AJ155"/>
  <c r="AG155"/>
  <c r="AF155"/>
  <c r="AC155"/>
  <c r="AB155"/>
  <c r="W155"/>
  <c r="V155"/>
  <c r="T155"/>
  <c r="S155"/>
  <c r="N155"/>
  <c r="DY154"/>
  <c r="DX154"/>
  <c r="E14"/>
  <c r="P173"/>
  <c r="M173"/>
  <c r="K185"/>
  <c r="L185"/>
  <c r="T185"/>
  <c r="U185"/>
  <c r="V185"/>
  <c r="W185"/>
  <c r="AC185"/>
  <c r="AG185"/>
  <c r="AN185"/>
  <c r="AR185"/>
  <c r="AS185"/>
  <c r="AT185"/>
  <c r="AU185"/>
  <c r="AX185"/>
  <c r="AY185"/>
  <c r="AZ185"/>
  <c r="BA185"/>
  <c r="BB185"/>
  <c r="BC185"/>
  <c r="BD185"/>
  <c r="BE185"/>
  <c r="BF185"/>
  <c r="BH185"/>
  <c r="BI185"/>
  <c r="BJ185"/>
  <c r="BK185"/>
  <c r="BL185"/>
  <c r="BR185"/>
  <c r="BS185"/>
  <c r="BT185"/>
  <c r="BZ185"/>
  <c r="CA185"/>
  <c r="CB185"/>
  <c r="CC185"/>
  <c r="CD185"/>
  <c r="CE185"/>
  <c r="CF185"/>
  <c r="CG185"/>
  <c r="CK185"/>
  <c r="CL185"/>
  <c r="CM185"/>
  <c r="CO185"/>
  <c r="CP185"/>
  <c r="CQ185"/>
  <c r="CR185"/>
  <c r="CS185"/>
  <c r="CT185"/>
  <c r="CU185"/>
  <c r="CV185"/>
  <c r="CZ185"/>
  <c r="DA185"/>
  <c r="DB185"/>
  <c r="DE185"/>
  <c r="DF185"/>
  <c r="DG185"/>
  <c r="DH185"/>
  <c r="DK185"/>
  <c r="DL185"/>
  <c r="DP185"/>
  <c r="DQ185"/>
  <c r="DR185"/>
  <c r="DT185"/>
  <c r="E193"/>
  <c r="E208" s="1"/>
  <c r="G193"/>
  <c r="J193"/>
  <c r="K193"/>
  <c r="L193"/>
  <c r="E194"/>
  <c r="F194"/>
  <c r="G194"/>
  <c r="H194"/>
  <c r="J194"/>
  <c r="K194"/>
  <c r="L194"/>
  <c r="E195"/>
  <c r="F195"/>
  <c r="G195"/>
  <c r="H195"/>
  <c r="J195"/>
  <c r="K195"/>
  <c r="L195"/>
  <c r="E196"/>
  <c r="F196"/>
  <c r="G196"/>
  <c r="H196"/>
  <c r="J196"/>
  <c r="K196"/>
  <c r="L196"/>
  <c r="E197"/>
  <c r="F197"/>
  <c r="G197"/>
  <c r="H197"/>
  <c r="I197"/>
  <c r="J197"/>
  <c r="K197"/>
  <c r="L197"/>
  <c r="L13" i="355"/>
  <c r="I26"/>
  <c r="H13"/>
  <c r="H26" s="1"/>
  <c r="G13"/>
  <c r="G26" s="1"/>
  <c r="L26"/>
  <c r="AU177" i="295" l="1"/>
  <c r="BA179"/>
  <c r="G176"/>
  <c r="J179"/>
  <c r="AN161"/>
  <c r="AN179" s="1"/>
  <c r="T179"/>
  <c r="BB161"/>
  <c r="BB179" s="1"/>
  <c r="AX179"/>
  <c r="BS161"/>
  <c r="BR179"/>
  <c r="BB34"/>
  <c r="BB176" s="1"/>
  <c r="AX176"/>
  <c r="BU158"/>
  <c r="BU176" s="1"/>
  <c r="CO159"/>
  <c r="DR158"/>
  <c r="DR176" s="1"/>
  <c r="T176"/>
  <c r="BS158"/>
  <c r="BR176"/>
  <c r="BS159"/>
  <c r="BR177"/>
  <c r="H160"/>
  <c r="G178"/>
  <c r="BH160"/>
  <c r="T178"/>
  <c r="BU161"/>
  <c r="BU179" s="1"/>
  <c r="AU179"/>
  <c r="BV177"/>
  <c r="G177"/>
  <c r="J178"/>
  <c r="AZ158"/>
  <c r="J177"/>
  <c r="AP179"/>
  <c r="BC160"/>
  <c r="BC177"/>
  <c r="DE159"/>
  <c r="DE177" s="1"/>
  <c r="DK177"/>
  <c r="CK160"/>
  <c r="CK178" s="1"/>
  <c r="BZ178"/>
  <c r="H161"/>
  <c r="I161" s="1"/>
  <c r="I179" s="1"/>
  <c r="G179"/>
  <c r="AX177"/>
  <c r="BB35"/>
  <c r="BB15" s="1"/>
  <c r="AX178"/>
  <c r="DE158"/>
  <c r="DE176" s="1"/>
  <c r="BU160"/>
  <c r="BU178" s="1"/>
  <c r="BS160"/>
  <c r="BR178"/>
  <c r="DR159"/>
  <c r="DR177" s="1"/>
  <c r="T177"/>
  <c r="DL160"/>
  <c r="DE161"/>
  <c r="DE179" s="1"/>
  <c r="BU177"/>
  <c r="F177"/>
  <c r="BA177"/>
  <c r="AU176"/>
  <c r="AU178"/>
  <c r="AY158"/>
  <c r="AZ161"/>
  <c r="BA178"/>
  <c r="AG158"/>
  <c r="AJ158" s="1"/>
  <c r="CA160"/>
  <c r="U161"/>
  <c r="W161" s="1"/>
  <c r="H176"/>
  <c r="CA159"/>
  <c r="CB159" s="1"/>
  <c r="CQ159" s="1"/>
  <c r="AG161"/>
  <c r="AZ35"/>
  <c r="AZ15" s="1"/>
  <c r="AY35"/>
  <c r="AY34"/>
  <c r="AZ34"/>
  <c r="AY161"/>
  <c r="AY159"/>
  <c r="DL159"/>
  <c r="DL177" s="1"/>
  <c r="AZ159"/>
  <c r="CO160"/>
  <c r="CO178" s="1"/>
  <c r="U158"/>
  <c r="U159"/>
  <c r="DL158"/>
  <c r="U160"/>
  <c r="U178" s="1"/>
  <c r="DL161"/>
  <c r="AG159"/>
  <c r="AJ159" s="1"/>
  <c r="AG160"/>
  <c r="AJ160" s="1"/>
  <c r="BH158"/>
  <c r="BH159"/>
  <c r="CK159"/>
  <c r="AN160"/>
  <c r="AZ160"/>
  <c r="BD160"/>
  <c r="CD160"/>
  <c r="CD178" s="1"/>
  <c r="CH160"/>
  <c r="CH178" s="1"/>
  <c r="DE160"/>
  <c r="DE178" s="1"/>
  <c r="AN158"/>
  <c r="BD158"/>
  <c r="AN159"/>
  <c r="BD159"/>
  <c r="CD159"/>
  <c r="CH159"/>
  <c r="DR160"/>
  <c r="DR178" s="1"/>
  <c r="BH161"/>
  <c r="BZ161"/>
  <c r="BZ179" s="1"/>
  <c r="DR161"/>
  <c r="DR179" s="1"/>
  <c r="BB160"/>
  <c r="BD161"/>
  <c r="F190"/>
  <c r="AY178" l="1"/>
  <c r="AY15"/>
  <c r="DG161"/>
  <c r="DH161" s="1"/>
  <c r="DH179" s="1"/>
  <c r="DF161"/>
  <c r="DF179" s="1"/>
  <c r="BI161"/>
  <c r="BI179" s="1"/>
  <c r="AZ176"/>
  <c r="CP159"/>
  <c r="DI159"/>
  <c r="DJ159" s="1"/>
  <c r="DJ177" s="1"/>
  <c r="DI161"/>
  <c r="DI179" s="1"/>
  <c r="CC159"/>
  <c r="CR159" s="1"/>
  <c r="DG159"/>
  <c r="DH159" s="1"/>
  <c r="DH177" s="1"/>
  <c r="AY176"/>
  <c r="DG158"/>
  <c r="DG176" s="1"/>
  <c r="DG117" s="1"/>
  <c r="DI158"/>
  <c r="DI176" s="1"/>
  <c r="DI117" s="1"/>
  <c r="DF158"/>
  <c r="DF176" s="1"/>
  <c r="DF117" s="1"/>
  <c r="DF159"/>
  <c r="DF177" s="1"/>
  <c r="BV158"/>
  <c r="BW158" s="1"/>
  <c r="BW176" s="1"/>
  <c r="AZ179"/>
  <c r="H179"/>
  <c r="BB177"/>
  <c r="BC161"/>
  <c r="BC179" s="1"/>
  <c r="BC178"/>
  <c r="W179"/>
  <c r="BE160"/>
  <c r="BE178" s="1"/>
  <c r="BD178"/>
  <c r="V159"/>
  <c r="BJ159" s="1"/>
  <c r="U177"/>
  <c r="CP160"/>
  <c r="CP178" s="1"/>
  <c r="CA178"/>
  <c r="BT160"/>
  <c r="BS178"/>
  <c r="BT158"/>
  <c r="BS176"/>
  <c r="CZ160"/>
  <c r="CZ178" s="1"/>
  <c r="AY179"/>
  <c r="BV161"/>
  <c r="BK159"/>
  <c r="BK177" s="1"/>
  <c r="BH177"/>
  <c r="V158"/>
  <c r="S158" s="1"/>
  <c r="AM158" s="1"/>
  <c r="U176"/>
  <c r="BT161"/>
  <c r="BS179"/>
  <c r="DG179"/>
  <c r="AJ161"/>
  <c r="AJ179" s="1"/>
  <c r="AG179"/>
  <c r="V161"/>
  <c r="U179"/>
  <c r="AZ177"/>
  <c r="BE159"/>
  <c r="BE177" s="1"/>
  <c r="BD177"/>
  <c r="BE161"/>
  <c r="BE179" s="1"/>
  <c r="BD179"/>
  <c r="BK161"/>
  <c r="BK179" s="1"/>
  <c r="BH179"/>
  <c r="BE158"/>
  <c r="BE176" s="1"/>
  <c r="BD176"/>
  <c r="BK158"/>
  <c r="BK176" s="1"/>
  <c r="BH176"/>
  <c r="AY177"/>
  <c r="BK160"/>
  <c r="BK178" s="1"/>
  <c r="BH178"/>
  <c r="BT159"/>
  <c r="BS177"/>
  <c r="CO177"/>
  <c r="BZ177"/>
  <c r="CL160"/>
  <c r="CL178" s="1"/>
  <c r="CB160"/>
  <c r="CQ160" s="1"/>
  <c r="CQ178" s="1"/>
  <c r="AZ178"/>
  <c r="BV160"/>
  <c r="BB178"/>
  <c r="H178"/>
  <c r="BI158"/>
  <c r="S97"/>
  <c r="BO179"/>
  <c r="BI159"/>
  <c r="W159"/>
  <c r="W158"/>
  <c r="W160"/>
  <c r="V160"/>
  <c r="V178" s="1"/>
  <c r="BI160"/>
  <c r="CA161"/>
  <c r="CA179" s="1"/>
  <c r="CH161"/>
  <c r="CH179" s="1"/>
  <c r="CD161"/>
  <c r="CD179" s="1"/>
  <c r="CO161"/>
  <c r="CO179" s="1"/>
  <c r="CK161"/>
  <c r="CK179" s="1"/>
  <c r="CW160"/>
  <c r="CW178" s="1"/>
  <c r="CI160"/>
  <c r="CI178" s="1"/>
  <c r="CW159"/>
  <c r="CI159"/>
  <c r="DG160"/>
  <c r="DG178" s="1"/>
  <c r="DF160"/>
  <c r="DF178" s="1"/>
  <c r="DI160"/>
  <c r="AC161"/>
  <c r="AC179" s="1"/>
  <c r="AB161"/>
  <c r="AB179" s="1"/>
  <c r="CS160"/>
  <c r="CS178" s="1"/>
  <c r="CE160"/>
  <c r="CE178" s="1"/>
  <c r="CS159"/>
  <c r="CE159"/>
  <c r="CZ159"/>
  <c r="CL159"/>
  <c r="BL161" l="1"/>
  <c r="BL179" s="1"/>
  <c r="DJ161"/>
  <c r="DJ179" s="1"/>
  <c r="DI177"/>
  <c r="BM121"/>
  <c r="BM120"/>
  <c r="BM122"/>
  <c r="BM117"/>
  <c r="BM118"/>
  <c r="DG177"/>
  <c r="DM159"/>
  <c r="DM158"/>
  <c r="DM176" s="1"/>
  <c r="DH158"/>
  <c r="DH176" s="1"/>
  <c r="DH117" s="1"/>
  <c r="S159"/>
  <c r="AM159" s="1"/>
  <c r="BV176"/>
  <c r="V177"/>
  <c r="DJ158"/>
  <c r="DJ176" s="1"/>
  <c r="DJ117" s="1"/>
  <c r="BM32"/>
  <c r="BM31"/>
  <c r="BM34"/>
  <c r="BM37"/>
  <c r="CM160"/>
  <c r="CM178" s="1"/>
  <c r="DA160"/>
  <c r="DA178" s="1"/>
  <c r="BL159"/>
  <c r="BL177" s="1"/>
  <c r="BI177"/>
  <c r="S177"/>
  <c r="AM15"/>
  <c r="CS177"/>
  <c r="CD177"/>
  <c r="BX159"/>
  <c r="BX177" s="1"/>
  <c r="BT177"/>
  <c r="BX161"/>
  <c r="BX179" s="1"/>
  <c r="BT179"/>
  <c r="BW161"/>
  <c r="BW179" s="1"/>
  <c r="BV179"/>
  <c r="BX160"/>
  <c r="BX178" s="1"/>
  <c r="BT178"/>
  <c r="BM159"/>
  <c r="BM177" s="1"/>
  <c r="BJ177"/>
  <c r="DJ160"/>
  <c r="DJ178" s="1"/>
  <c r="DI178"/>
  <c r="BL160"/>
  <c r="BL178" s="1"/>
  <c r="BI178"/>
  <c r="AB159"/>
  <c r="W177"/>
  <c r="AM34"/>
  <c r="S176"/>
  <c r="BL158"/>
  <c r="BL176" s="1"/>
  <c r="BI176"/>
  <c r="BW160"/>
  <c r="BW178" s="1"/>
  <c r="BV178"/>
  <c r="CC160"/>
  <c r="CB178"/>
  <c r="AB158"/>
  <c r="W176"/>
  <c r="CZ177"/>
  <c r="CK177"/>
  <c r="CW177"/>
  <c r="CH177"/>
  <c r="V179"/>
  <c r="BJ161"/>
  <c r="S161"/>
  <c r="BJ158"/>
  <c r="V176"/>
  <c r="BX158"/>
  <c r="BX176" s="1"/>
  <c r="BT176"/>
  <c r="AB160"/>
  <c r="W178"/>
  <c r="CP177"/>
  <c r="CA177"/>
  <c r="BO162"/>
  <c r="S160"/>
  <c r="AM160" s="1"/>
  <c r="BJ160"/>
  <c r="AB162"/>
  <c r="AB163"/>
  <c r="CJ159"/>
  <c r="CY159" s="1"/>
  <c r="CX159"/>
  <c r="CK162"/>
  <c r="CZ161"/>
  <c r="CZ179" s="1"/>
  <c r="CK163"/>
  <c r="CL161"/>
  <c r="CL179" s="1"/>
  <c r="CF159"/>
  <c r="CT159"/>
  <c r="CB161"/>
  <c r="CB179" s="1"/>
  <c r="CP161"/>
  <c r="CP179" s="1"/>
  <c r="AC163"/>
  <c r="DP161"/>
  <c r="AC162"/>
  <c r="AK161"/>
  <c r="AK179" s="1"/>
  <c r="DA159"/>
  <c r="CM159"/>
  <c r="DB159" s="1"/>
  <c r="CT160"/>
  <c r="CT178" s="1"/>
  <c r="CF160"/>
  <c r="CF178" s="1"/>
  <c r="AF161"/>
  <c r="AF179" s="1"/>
  <c r="CX160"/>
  <c r="CX178" s="1"/>
  <c r="CJ160"/>
  <c r="CE161"/>
  <c r="CE179" s="1"/>
  <c r="CS161"/>
  <c r="CS179" s="1"/>
  <c r="DH160"/>
  <c r="DH178" s="1"/>
  <c r="DM160"/>
  <c r="DM178" s="1"/>
  <c r="CH163"/>
  <c r="CI161"/>
  <c r="CI179" s="1"/>
  <c r="CH162"/>
  <c r="CW161"/>
  <c r="CW179" s="1"/>
  <c r="DK122" l="1"/>
  <c r="DK121"/>
  <c r="DK120"/>
  <c r="DM177"/>
  <c r="DN159"/>
  <c r="DN177" s="1"/>
  <c r="DO159"/>
  <c r="DO177" s="1"/>
  <c r="DN158"/>
  <c r="DN176" s="1"/>
  <c r="DO158"/>
  <c r="DO176" s="1"/>
  <c r="DB160"/>
  <c r="DB178" s="1"/>
  <c r="BM175"/>
  <c r="BM185"/>
  <c r="DK176"/>
  <c r="DK35"/>
  <c r="DK179"/>
  <c r="CX177"/>
  <c r="CI177"/>
  <c r="DP160"/>
  <c r="AB178"/>
  <c r="CR160"/>
  <c r="CR178" s="1"/>
  <c r="CC178"/>
  <c r="DP159"/>
  <c r="AB177"/>
  <c r="DQ161"/>
  <c r="DQ179" s="1"/>
  <c r="DP179"/>
  <c r="CT177"/>
  <c r="CE177"/>
  <c r="BM161"/>
  <c r="BM179" s="1"/>
  <c r="BJ179"/>
  <c r="S178"/>
  <c r="CY160"/>
  <c r="CY178" s="1"/>
  <c r="CJ178"/>
  <c r="CQ177"/>
  <c r="CB177"/>
  <c r="AM161"/>
  <c r="AM179" s="1"/>
  <c r="S179"/>
  <c r="DP158"/>
  <c r="AB176"/>
  <c r="BM160"/>
  <c r="BM178" s="1"/>
  <c r="BJ178"/>
  <c r="DA177"/>
  <c r="CL177"/>
  <c r="BM158"/>
  <c r="BM176" s="1"/>
  <c r="BJ176"/>
  <c r="CF161"/>
  <c r="CF179" s="1"/>
  <c r="CT161"/>
  <c r="CT179" s="1"/>
  <c r="CG160"/>
  <c r="CU160"/>
  <c r="CU178" s="1"/>
  <c r="AK162"/>
  <c r="AK163"/>
  <c r="CL163"/>
  <c r="CM161"/>
  <c r="CM179" s="1"/>
  <c r="CL162"/>
  <c r="DA161"/>
  <c r="DA179" s="1"/>
  <c r="CW162"/>
  <c r="CW163"/>
  <c r="DO160"/>
  <c r="DO178" s="1"/>
  <c r="DN160"/>
  <c r="DN178" s="1"/>
  <c r="CQ161"/>
  <c r="CQ179" s="1"/>
  <c r="CC161"/>
  <c r="CU159"/>
  <c r="CG159"/>
  <c r="CV159" s="1"/>
  <c r="AF162"/>
  <c r="AL161"/>
  <c r="AL179" s="1"/>
  <c r="AF163"/>
  <c r="CZ162"/>
  <c r="CZ163"/>
  <c r="CJ161"/>
  <c r="CJ179" s="1"/>
  <c r="CI162"/>
  <c r="CX161"/>
  <c r="CX179" s="1"/>
  <c r="CI163"/>
  <c r="DK178" l="1"/>
  <c r="DK15"/>
  <c r="DL178"/>
  <c r="DL176"/>
  <c r="DL179"/>
  <c r="CY177"/>
  <c r="CJ177"/>
  <c r="CU177"/>
  <c r="CF177"/>
  <c r="CV160"/>
  <c r="CV178" s="1"/>
  <c r="CG178"/>
  <c r="CR177"/>
  <c r="CC177"/>
  <c r="DQ159"/>
  <c r="DQ177" s="1"/>
  <c r="DP177"/>
  <c r="DQ160"/>
  <c r="DQ178" s="1"/>
  <c r="DP178"/>
  <c r="CR161"/>
  <c r="CR179" s="1"/>
  <c r="CC179"/>
  <c r="DQ158"/>
  <c r="DQ176" s="1"/>
  <c r="DP176"/>
  <c r="DB177"/>
  <c r="CM177"/>
  <c r="CN161"/>
  <c r="CN179" s="1"/>
  <c r="CM162"/>
  <c r="DB161"/>
  <c r="DB179" s="1"/>
  <c r="CM163"/>
  <c r="CJ162"/>
  <c r="CY161"/>
  <c r="CY179" s="1"/>
  <c r="CJ163"/>
  <c r="AL162"/>
  <c r="DI162" s="1"/>
  <c r="AL163"/>
  <c r="DA162"/>
  <c r="DA163"/>
  <c r="CX163"/>
  <c r="CX162"/>
  <c r="CU161"/>
  <c r="CU179" s="1"/>
  <c r="CG161"/>
  <c r="CV161" l="1"/>
  <c r="CV179" s="1"/>
  <c r="CG179"/>
  <c r="CV177"/>
  <c r="CG177"/>
  <c r="CN162"/>
  <c r="CN37" s="1"/>
  <c r="DC161"/>
  <c r="DC179" s="1"/>
  <c r="DC121" s="1"/>
  <c r="CN163"/>
  <c r="DJ162"/>
  <c r="DP162"/>
  <c r="DN162"/>
  <c r="DB163"/>
  <c r="DB162"/>
  <c r="CY162"/>
  <c r="CY163"/>
  <c r="DC162" l="1"/>
  <c r="DC37" s="1"/>
  <c r="DC163"/>
  <c r="BB121" i="294" l="1"/>
  <c r="BB96"/>
  <c r="K121"/>
  <c r="K96"/>
  <c r="J121"/>
  <c r="J96"/>
  <c r="I121"/>
  <c r="I96"/>
  <c r="AV121"/>
  <c r="AO14"/>
  <c r="G58" l="1"/>
  <c r="M58" l="1"/>
  <c r="L58"/>
  <c r="N58" s="1"/>
  <c r="O58" s="1"/>
  <c r="K58"/>
  <c r="K122" s="1"/>
  <c r="J58"/>
  <c r="J122" s="1"/>
  <c r="G122"/>
  <c r="AU58"/>
  <c r="AZ58"/>
  <c r="AZ122" s="1"/>
  <c r="BB58"/>
  <c r="BB122" s="1"/>
  <c r="I58"/>
  <c r="I122" s="1"/>
  <c r="AW58" l="1"/>
  <c r="AW122" s="1"/>
  <c r="L122"/>
  <c r="AU122"/>
  <c r="N122"/>
  <c r="AH121"/>
  <c r="AH122"/>
  <c r="AC122"/>
  <c r="AD122"/>
  <c r="AV58"/>
  <c r="AV122" s="1"/>
  <c r="O122" l="1"/>
  <c r="EK35" i="295"/>
  <c r="EM35" s="1"/>
  <c r="EK37"/>
  <c r="AL120" i="294"/>
  <c r="AI121"/>
  <c r="AI122"/>
  <c r="AJ121"/>
  <c r="AJ122"/>
  <c r="EM37" i="295" l="1"/>
  <c r="EK135"/>
  <c r="EK134"/>
  <c r="AL56" i="294"/>
  <c r="EL35" i="295"/>
  <c r="EL37"/>
  <c r="EL135" s="1"/>
  <c r="AL58" i="294"/>
  <c r="AL122" s="1"/>
  <c r="AK56"/>
  <c r="AK58"/>
  <c r="AK122" s="1"/>
  <c r="AK121" l="1"/>
  <c r="AK96"/>
  <c r="AL121"/>
  <c r="AL96"/>
  <c r="DU175" i="295"/>
  <c r="EL134"/>
  <c r="DV35"/>
  <c r="EM134"/>
  <c r="DV37"/>
  <c r="EM135"/>
  <c r="AM58" i="294"/>
  <c r="AM122" s="1"/>
  <c r="AM56"/>
  <c r="AT119"/>
  <c r="G12"/>
  <c r="M11"/>
  <c r="M12"/>
  <c r="M15"/>
  <c r="M16"/>
  <c r="M17"/>
  <c r="AM121" l="1"/>
  <c r="AM96"/>
  <c r="DV179" i="295"/>
  <c r="DV15"/>
  <c r="M14" i="294"/>
  <c r="F51" i="223" l="1"/>
  <c r="F53"/>
  <c r="E51"/>
  <c r="F28"/>
  <c r="F30"/>
  <c r="E28"/>
  <c r="E7"/>
  <c r="E53" s="1"/>
  <c r="G5"/>
  <c r="G7" s="1"/>
  <c r="G28" l="1"/>
  <c r="G51"/>
  <c r="G53"/>
  <c r="G30"/>
  <c r="E30"/>
  <c r="J8" i="190" l="1"/>
  <c r="I13" i="317"/>
  <c r="L13"/>
  <c r="M107" i="295"/>
  <c r="O34" i="124" l="1"/>
  <c r="N16"/>
  <c r="M16"/>
  <c r="N15"/>
  <c r="M15"/>
  <c r="H27" i="352"/>
  <c r="I27"/>
  <c r="J27"/>
  <c r="K27"/>
  <c r="L27"/>
  <c r="G27"/>
  <c r="I19" i="121"/>
  <c r="J19"/>
  <c r="K19"/>
  <c r="H19"/>
  <c r="I18"/>
  <c r="J18"/>
  <c r="K18"/>
  <c r="H18"/>
  <c r="G18"/>
  <c r="I14" i="236"/>
  <c r="J14"/>
  <c r="K14"/>
  <c r="L14"/>
  <c r="M14"/>
  <c r="H14"/>
  <c r="M33" i="317"/>
  <c r="L22" i="123"/>
  <c r="J22"/>
  <c r="I16" i="125"/>
  <c r="H14" i="137"/>
  <c r="I14"/>
  <c r="J14"/>
  <c r="G14"/>
  <c r="H18"/>
  <c r="I18" s="1"/>
  <c r="J18" s="1"/>
  <c r="H17"/>
  <c r="I17" s="1"/>
  <c r="J17" s="1"/>
  <c r="H16"/>
  <c r="I16" s="1"/>
  <c r="J16" s="1"/>
  <c r="I44" i="351"/>
  <c r="I43"/>
  <c r="I42"/>
  <c r="N17" i="124" l="1"/>
  <c r="M17"/>
  <c r="H58" i="192"/>
  <c r="I58" s="1"/>
  <c r="J58" s="1"/>
  <c r="K58" s="1"/>
  <c r="L58" s="1"/>
  <c r="H57"/>
  <c r="I57" s="1"/>
  <c r="J57" s="1"/>
  <c r="K57" s="1"/>
  <c r="L57" s="1"/>
  <c r="H56"/>
  <c r="I56" s="1"/>
  <c r="J56" s="1"/>
  <c r="K56" s="1"/>
  <c r="L56" s="1"/>
  <c r="G33" i="317"/>
  <c r="N1" i="352" l="1"/>
  <c r="M1"/>
  <c r="L1"/>
  <c r="K1"/>
  <c r="J1"/>
  <c r="I1"/>
  <c r="G1"/>
  <c r="C38" i="295" l="1"/>
  <c r="I36" i="193"/>
  <c r="J36"/>
  <c r="H36"/>
  <c r="C51" i="223"/>
  <c r="H33" i="317" l="1"/>
  <c r="I33"/>
  <c r="J33"/>
  <c r="K33"/>
  <c r="L33"/>
  <c r="K30" i="351"/>
  <c r="G30"/>
  <c r="L26" i="338"/>
  <c r="M12" i="337"/>
  <c r="N12"/>
  <c r="O12" s="1"/>
  <c r="P12"/>
  <c r="Q12"/>
  <c r="R12" s="1"/>
  <c r="C12"/>
  <c r="I24" i="338"/>
  <c r="J24"/>
  <c r="K24" s="1"/>
  <c r="B24" i="337"/>
  <c r="M16"/>
  <c r="N16"/>
  <c r="O16" s="1"/>
  <c r="S16"/>
  <c r="T16"/>
  <c r="U16" s="1"/>
  <c r="Q16"/>
  <c r="R16" s="1"/>
  <c r="P16"/>
  <c r="C16"/>
  <c r="I10" i="338"/>
  <c r="I9"/>
  <c r="I16"/>
  <c r="I17"/>
  <c r="I20"/>
  <c r="I21"/>
  <c r="I23"/>
  <c r="I26"/>
  <c r="I8"/>
  <c r="J9"/>
  <c r="K9" s="1"/>
  <c r="J10"/>
  <c r="K10" s="1"/>
  <c r="J16"/>
  <c r="K16" s="1"/>
  <c r="J17"/>
  <c r="K17" s="1"/>
  <c r="J20"/>
  <c r="K20" s="1"/>
  <c r="J21"/>
  <c r="K21" s="1"/>
  <c r="J23"/>
  <c r="K23" s="1"/>
  <c r="J26"/>
  <c r="K26" s="1"/>
  <c r="J8"/>
  <c r="K8" s="1"/>
  <c r="P8"/>
  <c r="B9"/>
  <c r="B10"/>
  <c r="B11"/>
  <c r="B12"/>
  <c r="B13"/>
  <c r="B14"/>
  <c r="B15"/>
  <c r="B16"/>
  <c r="B17"/>
  <c r="B18"/>
  <c r="B19"/>
  <c r="B20"/>
  <c r="B21"/>
  <c r="B23"/>
  <c r="B24"/>
  <c r="B25"/>
  <c r="B26"/>
  <c r="O9"/>
  <c r="O10"/>
  <c r="O11"/>
  <c r="O12"/>
  <c r="O13"/>
  <c r="O14"/>
  <c r="O15"/>
  <c r="O16"/>
  <c r="O19"/>
  <c r="O20"/>
  <c r="O21"/>
  <c r="O23"/>
  <c r="O24"/>
  <c r="O25"/>
  <c r="O26"/>
  <c r="P9"/>
  <c r="P10"/>
  <c r="P11"/>
  <c r="P12"/>
  <c r="P13"/>
  <c r="P14"/>
  <c r="P15"/>
  <c r="P16"/>
  <c r="P19"/>
  <c r="Q19" s="1"/>
  <c r="P20"/>
  <c r="P21"/>
  <c r="P23"/>
  <c r="P24"/>
  <c r="P25"/>
  <c r="P26"/>
  <c r="Q26" s="1"/>
  <c r="M55"/>
  <c r="C65"/>
  <c r="G60"/>
  <c r="J15" i="350" l="1"/>
  <c r="I15"/>
  <c r="H15"/>
  <c r="G15"/>
  <c r="K15" l="1"/>
  <c r="L15"/>
  <c r="S33" i="337" l="1"/>
  <c r="T33"/>
  <c r="U33" s="1"/>
  <c r="P30"/>
  <c r="Q30"/>
  <c r="R30" s="1"/>
  <c r="P31"/>
  <c r="Q31"/>
  <c r="R31" s="1"/>
  <c r="P33"/>
  <c r="Q33"/>
  <c r="R33" s="1"/>
  <c r="Q28"/>
  <c r="R28" s="1"/>
  <c r="K32"/>
  <c r="L32" s="1"/>
  <c r="J32"/>
  <c r="N31"/>
  <c r="O31" s="1"/>
  <c r="N35"/>
  <c r="O35" s="1"/>
  <c r="M31"/>
  <c r="M35"/>
  <c r="S8" l="1"/>
  <c r="S10"/>
  <c r="S11"/>
  <c r="S13"/>
  <c r="S17"/>
  <c r="S18"/>
  <c r="S22"/>
  <c r="S26"/>
  <c r="T8"/>
  <c r="S7"/>
  <c r="P8"/>
  <c r="P10"/>
  <c r="P11"/>
  <c r="P14"/>
  <c r="P17"/>
  <c r="P18"/>
  <c r="P22"/>
  <c r="P26"/>
  <c r="P28"/>
  <c r="P7"/>
  <c r="N10"/>
  <c r="N11"/>
  <c r="N14"/>
  <c r="O14" s="1"/>
  <c r="N15"/>
  <c r="N17"/>
  <c r="O17" s="1"/>
  <c r="N18"/>
  <c r="N19"/>
  <c r="N20"/>
  <c r="N22"/>
  <c r="N23"/>
  <c r="N24"/>
  <c r="N26"/>
  <c r="N27"/>
  <c r="O27" s="1"/>
  <c r="N28"/>
  <c r="N7"/>
  <c r="M10"/>
  <c r="M11"/>
  <c r="M14"/>
  <c r="M15"/>
  <c r="M17"/>
  <c r="M18"/>
  <c r="M19"/>
  <c r="M20"/>
  <c r="M22"/>
  <c r="M23"/>
  <c r="M24"/>
  <c r="M26"/>
  <c r="M27"/>
  <c r="M28"/>
  <c r="M7"/>
  <c r="K11"/>
  <c r="K13"/>
  <c r="K14"/>
  <c r="K22"/>
  <c r="K23"/>
  <c r="K24"/>
  <c r="K7"/>
  <c r="J11"/>
  <c r="J13"/>
  <c r="J14"/>
  <c r="J22"/>
  <c r="J23"/>
  <c r="J24"/>
  <c r="J7"/>
  <c r="D3"/>
  <c r="E19"/>
  <c r="C8"/>
  <c r="C9"/>
  <c r="C10"/>
  <c r="C11"/>
  <c r="C13"/>
  <c r="C14"/>
  <c r="C15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7"/>
  <c r="Q8"/>
  <c r="Q26"/>
  <c r="Q7"/>
  <c r="T10"/>
  <c r="T11"/>
  <c r="T13"/>
  <c r="T17"/>
  <c r="T18"/>
  <c r="T22"/>
  <c r="T26"/>
  <c r="T7"/>
  <c r="M39"/>
  <c r="N39"/>
  <c r="U17" l="1"/>
  <c r="Q22"/>
  <c r="Q18"/>
  <c r="Q17"/>
  <c r="R17" s="1"/>
  <c r="Q14"/>
  <c r="R14" s="1"/>
  <c r="Q11"/>
  <c r="Q10"/>
  <c r="F68" i="348" l="1"/>
  <c r="F67"/>
  <c r="F66"/>
  <c r="F65"/>
  <c r="F64"/>
  <c r="F63"/>
  <c r="F62"/>
  <c r="F61"/>
  <c r="F60"/>
  <c r="F59"/>
  <c r="F58"/>
  <c r="F57"/>
  <c r="N56"/>
  <c r="J56"/>
  <c r="H56"/>
  <c r="M56" s="1"/>
  <c r="F52"/>
  <c r="F51"/>
  <c r="F50"/>
  <c r="F49"/>
  <c r="F48"/>
  <c r="F47"/>
  <c r="F46"/>
  <c r="F45"/>
  <c r="F44"/>
  <c r="E44"/>
  <c r="F43"/>
  <c r="E43"/>
  <c r="F42"/>
  <c r="E42"/>
  <c r="D42"/>
  <c r="F41"/>
  <c r="D41"/>
  <c r="O40"/>
  <c r="N40"/>
  <c r="D26"/>
  <c r="D58" s="1"/>
  <c r="D25"/>
  <c r="D57" s="1"/>
  <c r="J24"/>
  <c r="H24"/>
  <c r="D20"/>
  <c r="D52" s="1"/>
  <c r="D19"/>
  <c r="D51" s="1"/>
  <c r="D18"/>
  <c r="D34" s="1"/>
  <c r="D66" s="1"/>
  <c r="D17"/>
  <c r="D33" s="1"/>
  <c r="D65" s="1"/>
  <c r="D16"/>
  <c r="D32" s="1"/>
  <c r="D64" s="1"/>
  <c r="D15"/>
  <c r="D14"/>
  <c r="D30" s="1"/>
  <c r="D62" s="1"/>
  <c r="D13"/>
  <c r="D12"/>
  <c r="D44" s="1"/>
  <c r="D11"/>
  <c r="O8"/>
  <c r="N8"/>
  <c r="H56" i="347"/>
  <c r="M56" s="1"/>
  <c r="N56"/>
  <c r="J57"/>
  <c r="O57" s="1"/>
  <c r="F59"/>
  <c r="I59" s="1"/>
  <c r="N59" s="1"/>
  <c r="F60"/>
  <c r="I60" s="1"/>
  <c r="N60" s="1"/>
  <c r="F61"/>
  <c r="I61" s="1"/>
  <c r="N61" s="1"/>
  <c r="F62"/>
  <c r="I62" s="1"/>
  <c r="N62" s="1"/>
  <c r="F63"/>
  <c r="I63" s="1"/>
  <c r="N63" s="1"/>
  <c r="F64"/>
  <c r="I64" s="1"/>
  <c r="N64" s="1"/>
  <c r="F65"/>
  <c r="I65" s="1"/>
  <c r="N65" s="1"/>
  <c r="F66"/>
  <c r="I66" s="1"/>
  <c r="N66" s="1"/>
  <c r="F67"/>
  <c r="I67" s="1"/>
  <c r="N67" s="1"/>
  <c r="F68"/>
  <c r="I68" s="1"/>
  <c r="N68" s="1"/>
  <c r="F58"/>
  <c r="I58" s="1"/>
  <c r="F57"/>
  <c r="I57" s="1"/>
  <c r="N57" s="1"/>
  <c r="J25"/>
  <c r="O25" s="1"/>
  <c r="I36"/>
  <c r="N36" s="1"/>
  <c r="I35"/>
  <c r="N35" s="1"/>
  <c r="I34"/>
  <c r="N34" s="1"/>
  <c r="I33"/>
  <c r="N33" s="1"/>
  <c r="I32"/>
  <c r="N32" s="1"/>
  <c r="I31"/>
  <c r="N31" s="1"/>
  <c r="I30"/>
  <c r="N30" s="1"/>
  <c r="I29"/>
  <c r="N29" s="1"/>
  <c r="I28"/>
  <c r="N28" s="1"/>
  <c r="I27"/>
  <c r="N27" s="1"/>
  <c r="I26"/>
  <c r="N26" s="1"/>
  <c r="I25"/>
  <c r="N25" s="1"/>
  <c r="D26"/>
  <c r="D25"/>
  <c r="D57" s="1"/>
  <c r="H24"/>
  <c r="J43"/>
  <c r="O43" s="1"/>
  <c r="J42"/>
  <c r="O42" s="1"/>
  <c r="F52"/>
  <c r="I52" s="1"/>
  <c r="N52" s="1"/>
  <c r="F51"/>
  <c r="I51" s="1"/>
  <c r="N51" s="1"/>
  <c r="F50"/>
  <c r="I50" s="1"/>
  <c r="N50" s="1"/>
  <c r="F49"/>
  <c r="I49" s="1"/>
  <c r="N49" s="1"/>
  <c r="F48"/>
  <c r="I48" s="1"/>
  <c r="N48" s="1"/>
  <c r="F47"/>
  <c r="I47" s="1"/>
  <c r="N47" s="1"/>
  <c r="F46"/>
  <c r="I46" s="1"/>
  <c r="N46" s="1"/>
  <c r="F45"/>
  <c r="I45" s="1"/>
  <c r="N45" s="1"/>
  <c r="F44"/>
  <c r="I44" s="1"/>
  <c r="N44" s="1"/>
  <c r="F43"/>
  <c r="I43" s="1"/>
  <c r="N43" s="1"/>
  <c r="F42"/>
  <c r="I42" s="1"/>
  <c r="N42" s="1"/>
  <c r="F41"/>
  <c r="I41" s="1"/>
  <c r="N41" s="1"/>
  <c r="E42"/>
  <c r="E43"/>
  <c r="E44"/>
  <c r="D42"/>
  <c r="D41"/>
  <c r="J56"/>
  <c r="O41"/>
  <c r="O40"/>
  <c r="N40"/>
  <c r="J24"/>
  <c r="O8"/>
  <c r="AT270" i="295"/>
  <c r="AT269"/>
  <c r="AT268"/>
  <c r="AT267"/>
  <c r="AT266"/>
  <c r="AT197"/>
  <c r="AT212" s="1"/>
  <c r="AT196"/>
  <c r="AT211" s="1"/>
  <c r="AT195"/>
  <c r="AT210" s="1"/>
  <c r="AT194"/>
  <c r="AT209" s="1"/>
  <c r="AT193"/>
  <c r="AT208" s="1"/>
  <c r="AT29" s="1"/>
  <c r="AT191"/>
  <c r="AT17"/>
  <c r="AT16"/>
  <c r="AT14"/>
  <c r="AT13"/>
  <c r="D48" i="348" l="1"/>
  <c r="D46"/>
  <c r="D50"/>
  <c r="D27"/>
  <c r="D59" s="1"/>
  <c r="D43"/>
  <c r="D45"/>
  <c r="D29"/>
  <c r="D31"/>
  <c r="D63" s="1"/>
  <c r="D47"/>
  <c r="D49"/>
  <c r="D35"/>
  <c r="D67" s="1"/>
  <c r="D28"/>
  <c r="D36"/>
  <c r="J45" i="347"/>
  <c r="J61" s="1"/>
  <c r="J59"/>
  <c r="O59" s="1"/>
  <c r="J44"/>
  <c r="N58"/>
  <c r="D58"/>
  <c r="J58"/>
  <c r="O58" s="1"/>
  <c r="I20"/>
  <c r="N20" s="1"/>
  <c r="I19"/>
  <c r="N19" s="1"/>
  <c r="I18"/>
  <c r="N18" s="1"/>
  <c r="I17"/>
  <c r="N17" s="1"/>
  <c r="I16"/>
  <c r="N16" s="1"/>
  <c r="I15"/>
  <c r="N15" s="1"/>
  <c r="I14"/>
  <c r="N14" s="1"/>
  <c r="I13"/>
  <c r="N13" s="1"/>
  <c r="I12"/>
  <c r="N12" s="1"/>
  <c r="I11"/>
  <c r="N11" s="1"/>
  <c r="I10"/>
  <c r="N10" s="1"/>
  <c r="J20"/>
  <c r="J36" s="1"/>
  <c r="O36" s="1"/>
  <c r="J19"/>
  <c r="J35" s="1"/>
  <c r="O35" s="1"/>
  <c r="J18"/>
  <c r="J34" s="1"/>
  <c r="O34" s="1"/>
  <c r="J17"/>
  <c r="J33" s="1"/>
  <c r="O33" s="1"/>
  <c r="J16"/>
  <c r="J32" s="1"/>
  <c r="O32" s="1"/>
  <c r="J15"/>
  <c r="J31" s="1"/>
  <c r="O31" s="1"/>
  <c r="J14"/>
  <c r="J30" s="1"/>
  <c r="O30" s="1"/>
  <c r="J13"/>
  <c r="J29" s="1"/>
  <c r="O29" s="1"/>
  <c r="J12"/>
  <c r="J28" s="1"/>
  <c r="O28" s="1"/>
  <c r="J11"/>
  <c r="J27" s="1"/>
  <c r="O27" s="1"/>
  <c r="J10"/>
  <c r="J26" s="1"/>
  <c r="O26" s="1"/>
  <c r="I9"/>
  <c r="N9" s="1"/>
  <c r="D20"/>
  <c r="D19"/>
  <c r="D18"/>
  <c r="D17"/>
  <c r="D16"/>
  <c r="D15"/>
  <c r="D14"/>
  <c r="D13"/>
  <c r="D12"/>
  <c r="D11"/>
  <c r="N8"/>
  <c r="O9"/>
  <c r="O17" l="1"/>
  <c r="O18"/>
  <c r="O14"/>
  <c r="O13"/>
  <c r="O19"/>
  <c r="O15"/>
  <c r="O20"/>
  <c r="O11"/>
  <c r="O12"/>
  <c r="O16"/>
  <c r="J47"/>
  <c r="J63" s="1"/>
  <c r="O63" s="1"/>
  <c r="O45"/>
  <c r="J46"/>
  <c r="J62" s="1"/>
  <c r="O62" s="1"/>
  <c r="D68" i="348"/>
  <c r="D60"/>
  <c r="D61"/>
  <c r="O10" i="347"/>
  <c r="D27"/>
  <c r="D43"/>
  <c r="D29"/>
  <c r="D45"/>
  <c r="D31"/>
  <c r="D47"/>
  <c r="D33"/>
  <c r="D49"/>
  <c r="D28"/>
  <c r="D44"/>
  <c r="D30"/>
  <c r="D46"/>
  <c r="D32"/>
  <c r="D48"/>
  <c r="D50"/>
  <c r="D34"/>
  <c r="D36"/>
  <c r="D52"/>
  <c r="O44"/>
  <c r="J60"/>
  <c r="O60" s="1"/>
  <c r="O61"/>
  <c r="D35"/>
  <c r="D51"/>
  <c r="O46"/>
  <c r="J48" l="1"/>
  <c r="O48" s="1"/>
  <c r="O47"/>
  <c r="J49"/>
  <c r="J65" s="1"/>
  <c r="O65" s="1"/>
  <c r="J64"/>
  <c r="O64" s="1"/>
  <c r="D67"/>
  <c r="D68"/>
  <c r="D64"/>
  <c r="D62"/>
  <c r="D60"/>
  <c r="D65"/>
  <c r="D63"/>
  <c r="D61"/>
  <c r="D59"/>
  <c r="D66"/>
  <c r="O12" i="295"/>
  <c r="O11"/>
  <c r="N12"/>
  <c r="N11"/>
  <c r="M11"/>
  <c r="M12"/>
  <c r="J51" i="347" l="1"/>
  <c r="J67" s="1"/>
  <c r="O67" s="1"/>
  <c r="O49"/>
  <c r="J50"/>
  <c r="O50" s="1"/>
  <c r="J52"/>
  <c r="O51"/>
  <c r="J66" l="1"/>
  <c r="O66" s="1"/>
  <c r="O52"/>
  <c r="J68"/>
  <c r="O68" s="1"/>
  <c r="DV195" i="295" l="1"/>
  <c r="EN34" l="1"/>
  <c r="EN35"/>
  <c r="EN33"/>
  <c r="EN30"/>
  <c r="G19" i="318" l="1"/>
  <c r="G16"/>
  <c r="G13"/>
  <c r="G11"/>
  <c r="G8"/>
  <c r="F8" s="1"/>
  <c r="H9"/>
  <c r="G9" s="1"/>
  <c r="G12"/>
  <c r="N216" i="295"/>
  <c r="O216"/>
  <c r="P216"/>
  <c r="M216"/>
  <c r="K25" i="190"/>
  <c r="K26"/>
  <c r="I156" i="318"/>
  <c r="I165" s="1"/>
  <c r="L156"/>
  <c r="L165" s="1"/>
  <c r="M156"/>
  <c r="M165" s="1"/>
  <c r="N156"/>
  <c r="N165" s="1"/>
  <c r="O156"/>
  <c r="O165" s="1"/>
  <c r="P156"/>
  <c r="P165" s="1"/>
  <c r="Q156"/>
  <c r="Q165" s="1"/>
  <c r="U156"/>
  <c r="U165" s="1"/>
  <c r="V156"/>
  <c r="V165" s="1"/>
  <c r="W156"/>
  <c r="W165" s="1"/>
  <c r="AB156"/>
  <c r="AB165" s="1"/>
  <c r="AC156"/>
  <c r="AC165" s="1"/>
  <c r="AD156"/>
  <c r="AD165" s="1"/>
  <c r="AE156"/>
  <c r="AE165" s="1"/>
  <c r="AJ156"/>
  <c r="AJ165" s="1"/>
  <c r="AK156"/>
  <c r="AK165" s="1"/>
  <c r="AR156"/>
  <c r="AR165" s="1"/>
  <c r="AS156"/>
  <c r="AS165" s="1"/>
  <c r="AT156"/>
  <c r="AT165" s="1"/>
  <c r="AU156"/>
  <c r="AU165" s="1"/>
  <c r="AV156"/>
  <c r="AV165" s="1"/>
  <c r="AW156"/>
  <c r="AW165" s="1"/>
  <c r="AX156"/>
  <c r="AX165" s="1"/>
  <c r="AY156"/>
  <c r="AY165" s="1"/>
  <c r="AZ156"/>
  <c r="AZ165" s="1"/>
  <c r="BA156"/>
  <c r="BA165" s="1"/>
  <c r="BB156"/>
  <c r="BB165" s="1"/>
  <c r="BC156"/>
  <c r="BC165" s="1"/>
  <c r="BH156"/>
  <c r="BH165" s="1"/>
  <c r="BI156"/>
  <c r="BI165" s="1"/>
  <c r="BK156"/>
  <c r="BK165" s="1"/>
  <c r="BL156"/>
  <c r="BL165" s="1"/>
  <c r="BM156"/>
  <c r="BM165" s="1"/>
  <c r="BP156"/>
  <c r="BP165" s="1"/>
  <c r="BQ156"/>
  <c r="BQ165" s="1"/>
  <c r="BR156"/>
  <c r="BR165" s="1"/>
  <c r="BS156"/>
  <c r="BS165" s="1"/>
  <c r="BT156"/>
  <c r="BT165" s="1"/>
  <c r="BU156"/>
  <c r="BU165" s="1"/>
  <c r="BV156"/>
  <c r="BV165" s="1"/>
  <c r="BW156"/>
  <c r="BW165" s="1"/>
  <c r="BX156"/>
  <c r="BX165" s="1"/>
  <c r="BY156"/>
  <c r="BY165" s="1"/>
  <c r="BZ156"/>
  <c r="BZ165" s="1"/>
  <c r="CA156"/>
  <c r="CA165" s="1"/>
  <c r="CB156"/>
  <c r="CB165" s="1"/>
  <c r="CC156"/>
  <c r="CC165" s="1"/>
  <c r="CD156"/>
  <c r="CD165" s="1"/>
  <c r="CE156"/>
  <c r="CE165" s="1"/>
  <c r="CF156"/>
  <c r="CF165" s="1"/>
  <c r="CG156"/>
  <c r="CG165" s="1"/>
  <c r="CH156"/>
  <c r="CH165" s="1"/>
  <c r="CI156"/>
  <c r="CI165" s="1"/>
  <c r="CJ156"/>
  <c r="CJ165" s="1"/>
  <c r="CK156"/>
  <c r="CK165" s="1"/>
  <c r="CL156"/>
  <c r="CL165" s="1"/>
  <c r="CM156"/>
  <c r="CM165" s="1"/>
  <c r="CN156"/>
  <c r="CN165" s="1"/>
  <c r="CO156"/>
  <c r="CO165" s="1"/>
  <c r="CP156"/>
  <c r="CP165" s="1"/>
  <c r="CQ156"/>
  <c r="CQ165" s="1"/>
  <c r="CR156"/>
  <c r="CR165" s="1"/>
  <c r="CS156"/>
  <c r="CS165" s="1"/>
  <c r="CT156"/>
  <c r="CT165" s="1"/>
  <c r="CU156"/>
  <c r="CU165" s="1"/>
  <c r="CV156"/>
  <c r="CV165" s="1"/>
  <c r="CW156"/>
  <c r="CW165" s="1"/>
  <c r="CX156"/>
  <c r="CX165" s="1"/>
  <c r="CY156"/>
  <c r="CY165" s="1"/>
  <c r="CZ156"/>
  <c r="CZ165" s="1"/>
  <c r="DA156"/>
  <c r="DA165" s="1"/>
  <c r="DB156"/>
  <c r="DB165" s="1"/>
  <c r="DC156"/>
  <c r="DC165" s="1"/>
  <c r="DD156"/>
  <c r="DD165" s="1"/>
  <c r="DE156"/>
  <c r="DE165" s="1"/>
  <c r="DF156"/>
  <c r="DF165" s="1"/>
  <c r="DG156"/>
  <c r="DG165" s="1"/>
  <c r="DH156"/>
  <c r="DH165" s="1"/>
  <c r="DI156"/>
  <c r="DI165" s="1"/>
  <c r="DJ156"/>
  <c r="DJ165" s="1"/>
  <c r="DK156"/>
  <c r="DK165" s="1"/>
  <c r="DL156"/>
  <c r="DL165" s="1"/>
  <c r="DM156"/>
  <c r="DM165" s="1"/>
  <c r="DN156"/>
  <c r="DN165" s="1"/>
  <c r="DO156"/>
  <c r="DO165" s="1"/>
  <c r="DP156"/>
  <c r="DP165" s="1"/>
  <c r="DQ156"/>
  <c r="DQ165" s="1"/>
  <c r="DR156"/>
  <c r="DR165" s="1"/>
  <c r="DS156"/>
  <c r="DS165" s="1"/>
  <c r="DT156"/>
  <c r="DT165" s="1"/>
  <c r="DU156"/>
  <c r="DU165" s="1"/>
  <c r="DV156"/>
  <c r="DV165" s="1"/>
  <c r="DW156"/>
  <c r="DW165" s="1"/>
  <c r="DX156"/>
  <c r="DX165" s="1"/>
  <c r="DY156"/>
  <c r="DY165" s="1"/>
  <c r="DZ156"/>
  <c r="DZ165" s="1"/>
  <c r="EA156"/>
  <c r="EA165" s="1"/>
  <c r="EB156"/>
  <c r="EB165" s="1"/>
  <c r="EC156"/>
  <c r="EC165" s="1"/>
  <c r="ED156"/>
  <c r="ED165" s="1"/>
  <c r="EE156"/>
  <c r="EE165" s="1"/>
  <c r="EF156"/>
  <c r="EF165" s="1"/>
  <c r="EG156"/>
  <c r="EG165" s="1"/>
  <c r="EH156"/>
  <c r="EH165" s="1"/>
  <c r="EI156"/>
  <c r="EI165" s="1"/>
  <c r="EJ156"/>
  <c r="EJ165" s="1"/>
  <c r="EK156"/>
  <c r="EK165" s="1"/>
  <c r="EL156"/>
  <c r="EL165" s="1"/>
  <c r="EM156"/>
  <c r="EM165" s="1"/>
  <c r="EN156"/>
  <c r="EN165" s="1"/>
  <c r="EO156"/>
  <c r="EO165" s="1"/>
  <c r="EP156"/>
  <c r="EP165" s="1"/>
  <c r="EQ156"/>
  <c r="EQ165" s="1"/>
  <c r="ER156"/>
  <c r="ER165" s="1"/>
  <c r="ES156"/>
  <c r="ES165" s="1"/>
  <c r="EU156"/>
  <c r="EU165" s="1"/>
  <c r="EV156"/>
  <c r="EV165" s="1"/>
  <c r="G156"/>
  <c r="G165" s="1"/>
  <c r="CY145"/>
  <c r="C161"/>
  <c r="B161" s="1"/>
  <c r="C162"/>
  <c r="B162" s="1"/>
  <c r="C150"/>
  <c r="C151"/>
  <c r="B151" s="1"/>
  <c r="C152"/>
  <c r="B152" s="1"/>
  <c r="C140"/>
  <c r="B140" s="1"/>
  <c r="C141"/>
  <c r="B141" s="1"/>
  <c r="C142"/>
  <c r="B142" s="1"/>
  <c r="D143"/>
  <c r="C132"/>
  <c r="B132" s="1"/>
  <c r="C133"/>
  <c r="B133" s="1"/>
  <c r="C116"/>
  <c r="B116" s="1"/>
  <c r="C117"/>
  <c r="B117" s="1"/>
  <c r="D118"/>
  <c r="C118" s="1"/>
  <c r="B118" s="1"/>
  <c r="D119"/>
  <c r="C119" s="1"/>
  <c r="B119" s="1"/>
  <c r="C120"/>
  <c r="B120" s="1"/>
  <c r="C102"/>
  <c r="B102" s="1"/>
  <c r="C103"/>
  <c r="B103" s="1"/>
  <c r="BF88"/>
  <c r="BF156" s="1"/>
  <c r="BF165" s="1"/>
  <c r="BG88"/>
  <c r="BG156" s="1"/>
  <c r="BG165" s="1"/>
  <c r="C75"/>
  <c r="B75" s="1"/>
  <c r="AT89" s="1"/>
  <c r="C76"/>
  <c r="B76" s="1"/>
  <c r="C77"/>
  <c r="B77" s="1"/>
  <c r="C79"/>
  <c r="B79" s="1"/>
  <c r="F91" s="1"/>
  <c r="D80"/>
  <c r="C80" s="1"/>
  <c r="B80" s="1"/>
  <c r="C81"/>
  <c r="B81" s="1"/>
  <c r="C82"/>
  <c r="B82" s="1"/>
  <c r="C83"/>
  <c r="B83" s="1"/>
  <c r="C84"/>
  <c r="B84" s="1"/>
  <c r="C68"/>
  <c r="CF59"/>
  <c r="CJ59" s="1"/>
  <c r="CK59" s="1"/>
  <c r="CF60"/>
  <c r="CH60" s="1"/>
  <c r="CF58"/>
  <c r="CJ58" s="1"/>
  <c r="CK58" s="1"/>
  <c r="G166" l="1"/>
  <c r="G89" s="1"/>
  <c r="G90" s="1"/>
  <c r="G18"/>
  <c r="Z12" i="294"/>
  <c r="CJ60" i="318"/>
  <c r="CK60" s="1"/>
  <c r="E150"/>
  <c r="C143"/>
  <c r="B143" s="1"/>
  <c r="E151"/>
  <c r="B150"/>
  <c r="E152"/>
  <c r="G17"/>
  <c r="CH58"/>
  <c r="CH59"/>
  <c r="H60" l="1"/>
  <c r="BK60" s="1"/>
  <c r="BO60" s="1"/>
  <c r="BP60" s="1"/>
  <c r="H59"/>
  <c r="BK59" s="1"/>
  <c r="BO59" s="1"/>
  <c r="BP59" s="1"/>
  <c r="H58"/>
  <c r="BK58" s="1"/>
  <c r="BO58" s="1"/>
  <c r="BP58" s="1"/>
  <c r="G60"/>
  <c r="BH60" s="1"/>
  <c r="BI60" s="1"/>
  <c r="G59"/>
  <c r="BH59" s="1"/>
  <c r="BI59" s="1"/>
  <c r="G58"/>
  <c r="BH58" s="1"/>
  <c r="BI58" s="1"/>
  <c r="EP48"/>
  <c r="H43"/>
  <c r="I43" s="1"/>
  <c r="H44"/>
  <c r="I44" s="1"/>
  <c r="I42"/>
  <c r="EL48"/>
  <c r="EN48" s="1"/>
  <c r="Q48"/>
  <c r="EL45"/>
  <c r="I41"/>
  <c r="O17" i="294"/>
  <c r="AS14"/>
  <c r="G14"/>
  <c r="AE14"/>
  <c r="AB14"/>
  <c r="AA14"/>
  <c r="O14"/>
  <c r="Q14"/>
  <c r="AY14"/>
  <c r="V14"/>
  <c r="W14"/>
  <c r="AP14"/>
  <c r="AX16"/>
  <c r="AU16"/>
  <c r="G16"/>
  <c r="AB16"/>
  <c r="AJ16"/>
  <c r="AI16"/>
  <c r="G15"/>
  <c r="AB15"/>
  <c r="AJ15"/>
  <c r="AI15"/>
  <c r="AB12"/>
  <c r="AA12"/>
  <c r="O12"/>
  <c r="U11"/>
  <c r="T11"/>
  <c r="S11"/>
  <c r="AT11"/>
  <c r="AS11"/>
  <c r="AN11"/>
  <c r="BA11"/>
  <c r="AX11"/>
  <c r="AU11"/>
  <c r="L11"/>
  <c r="AZ11"/>
  <c r="K11"/>
  <c r="J11"/>
  <c r="I11"/>
  <c r="H11"/>
  <c r="G11"/>
  <c r="AE11"/>
  <c r="AB11"/>
  <c r="AD11"/>
  <c r="AC11"/>
  <c r="AA11"/>
  <c r="Z11"/>
  <c r="Y11"/>
  <c r="X11"/>
  <c r="O11"/>
  <c r="Q11"/>
  <c r="AY11"/>
  <c r="V11"/>
  <c r="W11"/>
  <c r="AR11"/>
  <c r="AP11"/>
  <c r="AO11"/>
  <c r="AK11"/>
  <c r="AJ11"/>
  <c r="AI11"/>
  <c r="P59" i="318" l="1"/>
  <c r="T59" s="1"/>
  <c r="Z59" s="1"/>
  <c r="AA59" s="1"/>
  <c r="L60"/>
  <c r="P58"/>
  <c r="T58" s="1"/>
  <c r="Z58" s="1"/>
  <c r="AA58" s="1"/>
  <c r="BT64"/>
  <c r="CF64" s="1"/>
  <c r="BT62"/>
  <c r="CF62" s="1"/>
  <c r="CJ62" s="1"/>
  <c r="CK62" s="1"/>
  <c r="O58"/>
  <c r="R58" s="1"/>
  <c r="X58" s="1"/>
  <c r="AF58" s="1"/>
  <c r="AL58" s="1"/>
  <c r="BT63"/>
  <c r="CF63" s="1"/>
  <c r="R48"/>
  <c r="S48" s="1"/>
  <c r="L58"/>
  <c r="P60"/>
  <c r="S60" s="1"/>
  <c r="Y60" s="1"/>
  <c r="AG60" s="1"/>
  <c r="AM60" s="1"/>
  <c r="AN60" s="1"/>
  <c r="AO60" s="1"/>
  <c r="O60"/>
  <c r="R60" s="1"/>
  <c r="X60" s="1"/>
  <c r="AF60" s="1"/>
  <c r="AL60" s="1"/>
  <c r="O59"/>
  <c r="R59" s="1"/>
  <c r="X59" s="1"/>
  <c r="AF59" s="1"/>
  <c r="AL59" s="1"/>
  <c r="L59"/>
  <c r="EO45"/>
  <c r="EM45"/>
  <c r="EN45"/>
  <c r="Q45"/>
  <c r="EO48"/>
  <c r="EM48"/>
  <c r="C11" i="294"/>
  <c r="S14"/>
  <c r="AN14"/>
  <c r="AA16"/>
  <c r="AA15"/>
  <c r="Z16"/>
  <c r="Z14"/>
  <c r="X15"/>
  <c r="X16"/>
  <c r="AH16"/>
  <c r="AX17"/>
  <c r="AZ15"/>
  <c r="AZ16"/>
  <c r="AZ14"/>
  <c r="AZ12"/>
  <c r="J15"/>
  <c r="J16"/>
  <c r="J14"/>
  <c r="J12"/>
  <c r="AD16"/>
  <c r="AD15"/>
  <c r="AC15"/>
  <c r="S59" i="318" l="1"/>
  <c r="Y59" s="1"/>
  <c r="AG59" s="1"/>
  <c r="AM59" s="1"/>
  <c r="AN59" s="1"/>
  <c r="AO59" s="1"/>
  <c r="Q59"/>
  <c r="Q58"/>
  <c r="CP64"/>
  <c r="CZ64" s="1"/>
  <c r="CJ64"/>
  <c r="CK64" s="1"/>
  <c r="T48"/>
  <c r="CH64"/>
  <c r="S58"/>
  <c r="Y58" s="1"/>
  <c r="AG58" s="1"/>
  <c r="AM58" s="1"/>
  <c r="AN58" s="1"/>
  <c r="AO58" s="1"/>
  <c r="CP63"/>
  <c r="CZ63" s="1"/>
  <c r="CJ63"/>
  <c r="CK63" s="1"/>
  <c r="CH63"/>
  <c r="CH62"/>
  <c r="Q60"/>
  <c r="CP62"/>
  <c r="CV62" s="1"/>
  <c r="T60"/>
  <c r="Z60" s="1"/>
  <c r="AA60" s="1"/>
  <c r="AC16" i="294"/>
  <c r="I12"/>
  <c r="BA14"/>
  <c r="X14"/>
  <c r="L15"/>
  <c r="L16"/>
  <c r="AX14"/>
  <c r="AG16"/>
  <c r="ER48" i="318"/>
  <c r="EQ48"/>
  <c r="T14" i="294"/>
  <c r="L12"/>
  <c r="AF16"/>
  <c r="AH15"/>
  <c r="AF15"/>
  <c r="Z15"/>
  <c r="L14"/>
  <c r="AG15"/>
  <c r="AP212" i="295"/>
  <c r="E103" i="337"/>
  <c r="E102"/>
  <c r="G101"/>
  <c r="E101" s="1"/>
  <c r="G100"/>
  <c r="P11" i="295"/>
  <c r="D17"/>
  <c r="D212"/>
  <c r="D21"/>
  <c r="CV64" i="318" l="1"/>
  <c r="CW64" s="1"/>
  <c r="CY64" s="1"/>
  <c r="CZ62"/>
  <c r="CV63"/>
  <c r="CW63" s="1"/>
  <c r="CY63" s="1"/>
  <c r="P12" i="295"/>
  <c r="AQ17"/>
  <c r="CX62" i="318"/>
  <c r="CW62"/>
  <c r="CY62" s="1"/>
  <c r="AP17" i="295"/>
  <c r="E100" i="337"/>
  <c r="R212" i="295"/>
  <c r="R17"/>
  <c r="D5" s="1"/>
  <c r="CX64" i="318" l="1"/>
  <c r="CX63"/>
  <c r="AQ212" i="295"/>
  <c r="F21" l="1"/>
  <c r="DY221"/>
  <c r="DX221"/>
  <c r="AC221"/>
  <c r="DY197"/>
  <c r="DX197"/>
  <c r="DV197"/>
  <c r="DU197"/>
  <c r="DT197"/>
  <c r="DY196"/>
  <c r="DX196"/>
  <c r="DV196"/>
  <c r="DU196"/>
  <c r="DT196"/>
  <c r="DY195"/>
  <c r="DX195"/>
  <c r="DU195"/>
  <c r="DT195"/>
  <c r="DY194"/>
  <c r="DX194"/>
  <c r="DV194"/>
  <c r="DU194"/>
  <c r="DT194"/>
  <c r="DY193"/>
  <c r="DX193"/>
  <c r="DV193"/>
  <c r="DU193"/>
  <c r="DT193"/>
  <c r="DY191"/>
  <c r="DX191"/>
  <c r="DV191"/>
  <c r="DU191"/>
  <c r="DT191"/>
  <c r="DR197"/>
  <c r="DQ197"/>
  <c r="DP197"/>
  <c r="DO197"/>
  <c r="DN197"/>
  <c r="DM197"/>
  <c r="DL197"/>
  <c r="DK197"/>
  <c r="DJ197"/>
  <c r="DI197"/>
  <c r="DH197"/>
  <c r="DG197"/>
  <c r="DF197"/>
  <c r="DE197"/>
  <c r="DR196"/>
  <c r="DQ196"/>
  <c r="DP196"/>
  <c r="DO196"/>
  <c r="DN196"/>
  <c r="DM196"/>
  <c r="DL196"/>
  <c r="DK196"/>
  <c r="DJ196"/>
  <c r="DI196"/>
  <c r="DH196"/>
  <c r="DG196"/>
  <c r="DF196"/>
  <c r="DE196"/>
  <c r="DR195"/>
  <c r="DQ195"/>
  <c r="DP195"/>
  <c r="DO195"/>
  <c r="DN195"/>
  <c r="DM195"/>
  <c r="DL195"/>
  <c r="DK195"/>
  <c r="DJ195"/>
  <c r="DI195"/>
  <c r="DH195"/>
  <c r="DG195"/>
  <c r="DF195"/>
  <c r="DE195"/>
  <c r="DR194"/>
  <c r="DQ194"/>
  <c r="DP194"/>
  <c r="DO194"/>
  <c r="DN194"/>
  <c r="DM194"/>
  <c r="DL194"/>
  <c r="DK194"/>
  <c r="DJ194"/>
  <c r="DI194"/>
  <c r="DH194"/>
  <c r="DG194"/>
  <c r="DF194"/>
  <c r="DE194"/>
  <c r="DR193"/>
  <c r="DQ193"/>
  <c r="DP193"/>
  <c r="DO193"/>
  <c r="DN193"/>
  <c r="DM193"/>
  <c r="DL193"/>
  <c r="DK193"/>
  <c r="DJ193"/>
  <c r="DI193"/>
  <c r="DH193"/>
  <c r="DG193"/>
  <c r="DF193"/>
  <c r="DE193"/>
  <c r="DR191"/>
  <c r="DQ191"/>
  <c r="DP191"/>
  <c r="DO191"/>
  <c r="DN191"/>
  <c r="DM191"/>
  <c r="DL191"/>
  <c r="DK191"/>
  <c r="DJ191"/>
  <c r="DI191"/>
  <c r="DH191"/>
  <c r="DG191"/>
  <c r="DF191"/>
  <c r="DE191"/>
  <c r="CV197"/>
  <c r="CU197"/>
  <c r="CT197"/>
  <c r="CS197"/>
  <c r="CR197"/>
  <c r="CQ197"/>
  <c r="CP197"/>
  <c r="CO197"/>
  <c r="CV196"/>
  <c r="CU196"/>
  <c r="CT196"/>
  <c r="CS196"/>
  <c r="CR196"/>
  <c r="CQ196"/>
  <c r="CP196"/>
  <c r="CO196"/>
  <c r="CV195"/>
  <c r="CU195"/>
  <c r="CT195"/>
  <c r="CS195"/>
  <c r="CR195"/>
  <c r="CQ195"/>
  <c r="CP195"/>
  <c r="CO195"/>
  <c r="CV194"/>
  <c r="CU194"/>
  <c r="CT194"/>
  <c r="CS194"/>
  <c r="CR194"/>
  <c r="CQ194"/>
  <c r="CP194"/>
  <c r="CO194"/>
  <c r="CV193"/>
  <c r="CU193"/>
  <c r="CT193"/>
  <c r="CS193"/>
  <c r="CR193"/>
  <c r="CQ193"/>
  <c r="CP193"/>
  <c r="CO193"/>
  <c r="CV191"/>
  <c r="CU191"/>
  <c r="CT191"/>
  <c r="CS191"/>
  <c r="CR191"/>
  <c r="CQ191"/>
  <c r="CP191"/>
  <c r="CO191"/>
  <c r="DC199"/>
  <c r="DB199"/>
  <c r="DA199"/>
  <c r="CZ199"/>
  <c r="CY199"/>
  <c r="CX199"/>
  <c r="CW199"/>
  <c r="DC198"/>
  <c r="DB198"/>
  <c r="DA198"/>
  <c r="CZ198"/>
  <c r="CY198"/>
  <c r="CX198"/>
  <c r="CW198"/>
  <c r="DC197"/>
  <c r="DB197"/>
  <c r="DA197"/>
  <c r="CZ197"/>
  <c r="CY197"/>
  <c r="CX197"/>
  <c r="CW197"/>
  <c r="DC196"/>
  <c r="DB196"/>
  <c r="DA196"/>
  <c r="CZ196"/>
  <c r="CY196"/>
  <c r="CX196"/>
  <c r="CW196"/>
  <c r="DC195"/>
  <c r="DB195"/>
  <c r="DA195"/>
  <c r="CZ195"/>
  <c r="CY195"/>
  <c r="CX195"/>
  <c r="CW195"/>
  <c r="DC194"/>
  <c r="DB194"/>
  <c r="DA194"/>
  <c r="CZ194"/>
  <c r="CY194"/>
  <c r="CX194"/>
  <c r="CW194"/>
  <c r="DC193"/>
  <c r="DB193"/>
  <c r="DA193"/>
  <c r="CZ193"/>
  <c r="CY193"/>
  <c r="CX193"/>
  <c r="CW193"/>
  <c r="DC191"/>
  <c r="DB191"/>
  <c r="DA191"/>
  <c r="CZ191"/>
  <c r="CY191"/>
  <c r="CX191"/>
  <c r="CW191"/>
  <c r="CN199"/>
  <c r="CM199"/>
  <c r="CL199"/>
  <c r="CK199"/>
  <c r="CJ199"/>
  <c r="CI199"/>
  <c r="CH199"/>
  <c r="CN198"/>
  <c r="CM198"/>
  <c r="CL198"/>
  <c r="CK198"/>
  <c r="CJ198"/>
  <c r="CI198"/>
  <c r="CH198"/>
  <c r="CN197"/>
  <c r="CM197"/>
  <c r="CL197"/>
  <c r="CK197"/>
  <c r="CJ197"/>
  <c r="CI197"/>
  <c r="CH197"/>
  <c r="CN196"/>
  <c r="CM196"/>
  <c r="CL196"/>
  <c r="CK196"/>
  <c r="CJ196"/>
  <c r="CI196"/>
  <c r="CH196"/>
  <c r="CN195"/>
  <c r="CM195"/>
  <c r="CL195"/>
  <c r="CK195"/>
  <c r="CJ195"/>
  <c r="CI195"/>
  <c r="CH195"/>
  <c r="CN194"/>
  <c r="CM194"/>
  <c r="CL194"/>
  <c r="CK194"/>
  <c r="CJ194"/>
  <c r="CI194"/>
  <c r="CH194"/>
  <c r="CN193"/>
  <c r="CM193"/>
  <c r="CL193"/>
  <c r="CK193"/>
  <c r="CJ193"/>
  <c r="CI193"/>
  <c r="CH193"/>
  <c r="CN191"/>
  <c r="CM191"/>
  <c r="CL191"/>
  <c r="CK191"/>
  <c r="CJ191"/>
  <c r="CI191"/>
  <c r="CH191"/>
  <c r="CG197"/>
  <c r="CF197"/>
  <c r="CE197"/>
  <c r="CD197"/>
  <c r="CC197"/>
  <c r="CB197"/>
  <c r="CA197"/>
  <c r="BZ197"/>
  <c r="BX197"/>
  <c r="BW197"/>
  <c r="BV197"/>
  <c r="BU197"/>
  <c r="BT197"/>
  <c r="BS197"/>
  <c r="BR197"/>
  <c r="CG196"/>
  <c r="CF196"/>
  <c r="CE196"/>
  <c r="CD196"/>
  <c r="CC196"/>
  <c r="CB196"/>
  <c r="CA196"/>
  <c r="BZ196"/>
  <c r="BX196"/>
  <c r="BW196"/>
  <c r="BV196"/>
  <c r="BU196"/>
  <c r="BT196"/>
  <c r="BS196"/>
  <c r="BR196"/>
  <c r="CG195"/>
  <c r="CF195"/>
  <c r="CE195"/>
  <c r="CD195"/>
  <c r="CC195"/>
  <c r="CB195"/>
  <c r="CA195"/>
  <c r="BZ195"/>
  <c r="BX195"/>
  <c r="BW195"/>
  <c r="BV195"/>
  <c r="BU195"/>
  <c r="BT195"/>
  <c r="BS195"/>
  <c r="BR195"/>
  <c r="CG194"/>
  <c r="CF194"/>
  <c r="CE194"/>
  <c r="CD194"/>
  <c r="CC194"/>
  <c r="CB194"/>
  <c r="CA194"/>
  <c r="BZ194"/>
  <c r="BX194"/>
  <c r="BW194"/>
  <c r="BV194"/>
  <c r="BU194"/>
  <c r="BT194"/>
  <c r="BS194"/>
  <c r="BR194"/>
  <c r="CG193"/>
  <c r="CF193"/>
  <c r="CE193"/>
  <c r="CD193"/>
  <c r="CC193"/>
  <c r="CB193"/>
  <c r="CA193"/>
  <c r="BZ193"/>
  <c r="BX193"/>
  <c r="BW193"/>
  <c r="BV193"/>
  <c r="BU193"/>
  <c r="BT193"/>
  <c r="BS193"/>
  <c r="BR193"/>
  <c r="CG191"/>
  <c r="CF191"/>
  <c r="CE191"/>
  <c r="CD191"/>
  <c r="CC191"/>
  <c r="CB191"/>
  <c r="CA191"/>
  <c r="BZ191"/>
  <c r="BX191"/>
  <c r="BW191"/>
  <c r="BV191"/>
  <c r="BU191"/>
  <c r="BT191"/>
  <c r="BS191"/>
  <c r="BR191"/>
  <c r="BP197"/>
  <c r="BO197"/>
  <c r="BN197"/>
  <c r="BM197"/>
  <c r="BL197"/>
  <c r="BK197"/>
  <c r="BJ197"/>
  <c r="BI197"/>
  <c r="BH197"/>
  <c r="BP196"/>
  <c r="BO196"/>
  <c r="BN196"/>
  <c r="BM196"/>
  <c r="BL196"/>
  <c r="BK196"/>
  <c r="BJ196"/>
  <c r="BI196"/>
  <c r="BH196"/>
  <c r="BP195"/>
  <c r="BO195"/>
  <c r="BN195"/>
  <c r="BM195"/>
  <c r="BL195"/>
  <c r="BK195"/>
  <c r="BJ195"/>
  <c r="BI195"/>
  <c r="BH195"/>
  <c r="BP194"/>
  <c r="BO194"/>
  <c r="BN194"/>
  <c r="BM194"/>
  <c r="BL194"/>
  <c r="BK194"/>
  <c r="BJ194"/>
  <c r="BI194"/>
  <c r="BH194"/>
  <c r="BP193"/>
  <c r="BO193"/>
  <c r="BN193"/>
  <c r="BM193"/>
  <c r="BL193"/>
  <c r="BK193"/>
  <c r="BJ193"/>
  <c r="BI193"/>
  <c r="BH193"/>
  <c r="BH208" s="1"/>
  <c r="BP191"/>
  <c r="BO191"/>
  <c r="BN191"/>
  <c r="BM191"/>
  <c r="BL191"/>
  <c r="BK191"/>
  <c r="BJ191"/>
  <c r="BI191"/>
  <c r="BH191"/>
  <c r="BF197"/>
  <c r="BE197"/>
  <c r="BD197"/>
  <c r="BC197"/>
  <c r="BB197"/>
  <c r="BA197"/>
  <c r="AZ197"/>
  <c r="AY197"/>
  <c r="AX197"/>
  <c r="AW197"/>
  <c r="AU197"/>
  <c r="AS197"/>
  <c r="AR197"/>
  <c r="BF196"/>
  <c r="BE196"/>
  <c r="BD196"/>
  <c r="BC196"/>
  <c r="BB196"/>
  <c r="BA196"/>
  <c r="AZ196"/>
  <c r="AY196"/>
  <c r="AX196"/>
  <c r="AW196"/>
  <c r="AU196"/>
  <c r="AS196"/>
  <c r="AR196"/>
  <c r="BF195"/>
  <c r="BE195"/>
  <c r="BD195"/>
  <c r="BC195"/>
  <c r="BB195"/>
  <c r="BA195"/>
  <c r="AZ195"/>
  <c r="AY195"/>
  <c r="AX195"/>
  <c r="AW195"/>
  <c r="AU195"/>
  <c r="AS195"/>
  <c r="AR195"/>
  <c r="BF194"/>
  <c r="BE194"/>
  <c r="BD194"/>
  <c r="BC194"/>
  <c r="BB194"/>
  <c r="BA194"/>
  <c r="AZ194"/>
  <c r="AY194"/>
  <c r="AX194"/>
  <c r="AW194"/>
  <c r="AU194"/>
  <c r="AS194"/>
  <c r="AR194"/>
  <c r="BF193"/>
  <c r="BE193"/>
  <c r="BD193"/>
  <c r="BC193"/>
  <c r="BB193"/>
  <c r="BA193"/>
  <c r="AZ193"/>
  <c r="AY193"/>
  <c r="AX193"/>
  <c r="AW193"/>
  <c r="AU193"/>
  <c r="AS193"/>
  <c r="AR193"/>
  <c r="BF191"/>
  <c r="BE191"/>
  <c r="BD191"/>
  <c r="BC191"/>
  <c r="BB191"/>
  <c r="BA191"/>
  <c r="AZ191"/>
  <c r="AY191"/>
  <c r="AX191"/>
  <c r="AW191"/>
  <c r="AU191"/>
  <c r="AS191"/>
  <c r="AR191"/>
  <c r="AN197"/>
  <c r="AM197"/>
  <c r="AL197"/>
  <c r="AK197"/>
  <c r="AJ197"/>
  <c r="AG197"/>
  <c r="AF197"/>
  <c r="AC197"/>
  <c r="AB197"/>
  <c r="W197"/>
  <c r="V197"/>
  <c r="U197"/>
  <c r="T197"/>
  <c r="S197"/>
  <c r="AN196"/>
  <c r="AM196"/>
  <c r="AL196"/>
  <c r="AK196"/>
  <c r="AJ196"/>
  <c r="AG196"/>
  <c r="AF196"/>
  <c r="AC196"/>
  <c r="AB196"/>
  <c r="W196"/>
  <c r="V196"/>
  <c r="U196"/>
  <c r="T196"/>
  <c r="S196"/>
  <c r="AN195"/>
  <c r="AM195"/>
  <c r="AL195"/>
  <c r="AK195"/>
  <c r="AJ195"/>
  <c r="AG195"/>
  <c r="AF195"/>
  <c r="AC195"/>
  <c r="AB195"/>
  <c r="W195"/>
  <c r="V195"/>
  <c r="U195"/>
  <c r="T195"/>
  <c r="S195"/>
  <c r="AN194"/>
  <c r="AM194"/>
  <c r="AL194"/>
  <c r="AK194"/>
  <c r="AJ194"/>
  <c r="AG194"/>
  <c r="AF194"/>
  <c r="AC194"/>
  <c r="AB194"/>
  <c r="W194"/>
  <c r="V194"/>
  <c r="U194"/>
  <c r="T194"/>
  <c r="S194"/>
  <c r="AN193"/>
  <c r="AM193"/>
  <c r="AL193"/>
  <c r="AK193"/>
  <c r="AJ193"/>
  <c r="AG193"/>
  <c r="AF193"/>
  <c r="AC193"/>
  <c r="AB193"/>
  <c r="W193"/>
  <c r="V193"/>
  <c r="U193"/>
  <c r="T193"/>
  <c r="S193"/>
  <c r="AN191"/>
  <c r="AM191"/>
  <c r="AL191"/>
  <c r="AK191"/>
  <c r="AJ191"/>
  <c r="AG191"/>
  <c r="AF191"/>
  <c r="AC191"/>
  <c r="AB191"/>
  <c r="W191"/>
  <c r="V191"/>
  <c r="U191"/>
  <c r="T191"/>
  <c r="S191"/>
  <c r="P207"/>
  <c r="M207"/>
  <c r="DY236"/>
  <c r="DX236"/>
  <c r="AC236"/>
  <c r="F236"/>
  <c r="DX14"/>
  <c r="DV14"/>
  <c r="DU14"/>
  <c r="DY13"/>
  <c r="DV13"/>
  <c r="DU13"/>
  <c r="DN19"/>
  <c r="DJ19"/>
  <c r="DI19"/>
  <c r="DO17"/>
  <c r="DN17"/>
  <c r="DM17"/>
  <c r="DO13"/>
  <c r="DN13"/>
  <c r="DM13"/>
  <c r="DJ13"/>
  <c r="DI13"/>
  <c r="DC16"/>
  <c r="DC14"/>
  <c r="DC13"/>
  <c r="CY13"/>
  <c r="CX13"/>
  <c r="CW13"/>
  <c r="CN16"/>
  <c r="CN14"/>
  <c r="CN13"/>
  <c r="CJ13"/>
  <c r="CI13"/>
  <c r="CH13"/>
  <c r="BX13"/>
  <c r="BW13"/>
  <c r="BV13"/>
  <c r="BU13"/>
  <c r="BP16"/>
  <c r="BO16"/>
  <c r="BN16"/>
  <c r="BP14"/>
  <c r="BO14"/>
  <c r="BN14"/>
  <c r="BP13"/>
  <c r="BO13"/>
  <c r="BN13"/>
  <c r="AW16"/>
  <c r="AW14"/>
  <c r="AW13"/>
  <c r="AL16"/>
  <c r="AK16"/>
  <c r="AF16"/>
  <c r="AE16"/>
  <c r="AD16"/>
  <c r="AC16"/>
  <c r="AL14"/>
  <c r="AK14"/>
  <c r="AF14"/>
  <c r="AE14"/>
  <c r="AD14"/>
  <c r="AC14"/>
  <c r="AM13"/>
  <c r="AL13"/>
  <c r="AK13"/>
  <c r="AJ13"/>
  <c r="AF13"/>
  <c r="AE13"/>
  <c r="AD13"/>
  <c r="AB13"/>
  <c r="S13"/>
  <c r="I16"/>
  <c r="I14"/>
  <c r="EG17"/>
  <c r="EH17" s="1"/>
  <c r="EE17"/>
  <c r="EF17" s="1"/>
  <c r="EI15"/>
  <c r="EJ15" s="1"/>
  <c r="EA15"/>
  <c r="EB15" s="1"/>
  <c r="EI14"/>
  <c r="EJ14" s="1"/>
  <c r="EA14"/>
  <c r="EB14" s="1"/>
  <c r="EA13"/>
  <c r="EB13" s="1"/>
  <c r="DY251"/>
  <c r="DX251"/>
  <c r="AC251"/>
  <c r="F251"/>
  <c r="H21" l="1"/>
  <c r="F149"/>
  <c r="E21"/>
  <c r="E149" s="1"/>
  <c r="I21"/>
  <c r="I149" s="1"/>
  <c r="G21"/>
  <c r="AF12" i="294" l="1"/>
  <c r="G149" i="295"/>
  <c r="H149"/>
  <c r="AR17"/>
  <c r="P71" i="338"/>
  <c r="G99" i="337"/>
  <c r="D99"/>
  <c r="D76" s="1"/>
  <c r="AK15" i="294" l="1"/>
  <c r="E99" i="337"/>
  <c r="G76"/>
  <c r="Q35" i="345" l="1"/>
  <c r="A35"/>
  <c r="B35"/>
  <c r="M35"/>
  <c r="L35" i="339"/>
  <c r="L33"/>
  <c r="K79" i="345"/>
  <c r="K85"/>
  <c r="K84"/>
  <c r="K83"/>
  <c r="K82"/>
  <c r="K81"/>
  <c r="K77"/>
  <c r="K76"/>
  <c r="A83" i="337"/>
  <c r="M34" i="344"/>
  <c r="B34"/>
  <c r="A48" i="345"/>
  <c r="A80"/>
  <c r="A78" i="338"/>
  <c r="S76" i="340"/>
  <c r="S89" s="1"/>
  <c r="R76"/>
  <c r="O76"/>
  <c r="N76"/>
  <c r="K76"/>
  <c r="J76"/>
  <c r="G76"/>
  <c r="D76"/>
  <c r="C76"/>
  <c r="T75"/>
  <c r="T23" s="1"/>
  <c r="S23" s="1"/>
  <c r="P75"/>
  <c r="T74"/>
  <c r="P74"/>
  <c r="G46"/>
  <c r="U46" s="1"/>
  <c r="G45"/>
  <c r="G44"/>
  <c r="Q44" s="1"/>
  <c r="G43"/>
  <c r="Q43" s="1"/>
  <c r="G42"/>
  <c r="Q42" s="1"/>
  <c r="G41"/>
  <c r="Q41" s="1"/>
  <c r="G40"/>
  <c r="G39"/>
  <c r="S37"/>
  <c r="S100" s="1"/>
  <c r="R37"/>
  <c r="O37"/>
  <c r="O78" s="1"/>
  <c r="N37"/>
  <c r="K37"/>
  <c r="K47" s="1"/>
  <c r="J37"/>
  <c r="G37"/>
  <c r="D37"/>
  <c r="D44" s="1"/>
  <c r="C37"/>
  <c r="P34"/>
  <c r="O34" s="1"/>
  <c r="N34"/>
  <c r="J34"/>
  <c r="C34"/>
  <c r="J33"/>
  <c r="C33"/>
  <c r="P32"/>
  <c r="O32" s="1"/>
  <c r="N32"/>
  <c r="C32"/>
  <c r="P31"/>
  <c r="O31" s="1"/>
  <c r="N31"/>
  <c r="C31"/>
  <c r="V30"/>
  <c r="J30"/>
  <c r="C30"/>
  <c r="V29"/>
  <c r="J29"/>
  <c r="C29"/>
  <c r="V28"/>
  <c r="R28"/>
  <c r="P28"/>
  <c r="O28" s="1"/>
  <c r="N28"/>
  <c r="J28"/>
  <c r="C28"/>
  <c r="P27"/>
  <c r="O27" s="1"/>
  <c r="N27"/>
  <c r="J27"/>
  <c r="C27"/>
  <c r="R26"/>
  <c r="P26"/>
  <c r="O26" s="1"/>
  <c r="N26"/>
  <c r="C26"/>
  <c r="R25"/>
  <c r="C25"/>
  <c r="R24"/>
  <c r="P24"/>
  <c r="O24" s="1"/>
  <c r="N24"/>
  <c r="C24"/>
  <c r="R23"/>
  <c r="P23"/>
  <c r="O23" s="1"/>
  <c r="N23"/>
  <c r="C23"/>
  <c r="R22"/>
  <c r="P22"/>
  <c r="O22" s="1"/>
  <c r="N22"/>
  <c r="C22"/>
  <c r="R21"/>
  <c r="P21"/>
  <c r="O21" s="1"/>
  <c r="N21"/>
  <c r="J21"/>
  <c r="C21"/>
  <c r="R20"/>
  <c r="P20"/>
  <c r="O20" s="1"/>
  <c r="N20"/>
  <c r="J20"/>
  <c r="C20"/>
  <c r="R19"/>
  <c r="J19"/>
  <c r="C19"/>
  <c r="V18"/>
  <c r="V19" s="1"/>
  <c r="R18"/>
  <c r="J18"/>
  <c r="C18"/>
  <c r="J17"/>
  <c r="C17"/>
  <c r="R16"/>
  <c r="P16"/>
  <c r="O16" s="1"/>
  <c r="N16"/>
  <c r="J16"/>
  <c r="C16"/>
  <c r="R15"/>
  <c r="P15"/>
  <c r="O15" s="1"/>
  <c r="N15"/>
  <c r="J15"/>
  <c r="C15"/>
  <c r="R14"/>
  <c r="P14"/>
  <c r="O14" s="1"/>
  <c r="N14"/>
  <c r="C14"/>
  <c r="R13"/>
  <c r="P13"/>
  <c r="O13" s="1"/>
  <c r="P3" s="1"/>
  <c r="N13"/>
  <c r="J13"/>
  <c r="C13"/>
  <c r="R12"/>
  <c r="P12"/>
  <c r="O12" s="1"/>
  <c r="N12"/>
  <c r="C12"/>
  <c r="C11"/>
  <c r="P10"/>
  <c r="O10" s="1"/>
  <c r="N10"/>
  <c r="C10"/>
  <c r="J9"/>
  <c r="C9"/>
  <c r="P8"/>
  <c r="O8" s="1"/>
  <c r="N8"/>
  <c r="C8"/>
  <c r="P7"/>
  <c r="O7" s="1"/>
  <c r="N7"/>
  <c r="C7"/>
  <c r="P6"/>
  <c r="O6" s="1"/>
  <c r="N6"/>
  <c r="C6"/>
  <c r="R5"/>
  <c r="P5"/>
  <c r="O5" s="1"/>
  <c r="N5"/>
  <c r="C5"/>
  <c r="R74" i="345"/>
  <c r="R83" s="1"/>
  <c r="Q74"/>
  <c r="N74"/>
  <c r="N92" s="1"/>
  <c r="M74"/>
  <c r="J74"/>
  <c r="I74"/>
  <c r="F74"/>
  <c r="C74"/>
  <c r="B74"/>
  <c r="S73"/>
  <c r="S12" s="1"/>
  <c r="O73"/>
  <c r="O35" s="1"/>
  <c r="K73"/>
  <c r="K19" s="1"/>
  <c r="S72"/>
  <c r="O72"/>
  <c r="R38"/>
  <c r="R45" s="1"/>
  <c r="Q38"/>
  <c r="N38"/>
  <c r="N68" s="1"/>
  <c r="M38"/>
  <c r="J38"/>
  <c r="J55" s="1"/>
  <c r="I38"/>
  <c r="F38"/>
  <c r="C38"/>
  <c r="B38"/>
  <c r="Q34"/>
  <c r="B34"/>
  <c r="Q33"/>
  <c r="B33"/>
  <c r="Q32"/>
  <c r="B32"/>
  <c r="Q31"/>
  <c r="B31"/>
  <c r="Q30"/>
  <c r="B30"/>
  <c r="Q29"/>
  <c r="M29"/>
  <c r="I29"/>
  <c r="B29"/>
  <c r="Q28"/>
  <c r="I28"/>
  <c r="B28"/>
  <c r="B27"/>
  <c r="B26"/>
  <c r="B25"/>
  <c r="B24"/>
  <c r="B23"/>
  <c r="I21"/>
  <c r="B21"/>
  <c r="B20"/>
  <c r="I19"/>
  <c r="B19"/>
  <c r="Q18"/>
  <c r="B18"/>
  <c r="Q17"/>
  <c r="I17"/>
  <c r="B17"/>
  <c r="Q16"/>
  <c r="I16"/>
  <c r="B16"/>
  <c r="Q15"/>
  <c r="I15"/>
  <c r="B15"/>
  <c r="Q13"/>
  <c r="B13"/>
  <c r="Q12"/>
  <c r="B12"/>
  <c r="Q11"/>
  <c r="B11"/>
  <c r="Q10"/>
  <c r="B10"/>
  <c r="Q9"/>
  <c r="B9"/>
  <c r="Q8"/>
  <c r="B8"/>
  <c r="Q7"/>
  <c r="B7"/>
  <c r="Q6"/>
  <c r="B6"/>
  <c r="J70" i="338"/>
  <c r="O72"/>
  <c r="L72"/>
  <c r="I72"/>
  <c r="F72"/>
  <c r="C72"/>
  <c r="B72"/>
  <c r="M71"/>
  <c r="M26" s="1"/>
  <c r="N26" s="1"/>
  <c r="P70"/>
  <c r="M70"/>
  <c r="O29"/>
  <c r="L29"/>
  <c r="I29"/>
  <c r="F29"/>
  <c r="C29"/>
  <c r="B29"/>
  <c r="L25"/>
  <c r="L23"/>
  <c r="L21"/>
  <c r="L20"/>
  <c r="L16"/>
  <c r="L15"/>
  <c r="L14"/>
  <c r="L13"/>
  <c r="L12"/>
  <c r="L9"/>
  <c r="O8"/>
  <c r="L8"/>
  <c r="B8"/>
  <c r="Q32" i="344"/>
  <c r="Q27"/>
  <c r="J82" i="345" l="1"/>
  <c r="S85" i="340"/>
  <c r="K72" i="345"/>
  <c r="T13" i="340"/>
  <c r="S13" s="1"/>
  <c r="S74"/>
  <c r="T12"/>
  <c r="S12" s="1"/>
  <c r="T5"/>
  <c r="S5" s="1"/>
  <c r="T3" s="1"/>
  <c r="T37" s="1"/>
  <c r="T15"/>
  <c r="S15" s="1"/>
  <c r="R84" i="345"/>
  <c r="T14" i="340"/>
  <c r="S14" s="1"/>
  <c r="T21"/>
  <c r="S21" s="1"/>
  <c r="O74"/>
  <c r="AK16" i="294"/>
  <c r="S27" i="345"/>
  <c r="S19"/>
  <c r="S35"/>
  <c r="R69"/>
  <c r="N69"/>
  <c r="S11"/>
  <c r="S34"/>
  <c r="S26"/>
  <c r="S18"/>
  <c r="S10"/>
  <c r="S33"/>
  <c r="S25"/>
  <c r="S17"/>
  <c r="S9"/>
  <c r="S32"/>
  <c r="S24"/>
  <c r="S16"/>
  <c r="S8"/>
  <c r="S31"/>
  <c r="S23"/>
  <c r="S15"/>
  <c r="S7"/>
  <c r="S30"/>
  <c r="S29"/>
  <c r="S21"/>
  <c r="S13"/>
  <c r="S6"/>
  <c r="S28"/>
  <c r="S20"/>
  <c r="M12" i="338"/>
  <c r="M13"/>
  <c r="M14"/>
  <c r="M25"/>
  <c r="M8"/>
  <c r="M9"/>
  <c r="M16"/>
  <c r="R73" i="345"/>
  <c r="K29"/>
  <c r="K17"/>
  <c r="N66"/>
  <c r="O75" i="340"/>
  <c r="T26"/>
  <c r="S26" s="1"/>
  <c r="D46"/>
  <c r="S84"/>
  <c r="T19"/>
  <c r="S19" s="1"/>
  <c r="K54"/>
  <c r="O44"/>
  <c r="T28"/>
  <c r="S28" s="1"/>
  <c r="S46"/>
  <c r="S54"/>
  <c r="S57"/>
  <c r="F45"/>
  <c r="T18"/>
  <c r="S18" s="1"/>
  <c r="O60"/>
  <c r="Q45"/>
  <c r="I43"/>
  <c r="I44"/>
  <c r="I45"/>
  <c r="F44"/>
  <c r="I41"/>
  <c r="F41"/>
  <c r="F43"/>
  <c r="D45"/>
  <c r="S48"/>
  <c r="K83"/>
  <c r="S39"/>
  <c r="K41"/>
  <c r="S53"/>
  <c r="S60"/>
  <c r="O79"/>
  <c r="S81"/>
  <c r="S83"/>
  <c r="D40"/>
  <c r="D42"/>
  <c r="K78"/>
  <c r="S79"/>
  <c r="K39"/>
  <c r="K56"/>
  <c r="S78"/>
  <c r="S99"/>
  <c r="K79"/>
  <c r="S40"/>
  <c r="K42"/>
  <c r="S56"/>
  <c r="S58"/>
  <c r="K84"/>
  <c r="K52"/>
  <c r="D39"/>
  <c r="D41"/>
  <c r="D43"/>
  <c r="K44"/>
  <c r="P37"/>
  <c r="P76"/>
  <c r="I40"/>
  <c r="F40"/>
  <c r="U40"/>
  <c r="K66"/>
  <c r="K51"/>
  <c r="K48"/>
  <c r="K53"/>
  <c r="O40"/>
  <c r="O41"/>
  <c r="K49"/>
  <c r="Q40"/>
  <c r="F46"/>
  <c r="O58"/>
  <c r="L75"/>
  <c r="K85"/>
  <c r="L74"/>
  <c r="K74" s="1"/>
  <c r="I39"/>
  <c r="F39"/>
  <c r="O84"/>
  <c r="O83"/>
  <c r="O48"/>
  <c r="O46"/>
  <c r="O39"/>
  <c r="O62"/>
  <c r="O50"/>
  <c r="O49"/>
  <c r="O47"/>
  <c r="Q39"/>
  <c r="F42"/>
  <c r="K43"/>
  <c r="I46"/>
  <c r="K64"/>
  <c r="O66"/>
  <c r="O85"/>
  <c r="I42"/>
  <c r="M43"/>
  <c r="Q46"/>
  <c r="O57"/>
  <c r="O64"/>
  <c r="U39"/>
  <c r="O42"/>
  <c r="O54"/>
  <c r="O56"/>
  <c r="S75"/>
  <c r="T24"/>
  <c r="S24" s="1"/>
  <c r="T20"/>
  <c r="S20" s="1"/>
  <c r="T16"/>
  <c r="S16" s="1"/>
  <c r="T25"/>
  <c r="S25" s="1"/>
  <c r="T22"/>
  <c r="S22" s="1"/>
  <c r="S52"/>
  <c r="S66"/>
  <c r="S47"/>
  <c r="S49"/>
  <c r="S61"/>
  <c r="S80"/>
  <c r="S88"/>
  <c r="S50"/>
  <c r="S62"/>
  <c r="J51" i="345"/>
  <c r="J72"/>
  <c r="M15" i="338"/>
  <c r="J49" i="345"/>
  <c r="R72"/>
  <c r="R76"/>
  <c r="J63"/>
  <c r="N65"/>
  <c r="N63"/>
  <c r="R77"/>
  <c r="N64"/>
  <c r="N81"/>
  <c r="R46"/>
  <c r="R52"/>
  <c r="J53"/>
  <c r="J62"/>
  <c r="J50"/>
  <c r="N72"/>
  <c r="N73"/>
  <c r="J85"/>
  <c r="O29"/>
  <c r="K28"/>
  <c r="J73"/>
  <c r="K15"/>
  <c r="K16"/>
  <c r="K21"/>
  <c r="R64"/>
  <c r="R62"/>
  <c r="R42"/>
  <c r="R63"/>
  <c r="R49"/>
  <c r="R47"/>
  <c r="R50"/>
  <c r="R66"/>
  <c r="R68"/>
  <c r="R67"/>
  <c r="R65"/>
  <c r="R41"/>
  <c r="R44"/>
  <c r="R51"/>
  <c r="R82"/>
  <c r="R87"/>
  <c r="R90"/>
  <c r="R81"/>
  <c r="R86"/>
  <c r="R78"/>
  <c r="R79"/>
  <c r="R40"/>
  <c r="R43"/>
  <c r="J81"/>
  <c r="J84"/>
  <c r="J86"/>
  <c r="J87"/>
  <c r="J76"/>
  <c r="N83"/>
  <c r="N86"/>
  <c r="N82"/>
  <c r="N79"/>
  <c r="N90"/>
  <c r="N77"/>
  <c r="J77"/>
  <c r="J83"/>
  <c r="N76"/>
  <c r="J71" i="338"/>
  <c r="M20"/>
  <c r="M21"/>
  <c r="M23"/>
  <c r="S71" i="344"/>
  <c r="S72"/>
  <c r="S39" i="337"/>
  <c r="P39"/>
  <c r="J39"/>
  <c r="G39"/>
  <c r="D39"/>
  <c r="C39"/>
  <c r="T75"/>
  <c r="Q75"/>
  <c r="R76" s="1"/>
  <c r="T74"/>
  <c r="Q74"/>
  <c r="S77"/>
  <c r="P77"/>
  <c r="J77"/>
  <c r="G77"/>
  <c r="D77"/>
  <c r="F100" s="1"/>
  <c r="C77"/>
  <c r="O81" i="344"/>
  <c r="O71" s="1"/>
  <c r="D53" i="337" l="1"/>
  <c r="D19" s="1"/>
  <c r="T76" i="340"/>
  <c r="U76" i="337"/>
  <c r="F101"/>
  <c r="F102"/>
  <c r="F103"/>
  <c r="S9" i="344"/>
  <c r="S14"/>
  <c r="S27"/>
  <c r="S31"/>
  <c r="S6"/>
  <c r="S10"/>
  <c r="S15"/>
  <c r="S28"/>
  <c r="S32"/>
  <c r="S7"/>
  <c r="S11"/>
  <c r="S16"/>
  <c r="S29"/>
  <c r="S33"/>
  <c r="S8"/>
  <c r="S12"/>
  <c r="S17"/>
  <c r="S30"/>
  <c r="S5"/>
  <c r="N35" i="345"/>
  <c r="R35"/>
  <c r="R10"/>
  <c r="R18"/>
  <c r="R26"/>
  <c r="R34"/>
  <c r="R9"/>
  <c r="R11"/>
  <c r="R19"/>
  <c r="R27"/>
  <c r="R25"/>
  <c r="R12"/>
  <c r="R20"/>
  <c r="R28"/>
  <c r="R6"/>
  <c r="S4" s="1"/>
  <c r="R17"/>
  <c r="R13"/>
  <c r="R21"/>
  <c r="R29"/>
  <c r="R30"/>
  <c r="R7"/>
  <c r="R15"/>
  <c r="R23"/>
  <c r="R31"/>
  <c r="R33"/>
  <c r="R8"/>
  <c r="R16"/>
  <c r="R24"/>
  <c r="R32"/>
  <c r="N29"/>
  <c r="J28"/>
  <c r="L29" i="340"/>
  <c r="K29" s="1"/>
  <c r="L20"/>
  <c r="K20" s="1"/>
  <c r="L34"/>
  <c r="K34" s="1"/>
  <c r="L18"/>
  <c r="K18" s="1"/>
  <c r="L13"/>
  <c r="L33"/>
  <c r="K33" s="1"/>
  <c r="L15"/>
  <c r="L28"/>
  <c r="L19"/>
  <c r="K19" s="1"/>
  <c r="L17"/>
  <c r="K17" s="1"/>
  <c r="L9"/>
  <c r="K9" s="1"/>
  <c r="L16"/>
  <c r="K16" s="1"/>
  <c r="L21"/>
  <c r="K21" s="1"/>
  <c r="K75"/>
  <c r="L27"/>
  <c r="K27" s="1"/>
  <c r="J17" i="345"/>
  <c r="O4"/>
  <c r="O74" s="1"/>
  <c r="J16"/>
  <c r="J15"/>
  <c r="J19"/>
  <c r="J29"/>
  <c r="K4"/>
  <c r="J21"/>
  <c r="K80" i="344"/>
  <c r="R73"/>
  <c r="Q73"/>
  <c r="N73"/>
  <c r="M73"/>
  <c r="J73"/>
  <c r="I73"/>
  <c r="C73"/>
  <c r="B73"/>
  <c r="R37"/>
  <c r="Q37"/>
  <c r="N37"/>
  <c r="M37"/>
  <c r="J37"/>
  <c r="I37"/>
  <c r="C37"/>
  <c r="B37"/>
  <c r="Q33"/>
  <c r="Q31"/>
  <c r="Q30"/>
  <c r="Q29"/>
  <c r="Q28"/>
  <c r="Q17"/>
  <c r="Q16"/>
  <c r="Q15"/>
  <c r="Q14"/>
  <c r="Q12"/>
  <c r="Q11"/>
  <c r="Q10"/>
  <c r="Q9"/>
  <c r="Q8"/>
  <c r="Q7"/>
  <c r="Q6"/>
  <c r="Q5"/>
  <c r="F99" i="337" l="1"/>
  <c r="F76" s="1"/>
  <c r="N68" i="344"/>
  <c r="N61"/>
  <c r="P29" i="338"/>
  <c r="P72"/>
  <c r="M29"/>
  <c r="M72"/>
  <c r="K15" i="340"/>
  <c r="K28"/>
  <c r="K13"/>
  <c r="L3" s="1"/>
  <c r="O38" i="345"/>
  <c r="K38"/>
  <c r="K74"/>
  <c r="S74"/>
  <c r="S38"/>
  <c r="N75" i="344"/>
  <c r="N85"/>
  <c r="N91"/>
  <c r="N78"/>
  <c r="N89"/>
  <c r="R75"/>
  <c r="R71"/>
  <c r="R89"/>
  <c r="R72"/>
  <c r="N71"/>
  <c r="L76" i="340" l="1"/>
  <c r="L37"/>
  <c r="J29" i="338"/>
  <c r="J72"/>
  <c r="K86" i="344" l="1"/>
  <c r="K85"/>
  <c r="K78"/>
  <c r="K83"/>
  <c r="K82"/>
  <c r="K81"/>
  <c r="K76"/>
  <c r="K75"/>
  <c r="R86"/>
  <c r="R85"/>
  <c r="R78"/>
  <c r="R82"/>
  <c r="N82"/>
  <c r="R81"/>
  <c r="N81"/>
  <c r="R80"/>
  <c r="N80"/>
  <c r="R77"/>
  <c r="R76"/>
  <c r="N76"/>
  <c r="O72"/>
  <c r="O34" s="1"/>
  <c r="R67"/>
  <c r="R33" s="1"/>
  <c r="N67"/>
  <c r="R66"/>
  <c r="R32" s="1"/>
  <c r="R65"/>
  <c r="R31" s="1"/>
  <c r="N65"/>
  <c r="R64"/>
  <c r="R30" s="1"/>
  <c r="N64"/>
  <c r="R63"/>
  <c r="R29" s="1"/>
  <c r="N63"/>
  <c r="R62"/>
  <c r="R28" s="1"/>
  <c r="N62"/>
  <c r="J62"/>
  <c r="R61"/>
  <c r="R27" s="1"/>
  <c r="J61"/>
  <c r="J54"/>
  <c r="J52"/>
  <c r="R51"/>
  <c r="R17" s="1"/>
  <c r="R50"/>
  <c r="R16" s="1"/>
  <c r="J50"/>
  <c r="R49"/>
  <c r="R15" s="1"/>
  <c r="N49"/>
  <c r="J49"/>
  <c r="R48"/>
  <c r="R14" s="1"/>
  <c r="N48"/>
  <c r="J48"/>
  <c r="N47"/>
  <c r="J47"/>
  <c r="R46"/>
  <c r="R12" s="1"/>
  <c r="N46"/>
  <c r="R45"/>
  <c r="R11" s="1"/>
  <c r="N45"/>
  <c r="R44"/>
  <c r="R10" s="1"/>
  <c r="N44"/>
  <c r="R43"/>
  <c r="R9" s="1"/>
  <c r="N43"/>
  <c r="R42"/>
  <c r="R8" s="1"/>
  <c r="R41"/>
  <c r="R7" s="1"/>
  <c r="R40"/>
  <c r="R6" s="1"/>
  <c r="N40"/>
  <c r="R39"/>
  <c r="R5" s="1"/>
  <c r="N39"/>
  <c r="M33"/>
  <c r="B33"/>
  <c r="B32"/>
  <c r="M31"/>
  <c r="B31"/>
  <c r="M30"/>
  <c r="B30"/>
  <c r="M29"/>
  <c r="B29"/>
  <c r="M28"/>
  <c r="I28"/>
  <c r="B28"/>
  <c r="I27"/>
  <c r="B27"/>
  <c r="B26"/>
  <c r="B25"/>
  <c r="B24"/>
  <c r="B23"/>
  <c r="B22"/>
  <c r="B21"/>
  <c r="I20"/>
  <c r="B20"/>
  <c r="B19"/>
  <c r="I18"/>
  <c r="B18"/>
  <c r="B17"/>
  <c r="I16"/>
  <c r="B16"/>
  <c r="M15"/>
  <c r="I15"/>
  <c r="B15"/>
  <c r="M14"/>
  <c r="I14"/>
  <c r="B14"/>
  <c r="M13"/>
  <c r="I13"/>
  <c r="B13"/>
  <c r="M12"/>
  <c r="B12"/>
  <c r="M11"/>
  <c r="B11"/>
  <c r="M10"/>
  <c r="B10"/>
  <c r="M9"/>
  <c r="B9"/>
  <c r="B8"/>
  <c r="B7"/>
  <c r="M6"/>
  <c r="B6"/>
  <c r="M5"/>
  <c r="B5"/>
  <c r="O13" l="1"/>
  <c r="J86"/>
  <c r="J75"/>
  <c r="J76"/>
  <c r="K71"/>
  <c r="J83"/>
  <c r="J85"/>
  <c r="J80"/>
  <c r="K84"/>
  <c r="J82"/>
  <c r="O10"/>
  <c r="N72"/>
  <c r="N34" s="1"/>
  <c r="O15"/>
  <c r="O6"/>
  <c r="O11"/>
  <c r="O30"/>
  <c r="O9"/>
  <c r="O14"/>
  <c r="K72"/>
  <c r="O5"/>
  <c r="O29"/>
  <c r="O33"/>
  <c r="O12"/>
  <c r="O28"/>
  <c r="J81"/>
  <c r="O31"/>
  <c r="CJ148" i="343"/>
  <c r="CJ149"/>
  <c r="CJ150"/>
  <c r="CJ151"/>
  <c r="CJ157"/>
  <c r="CJ133"/>
  <c r="CJ134"/>
  <c r="CJ135"/>
  <c r="CJ136"/>
  <c r="CJ137"/>
  <c r="CJ138"/>
  <c r="CJ139"/>
  <c r="CJ140"/>
  <c r="CJ141"/>
  <c r="CJ142"/>
  <c r="CJ143"/>
  <c r="CJ145"/>
  <c r="CJ146"/>
  <c r="J71" i="344" l="1"/>
  <c r="J72"/>
  <c r="J14" s="1"/>
  <c r="J84"/>
  <c r="N10"/>
  <c r="N9"/>
  <c r="S3"/>
  <c r="S73" s="1"/>
  <c r="N15"/>
  <c r="N13"/>
  <c r="O3" s="1"/>
  <c r="O73" s="1"/>
  <c r="N31"/>
  <c r="N6"/>
  <c r="N12"/>
  <c r="N5"/>
  <c r="N28"/>
  <c r="N33"/>
  <c r="N30"/>
  <c r="N14"/>
  <c r="N11"/>
  <c r="N29"/>
  <c r="K20"/>
  <c r="K28"/>
  <c r="K15"/>
  <c r="K14"/>
  <c r="K27"/>
  <c r="K13"/>
  <c r="K16"/>
  <c r="K18"/>
  <c r="D81" i="34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F79" i="343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J27" i="344" l="1"/>
  <c r="J20"/>
  <c r="J13"/>
  <c r="K3" s="1"/>
  <c r="K37" s="1"/>
  <c r="J16"/>
  <c r="J18"/>
  <c r="J28"/>
  <c r="J15"/>
  <c r="O37"/>
  <c r="S37"/>
  <c r="DJ195" i="342"/>
  <c r="DK195"/>
  <c r="DL195"/>
  <c r="DM195"/>
  <c r="DN195"/>
  <c r="DO195"/>
  <c r="DP195"/>
  <c r="DQ195"/>
  <c r="DJ196"/>
  <c r="DK196"/>
  <c r="DL196"/>
  <c r="DM196"/>
  <c r="DP196"/>
  <c r="DQ196"/>
  <c r="DI196"/>
  <c r="DI195"/>
  <c r="DJ197"/>
  <c r="DJ198" s="1"/>
  <c r="DK197"/>
  <c r="DK198" s="1"/>
  <c r="DL197"/>
  <c r="DL198" s="1"/>
  <c r="DM197"/>
  <c r="DM198" s="1"/>
  <c r="DN197"/>
  <c r="DN198" s="1"/>
  <c r="DO197"/>
  <c r="DO198" s="1"/>
  <c r="DP197"/>
  <c r="DP198" s="1"/>
  <c r="DQ197"/>
  <c r="DQ198" s="1"/>
  <c r="DI197"/>
  <c r="DI201" s="1"/>
  <c r="CN241"/>
  <c r="CL236"/>
  <c r="CL237" s="1"/>
  <c r="CL238" s="1"/>
  <c r="CN236"/>
  <c r="CN237" s="1"/>
  <c r="CN238" s="1"/>
  <c r="CO236"/>
  <c r="CO237" s="1"/>
  <c r="CO238" s="1"/>
  <c r="CP236"/>
  <c r="CP237" s="1"/>
  <c r="CP238" s="1"/>
  <c r="CQ236"/>
  <c r="CQ237" s="1"/>
  <c r="CQ238" s="1"/>
  <c r="CR236"/>
  <c r="CR237" s="1"/>
  <c r="CR238" s="1"/>
  <c r="CK236"/>
  <c r="CK237" s="1"/>
  <c r="CK238" s="1"/>
  <c r="CL209"/>
  <c r="CL239" s="1"/>
  <c r="CO209"/>
  <c r="CP209"/>
  <c r="CQ209"/>
  <c r="CR209"/>
  <c r="CL210"/>
  <c r="CO210"/>
  <c r="CO211" s="1"/>
  <c r="CP210"/>
  <c r="CP211" s="1"/>
  <c r="CQ210"/>
  <c r="CQ211" s="1"/>
  <c r="CR210"/>
  <c r="CR211" s="1"/>
  <c r="CK210"/>
  <c r="CK209"/>
  <c r="CL206"/>
  <c r="CM206"/>
  <c r="CN206"/>
  <c r="CO206"/>
  <c r="CO207" s="1"/>
  <c r="CP206"/>
  <c r="CP207" s="1"/>
  <c r="CQ206"/>
  <c r="CR206"/>
  <c r="CK206"/>
  <c r="CX206"/>
  <c r="CX230" s="1"/>
  <c r="CY206"/>
  <c r="CZ206"/>
  <c r="DA206"/>
  <c r="DA212" s="1"/>
  <c r="DB206"/>
  <c r="DB230" s="1"/>
  <c r="DC206"/>
  <c r="DC212" s="1"/>
  <c r="DD206"/>
  <c r="CW206"/>
  <c r="CW212" s="1"/>
  <c r="CX210"/>
  <c r="CX234" s="1"/>
  <c r="DB210"/>
  <c r="DB234" s="1"/>
  <c r="CW210"/>
  <c r="CW234" s="1"/>
  <c r="CX209"/>
  <c r="CX233" s="1"/>
  <c r="DB209"/>
  <c r="DB233" s="1"/>
  <c r="CW209"/>
  <c r="CW233" s="1"/>
  <c r="CL205"/>
  <c r="CM205"/>
  <c r="CN205"/>
  <c r="CO205"/>
  <c r="CQ205"/>
  <c r="CK205"/>
  <c r="CL202"/>
  <c r="CL203" s="1"/>
  <c r="CM202"/>
  <c r="CM204" s="1"/>
  <c r="CN202"/>
  <c r="CN203" s="1"/>
  <c r="CO202"/>
  <c r="CO204" s="1"/>
  <c r="CP202"/>
  <c r="CP203" s="1"/>
  <c r="CQ202"/>
  <c r="CQ204" s="1"/>
  <c r="CR202"/>
  <c r="CR203" s="1"/>
  <c r="CK202"/>
  <c r="CK204" s="1"/>
  <c r="BO178"/>
  <c r="BP178"/>
  <c r="BQ178"/>
  <c r="BR178"/>
  <c r="BS178"/>
  <c r="BT178"/>
  <c r="BU178"/>
  <c r="BV178"/>
  <c r="BW178"/>
  <c r="BY178"/>
  <c r="BO179"/>
  <c r="BP179"/>
  <c r="BQ179"/>
  <c r="BR179"/>
  <c r="BS179"/>
  <c r="BT179"/>
  <c r="BU179"/>
  <c r="BV179"/>
  <c r="BW179"/>
  <c r="BO180"/>
  <c r="BP180"/>
  <c r="BQ180"/>
  <c r="BR180"/>
  <c r="BS180"/>
  <c r="BT180"/>
  <c r="BU180"/>
  <c r="BV180"/>
  <c r="BW180"/>
  <c r="BN179"/>
  <c r="BN180"/>
  <c r="BO175"/>
  <c r="BP175"/>
  <c r="BQ175"/>
  <c r="BR175"/>
  <c r="BS175"/>
  <c r="BT175"/>
  <c r="BU175"/>
  <c r="BV175"/>
  <c r="BW175"/>
  <c r="BY175"/>
  <c r="BN175"/>
  <c r="BY147"/>
  <c r="CA147"/>
  <c r="BY148"/>
  <c r="CA148"/>
  <c r="BY149"/>
  <c r="CA149"/>
  <c r="BY150"/>
  <c r="CA150"/>
  <c r="BY151"/>
  <c r="CA151"/>
  <c r="BY152"/>
  <c r="CA152"/>
  <c r="BY153"/>
  <c r="CA153"/>
  <c r="BY154"/>
  <c r="CA154"/>
  <c r="BQ127"/>
  <c r="BR127"/>
  <c r="BQ128"/>
  <c r="BR128"/>
  <c r="BQ129"/>
  <c r="BR129"/>
  <c r="BQ130"/>
  <c r="BR130"/>
  <c r="BQ131"/>
  <c r="BR131"/>
  <c r="BQ132"/>
  <c r="BR132"/>
  <c r="BQ133"/>
  <c r="BR133"/>
  <c r="BQ134"/>
  <c r="BR134"/>
  <c r="BO176"/>
  <c r="BP176"/>
  <c r="BQ176"/>
  <c r="BR176"/>
  <c r="BS176"/>
  <c r="BT176"/>
  <c r="BU176"/>
  <c r="BV176"/>
  <c r="BW176"/>
  <c r="BY176"/>
  <c r="BO177"/>
  <c r="BP177"/>
  <c r="BQ177"/>
  <c r="BS177"/>
  <c r="BT177"/>
  <c r="BU177"/>
  <c r="BV177"/>
  <c r="BW177"/>
  <c r="BY177"/>
  <c r="BO181"/>
  <c r="BP181"/>
  <c r="BQ181"/>
  <c r="BR181"/>
  <c r="BS181"/>
  <c r="BT181"/>
  <c r="BU181"/>
  <c r="BV181"/>
  <c r="BW181"/>
  <c r="BO182"/>
  <c r="BP182"/>
  <c r="BQ182"/>
  <c r="BR182"/>
  <c r="BS182"/>
  <c r="BT182"/>
  <c r="BU182"/>
  <c r="BV182"/>
  <c r="BW182"/>
  <c r="BO183"/>
  <c r="BP183"/>
  <c r="BQ183"/>
  <c r="BR183"/>
  <c r="BS183"/>
  <c r="BT183"/>
  <c r="BU183"/>
  <c r="BV183"/>
  <c r="BW183"/>
  <c r="BO184"/>
  <c r="BP184"/>
  <c r="BQ184"/>
  <c r="BR184"/>
  <c r="BS184"/>
  <c r="BT184"/>
  <c r="BU184"/>
  <c r="BV184"/>
  <c r="BW184"/>
  <c r="BX184"/>
  <c r="BO185"/>
  <c r="BP185"/>
  <c r="BQ185"/>
  <c r="BR185"/>
  <c r="BS185"/>
  <c r="BT185"/>
  <c r="BU185"/>
  <c r="BV185"/>
  <c r="BW185"/>
  <c r="BO186"/>
  <c r="BP186"/>
  <c r="BQ186"/>
  <c r="BR186"/>
  <c r="BS186"/>
  <c r="BT186"/>
  <c r="BU186"/>
  <c r="BV186"/>
  <c r="BW186"/>
  <c r="BX186"/>
  <c r="BO187"/>
  <c r="BP187"/>
  <c r="BQ187"/>
  <c r="BS187"/>
  <c r="BT187"/>
  <c r="BU187"/>
  <c r="BV187"/>
  <c r="BW187"/>
  <c r="BY187"/>
  <c r="BO188"/>
  <c r="BP188"/>
  <c r="BQ188"/>
  <c r="BS188"/>
  <c r="BT188"/>
  <c r="BU188"/>
  <c r="BV188"/>
  <c r="BW188"/>
  <c r="BX188"/>
  <c r="BY188"/>
  <c r="BZ188"/>
  <c r="CA188"/>
  <c r="BO189"/>
  <c r="BP189"/>
  <c r="BQ189"/>
  <c r="BS189"/>
  <c r="BT189"/>
  <c r="BU189"/>
  <c r="BV189"/>
  <c r="BW189"/>
  <c r="BO190"/>
  <c r="BP190"/>
  <c r="BQ190"/>
  <c r="BS190"/>
  <c r="BT190"/>
  <c r="BU190"/>
  <c r="BV190"/>
  <c r="BW190"/>
  <c r="BX190"/>
  <c r="BY190"/>
  <c r="BZ190"/>
  <c r="CA190"/>
  <c r="BO191"/>
  <c r="BP191"/>
  <c r="BR191"/>
  <c r="BS191"/>
  <c r="BT191"/>
  <c r="BU191"/>
  <c r="BV191"/>
  <c r="BW191"/>
  <c r="BY191"/>
  <c r="BO192"/>
  <c r="BP192"/>
  <c r="BR192"/>
  <c r="BS192"/>
  <c r="BT192"/>
  <c r="BU192"/>
  <c r="BV192"/>
  <c r="BW192"/>
  <c r="BX192"/>
  <c r="BY192"/>
  <c r="BZ192"/>
  <c r="CA192"/>
  <c r="BO193"/>
  <c r="BP193"/>
  <c r="BR193"/>
  <c r="BS193"/>
  <c r="BT193"/>
  <c r="BU193"/>
  <c r="BV193"/>
  <c r="BW193"/>
  <c r="BO194"/>
  <c r="BP194"/>
  <c r="BR194"/>
  <c r="BS194"/>
  <c r="BT194"/>
  <c r="BU194"/>
  <c r="BV194"/>
  <c r="BW194"/>
  <c r="BX194"/>
  <c r="BY194"/>
  <c r="BZ194"/>
  <c r="CA194"/>
  <c r="BN176"/>
  <c r="BN177"/>
  <c r="BN178"/>
  <c r="BN181"/>
  <c r="BN182"/>
  <c r="BN183"/>
  <c r="BN184"/>
  <c r="BN185"/>
  <c r="BN186"/>
  <c r="BN187"/>
  <c r="BN188"/>
  <c r="BN189"/>
  <c r="BN190"/>
  <c r="BN191"/>
  <c r="BN192"/>
  <c r="BN193"/>
  <c r="BN194"/>
  <c r="BR46"/>
  <c r="BS46"/>
  <c r="BT46"/>
  <c r="BU46"/>
  <c r="BV46"/>
  <c r="BW46"/>
  <c r="BX46"/>
  <c r="BY46"/>
  <c r="BZ46"/>
  <c r="CA46"/>
  <c r="BO47"/>
  <c r="BP47"/>
  <c r="BQ47"/>
  <c r="BS47"/>
  <c r="BT47"/>
  <c r="BU47"/>
  <c r="BV47"/>
  <c r="BW47"/>
  <c r="BX47"/>
  <c r="BY47"/>
  <c r="BZ47"/>
  <c r="CA47"/>
  <c r="BN47"/>
  <c r="BO36"/>
  <c r="BP36"/>
  <c r="BQ36"/>
  <c r="BR36"/>
  <c r="BS36"/>
  <c r="BT36"/>
  <c r="BU36"/>
  <c r="BV36"/>
  <c r="BW36"/>
  <c r="BX36"/>
  <c r="BY36"/>
  <c r="BZ36"/>
  <c r="CA36"/>
  <c r="BP37"/>
  <c r="BQ37"/>
  <c r="BR37"/>
  <c r="BS37"/>
  <c r="BT37"/>
  <c r="BU37"/>
  <c r="BV37"/>
  <c r="BW37"/>
  <c r="BX37"/>
  <c r="BY37"/>
  <c r="BZ37"/>
  <c r="CA37"/>
  <c r="BO38"/>
  <c r="BP38"/>
  <c r="BQ38"/>
  <c r="BR38"/>
  <c r="BS38"/>
  <c r="BT38"/>
  <c r="BU38"/>
  <c r="BV38"/>
  <c r="BW38"/>
  <c r="BX38"/>
  <c r="BY38"/>
  <c r="BZ38"/>
  <c r="CA38"/>
  <c r="BP39"/>
  <c r="BQ39"/>
  <c r="BR39"/>
  <c r="BS39"/>
  <c r="BT39"/>
  <c r="BU39"/>
  <c r="BV39"/>
  <c r="BW39"/>
  <c r="BX39"/>
  <c r="BY39"/>
  <c r="BZ39"/>
  <c r="CA39"/>
  <c r="BO40"/>
  <c r="BP40"/>
  <c r="BQ40"/>
  <c r="BR40"/>
  <c r="BS40"/>
  <c r="BT40"/>
  <c r="BU40"/>
  <c r="BV40"/>
  <c r="BW40"/>
  <c r="BX40"/>
  <c r="BY40"/>
  <c r="BZ40"/>
  <c r="CA40"/>
  <c r="BO41"/>
  <c r="BP41"/>
  <c r="BQ41"/>
  <c r="BR41"/>
  <c r="BS41"/>
  <c r="BT41"/>
  <c r="BU41"/>
  <c r="BV41"/>
  <c r="BW41"/>
  <c r="BX41"/>
  <c r="BY41"/>
  <c r="BZ41"/>
  <c r="CA41"/>
  <c r="BO42"/>
  <c r="BP42"/>
  <c r="BQ42"/>
  <c r="BR42"/>
  <c r="BS42"/>
  <c r="BT42"/>
  <c r="BU42"/>
  <c r="BV42"/>
  <c r="BW42"/>
  <c r="BX42"/>
  <c r="BY42"/>
  <c r="BZ42"/>
  <c r="CA42"/>
  <c r="BO43"/>
  <c r="BP43"/>
  <c r="BQ43"/>
  <c r="BR43"/>
  <c r="BS43"/>
  <c r="BT43"/>
  <c r="BU43"/>
  <c r="BV43"/>
  <c r="BW43"/>
  <c r="BX43"/>
  <c r="BY43"/>
  <c r="BZ43"/>
  <c r="CA43"/>
  <c r="BO44"/>
  <c r="BP44"/>
  <c r="BQ44"/>
  <c r="BR44"/>
  <c r="BS44"/>
  <c r="BT44"/>
  <c r="BU44"/>
  <c r="BV44"/>
  <c r="BW44"/>
  <c r="BX44"/>
  <c r="BY44"/>
  <c r="BZ44"/>
  <c r="CA44"/>
  <c r="BO45"/>
  <c r="BP45"/>
  <c r="BQ45"/>
  <c r="BR45"/>
  <c r="BS45"/>
  <c r="BT45"/>
  <c r="BU45"/>
  <c r="BV45"/>
  <c r="BW45"/>
  <c r="BX45"/>
  <c r="BY45"/>
  <c r="BZ45"/>
  <c r="CA45"/>
  <c r="BN38"/>
  <c r="BN40"/>
  <c r="BN41"/>
  <c r="BN42"/>
  <c r="BN43"/>
  <c r="BN44"/>
  <c r="BN45"/>
  <c r="BN36"/>
  <c r="BS22"/>
  <c r="CA18"/>
  <c r="CA17"/>
  <c r="CA16"/>
  <c r="CA15"/>
  <c r="CA14"/>
  <c r="CA13"/>
  <c r="CA12"/>
  <c r="BY18"/>
  <c r="BY17"/>
  <c r="BY16"/>
  <c r="BY15"/>
  <c r="BY14"/>
  <c r="BY13"/>
  <c r="BY12"/>
  <c r="BT18"/>
  <c r="BT17"/>
  <c r="BT16"/>
  <c r="BT15"/>
  <c r="BT14"/>
  <c r="BT13"/>
  <c r="BT22" s="1"/>
  <c r="BT12"/>
  <c r="BR18"/>
  <c r="BR17"/>
  <c r="BR16"/>
  <c r="BR15"/>
  <c r="BR14"/>
  <c r="BR13"/>
  <c r="BR22" s="1"/>
  <c r="BR12"/>
  <c r="BP18"/>
  <c r="BP17"/>
  <c r="BP16"/>
  <c r="BP14"/>
  <c r="BP12"/>
  <c r="BU9"/>
  <c r="BU10"/>
  <c r="BU11"/>
  <c r="BV6"/>
  <c r="BV9" s="1"/>
  <c r="BW6"/>
  <c r="BW9" s="1"/>
  <c r="BV7"/>
  <c r="BV10" s="1"/>
  <c r="BW7"/>
  <c r="BW10" s="1"/>
  <c r="BV8"/>
  <c r="BV11" s="1"/>
  <c r="BW8"/>
  <c r="BW11" s="1"/>
  <c r="BV4"/>
  <c r="BW4"/>
  <c r="BV5"/>
  <c r="BW5"/>
  <c r="BW3"/>
  <c r="BV3"/>
  <c r="AO87"/>
  <c r="AM87"/>
  <c r="AN87" s="1"/>
  <c r="AK87"/>
  <c r="AH87"/>
  <c r="AI87" s="1"/>
  <c r="AF87"/>
  <c r="AN7"/>
  <c r="AN8"/>
  <c r="AN9"/>
  <c r="AN10"/>
  <c r="AN11"/>
  <c r="AL7"/>
  <c r="AL8"/>
  <c r="AL9"/>
  <c r="AL10"/>
  <c r="AL11"/>
  <c r="AI7"/>
  <c r="AJ7"/>
  <c r="AI8"/>
  <c r="AJ8"/>
  <c r="AI9"/>
  <c r="AJ9"/>
  <c r="AI10"/>
  <c r="AJ10"/>
  <c r="AI11"/>
  <c r="AJ11"/>
  <c r="AP4"/>
  <c r="AQ4"/>
  <c r="AP3"/>
  <c r="AQ3"/>
  <c r="W4"/>
  <c r="AD4"/>
  <c r="W5"/>
  <c r="AD5"/>
  <c r="AD3"/>
  <c r="AC3"/>
  <c r="AA3"/>
  <c r="AB3" s="1"/>
  <c r="X3"/>
  <c r="Z3" s="1"/>
  <c r="W3"/>
  <c r="CC37"/>
  <c r="CG37"/>
  <c r="CG38"/>
  <c r="CG39"/>
  <c r="CG40"/>
  <c r="CB41"/>
  <c r="CD41"/>
  <c r="CE41"/>
  <c r="CF41"/>
  <c r="CG41"/>
  <c r="CB42"/>
  <c r="CD42"/>
  <c r="CE42"/>
  <c r="CF42"/>
  <c r="CG42"/>
  <c r="CB43"/>
  <c r="CD43"/>
  <c r="CE43"/>
  <c r="CF43"/>
  <c r="CG43"/>
  <c r="CB44"/>
  <c r="CD44"/>
  <c r="CG44"/>
  <c r="CC36"/>
  <c r="CD36"/>
  <c r="CE36"/>
  <c r="CF36"/>
  <c r="CG36"/>
  <c r="CB36"/>
  <c r="CC27"/>
  <c r="CC39" s="1"/>
  <c r="CC28"/>
  <c r="CC40" s="1"/>
  <c r="CC29"/>
  <c r="CC41" s="1"/>
  <c r="CC30"/>
  <c r="CC42" s="1"/>
  <c r="CC31"/>
  <c r="CC43" s="1"/>
  <c r="CC32"/>
  <c r="CC44" s="1"/>
  <c r="CC71"/>
  <c r="CC82" s="1"/>
  <c r="CG71"/>
  <c r="CG82" s="1"/>
  <c r="CC62"/>
  <c r="CC73" s="1"/>
  <c r="CG62"/>
  <c r="CG73" s="1"/>
  <c r="CC63"/>
  <c r="CC74" s="1"/>
  <c r="CG63"/>
  <c r="CG74" s="1"/>
  <c r="CC64"/>
  <c r="CC75" s="1"/>
  <c r="CG64"/>
  <c r="CG75" s="1"/>
  <c r="CC65"/>
  <c r="CC76" s="1"/>
  <c r="CG65"/>
  <c r="CG76" s="1"/>
  <c r="CC66"/>
  <c r="CC77" s="1"/>
  <c r="CG66"/>
  <c r="CG77" s="1"/>
  <c r="CC67"/>
  <c r="CC78" s="1"/>
  <c r="CG67"/>
  <c r="CG78" s="1"/>
  <c r="CC68"/>
  <c r="CC79" s="1"/>
  <c r="CG68"/>
  <c r="CG79" s="1"/>
  <c r="CC69"/>
  <c r="CC80" s="1"/>
  <c r="CG69"/>
  <c r="CG80" s="1"/>
  <c r="CC70"/>
  <c r="CC81" s="1"/>
  <c r="CG70"/>
  <c r="CG81" s="1"/>
  <c r="CG61"/>
  <c r="CG72" s="1"/>
  <c r="CG83" s="1"/>
  <c r="CC61"/>
  <c r="CC72" s="1"/>
  <c r="CC83" s="1"/>
  <c r="CC48"/>
  <c r="CC15"/>
  <c r="CC16"/>
  <c r="CG3"/>
  <c r="CI36"/>
  <c r="CJ36"/>
  <c r="CI40"/>
  <c r="CI41"/>
  <c r="CJ41"/>
  <c r="CI42"/>
  <c r="CJ42"/>
  <c r="CH41"/>
  <c r="CH42"/>
  <c r="CH36"/>
  <c r="CH40"/>
  <c r="CJ40"/>
  <c r="K73" i="344" l="1"/>
  <c r="DC208" i="342"/>
  <c r="DC214" s="1"/>
  <c r="DC207"/>
  <c r="DC213" s="1"/>
  <c r="DI198"/>
  <c r="CL240"/>
  <c r="CL241" s="1"/>
  <c r="CW230"/>
  <c r="CL211"/>
  <c r="CQ239"/>
  <c r="CX208"/>
  <c r="CX232" s="1"/>
  <c r="CO239"/>
  <c r="DA230"/>
  <c r="DI200"/>
  <c r="CK211"/>
  <c r="CK240"/>
  <c r="CK241" s="1"/>
  <c r="CZ208"/>
  <c r="CZ232" s="1"/>
  <c r="CZ207"/>
  <c r="CZ231" s="1"/>
  <c r="DD212"/>
  <c r="CZ230"/>
  <c r="DD230"/>
  <c r="CO208"/>
  <c r="CM208"/>
  <c r="CQ207"/>
  <c r="CM207"/>
  <c r="CK239"/>
  <c r="CR240"/>
  <c r="CR241" s="1"/>
  <c r="CP240"/>
  <c r="CP241" s="1"/>
  <c r="CR239"/>
  <c r="CP239"/>
  <c r="DI199"/>
  <c r="DP201"/>
  <c r="DN201"/>
  <c r="DL201"/>
  <c r="DJ201"/>
  <c r="DP200"/>
  <c r="DN200"/>
  <c r="DL200"/>
  <c r="DJ200"/>
  <c r="DP199"/>
  <c r="DN199"/>
  <c r="DL199"/>
  <c r="DJ199"/>
  <c r="CZ212"/>
  <c r="CN208"/>
  <c r="CL208"/>
  <c r="CN207"/>
  <c r="CQ240"/>
  <c r="CQ241" s="1"/>
  <c r="CO240"/>
  <c r="CO241" s="1"/>
  <c r="DQ201"/>
  <c r="DO201"/>
  <c r="DM201"/>
  <c r="DK201"/>
  <c r="DQ200"/>
  <c r="DO200"/>
  <c r="DM200"/>
  <c r="DK200"/>
  <c r="DQ199"/>
  <c r="DO199"/>
  <c r="DM199"/>
  <c r="DK199"/>
  <c r="CQ208"/>
  <c r="CR208"/>
  <c r="CR207"/>
  <c r="CP208"/>
  <c r="CK208"/>
  <c r="CL207"/>
  <c r="CK207"/>
  <c r="CW221"/>
  <c r="CW227"/>
  <c r="CW211"/>
  <c r="CW235" s="1"/>
  <c r="CW228"/>
  <c r="CW222"/>
  <c r="CW218"/>
  <c r="CW224"/>
  <c r="CW216"/>
  <c r="CW215"/>
  <c r="CW208"/>
  <c r="CW232" s="1"/>
  <c r="DA208"/>
  <c r="DA232" s="1"/>
  <c r="DA207"/>
  <c r="DA231" s="1"/>
  <c r="CW207"/>
  <c r="CW231" s="1"/>
  <c r="DB221"/>
  <c r="DB215"/>
  <c r="CX221"/>
  <c r="CX215"/>
  <c r="DB222"/>
  <c r="DB216"/>
  <c r="CX222"/>
  <c r="CX216"/>
  <c r="DB207"/>
  <c r="DB231" s="1"/>
  <c r="DB224"/>
  <c r="CX207"/>
  <c r="CX231" s="1"/>
  <c r="CX224"/>
  <c r="CX218"/>
  <c r="DB218"/>
  <c r="DB228"/>
  <c r="CX228"/>
  <c r="DB227"/>
  <c r="CX227"/>
  <c r="CX212"/>
  <c r="DB212"/>
  <c r="CX211"/>
  <c r="CX235" s="1"/>
  <c r="DB211"/>
  <c r="DB235" s="1"/>
  <c r="DD208"/>
  <c r="DD232" s="1"/>
  <c r="DB208"/>
  <c r="DB232" s="1"/>
  <c r="DD207"/>
  <c r="DD231" s="1"/>
  <c r="CY208"/>
  <c r="CY207"/>
  <c r="CK203"/>
  <c r="CR204"/>
  <c r="CP204"/>
  <c r="CN204"/>
  <c r="CL204"/>
  <c r="CQ203"/>
  <c r="CO203"/>
  <c r="CM203"/>
  <c r="AJ87"/>
  <c r="Y3"/>
  <c r="AG87"/>
  <c r="AL87"/>
  <c r="CC50"/>
  <c r="CC51"/>
  <c r="CC52"/>
  <c r="CC53"/>
  <c r="CC54"/>
  <c r="CC55"/>
  <c r="CC56"/>
  <c r="CC57"/>
  <c r="CC58"/>
  <c r="CC59"/>
  <c r="CC49"/>
  <c r="BL111"/>
  <c r="BL112" s="1"/>
  <c r="BL113" s="1"/>
  <c r="BL114" s="1"/>
  <c r="BL115" s="1"/>
  <c r="BL116" s="1"/>
  <c r="BL117" s="1"/>
  <c r="BL118" s="1"/>
  <c r="BL119" s="1"/>
  <c r="BL120" s="1"/>
  <c r="BL121" s="1"/>
  <c r="BL122" s="1"/>
  <c r="BL123" s="1"/>
  <c r="BL124" s="1"/>
  <c r="BL125" s="1"/>
  <c r="BL126" s="1"/>
  <c r="BL127" s="1"/>
  <c r="BL128" s="1"/>
  <c r="BL129" s="1"/>
  <c r="BL130" s="1"/>
  <c r="BL131" s="1"/>
  <c r="BL132" s="1"/>
  <c r="BL133" s="1"/>
  <c r="BL134" s="1"/>
  <c r="BM111"/>
  <c r="BM112" s="1"/>
  <c r="BM113" s="1"/>
  <c r="BM114" s="1"/>
  <c r="BM115" s="1"/>
  <c r="BM116" s="1"/>
  <c r="BM117" s="1"/>
  <c r="BM118" s="1"/>
  <c r="BM119" s="1"/>
  <c r="BM120" s="1"/>
  <c r="BM121" s="1"/>
  <c r="BM122" s="1"/>
  <c r="BM123" s="1"/>
  <c r="BM124" s="1"/>
  <c r="BM125" s="1"/>
  <c r="BM126" s="1"/>
  <c r="BM127" s="1"/>
  <c r="BM128" s="1"/>
  <c r="BM129" s="1"/>
  <c r="BM130" s="1"/>
  <c r="BM131" s="1"/>
  <c r="BM132" s="1"/>
  <c r="BM133" s="1"/>
  <c r="BM134" s="1"/>
  <c r="BL99"/>
  <c r="BL100" s="1"/>
  <c r="BM99"/>
  <c r="H93"/>
  <c r="H94"/>
  <c r="H95"/>
  <c r="L82"/>
  <c r="M82"/>
  <c r="L83"/>
  <c r="M83"/>
  <c r="H39"/>
  <c r="H41"/>
  <c r="H40"/>
  <c r="H36"/>
  <c r="G40"/>
  <c r="G42"/>
  <c r="J37"/>
  <c r="K37"/>
  <c r="H38"/>
  <c r="J38"/>
  <c r="K38"/>
  <c r="J39"/>
  <c r="K39"/>
  <c r="J40"/>
  <c r="K40"/>
  <c r="F41"/>
  <c r="I41"/>
  <c r="J41"/>
  <c r="K41"/>
  <c r="F42"/>
  <c r="I42"/>
  <c r="J42"/>
  <c r="K42"/>
  <c r="E41"/>
  <c r="E42"/>
  <c r="L30"/>
  <c r="L42" s="1"/>
  <c r="L17"/>
  <c r="L18"/>
  <c r="M18"/>
  <c r="M16"/>
  <c r="CX214" l="1"/>
  <c r="CX226"/>
  <c r="CZ213"/>
  <c r="CZ214"/>
  <c r="CX220"/>
  <c r="DD213"/>
  <c r="DD214"/>
  <c r="CX223"/>
  <c r="CX217"/>
  <c r="CX229"/>
  <c r="CX213"/>
  <c r="CX219"/>
  <c r="CX225"/>
  <c r="DB213"/>
  <c r="DB219"/>
  <c r="DB225"/>
  <c r="DA213"/>
  <c r="CW226"/>
  <c r="CW214"/>
  <c r="CW220"/>
  <c r="DB214"/>
  <c r="DB220"/>
  <c r="DB226"/>
  <c r="DB223"/>
  <c r="DB217"/>
  <c r="DB229"/>
  <c r="CW225"/>
  <c r="CW213"/>
  <c r="CW219"/>
  <c r="DA214"/>
  <c r="CW223"/>
  <c r="CW229"/>
  <c r="CW217"/>
  <c r="BL109"/>
  <c r="BL107"/>
  <c r="BL105"/>
  <c r="BL103"/>
  <c r="BL101"/>
  <c r="BL110"/>
  <c r="BL108"/>
  <c r="BL106"/>
  <c r="BL104"/>
  <c r="BL102"/>
  <c r="BM101"/>
  <c r="BM102"/>
  <c r="BM103"/>
  <c r="BM104"/>
  <c r="BM105"/>
  <c r="BM106"/>
  <c r="BM107"/>
  <c r="BM108"/>
  <c r="BM109"/>
  <c r="BM110"/>
  <c r="BM100"/>
  <c r="L29"/>
  <c r="L41" s="1"/>
  <c r="M28"/>
  <c r="M40" s="1"/>
  <c r="M30"/>
  <c r="M42" s="1"/>
  <c r="BO74"/>
  <c r="BO78" s="1"/>
  <c r="BN74"/>
  <c r="BN78" s="1"/>
  <c r="BO75"/>
  <c r="BO79" s="1"/>
  <c r="BN75"/>
  <c r="BN79" s="1"/>
  <c r="AD9"/>
  <c r="AD10"/>
  <c r="AD11"/>
  <c r="BN72" l="1"/>
  <c r="BO72"/>
  <c r="DS143" i="343"/>
  <c r="BR74" i="342"/>
  <c r="BR78" s="1"/>
  <c r="BQ74"/>
  <c r="BQ78" s="1"/>
  <c r="BR75"/>
  <c r="BR79" s="1"/>
  <c r="BQ72"/>
  <c r="BQ73" s="1"/>
  <c r="BQ77" s="1"/>
  <c r="BQ81" s="1"/>
  <c r="CJ56"/>
  <c r="CI56"/>
  <c r="CH55"/>
  <c r="CH54"/>
  <c r="CJ53"/>
  <c r="CI53"/>
  <c r="CH53"/>
  <c r="L46"/>
  <c r="L34"/>
  <c r="L22"/>
  <c r="BO76" l="1"/>
  <c r="BO80" s="1"/>
  <c r="BO73"/>
  <c r="BO77" s="1"/>
  <c r="BO81" s="1"/>
  <c r="BN76"/>
  <c r="BN80" s="1"/>
  <c r="BN73"/>
  <c r="BN77" s="1"/>
  <c r="BN81" s="1"/>
  <c r="BQ76"/>
  <c r="BQ80" s="1"/>
  <c r="BQ75"/>
  <c r="BQ79" s="1"/>
  <c r="BX165"/>
  <c r="BX185" s="1"/>
  <c r="CJ57"/>
  <c r="BR72"/>
  <c r="CI57"/>
  <c r="BX163"/>
  <c r="BX183" s="1"/>
  <c r="CM195"/>
  <c r="BR177"/>
  <c r="BX191" l="1"/>
  <c r="BR76"/>
  <c r="BR80" s="1"/>
  <c r="BR73"/>
  <c r="BR77" s="1"/>
  <c r="BR81" s="1"/>
  <c r="BY193"/>
  <c r="BY189"/>
  <c r="CJ58"/>
  <c r="BZ191"/>
  <c r="BZ187"/>
  <c r="BZ193"/>
  <c r="BZ189"/>
  <c r="BX193"/>
  <c r="BX187"/>
  <c r="BX189"/>
  <c r="CA193"/>
  <c r="CA189"/>
  <c r="CA191"/>
  <c r="CA187"/>
  <c r="CI58"/>
  <c r="CI59" l="1"/>
  <c r="CJ59"/>
  <c r="H9" i="339" l="1"/>
  <c r="G33"/>
  <c r="G34"/>
  <c r="G35"/>
  <c r="G32"/>
  <c r="K86" i="337"/>
  <c r="K88" s="1"/>
  <c r="K85"/>
  <c r="K84"/>
  <c r="K80"/>
  <c r="K79"/>
  <c r="X78" i="340" s="1"/>
  <c r="G15" i="199"/>
  <c r="K75" i="337" l="1"/>
  <c r="K74"/>
  <c r="L76" l="1"/>
  <c r="K35" i="339" l="1"/>
  <c r="K33"/>
  <c r="L27"/>
  <c r="G26"/>
  <c r="O25"/>
  <c r="K25"/>
  <c r="G25"/>
  <c r="O24"/>
  <c r="K24"/>
  <c r="H24"/>
  <c r="G24" s="1"/>
  <c r="H18"/>
  <c r="P18"/>
  <c r="L18"/>
  <c r="G17"/>
  <c r="O16"/>
  <c r="K16"/>
  <c r="G16"/>
  <c r="O15"/>
  <c r="K15"/>
  <c r="G15"/>
  <c r="G9"/>
  <c r="H8"/>
  <c r="G8" s="1"/>
  <c r="U7"/>
  <c r="P7"/>
  <c r="O7" s="1"/>
  <c r="L7"/>
  <c r="K7" s="1"/>
  <c r="U6"/>
  <c r="P6"/>
  <c r="K6"/>
  <c r="G6"/>
  <c r="O5"/>
  <c r="K5"/>
  <c r="G5"/>
  <c r="K4"/>
  <c r="G4"/>
  <c r="K87" i="337"/>
  <c r="Q7" i="339" l="1"/>
  <c r="P9"/>
  <c r="O9" s="1"/>
  <c r="L9"/>
  <c r="Q39" i="337"/>
  <c r="Q77"/>
  <c r="O6" i="339"/>
  <c r="K9"/>
  <c r="K26"/>
  <c r="K39" i="337"/>
  <c r="C7" i="339"/>
  <c r="M7"/>
  <c r="H27"/>
  <c r="K17"/>
  <c r="T39" i="337" l="1"/>
  <c r="K77"/>
  <c r="T77"/>
  <c r="S270" i="295" l="1"/>
  <c r="S269"/>
  <c r="S268"/>
  <c r="S267"/>
  <c r="N2" i="191" l="1"/>
  <c r="N2" i="320"/>
  <c r="T13" i="295"/>
  <c r="T16"/>
  <c r="T14"/>
  <c r="F5" s="1"/>
  <c r="E16"/>
  <c r="E17"/>
  <c r="DV17"/>
  <c r="DV16"/>
  <c r="DK17"/>
  <c r="DK16"/>
  <c r="DK14"/>
  <c r="DK13"/>
  <c r="BZ16"/>
  <c r="BZ13"/>
  <c r="BR17"/>
  <c r="BR16"/>
  <c r="BR14"/>
  <c r="BR13"/>
  <c r="DC272"/>
  <c r="DB272"/>
  <c r="DA272"/>
  <c r="CZ272"/>
  <c r="CY272"/>
  <c r="CX272"/>
  <c r="CW272"/>
  <c r="DC271"/>
  <c r="DB271"/>
  <c r="DA271"/>
  <c r="CZ271"/>
  <c r="CY271"/>
  <c r="CX271"/>
  <c r="CW271"/>
  <c r="DU270"/>
  <c r="DT270"/>
  <c r="DR270"/>
  <c r="DE270"/>
  <c r="DL270"/>
  <c r="DC270"/>
  <c r="DB270"/>
  <c r="DA270"/>
  <c r="CZ270"/>
  <c r="CY270"/>
  <c r="CX270"/>
  <c r="CW270"/>
  <c r="CV270"/>
  <c r="CU270"/>
  <c r="CT270"/>
  <c r="CS270"/>
  <c r="CR270"/>
  <c r="CQ270"/>
  <c r="CP270"/>
  <c r="CO270"/>
  <c r="BS270"/>
  <c r="AR270"/>
  <c r="AN270"/>
  <c r="U270"/>
  <c r="V270" s="1"/>
  <c r="AM270" s="1"/>
  <c r="J270"/>
  <c r="DU269"/>
  <c r="DT269"/>
  <c r="DR269"/>
  <c r="DE269"/>
  <c r="DL269"/>
  <c r="DB269"/>
  <c r="DA269"/>
  <c r="CZ269"/>
  <c r="CY269"/>
  <c r="CX269"/>
  <c r="CW269"/>
  <c r="CV269"/>
  <c r="CU269"/>
  <c r="CT269"/>
  <c r="CS269"/>
  <c r="CR269"/>
  <c r="CQ269"/>
  <c r="CP269"/>
  <c r="CO269"/>
  <c r="BS269"/>
  <c r="AR269"/>
  <c r="AN269"/>
  <c r="U269"/>
  <c r="AG269" s="1"/>
  <c r="AJ269" s="1"/>
  <c r="J269"/>
  <c r="DU268"/>
  <c r="DT268"/>
  <c r="DR268"/>
  <c r="DE268"/>
  <c r="DL268"/>
  <c r="DB268"/>
  <c r="DA268"/>
  <c r="CZ268"/>
  <c r="CY268"/>
  <c r="CX268"/>
  <c r="CW268"/>
  <c r="CV268"/>
  <c r="CU268"/>
  <c r="CT268"/>
  <c r="CS268"/>
  <c r="CR268"/>
  <c r="CQ268"/>
  <c r="CP268"/>
  <c r="CO268"/>
  <c r="BV268"/>
  <c r="BS268"/>
  <c r="AR268"/>
  <c r="AN268"/>
  <c r="U268"/>
  <c r="AB268" s="1"/>
  <c r="J268"/>
  <c r="DT267"/>
  <c r="DR267"/>
  <c r="DE267"/>
  <c r="DL267"/>
  <c r="DB267"/>
  <c r="DA267"/>
  <c r="CZ267"/>
  <c r="CY267"/>
  <c r="CX267"/>
  <c r="CW267"/>
  <c r="CV267"/>
  <c r="CU267"/>
  <c r="CT267"/>
  <c r="CS267"/>
  <c r="CR267"/>
  <c r="CQ267"/>
  <c r="CP267"/>
  <c r="CO267"/>
  <c r="BS267"/>
  <c r="AR267"/>
  <c r="AN267"/>
  <c r="U267"/>
  <c r="AG267" s="1"/>
  <c r="AJ267" s="1"/>
  <c r="J267"/>
  <c r="DT266"/>
  <c r="DR266"/>
  <c r="DE266"/>
  <c r="DL266"/>
  <c r="DB266"/>
  <c r="DA266"/>
  <c r="CZ266"/>
  <c r="CV266"/>
  <c r="CU266"/>
  <c r="CT266"/>
  <c r="CS266"/>
  <c r="CR266"/>
  <c r="CQ266"/>
  <c r="CP266"/>
  <c r="CO266"/>
  <c r="BS266"/>
  <c r="AR266"/>
  <c r="AN266"/>
  <c r="U266"/>
  <c r="AG266" s="1"/>
  <c r="J266"/>
  <c r="DY265"/>
  <c r="DX265"/>
  <c r="AC265"/>
  <c r="F265"/>
  <c r="I5" l="1"/>
  <c r="E5"/>
  <c r="H5"/>
  <c r="G5"/>
  <c r="BT266"/>
  <c r="BT267"/>
  <c r="DF267"/>
  <c r="DP268"/>
  <c r="AX268"/>
  <c r="AZ268" s="1"/>
  <c r="BW268"/>
  <c r="DF268"/>
  <c r="BT269"/>
  <c r="DF269"/>
  <c r="BT270"/>
  <c r="AU266"/>
  <c r="DG266"/>
  <c r="AU267"/>
  <c r="BT268"/>
  <c r="AU269"/>
  <c r="AS270"/>
  <c r="DG270"/>
  <c r="AS266"/>
  <c r="DF270"/>
  <c r="V266"/>
  <c r="AS267"/>
  <c r="AX266"/>
  <c r="DF266"/>
  <c r="AG268"/>
  <c r="AJ268" s="1"/>
  <c r="AX269"/>
  <c r="AX267"/>
  <c r="V268"/>
  <c r="AM268" s="1"/>
  <c r="AS269"/>
  <c r="DI267"/>
  <c r="DI268"/>
  <c r="AB269"/>
  <c r="DI269"/>
  <c r="DG269"/>
  <c r="W270"/>
  <c r="AG270"/>
  <c r="AJ270" s="1"/>
  <c r="AU270"/>
  <c r="AX270"/>
  <c r="W267"/>
  <c r="AB267"/>
  <c r="DG267"/>
  <c r="AU268"/>
  <c r="DG268"/>
  <c r="W269"/>
  <c r="W266"/>
  <c r="V267"/>
  <c r="AM267" s="1"/>
  <c r="W268"/>
  <c r="AS268"/>
  <c r="V269"/>
  <c r="AM269" s="1"/>
  <c r="DI270"/>
  <c r="BZ17" l="1"/>
  <c r="H15" i="294"/>
  <c r="I15"/>
  <c r="AY268" i="295"/>
  <c r="BB268"/>
  <c r="H16" i="294"/>
  <c r="I14"/>
  <c r="H12"/>
  <c r="I16"/>
  <c r="H14"/>
  <c r="X12"/>
  <c r="DJ270" i="295"/>
  <c r="BA268"/>
  <c r="DP267"/>
  <c r="DJ267"/>
  <c r="BA269"/>
  <c r="AY267"/>
  <c r="BA267"/>
  <c r="AF270"/>
  <c r="DJ269"/>
  <c r="DJ268"/>
  <c r="AY269"/>
  <c r="DP269"/>
  <c r="AY266"/>
  <c r="BA266"/>
  <c r="DH270"/>
  <c r="BA270"/>
  <c r="BU269"/>
  <c r="BX268"/>
  <c r="BU267"/>
  <c r="DH266"/>
  <c r="BX270"/>
  <c r="BX269"/>
  <c r="DQ268"/>
  <c r="BX267"/>
  <c r="AZ266"/>
  <c r="BB266"/>
  <c r="BB269"/>
  <c r="BB267"/>
  <c r="AZ267"/>
  <c r="AZ269"/>
  <c r="DH268"/>
  <c r="DM268"/>
  <c r="DH267"/>
  <c r="DM267"/>
  <c r="AY270"/>
  <c r="BB270"/>
  <c r="AZ270"/>
  <c r="BU270"/>
  <c r="AW270"/>
  <c r="DH269"/>
  <c r="DM269"/>
  <c r="BV270" l="1"/>
  <c r="AL270"/>
  <c r="BV267"/>
  <c r="BV269"/>
  <c r="DQ269"/>
  <c r="DQ267"/>
  <c r="DN267"/>
  <c r="DO267"/>
  <c r="DN268"/>
  <c r="DO268"/>
  <c r="DN269"/>
  <c r="DO269"/>
  <c r="BW269" l="1"/>
  <c r="BW267"/>
  <c r="BW270"/>
  <c r="J15" i="332" l="1"/>
  <c r="I15"/>
  <c r="H15"/>
  <c r="G15"/>
  <c r="L15" l="1"/>
  <c r="K15"/>
  <c r="Y15" i="294"/>
  <c r="Y16" l="1"/>
  <c r="DY190" i="295" l="1"/>
  <c r="DX190"/>
  <c r="AC190"/>
  <c r="G13"/>
  <c r="G14"/>
  <c r="G16"/>
  <c r="F16"/>
  <c r="F17"/>
  <c r="F279"/>
  <c r="G17" l="1"/>
  <c r="AR14" i="294" l="1"/>
  <c r="AT14"/>
  <c r="L14" i="295" l="1"/>
  <c r="EJ133" l="1"/>
  <c r="EI133"/>
  <c r="EI35"/>
  <c r="EJ35" s="1"/>
  <c r="U14" i="294"/>
  <c r="AY12" l="1"/>
  <c r="AY16"/>
  <c r="AY15"/>
  <c r="AY17"/>
  <c r="K12" l="1"/>
  <c r="K14"/>
  <c r="K16"/>
  <c r="AO3" i="342"/>
  <c r="AO4"/>
  <c r="AO5"/>
  <c r="U13" i="295" l="1"/>
  <c r="C13" i="199"/>
  <c r="G21"/>
  <c r="G19" s="1"/>
  <c r="G11"/>
  <c r="G17" s="1"/>
  <c r="G10"/>
  <c r="E17" l="1"/>
  <c r="W13" i="295"/>
  <c r="G20" i="199"/>
  <c r="CQ145" i="318"/>
  <c r="CR145"/>
  <c r="CS145"/>
  <c r="CT145"/>
  <c r="CU145"/>
  <c r="CY61"/>
  <c r="CX61"/>
  <c r="CV61"/>
  <c r="CP61"/>
  <c r="CP145" s="1"/>
  <c r="CY53"/>
  <c r="CX53"/>
  <c r="CW53"/>
  <c r="CV53"/>
  <c r="H31" i="192"/>
  <c r="I31"/>
  <c r="J31"/>
  <c r="L31"/>
  <c r="K31"/>
  <c r="G31"/>
  <c r="D31" i="191"/>
  <c r="A31"/>
  <c r="A28" i="320"/>
  <c r="D28"/>
  <c r="BT57" i="318"/>
  <c r="J26" i="190"/>
  <c r="J25"/>
  <c r="I26"/>
  <c r="I25"/>
  <c r="H26"/>
  <c r="H25"/>
  <c r="G25"/>
  <c r="N1" i="320"/>
  <c r="K1"/>
  <c r="J1"/>
  <c r="H1"/>
  <c r="CW61" i="318" l="1"/>
  <c r="CV70"/>
  <c r="CZ61"/>
  <c r="AM4" i="342"/>
  <c r="AN4" s="1"/>
  <c r="AM5"/>
  <c r="AN5" s="1"/>
  <c r="H16" i="125"/>
  <c r="J16"/>
  <c r="M16"/>
  <c r="N16"/>
  <c r="G16"/>
  <c r="BJ109" i="318"/>
  <c r="BJ107"/>
  <c r="L16" i="125" l="1"/>
  <c r="K16"/>
  <c r="CZ145" i="318"/>
  <c r="CZ70"/>
  <c r="W163"/>
  <c r="V163"/>
  <c r="U163"/>
  <c r="Q163"/>
  <c r="P163"/>
  <c r="O163"/>
  <c r="W154"/>
  <c r="V154"/>
  <c r="U154"/>
  <c r="Q154"/>
  <c r="P154"/>
  <c r="O154"/>
  <c r="AU166" l="1"/>
  <c r="I166"/>
  <c r="N166"/>
  <c r="L166"/>
  <c r="AS166"/>
  <c r="AK166"/>
  <c r="AE166"/>
  <c r="AC166"/>
  <c r="W166"/>
  <c r="U166"/>
  <c r="P166"/>
  <c r="AT166"/>
  <c r="ES166"/>
  <c r="EQ166"/>
  <c r="EO166"/>
  <c r="EM166"/>
  <c r="EK166"/>
  <c r="EI166"/>
  <c r="EG166"/>
  <c r="EE166"/>
  <c r="EC166"/>
  <c r="EA166"/>
  <c r="DY166"/>
  <c r="DW166"/>
  <c r="DU166"/>
  <c r="DS166"/>
  <c r="DQ166"/>
  <c r="DO166"/>
  <c r="DM166"/>
  <c r="DK166"/>
  <c r="DI166"/>
  <c r="DG166"/>
  <c r="DE166"/>
  <c r="DC166"/>
  <c r="DA166"/>
  <c r="CX166"/>
  <c r="CV166"/>
  <c r="CT166"/>
  <c r="CR166"/>
  <c r="CP166"/>
  <c r="CN166"/>
  <c r="CL166"/>
  <c r="CJ166"/>
  <c r="CH166"/>
  <c r="CF166"/>
  <c r="CD166"/>
  <c r="BY166"/>
  <c r="CC166"/>
  <c r="BT166"/>
  <c r="BV166"/>
  <c r="BZ166"/>
  <c r="BR166"/>
  <c r="BP166"/>
  <c r="BL166"/>
  <c r="BI166"/>
  <c r="BK166"/>
  <c r="BF166"/>
  <c r="BB166"/>
  <c r="AZ166"/>
  <c r="AX166"/>
  <c r="AV166"/>
  <c r="M166"/>
  <c r="AR166"/>
  <c r="AJ166"/>
  <c r="AD166"/>
  <c r="AB166"/>
  <c r="V166"/>
  <c r="Q166"/>
  <c r="O166"/>
  <c r="ER166"/>
  <c r="EP166"/>
  <c r="EN166"/>
  <c r="EL166"/>
  <c r="EJ166"/>
  <c r="EH166"/>
  <c r="EF166"/>
  <c r="ED166"/>
  <c r="EB166"/>
  <c r="DZ166"/>
  <c r="DX166"/>
  <c r="DV166"/>
  <c r="DT166"/>
  <c r="DR166"/>
  <c r="DP166"/>
  <c r="DN166"/>
  <c r="DL166"/>
  <c r="DJ166"/>
  <c r="DH166"/>
  <c r="DF166"/>
  <c r="DD166"/>
  <c r="DB166"/>
  <c r="CY166"/>
  <c r="CW166"/>
  <c r="CU166"/>
  <c r="CS166"/>
  <c r="CQ166"/>
  <c r="CO166"/>
  <c r="CM166"/>
  <c r="CK166"/>
  <c r="CI166"/>
  <c r="CG166"/>
  <c r="CE166"/>
  <c r="BU166"/>
  <c r="BW166"/>
  <c r="CB166"/>
  <c r="BX166"/>
  <c r="CA166"/>
  <c r="BS166"/>
  <c r="BQ166"/>
  <c r="BM166"/>
  <c r="BH166"/>
  <c r="BG166"/>
  <c r="BC166"/>
  <c r="BA166"/>
  <c r="AW166"/>
  <c r="AY166"/>
  <c r="DD70" l="1"/>
  <c r="BY137"/>
  <c r="F111"/>
  <c r="BO88"/>
  <c r="BO156" s="1"/>
  <c r="BO165" s="1"/>
  <c r="BO166" s="1"/>
  <c r="BN88"/>
  <c r="BN156" s="1"/>
  <c r="BN165" s="1"/>
  <c r="BN166" s="1"/>
  <c r="BJ88"/>
  <c r="BJ156" s="1"/>
  <c r="BJ165" s="1"/>
  <c r="BJ166" s="1"/>
  <c r="BI89"/>
  <c r="BH89"/>
  <c r="N107"/>
  <c r="M107"/>
  <c r="L107"/>
  <c r="K88"/>
  <c r="K156" s="1"/>
  <c r="K165" s="1"/>
  <c r="K166" s="1"/>
  <c r="H88"/>
  <c r="AI88"/>
  <c r="AI156" s="1"/>
  <c r="AI165" s="1"/>
  <c r="AI166" s="1"/>
  <c r="AH88"/>
  <c r="AH156" s="1"/>
  <c r="AH165" s="1"/>
  <c r="AH166" s="1"/>
  <c r="N109"/>
  <c r="M109"/>
  <c r="L109"/>
  <c r="I109"/>
  <c r="H104"/>
  <c r="H109"/>
  <c r="ET88"/>
  <c r="ET156" s="1"/>
  <c r="ET165" s="1"/>
  <c r="ET166" s="1"/>
  <c r="EN109"/>
  <c r="EO109"/>
  <c r="EP109"/>
  <c r="EM109"/>
  <c r="K105"/>
  <c r="J105"/>
  <c r="F92"/>
  <c r="F113" s="1"/>
  <c r="P86"/>
  <c r="Q86"/>
  <c r="U86"/>
  <c r="V86"/>
  <c r="W86"/>
  <c r="O86"/>
  <c r="S88" l="1"/>
  <c r="S156" s="1"/>
  <c r="S165" s="1"/>
  <c r="S166" s="1"/>
  <c r="H156"/>
  <c r="H165" s="1"/>
  <c r="H166" s="1"/>
  <c r="R88"/>
  <c r="R89" s="1"/>
  <c r="R90" s="1"/>
  <c r="V64"/>
  <c r="CD123"/>
  <c r="CL123"/>
  <c r="CT123"/>
  <c r="DC123"/>
  <c r="DK123"/>
  <c r="DS123"/>
  <c r="EA123"/>
  <c r="EI123"/>
  <c r="EQ123"/>
  <c r="I123"/>
  <c r="Q123"/>
  <c r="Y123"/>
  <c r="AG123"/>
  <c r="AO123"/>
  <c r="AW123"/>
  <c r="BE123"/>
  <c r="BM123"/>
  <c r="BU123"/>
  <c r="CE123"/>
  <c r="CM123"/>
  <c r="DD123"/>
  <c r="DL123"/>
  <c r="EB123"/>
  <c r="EJ123"/>
  <c r="R123"/>
  <c r="Z123"/>
  <c r="AP123"/>
  <c r="BF123"/>
  <c r="BV123"/>
  <c r="EE123"/>
  <c r="BX123"/>
  <c r="CF123"/>
  <c r="CN123"/>
  <c r="CV123"/>
  <c r="DE123"/>
  <c r="DM123"/>
  <c r="DU123"/>
  <c r="EC123"/>
  <c r="EK123"/>
  <c r="ES123"/>
  <c r="K123"/>
  <c r="S123"/>
  <c r="AA123"/>
  <c r="AI123"/>
  <c r="AQ123"/>
  <c r="AY123"/>
  <c r="BG123"/>
  <c r="BO123"/>
  <c r="BY123"/>
  <c r="CG123"/>
  <c r="CO123"/>
  <c r="CW123"/>
  <c r="DF123"/>
  <c r="DN123"/>
  <c r="DV123"/>
  <c r="ED123"/>
  <c r="EL123"/>
  <c r="ET123"/>
  <c r="L123"/>
  <c r="T123"/>
  <c r="AB123"/>
  <c r="AJ123"/>
  <c r="AR123"/>
  <c r="AZ123"/>
  <c r="BH123"/>
  <c r="BP123"/>
  <c r="BZ123"/>
  <c r="CH123"/>
  <c r="CP123"/>
  <c r="CX123"/>
  <c r="DG123"/>
  <c r="DW123"/>
  <c r="CA123"/>
  <c r="CI123"/>
  <c r="CQ123"/>
  <c r="CY123"/>
  <c r="DH123"/>
  <c r="DP123"/>
  <c r="DX123"/>
  <c r="EF123"/>
  <c r="EN123"/>
  <c r="N123"/>
  <c r="V123"/>
  <c r="AD123"/>
  <c r="AL123"/>
  <c r="AT123"/>
  <c r="BB123"/>
  <c r="BJ123"/>
  <c r="BR123"/>
  <c r="CJ123"/>
  <c r="CR123"/>
  <c r="DA123"/>
  <c r="DI123"/>
  <c r="DQ123"/>
  <c r="DY123"/>
  <c r="EO123"/>
  <c r="G123"/>
  <c r="O123"/>
  <c r="W123"/>
  <c r="AE123"/>
  <c r="AU123"/>
  <c r="BC123"/>
  <c r="BK123"/>
  <c r="BS123"/>
  <c r="DO123"/>
  <c r="CB123"/>
  <c r="EG123"/>
  <c r="AM123"/>
  <c r="CC123"/>
  <c r="CK123"/>
  <c r="CS123"/>
  <c r="DB123"/>
  <c r="DJ123"/>
  <c r="DR123"/>
  <c r="DZ123"/>
  <c r="EH123"/>
  <c r="EP123"/>
  <c r="H123"/>
  <c r="P123"/>
  <c r="X123"/>
  <c r="AF123"/>
  <c r="AN123"/>
  <c r="AV123"/>
  <c r="BD123"/>
  <c r="BL123"/>
  <c r="BT123"/>
  <c r="BW123"/>
  <c r="CU123"/>
  <c r="DT123"/>
  <c r="ER123"/>
  <c r="J123"/>
  <c r="AH123"/>
  <c r="AX123"/>
  <c r="BN123"/>
  <c r="EM123"/>
  <c r="AS123"/>
  <c r="BA123"/>
  <c r="BI123"/>
  <c r="M123"/>
  <c r="AC123"/>
  <c r="AK123"/>
  <c r="BQ123"/>
  <c r="U123"/>
  <c r="CB124"/>
  <c r="CJ124"/>
  <c r="CR124"/>
  <c r="DA124"/>
  <c r="DI124"/>
  <c r="DQ124"/>
  <c r="DY124"/>
  <c r="EG124"/>
  <c r="EO124"/>
  <c r="M124"/>
  <c r="U124"/>
  <c r="AC124"/>
  <c r="AK124"/>
  <c r="AS124"/>
  <c r="BA124"/>
  <c r="BI124"/>
  <c r="BQ124"/>
  <c r="CC124"/>
  <c r="CS124"/>
  <c r="DJ124"/>
  <c r="DZ124"/>
  <c r="EP124"/>
  <c r="V124"/>
  <c r="AL124"/>
  <c r="BB124"/>
  <c r="BR124"/>
  <c r="DM124"/>
  <c r="CD124"/>
  <c r="CL124"/>
  <c r="CT124"/>
  <c r="DC124"/>
  <c r="DK124"/>
  <c r="DS124"/>
  <c r="EA124"/>
  <c r="EI124"/>
  <c r="EQ124"/>
  <c r="G124"/>
  <c r="O124"/>
  <c r="W124"/>
  <c r="AE124"/>
  <c r="AM124"/>
  <c r="AU124"/>
  <c r="BC124"/>
  <c r="BK124"/>
  <c r="BS124"/>
  <c r="CE124"/>
  <c r="CM124"/>
  <c r="CU124"/>
  <c r="DD124"/>
  <c r="DL124"/>
  <c r="DT124"/>
  <c r="EJ124"/>
  <c r="ER124"/>
  <c r="H124"/>
  <c r="P124"/>
  <c r="X124"/>
  <c r="AF124"/>
  <c r="AN124"/>
  <c r="AV124"/>
  <c r="BD124"/>
  <c r="BL124"/>
  <c r="BT124"/>
  <c r="BX124"/>
  <c r="CF124"/>
  <c r="CN124"/>
  <c r="DE124"/>
  <c r="EB124"/>
  <c r="BY124"/>
  <c r="CG124"/>
  <c r="CO124"/>
  <c r="CW124"/>
  <c r="DF124"/>
  <c r="DN124"/>
  <c r="DV124"/>
  <c r="ED124"/>
  <c r="EL124"/>
  <c r="ET124"/>
  <c r="J124"/>
  <c r="R124"/>
  <c r="Z124"/>
  <c r="AH124"/>
  <c r="AP124"/>
  <c r="AX124"/>
  <c r="BF124"/>
  <c r="BN124"/>
  <c r="BV124"/>
  <c r="BZ124"/>
  <c r="CH124"/>
  <c r="CP124"/>
  <c r="CX124"/>
  <c r="DG124"/>
  <c r="DW124"/>
  <c r="EE124"/>
  <c r="EM124"/>
  <c r="K124"/>
  <c r="AA124"/>
  <c r="AI124"/>
  <c r="AQ124"/>
  <c r="AY124"/>
  <c r="BG124"/>
  <c r="BW124"/>
  <c r="DO124"/>
  <c r="S124"/>
  <c r="BO124"/>
  <c r="CA124"/>
  <c r="CI124"/>
  <c r="CQ124"/>
  <c r="CY124"/>
  <c r="DH124"/>
  <c r="DP124"/>
  <c r="DX124"/>
  <c r="EF124"/>
  <c r="EN124"/>
  <c r="L124"/>
  <c r="T124"/>
  <c r="AB124"/>
  <c r="AJ124"/>
  <c r="AR124"/>
  <c r="AZ124"/>
  <c r="BH124"/>
  <c r="BP124"/>
  <c r="CK124"/>
  <c r="DB124"/>
  <c r="DR124"/>
  <c r="EH124"/>
  <c r="N124"/>
  <c r="AD124"/>
  <c r="AT124"/>
  <c r="BJ124"/>
  <c r="DU124"/>
  <c r="CV124"/>
  <c r="AO124"/>
  <c r="EC124"/>
  <c r="AW124"/>
  <c r="EK124"/>
  <c r="BE124"/>
  <c r="ES124"/>
  <c r="I124"/>
  <c r="BU124"/>
  <c r="Q124"/>
  <c r="Y124"/>
  <c r="AG124"/>
  <c r="BM124"/>
  <c r="I107"/>
  <c r="I108" s="1"/>
  <c r="CW71"/>
  <c r="CX71"/>
  <c r="CY71"/>
  <c r="CZ71"/>
  <c r="CV71"/>
  <c r="CF127"/>
  <c r="CH127"/>
  <c r="CJ127"/>
  <c r="CD127"/>
  <c r="CE127"/>
  <c r="CG127"/>
  <c r="CI127"/>
  <c r="CK127"/>
  <c r="CE128"/>
  <c r="CG128"/>
  <c r="CI128"/>
  <c r="CK128"/>
  <c r="CF128"/>
  <c r="CH128"/>
  <c r="CJ128"/>
  <c r="CD128"/>
  <c r="AT90"/>
  <c r="BT125"/>
  <c r="BT126" s="1"/>
  <c r="CE126"/>
  <c r="CG126"/>
  <c r="CI126"/>
  <c r="CK126"/>
  <c r="CF126"/>
  <c r="CH126"/>
  <c r="CJ126"/>
  <c r="CD126"/>
  <c r="AU89"/>
  <c r="AU90" s="1"/>
  <c r="BW128"/>
  <c r="O110"/>
  <c r="W110"/>
  <c r="AE110"/>
  <c r="AM110"/>
  <c r="AU110"/>
  <c r="BC110"/>
  <c r="P110"/>
  <c r="X110"/>
  <c r="AF110"/>
  <c r="AN110"/>
  <c r="AV110"/>
  <c r="BD110"/>
  <c r="Q110"/>
  <c r="Y110"/>
  <c r="AG110"/>
  <c r="AO110"/>
  <c r="AW110"/>
  <c r="BE110"/>
  <c r="AB110"/>
  <c r="AR110"/>
  <c r="BH110"/>
  <c r="AC110"/>
  <c r="AS110"/>
  <c r="BI110"/>
  <c r="AD110"/>
  <c r="AT110"/>
  <c r="R110"/>
  <c r="Z110"/>
  <c r="AH110"/>
  <c r="AP110"/>
  <c r="AX110"/>
  <c r="BF110"/>
  <c r="S110"/>
  <c r="AA110"/>
  <c r="AI110"/>
  <c r="AQ110"/>
  <c r="AY110"/>
  <c r="BG110"/>
  <c r="T110"/>
  <c r="AJ110"/>
  <c r="AZ110"/>
  <c r="U110"/>
  <c r="AK110"/>
  <c r="BA110"/>
  <c r="V110"/>
  <c r="AL110"/>
  <c r="BB110"/>
  <c r="BJ110"/>
  <c r="O108"/>
  <c r="W108"/>
  <c r="AE108"/>
  <c r="AM108"/>
  <c r="AU108"/>
  <c r="BC108"/>
  <c r="P108"/>
  <c r="X108"/>
  <c r="AF108"/>
  <c r="AN108"/>
  <c r="AV108"/>
  <c r="BD108"/>
  <c r="BD111" s="1"/>
  <c r="Q108"/>
  <c r="Y108"/>
  <c r="AG108"/>
  <c r="AO108"/>
  <c r="AW108"/>
  <c r="BE108"/>
  <c r="T108"/>
  <c r="AB108"/>
  <c r="AJ108"/>
  <c r="AZ108"/>
  <c r="BH108"/>
  <c r="U108"/>
  <c r="AC108"/>
  <c r="AK108"/>
  <c r="BA108"/>
  <c r="BI108"/>
  <c r="V108"/>
  <c r="AD108"/>
  <c r="AT108"/>
  <c r="BJ108"/>
  <c r="R108"/>
  <c r="Z108"/>
  <c r="AH108"/>
  <c r="AP108"/>
  <c r="AX108"/>
  <c r="BF108"/>
  <c r="S108"/>
  <c r="AA108"/>
  <c r="AI108"/>
  <c r="AQ108"/>
  <c r="AY108"/>
  <c r="BG108"/>
  <c r="AR108"/>
  <c r="AS108"/>
  <c r="AL108"/>
  <c r="BB108"/>
  <c r="G110"/>
  <c r="M157"/>
  <c r="DD145"/>
  <c r="H136"/>
  <c r="J136"/>
  <c r="L136"/>
  <c r="N136"/>
  <c r="R136"/>
  <c r="O136"/>
  <c r="Q136"/>
  <c r="V136"/>
  <c r="X136"/>
  <c r="Z136"/>
  <c r="AB136"/>
  <c r="AD136"/>
  <c r="AF136"/>
  <c r="AH136"/>
  <c r="AJ136"/>
  <c r="AL136"/>
  <c r="AN136"/>
  <c r="AP136"/>
  <c r="AR136"/>
  <c r="AT136"/>
  <c r="AV136"/>
  <c r="AX136"/>
  <c r="AZ136"/>
  <c r="BB136"/>
  <c r="BD136"/>
  <c r="BF136"/>
  <c r="BK136"/>
  <c r="BI136"/>
  <c r="BL136"/>
  <c r="BN136"/>
  <c r="BP136"/>
  <c r="BR136"/>
  <c r="BZ136"/>
  <c r="BV136"/>
  <c r="BT136"/>
  <c r="CC136"/>
  <c r="BY136"/>
  <c r="CD136"/>
  <c r="CF136"/>
  <c r="CH136"/>
  <c r="CJ136"/>
  <c r="CL136"/>
  <c r="CN136"/>
  <c r="CP136"/>
  <c r="CR136"/>
  <c r="CT136"/>
  <c r="CV136"/>
  <c r="CX136"/>
  <c r="G136"/>
  <c r="I136"/>
  <c r="K136"/>
  <c r="M136"/>
  <c r="S136"/>
  <c r="T136"/>
  <c r="P136"/>
  <c r="U136"/>
  <c r="W136"/>
  <c r="Y136"/>
  <c r="AA136"/>
  <c r="AC136"/>
  <c r="AE136"/>
  <c r="AG136"/>
  <c r="AI136"/>
  <c r="AK136"/>
  <c r="AM136"/>
  <c r="AO136"/>
  <c r="AQ136"/>
  <c r="AS136"/>
  <c r="AU136"/>
  <c r="AW136"/>
  <c r="AY136"/>
  <c r="BA136"/>
  <c r="BC136"/>
  <c r="BE136"/>
  <c r="BG136"/>
  <c r="BH136"/>
  <c r="BJ136"/>
  <c r="BM136"/>
  <c r="BO136"/>
  <c r="BQ136"/>
  <c r="BS136"/>
  <c r="CA136"/>
  <c r="BX136"/>
  <c r="CB136"/>
  <c r="BW136"/>
  <c r="BU136"/>
  <c r="CE136"/>
  <c r="CG136"/>
  <c r="CI136"/>
  <c r="CK136"/>
  <c r="CM136"/>
  <c r="CO136"/>
  <c r="CQ136"/>
  <c r="CS136"/>
  <c r="CU136"/>
  <c r="CW136"/>
  <c r="CY136"/>
  <c r="DB136"/>
  <c r="DB137"/>
  <c r="ES137"/>
  <c r="EQ137"/>
  <c r="EO137"/>
  <c r="EM137"/>
  <c r="EK137"/>
  <c r="EI137"/>
  <c r="EG137"/>
  <c r="EE137"/>
  <c r="EC137"/>
  <c r="EA137"/>
  <c r="DY137"/>
  <c r="DW137"/>
  <c r="DU137"/>
  <c r="DS137"/>
  <c r="DQ137"/>
  <c r="DO137"/>
  <c r="DM137"/>
  <c r="DK137"/>
  <c r="DI137"/>
  <c r="DG137"/>
  <c r="DE137"/>
  <c r="DC137"/>
  <c r="ES136"/>
  <c r="EQ136"/>
  <c r="EO136"/>
  <c r="EM136"/>
  <c r="EK136"/>
  <c r="EI136"/>
  <c r="EG136"/>
  <c r="EE136"/>
  <c r="EC136"/>
  <c r="EA136"/>
  <c r="DY136"/>
  <c r="DW136"/>
  <c r="DU136"/>
  <c r="DS136"/>
  <c r="DQ136"/>
  <c r="DO136"/>
  <c r="DM136"/>
  <c r="DK136"/>
  <c r="DI136"/>
  <c r="DG136"/>
  <c r="DE136"/>
  <c r="DC136"/>
  <c r="CX137"/>
  <c r="CV137"/>
  <c r="CT137"/>
  <c r="CR137"/>
  <c r="CP137"/>
  <c r="CN137"/>
  <c r="CL137"/>
  <c r="CJ137"/>
  <c r="CH137"/>
  <c r="CF137"/>
  <c r="CD137"/>
  <c r="G137"/>
  <c r="I137"/>
  <c r="K137"/>
  <c r="M137"/>
  <c r="S137"/>
  <c r="T137"/>
  <c r="P137"/>
  <c r="U137"/>
  <c r="W137"/>
  <c r="Y137"/>
  <c r="AA137"/>
  <c r="AC137"/>
  <c r="AE137"/>
  <c r="AG137"/>
  <c r="AI137"/>
  <c r="AK137"/>
  <c r="AM137"/>
  <c r="AO137"/>
  <c r="AQ137"/>
  <c r="AS137"/>
  <c r="AU137"/>
  <c r="AW137"/>
  <c r="AY137"/>
  <c r="BA137"/>
  <c r="BC137"/>
  <c r="BE137"/>
  <c r="BG137"/>
  <c r="BH137"/>
  <c r="BJ137"/>
  <c r="BM137"/>
  <c r="BO137"/>
  <c r="BQ137"/>
  <c r="BS137"/>
  <c r="CA137"/>
  <c r="BX137"/>
  <c r="CB137"/>
  <c r="BW137"/>
  <c r="H137"/>
  <c r="J137"/>
  <c r="L137"/>
  <c r="N137"/>
  <c r="R137"/>
  <c r="O137"/>
  <c r="Q137"/>
  <c r="V137"/>
  <c r="X137"/>
  <c r="Z137"/>
  <c r="AB137"/>
  <c r="AD137"/>
  <c r="AF137"/>
  <c r="AH137"/>
  <c r="AJ137"/>
  <c r="AL137"/>
  <c r="AN137"/>
  <c r="AP137"/>
  <c r="AR137"/>
  <c r="AT137"/>
  <c r="AV137"/>
  <c r="AX137"/>
  <c r="AZ137"/>
  <c r="BB137"/>
  <c r="BD137"/>
  <c r="BF137"/>
  <c r="BK137"/>
  <c r="BI137"/>
  <c r="BL137"/>
  <c r="BN137"/>
  <c r="BP137"/>
  <c r="BR137"/>
  <c r="BZ137"/>
  <c r="BV137"/>
  <c r="BT137"/>
  <c r="CC137"/>
  <c r="DA136"/>
  <c r="DA137"/>
  <c r="ET137"/>
  <c r="ER137"/>
  <c r="EP137"/>
  <c r="EN137"/>
  <c r="EL137"/>
  <c r="EJ137"/>
  <c r="EH137"/>
  <c r="EF137"/>
  <c r="ED137"/>
  <c r="EB137"/>
  <c r="DZ137"/>
  <c r="DX137"/>
  <c r="DV137"/>
  <c r="DT137"/>
  <c r="DR137"/>
  <c r="DP137"/>
  <c r="DN137"/>
  <c r="DL137"/>
  <c r="DJ137"/>
  <c r="DH137"/>
  <c r="DF137"/>
  <c r="DD137"/>
  <c r="ET136"/>
  <c r="ER136"/>
  <c r="EP136"/>
  <c r="EN136"/>
  <c r="EL136"/>
  <c r="EJ136"/>
  <c r="EH136"/>
  <c r="EF136"/>
  <c r="ED136"/>
  <c r="EB136"/>
  <c r="DZ136"/>
  <c r="DX136"/>
  <c r="DV136"/>
  <c r="DT136"/>
  <c r="DR136"/>
  <c r="DP136"/>
  <c r="DN136"/>
  <c r="DL136"/>
  <c r="DJ136"/>
  <c r="DH136"/>
  <c r="DF136"/>
  <c r="DD136"/>
  <c r="CY137"/>
  <c r="CW137"/>
  <c r="CU137"/>
  <c r="CS137"/>
  <c r="CQ137"/>
  <c r="CO137"/>
  <c r="CM137"/>
  <c r="CK137"/>
  <c r="CI137"/>
  <c r="CG137"/>
  <c r="CE137"/>
  <c r="BU137"/>
  <c r="J88"/>
  <c r="H107"/>
  <c r="H108" s="1"/>
  <c r="BG89"/>
  <c r="BG90" s="1"/>
  <c r="Y88"/>
  <c r="H110"/>
  <c r="G107"/>
  <c r="G108" s="1"/>
  <c r="EM110"/>
  <c r="BK110"/>
  <c r="BL110"/>
  <c r="BN110"/>
  <c r="BP110"/>
  <c r="BR110"/>
  <c r="BZ110"/>
  <c r="BV110"/>
  <c r="BT110"/>
  <c r="CC110"/>
  <c r="BY110"/>
  <c r="CD110"/>
  <c r="CF110"/>
  <c r="CH110"/>
  <c r="CJ110"/>
  <c r="CL110"/>
  <c r="CN110"/>
  <c r="CP110"/>
  <c r="CR110"/>
  <c r="CT110"/>
  <c r="CV110"/>
  <c r="CX110"/>
  <c r="DA110"/>
  <c r="DC110"/>
  <c r="DE110"/>
  <c r="DG110"/>
  <c r="DI110"/>
  <c r="DK110"/>
  <c r="DM110"/>
  <c r="DO110"/>
  <c r="DQ110"/>
  <c r="DS110"/>
  <c r="DU110"/>
  <c r="DW110"/>
  <c r="DY110"/>
  <c r="EA110"/>
  <c r="EC110"/>
  <c r="EE110"/>
  <c r="EG110"/>
  <c r="EI110"/>
  <c r="EK110"/>
  <c r="EQ110"/>
  <c r="ES110"/>
  <c r="EU110"/>
  <c r="EO110"/>
  <c r="K110"/>
  <c r="I110"/>
  <c r="L110"/>
  <c r="M110"/>
  <c r="BM110"/>
  <c r="BO110"/>
  <c r="BQ110"/>
  <c r="BS110"/>
  <c r="CA110"/>
  <c r="BX110"/>
  <c r="CB110"/>
  <c r="BW110"/>
  <c r="BU110"/>
  <c r="CE110"/>
  <c r="CG110"/>
  <c r="CI110"/>
  <c r="CK110"/>
  <c r="CM110"/>
  <c r="CO110"/>
  <c r="CQ110"/>
  <c r="CS110"/>
  <c r="CU110"/>
  <c r="CW110"/>
  <c r="CY110"/>
  <c r="DB110"/>
  <c r="DD110"/>
  <c r="DF110"/>
  <c r="DH110"/>
  <c r="DJ110"/>
  <c r="DL110"/>
  <c r="DN110"/>
  <c r="DP110"/>
  <c r="DR110"/>
  <c r="DT110"/>
  <c r="DV110"/>
  <c r="DX110"/>
  <c r="DZ110"/>
  <c r="EB110"/>
  <c r="ED110"/>
  <c r="EF110"/>
  <c r="EH110"/>
  <c r="EJ110"/>
  <c r="EL110"/>
  <c r="ER110"/>
  <c r="ET110"/>
  <c r="EV110"/>
  <c r="EN110"/>
  <c r="EP110"/>
  <c r="H89"/>
  <c r="H90" s="1"/>
  <c r="N110"/>
  <c r="J110"/>
  <c r="N108"/>
  <c r="J108"/>
  <c r="EK108"/>
  <c r="EC108"/>
  <c r="DU108"/>
  <c r="DM108"/>
  <c r="DE108"/>
  <c r="CV108"/>
  <c r="CN108"/>
  <c r="CF108"/>
  <c r="BT108"/>
  <c r="BP108"/>
  <c r="BK108"/>
  <c r="L108"/>
  <c r="EG108"/>
  <c r="DY108"/>
  <c r="DQ108"/>
  <c r="DI108"/>
  <c r="DA108"/>
  <c r="CR108"/>
  <c r="CJ108"/>
  <c r="BY108"/>
  <c r="BZ108"/>
  <c r="BL108"/>
  <c r="EV108"/>
  <c r="EQ108"/>
  <c r="AK113"/>
  <c r="BM108"/>
  <c r="BO108"/>
  <c r="BQ108"/>
  <c r="BS108"/>
  <c r="CA108"/>
  <c r="BX108"/>
  <c r="CB108"/>
  <c r="BW108"/>
  <c r="BU108"/>
  <c r="CE108"/>
  <c r="CG108"/>
  <c r="CI108"/>
  <c r="CK108"/>
  <c r="CM108"/>
  <c r="CO108"/>
  <c r="CQ108"/>
  <c r="CS108"/>
  <c r="CU108"/>
  <c r="CW108"/>
  <c r="CY108"/>
  <c r="DB108"/>
  <c r="DD108"/>
  <c r="DF108"/>
  <c r="DH108"/>
  <c r="DJ108"/>
  <c r="DL108"/>
  <c r="DN108"/>
  <c r="DP108"/>
  <c r="DR108"/>
  <c r="DT108"/>
  <c r="DV108"/>
  <c r="DX108"/>
  <c r="DZ108"/>
  <c r="EB108"/>
  <c r="ED108"/>
  <c r="EF108"/>
  <c r="EH108"/>
  <c r="EJ108"/>
  <c r="EL108"/>
  <c r="EI108"/>
  <c r="EE108"/>
  <c r="EA108"/>
  <c r="DW108"/>
  <c r="DS108"/>
  <c r="DO108"/>
  <c r="DK108"/>
  <c r="DG108"/>
  <c r="DC108"/>
  <c r="CX108"/>
  <c r="CT108"/>
  <c r="CP108"/>
  <c r="CL108"/>
  <c r="CH108"/>
  <c r="CD108"/>
  <c r="CC108"/>
  <c r="BV108"/>
  <c r="BR108"/>
  <c r="BN108"/>
  <c r="F95"/>
  <c r="G95" s="1"/>
  <c r="M108"/>
  <c r="K108"/>
  <c r="ES108"/>
  <c r="EU108"/>
  <c r="ER108"/>
  <c r="ET108"/>
  <c r="F93"/>
  <c r="G93" s="1"/>
  <c r="F94"/>
  <c r="G146"/>
  <c r="G147" s="1"/>
  <c r="L146"/>
  <c r="L147" s="1"/>
  <c r="R146"/>
  <c r="R147" s="1"/>
  <c r="Q146"/>
  <c r="Q147" s="1"/>
  <c r="X146"/>
  <c r="X147" s="1"/>
  <c r="AB146"/>
  <c r="AB147" s="1"/>
  <c r="AF146"/>
  <c r="AF147" s="1"/>
  <c r="AJ146"/>
  <c r="AJ147" s="1"/>
  <c r="AN146"/>
  <c r="AN147" s="1"/>
  <c r="AR146"/>
  <c r="AR147" s="1"/>
  <c r="AV146"/>
  <c r="AV147" s="1"/>
  <c r="AZ146"/>
  <c r="AZ147" s="1"/>
  <c r="BD146"/>
  <c r="BD147" s="1"/>
  <c r="BK146"/>
  <c r="BK147" s="1"/>
  <c r="BL146"/>
  <c r="BL147" s="1"/>
  <c r="BP146"/>
  <c r="BP147" s="1"/>
  <c r="BZ146"/>
  <c r="BZ147" s="1"/>
  <c r="BT146"/>
  <c r="BT147" s="1"/>
  <c r="BY146"/>
  <c r="BY147" s="1"/>
  <c r="CF146"/>
  <c r="CF147" s="1"/>
  <c r="J146"/>
  <c r="J147" s="1"/>
  <c r="N146"/>
  <c r="N147" s="1"/>
  <c r="O146"/>
  <c r="O147" s="1"/>
  <c r="V146"/>
  <c r="V147" s="1"/>
  <c r="Z146"/>
  <c r="Z147" s="1"/>
  <c r="AD146"/>
  <c r="AD147" s="1"/>
  <c r="AH146"/>
  <c r="AH147" s="1"/>
  <c r="AL146"/>
  <c r="AL147" s="1"/>
  <c r="AP146"/>
  <c r="AP147" s="1"/>
  <c r="AT146"/>
  <c r="AT147" s="1"/>
  <c r="AX146"/>
  <c r="AX147" s="1"/>
  <c r="BB146"/>
  <c r="BB147" s="1"/>
  <c r="BF146"/>
  <c r="BF147" s="1"/>
  <c r="BI146"/>
  <c r="BI147" s="1"/>
  <c r="BN146"/>
  <c r="BN147" s="1"/>
  <c r="BR146"/>
  <c r="BR147" s="1"/>
  <c r="BV146"/>
  <c r="BV147" s="1"/>
  <c r="CC146"/>
  <c r="CC147" s="1"/>
  <c r="CD146"/>
  <c r="CD147" s="1"/>
  <c r="H146"/>
  <c r="H147" s="1"/>
  <c r="I146"/>
  <c r="I147" s="1"/>
  <c r="K146"/>
  <c r="K147" s="1"/>
  <c r="M146"/>
  <c r="M147" s="1"/>
  <c r="S146"/>
  <c r="S147" s="1"/>
  <c r="T146"/>
  <c r="T147" s="1"/>
  <c r="P146"/>
  <c r="P147" s="1"/>
  <c r="U146"/>
  <c r="U147" s="1"/>
  <c r="W146"/>
  <c r="W147" s="1"/>
  <c r="Y146"/>
  <c r="Y147" s="1"/>
  <c r="AA146"/>
  <c r="AA147" s="1"/>
  <c r="AC146"/>
  <c r="AC147" s="1"/>
  <c r="AE146"/>
  <c r="AE147" s="1"/>
  <c r="AG146"/>
  <c r="AG147" s="1"/>
  <c r="AI146"/>
  <c r="AI147" s="1"/>
  <c r="AK146"/>
  <c r="AK147" s="1"/>
  <c r="AM146"/>
  <c r="AM147" s="1"/>
  <c r="AO146"/>
  <c r="AO147" s="1"/>
  <c r="AQ146"/>
  <c r="AQ147" s="1"/>
  <c r="AS146"/>
  <c r="AS147" s="1"/>
  <c r="AU146"/>
  <c r="AU147" s="1"/>
  <c r="AW146"/>
  <c r="AW147" s="1"/>
  <c r="AY146"/>
  <c r="AY147" s="1"/>
  <c r="BA146"/>
  <c r="BA147" s="1"/>
  <c r="BC146"/>
  <c r="BC147" s="1"/>
  <c r="BE146"/>
  <c r="BE147" s="1"/>
  <c r="BG146"/>
  <c r="BG147" s="1"/>
  <c r="BH146"/>
  <c r="BH147" s="1"/>
  <c r="BJ146"/>
  <c r="BJ147" s="1"/>
  <c r="BM146"/>
  <c r="BM147" s="1"/>
  <c r="BO146"/>
  <c r="BO147" s="1"/>
  <c r="BQ146"/>
  <c r="BQ147" s="1"/>
  <c r="BS146"/>
  <c r="BS147" s="1"/>
  <c r="CA146"/>
  <c r="CA147" s="1"/>
  <c r="BX146"/>
  <c r="BX147" s="1"/>
  <c r="CB146"/>
  <c r="CB147" s="1"/>
  <c r="BW146"/>
  <c r="BW147" s="1"/>
  <c r="BU146"/>
  <c r="BU147" s="1"/>
  <c r="CE146"/>
  <c r="CE147" s="1"/>
  <c r="EM126"/>
  <c r="EU136"/>
  <c r="EE126"/>
  <c r="CX126"/>
  <c r="BR126"/>
  <c r="AL126"/>
  <c r="EV123"/>
  <c r="V126"/>
  <c r="EU126"/>
  <c r="EV136"/>
  <c r="BB126"/>
  <c r="DO126"/>
  <c r="N126"/>
  <c r="AD126"/>
  <c r="AT126"/>
  <c r="BI126"/>
  <c r="CP126"/>
  <c r="DG126"/>
  <c r="DW126"/>
  <c r="EC89"/>
  <c r="EC90" s="1"/>
  <c r="DM89"/>
  <c r="DM90" s="1"/>
  <c r="CV89"/>
  <c r="CV90" s="1"/>
  <c r="CF89"/>
  <c r="AZ89"/>
  <c r="AZ90" s="1"/>
  <c r="M71"/>
  <c r="EV126"/>
  <c r="ET126"/>
  <c r="ER126"/>
  <c r="EP126"/>
  <c r="EN126"/>
  <c r="EL126"/>
  <c r="EJ126"/>
  <c r="EH126"/>
  <c r="EF126"/>
  <c r="ED126"/>
  <c r="EB126"/>
  <c r="DZ126"/>
  <c r="DX126"/>
  <c r="DV126"/>
  <c r="DT126"/>
  <c r="DR126"/>
  <c r="DP126"/>
  <c r="DN126"/>
  <c r="DL126"/>
  <c r="DJ126"/>
  <c r="DH126"/>
  <c r="DF126"/>
  <c r="DD126"/>
  <c r="DB126"/>
  <c r="CY126"/>
  <c r="CW126"/>
  <c r="CU126"/>
  <c r="CS126"/>
  <c r="CQ126"/>
  <c r="CO126"/>
  <c r="CM126"/>
  <c r="BX126"/>
  <c r="CA126"/>
  <c r="BS126"/>
  <c r="BQ126"/>
  <c r="BO126"/>
  <c r="BM126"/>
  <c r="BJ126"/>
  <c r="BH126"/>
  <c r="BG126"/>
  <c r="BE126"/>
  <c r="BC126"/>
  <c r="BA126"/>
  <c r="AY126"/>
  <c r="AW126"/>
  <c r="AU126"/>
  <c r="AS126"/>
  <c r="AQ126"/>
  <c r="AO126"/>
  <c r="AM126"/>
  <c r="AK126"/>
  <c r="AI126"/>
  <c r="AG126"/>
  <c r="AE126"/>
  <c r="AC126"/>
  <c r="AA126"/>
  <c r="Y126"/>
  <c r="W126"/>
  <c r="U126"/>
  <c r="P126"/>
  <c r="T126"/>
  <c r="S126"/>
  <c r="M126"/>
  <c r="K126"/>
  <c r="I126"/>
  <c r="H126"/>
  <c r="EU123"/>
  <c r="ES126"/>
  <c r="EO126"/>
  <c r="EK126"/>
  <c r="EG126"/>
  <c r="EC126"/>
  <c r="DY126"/>
  <c r="DU126"/>
  <c r="DQ126"/>
  <c r="DM126"/>
  <c r="DI126"/>
  <c r="DE126"/>
  <c r="DA126"/>
  <c r="CV126"/>
  <c r="CR126"/>
  <c r="CN126"/>
  <c r="BZ126"/>
  <c r="BP126"/>
  <c r="BL126"/>
  <c r="BK126"/>
  <c r="BD126"/>
  <c r="AZ126"/>
  <c r="AV126"/>
  <c r="AR126"/>
  <c r="AN126"/>
  <c r="AJ126"/>
  <c r="AF126"/>
  <c r="AB126"/>
  <c r="X126"/>
  <c r="Q126"/>
  <c r="R126"/>
  <c r="L126"/>
  <c r="G126"/>
  <c r="S89"/>
  <c r="S90" s="1"/>
  <c r="W89"/>
  <c r="W90" s="1"/>
  <c r="EK89"/>
  <c r="EK90" s="1"/>
  <c r="DU89"/>
  <c r="DU90" s="1"/>
  <c r="DE89"/>
  <c r="DE90" s="1"/>
  <c r="CN89"/>
  <c r="CN90" s="1"/>
  <c r="BT89"/>
  <c r="BK89"/>
  <c r="BK90" s="1"/>
  <c r="J126"/>
  <c r="O126"/>
  <c r="Z126"/>
  <c r="AH126"/>
  <c r="AP126"/>
  <c r="AX126"/>
  <c r="BF126"/>
  <c r="BN126"/>
  <c r="BV126"/>
  <c r="CL126"/>
  <c r="CT126"/>
  <c r="DC126"/>
  <c r="DK126"/>
  <c r="DS126"/>
  <c r="EA126"/>
  <c r="EI126"/>
  <c r="EQ126"/>
  <c r="BP89"/>
  <c r="BP90" s="1"/>
  <c r="BQ60"/>
  <c r="ED60"/>
  <c r="DF64"/>
  <c r="AJ89"/>
  <c r="AJ90" s="1"/>
  <c r="P89"/>
  <c r="P90" s="1"/>
  <c r="ES89"/>
  <c r="ES90" s="1"/>
  <c r="EG89"/>
  <c r="EG90" s="1"/>
  <c r="DY89"/>
  <c r="DY90" s="1"/>
  <c r="DQ89"/>
  <c r="DQ90" s="1"/>
  <c r="DI89"/>
  <c r="DI90" s="1"/>
  <c r="DA89"/>
  <c r="DA90" s="1"/>
  <c r="CR89"/>
  <c r="CR90" s="1"/>
  <c r="CJ89"/>
  <c r="CJ90" s="1"/>
  <c r="BY89"/>
  <c r="BY90" s="1"/>
  <c r="BZ89"/>
  <c r="BZ90" s="1"/>
  <c r="BL89"/>
  <c r="BL90" s="1"/>
  <c r="AV89"/>
  <c r="AV90" s="1"/>
  <c r="CW60"/>
  <c r="EL64"/>
  <c r="BR64"/>
  <c r="AR89"/>
  <c r="AR90" s="1"/>
  <c r="AH89"/>
  <c r="AH90" s="1"/>
  <c r="AD89"/>
  <c r="AD90" s="1"/>
  <c r="U89"/>
  <c r="U90" s="1"/>
  <c r="EU89"/>
  <c r="EU90" s="1"/>
  <c r="EQ89"/>
  <c r="EQ90" s="1"/>
  <c r="EI89"/>
  <c r="EI90" s="1"/>
  <c r="EE89"/>
  <c r="EE90" s="1"/>
  <c r="EA89"/>
  <c r="EA90" s="1"/>
  <c r="DW89"/>
  <c r="DW90" s="1"/>
  <c r="DS89"/>
  <c r="DS90" s="1"/>
  <c r="DO89"/>
  <c r="DO90" s="1"/>
  <c r="DK89"/>
  <c r="DK90" s="1"/>
  <c r="DG89"/>
  <c r="DG90" s="1"/>
  <c r="DC89"/>
  <c r="DC90" s="1"/>
  <c r="CX89"/>
  <c r="CX90" s="1"/>
  <c r="CT89"/>
  <c r="CT90" s="1"/>
  <c r="CP89"/>
  <c r="CP90" s="1"/>
  <c r="CL89"/>
  <c r="CL90" s="1"/>
  <c r="CH89"/>
  <c r="CH90" s="1"/>
  <c r="CD89"/>
  <c r="CD90" s="1"/>
  <c r="CC89"/>
  <c r="CC90" s="1"/>
  <c r="BV89"/>
  <c r="BV90" s="1"/>
  <c r="BR89"/>
  <c r="BR90" s="1"/>
  <c r="BN89"/>
  <c r="BI90"/>
  <c r="BF89"/>
  <c r="BF90" s="1"/>
  <c r="BB89"/>
  <c r="BB90" s="1"/>
  <c r="AX89"/>
  <c r="AX90" s="1"/>
  <c r="M89"/>
  <c r="M90" s="1"/>
  <c r="K89"/>
  <c r="K90" s="1"/>
  <c r="I89"/>
  <c r="I90" s="1"/>
  <c r="N60"/>
  <c r="ET60"/>
  <c r="DN60"/>
  <c r="CG60"/>
  <c r="BA60"/>
  <c r="DV64"/>
  <c r="CO64"/>
  <c r="AL64"/>
  <c r="N89"/>
  <c r="N90" s="1"/>
  <c r="L89"/>
  <c r="L90" s="1"/>
  <c r="AS89"/>
  <c r="AS90" s="1"/>
  <c r="AK89"/>
  <c r="AK90" s="1"/>
  <c r="AI89"/>
  <c r="AI90" s="1"/>
  <c r="AE89"/>
  <c r="AE90" s="1"/>
  <c r="AB89"/>
  <c r="V89"/>
  <c r="V90" s="1"/>
  <c r="Q89"/>
  <c r="Q90" s="1"/>
  <c r="O89"/>
  <c r="O90" s="1"/>
  <c r="EV89"/>
  <c r="EV90" s="1"/>
  <c r="ET89"/>
  <c r="ET90" s="1"/>
  <c r="ER89"/>
  <c r="ER90" s="1"/>
  <c r="EL89"/>
  <c r="EL90" s="1"/>
  <c r="EJ89"/>
  <c r="EJ90" s="1"/>
  <c r="EH89"/>
  <c r="EH90" s="1"/>
  <c r="EF89"/>
  <c r="EF90" s="1"/>
  <c r="ED89"/>
  <c r="ED90" s="1"/>
  <c r="EB89"/>
  <c r="EB90" s="1"/>
  <c r="DZ89"/>
  <c r="DZ90" s="1"/>
  <c r="DX89"/>
  <c r="DX90" s="1"/>
  <c r="DV89"/>
  <c r="DV90" s="1"/>
  <c r="DT89"/>
  <c r="DT90" s="1"/>
  <c r="DR89"/>
  <c r="DR90" s="1"/>
  <c r="DP89"/>
  <c r="DP90" s="1"/>
  <c r="DN89"/>
  <c r="DN90" s="1"/>
  <c r="DL89"/>
  <c r="DL90" s="1"/>
  <c r="DJ89"/>
  <c r="DJ90" s="1"/>
  <c r="DH89"/>
  <c r="DH90" s="1"/>
  <c r="DF89"/>
  <c r="DF90" s="1"/>
  <c r="DD89"/>
  <c r="DD90" s="1"/>
  <c r="DB89"/>
  <c r="DB90" s="1"/>
  <c r="CY89"/>
  <c r="CY90" s="1"/>
  <c r="CW89"/>
  <c r="CW90" s="1"/>
  <c r="CU89"/>
  <c r="CU90" s="1"/>
  <c r="CS89"/>
  <c r="CS90" s="1"/>
  <c r="CQ89"/>
  <c r="CQ90" s="1"/>
  <c r="CO89"/>
  <c r="CO90" s="1"/>
  <c r="CM89"/>
  <c r="CM90" s="1"/>
  <c r="CK89"/>
  <c r="CK90" s="1"/>
  <c r="CI89"/>
  <c r="CI90" s="1"/>
  <c r="CG89"/>
  <c r="CG90" s="1"/>
  <c r="CE89"/>
  <c r="CE90" s="1"/>
  <c r="BU89"/>
  <c r="BW89"/>
  <c r="CB89"/>
  <c r="CB90" s="1"/>
  <c r="BX89"/>
  <c r="BX90" s="1"/>
  <c r="CA89"/>
  <c r="CA90" s="1"/>
  <c r="BS89"/>
  <c r="BS90" s="1"/>
  <c r="BQ89"/>
  <c r="BQ90" s="1"/>
  <c r="BO89"/>
  <c r="BO90" s="1"/>
  <c r="BM89"/>
  <c r="BM90" s="1"/>
  <c r="BJ89"/>
  <c r="BJ90" s="1"/>
  <c r="BH90"/>
  <c r="BC89"/>
  <c r="BC90" s="1"/>
  <c r="BA89"/>
  <c r="BA90" s="1"/>
  <c r="AW89"/>
  <c r="AW90" s="1"/>
  <c r="AR60"/>
  <c r="EL60"/>
  <c r="DV60"/>
  <c r="DF60"/>
  <c r="CO60"/>
  <c r="CB60"/>
  <c r="ET64"/>
  <c r="ED64"/>
  <c r="DN64"/>
  <c r="CG64"/>
  <c r="BB64"/>
  <c r="DV58"/>
  <c r="ED58"/>
  <c r="EL58"/>
  <c r="ET58"/>
  <c r="AY59"/>
  <c r="BG59"/>
  <c r="BX59"/>
  <c r="CE59"/>
  <c r="CM59"/>
  <c r="CU59"/>
  <c r="DD59"/>
  <c r="DL59"/>
  <c r="DT59"/>
  <c r="EB59"/>
  <c r="EJ59"/>
  <c r="ER59"/>
  <c r="AS59"/>
  <c r="AH59"/>
  <c r="M59"/>
  <c r="U59"/>
  <c r="AJ58"/>
  <c r="EV59"/>
  <c r="EF59"/>
  <c r="DP59"/>
  <c r="CY59"/>
  <c r="CI59"/>
  <c r="BS59"/>
  <c r="BC59"/>
  <c r="EP58"/>
  <c r="DZ58"/>
  <c r="AQ59"/>
  <c r="J64"/>
  <c r="O64"/>
  <c r="Z64"/>
  <c r="AH64"/>
  <c r="AP64"/>
  <c r="AX64"/>
  <c r="BF64"/>
  <c r="BN64"/>
  <c r="BV64"/>
  <c r="CD64"/>
  <c r="CI64"/>
  <c r="CM64"/>
  <c r="CQ64"/>
  <c r="CU64"/>
  <c r="DD64"/>
  <c r="DH64"/>
  <c r="DL64"/>
  <c r="DP64"/>
  <c r="DT64"/>
  <c r="DX64"/>
  <c r="EB64"/>
  <c r="EF64"/>
  <c r="EJ64"/>
  <c r="EN64"/>
  <c r="ER64"/>
  <c r="EV64"/>
  <c r="AU60"/>
  <c r="AY60"/>
  <c r="BC60"/>
  <c r="BG60"/>
  <c r="BJ60"/>
  <c r="BS60"/>
  <c r="BX60"/>
  <c r="BW60"/>
  <c r="CE60"/>
  <c r="CI60"/>
  <c r="CM60"/>
  <c r="CQ60"/>
  <c r="CU60"/>
  <c r="CY60"/>
  <c r="DD60"/>
  <c r="DH60"/>
  <c r="DL60"/>
  <c r="DP60"/>
  <c r="DT60"/>
  <c r="DX60"/>
  <c r="EB60"/>
  <c r="EF60"/>
  <c r="EJ60"/>
  <c r="EN60"/>
  <c r="ER60"/>
  <c r="EV60"/>
  <c r="AD60"/>
  <c r="AH60"/>
  <c r="V60"/>
  <c r="J60"/>
  <c r="I59"/>
  <c r="AJ60"/>
  <c r="AB60"/>
  <c r="AD59"/>
  <c r="AB58"/>
  <c r="AR58"/>
  <c r="EP60"/>
  <c r="EH60"/>
  <c r="DZ60"/>
  <c r="DR60"/>
  <c r="DJ60"/>
  <c r="DB60"/>
  <c r="CS60"/>
  <c r="BU60"/>
  <c r="CA60"/>
  <c r="BM60"/>
  <c r="BE60"/>
  <c r="AW60"/>
  <c r="EN59"/>
  <c r="DX59"/>
  <c r="DH59"/>
  <c r="CQ59"/>
  <c r="BW59"/>
  <c r="BJ59"/>
  <c r="AU59"/>
  <c r="EH58"/>
  <c r="DR58"/>
  <c r="EP64"/>
  <c r="EH64"/>
  <c r="DZ64"/>
  <c r="DR64"/>
  <c r="DJ64"/>
  <c r="DB64"/>
  <c r="CS64"/>
  <c r="CC64"/>
  <c r="BI64"/>
  <c r="AT64"/>
  <c r="AD64"/>
  <c r="N64"/>
  <c r="G62"/>
  <c r="J62"/>
  <c r="L62"/>
  <c r="N62"/>
  <c r="R62"/>
  <c r="O62"/>
  <c r="Q62"/>
  <c r="V62"/>
  <c r="X62"/>
  <c r="Z62"/>
  <c r="AB62"/>
  <c r="AD62"/>
  <c r="I62"/>
  <c r="M62"/>
  <c r="T62"/>
  <c r="U62"/>
  <c r="Y62"/>
  <c r="AC62"/>
  <c r="AF62"/>
  <c r="AH62"/>
  <c r="AJ62"/>
  <c r="AL62"/>
  <c r="AN62"/>
  <c r="AP62"/>
  <c r="AR62"/>
  <c r="AT62"/>
  <c r="AV62"/>
  <c r="AX62"/>
  <c r="AZ62"/>
  <c r="BB62"/>
  <c r="BD62"/>
  <c r="BF62"/>
  <c r="BK62"/>
  <c r="BI62"/>
  <c r="BL62"/>
  <c r="BN62"/>
  <c r="BP62"/>
  <c r="BR62"/>
  <c r="BZ62"/>
  <c r="BV62"/>
  <c r="CC62"/>
  <c r="BY62"/>
  <c r="CD62"/>
  <c r="CL62"/>
  <c r="CN62"/>
  <c r="CR62"/>
  <c r="CT62"/>
  <c r="DA62"/>
  <c r="DC62"/>
  <c r="DE62"/>
  <c r="DG62"/>
  <c r="DI62"/>
  <c r="DK62"/>
  <c r="DM62"/>
  <c r="S62"/>
  <c r="W62"/>
  <c r="AE62"/>
  <c r="AI62"/>
  <c r="AM62"/>
  <c r="AQ62"/>
  <c r="AU62"/>
  <c r="AY62"/>
  <c r="BC62"/>
  <c r="BG62"/>
  <c r="BJ62"/>
  <c r="BO62"/>
  <c r="BS62"/>
  <c r="BX62"/>
  <c r="BW62"/>
  <c r="CE62"/>
  <c r="CI62"/>
  <c r="CM62"/>
  <c r="CQ62"/>
  <c r="CU62"/>
  <c r="DD62"/>
  <c r="DH62"/>
  <c r="DL62"/>
  <c r="DO62"/>
  <c r="DQ62"/>
  <c r="DS62"/>
  <c r="DU62"/>
  <c r="DW62"/>
  <c r="DY62"/>
  <c r="EA62"/>
  <c r="EC62"/>
  <c r="EE62"/>
  <c r="EG62"/>
  <c r="EI62"/>
  <c r="EK62"/>
  <c r="EM62"/>
  <c r="EO62"/>
  <c r="EQ62"/>
  <c r="ES62"/>
  <c r="EU62"/>
  <c r="K62"/>
  <c r="P62"/>
  <c r="AA62"/>
  <c r="AG62"/>
  <c r="AK62"/>
  <c r="AO62"/>
  <c r="AS62"/>
  <c r="AW62"/>
  <c r="BA62"/>
  <c r="BE62"/>
  <c r="BH62"/>
  <c r="BM62"/>
  <c r="BQ62"/>
  <c r="CA62"/>
  <c r="CB62"/>
  <c r="BU62"/>
  <c r="CG62"/>
  <c r="CO62"/>
  <c r="CS62"/>
  <c r="DB62"/>
  <c r="DF62"/>
  <c r="DJ62"/>
  <c r="DN62"/>
  <c r="DP62"/>
  <c r="DR62"/>
  <c r="DT62"/>
  <c r="DV62"/>
  <c r="DX62"/>
  <c r="DZ62"/>
  <c r="EB62"/>
  <c r="ED62"/>
  <c r="EF62"/>
  <c r="EH62"/>
  <c r="EJ62"/>
  <c r="EL62"/>
  <c r="EN62"/>
  <c r="EP62"/>
  <c r="ER62"/>
  <c r="ET62"/>
  <c r="EV62"/>
  <c r="H62"/>
  <c r="BA58"/>
  <c r="BG58"/>
  <c r="BM58"/>
  <c r="BS58"/>
  <c r="BX58"/>
  <c r="BW58"/>
  <c r="CE58"/>
  <c r="CI58"/>
  <c r="CM58"/>
  <c r="CQ58"/>
  <c r="CU58"/>
  <c r="CY58"/>
  <c r="DD58"/>
  <c r="DH58"/>
  <c r="DL58"/>
  <c r="DP58"/>
  <c r="AT58"/>
  <c r="AV58"/>
  <c r="AX58"/>
  <c r="AZ58"/>
  <c r="BB58"/>
  <c r="BD58"/>
  <c r="BF58"/>
  <c r="BL58"/>
  <c r="BN58"/>
  <c r="BR58"/>
  <c r="BZ58"/>
  <c r="BV58"/>
  <c r="CC58"/>
  <c r="BY58"/>
  <c r="CD58"/>
  <c r="CL58"/>
  <c r="CN58"/>
  <c r="CP58"/>
  <c r="CR58"/>
  <c r="CT58"/>
  <c r="CV58"/>
  <c r="CX58"/>
  <c r="DA58"/>
  <c r="DC58"/>
  <c r="DE58"/>
  <c r="DG58"/>
  <c r="DI58"/>
  <c r="DK58"/>
  <c r="DM58"/>
  <c r="DO58"/>
  <c r="DQ58"/>
  <c r="DS58"/>
  <c r="DU58"/>
  <c r="DW58"/>
  <c r="DY58"/>
  <c r="EA58"/>
  <c r="EC58"/>
  <c r="EE58"/>
  <c r="EG58"/>
  <c r="EI58"/>
  <c r="EK58"/>
  <c r="EM58"/>
  <c r="EO58"/>
  <c r="EQ58"/>
  <c r="ES58"/>
  <c r="EU58"/>
  <c r="AS58"/>
  <c r="AC58"/>
  <c r="AE58"/>
  <c r="AI58"/>
  <c r="AK58"/>
  <c r="K58"/>
  <c r="M58"/>
  <c r="U58"/>
  <c r="W58"/>
  <c r="AP58"/>
  <c r="I58"/>
  <c r="AU58"/>
  <c r="AW58"/>
  <c r="AY58"/>
  <c r="BC58"/>
  <c r="BE58"/>
  <c r="BJ58"/>
  <c r="BQ58"/>
  <c r="CA58"/>
  <c r="CB58"/>
  <c r="BU58"/>
  <c r="CG58"/>
  <c r="CO58"/>
  <c r="CS58"/>
  <c r="CW58"/>
  <c r="DB58"/>
  <c r="DF58"/>
  <c r="DJ58"/>
  <c r="DN58"/>
  <c r="G63"/>
  <c r="J63"/>
  <c r="L63"/>
  <c r="N63"/>
  <c r="R63"/>
  <c r="O63"/>
  <c r="Q63"/>
  <c r="V63"/>
  <c r="X63"/>
  <c r="Z63"/>
  <c r="AB63"/>
  <c r="AD63"/>
  <c r="AF63"/>
  <c r="AH63"/>
  <c r="AJ63"/>
  <c r="AL63"/>
  <c r="AN63"/>
  <c r="AP63"/>
  <c r="I63"/>
  <c r="K63"/>
  <c r="M63"/>
  <c r="S63"/>
  <c r="T63"/>
  <c r="P63"/>
  <c r="U63"/>
  <c r="W63"/>
  <c r="Y63"/>
  <c r="AA63"/>
  <c r="AC63"/>
  <c r="AE63"/>
  <c r="AG63"/>
  <c r="AI63"/>
  <c r="AK63"/>
  <c r="AM63"/>
  <c r="AO63"/>
  <c r="AQ63"/>
  <c r="AS63"/>
  <c r="AU63"/>
  <c r="AW63"/>
  <c r="AY63"/>
  <c r="BA63"/>
  <c r="BC63"/>
  <c r="BE63"/>
  <c r="BG63"/>
  <c r="BH63"/>
  <c r="BJ63"/>
  <c r="BM63"/>
  <c r="BO63"/>
  <c r="BQ63"/>
  <c r="BS63"/>
  <c r="CA63"/>
  <c r="BX63"/>
  <c r="CB63"/>
  <c r="BW63"/>
  <c r="BU63"/>
  <c r="CE63"/>
  <c r="CG63"/>
  <c r="CI63"/>
  <c r="CM63"/>
  <c r="CO63"/>
  <c r="CQ63"/>
  <c r="CS63"/>
  <c r="CU63"/>
  <c r="DB63"/>
  <c r="DD63"/>
  <c r="DF63"/>
  <c r="DH63"/>
  <c r="DJ63"/>
  <c r="DL63"/>
  <c r="DN63"/>
  <c r="DP63"/>
  <c r="DR63"/>
  <c r="DT63"/>
  <c r="DV63"/>
  <c r="DX63"/>
  <c r="DZ63"/>
  <c r="EB63"/>
  <c r="ED63"/>
  <c r="EF63"/>
  <c r="EH63"/>
  <c r="EJ63"/>
  <c r="EL63"/>
  <c r="EN63"/>
  <c r="EP63"/>
  <c r="ER63"/>
  <c r="ET63"/>
  <c r="EV63"/>
  <c r="AR63"/>
  <c r="AV63"/>
  <c r="AZ63"/>
  <c r="BD63"/>
  <c r="BK63"/>
  <c r="BL63"/>
  <c r="BP63"/>
  <c r="BZ63"/>
  <c r="BY63"/>
  <c r="CN63"/>
  <c r="CR63"/>
  <c r="DA63"/>
  <c r="DE63"/>
  <c r="DI63"/>
  <c r="DM63"/>
  <c r="DQ63"/>
  <c r="DU63"/>
  <c r="DY63"/>
  <c r="EC63"/>
  <c r="EG63"/>
  <c r="EK63"/>
  <c r="EO63"/>
  <c r="ES63"/>
  <c r="H63"/>
  <c r="AT59"/>
  <c r="AV59"/>
  <c r="AX59"/>
  <c r="AZ59"/>
  <c r="BB59"/>
  <c r="BD59"/>
  <c r="BF59"/>
  <c r="BL59"/>
  <c r="BN59"/>
  <c r="BR59"/>
  <c r="BZ59"/>
  <c r="BV59"/>
  <c r="CC59"/>
  <c r="BY59"/>
  <c r="CD59"/>
  <c r="CL59"/>
  <c r="CN59"/>
  <c r="CP59"/>
  <c r="CR59"/>
  <c r="CT59"/>
  <c r="CV59"/>
  <c r="CX59"/>
  <c r="DA59"/>
  <c r="DC59"/>
  <c r="DE59"/>
  <c r="DG59"/>
  <c r="DI59"/>
  <c r="DK59"/>
  <c r="DM59"/>
  <c r="DO59"/>
  <c r="DQ59"/>
  <c r="DS59"/>
  <c r="DU59"/>
  <c r="DW59"/>
  <c r="DY59"/>
  <c r="EA59"/>
  <c r="EC59"/>
  <c r="EE59"/>
  <c r="EG59"/>
  <c r="EI59"/>
  <c r="EK59"/>
  <c r="EM59"/>
  <c r="EO59"/>
  <c r="EQ59"/>
  <c r="ES59"/>
  <c r="EU59"/>
  <c r="AR59"/>
  <c r="AC59"/>
  <c r="AE59"/>
  <c r="AI59"/>
  <c r="AK59"/>
  <c r="J59"/>
  <c r="N59"/>
  <c r="V59"/>
  <c r="AT63"/>
  <c r="AX63"/>
  <c r="BB63"/>
  <c r="BF63"/>
  <c r="BI63"/>
  <c r="BN63"/>
  <c r="BR63"/>
  <c r="BV63"/>
  <c r="CC63"/>
  <c r="CD63"/>
  <c r="CL63"/>
  <c r="CT63"/>
  <c r="DC63"/>
  <c r="DG63"/>
  <c r="DK63"/>
  <c r="DO63"/>
  <c r="DS63"/>
  <c r="DW63"/>
  <c r="EA63"/>
  <c r="EE63"/>
  <c r="EI63"/>
  <c r="EM63"/>
  <c r="EQ63"/>
  <c r="EU63"/>
  <c r="W59"/>
  <c r="K59"/>
  <c r="V58"/>
  <c r="N58"/>
  <c r="J58"/>
  <c r="AJ59"/>
  <c r="AB59"/>
  <c r="AH58"/>
  <c r="AD58"/>
  <c r="ET59"/>
  <c r="EP59"/>
  <c r="EL59"/>
  <c r="EH59"/>
  <c r="ED59"/>
  <c r="DZ59"/>
  <c r="DV59"/>
  <c r="DR59"/>
  <c r="DN59"/>
  <c r="DJ59"/>
  <c r="DF59"/>
  <c r="DB59"/>
  <c r="CW59"/>
  <c r="CS59"/>
  <c r="CO59"/>
  <c r="CG59"/>
  <c r="BU59"/>
  <c r="CB59"/>
  <c r="CA59"/>
  <c r="BQ59"/>
  <c r="BM59"/>
  <c r="BE59"/>
  <c r="BA59"/>
  <c r="AW59"/>
  <c r="EV58"/>
  <c r="ER58"/>
  <c r="EN58"/>
  <c r="EJ58"/>
  <c r="EF58"/>
  <c r="EB58"/>
  <c r="DX58"/>
  <c r="DT58"/>
  <c r="I64"/>
  <c r="K64"/>
  <c r="M64"/>
  <c r="S64"/>
  <c r="T64"/>
  <c r="P64"/>
  <c r="U64"/>
  <c r="W64"/>
  <c r="Y64"/>
  <c r="AA64"/>
  <c r="AC64"/>
  <c r="AE64"/>
  <c r="AG64"/>
  <c r="AI64"/>
  <c r="AK64"/>
  <c r="AM64"/>
  <c r="AO64"/>
  <c r="AQ64"/>
  <c r="AS64"/>
  <c r="AU64"/>
  <c r="AW64"/>
  <c r="AY64"/>
  <c r="BA64"/>
  <c r="BC64"/>
  <c r="BE64"/>
  <c r="BG64"/>
  <c r="BH64"/>
  <c r="BJ64"/>
  <c r="BM64"/>
  <c r="BO64"/>
  <c r="BQ64"/>
  <c r="BS64"/>
  <c r="CA64"/>
  <c r="BX64"/>
  <c r="CB64"/>
  <c r="BW64"/>
  <c r="BU64"/>
  <c r="CE64"/>
  <c r="W60"/>
  <c r="U60"/>
  <c r="M60"/>
  <c r="K60"/>
  <c r="I60"/>
  <c r="AK60"/>
  <c r="AI60"/>
  <c r="AE60"/>
  <c r="AC60"/>
  <c r="AS60"/>
  <c r="EU60"/>
  <c r="ES60"/>
  <c r="EQ60"/>
  <c r="EO60"/>
  <c r="EM60"/>
  <c r="EK60"/>
  <c r="EI60"/>
  <c r="EG60"/>
  <c r="EE60"/>
  <c r="EC60"/>
  <c r="EA60"/>
  <c r="DY60"/>
  <c r="DW60"/>
  <c r="DU60"/>
  <c r="DS60"/>
  <c r="DQ60"/>
  <c r="DO60"/>
  <c r="DM60"/>
  <c r="DK60"/>
  <c r="DI60"/>
  <c r="DG60"/>
  <c r="DE60"/>
  <c r="DC60"/>
  <c r="DA60"/>
  <c r="CX60"/>
  <c r="CV60"/>
  <c r="CT60"/>
  <c r="CR60"/>
  <c r="CP60"/>
  <c r="CN60"/>
  <c r="CL60"/>
  <c r="CD60"/>
  <c r="BY60"/>
  <c r="CC60"/>
  <c r="BV60"/>
  <c r="BZ60"/>
  <c r="BR60"/>
  <c r="BN60"/>
  <c r="BL60"/>
  <c r="BF60"/>
  <c r="BD60"/>
  <c r="BB60"/>
  <c r="AZ60"/>
  <c r="AX60"/>
  <c r="AV60"/>
  <c r="AT60"/>
  <c r="H64"/>
  <c r="EU64"/>
  <c r="ES64"/>
  <c r="EQ64"/>
  <c r="EO64"/>
  <c r="EM64"/>
  <c r="EK64"/>
  <c r="EI64"/>
  <c r="EG64"/>
  <c r="EE64"/>
  <c r="EC64"/>
  <c r="EA64"/>
  <c r="DY64"/>
  <c r="DW64"/>
  <c r="DU64"/>
  <c r="DS64"/>
  <c r="DQ64"/>
  <c r="DO64"/>
  <c r="DM64"/>
  <c r="DK64"/>
  <c r="DI64"/>
  <c r="DG64"/>
  <c r="DE64"/>
  <c r="DC64"/>
  <c r="DA64"/>
  <c r="CT64"/>
  <c r="CR64"/>
  <c r="CN64"/>
  <c r="CL64"/>
  <c r="BY64"/>
  <c r="BZ64"/>
  <c r="BP64"/>
  <c r="BL64"/>
  <c r="BK64"/>
  <c r="BD64"/>
  <c r="AZ64"/>
  <c r="AV64"/>
  <c r="AR64"/>
  <c r="AN64"/>
  <c r="AJ64"/>
  <c r="AF64"/>
  <c r="AB64"/>
  <c r="X64"/>
  <c r="Q64"/>
  <c r="R64"/>
  <c r="L64"/>
  <c r="G64"/>
  <c r="ET71"/>
  <c r="EL71"/>
  <c r="ED71"/>
  <c r="DV71"/>
  <c r="DN71"/>
  <c r="DF71"/>
  <c r="CO71"/>
  <c r="CG71"/>
  <c r="CB71"/>
  <c r="BQ71"/>
  <c r="BH71"/>
  <c r="BA71"/>
  <c r="AS71"/>
  <c r="AK71"/>
  <c r="AC71"/>
  <c r="U71"/>
  <c r="G71"/>
  <c r="J71"/>
  <c r="L71"/>
  <c r="N71"/>
  <c r="R71"/>
  <c r="O71"/>
  <c r="Q71"/>
  <c r="V71"/>
  <c r="X71"/>
  <c r="Z71"/>
  <c r="AB71"/>
  <c r="AD71"/>
  <c r="AF71"/>
  <c r="AH71"/>
  <c r="AJ71"/>
  <c r="AL71"/>
  <c r="AN71"/>
  <c r="AP71"/>
  <c r="AR71"/>
  <c r="AT71"/>
  <c r="AV71"/>
  <c r="AX71"/>
  <c r="AZ71"/>
  <c r="BB71"/>
  <c r="BD71"/>
  <c r="BF71"/>
  <c r="BK71"/>
  <c r="BI71"/>
  <c r="BL71"/>
  <c r="BN71"/>
  <c r="BP71"/>
  <c r="BR71"/>
  <c r="BZ71"/>
  <c r="BV71"/>
  <c r="BT71"/>
  <c r="CC71"/>
  <c r="BY71"/>
  <c r="CD71"/>
  <c r="CF71"/>
  <c r="CH71"/>
  <c r="CJ71"/>
  <c r="CL71"/>
  <c r="CN71"/>
  <c r="CP71"/>
  <c r="CR71"/>
  <c r="CT71"/>
  <c r="DA71"/>
  <c r="DC71"/>
  <c r="DE71"/>
  <c r="DG71"/>
  <c r="DI71"/>
  <c r="DK71"/>
  <c r="DM71"/>
  <c r="DO71"/>
  <c r="DQ71"/>
  <c r="DS71"/>
  <c r="DU71"/>
  <c r="DW71"/>
  <c r="DY71"/>
  <c r="EA71"/>
  <c r="EC71"/>
  <c r="EE71"/>
  <c r="EG71"/>
  <c r="EI71"/>
  <c r="EK71"/>
  <c r="EM71"/>
  <c r="EO71"/>
  <c r="EQ71"/>
  <c r="ES71"/>
  <c r="EU71"/>
  <c r="H71"/>
  <c r="K71"/>
  <c r="S71"/>
  <c r="P71"/>
  <c r="W71"/>
  <c r="AA71"/>
  <c r="AE71"/>
  <c r="AI71"/>
  <c r="AM71"/>
  <c r="AQ71"/>
  <c r="AU71"/>
  <c r="AY71"/>
  <c r="BC71"/>
  <c r="BG71"/>
  <c r="BJ71"/>
  <c r="BO71"/>
  <c r="BS71"/>
  <c r="BX71"/>
  <c r="BW71"/>
  <c r="CE71"/>
  <c r="CI71"/>
  <c r="CM71"/>
  <c r="CQ71"/>
  <c r="CU71"/>
  <c r="DH71"/>
  <c r="DL71"/>
  <c r="DP71"/>
  <c r="DT71"/>
  <c r="DX71"/>
  <c r="EB71"/>
  <c r="EF71"/>
  <c r="EJ71"/>
  <c r="EN71"/>
  <c r="ER71"/>
  <c r="EV71"/>
  <c r="EP71"/>
  <c r="EH71"/>
  <c r="DZ71"/>
  <c r="DR71"/>
  <c r="DJ71"/>
  <c r="DB71"/>
  <c r="CS71"/>
  <c r="CK71"/>
  <c r="BU71"/>
  <c r="CA71"/>
  <c r="BM71"/>
  <c r="BE71"/>
  <c r="AW71"/>
  <c r="AO71"/>
  <c r="AG71"/>
  <c r="Y71"/>
  <c r="T71"/>
  <c r="I71"/>
  <c r="AQ60"/>
  <c r="AQ58"/>
  <c r="AP60"/>
  <c r="AP59"/>
  <c r="AP88"/>
  <c r="AM88"/>
  <c r="EM107"/>
  <c r="EM108" s="1"/>
  <c r="N113" l="1"/>
  <c r="M113"/>
  <c r="AS113"/>
  <c r="AK111"/>
  <c r="T88"/>
  <c r="T89" s="1"/>
  <c r="T90" s="1"/>
  <c r="L111"/>
  <c r="BA113"/>
  <c r="AC111"/>
  <c r="AZ113"/>
  <c r="AP89"/>
  <c r="AP90" s="1"/>
  <c r="AP156"/>
  <c r="AP165" s="1"/>
  <c r="AP166" s="1"/>
  <c r="J89"/>
  <c r="J90" s="1"/>
  <c r="J156"/>
  <c r="J165" s="1"/>
  <c r="J166" s="1"/>
  <c r="AM89"/>
  <c r="AM90" s="1"/>
  <c r="AM156"/>
  <c r="AM165" s="1"/>
  <c r="AM166" s="1"/>
  <c r="AG88"/>
  <c r="AG91" s="1"/>
  <c r="AG92" s="1"/>
  <c r="Y156"/>
  <c r="Y165" s="1"/>
  <c r="Y166" s="1"/>
  <c r="X88"/>
  <c r="R156"/>
  <c r="R165" s="1"/>
  <c r="R166" s="1"/>
  <c r="AF113"/>
  <c r="N111"/>
  <c r="M111"/>
  <c r="L113"/>
  <c r="BC113"/>
  <c r="AD113"/>
  <c r="BB113"/>
  <c r="U111"/>
  <c r="AL111"/>
  <c r="AT113"/>
  <c r="AJ111"/>
  <c r="BF113"/>
  <c r="BD88"/>
  <c r="AQ113"/>
  <c r="Z111"/>
  <c r="EM111"/>
  <c r="BA111"/>
  <c r="AR113"/>
  <c r="AL113"/>
  <c r="DB146"/>
  <c r="DB147" s="1"/>
  <c r="CZ146"/>
  <c r="CZ147" s="1"/>
  <c r="CG146"/>
  <c r="CG147" s="1"/>
  <c r="AB111"/>
  <c r="BT127"/>
  <c r="BG111"/>
  <c r="AQ111"/>
  <c r="AA111"/>
  <c r="AP113"/>
  <c r="U113"/>
  <c r="BE111"/>
  <c r="AO113"/>
  <c r="Y113"/>
  <c r="AN113"/>
  <c r="X111"/>
  <c r="AM111"/>
  <c r="W113"/>
  <c r="ES146"/>
  <c r="ES147" s="1"/>
  <c r="S113"/>
  <c r="AW113"/>
  <c r="AG111"/>
  <c r="P113"/>
  <c r="AE113"/>
  <c r="O111"/>
  <c r="CN146"/>
  <c r="CN147" s="1"/>
  <c r="DZ146"/>
  <c r="DZ147" s="1"/>
  <c r="AB113"/>
  <c r="BW127"/>
  <c r="EQ92"/>
  <c r="ER92"/>
  <c r="AW111"/>
  <c r="AA113"/>
  <c r="BE88"/>
  <c r="AY89"/>
  <c r="AY90" s="1"/>
  <c r="DG146"/>
  <c r="DG147" s="1"/>
  <c r="CS146"/>
  <c r="CS147" s="1"/>
  <c r="CU146"/>
  <c r="CU147" s="1"/>
  <c r="DF146"/>
  <c r="DF147" s="1"/>
  <c r="AI111"/>
  <c r="R111"/>
  <c r="Q113"/>
  <c r="AF111"/>
  <c r="AU113"/>
  <c r="O113"/>
  <c r="BW126"/>
  <c r="BT128"/>
  <c r="AH111"/>
  <c r="BH113"/>
  <c r="AG113"/>
  <c r="AV111"/>
  <c r="AX111"/>
  <c r="V113"/>
  <c r="V111"/>
  <c r="T111"/>
  <c r="AV113"/>
  <c r="AU111"/>
  <c r="T113"/>
  <c r="AY113"/>
  <c r="AX113"/>
  <c r="Q111"/>
  <c r="BG113"/>
  <c r="AE111"/>
  <c r="ET113"/>
  <c r="EM146"/>
  <c r="EM147" s="1"/>
  <c r="CI146"/>
  <c r="CI147" s="1"/>
  <c r="ET146"/>
  <c r="ET147" s="1"/>
  <c r="DU146"/>
  <c r="DU147" s="1"/>
  <c r="DV146"/>
  <c r="DV147" s="1"/>
  <c r="R113"/>
  <c r="BH111"/>
  <c r="EK146"/>
  <c r="EK147" s="1"/>
  <c r="DR146"/>
  <c r="DR147" s="1"/>
  <c r="AU95"/>
  <c r="EE146"/>
  <c r="EE147" s="1"/>
  <c r="CM146"/>
  <c r="CM147" s="1"/>
  <c r="AO111"/>
  <c r="BC111"/>
  <c r="X113"/>
  <c r="AJ113"/>
  <c r="Z113"/>
  <c r="AS111"/>
  <c r="W111"/>
  <c r="AD111"/>
  <c r="AI113"/>
  <c r="BB111"/>
  <c r="AR111"/>
  <c r="AT111"/>
  <c r="AP111"/>
  <c r="AC113"/>
  <c r="BD113"/>
  <c r="AZ111"/>
  <c r="P111"/>
  <c r="AM113"/>
  <c r="AN111"/>
  <c r="AY111"/>
  <c r="BE113"/>
  <c r="Y111"/>
  <c r="S111"/>
  <c r="BF111"/>
  <c r="AH113"/>
  <c r="EC146"/>
  <c r="EC147" s="1"/>
  <c r="EL146"/>
  <c r="EL147" s="1"/>
  <c r="L157"/>
  <c r="EU146"/>
  <c r="EU147" s="1"/>
  <c r="CQ146"/>
  <c r="CQ147" s="1"/>
  <c r="DN146"/>
  <c r="DN147" s="1"/>
  <c r="Y89"/>
  <c r="Y95" s="1"/>
  <c r="G157"/>
  <c r="I157"/>
  <c r="N157"/>
  <c r="H157"/>
  <c r="AA88"/>
  <c r="AA156" s="1"/>
  <c r="AA165" s="1"/>
  <c r="AA166" s="1"/>
  <c r="H94"/>
  <c r="DW146"/>
  <c r="DW147" s="1"/>
  <c r="DM146"/>
  <c r="DM147" s="1"/>
  <c r="CV146"/>
  <c r="CV147" s="1"/>
  <c r="ED146"/>
  <c r="ED147" s="1"/>
  <c r="K157"/>
  <c r="CW146"/>
  <c r="CW147" s="1"/>
  <c r="CL146"/>
  <c r="CL147" s="1"/>
  <c r="EP146"/>
  <c r="EP147" s="1"/>
  <c r="DJ146"/>
  <c r="DJ147" s="1"/>
  <c r="DO146"/>
  <c r="DO147" s="1"/>
  <c r="DE146"/>
  <c r="DE147" s="1"/>
  <c r="EH146"/>
  <c r="EH147" s="1"/>
  <c r="DC146"/>
  <c r="DC147" s="1"/>
  <c r="DK146"/>
  <c r="DK147" s="1"/>
  <c r="DS146"/>
  <c r="DS147" s="1"/>
  <c r="EA146"/>
  <c r="EA147" s="1"/>
  <c r="EI146"/>
  <c r="EI147" s="1"/>
  <c r="EQ146"/>
  <c r="EQ147" s="1"/>
  <c r="CJ146"/>
  <c r="CJ147" s="1"/>
  <c r="CR146"/>
  <c r="CR147" s="1"/>
  <c r="DD71"/>
  <c r="DA146"/>
  <c r="DA147" s="1"/>
  <c r="DI146"/>
  <c r="DI147" s="1"/>
  <c r="DQ146"/>
  <c r="DQ147" s="1"/>
  <c r="DY146"/>
  <c r="DY147" s="1"/>
  <c r="EG146"/>
  <c r="EG147" s="1"/>
  <c r="EO146"/>
  <c r="EO147" s="1"/>
  <c r="CH146"/>
  <c r="CH147" s="1"/>
  <c r="CP146"/>
  <c r="CY146"/>
  <c r="CY147" s="1"/>
  <c r="CX146"/>
  <c r="CX147" s="1"/>
  <c r="CT146"/>
  <c r="CT147" s="1"/>
  <c r="CO146"/>
  <c r="CO147" s="1"/>
  <c r="CK146"/>
  <c r="CK147" s="1"/>
  <c r="EV146"/>
  <c r="EV147" s="1"/>
  <c r="ER146"/>
  <c r="ER147" s="1"/>
  <c r="EN146"/>
  <c r="EN147" s="1"/>
  <c r="EJ146"/>
  <c r="EJ147" s="1"/>
  <c r="EF146"/>
  <c r="EF147" s="1"/>
  <c r="EB146"/>
  <c r="EB147" s="1"/>
  <c r="DX146"/>
  <c r="DX147" s="1"/>
  <c r="DT146"/>
  <c r="DT147" s="1"/>
  <c r="DP146"/>
  <c r="DP147" s="1"/>
  <c r="DL146"/>
  <c r="DL147" s="1"/>
  <c r="DH146"/>
  <c r="DH147" s="1"/>
  <c r="DD146"/>
  <c r="DD147" s="1"/>
  <c r="AU94"/>
  <c r="H95"/>
  <c r="EH113"/>
  <c r="DZ113"/>
  <c r="DR113"/>
  <c r="DJ113"/>
  <c r="DB113"/>
  <c r="CS113"/>
  <c r="CK113"/>
  <c r="BU113"/>
  <c r="CA113"/>
  <c r="BM113"/>
  <c r="F112"/>
  <c r="BT112" s="1"/>
  <c r="I91"/>
  <c r="K91"/>
  <c r="M91"/>
  <c r="S91"/>
  <c r="S92" s="1"/>
  <c r="P91"/>
  <c r="P92" s="1"/>
  <c r="U91"/>
  <c r="U92" s="1"/>
  <c r="W91"/>
  <c r="W92" s="1"/>
  <c r="AE91"/>
  <c r="AE92" s="1"/>
  <c r="AI91"/>
  <c r="AI92" s="1"/>
  <c r="AK91"/>
  <c r="AK92" s="1"/>
  <c r="AM91"/>
  <c r="AM92" s="1"/>
  <c r="AS91"/>
  <c r="AS92" s="1"/>
  <c r="AU91"/>
  <c r="AU92" s="1"/>
  <c r="AW91"/>
  <c r="AW92" s="1"/>
  <c r="AY91"/>
  <c r="AY92" s="1"/>
  <c r="BA91"/>
  <c r="BA92" s="1"/>
  <c r="BC91"/>
  <c r="BC92" s="1"/>
  <c r="BG91"/>
  <c r="BG92" s="1"/>
  <c r="BH91"/>
  <c r="BH92" s="1"/>
  <c r="BJ91"/>
  <c r="BJ92" s="1"/>
  <c r="BM91"/>
  <c r="BM92" s="1"/>
  <c r="BO91"/>
  <c r="BO92" s="1"/>
  <c r="BQ91"/>
  <c r="BQ92" s="1"/>
  <c r="BS91"/>
  <c r="BS92" s="1"/>
  <c r="CA91"/>
  <c r="CA92" s="1"/>
  <c r="BX91"/>
  <c r="BX92" s="1"/>
  <c r="CB91"/>
  <c r="CB92" s="1"/>
  <c r="BW91"/>
  <c r="BU91"/>
  <c r="CE91"/>
  <c r="CE92" s="1"/>
  <c r="CG91"/>
  <c r="CI91"/>
  <c r="CK91"/>
  <c r="CM91"/>
  <c r="CM92" s="1"/>
  <c r="CO91"/>
  <c r="CO92" s="1"/>
  <c r="CQ91"/>
  <c r="CQ92" s="1"/>
  <c r="CS91"/>
  <c r="CS92" s="1"/>
  <c r="CU91"/>
  <c r="CU92" s="1"/>
  <c r="CW91"/>
  <c r="CW92" s="1"/>
  <c r="CY91"/>
  <c r="CY92" s="1"/>
  <c r="DB91"/>
  <c r="DB92" s="1"/>
  <c r="DD91"/>
  <c r="DD92" s="1"/>
  <c r="DF91"/>
  <c r="DF92" s="1"/>
  <c r="DH91"/>
  <c r="DH92" s="1"/>
  <c r="DJ91"/>
  <c r="DJ92" s="1"/>
  <c r="DL91"/>
  <c r="DL92" s="1"/>
  <c r="DN91"/>
  <c r="DN92" s="1"/>
  <c r="DP91"/>
  <c r="DP92" s="1"/>
  <c r="DR91"/>
  <c r="DR92" s="1"/>
  <c r="DT91"/>
  <c r="DT92" s="1"/>
  <c r="DV91"/>
  <c r="DV92" s="1"/>
  <c r="DX91"/>
  <c r="DX92" s="1"/>
  <c r="DZ91"/>
  <c r="DZ92" s="1"/>
  <c r="EB91"/>
  <c r="EB92" s="1"/>
  <c r="ED91"/>
  <c r="ED92" s="1"/>
  <c r="EF91"/>
  <c r="EF92" s="1"/>
  <c r="EH91"/>
  <c r="EH92" s="1"/>
  <c r="EJ91"/>
  <c r="EJ92" s="1"/>
  <c r="EL91"/>
  <c r="EL92" s="1"/>
  <c r="EN91"/>
  <c r="EN92" s="1"/>
  <c r="EP91"/>
  <c r="EP92" s="1"/>
  <c r="ET91"/>
  <c r="J91"/>
  <c r="N91"/>
  <c r="O91"/>
  <c r="O92" s="1"/>
  <c r="V91"/>
  <c r="V92" s="1"/>
  <c r="AD91"/>
  <c r="AD92" s="1"/>
  <c r="AH91"/>
  <c r="AH92" s="1"/>
  <c r="AP91"/>
  <c r="AP92" s="1"/>
  <c r="AT91"/>
  <c r="AT92" s="1"/>
  <c r="AX91"/>
  <c r="AX92" s="1"/>
  <c r="BB91"/>
  <c r="BB92" s="1"/>
  <c r="BF91"/>
  <c r="BF92" s="1"/>
  <c r="BI91"/>
  <c r="BI92" s="1"/>
  <c r="BN91"/>
  <c r="BR91"/>
  <c r="BR92" s="1"/>
  <c r="BV91"/>
  <c r="BV92" s="1"/>
  <c r="CC91"/>
  <c r="CC92" s="1"/>
  <c r="CD91"/>
  <c r="CD92" s="1"/>
  <c r="CH91"/>
  <c r="CL91"/>
  <c r="CL92" s="1"/>
  <c r="CP91"/>
  <c r="CP92" s="1"/>
  <c r="CT91"/>
  <c r="CT92" s="1"/>
  <c r="CX91"/>
  <c r="CX92" s="1"/>
  <c r="DC91"/>
  <c r="DC92" s="1"/>
  <c r="DG91"/>
  <c r="DG92" s="1"/>
  <c r="DK91"/>
  <c r="DK92" s="1"/>
  <c r="DO91"/>
  <c r="DO92" s="1"/>
  <c r="DS91"/>
  <c r="DS92" s="1"/>
  <c r="DW91"/>
  <c r="DW92" s="1"/>
  <c r="EA91"/>
  <c r="EA92" s="1"/>
  <c r="EE91"/>
  <c r="EE92" s="1"/>
  <c r="EI91"/>
  <c r="EI92" s="1"/>
  <c r="EM91"/>
  <c r="EM92" s="1"/>
  <c r="H91"/>
  <c r="L91"/>
  <c r="R91"/>
  <c r="R92" s="1"/>
  <c r="Q91"/>
  <c r="Q92" s="1"/>
  <c r="AJ91"/>
  <c r="AJ92" s="1"/>
  <c r="AR91"/>
  <c r="AR92" s="1"/>
  <c r="AV91"/>
  <c r="AV92" s="1"/>
  <c r="AZ91"/>
  <c r="AZ92" s="1"/>
  <c r="BK91"/>
  <c r="BK92" s="1"/>
  <c r="BL91"/>
  <c r="BL92" s="1"/>
  <c r="BP91"/>
  <c r="BP92" s="1"/>
  <c r="BZ91"/>
  <c r="BZ92" s="1"/>
  <c r="BT91"/>
  <c r="BY91"/>
  <c r="BY92" s="1"/>
  <c r="CF91"/>
  <c r="CJ91"/>
  <c r="CN91"/>
  <c r="CN92" s="1"/>
  <c r="CR91"/>
  <c r="CR92" s="1"/>
  <c r="CV91"/>
  <c r="CV92" s="1"/>
  <c r="DA91"/>
  <c r="DA92" s="1"/>
  <c r="DE91"/>
  <c r="DE92" s="1"/>
  <c r="DI91"/>
  <c r="DI92" s="1"/>
  <c r="DM91"/>
  <c r="DM92" s="1"/>
  <c r="DQ91"/>
  <c r="DQ92" s="1"/>
  <c r="DU91"/>
  <c r="DU92" s="1"/>
  <c r="DY91"/>
  <c r="DY92" s="1"/>
  <c r="EC91"/>
  <c r="EC92" s="1"/>
  <c r="EG91"/>
  <c r="EG92" s="1"/>
  <c r="EK91"/>
  <c r="EK92" s="1"/>
  <c r="EO91"/>
  <c r="EO92" s="1"/>
  <c r="ES91"/>
  <c r="ES92" s="1"/>
  <c r="G91"/>
  <c r="AU93"/>
  <c r="EV166"/>
  <c r="AV157"/>
  <c r="AX157"/>
  <c r="AZ157"/>
  <c r="BB157"/>
  <c r="BF157"/>
  <c r="BK157"/>
  <c r="BI157"/>
  <c r="BL157"/>
  <c r="BN157"/>
  <c r="BP157"/>
  <c r="BR157"/>
  <c r="BZ157"/>
  <c r="BV157"/>
  <c r="BT157"/>
  <c r="CC157"/>
  <c r="BY157"/>
  <c r="CD157"/>
  <c r="CF157"/>
  <c r="CH157"/>
  <c r="CJ157"/>
  <c r="CL157"/>
  <c r="EU166"/>
  <c r="AU157"/>
  <c r="AW157"/>
  <c r="AY157"/>
  <c r="BA157"/>
  <c r="BC157"/>
  <c r="BG157"/>
  <c r="BH157"/>
  <c r="BJ157"/>
  <c r="BM157"/>
  <c r="BO157"/>
  <c r="BQ157"/>
  <c r="BS157"/>
  <c r="CA157"/>
  <c r="BX157"/>
  <c r="CB157"/>
  <c r="BW157"/>
  <c r="BU157"/>
  <c r="CE157"/>
  <c r="CG157"/>
  <c r="CI157"/>
  <c r="CM157"/>
  <c r="CO157"/>
  <c r="CQ157"/>
  <c r="CS157"/>
  <c r="CU157"/>
  <c r="CW157"/>
  <c r="CY157"/>
  <c r="DB157"/>
  <c r="DD157"/>
  <c r="DF157"/>
  <c r="DH157"/>
  <c r="DJ157"/>
  <c r="DL157"/>
  <c r="DN157"/>
  <c r="DP157"/>
  <c r="DR157"/>
  <c r="DT157"/>
  <c r="DV157"/>
  <c r="DX157"/>
  <c r="DZ157"/>
  <c r="EB157"/>
  <c r="ED157"/>
  <c r="EF157"/>
  <c r="EH157"/>
  <c r="EJ157"/>
  <c r="EL157"/>
  <c r="EN157"/>
  <c r="EP157"/>
  <c r="ER157"/>
  <c r="ET157"/>
  <c r="EV157"/>
  <c r="O157"/>
  <c r="Q157"/>
  <c r="V157"/>
  <c r="AB157"/>
  <c r="AD157"/>
  <c r="AH157"/>
  <c r="AJ157"/>
  <c r="AR157"/>
  <c r="S157"/>
  <c r="CK157"/>
  <c r="CN157"/>
  <c r="CP157"/>
  <c r="CR157"/>
  <c r="CT157"/>
  <c r="CV157"/>
  <c r="CX157"/>
  <c r="DA157"/>
  <c r="DC157"/>
  <c r="DE157"/>
  <c r="DG157"/>
  <c r="DI157"/>
  <c r="DK157"/>
  <c r="DM157"/>
  <c r="DO157"/>
  <c r="DQ157"/>
  <c r="DS157"/>
  <c r="DU157"/>
  <c r="DW157"/>
  <c r="DY157"/>
  <c r="EA157"/>
  <c r="EC157"/>
  <c r="EE157"/>
  <c r="EG157"/>
  <c r="EI157"/>
  <c r="EK157"/>
  <c r="EM157"/>
  <c r="EO157"/>
  <c r="EQ157"/>
  <c r="ES157"/>
  <c r="EU157"/>
  <c r="AT157"/>
  <c r="P157"/>
  <c r="U157"/>
  <c r="W157"/>
  <c r="AA157"/>
  <c r="AC157"/>
  <c r="AE157"/>
  <c r="AI157"/>
  <c r="AK157"/>
  <c r="AM157"/>
  <c r="AS157"/>
  <c r="EU113"/>
  <c r="H111"/>
  <c r="H113"/>
  <c r="I111"/>
  <c r="I113"/>
  <c r="BI111"/>
  <c r="BI113"/>
  <c r="BR111"/>
  <c r="BR113"/>
  <c r="CC111"/>
  <c r="CC113"/>
  <c r="CH111"/>
  <c r="CH113"/>
  <c r="CP111"/>
  <c r="CP113"/>
  <c r="CX111"/>
  <c r="CX113"/>
  <c r="DG111"/>
  <c r="DG113"/>
  <c r="DO111"/>
  <c r="DO113"/>
  <c r="DW111"/>
  <c r="DW113"/>
  <c r="EE111"/>
  <c r="EE113"/>
  <c r="EL113"/>
  <c r="EL111"/>
  <c r="ED113"/>
  <c r="ED111"/>
  <c r="DV113"/>
  <c r="DV111"/>
  <c r="DN113"/>
  <c r="DN111"/>
  <c r="DF113"/>
  <c r="DF111"/>
  <c r="CW113"/>
  <c r="CW111"/>
  <c r="CO113"/>
  <c r="CO111"/>
  <c r="CG113"/>
  <c r="CG111"/>
  <c r="CB113"/>
  <c r="CB111"/>
  <c r="BQ113"/>
  <c r="BQ111"/>
  <c r="EV111"/>
  <c r="EV113"/>
  <c r="BL113"/>
  <c r="BL111"/>
  <c r="BY113"/>
  <c r="BY111"/>
  <c r="CR113"/>
  <c r="CR111"/>
  <c r="DI113"/>
  <c r="DI111"/>
  <c r="DY113"/>
  <c r="DY111"/>
  <c r="G113"/>
  <c r="G111"/>
  <c r="BP113"/>
  <c r="BP111"/>
  <c r="CF113"/>
  <c r="CF111"/>
  <c r="CV113"/>
  <c r="CV111"/>
  <c r="DM113"/>
  <c r="DM111"/>
  <c r="EC113"/>
  <c r="EC111"/>
  <c r="J111"/>
  <c r="J113"/>
  <c r="CA111"/>
  <c r="CK111"/>
  <c r="DB111"/>
  <c r="DR111"/>
  <c r="EH111"/>
  <c r="CK112"/>
  <c r="CV112"/>
  <c r="ER111"/>
  <c r="ER113"/>
  <c r="ES113"/>
  <c r="ES111"/>
  <c r="K113"/>
  <c r="K111"/>
  <c r="BN113"/>
  <c r="BN111"/>
  <c r="BV113"/>
  <c r="BV111"/>
  <c r="CD113"/>
  <c r="CD111"/>
  <c r="CL113"/>
  <c r="CL111"/>
  <c r="CT113"/>
  <c r="CT111"/>
  <c r="DC113"/>
  <c r="DC111"/>
  <c r="DK113"/>
  <c r="DK111"/>
  <c r="DS113"/>
  <c r="DS111"/>
  <c r="EA113"/>
  <c r="EA111"/>
  <c r="EI113"/>
  <c r="EI111"/>
  <c r="EJ111"/>
  <c r="EJ113"/>
  <c r="EF111"/>
  <c r="EF113"/>
  <c r="EB111"/>
  <c r="EB113"/>
  <c r="DX111"/>
  <c r="DX113"/>
  <c r="DT111"/>
  <c r="DT113"/>
  <c r="DP111"/>
  <c r="DP113"/>
  <c r="DL111"/>
  <c r="DL113"/>
  <c r="DH111"/>
  <c r="DH113"/>
  <c r="DD111"/>
  <c r="DD113"/>
  <c r="CY111"/>
  <c r="CY113"/>
  <c r="CU111"/>
  <c r="CU113"/>
  <c r="CQ111"/>
  <c r="CQ113"/>
  <c r="CM111"/>
  <c r="CM113"/>
  <c r="CI111"/>
  <c r="CI113"/>
  <c r="CE111"/>
  <c r="CE113"/>
  <c r="BW111"/>
  <c r="BW113"/>
  <c r="BX111"/>
  <c r="BX113"/>
  <c r="BS111"/>
  <c r="BS113"/>
  <c r="BO111"/>
  <c r="BO113"/>
  <c r="BJ111"/>
  <c r="BJ113"/>
  <c r="EQ111"/>
  <c r="EQ113"/>
  <c r="BZ113"/>
  <c r="BZ111"/>
  <c r="CJ113"/>
  <c r="CJ111"/>
  <c r="DA113"/>
  <c r="DA111"/>
  <c r="DQ113"/>
  <c r="DQ111"/>
  <c r="EG113"/>
  <c r="EG111"/>
  <c r="BK113"/>
  <c r="BK111"/>
  <c r="BT113"/>
  <c r="BT111"/>
  <c r="CN113"/>
  <c r="CN111"/>
  <c r="DE113"/>
  <c r="DE111"/>
  <c r="DU113"/>
  <c r="DU111"/>
  <c r="EK113"/>
  <c r="EK111"/>
  <c r="BM111"/>
  <c r="BU111"/>
  <c r="CS111"/>
  <c r="DJ111"/>
  <c r="DZ111"/>
  <c r="ET111"/>
  <c r="EU111"/>
  <c r="EM113"/>
  <c r="DU94"/>
  <c r="BK94"/>
  <c r="AT93"/>
  <c r="CN94"/>
  <c r="DM95"/>
  <c r="W93"/>
  <c r="DW94"/>
  <c r="DG94"/>
  <c r="CP94"/>
  <c r="CC94"/>
  <c r="BI94"/>
  <c r="ES94"/>
  <c r="DM94"/>
  <c r="CF98"/>
  <c r="AS94"/>
  <c r="W94"/>
  <c r="AT94"/>
  <c r="H93"/>
  <c r="AT95"/>
  <c r="EE94"/>
  <c r="DO94"/>
  <c r="CX94"/>
  <c r="CH98"/>
  <c r="BR94"/>
  <c r="AE94"/>
  <c r="BB94"/>
  <c r="AH94"/>
  <c r="V94"/>
  <c r="EQ94"/>
  <c r="EI94"/>
  <c r="EA94"/>
  <c r="DS94"/>
  <c r="DK94"/>
  <c r="DC94"/>
  <c r="CT94"/>
  <c r="CL94"/>
  <c r="CD94"/>
  <c r="BV94"/>
  <c r="I94"/>
  <c r="EG94"/>
  <c r="DY94"/>
  <c r="DQ94"/>
  <c r="DI94"/>
  <c r="DA94"/>
  <c r="CR94"/>
  <c r="CJ98"/>
  <c r="BY94"/>
  <c r="BZ94"/>
  <c r="BL94"/>
  <c r="BA94"/>
  <c r="AK94"/>
  <c r="U94"/>
  <c r="EV94"/>
  <c r="ER94"/>
  <c r="EJ94"/>
  <c r="EF94"/>
  <c r="EB94"/>
  <c r="DX94"/>
  <c r="DT94"/>
  <c r="DP94"/>
  <c r="DL94"/>
  <c r="DH94"/>
  <c r="DD94"/>
  <c r="CY94"/>
  <c r="CU94"/>
  <c r="CQ94"/>
  <c r="CM94"/>
  <c r="CI98"/>
  <c r="CE94"/>
  <c r="BX94"/>
  <c r="BS94"/>
  <c r="BO94"/>
  <c r="BJ94"/>
  <c r="BG94"/>
  <c r="AI94"/>
  <c r="P94"/>
  <c r="K94"/>
  <c r="AZ94"/>
  <c r="AV94"/>
  <c r="AR94"/>
  <c r="AJ94"/>
  <c r="Q94"/>
  <c r="R94"/>
  <c r="L94"/>
  <c r="G94"/>
  <c r="EH93"/>
  <c r="DR93"/>
  <c r="DB93"/>
  <c r="CK97"/>
  <c r="CA93"/>
  <c r="I93"/>
  <c r="EL93"/>
  <c r="DV93"/>
  <c r="DF93"/>
  <c r="CO93"/>
  <c r="CB93"/>
  <c r="BH93"/>
  <c r="AS93"/>
  <c r="M93"/>
  <c r="ER93"/>
  <c r="EJ93"/>
  <c r="EB93"/>
  <c r="DT93"/>
  <c r="DL93"/>
  <c r="DD93"/>
  <c r="CU93"/>
  <c r="CM93"/>
  <c r="CE93"/>
  <c r="BX93"/>
  <c r="BO93"/>
  <c r="BG93"/>
  <c r="AI93"/>
  <c r="P93"/>
  <c r="K93"/>
  <c r="ES93"/>
  <c r="EK93"/>
  <c r="EG93"/>
  <c r="EC93"/>
  <c r="DY93"/>
  <c r="DU93"/>
  <c r="DQ93"/>
  <c r="DM93"/>
  <c r="DI93"/>
  <c r="DE93"/>
  <c r="DA93"/>
  <c r="CV93"/>
  <c r="CR93"/>
  <c r="CN93"/>
  <c r="CJ97"/>
  <c r="CF97"/>
  <c r="BY93"/>
  <c r="BZ93"/>
  <c r="BP93"/>
  <c r="BL93"/>
  <c r="BK93"/>
  <c r="AZ93"/>
  <c r="AV93"/>
  <c r="AR93"/>
  <c r="AJ93"/>
  <c r="Q93"/>
  <c r="R93"/>
  <c r="L93"/>
  <c r="EK95"/>
  <c r="EQ95"/>
  <c r="EI95"/>
  <c r="EA95"/>
  <c r="DS95"/>
  <c r="DK95"/>
  <c r="DC95"/>
  <c r="CT95"/>
  <c r="CL95"/>
  <c r="CD95"/>
  <c r="BV95"/>
  <c r="BF95"/>
  <c r="AX95"/>
  <c r="AH95"/>
  <c r="O95"/>
  <c r="J95"/>
  <c r="EG95"/>
  <c r="DY95"/>
  <c r="DQ95"/>
  <c r="DI95"/>
  <c r="DA95"/>
  <c r="CR95"/>
  <c r="CJ95"/>
  <c r="BY95"/>
  <c r="BZ95"/>
  <c r="BL95"/>
  <c r="AV95"/>
  <c r="R95"/>
  <c r="EV95"/>
  <c r="ER95"/>
  <c r="EJ95"/>
  <c r="EF95"/>
  <c r="EB95"/>
  <c r="DX95"/>
  <c r="DT95"/>
  <c r="DP95"/>
  <c r="DL95"/>
  <c r="DH95"/>
  <c r="DD95"/>
  <c r="CY95"/>
  <c r="CU95"/>
  <c r="CQ95"/>
  <c r="CM95"/>
  <c r="CI95"/>
  <c r="CE95"/>
  <c r="BX95"/>
  <c r="BS95"/>
  <c r="BO95"/>
  <c r="BJ95"/>
  <c r="BG95"/>
  <c r="BC95"/>
  <c r="AI95"/>
  <c r="AE95"/>
  <c r="W95"/>
  <c r="P95"/>
  <c r="S95"/>
  <c r="K95"/>
  <c r="EU94"/>
  <c r="AW94"/>
  <c r="EK94"/>
  <c r="EC94"/>
  <c r="DE94"/>
  <c r="CV94"/>
  <c r="BP94"/>
  <c r="ET94"/>
  <c r="EL94"/>
  <c r="EH94"/>
  <c r="ED94"/>
  <c r="DZ94"/>
  <c r="DV94"/>
  <c r="DR94"/>
  <c r="DN94"/>
  <c r="DJ94"/>
  <c r="DF94"/>
  <c r="DB94"/>
  <c r="CW94"/>
  <c r="CS94"/>
  <c r="CO94"/>
  <c r="CK98"/>
  <c r="CG98"/>
  <c r="CB94"/>
  <c r="CA94"/>
  <c r="BQ94"/>
  <c r="BM94"/>
  <c r="BH94"/>
  <c r="BC94"/>
  <c r="S94"/>
  <c r="BF94"/>
  <c r="AX94"/>
  <c r="AD94"/>
  <c r="O94"/>
  <c r="J94"/>
  <c r="EV92"/>
  <c r="EU92"/>
  <c r="DZ93"/>
  <c r="DJ93"/>
  <c r="CS93"/>
  <c r="BM93"/>
  <c r="AW93"/>
  <c r="ET93"/>
  <c r="ED93"/>
  <c r="DN93"/>
  <c r="CW93"/>
  <c r="CG97"/>
  <c r="BQ93"/>
  <c r="BA93"/>
  <c r="AK93"/>
  <c r="U93"/>
  <c r="EV93"/>
  <c r="EF93"/>
  <c r="DX93"/>
  <c r="DP93"/>
  <c r="DH93"/>
  <c r="CY93"/>
  <c r="CQ93"/>
  <c r="CI97"/>
  <c r="BS93"/>
  <c r="BJ93"/>
  <c r="BC93"/>
  <c r="AE93"/>
  <c r="S93"/>
  <c r="EU93"/>
  <c r="EQ93"/>
  <c r="EI93"/>
  <c r="EE93"/>
  <c r="EA93"/>
  <c r="DW93"/>
  <c r="DS93"/>
  <c r="DO93"/>
  <c r="DK93"/>
  <c r="DG93"/>
  <c r="DC93"/>
  <c r="CX93"/>
  <c r="CT93"/>
  <c r="CP93"/>
  <c r="CL93"/>
  <c r="CH97"/>
  <c r="CD93"/>
  <c r="CC93"/>
  <c r="BV93"/>
  <c r="BR93"/>
  <c r="BI93"/>
  <c r="BT96" s="1"/>
  <c r="BF93"/>
  <c r="BB93"/>
  <c r="AX93"/>
  <c r="AH93"/>
  <c r="AD93"/>
  <c r="V93"/>
  <c r="O93"/>
  <c r="N93"/>
  <c r="ES95"/>
  <c r="EU95"/>
  <c r="EE95"/>
  <c r="DW95"/>
  <c r="DO95"/>
  <c r="DG95"/>
  <c r="CX95"/>
  <c r="CP95"/>
  <c r="CH95"/>
  <c r="CC95"/>
  <c r="BR95"/>
  <c r="BI95"/>
  <c r="BB95"/>
  <c r="AD95"/>
  <c r="V95"/>
  <c r="EC95"/>
  <c r="DU95"/>
  <c r="DE95"/>
  <c r="CV95"/>
  <c r="CN95"/>
  <c r="CF95"/>
  <c r="BP95"/>
  <c r="BK95"/>
  <c r="AZ95"/>
  <c r="AR95"/>
  <c r="AJ95"/>
  <c r="AB95"/>
  <c r="Q95"/>
  <c r="L95"/>
  <c r="ET95"/>
  <c r="EL95"/>
  <c r="EH95"/>
  <c r="ED95"/>
  <c r="DZ95"/>
  <c r="DV95"/>
  <c r="DR95"/>
  <c r="DN95"/>
  <c r="DJ95"/>
  <c r="DF95"/>
  <c r="DB95"/>
  <c r="CW95"/>
  <c r="CS95"/>
  <c r="CO95"/>
  <c r="CK95"/>
  <c r="CG95"/>
  <c r="CB95"/>
  <c r="CA95"/>
  <c r="BQ95"/>
  <c r="BM95"/>
  <c r="BH95"/>
  <c r="BA95"/>
  <c r="AW95"/>
  <c r="AS95"/>
  <c r="AK95"/>
  <c r="U95"/>
  <c r="I95"/>
  <c r="EN107"/>
  <c r="EN108" s="1"/>
  <c r="EM89"/>
  <c r="E37"/>
  <c r="E38"/>
  <c r="E36"/>
  <c r="C37"/>
  <c r="C38"/>
  <c r="C36"/>
  <c r="AP157" l="1"/>
  <c r="R157"/>
  <c r="T91"/>
  <c r="T92" s="1"/>
  <c r="T156"/>
  <c r="T93"/>
  <c r="T95"/>
  <c r="T94"/>
  <c r="Y157"/>
  <c r="J157"/>
  <c r="Z88"/>
  <c r="Z156" s="1"/>
  <c r="AP94"/>
  <c r="AP95"/>
  <c r="AP93"/>
  <c r="AY93"/>
  <c r="J93"/>
  <c r="AM93"/>
  <c r="AM95"/>
  <c r="AM94"/>
  <c r="Q46"/>
  <c r="EP46"/>
  <c r="BE89"/>
  <c r="BE156"/>
  <c r="EP47"/>
  <c r="Q47"/>
  <c r="BD89"/>
  <c r="BD156"/>
  <c r="AF88"/>
  <c r="X156"/>
  <c r="X89"/>
  <c r="X95" s="1"/>
  <c r="AL88"/>
  <c r="AG89"/>
  <c r="AG156"/>
  <c r="H92"/>
  <c r="N92"/>
  <c r="K92"/>
  <c r="G92"/>
  <c r="L92"/>
  <c r="J92"/>
  <c r="M92"/>
  <c r="I92"/>
  <c r="CO112"/>
  <c r="M112"/>
  <c r="N112"/>
  <c r="L112"/>
  <c r="EN112"/>
  <c r="BO112"/>
  <c r="DY112"/>
  <c r="BE91"/>
  <c r="BE92" s="1"/>
  <c r="AY95"/>
  <c r="EH112"/>
  <c r="ER112"/>
  <c r="BU112"/>
  <c r="BD91"/>
  <c r="BD92" s="1"/>
  <c r="AY94"/>
  <c r="EL112"/>
  <c r="DD112"/>
  <c r="DC112"/>
  <c r="CS112"/>
  <c r="ED112"/>
  <c r="ES112"/>
  <c r="CN112"/>
  <c r="CG112"/>
  <c r="DN112"/>
  <c r="EK112"/>
  <c r="CJ112"/>
  <c r="BW112"/>
  <c r="I112"/>
  <c r="EA112"/>
  <c r="CF112"/>
  <c r="BQ112"/>
  <c r="DX112"/>
  <c r="DQ112"/>
  <c r="BZ112"/>
  <c r="DH112"/>
  <c r="DM112"/>
  <c r="BL112"/>
  <c r="BU127"/>
  <c r="BU126"/>
  <c r="BU128"/>
  <c r="CP147"/>
  <c r="CJ99"/>
  <c r="CF99"/>
  <c r="CJ92"/>
  <c r="CI92"/>
  <c r="CH92"/>
  <c r="CK92"/>
  <c r="CG92"/>
  <c r="CF92"/>
  <c r="BW92"/>
  <c r="BU92"/>
  <c r="BT92"/>
  <c r="CB127"/>
  <c r="CB128"/>
  <c r="CB126"/>
  <c r="CC128"/>
  <c r="CC126"/>
  <c r="CC127"/>
  <c r="EB112"/>
  <c r="EG112"/>
  <c r="CT112"/>
  <c r="CY112"/>
  <c r="DB112"/>
  <c r="J112"/>
  <c r="DK112"/>
  <c r="BV112"/>
  <c r="BX112"/>
  <c r="EV112"/>
  <c r="DS112"/>
  <c r="CR112"/>
  <c r="BN112"/>
  <c r="CB112"/>
  <c r="DR112"/>
  <c r="DL112"/>
  <c r="EI112"/>
  <c r="DE112"/>
  <c r="BY112"/>
  <c r="P112"/>
  <c r="X112"/>
  <c r="AF112"/>
  <c r="AN112"/>
  <c r="AV112"/>
  <c r="BD112"/>
  <c r="R112"/>
  <c r="Z112"/>
  <c r="AP112"/>
  <c r="BF112"/>
  <c r="S112"/>
  <c r="AI112"/>
  <c r="AY112"/>
  <c r="T112"/>
  <c r="AJ112"/>
  <c r="AZ112"/>
  <c r="U112"/>
  <c r="AC112"/>
  <c r="AS112"/>
  <c r="V112"/>
  <c r="AL112"/>
  <c r="BB112"/>
  <c r="O112"/>
  <c r="AE112"/>
  <c r="AU112"/>
  <c r="Q112"/>
  <c r="Y112"/>
  <c r="AG112"/>
  <c r="AO112"/>
  <c r="AW112"/>
  <c r="BE112"/>
  <c r="AH112"/>
  <c r="AX112"/>
  <c r="AA112"/>
  <c r="AQ112"/>
  <c r="BG112"/>
  <c r="AB112"/>
  <c r="AR112"/>
  <c r="BH112"/>
  <c r="AK112"/>
  <c r="BA112"/>
  <c r="AD112"/>
  <c r="AT112"/>
  <c r="W112"/>
  <c r="AM112"/>
  <c r="BC112"/>
  <c r="EM112"/>
  <c r="DV112"/>
  <c r="EJ112"/>
  <c r="G112"/>
  <c r="EC112"/>
  <c r="DI112"/>
  <c r="CL112"/>
  <c r="BP112"/>
  <c r="CQ112"/>
  <c r="BS112"/>
  <c r="H112"/>
  <c r="DF112"/>
  <c r="DT112"/>
  <c r="EU112"/>
  <c r="DU112"/>
  <c r="DA112"/>
  <c r="CD112"/>
  <c r="BK112"/>
  <c r="CI112"/>
  <c r="BJ112"/>
  <c r="ET112"/>
  <c r="DJ112"/>
  <c r="EF112"/>
  <c r="CW112"/>
  <c r="EQ112"/>
  <c r="DW112"/>
  <c r="DG112"/>
  <c r="CP112"/>
  <c r="CC112"/>
  <c r="BI112"/>
  <c r="CU112"/>
  <c r="CE112"/>
  <c r="BM112"/>
  <c r="DZ112"/>
  <c r="K112"/>
  <c r="DP112"/>
  <c r="EE112"/>
  <c r="DO112"/>
  <c r="CX112"/>
  <c r="CH112"/>
  <c r="BR112"/>
  <c r="CM112"/>
  <c r="CA112"/>
  <c r="AA89"/>
  <c r="AA95" s="1"/>
  <c r="AO88"/>
  <c r="AO156" s="1"/>
  <c r="BN92"/>
  <c r="ET92"/>
  <c r="EU91"/>
  <c r="EN113"/>
  <c r="EN111"/>
  <c r="EM90"/>
  <c r="EM95"/>
  <c r="EM93"/>
  <c r="EM94"/>
  <c r="EO107"/>
  <c r="EO108" s="1"/>
  <c r="EN89"/>
  <c r="AQ88"/>
  <c r="AQ156" s="1"/>
  <c r="AC89"/>
  <c r="U47"/>
  <c r="U46"/>
  <c r="AN88" l="1"/>
  <c r="AN91" s="1"/>
  <c r="AN92" s="1"/>
  <c r="Z89"/>
  <c r="Z95" s="1"/>
  <c r="T165"/>
  <c r="T166" s="1"/>
  <c r="T157"/>
  <c r="AG11" i="294"/>
  <c r="AG14"/>
  <c r="AF11"/>
  <c r="AJ12"/>
  <c r="AR12"/>
  <c r="Q12"/>
  <c r="AR15"/>
  <c r="Q15"/>
  <c r="O15"/>
  <c r="AE15"/>
  <c r="AX15"/>
  <c r="AN15"/>
  <c r="AT15"/>
  <c r="T15"/>
  <c r="U15"/>
  <c r="AR16"/>
  <c r="Q16"/>
  <c r="O16"/>
  <c r="U16"/>
  <c r="AH14"/>
  <c r="AI14"/>
  <c r="AK14"/>
  <c r="AC14"/>
  <c r="AU14"/>
  <c r="AH17"/>
  <c r="AI17"/>
  <c r="AK17"/>
  <c r="AP17"/>
  <c r="AO17"/>
  <c r="W17"/>
  <c r="V17"/>
  <c r="Q17"/>
  <c r="X17"/>
  <c r="Y17"/>
  <c r="AA17"/>
  <c r="AD17"/>
  <c r="AB17"/>
  <c r="AE17"/>
  <c r="G17"/>
  <c r="J17"/>
  <c r="BA17"/>
  <c r="AS17"/>
  <c r="S17"/>
  <c r="AG12"/>
  <c r="AG17"/>
  <c r="AH11"/>
  <c r="AH12"/>
  <c r="AI12"/>
  <c r="AK12"/>
  <c r="AP12"/>
  <c r="AO12"/>
  <c r="W12"/>
  <c r="V12"/>
  <c r="U12"/>
  <c r="AP15"/>
  <c r="AO15"/>
  <c r="W15"/>
  <c r="V15"/>
  <c r="AU15"/>
  <c r="BA15"/>
  <c r="AS15"/>
  <c r="S15"/>
  <c r="AP16"/>
  <c r="AO16"/>
  <c r="W16"/>
  <c r="V16"/>
  <c r="AF14"/>
  <c r="AJ14"/>
  <c r="AD14"/>
  <c r="AF17"/>
  <c r="AJ17"/>
  <c r="AR17"/>
  <c r="Z17"/>
  <c r="AC17"/>
  <c r="H17"/>
  <c r="I17"/>
  <c r="AZ17"/>
  <c r="K17"/>
  <c r="L17"/>
  <c r="AU17"/>
  <c r="AN17"/>
  <c r="AT17"/>
  <c r="T17"/>
  <c r="U17"/>
  <c r="AQ165" i="318"/>
  <c r="AQ166" s="1"/>
  <c r="AQ157"/>
  <c r="AO165"/>
  <c r="AO166" s="1"/>
  <c r="AO157"/>
  <c r="AG165"/>
  <c r="AG166" s="1"/>
  <c r="AG157"/>
  <c r="AL89"/>
  <c r="AL156"/>
  <c r="AL91"/>
  <c r="AL92" s="1"/>
  <c r="X165"/>
  <c r="X166" s="1"/>
  <c r="X157"/>
  <c r="AN156"/>
  <c r="Z165"/>
  <c r="Z166" s="1"/>
  <c r="Z157"/>
  <c r="BD90"/>
  <c r="BD94"/>
  <c r="BD95"/>
  <c r="R47"/>
  <c r="EL47"/>
  <c r="BE90"/>
  <c r="BE94"/>
  <c r="BE93"/>
  <c r="BE95"/>
  <c r="R46"/>
  <c r="EL46"/>
  <c r="BD93"/>
  <c r="AG90"/>
  <c r="AG94"/>
  <c r="AG93"/>
  <c r="AG95"/>
  <c r="AF156"/>
  <c r="AF89"/>
  <c r="AF91"/>
  <c r="AF92" s="1"/>
  <c r="BD165"/>
  <c r="BD166" s="1"/>
  <c r="BD157"/>
  <c r="BE165"/>
  <c r="BE166" s="1"/>
  <c r="BE157"/>
  <c r="AE12" i="294"/>
  <c r="AX12"/>
  <c r="AN12"/>
  <c r="AT12"/>
  <c r="T12"/>
  <c r="BA16"/>
  <c r="AS16"/>
  <c r="S16"/>
  <c r="Y12"/>
  <c r="AU12"/>
  <c r="BA12"/>
  <c r="AS12"/>
  <c r="S12"/>
  <c r="AE16"/>
  <c r="AN16"/>
  <c r="AT16"/>
  <c r="T16"/>
  <c r="Y14"/>
  <c r="EV91" i="318"/>
  <c r="BY127"/>
  <c r="BY128"/>
  <c r="BY126"/>
  <c r="AO89"/>
  <c r="AO91"/>
  <c r="AO92" s="1"/>
  <c r="V47"/>
  <c r="V46"/>
  <c r="EP45"/>
  <c r="AQ89"/>
  <c r="AQ95" s="1"/>
  <c r="AQ91"/>
  <c r="AQ92" s="1"/>
  <c r="EO111"/>
  <c r="EO113"/>
  <c r="EO112"/>
  <c r="R45"/>
  <c r="AC95"/>
  <c r="EN90"/>
  <c r="EN93"/>
  <c r="EN95"/>
  <c r="EN94"/>
  <c r="U45"/>
  <c r="EO89"/>
  <c r="AN89" l="1"/>
  <c r="AN90" s="1"/>
  <c r="S45"/>
  <c r="T45"/>
  <c r="Z45" s="1"/>
  <c r="AF90"/>
  <c r="AF94"/>
  <c r="AF93"/>
  <c r="AF95"/>
  <c r="S46"/>
  <c r="Y46" s="1"/>
  <c r="T46"/>
  <c r="Z46" s="1"/>
  <c r="AA46" s="1"/>
  <c r="AB46" s="1"/>
  <c r="S47"/>
  <c r="Y47" s="1"/>
  <c r="T47"/>
  <c r="Z47" s="1"/>
  <c r="AN47" s="1"/>
  <c r="AL165"/>
  <c r="AL166" s="1"/>
  <c r="AL157"/>
  <c r="AF165"/>
  <c r="AF166" s="1"/>
  <c r="AF157"/>
  <c r="EO46"/>
  <c r="EM46"/>
  <c r="EN46"/>
  <c r="EN47"/>
  <c r="EO47"/>
  <c r="EM47"/>
  <c r="AN165"/>
  <c r="AN166" s="1"/>
  <c r="AN157"/>
  <c r="AL90"/>
  <c r="AL93"/>
  <c r="AL95"/>
  <c r="AL94"/>
  <c r="AO90"/>
  <c r="AO94"/>
  <c r="AO93"/>
  <c r="AO95"/>
  <c r="AQ90"/>
  <c r="X46"/>
  <c r="X47"/>
  <c r="X45"/>
  <c r="V45"/>
  <c r="AQ93"/>
  <c r="AQ94"/>
  <c r="EP89"/>
  <c r="EP95" s="1"/>
  <c r="EP107"/>
  <c r="EP108" s="1"/>
  <c r="EO90"/>
  <c r="EO95"/>
  <c r="EO93"/>
  <c r="EO94"/>
  <c r="AN95" l="1"/>
  <c r="AA47"/>
  <c r="AB47" s="1"/>
  <c r="AN94"/>
  <c r="AN93"/>
  <c r="AN46"/>
  <c r="ER47"/>
  <c r="EQ47"/>
  <c r="ER46"/>
  <c r="EQ46"/>
  <c r="AG46"/>
  <c r="AM47"/>
  <c r="EQ45"/>
  <c r="ER45"/>
  <c r="AF47"/>
  <c r="AA45"/>
  <c r="AB45" s="1"/>
  <c r="AF46"/>
  <c r="AG47"/>
  <c r="AF45"/>
  <c r="AN45"/>
  <c r="AL47"/>
  <c r="AL46"/>
  <c r="AM46"/>
  <c r="AL45"/>
  <c r="Y45"/>
  <c r="EP90"/>
  <c r="EP113"/>
  <c r="EP112"/>
  <c r="EP111"/>
  <c r="EP93"/>
  <c r="EP94"/>
  <c r="AC47"/>
  <c r="AO47"/>
  <c r="AO46"/>
  <c r="AC46"/>
  <c r="AG45" l="1"/>
  <c r="AP46"/>
  <c r="AH47"/>
  <c r="AC45"/>
  <c r="AO45"/>
  <c r="AP47"/>
  <c r="AH46"/>
  <c r="AM45"/>
  <c r="AI47"/>
  <c r="AQ47"/>
  <c r="AQ46"/>
  <c r="AI46"/>
  <c r="AH45" l="1"/>
  <c r="AI45"/>
  <c r="AQ45"/>
  <c r="AP45"/>
  <c r="DU16" i="295" l="1"/>
  <c r="DU17"/>
  <c r="C51" i="294"/>
  <c r="DR13" i="295"/>
  <c r="DE14"/>
  <c r="DE16"/>
  <c r="DE13"/>
  <c r="DL14"/>
  <c r="DL16"/>
  <c r="DL13"/>
  <c r="BS14"/>
  <c r="BS16"/>
  <c r="BS13"/>
  <c r="BH13"/>
  <c r="AN13"/>
  <c r="H14"/>
  <c r="F14"/>
  <c r="DY158" l="1"/>
  <c r="DE17"/>
  <c r="BS17"/>
  <c r="DL17"/>
  <c r="K14"/>
  <c r="AC13"/>
  <c r="BE13"/>
  <c r="BD13"/>
  <c r="BK13"/>
  <c r="DI17"/>
  <c r="BT13"/>
  <c r="BT16"/>
  <c r="BT14"/>
  <c r="DG16"/>
  <c r="DG14"/>
  <c r="DF13"/>
  <c r="DY270"/>
  <c r="DY269"/>
  <c r="DY268"/>
  <c r="DY267"/>
  <c r="AC266"/>
  <c r="AC270"/>
  <c r="DX270"/>
  <c r="U14"/>
  <c r="DR14"/>
  <c r="DF14"/>
  <c r="DI16"/>
  <c r="DG13"/>
  <c r="DI14"/>
  <c r="DF16"/>
  <c r="BI13"/>
  <c r="BH14"/>
  <c r="AG13"/>
  <c r="AN14"/>
  <c r="AR14"/>
  <c r="V13"/>
  <c r="T208"/>
  <c r="AN208"/>
  <c r="AN29" s="1"/>
  <c r="BD208"/>
  <c r="BD29" s="1"/>
  <c r="E209"/>
  <c r="BT17" l="1"/>
  <c r="DF17"/>
  <c r="DG17"/>
  <c r="DP266"/>
  <c r="BE14"/>
  <c r="BD14"/>
  <c r="DM14"/>
  <c r="BJ13"/>
  <c r="BK14"/>
  <c r="DJ14"/>
  <c r="DJ16"/>
  <c r="BX14"/>
  <c r="BX16"/>
  <c r="DJ17"/>
  <c r="BL13"/>
  <c r="DH14"/>
  <c r="DH16"/>
  <c r="AG14"/>
  <c r="DH13"/>
  <c r="AK270"/>
  <c r="DP270"/>
  <c r="BI14"/>
  <c r="AX14"/>
  <c r="DV212"/>
  <c r="BS208"/>
  <c r="BT208"/>
  <c r="DK208"/>
  <c r="U208"/>
  <c r="U29" s="1"/>
  <c r="BK208"/>
  <c r="BK29" s="1"/>
  <c r="BH29"/>
  <c r="AG208"/>
  <c r="AG29" s="1"/>
  <c r="E210"/>
  <c r="BE208"/>
  <c r="BE29" s="1"/>
  <c r="AC208"/>
  <c r="AC29" s="1"/>
  <c r="DM16" l="1"/>
  <c r="DH17"/>
  <c r="W14"/>
  <c r="AB14"/>
  <c r="DQ270"/>
  <c r="DQ266"/>
  <c r="S14"/>
  <c r="V14"/>
  <c r="BX212"/>
  <c r="BX17"/>
  <c r="J209"/>
  <c r="J14"/>
  <c r="BU14"/>
  <c r="AU14"/>
  <c r="DQ13"/>
  <c r="DP13"/>
  <c r="S209"/>
  <c r="AJ14"/>
  <c r="BM13"/>
  <c r="BL14"/>
  <c r="BJ14"/>
  <c r="DU212"/>
  <c r="DK212"/>
  <c r="H209"/>
  <c r="G209"/>
  <c r="DL208"/>
  <c r="BT212"/>
  <c r="T209"/>
  <c r="K209"/>
  <c r="F209"/>
  <c r="BS212"/>
  <c r="V208"/>
  <c r="V29" s="1"/>
  <c r="BL208"/>
  <c r="BL29" s="1"/>
  <c r="BI208"/>
  <c r="BI29" s="1"/>
  <c r="BD209"/>
  <c r="BK209"/>
  <c r="BH209"/>
  <c r="AN209"/>
  <c r="BE209"/>
  <c r="AX209"/>
  <c r="W208"/>
  <c r="W29" s="1"/>
  <c r="U209"/>
  <c r="BF14" l="1"/>
  <c r="DP14"/>
  <c r="BV14"/>
  <c r="DP210"/>
  <c r="DQ208"/>
  <c r="S210"/>
  <c r="J210"/>
  <c r="AM14"/>
  <c r="BM14"/>
  <c r="DU210"/>
  <c r="DP208"/>
  <c r="K210"/>
  <c r="F210"/>
  <c r="H210"/>
  <c r="G210"/>
  <c r="AR209"/>
  <c r="BS209"/>
  <c r="BT209"/>
  <c r="BX209"/>
  <c r="DL212"/>
  <c r="BK210"/>
  <c r="T210"/>
  <c r="DK209"/>
  <c r="BD210"/>
  <c r="BH210"/>
  <c r="BE210"/>
  <c r="BL209"/>
  <c r="U210"/>
  <c r="AJ209"/>
  <c r="AZ14"/>
  <c r="AY14"/>
  <c r="BB14"/>
  <c r="DR208"/>
  <c r="DQ14" l="1"/>
  <c r="BW14"/>
  <c r="AN210"/>
  <c r="DV210"/>
  <c r="DU211"/>
  <c r="AB209"/>
  <c r="AU209"/>
  <c r="AS210"/>
  <c r="AR210"/>
  <c r="AG209"/>
  <c r="BI209"/>
  <c r="DL209"/>
  <c r="BT210"/>
  <c r="BX210"/>
  <c r="AM209"/>
  <c r="V209"/>
  <c r="DK211"/>
  <c r="DK210"/>
  <c r="BS211"/>
  <c r="BS210"/>
  <c r="BM208"/>
  <c r="BM29" s="1"/>
  <c r="BJ208"/>
  <c r="BJ29" s="1"/>
  <c r="BF209"/>
  <c r="DP209"/>
  <c r="BV209"/>
  <c r="BU209"/>
  <c r="V210"/>
  <c r="W209"/>
  <c r="BL210"/>
  <c r="AJ210"/>
  <c r="DT179" l="1"/>
  <c r="DQ209"/>
  <c r="BW209"/>
  <c r="BA210"/>
  <c r="DV211"/>
  <c r="AG210"/>
  <c r="AB210"/>
  <c r="BV210"/>
  <c r="AU210"/>
  <c r="BI210"/>
  <c r="AX210"/>
  <c r="BX211"/>
  <c r="BT211"/>
  <c r="DL211"/>
  <c r="DL210"/>
  <c r="DQ210"/>
  <c r="BW210"/>
  <c r="BU210"/>
  <c r="W210"/>
  <c r="DR209"/>
  <c r="BM209"/>
  <c r="AM210"/>
  <c r="BF210" l="1"/>
  <c r="DT212"/>
  <c r="DT17"/>
  <c r="EA35"/>
  <c r="EA134" s="1"/>
  <c r="BJ209"/>
  <c r="DR210"/>
  <c r="BM210"/>
  <c r="DT208" l="1"/>
  <c r="DT13"/>
  <c r="EB35"/>
  <c r="EB134" s="1"/>
  <c r="BJ210"/>
  <c r="DT178" l="1"/>
  <c r="DT211"/>
  <c r="DT16"/>
  <c r="F21" i="199" l="1"/>
  <c r="F20"/>
  <c r="F17"/>
  <c r="F15"/>
  <c r="F11"/>
  <c r="F10"/>
  <c r="C21"/>
  <c r="D21" s="1"/>
  <c r="C20"/>
  <c r="D20" s="1"/>
  <c r="C17"/>
  <c r="D17" s="1"/>
  <c r="E8" i="315" s="1"/>
  <c r="E9" s="1"/>
  <c r="C15" i="199"/>
  <c r="D15" s="1"/>
  <c r="C11"/>
  <c r="D11" s="1"/>
  <c r="C10"/>
  <c r="D10" s="1"/>
  <c r="D56" i="193" l="1"/>
  <c r="C56"/>
  <c r="G44"/>
  <c r="J20"/>
  <c r="G43"/>
  <c r="G42"/>
  <c r="G41"/>
  <c r="G40"/>
  <c r="H16" i="138"/>
  <c r="G16"/>
  <c r="G19"/>
  <c r="I13" i="197"/>
  <c r="Q13"/>
  <c r="C13"/>
  <c r="F13" s="1"/>
  <c r="P11"/>
  <c r="P12"/>
  <c r="P8"/>
  <c r="P14"/>
  <c r="P13"/>
  <c r="G7" i="317"/>
  <c r="J22" i="351"/>
  <c r="K7" i="138"/>
  <c r="F10" i="197"/>
  <c r="F11"/>
  <c r="J10"/>
  <c r="I10"/>
  <c r="P10"/>
  <c r="N10"/>
  <c r="Q10"/>
  <c r="Q9"/>
  <c r="N12"/>
  <c r="P9"/>
  <c r="Q11"/>
  <c r="N8"/>
  <c r="Q8"/>
  <c r="Q14"/>
  <c r="Q12"/>
  <c r="N14"/>
  <c r="N11"/>
  <c r="N9"/>
  <c r="J13" i="351"/>
  <c r="G13" i="317"/>
  <c r="J13" s="1"/>
  <c r="J10" i="351"/>
  <c r="G10"/>
  <c r="J7"/>
  <c r="J16"/>
  <c r="J19"/>
  <c r="J25"/>
  <c r="H10" i="121"/>
  <c r="K34" i="297" s="1"/>
  <c r="L34" s="1"/>
  <c r="F32" s="1"/>
  <c r="C12" i="271" s="1"/>
  <c r="H7" i="358"/>
  <c r="H13" i="138"/>
  <c r="H19"/>
  <c r="I10" i="192"/>
  <c r="G10"/>
  <c r="H10"/>
  <c r="K10"/>
  <c r="J10"/>
  <c r="M33" i="245"/>
  <c r="I33"/>
  <c r="E33"/>
  <c r="K21" i="193"/>
  <c r="N21" s="1"/>
  <c r="L33" i="245"/>
  <c r="D33"/>
  <c r="O33"/>
  <c r="G33"/>
  <c r="F33"/>
  <c r="P33"/>
  <c r="H33"/>
  <c r="K33"/>
  <c r="C33"/>
  <c r="N33"/>
  <c r="J33"/>
  <c r="C14" i="197"/>
  <c r="F14" s="1"/>
  <c r="G10" i="317"/>
  <c r="G7" i="351"/>
  <c r="J7" i="317"/>
  <c r="N19" i="194"/>
  <c r="N16" i="245"/>
  <c r="K36"/>
  <c r="O16"/>
  <c r="P16"/>
  <c r="P37"/>
  <c r="L17"/>
  <c r="M37"/>
  <c r="K17"/>
  <c r="L19" i="194"/>
  <c r="L36" i="245"/>
  <c r="M16"/>
  <c r="M36"/>
  <c r="Q17"/>
  <c r="P17"/>
  <c r="N37"/>
  <c r="H19" i="194"/>
  <c r="Q16" i="245"/>
  <c r="K16"/>
  <c r="Q36"/>
  <c r="D59" i="193"/>
  <c r="O17" i="245"/>
  <c r="O37"/>
  <c r="K37"/>
  <c r="G19" i="194"/>
  <c r="G77" s="1"/>
  <c r="O36" i="245"/>
  <c r="N36"/>
  <c r="P36"/>
  <c r="L16"/>
  <c r="L37"/>
  <c r="Q37"/>
  <c r="N17"/>
  <c r="M17"/>
  <c r="G7" i="192"/>
  <c r="I7" i="350"/>
  <c r="H6" i="332"/>
  <c r="J7" i="192"/>
  <c r="H7" i="350"/>
  <c r="G6" i="332"/>
  <c r="K7" i="192"/>
  <c r="G7" i="350"/>
  <c r="J6" i="332"/>
  <c r="J7" i="350"/>
  <c r="I6" i="332"/>
  <c r="I7" i="192"/>
  <c r="I9" i="332"/>
  <c r="G9"/>
  <c r="J9"/>
  <c r="H9"/>
  <c r="H13" i="121"/>
  <c r="J7" i="249"/>
  <c r="I13" i="121"/>
  <c r="J13" s="1"/>
  <c r="K7" i="249"/>
  <c r="J10" i="121"/>
  <c r="M7" i="249"/>
  <c r="I7"/>
  <c r="I10" i="121"/>
  <c r="L7" i="249"/>
  <c r="H7"/>
  <c r="G7" i="121"/>
  <c r="G7" i="249"/>
  <c r="G13" i="138"/>
  <c r="K13"/>
  <c r="J13"/>
  <c r="K10" i="121"/>
  <c r="AT158" i="343" s="1"/>
  <c r="I12" i="197"/>
  <c r="J12"/>
  <c r="C10"/>
  <c r="C12"/>
  <c r="F12" s="1"/>
  <c r="BC158" i="343"/>
  <c r="CJ4"/>
  <c r="J12" i="191"/>
  <c r="DC4" i="343" s="1"/>
  <c r="G12" i="320"/>
  <c r="CV4" i="343" s="1"/>
  <c r="K12" i="191"/>
  <c r="DD4" i="343" s="1"/>
  <c r="M12" i="191"/>
  <c r="DF4" i="343" s="1"/>
  <c r="G12" i="191"/>
  <c r="CZ4" i="343" s="1"/>
  <c r="H12" i="191"/>
  <c r="DA4" i="343" s="1"/>
  <c r="L12" i="191"/>
  <c r="DE4" i="343" s="1"/>
  <c r="N12" i="191"/>
  <c r="DG4" i="343" s="1"/>
  <c r="H7" i="192"/>
  <c r="DT4" i="343"/>
  <c r="D8" i="315"/>
  <c r="D9" s="1"/>
  <c r="AO158" i="343"/>
  <c r="AN158"/>
  <c r="AR158"/>
  <c r="AQ158"/>
  <c r="AP158"/>
  <c r="AS158"/>
  <c r="D83" i="344"/>
  <c r="D82" i="338"/>
  <c r="L209" i="295"/>
  <c r="G13" i="197" l="1"/>
  <c r="H13"/>
  <c r="G12"/>
  <c r="H12"/>
  <c r="D13"/>
  <c r="E13"/>
  <c r="J13"/>
  <c r="L13" s="1"/>
  <c r="K13"/>
  <c r="H14"/>
  <c r="G14"/>
  <c r="H11"/>
  <c r="G11"/>
  <c r="G10"/>
  <c r="H10"/>
  <c r="B33" i="297"/>
  <c r="C33" s="1"/>
  <c r="K33"/>
  <c r="L33" s="1"/>
  <c r="D10" i="197"/>
  <c r="D12"/>
  <c r="AI158" i="343"/>
  <c r="AI166" s="1"/>
  <c r="J10" i="317"/>
  <c r="E99" i="340"/>
  <c r="G99" s="1"/>
  <c r="I99" s="1"/>
  <c r="G9" i="347"/>
  <c r="G41" s="1"/>
  <c r="G9" i="348"/>
  <c r="G41" s="1"/>
  <c r="D14" i="197"/>
  <c r="E14"/>
  <c r="M7" i="317"/>
  <c r="K20" i="193"/>
  <c r="N20"/>
  <c r="H77" i="194"/>
  <c r="E12" i="197"/>
  <c r="AJ158" i="343"/>
  <c r="AJ160" s="1"/>
  <c r="BA158"/>
  <c r="BA165" s="1"/>
  <c r="E55" i="337"/>
  <c r="DN4" i="343"/>
  <c r="DN25" s="1"/>
  <c r="DS4"/>
  <c r="DS5" s="1"/>
  <c r="E65" i="340"/>
  <c r="E66" s="1"/>
  <c r="E63"/>
  <c r="D63" s="1"/>
  <c r="M10" i="317"/>
  <c r="D69" i="345"/>
  <c r="F69" s="1"/>
  <c r="D49" i="338"/>
  <c r="C49" s="1"/>
  <c r="AK158" i="343"/>
  <c r="AK165" s="1"/>
  <c r="E66" i="337"/>
  <c r="L10" i="347"/>
  <c r="L42" s="1"/>
  <c r="L10" i="348"/>
  <c r="L9" i="347"/>
  <c r="L41" s="1"/>
  <c r="L9" i="348"/>
  <c r="F83" i="344"/>
  <c r="C83"/>
  <c r="F82" i="338"/>
  <c r="C82"/>
  <c r="DO4" i="343"/>
  <c r="DO6" s="1"/>
  <c r="E62" i="340"/>
  <c r="DB4" i="343"/>
  <c r="DB7" s="1"/>
  <c r="E53" i="340"/>
  <c r="CF4" i="343"/>
  <c r="CF10" s="1"/>
  <c r="E51" i="340"/>
  <c r="CG4" i="343"/>
  <c r="CG25" s="1"/>
  <c r="E47" i="340"/>
  <c r="DI4" i="343"/>
  <c r="DI10" s="1"/>
  <c r="E57" i="340"/>
  <c r="DJ4" i="343"/>
  <c r="DJ5" s="1"/>
  <c r="E58" i="340"/>
  <c r="DL4" i="343"/>
  <c r="DL7" s="1"/>
  <c r="E60" i="340"/>
  <c r="DM4" i="343"/>
  <c r="DM5" s="1"/>
  <c r="E61" i="340"/>
  <c r="CE4" i="343"/>
  <c r="CE6" s="1"/>
  <c r="E49" i="340"/>
  <c r="CH4" i="343"/>
  <c r="CH25" s="1"/>
  <c r="E50" i="340"/>
  <c r="CI4" i="343"/>
  <c r="CI6" s="1"/>
  <c r="E48" i="340"/>
  <c r="DK4" i="343"/>
  <c r="DK50" s="1"/>
  <c r="E59" i="340"/>
  <c r="DH4" i="343"/>
  <c r="DH7" s="1"/>
  <c r="E56" i="340"/>
  <c r="AO161" i="343"/>
  <c r="AO165"/>
  <c r="AO163"/>
  <c r="AO168"/>
  <c r="AO164"/>
  <c r="AO166"/>
  <c r="AO167"/>
  <c r="AO169"/>
  <c r="AO160"/>
  <c r="AO159"/>
  <c r="AO162"/>
  <c r="FD146"/>
  <c r="FB146"/>
  <c r="FC146"/>
  <c r="AI162"/>
  <c r="DT25"/>
  <c r="DT6"/>
  <c r="DT7"/>
  <c r="DT8"/>
  <c r="DT74"/>
  <c r="DT9"/>
  <c r="DT5"/>
  <c r="DT50"/>
  <c r="DT10"/>
  <c r="DD50"/>
  <c r="DD7"/>
  <c r="DD5"/>
  <c r="DD10"/>
  <c r="DD74"/>
  <c r="DD8"/>
  <c r="DD9"/>
  <c r="DD25"/>
  <c r="DD6"/>
  <c r="AM158"/>
  <c r="AL158"/>
  <c r="DC25"/>
  <c r="DC8"/>
  <c r="DC6"/>
  <c r="DC5"/>
  <c r="DC10"/>
  <c r="DC74"/>
  <c r="DC7"/>
  <c r="DC9"/>
  <c r="DC50"/>
  <c r="AP165"/>
  <c r="AP161"/>
  <c r="AP162"/>
  <c r="AP159"/>
  <c r="AP160"/>
  <c r="AP163"/>
  <c r="AP168"/>
  <c r="AP164"/>
  <c r="AP166"/>
  <c r="AP167"/>
  <c r="AP169"/>
  <c r="EA4"/>
  <c r="EB4"/>
  <c r="DY4"/>
  <c r="DZ4"/>
  <c r="EU144"/>
  <c r="EW144"/>
  <c r="EX144"/>
  <c r="EY144"/>
  <c r="EV144"/>
  <c r="ET144"/>
  <c r="AQ161"/>
  <c r="AQ163"/>
  <c r="AQ167"/>
  <c r="AQ169"/>
  <c r="AQ168"/>
  <c r="AQ164"/>
  <c r="AQ165"/>
  <c r="AQ166"/>
  <c r="AQ159"/>
  <c r="AQ160"/>
  <c r="AQ162"/>
  <c r="CV6"/>
  <c r="CV10"/>
  <c r="CV25"/>
  <c r="CV8"/>
  <c r="CV9"/>
  <c r="CV50"/>
  <c r="CV74"/>
  <c r="CV7"/>
  <c r="CV5"/>
  <c r="CQ74"/>
  <c r="DF5"/>
  <c r="DF7"/>
  <c r="DF10"/>
  <c r="DF6"/>
  <c r="DF9"/>
  <c r="DF25"/>
  <c r="DF8"/>
  <c r="DF50"/>
  <c r="DF74"/>
  <c r="FB147"/>
  <c r="FC147"/>
  <c r="FD147"/>
  <c r="AT166"/>
  <c r="AT163"/>
  <c r="AT162"/>
  <c r="AT161"/>
  <c r="AT159"/>
  <c r="AT160"/>
  <c r="AT165"/>
  <c r="AT167"/>
  <c r="AT169"/>
  <c r="AT164"/>
  <c r="AT168"/>
  <c r="DG50"/>
  <c r="DG25"/>
  <c r="DG8"/>
  <c r="DG6"/>
  <c r="DG9"/>
  <c r="DG7"/>
  <c r="DG5"/>
  <c r="DG10"/>
  <c r="DG74"/>
  <c r="FD170"/>
  <c r="FC170"/>
  <c r="FB170"/>
  <c r="AR163"/>
  <c r="AR161"/>
  <c r="AR162"/>
  <c r="AR159"/>
  <c r="AR160"/>
  <c r="AR164"/>
  <c r="AR166"/>
  <c r="AR167"/>
  <c r="AR169"/>
  <c r="AR168"/>
  <c r="AR165"/>
  <c r="DV4"/>
  <c r="DW4"/>
  <c r="DX4"/>
  <c r="DU4"/>
  <c r="DE25"/>
  <c r="DE5"/>
  <c r="DE10"/>
  <c r="DE9"/>
  <c r="DE8"/>
  <c r="DE7"/>
  <c r="DE6"/>
  <c r="DE50"/>
  <c r="DE74"/>
  <c r="CT74"/>
  <c r="AS163"/>
  <c r="AS161"/>
  <c r="AS164"/>
  <c r="AS165"/>
  <c r="AS166"/>
  <c r="AS167"/>
  <c r="AS169"/>
  <c r="AS168"/>
  <c r="AS159"/>
  <c r="AS160"/>
  <c r="AS162"/>
  <c r="AN164"/>
  <c r="AN162"/>
  <c r="AN159"/>
  <c r="AN160"/>
  <c r="AN163"/>
  <c r="AN161"/>
  <c r="AN168"/>
  <c r="AN166"/>
  <c r="AN167"/>
  <c r="AN169"/>
  <c r="AN165"/>
  <c r="ED4"/>
  <c r="EE4"/>
  <c r="EF4"/>
  <c r="EC4"/>
  <c r="DA74"/>
  <c r="DA25"/>
  <c r="DA7"/>
  <c r="DA8"/>
  <c r="DA10"/>
  <c r="DA5"/>
  <c r="DA9"/>
  <c r="DA50"/>
  <c r="DA6"/>
  <c r="CR74"/>
  <c r="EU147"/>
  <c r="EV147"/>
  <c r="EW147"/>
  <c r="EX147"/>
  <c r="EY147"/>
  <c r="ET147"/>
  <c r="CZ74"/>
  <c r="CZ9"/>
  <c r="CZ5"/>
  <c r="CZ8"/>
  <c r="CZ7"/>
  <c r="CZ10"/>
  <c r="CZ50"/>
  <c r="CZ25"/>
  <c r="CZ6"/>
  <c r="BC159"/>
  <c r="BC163"/>
  <c r="BC167"/>
  <c r="BC169"/>
  <c r="BC164"/>
  <c r="BC165"/>
  <c r="BC168"/>
  <c r="BC166"/>
  <c r="BC160"/>
  <c r="BC162"/>
  <c r="BC161"/>
  <c r="CB4"/>
  <c r="CA4"/>
  <c r="BZ4"/>
  <c r="BX4"/>
  <c r="BY4"/>
  <c r="BQ4"/>
  <c r="BV4"/>
  <c r="BW4"/>
  <c r="CC4"/>
  <c r="CD4"/>
  <c r="CJ25"/>
  <c r="CJ10"/>
  <c r="CJ9"/>
  <c r="CJ74"/>
  <c r="CJ5"/>
  <c r="CJ6"/>
  <c r="CJ7"/>
  <c r="CJ8"/>
  <c r="CJ50"/>
  <c r="E108" i="337"/>
  <c r="E67"/>
  <c r="M12" i="320"/>
  <c r="CY4" i="343" s="1"/>
  <c r="I12" i="320"/>
  <c r="CW4" i="343" s="1"/>
  <c r="K12" i="320"/>
  <c r="CX4" i="343" s="1"/>
  <c r="L210" i="295"/>
  <c r="AK161" i="343" l="1"/>
  <c r="CH8"/>
  <c r="AK159"/>
  <c r="DJ50"/>
  <c r="AK164"/>
  <c r="DJ10"/>
  <c r="DJ11" s="1"/>
  <c r="AK167"/>
  <c r="DJ25"/>
  <c r="AK168"/>
  <c r="DJ74"/>
  <c r="DJ75" s="1"/>
  <c r="DJ8"/>
  <c r="DJ7"/>
  <c r="DJ6"/>
  <c r="DJ9"/>
  <c r="AI161"/>
  <c r="AI165"/>
  <c r="G20" i="347"/>
  <c r="G52" s="1"/>
  <c r="G19"/>
  <c r="L19" s="1"/>
  <c r="L51" s="1"/>
  <c r="G10"/>
  <c r="G42" s="1"/>
  <c r="G17"/>
  <c r="G49" s="1"/>
  <c r="G16"/>
  <c r="L16" s="1"/>
  <c r="L48" s="1"/>
  <c r="G11"/>
  <c r="G43" s="1"/>
  <c r="AK160" i="343"/>
  <c r="AK166"/>
  <c r="AK163"/>
  <c r="AI159"/>
  <c r="AI168"/>
  <c r="AI167"/>
  <c r="AI163"/>
  <c r="AI160"/>
  <c r="AI169"/>
  <c r="AK162"/>
  <c r="AK169"/>
  <c r="AI164"/>
  <c r="Q99" i="340"/>
  <c r="U99"/>
  <c r="G10" i="348"/>
  <c r="G42" s="1"/>
  <c r="G19"/>
  <c r="L19" s="1"/>
  <c r="G12"/>
  <c r="G44" s="1"/>
  <c r="F99" i="340"/>
  <c r="W99"/>
  <c r="D99"/>
  <c r="G15" i="348"/>
  <c r="L15" s="1"/>
  <c r="DI5" i="343"/>
  <c r="G18" i="347"/>
  <c r="G50" s="1"/>
  <c r="G13"/>
  <c r="G45" s="1"/>
  <c r="G12"/>
  <c r="G44" s="1"/>
  <c r="G13" i="348"/>
  <c r="G45" s="1"/>
  <c r="G18"/>
  <c r="G50" s="1"/>
  <c r="G20"/>
  <c r="L20" s="1"/>
  <c r="G14"/>
  <c r="G46" s="1"/>
  <c r="G16"/>
  <c r="G48" s="1"/>
  <c r="G15" i="347"/>
  <c r="G47" s="1"/>
  <c r="G14"/>
  <c r="G46" s="1"/>
  <c r="G17" i="348"/>
  <c r="G49" s="1"/>
  <c r="G11"/>
  <c r="G43" s="1"/>
  <c r="AJ161" i="343"/>
  <c r="AJ164"/>
  <c r="AJ167"/>
  <c r="AJ165"/>
  <c r="AJ163"/>
  <c r="AJ169"/>
  <c r="AJ166"/>
  <c r="AJ159"/>
  <c r="AJ168"/>
  <c r="AJ162"/>
  <c r="DS10"/>
  <c r="DS16" s="1"/>
  <c r="DS74"/>
  <c r="DS76" s="1"/>
  <c r="D65" i="340"/>
  <c r="DL74" i="343"/>
  <c r="DL75" s="1"/>
  <c r="DH5"/>
  <c r="DL5"/>
  <c r="DH10"/>
  <c r="DH21" s="1"/>
  <c r="DS25"/>
  <c r="DS30" s="1"/>
  <c r="DS7"/>
  <c r="BA164"/>
  <c r="DN9"/>
  <c r="BA169"/>
  <c r="BA160"/>
  <c r="DN74"/>
  <c r="DN76" s="1"/>
  <c r="BA166"/>
  <c r="BA163"/>
  <c r="BA161"/>
  <c r="DL10"/>
  <c r="DL21" s="1"/>
  <c r="DH74"/>
  <c r="DH75" s="1"/>
  <c r="DN7"/>
  <c r="DN10"/>
  <c r="DN15" s="1"/>
  <c r="DM6"/>
  <c r="BA167"/>
  <c r="BA168"/>
  <c r="BA159"/>
  <c r="BA162"/>
  <c r="G63" i="340"/>
  <c r="F63" s="1"/>
  <c r="BB158" i="343"/>
  <c r="DS8"/>
  <c r="DS50"/>
  <c r="DS72" s="1"/>
  <c r="DS6"/>
  <c r="DS9"/>
  <c r="DB50"/>
  <c r="DB52" s="1"/>
  <c r="CG7"/>
  <c r="DN8"/>
  <c r="DN50"/>
  <c r="DN66" s="1"/>
  <c r="DN6"/>
  <c r="DN5"/>
  <c r="DB25"/>
  <c r="DB32" s="1"/>
  <c r="G65" i="340"/>
  <c r="I65" s="1"/>
  <c r="E64"/>
  <c r="D64" s="1"/>
  <c r="DB10" i="343"/>
  <c r="DB14" s="1"/>
  <c r="DB5"/>
  <c r="M13" i="317"/>
  <c r="DB74" i="343"/>
  <c r="DB75" s="1"/>
  <c r="DB9"/>
  <c r="DB8"/>
  <c r="DB6"/>
  <c r="C69" i="345"/>
  <c r="DH6" i="343"/>
  <c r="DH8"/>
  <c r="DK9"/>
  <c r="CF7"/>
  <c r="CG50"/>
  <c r="CG51" s="1"/>
  <c r="CF50"/>
  <c r="CF66" s="1"/>
  <c r="CF25"/>
  <c r="CF32" s="1"/>
  <c r="DL50"/>
  <c r="DL71" s="1"/>
  <c r="DL8"/>
  <c r="CI9"/>
  <c r="CE74"/>
  <c r="CE77" s="1"/>
  <c r="CI74"/>
  <c r="CI75" s="1"/>
  <c r="CI5"/>
  <c r="CH74"/>
  <c r="CH79" s="1"/>
  <c r="CE50"/>
  <c r="CE56" s="1"/>
  <c r="CI10"/>
  <c r="CI19" s="1"/>
  <c r="CI7"/>
  <c r="CH50"/>
  <c r="CH62" s="1"/>
  <c r="CH6"/>
  <c r="CE7"/>
  <c r="CE8"/>
  <c r="CE5"/>
  <c r="D67" i="337"/>
  <c r="D33" s="1"/>
  <c r="E33"/>
  <c r="E32"/>
  <c r="D66"/>
  <c r="D32" s="1"/>
  <c r="D55"/>
  <c r="D21" s="1"/>
  <c r="E21"/>
  <c r="L41" i="348"/>
  <c r="L42"/>
  <c r="DI8" i="343"/>
  <c r="DI25"/>
  <c r="DI37" s="1"/>
  <c r="DI74"/>
  <c r="DI76" s="1"/>
  <c r="DI50"/>
  <c r="DI66" s="1"/>
  <c r="DI6"/>
  <c r="DO8"/>
  <c r="DI7"/>
  <c r="DO7"/>
  <c r="DI9"/>
  <c r="DO10"/>
  <c r="DO21" s="1"/>
  <c r="DO50"/>
  <c r="DO55" s="1"/>
  <c r="CG9"/>
  <c r="CG5"/>
  <c r="CF9"/>
  <c r="CF5"/>
  <c r="CG10"/>
  <c r="CG15" s="1"/>
  <c r="CG74"/>
  <c r="CG78" s="1"/>
  <c r="CG8"/>
  <c r="CG6"/>
  <c r="CF74"/>
  <c r="CF76" s="1"/>
  <c r="CF8"/>
  <c r="CF6"/>
  <c r="CI25"/>
  <c r="CI27" s="1"/>
  <c r="CI50"/>
  <c r="CI52" s="1"/>
  <c r="CI8"/>
  <c r="CH10"/>
  <c r="CH20" s="1"/>
  <c r="CH9"/>
  <c r="CH7"/>
  <c r="CH5"/>
  <c r="CE9"/>
  <c r="CE25"/>
  <c r="CE27" s="1"/>
  <c r="CE10"/>
  <c r="CE18" s="1"/>
  <c r="DL25"/>
  <c r="DL43" s="1"/>
  <c r="DL6"/>
  <c r="DL9"/>
  <c r="DH25"/>
  <c r="DH32" s="1"/>
  <c r="DH50"/>
  <c r="DH63" s="1"/>
  <c r="DH9"/>
  <c r="DK7"/>
  <c r="DM10"/>
  <c r="DM18" s="1"/>
  <c r="DM8"/>
  <c r="DM9"/>
  <c r="DM25"/>
  <c r="DM37" s="1"/>
  <c r="DO25"/>
  <c r="DO31" s="1"/>
  <c r="DO9"/>
  <c r="DO5"/>
  <c r="DO74"/>
  <c r="DO75" s="1"/>
  <c r="DK10"/>
  <c r="DK24" s="1"/>
  <c r="DK8"/>
  <c r="Q82" i="338"/>
  <c r="A84" i="345"/>
  <c r="E82" i="338"/>
  <c r="H82"/>
  <c r="A87" i="337"/>
  <c r="H83" i="344"/>
  <c r="A82" i="338"/>
  <c r="E83" i="344"/>
  <c r="L83"/>
  <c r="DK74" i="343"/>
  <c r="DK76" s="1"/>
  <c r="DK25"/>
  <c r="DK31" s="1"/>
  <c r="DK5"/>
  <c r="DK6"/>
  <c r="DM7"/>
  <c r="DM74"/>
  <c r="DM75" s="1"/>
  <c r="DM50"/>
  <c r="DM73" s="1"/>
  <c r="G58" i="340"/>
  <c r="D58"/>
  <c r="G57"/>
  <c r="D57"/>
  <c r="D47"/>
  <c r="G47"/>
  <c r="G51"/>
  <c r="D51"/>
  <c r="G53"/>
  <c r="D53"/>
  <c r="D62"/>
  <c r="G62"/>
  <c r="T69" i="345"/>
  <c r="P69"/>
  <c r="E69"/>
  <c r="G56" i="340"/>
  <c r="D56"/>
  <c r="D59"/>
  <c r="G59"/>
  <c r="G48"/>
  <c r="D48"/>
  <c r="G50"/>
  <c r="D50"/>
  <c r="G49"/>
  <c r="D49"/>
  <c r="G61"/>
  <c r="D61"/>
  <c r="G60"/>
  <c r="D60"/>
  <c r="D66"/>
  <c r="G66"/>
  <c r="D108" i="337"/>
  <c r="G108"/>
  <c r="E15" i="339"/>
  <c r="E24" s="1"/>
  <c r="EU148" i="343"/>
  <c r="EU153"/>
  <c r="EU150"/>
  <c r="EU151"/>
  <c r="EU156"/>
  <c r="EU154"/>
  <c r="EU155"/>
  <c r="EU157"/>
  <c r="EU152"/>
  <c r="EU149"/>
  <c r="EV145"/>
  <c r="EV146"/>
  <c r="DC75"/>
  <c r="DC76"/>
  <c r="DC77"/>
  <c r="DC78"/>
  <c r="DC79"/>
  <c r="EY146"/>
  <c r="EY145"/>
  <c r="DJ76"/>
  <c r="DJ77"/>
  <c r="DE75"/>
  <c r="DE76"/>
  <c r="DE77"/>
  <c r="DE78"/>
  <c r="DE79"/>
  <c r="ET145"/>
  <c r="ET146"/>
  <c r="ET156"/>
  <c r="ET149"/>
  <c r="ET155"/>
  <c r="ET148"/>
  <c r="ET153"/>
  <c r="ET152"/>
  <c r="ET157"/>
  <c r="ET151"/>
  <c r="ET154"/>
  <c r="ET150"/>
  <c r="FC151"/>
  <c r="FC150"/>
  <c r="FC148"/>
  <c r="EY152"/>
  <c r="EY149"/>
  <c r="EY154"/>
  <c r="EY155"/>
  <c r="EY150"/>
  <c r="EY156"/>
  <c r="EY151"/>
  <c r="EY148"/>
  <c r="EY153"/>
  <c r="EY157"/>
  <c r="FB151"/>
  <c r="FB148"/>
  <c r="FB150"/>
  <c r="EX145"/>
  <c r="EX146"/>
  <c r="EX149"/>
  <c r="EX154"/>
  <c r="EX151"/>
  <c r="EX152"/>
  <c r="EX153"/>
  <c r="EX148"/>
  <c r="EX157"/>
  <c r="EX150"/>
  <c r="EX156"/>
  <c r="EX155"/>
  <c r="DG75"/>
  <c r="DG76"/>
  <c r="DG77"/>
  <c r="DG78"/>
  <c r="DG79"/>
  <c r="DF75"/>
  <c r="DF79"/>
  <c r="DF78"/>
  <c r="DF76"/>
  <c r="DF77"/>
  <c r="EW146"/>
  <c r="EW145"/>
  <c r="DD75"/>
  <c r="DD76"/>
  <c r="DD77"/>
  <c r="DD78"/>
  <c r="DD79"/>
  <c r="EW154"/>
  <c r="EW151"/>
  <c r="EW148"/>
  <c r="EW156"/>
  <c r="EW149"/>
  <c r="EW157"/>
  <c r="EW153"/>
  <c r="EW150"/>
  <c r="EW155"/>
  <c r="EW152"/>
  <c r="DA75"/>
  <c r="DA76"/>
  <c r="DA77"/>
  <c r="DA78"/>
  <c r="DA79"/>
  <c r="EU146"/>
  <c r="EU145"/>
  <c r="FD150"/>
  <c r="FD151"/>
  <c r="FD148"/>
  <c r="EV151"/>
  <c r="EV148"/>
  <c r="EV153"/>
  <c r="EV154"/>
  <c r="EV150"/>
  <c r="EV156"/>
  <c r="EV155"/>
  <c r="EV157"/>
  <c r="EV152"/>
  <c r="EV149"/>
  <c r="DC21"/>
  <c r="DC19"/>
  <c r="DC15"/>
  <c r="DC22"/>
  <c r="DC12"/>
  <c r="DC13"/>
  <c r="DC17"/>
  <c r="DC18"/>
  <c r="DC14"/>
  <c r="DC16"/>
  <c r="DC24"/>
  <c r="DC11"/>
  <c r="DC23"/>
  <c r="DC20"/>
  <c r="DJ56"/>
  <c r="DJ73"/>
  <c r="DJ70"/>
  <c r="DJ65"/>
  <c r="DJ72"/>
  <c r="DJ68"/>
  <c r="DJ69"/>
  <c r="DJ67"/>
  <c r="DJ52"/>
  <c r="DJ58"/>
  <c r="DJ71"/>
  <c r="DJ55"/>
  <c r="DJ66"/>
  <c r="DJ61"/>
  <c r="DJ62"/>
  <c r="DJ53"/>
  <c r="DJ51"/>
  <c r="DJ54"/>
  <c r="DJ59"/>
  <c r="DJ57"/>
  <c r="DJ63"/>
  <c r="DJ64"/>
  <c r="DJ60"/>
  <c r="CQ79"/>
  <c r="CQ78"/>
  <c r="CQ76"/>
  <c r="CQ77"/>
  <c r="CQ75"/>
  <c r="DY25"/>
  <c r="DY50"/>
  <c r="DY10"/>
  <c r="DY5"/>
  <c r="DY9"/>
  <c r="DY6"/>
  <c r="DY8"/>
  <c r="DY7"/>
  <c r="DY74"/>
  <c r="DJ15"/>
  <c r="DJ13"/>
  <c r="DJ17"/>
  <c r="DJ24"/>
  <c r="DJ20"/>
  <c r="DJ19"/>
  <c r="DJ14"/>
  <c r="DA64"/>
  <c r="DA55"/>
  <c r="DA66"/>
  <c r="DA61"/>
  <c r="DA62"/>
  <c r="DA57"/>
  <c r="DA51"/>
  <c r="DA58"/>
  <c r="DA53"/>
  <c r="DA60"/>
  <c r="DA54"/>
  <c r="DA52"/>
  <c r="DA56"/>
  <c r="DA59"/>
  <c r="DA65"/>
  <c r="DA63"/>
  <c r="EC25"/>
  <c r="EC10"/>
  <c r="EC5"/>
  <c r="EC9"/>
  <c r="EC8"/>
  <c r="EC7"/>
  <c r="EC6"/>
  <c r="EC74"/>
  <c r="EC50"/>
  <c r="DE18"/>
  <c r="DE24"/>
  <c r="DE23"/>
  <c r="DE15"/>
  <c r="DE16"/>
  <c r="DE22"/>
  <c r="DE19"/>
  <c r="DE17"/>
  <c r="DE12"/>
  <c r="DE20"/>
  <c r="DE13"/>
  <c r="DE21"/>
  <c r="DE14"/>
  <c r="DE11"/>
  <c r="DI18"/>
  <c r="DI24"/>
  <c r="DI22"/>
  <c r="DI19"/>
  <c r="DI20"/>
  <c r="DI21"/>
  <c r="DI13"/>
  <c r="DI14"/>
  <c r="DI23"/>
  <c r="DI15"/>
  <c r="DI16"/>
  <c r="DI17"/>
  <c r="DI11"/>
  <c r="DI12"/>
  <c r="DF66"/>
  <c r="DF60"/>
  <c r="DF57"/>
  <c r="DF65"/>
  <c r="DF56"/>
  <c r="DF61"/>
  <c r="DF64"/>
  <c r="DF63"/>
  <c r="DF58"/>
  <c r="DF53"/>
  <c r="DF62"/>
  <c r="DF59"/>
  <c r="DF51"/>
  <c r="DF52"/>
  <c r="DF54"/>
  <c r="DF55"/>
  <c r="EB10"/>
  <c r="EB7"/>
  <c r="EB9"/>
  <c r="EB6"/>
  <c r="EB74"/>
  <c r="EB50"/>
  <c r="EB25"/>
  <c r="EB5"/>
  <c r="EB8"/>
  <c r="DD18"/>
  <c r="DD24"/>
  <c r="DD15"/>
  <c r="DD22"/>
  <c r="DD16"/>
  <c r="DD17"/>
  <c r="DD11"/>
  <c r="DD19"/>
  <c r="DD12"/>
  <c r="DD21"/>
  <c r="DD14"/>
  <c r="DD23"/>
  <c r="DD20"/>
  <c r="DD13"/>
  <c r="CZ76"/>
  <c r="CZ79"/>
  <c r="CZ78"/>
  <c r="CZ75"/>
  <c r="CZ77"/>
  <c r="CR76"/>
  <c r="CR77"/>
  <c r="CR79"/>
  <c r="CR78"/>
  <c r="CR75"/>
  <c r="EF10"/>
  <c r="EF7"/>
  <c r="EF8"/>
  <c r="EF9"/>
  <c r="EF25"/>
  <c r="EF6"/>
  <c r="EF50"/>
  <c r="EF74"/>
  <c r="EF5"/>
  <c r="CV77"/>
  <c r="CV79"/>
  <c r="CV75"/>
  <c r="CV78"/>
  <c r="CV76"/>
  <c r="EA25"/>
  <c r="EA6"/>
  <c r="EA8"/>
  <c r="EA9"/>
  <c r="EA7"/>
  <c r="EA50"/>
  <c r="EA5"/>
  <c r="EA10"/>
  <c r="EA74"/>
  <c r="DT76"/>
  <c r="DT78"/>
  <c r="DT77"/>
  <c r="DT79"/>
  <c r="DT75"/>
  <c r="DV74"/>
  <c r="DV10"/>
  <c r="DV8"/>
  <c r="DV5"/>
  <c r="DV7"/>
  <c r="DV9"/>
  <c r="DV25"/>
  <c r="DV6"/>
  <c r="DV50"/>
  <c r="DT60"/>
  <c r="DT68"/>
  <c r="DT71"/>
  <c r="DT62"/>
  <c r="DT63"/>
  <c r="DT64"/>
  <c r="DT58"/>
  <c r="DT65"/>
  <c r="DT73"/>
  <c r="DT55"/>
  <c r="DT69"/>
  <c r="DT51"/>
  <c r="DT56"/>
  <c r="DT61"/>
  <c r="DT66"/>
  <c r="DT67"/>
  <c r="DT70"/>
  <c r="DT59"/>
  <c r="DT53"/>
  <c r="DT52"/>
  <c r="DT54"/>
  <c r="DT57"/>
  <c r="DT72"/>
  <c r="CZ32"/>
  <c r="CZ40"/>
  <c r="CZ48"/>
  <c r="CZ33"/>
  <c r="CZ41"/>
  <c r="CZ49"/>
  <c r="CZ26"/>
  <c r="CZ34"/>
  <c r="CZ42"/>
  <c r="CZ28"/>
  <c r="CZ36"/>
  <c r="CZ44"/>
  <c r="CZ29"/>
  <c r="CZ37"/>
  <c r="CZ45"/>
  <c r="CZ27"/>
  <c r="CZ47"/>
  <c r="CZ30"/>
  <c r="CZ31"/>
  <c r="CZ46"/>
  <c r="CZ35"/>
  <c r="CZ38"/>
  <c r="CZ39"/>
  <c r="CZ43"/>
  <c r="EE25"/>
  <c r="EE6"/>
  <c r="EE8"/>
  <c r="EE9"/>
  <c r="EE7"/>
  <c r="EE10"/>
  <c r="EE50"/>
  <c r="EE74"/>
  <c r="EE5"/>
  <c r="CT76"/>
  <c r="CT79"/>
  <c r="CT77"/>
  <c r="CT75"/>
  <c r="CT78"/>
  <c r="DE29"/>
  <c r="DE37"/>
  <c r="DE45"/>
  <c r="DE30"/>
  <c r="DE38"/>
  <c r="DE46"/>
  <c r="DE31"/>
  <c r="DE39"/>
  <c r="DE47"/>
  <c r="DE33"/>
  <c r="DE41"/>
  <c r="DE49"/>
  <c r="DE26"/>
  <c r="DE42"/>
  <c r="DE27"/>
  <c r="DE43"/>
  <c r="DE28"/>
  <c r="DE44"/>
  <c r="DE32"/>
  <c r="DE48"/>
  <c r="DE34"/>
  <c r="DE35"/>
  <c r="DE36"/>
  <c r="DE40"/>
  <c r="DI31"/>
  <c r="DI35"/>
  <c r="DF30"/>
  <c r="DF38"/>
  <c r="DF46"/>
  <c r="DF31"/>
  <c r="DF39"/>
  <c r="DF47"/>
  <c r="DF33"/>
  <c r="DF41"/>
  <c r="DF49"/>
  <c r="DF43"/>
  <c r="DF35"/>
  <c r="DF48"/>
  <c r="DF37"/>
  <c r="DF29"/>
  <c r="DF36"/>
  <c r="DF26"/>
  <c r="DF32"/>
  <c r="DF34"/>
  <c r="DF45"/>
  <c r="DF27"/>
  <c r="DF40"/>
  <c r="DF28"/>
  <c r="DF42"/>
  <c r="DF44"/>
  <c r="CV65"/>
  <c r="CV55"/>
  <c r="CV63"/>
  <c r="CV62"/>
  <c r="CV57"/>
  <c r="CV52"/>
  <c r="CV59"/>
  <c r="CV56"/>
  <c r="CV60"/>
  <c r="CV61"/>
  <c r="CV58"/>
  <c r="CV53"/>
  <c r="CV51"/>
  <c r="CV54"/>
  <c r="CV66"/>
  <c r="CV64"/>
  <c r="DC51"/>
  <c r="DC56"/>
  <c r="DC57"/>
  <c r="DC58"/>
  <c r="DC64"/>
  <c r="DC65"/>
  <c r="DC55"/>
  <c r="DC54"/>
  <c r="DC62"/>
  <c r="DC61"/>
  <c r="DC52"/>
  <c r="DC53"/>
  <c r="DC66"/>
  <c r="DC59"/>
  <c r="DC63"/>
  <c r="DC60"/>
  <c r="DC30"/>
  <c r="DC41"/>
  <c r="DC48"/>
  <c r="DC31"/>
  <c r="DC42"/>
  <c r="DC38"/>
  <c r="DC33"/>
  <c r="DC44"/>
  <c r="DC49"/>
  <c r="DC34"/>
  <c r="DC39"/>
  <c r="DC36"/>
  <c r="DC29"/>
  <c r="DC47"/>
  <c r="DC35"/>
  <c r="DC40"/>
  <c r="DC45"/>
  <c r="DC46"/>
  <c r="DC26"/>
  <c r="DC37"/>
  <c r="DC27"/>
  <c r="DC43"/>
  <c r="DC28"/>
  <c r="DC32"/>
  <c r="DA48"/>
  <c r="DA26"/>
  <c r="DA27"/>
  <c r="DA43"/>
  <c r="DA38"/>
  <c r="DA34"/>
  <c r="DA30"/>
  <c r="DA35"/>
  <c r="DA46"/>
  <c r="DA31"/>
  <c r="DA33"/>
  <c r="DA37"/>
  <c r="DA39"/>
  <c r="DA40"/>
  <c r="DA28"/>
  <c r="DA41"/>
  <c r="DA42"/>
  <c r="DA32"/>
  <c r="DA45"/>
  <c r="DA44"/>
  <c r="DA36"/>
  <c r="DA47"/>
  <c r="DA29"/>
  <c r="DA49"/>
  <c r="DZ5"/>
  <c r="DZ7"/>
  <c r="DZ25"/>
  <c r="DZ10"/>
  <c r="DZ6"/>
  <c r="DZ50"/>
  <c r="DZ8"/>
  <c r="DZ9"/>
  <c r="DZ74"/>
  <c r="CZ62"/>
  <c r="CZ66"/>
  <c r="CZ51"/>
  <c r="CZ65"/>
  <c r="CZ55"/>
  <c r="CZ57"/>
  <c r="CZ56"/>
  <c r="CZ63"/>
  <c r="CZ61"/>
  <c r="CZ60"/>
  <c r="CZ58"/>
  <c r="CZ52"/>
  <c r="CZ53"/>
  <c r="CZ59"/>
  <c r="CZ54"/>
  <c r="CZ64"/>
  <c r="DJ30"/>
  <c r="DJ38"/>
  <c r="DJ46"/>
  <c r="DJ31"/>
  <c r="DJ39"/>
  <c r="DJ47"/>
  <c r="DJ33"/>
  <c r="DJ41"/>
  <c r="DJ49"/>
  <c r="DJ34"/>
  <c r="DJ35"/>
  <c r="DJ36"/>
  <c r="DJ40"/>
  <c r="DJ45"/>
  <c r="DJ26"/>
  <c r="DJ37"/>
  <c r="DJ27"/>
  <c r="DJ44"/>
  <c r="DJ28"/>
  <c r="DJ42"/>
  <c r="DJ29"/>
  <c r="DJ43"/>
  <c r="DJ32"/>
  <c r="DJ48"/>
  <c r="DA24"/>
  <c r="DA21"/>
  <c r="DA19"/>
  <c r="DA17"/>
  <c r="DA13"/>
  <c r="DA23"/>
  <c r="DA18"/>
  <c r="DA15"/>
  <c r="DA22"/>
  <c r="DA20"/>
  <c r="DA14"/>
  <c r="DA16"/>
  <c r="DA12"/>
  <c r="DA11"/>
  <c r="ED5"/>
  <c r="ED7"/>
  <c r="ED6"/>
  <c r="ED9"/>
  <c r="ED10"/>
  <c r="ED25"/>
  <c r="ED74"/>
  <c r="ED50"/>
  <c r="ED8"/>
  <c r="DE55"/>
  <c r="DE58"/>
  <c r="DE66"/>
  <c r="DE63"/>
  <c r="DE51"/>
  <c r="DE62"/>
  <c r="DE59"/>
  <c r="DE57"/>
  <c r="DE52"/>
  <c r="DE56"/>
  <c r="DE54"/>
  <c r="DE65"/>
  <c r="DE60"/>
  <c r="DE53"/>
  <c r="DE61"/>
  <c r="DE64"/>
  <c r="DU74"/>
  <c r="DU10"/>
  <c r="DU5"/>
  <c r="DU9"/>
  <c r="DU8"/>
  <c r="DU7"/>
  <c r="DU50"/>
  <c r="DU6"/>
  <c r="DU25"/>
  <c r="AL159"/>
  <c r="AL162"/>
  <c r="AL164"/>
  <c r="AL163"/>
  <c r="AL160"/>
  <c r="AL161"/>
  <c r="AL166"/>
  <c r="AL167"/>
  <c r="AL169"/>
  <c r="AL168"/>
  <c r="AL165"/>
  <c r="DD58"/>
  <c r="DD59"/>
  <c r="DD51"/>
  <c r="DD53"/>
  <c r="DD66"/>
  <c r="DD54"/>
  <c r="DD63"/>
  <c r="DD55"/>
  <c r="DD62"/>
  <c r="DD57"/>
  <c r="DD60"/>
  <c r="DD56"/>
  <c r="DD61"/>
  <c r="DD52"/>
  <c r="DD64"/>
  <c r="DD65"/>
  <c r="DG17"/>
  <c r="DG24"/>
  <c r="DG21"/>
  <c r="DG20"/>
  <c r="DG19"/>
  <c r="DG22"/>
  <c r="DG23"/>
  <c r="DG12"/>
  <c r="DG14"/>
  <c r="DG13"/>
  <c r="DG15"/>
  <c r="DG16"/>
  <c r="DG11"/>
  <c r="DG18"/>
  <c r="CV24"/>
  <c r="CV23"/>
  <c r="CV19"/>
  <c r="CV20"/>
  <c r="CV21"/>
  <c r="CV14"/>
  <c r="CV22"/>
  <c r="CV16"/>
  <c r="CV15"/>
  <c r="CV17"/>
  <c r="CV11"/>
  <c r="CV18"/>
  <c r="CV12"/>
  <c r="CV13"/>
  <c r="CX25"/>
  <c r="CX5"/>
  <c r="CX6"/>
  <c r="CX7"/>
  <c r="CX9"/>
  <c r="CX50"/>
  <c r="CX74"/>
  <c r="CX10"/>
  <c r="CX8"/>
  <c r="CW25"/>
  <c r="CW8"/>
  <c r="CW74"/>
  <c r="CW7"/>
  <c r="CW6"/>
  <c r="CW5"/>
  <c r="CW10"/>
  <c r="CW50"/>
  <c r="CW9"/>
  <c r="CZ21"/>
  <c r="CZ15"/>
  <c r="CZ19"/>
  <c r="CZ11"/>
  <c r="CZ13"/>
  <c r="CZ17"/>
  <c r="CZ16"/>
  <c r="CZ18"/>
  <c r="CZ23"/>
  <c r="CZ20"/>
  <c r="CZ12"/>
  <c r="CZ14"/>
  <c r="CZ24"/>
  <c r="CZ22"/>
  <c r="DX9"/>
  <c r="DX25"/>
  <c r="DX8"/>
  <c r="DX50"/>
  <c r="DX74"/>
  <c r="DX10"/>
  <c r="DX6"/>
  <c r="DX5"/>
  <c r="DX7"/>
  <c r="FB172"/>
  <c r="FB178"/>
  <c r="FB173"/>
  <c r="FB179"/>
  <c r="FB174"/>
  <c r="FB176"/>
  <c r="FB180"/>
  <c r="FB171"/>
  <c r="FB175"/>
  <c r="FB177"/>
  <c r="FB181"/>
  <c r="DG32"/>
  <c r="DG37"/>
  <c r="DG45"/>
  <c r="DG27"/>
  <c r="DG38"/>
  <c r="DG46"/>
  <c r="DG26"/>
  <c r="DG39"/>
  <c r="DG47"/>
  <c r="DG33"/>
  <c r="DG41"/>
  <c r="DG49"/>
  <c r="DG35"/>
  <c r="DG36"/>
  <c r="DG28"/>
  <c r="DG40"/>
  <c r="DG29"/>
  <c r="DG42"/>
  <c r="DG48"/>
  <c r="DG34"/>
  <c r="DG30"/>
  <c r="DG43"/>
  <c r="DG31"/>
  <c r="DG44"/>
  <c r="AM166"/>
  <c r="AM163"/>
  <c r="AM161"/>
  <c r="AM168"/>
  <c r="AM164"/>
  <c r="AM167"/>
  <c r="AM169"/>
  <c r="AM165"/>
  <c r="AM160"/>
  <c r="AM162"/>
  <c r="AM159"/>
  <c r="DD48"/>
  <c r="DD49"/>
  <c r="DD40"/>
  <c r="DD45"/>
  <c r="DD46"/>
  <c r="DD47"/>
  <c r="DD41"/>
  <c r="DD33"/>
  <c r="DD28"/>
  <c r="DD36"/>
  <c r="DD30"/>
  <c r="DD44"/>
  <c r="DD42"/>
  <c r="DD37"/>
  <c r="DD34"/>
  <c r="DD26"/>
  <c r="DD32"/>
  <c r="DD35"/>
  <c r="DD31"/>
  <c r="DD29"/>
  <c r="DD43"/>
  <c r="DD38"/>
  <c r="DD39"/>
  <c r="DD27"/>
  <c r="FD171"/>
  <c r="FD175"/>
  <c r="FD177"/>
  <c r="FD181"/>
  <c r="FD172"/>
  <c r="FD178"/>
  <c r="FD173"/>
  <c r="FD179"/>
  <c r="FD174"/>
  <c r="FD176"/>
  <c r="FD180"/>
  <c r="DN32"/>
  <c r="DN40"/>
  <c r="DN48"/>
  <c r="DN33"/>
  <c r="DN41"/>
  <c r="DN49"/>
  <c r="DN26"/>
  <c r="DN34"/>
  <c r="DN42"/>
  <c r="DN28"/>
  <c r="DN36"/>
  <c r="DN44"/>
  <c r="DN29"/>
  <c r="DN37"/>
  <c r="DN45"/>
  <c r="DN39"/>
  <c r="DN43"/>
  <c r="DN46"/>
  <c r="DN27"/>
  <c r="DN47"/>
  <c r="DN30"/>
  <c r="DN31"/>
  <c r="DN35"/>
  <c r="DN38"/>
  <c r="CY25"/>
  <c r="CY8"/>
  <c r="CY7"/>
  <c r="CY9"/>
  <c r="CY50"/>
  <c r="CY74"/>
  <c r="CY5"/>
  <c r="CY10"/>
  <c r="CY6"/>
  <c r="DW25"/>
  <c r="DW7"/>
  <c r="DW8"/>
  <c r="DW6"/>
  <c r="DW5"/>
  <c r="DW10"/>
  <c r="DW9"/>
  <c r="DW74"/>
  <c r="DW50"/>
  <c r="FC171"/>
  <c r="FC175"/>
  <c r="FC177"/>
  <c r="FC181"/>
  <c r="FC172"/>
  <c r="FC178"/>
  <c r="FC173"/>
  <c r="FC179"/>
  <c r="FC174"/>
  <c r="FC176"/>
  <c r="FC180"/>
  <c r="DG66"/>
  <c r="DG61"/>
  <c r="DG63"/>
  <c r="DG53"/>
  <c r="DG64"/>
  <c r="DG62"/>
  <c r="DG57"/>
  <c r="DG51"/>
  <c r="DG56"/>
  <c r="DG54"/>
  <c r="DG55"/>
  <c r="DG58"/>
  <c r="DG52"/>
  <c r="DG59"/>
  <c r="DG60"/>
  <c r="DG65"/>
  <c r="DF21"/>
  <c r="DF15"/>
  <c r="DF19"/>
  <c r="DF11"/>
  <c r="DF13"/>
  <c r="DF17"/>
  <c r="DF23"/>
  <c r="DF14"/>
  <c r="DF16"/>
  <c r="DF24"/>
  <c r="DF12"/>
  <c r="DF22"/>
  <c r="DF20"/>
  <c r="DF18"/>
  <c r="DK73"/>
  <c r="DK72"/>
  <c r="DK63"/>
  <c r="DK68"/>
  <c r="DK62"/>
  <c r="DK57"/>
  <c r="DK60"/>
  <c r="DK55"/>
  <c r="DK56"/>
  <c r="DK61"/>
  <c r="DK69"/>
  <c r="DK65"/>
  <c r="DK53"/>
  <c r="DK64"/>
  <c r="DK71"/>
  <c r="DK70"/>
  <c r="DK54"/>
  <c r="DK67"/>
  <c r="DK51"/>
  <c r="DK66"/>
  <c r="DK52"/>
  <c r="DK58"/>
  <c r="DK59"/>
  <c r="CV29"/>
  <c r="CV37"/>
  <c r="CV45"/>
  <c r="CV30"/>
  <c r="CV38"/>
  <c r="CV46"/>
  <c r="CV31"/>
  <c r="CV39"/>
  <c r="CV47"/>
  <c r="CV33"/>
  <c r="CV41"/>
  <c r="CV49"/>
  <c r="CV26"/>
  <c r="CV34"/>
  <c r="CV43"/>
  <c r="CV27"/>
  <c r="CV44"/>
  <c r="CV32"/>
  <c r="CV42"/>
  <c r="CV28"/>
  <c r="CV48"/>
  <c r="CV35"/>
  <c r="CV36"/>
  <c r="CV40"/>
  <c r="DT21"/>
  <c r="DT19"/>
  <c r="DT12"/>
  <c r="DT11"/>
  <c r="DT17"/>
  <c r="DT22"/>
  <c r="DT13"/>
  <c r="DT15"/>
  <c r="DT23"/>
  <c r="DT20"/>
  <c r="DT18"/>
  <c r="DT14"/>
  <c r="DT16"/>
  <c r="DT24"/>
  <c r="DT32"/>
  <c r="DT40"/>
  <c r="DT48"/>
  <c r="DT33"/>
  <c r="DT41"/>
  <c r="DT49"/>
  <c r="DT26"/>
  <c r="DT34"/>
  <c r="DT42"/>
  <c r="DT28"/>
  <c r="DT36"/>
  <c r="DT44"/>
  <c r="DT29"/>
  <c r="DT37"/>
  <c r="DT45"/>
  <c r="DT35"/>
  <c r="DT38"/>
  <c r="DT39"/>
  <c r="DT43"/>
  <c r="DT46"/>
  <c r="DT27"/>
  <c r="DT47"/>
  <c r="DT30"/>
  <c r="DT31"/>
  <c r="CC25"/>
  <c r="CC10"/>
  <c r="CC74"/>
  <c r="CC9"/>
  <c r="CC7"/>
  <c r="CC5"/>
  <c r="CC50"/>
  <c r="CC8"/>
  <c r="CC6"/>
  <c r="BV8"/>
  <c r="BV5"/>
  <c r="BV6"/>
  <c r="BV25"/>
  <c r="BV9"/>
  <c r="BV50"/>
  <c r="BV74"/>
  <c r="BV7"/>
  <c r="BV10"/>
  <c r="BX8"/>
  <c r="BX5"/>
  <c r="BX6"/>
  <c r="BX50"/>
  <c r="BX74"/>
  <c r="BX7"/>
  <c r="BX10"/>
  <c r="BX25"/>
  <c r="BX9"/>
  <c r="CD7"/>
  <c r="CD5"/>
  <c r="CD9"/>
  <c r="CD50"/>
  <c r="CD74"/>
  <c r="CD6"/>
  <c r="CD25"/>
  <c r="CD8"/>
  <c r="CD10"/>
  <c r="BW7"/>
  <c r="BW5"/>
  <c r="BW9"/>
  <c r="BW25"/>
  <c r="BW10"/>
  <c r="BW74"/>
  <c r="BW6"/>
  <c r="BW8"/>
  <c r="BW50"/>
  <c r="BQ6"/>
  <c r="BQ5"/>
  <c r="BQ50"/>
  <c r="BQ9"/>
  <c r="BQ7"/>
  <c r="BQ8"/>
  <c r="BQ25"/>
  <c r="BQ10"/>
  <c r="BQ74"/>
  <c r="BY6"/>
  <c r="BY5"/>
  <c r="BY7"/>
  <c r="BY8"/>
  <c r="BY50"/>
  <c r="BY9"/>
  <c r="BY25"/>
  <c r="BY10"/>
  <c r="BY74"/>
  <c r="BZ8"/>
  <c r="BZ5"/>
  <c r="BZ25"/>
  <c r="BZ9"/>
  <c r="BZ10"/>
  <c r="BZ6"/>
  <c r="BZ50"/>
  <c r="BZ74"/>
  <c r="BZ7"/>
  <c r="CA7"/>
  <c r="CA5"/>
  <c r="CA8"/>
  <c r="CA25"/>
  <c r="CA10"/>
  <c r="CA6"/>
  <c r="CA9"/>
  <c r="CA50"/>
  <c r="CA74"/>
  <c r="CB10"/>
  <c r="CB8"/>
  <c r="CB7"/>
  <c r="CB5"/>
  <c r="CB25"/>
  <c r="CB6"/>
  <c r="CB9"/>
  <c r="CB50"/>
  <c r="CB74"/>
  <c r="CI77"/>
  <c r="CI20"/>
  <c r="CG53"/>
  <c r="CJ75"/>
  <c r="CJ78"/>
  <c r="CJ76"/>
  <c r="CJ79"/>
  <c r="CJ77"/>
  <c r="CJ23"/>
  <c r="CJ16"/>
  <c r="CJ18"/>
  <c r="CJ20"/>
  <c r="CJ22"/>
  <c r="CJ11"/>
  <c r="CJ13"/>
  <c r="CJ24"/>
  <c r="CJ15"/>
  <c r="CJ17"/>
  <c r="CJ19"/>
  <c r="CJ21"/>
  <c r="CJ12"/>
  <c r="CJ14"/>
  <c r="CI33"/>
  <c r="CI43"/>
  <c r="CH27"/>
  <c r="CH29"/>
  <c r="CH31"/>
  <c r="CH33"/>
  <c r="CH35"/>
  <c r="CH37"/>
  <c r="CH39"/>
  <c r="CH41"/>
  <c r="CH43"/>
  <c r="CH45"/>
  <c r="CH47"/>
  <c r="CH49"/>
  <c r="CH26"/>
  <c r="CH28"/>
  <c r="CH30"/>
  <c r="CH32"/>
  <c r="CH34"/>
  <c r="CH36"/>
  <c r="CH38"/>
  <c r="CH40"/>
  <c r="CH42"/>
  <c r="CH44"/>
  <c r="CH46"/>
  <c r="CH48"/>
  <c r="CE39"/>
  <c r="CG27"/>
  <c r="CG29"/>
  <c r="CG31"/>
  <c r="CG33"/>
  <c r="CG35"/>
  <c r="CG37"/>
  <c r="CG39"/>
  <c r="CG41"/>
  <c r="CG43"/>
  <c r="CG45"/>
  <c r="CG47"/>
  <c r="CG49"/>
  <c r="CG26"/>
  <c r="CG28"/>
  <c r="CG30"/>
  <c r="CG32"/>
  <c r="CG34"/>
  <c r="CG36"/>
  <c r="CG38"/>
  <c r="CG40"/>
  <c r="CG42"/>
  <c r="CG44"/>
  <c r="CG46"/>
  <c r="CG48"/>
  <c r="CF24"/>
  <c r="CF23"/>
  <c r="CF15"/>
  <c r="CF17"/>
  <c r="CF19"/>
  <c r="CF21"/>
  <c r="CF11"/>
  <c r="CF13"/>
  <c r="CF16"/>
  <c r="CF18"/>
  <c r="CF20"/>
  <c r="CF22"/>
  <c r="CF12"/>
  <c r="CF14"/>
  <c r="CJ57"/>
  <c r="CJ56"/>
  <c r="CJ66"/>
  <c r="CJ65"/>
  <c r="CJ63"/>
  <c r="CJ62"/>
  <c r="CJ54"/>
  <c r="CJ58"/>
  <c r="CJ52"/>
  <c r="CJ55"/>
  <c r="CJ64"/>
  <c r="CJ61"/>
  <c r="CJ60"/>
  <c r="CJ59"/>
  <c r="CJ51"/>
  <c r="CJ53"/>
  <c r="CJ30"/>
  <c r="CJ32"/>
  <c r="CJ26"/>
  <c r="CJ33"/>
  <c r="CJ35"/>
  <c r="CJ37"/>
  <c r="CJ39"/>
  <c r="CJ41"/>
  <c r="CJ43"/>
  <c r="CJ45"/>
  <c r="CJ47"/>
  <c r="CJ49"/>
  <c r="CJ29"/>
  <c r="CJ31"/>
  <c r="CJ27"/>
  <c r="CJ28"/>
  <c r="CJ34"/>
  <c r="CJ36"/>
  <c r="CJ38"/>
  <c r="CJ40"/>
  <c r="CJ42"/>
  <c r="CJ44"/>
  <c r="CJ46"/>
  <c r="CJ48"/>
  <c r="DJ18" l="1"/>
  <c r="DJ22"/>
  <c r="DJ21"/>
  <c r="DJ78"/>
  <c r="CF62"/>
  <c r="DI68"/>
  <c r="DJ16"/>
  <c r="DJ23"/>
  <c r="DJ12"/>
  <c r="DJ79"/>
  <c r="CE32"/>
  <c r="CI47"/>
  <c r="CI37"/>
  <c r="CF55"/>
  <c r="CH63"/>
  <c r="DB36"/>
  <c r="L20" i="347"/>
  <c r="L52" s="1"/>
  <c r="CE36" i="343"/>
  <c r="CE29"/>
  <c r="CI49"/>
  <c r="CF65"/>
  <c r="CH55"/>
  <c r="DB29"/>
  <c r="CE38"/>
  <c r="CE44"/>
  <c r="CI28"/>
  <c r="CF56"/>
  <c r="CH76"/>
  <c r="DM55"/>
  <c r="DL46"/>
  <c r="CF78"/>
  <c r="CG75"/>
  <c r="CI24"/>
  <c r="CI21"/>
  <c r="CI78"/>
  <c r="CI11"/>
  <c r="CI12"/>
  <c r="CI16"/>
  <c r="CI15"/>
  <c r="CF75"/>
  <c r="CI51"/>
  <c r="CF77"/>
  <c r="CE20"/>
  <c r="DI52"/>
  <c r="DI55"/>
  <c r="DI56"/>
  <c r="DI61"/>
  <c r="DI59"/>
  <c r="DM59"/>
  <c r="DL29"/>
  <c r="DM56"/>
  <c r="DM60"/>
  <c r="DM68"/>
  <c r="DL32"/>
  <c r="DS12"/>
  <c r="DN23"/>
  <c r="DN19"/>
  <c r="G47" i="348"/>
  <c r="DS20" i="343"/>
  <c r="L17" i="348"/>
  <c r="L49" s="1"/>
  <c r="DS18" i="343"/>
  <c r="DS64"/>
  <c r="DS77"/>
  <c r="DS79"/>
  <c r="L17" i="347"/>
  <c r="L49" s="1"/>
  <c r="DS75" i="343"/>
  <c r="DS78"/>
  <c r="DS60"/>
  <c r="CF79"/>
  <c r="CE47"/>
  <c r="CE28"/>
  <c r="CE37"/>
  <c r="CI63"/>
  <c r="CI36"/>
  <c r="CI38"/>
  <c r="CI29"/>
  <c r="CF54"/>
  <c r="CF58"/>
  <c r="CH61"/>
  <c r="DB34"/>
  <c r="DB39"/>
  <c r="DI73"/>
  <c r="DI53"/>
  <c r="DI57"/>
  <c r="DK48"/>
  <c r="DI75"/>
  <c r="G48" i="347"/>
  <c r="CG11" i="343"/>
  <c r="CE43"/>
  <c r="CE40"/>
  <c r="CE33"/>
  <c r="CI39"/>
  <c r="CI32"/>
  <c r="CI44"/>
  <c r="CF59"/>
  <c r="CF61"/>
  <c r="CH78"/>
  <c r="CH60"/>
  <c r="DB44"/>
  <c r="DB46"/>
  <c r="DI51"/>
  <c r="DI58"/>
  <c r="DI64"/>
  <c r="G51" i="347"/>
  <c r="G51" i="348"/>
  <c r="DI41" i="343"/>
  <c r="DI27"/>
  <c r="DH17"/>
  <c r="DI32"/>
  <c r="DI45"/>
  <c r="L16" i="348"/>
  <c r="L48" s="1"/>
  <c r="DH15" i="343"/>
  <c r="G52" i="348"/>
  <c r="L18" i="347"/>
  <c r="L50" s="1"/>
  <c r="DH23" i="343"/>
  <c r="DH18"/>
  <c r="L15" i="347"/>
  <c r="L47" s="1"/>
  <c r="L18" i="348"/>
  <c r="L50" s="1"/>
  <c r="DH14" i="343"/>
  <c r="DH13"/>
  <c r="DH20"/>
  <c r="CG77"/>
  <c r="DI79"/>
  <c r="DK75"/>
  <c r="DI77"/>
  <c r="DS14"/>
  <c r="DS24"/>
  <c r="DS19"/>
  <c r="DS21"/>
  <c r="DS13"/>
  <c r="DS22"/>
  <c r="DS11"/>
  <c r="DS15"/>
  <c r="DS23"/>
  <c r="DS17"/>
  <c r="DH52"/>
  <c r="DH55"/>
  <c r="DH67"/>
  <c r="DH78"/>
  <c r="DH70"/>
  <c r="DH69"/>
  <c r="CF30"/>
  <c r="CE62"/>
  <c r="CF34"/>
  <c r="CF29"/>
  <c r="CE54"/>
  <c r="CF43"/>
  <c r="CE61"/>
  <c r="CE78"/>
  <c r="CF42"/>
  <c r="CF35"/>
  <c r="CE53"/>
  <c r="CF48"/>
  <c r="CF40"/>
  <c r="CF27"/>
  <c r="CF49"/>
  <c r="CF41"/>
  <c r="CF33"/>
  <c r="CE59"/>
  <c r="CE51"/>
  <c r="CE60"/>
  <c r="CE52"/>
  <c r="CE76"/>
  <c r="CF46"/>
  <c r="CF38"/>
  <c r="CF26"/>
  <c r="CF47"/>
  <c r="CF39"/>
  <c r="CF28"/>
  <c r="CE65"/>
  <c r="CE57"/>
  <c r="CE66"/>
  <c r="CE58"/>
  <c r="CE79"/>
  <c r="CE75"/>
  <c r="CF44"/>
  <c r="CF36"/>
  <c r="CF31"/>
  <c r="CF45"/>
  <c r="CF37"/>
  <c r="CE63"/>
  <c r="CE55"/>
  <c r="CE64"/>
  <c r="DB43"/>
  <c r="DB49"/>
  <c r="DB26"/>
  <c r="DB48"/>
  <c r="DB33"/>
  <c r="DB37"/>
  <c r="CH13"/>
  <c r="DN21"/>
  <c r="DN59"/>
  <c r="DN20"/>
  <c r="DL45"/>
  <c r="DS65"/>
  <c r="DS71"/>
  <c r="DN22"/>
  <c r="DN16"/>
  <c r="DN11"/>
  <c r="DL30"/>
  <c r="DL44"/>
  <c r="DS51"/>
  <c r="DS68"/>
  <c r="DS43"/>
  <c r="DL78"/>
  <c r="DN18"/>
  <c r="DN13"/>
  <c r="DN12"/>
  <c r="DS37"/>
  <c r="DL77"/>
  <c r="DS47"/>
  <c r="DS44"/>
  <c r="DL76"/>
  <c r="DN14"/>
  <c r="DN17"/>
  <c r="DN24"/>
  <c r="DS35"/>
  <c r="DS31"/>
  <c r="DL79"/>
  <c r="DO22"/>
  <c r="DS39"/>
  <c r="DS26"/>
  <c r="DS40"/>
  <c r="DS53"/>
  <c r="DS61"/>
  <c r="DS73"/>
  <c r="DS46"/>
  <c r="DS38"/>
  <c r="DS34"/>
  <c r="DS36"/>
  <c r="DS48"/>
  <c r="DS41"/>
  <c r="DS32"/>
  <c r="DS27"/>
  <c r="DS33"/>
  <c r="DS54"/>
  <c r="DS66"/>
  <c r="DS70"/>
  <c r="DS29"/>
  <c r="DS28"/>
  <c r="DS45"/>
  <c r="DS49"/>
  <c r="DS42"/>
  <c r="DH76"/>
  <c r="DB18"/>
  <c r="DH48"/>
  <c r="DL57"/>
  <c r="DB65"/>
  <c r="DL56"/>
  <c r="DO57"/>
  <c r="DM38"/>
  <c r="DL54"/>
  <c r="DB64"/>
  <c r="DL65"/>
  <c r="DL68"/>
  <c r="DL22"/>
  <c r="DB58"/>
  <c r="DB63"/>
  <c r="DO66"/>
  <c r="I63" i="340"/>
  <c r="DL52" i="343"/>
  <c r="DL69"/>
  <c r="DL63"/>
  <c r="DL23"/>
  <c r="DB56"/>
  <c r="DB54"/>
  <c r="DO56"/>
  <c r="DM32"/>
  <c r="DL59"/>
  <c r="DL73"/>
  <c r="DL61"/>
  <c r="DB57"/>
  <c r="DB51"/>
  <c r="DM26"/>
  <c r="CH22"/>
  <c r="CG57"/>
  <c r="DL15"/>
  <c r="DN64"/>
  <c r="DN72"/>
  <c r="DH16"/>
  <c r="DH22"/>
  <c r="DH11"/>
  <c r="DH24"/>
  <c r="DH12"/>
  <c r="DH19"/>
  <c r="DN77"/>
  <c r="CH24"/>
  <c r="CH14"/>
  <c r="CG61"/>
  <c r="CG66"/>
  <c r="DM14"/>
  <c r="DL18"/>
  <c r="DL24"/>
  <c r="DL12"/>
  <c r="DL17"/>
  <c r="DB12"/>
  <c r="DB16"/>
  <c r="DO33"/>
  <c r="DH43"/>
  <c r="DN54"/>
  <c r="DN62"/>
  <c r="DN55"/>
  <c r="DN79"/>
  <c r="DN75"/>
  <c r="F65" i="340"/>
  <c r="DO65" i="343"/>
  <c r="DO59"/>
  <c r="DM44"/>
  <c r="DM47"/>
  <c r="DM29"/>
  <c r="DO79"/>
  <c r="DH79"/>
  <c r="DH77"/>
  <c r="DB77"/>
  <c r="G64" i="340"/>
  <c r="F64" s="1"/>
  <c r="CH12" i="343"/>
  <c r="CH16"/>
  <c r="CH15"/>
  <c r="CG54"/>
  <c r="CG55"/>
  <c r="CG60"/>
  <c r="CG64"/>
  <c r="DO15"/>
  <c r="DO20"/>
  <c r="DL20"/>
  <c r="DL13"/>
  <c r="DL11"/>
  <c r="DL16"/>
  <c r="DL14"/>
  <c r="DL19"/>
  <c r="DB15"/>
  <c r="DB22"/>
  <c r="DB21"/>
  <c r="DB17"/>
  <c r="DO48"/>
  <c r="DO37"/>
  <c r="DH28"/>
  <c r="DN67"/>
  <c r="DN51"/>
  <c r="DN65"/>
  <c r="DN56"/>
  <c r="DN61"/>
  <c r="DN63"/>
  <c r="DN78"/>
  <c r="BB160"/>
  <c r="BB163"/>
  <c r="BB169"/>
  <c r="BB165"/>
  <c r="BB166"/>
  <c r="BB161"/>
  <c r="BB159"/>
  <c r="BB167"/>
  <c r="BB164"/>
  <c r="BB168"/>
  <c r="BB162"/>
  <c r="BD158"/>
  <c r="CG76"/>
  <c r="CH77"/>
  <c r="CH58"/>
  <c r="CH65"/>
  <c r="CH54"/>
  <c r="CH57"/>
  <c r="DB27"/>
  <c r="DB31"/>
  <c r="DB30"/>
  <c r="DB42"/>
  <c r="DB40"/>
  <c r="DB35"/>
  <c r="DB41"/>
  <c r="DB47"/>
  <c r="DB28"/>
  <c r="DB38"/>
  <c r="DB45"/>
  <c r="DM54"/>
  <c r="DM67"/>
  <c r="DM64"/>
  <c r="DM62"/>
  <c r="DL72"/>
  <c r="DL53"/>
  <c r="DL66"/>
  <c r="DL51"/>
  <c r="DL60"/>
  <c r="DL55"/>
  <c r="DL58"/>
  <c r="DL70"/>
  <c r="DL64"/>
  <c r="DL62"/>
  <c r="DL67"/>
  <c r="DH71"/>
  <c r="DH53"/>
  <c r="DH59"/>
  <c r="DH68"/>
  <c r="DH73"/>
  <c r="DH58"/>
  <c r="DL35"/>
  <c r="DL27"/>
  <c r="DL39"/>
  <c r="DL36"/>
  <c r="DL26"/>
  <c r="DL40"/>
  <c r="DS56"/>
  <c r="DS67"/>
  <c r="DS59"/>
  <c r="DS52"/>
  <c r="DS63"/>
  <c r="DS55"/>
  <c r="DS57"/>
  <c r="DS58"/>
  <c r="DS62"/>
  <c r="DS69"/>
  <c r="DB55"/>
  <c r="DB61"/>
  <c r="DB53"/>
  <c r="DB60"/>
  <c r="DB62"/>
  <c r="DB59"/>
  <c r="DB66"/>
  <c r="DO62"/>
  <c r="DO51"/>
  <c r="DO64"/>
  <c r="DO60"/>
  <c r="DO58"/>
  <c r="DO73"/>
  <c r="DM35"/>
  <c r="DM40"/>
  <c r="DM43"/>
  <c r="DM41"/>
  <c r="DM31"/>
  <c r="DM45"/>
  <c r="DB79"/>
  <c r="CG21"/>
  <c r="CH19"/>
  <c r="CH23"/>
  <c r="CH18"/>
  <c r="CH21"/>
  <c r="CH11"/>
  <c r="CH17"/>
  <c r="CG56"/>
  <c r="CG59"/>
  <c r="CG52"/>
  <c r="CG63"/>
  <c r="CG65"/>
  <c r="CG62"/>
  <c r="CG58"/>
  <c r="DO11"/>
  <c r="DO12"/>
  <c r="DO19"/>
  <c r="DO17"/>
  <c r="DB13"/>
  <c r="DB11"/>
  <c r="DB23"/>
  <c r="DB19"/>
  <c r="DB20"/>
  <c r="DB24"/>
  <c r="DO30"/>
  <c r="DO36"/>
  <c r="DO46"/>
  <c r="DH46"/>
  <c r="DH37"/>
  <c r="DH49"/>
  <c r="DN69"/>
  <c r="DN53"/>
  <c r="DN52"/>
  <c r="DN57"/>
  <c r="DN58"/>
  <c r="DN71"/>
  <c r="DN60"/>
  <c r="DN68"/>
  <c r="DN70"/>
  <c r="DN73"/>
  <c r="DH62"/>
  <c r="DH72"/>
  <c r="DH51"/>
  <c r="DH54"/>
  <c r="DH64"/>
  <c r="DH61"/>
  <c r="DH60"/>
  <c r="DH57"/>
  <c r="DH56"/>
  <c r="DH66"/>
  <c r="DH65"/>
  <c r="DO16"/>
  <c r="DO24"/>
  <c r="DO14"/>
  <c r="DO13"/>
  <c r="DO23"/>
  <c r="DO18"/>
  <c r="DM20"/>
  <c r="DO26"/>
  <c r="DO29"/>
  <c r="DO28"/>
  <c r="DO49"/>
  <c r="DO39"/>
  <c r="DO32"/>
  <c r="DB78"/>
  <c r="DB76"/>
  <c r="DI72"/>
  <c r="DI67"/>
  <c r="DI60"/>
  <c r="DI70"/>
  <c r="DI71"/>
  <c r="DI65"/>
  <c r="DI69"/>
  <c r="DI54"/>
  <c r="DI62"/>
  <c r="DI63"/>
  <c r="DI34"/>
  <c r="DI28"/>
  <c r="DI40"/>
  <c r="DI47"/>
  <c r="DI38"/>
  <c r="DI29"/>
  <c r="DH42"/>
  <c r="DH31"/>
  <c r="DH40"/>
  <c r="DH47"/>
  <c r="DH34"/>
  <c r="DH33"/>
  <c r="DK37"/>
  <c r="CG79"/>
  <c r="CE48"/>
  <c r="CE45"/>
  <c r="CE41"/>
  <c r="CE34"/>
  <c r="CE30"/>
  <c r="CE26"/>
  <c r="CE49"/>
  <c r="CE46"/>
  <c r="CE42"/>
  <c r="CE35"/>
  <c r="CE31"/>
  <c r="CI40"/>
  <c r="CI45"/>
  <c r="CI41"/>
  <c r="CI34"/>
  <c r="CI30"/>
  <c r="CI26"/>
  <c r="CI48"/>
  <c r="CI46"/>
  <c r="CI42"/>
  <c r="CI35"/>
  <c r="CI31"/>
  <c r="CF53"/>
  <c r="CF52"/>
  <c r="CF60"/>
  <c r="CF63"/>
  <c r="CF57"/>
  <c r="CF51"/>
  <c r="CF64"/>
  <c r="CH75"/>
  <c r="CH52"/>
  <c r="CH51"/>
  <c r="CH56"/>
  <c r="CH66"/>
  <c r="CH53"/>
  <c r="CH59"/>
  <c r="CH64"/>
  <c r="CI23"/>
  <c r="CI17"/>
  <c r="CI14"/>
  <c r="CI18"/>
  <c r="CI22"/>
  <c r="CI13"/>
  <c r="CI79"/>
  <c r="CI76"/>
  <c r="DM61"/>
  <c r="DM57"/>
  <c r="DM72"/>
  <c r="DL41"/>
  <c r="DL31"/>
  <c r="DL38"/>
  <c r="DL48"/>
  <c r="DL42"/>
  <c r="DL37"/>
  <c r="DL47"/>
  <c r="DL28"/>
  <c r="DL34"/>
  <c r="DL49"/>
  <c r="DL33"/>
  <c r="DO52"/>
  <c r="DO61"/>
  <c r="DO54"/>
  <c r="DO63"/>
  <c r="DO68"/>
  <c r="DO53"/>
  <c r="DO67"/>
  <c r="DO70"/>
  <c r="DO71"/>
  <c r="DO69"/>
  <c r="DO72"/>
  <c r="DM36"/>
  <c r="DM48"/>
  <c r="DM42"/>
  <c r="DM34"/>
  <c r="DM28"/>
  <c r="DM27"/>
  <c r="DM49"/>
  <c r="DM33"/>
  <c r="DM39"/>
  <c r="DM46"/>
  <c r="DM30"/>
  <c r="DK79"/>
  <c r="DO77"/>
  <c r="DI78"/>
  <c r="DK77"/>
  <c r="L52" i="348"/>
  <c r="L47"/>
  <c r="L51"/>
  <c r="DI36" i="343"/>
  <c r="DI42"/>
  <c r="DI48"/>
  <c r="DI44"/>
  <c r="DI43"/>
  <c r="DI26"/>
  <c r="DI49"/>
  <c r="DI33"/>
  <c r="DI39"/>
  <c r="DI46"/>
  <c r="DI30"/>
  <c r="DO44"/>
  <c r="DO43"/>
  <c r="DO34"/>
  <c r="DO42"/>
  <c r="DO40"/>
  <c r="DO35"/>
  <c r="DO41"/>
  <c r="DO47"/>
  <c r="DO27"/>
  <c r="DO38"/>
  <c r="DO45"/>
  <c r="DH41"/>
  <c r="DH35"/>
  <c r="DH30"/>
  <c r="DH27"/>
  <c r="DH38"/>
  <c r="DH29"/>
  <c r="DH36"/>
  <c r="DH45"/>
  <c r="DH26"/>
  <c r="DH44"/>
  <c r="DH39"/>
  <c r="DK16"/>
  <c r="DK33"/>
  <c r="DK44"/>
  <c r="DK36"/>
  <c r="DK46"/>
  <c r="CG12"/>
  <c r="CE23"/>
  <c r="CE22"/>
  <c r="CI64"/>
  <c r="CI55"/>
  <c r="DM13"/>
  <c r="DM23"/>
  <c r="DK15"/>
  <c r="CG23"/>
  <c r="CE24"/>
  <c r="CE21"/>
  <c r="CI58"/>
  <c r="CI60"/>
  <c r="DM19"/>
  <c r="DM22"/>
  <c r="DK14"/>
  <c r="CG14"/>
  <c r="CG24"/>
  <c r="CE17"/>
  <c r="CE13"/>
  <c r="CI65"/>
  <c r="CI66"/>
  <c r="DM11"/>
  <c r="DK20"/>
  <c r="CG16"/>
  <c r="CG17"/>
  <c r="CE11"/>
  <c r="CE12"/>
  <c r="CI56"/>
  <c r="CI59"/>
  <c r="DM16"/>
  <c r="CG18"/>
  <c r="CG13"/>
  <c r="CE14"/>
  <c r="CE19"/>
  <c r="CI62"/>
  <c r="CI61"/>
  <c r="DM17"/>
  <c r="DM24"/>
  <c r="DK11"/>
  <c r="DM78"/>
  <c r="CG20"/>
  <c r="CG19"/>
  <c r="CE16"/>
  <c r="CE15"/>
  <c r="CI57"/>
  <c r="CI54"/>
  <c r="DM12"/>
  <c r="DM15"/>
  <c r="DK19"/>
  <c r="CG22"/>
  <c r="CI53"/>
  <c r="DM21"/>
  <c r="DK18"/>
  <c r="DK34"/>
  <c r="DK43"/>
  <c r="DK28"/>
  <c r="DK49"/>
  <c r="DK39"/>
  <c r="DK32"/>
  <c r="DM76"/>
  <c r="DK13"/>
  <c r="DK22"/>
  <c r="DK17"/>
  <c r="DK23"/>
  <c r="DK21"/>
  <c r="DK12"/>
  <c r="DK27"/>
  <c r="DK30"/>
  <c r="DK29"/>
  <c r="DK42"/>
  <c r="DK40"/>
  <c r="DK35"/>
  <c r="DK41"/>
  <c r="DK47"/>
  <c r="DK26"/>
  <c r="DK38"/>
  <c r="DK45"/>
  <c r="DM79"/>
  <c r="DM77"/>
  <c r="DM63"/>
  <c r="DM51"/>
  <c r="DM66"/>
  <c r="DM70"/>
  <c r="DM71"/>
  <c r="DM69"/>
  <c r="DM53"/>
  <c r="DM65"/>
  <c r="DM58"/>
  <c r="DM52"/>
  <c r="DO78"/>
  <c r="DO76"/>
  <c r="DK78"/>
  <c r="I66" i="340"/>
  <c r="U66"/>
  <c r="F66"/>
  <c r="M66"/>
  <c r="Q66"/>
  <c r="F61"/>
  <c r="U61"/>
  <c r="I61"/>
  <c r="Q61"/>
  <c r="U49"/>
  <c r="Q49"/>
  <c r="F49"/>
  <c r="I49"/>
  <c r="M49"/>
  <c r="F48"/>
  <c r="I48"/>
  <c r="U48"/>
  <c r="M48"/>
  <c r="Q48"/>
  <c r="M51"/>
  <c r="I51"/>
  <c r="Q51"/>
  <c r="F51"/>
  <c r="U47"/>
  <c r="Q47"/>
  <c r="I47"/>
  <c r="F47"/>
  <c r="M47"/>
  <c r="I57"/>
  <c r="U57"/>
  <c r="Q57"/>
  <c r="F57"/>
  <c r="F60"/>
  <c r="Q60"/>
  <c r="I60"/>
  <c r="U60"/>
  <c r="I50"/>
  <c r="U50"/>
  <c r="F50"/>
  <c r="Q50"/>
  <c r="I59"/>
  <c r="F59"/>
  <c r="F56"/>
  <c r="I56"/>
  <c r="U56"/>
  <c r="Q56"/>
  <c r="M56"/>
  <c r="Q62"/>
  <c r="I62"/>
  <c r="U62"/>
  <c r="F62"/>
  <c r="M53"/>
  <c r="U53"/>
  <c r="I53"/>
  <c r="F53"/>
  <c r="Q53"/>
  <c r="I58"/>
  <c r="U58"/>
  <c r="Q58"/>
  <c r="F58"/>
  <c r="F108" i="337"/>
  <c r="R108"/>
  <c r="U108"/>
  <c r="I108"/>
  <c r="Q15" i="339"/>
  <c r="I15"/>
  <c r="M15"/>
  <c r="C15"/>
  <c r="CW11" i="343"/>
  <c r="CW19"/>
  <c r="CW12"/>
  <c r="CW15"/>
  <c r="CW17"/>
  <c r="CW24"/>
  <c r="CW20"/>
  <c r="CW21"/>
  <c r="CW13"/>
  <c r="CW22"/>
  <c r="CW23"/>
  <c r="CW18"/>
  <c r="CW16"/>
  <c r="CW14"/>
  <c r="CX20"/>
  <c r="CX24"/>
  <c r="CX19"/>
  <c r="CX12"/>
  <c r="CX11"/>
  <c r="CX14"/>
  <c r="CX18"/>
  <c r="CX23"/>
  <c r="CX13"/>
  <c r="CX22"/>
  <c r="CX15"/>
  <c r="CX16"/>
  <c r="CX17"/>
  <c r="CX21"/>
  <c r="DZ76"/>
  <c r="DZ78"/>
  <c r="DZ79"/>
  <c r="DZ77"/>
  <c r="DZ75"/>
  <c r="EF29"/>
  <c r="EF37"/>
  <c r="EF45"/>
  <c r="EF30"/>
  <c r="EF38"/>
  <c r="EF46"/>
  <c r="EF31"/>
  <c r="EF39"/>
  <c r="EF47"/>
  <c r="EF33"/>
  <c r="EF41"/>
  <c r="EF49"/>
  <c r="EF26"/>
  <c r="EF34"/>
  <c r="EF42"/>
  <c r="EF43"/>
  <c r="EF44"/>
  <c r="EF27"/>
  <c r="EF48"/>
  <c r="EF28"/>
  <c r="EF32"/>
  <c r="EF40"/>
  <c r="EF35"/>
  <c r="EF36"/>
  <c r="EB29"/>
  <c r="EB37"/>
  <c r="EB45"/>
  <c r="EB30"/>
  <c r="EB38"/>
  <c r="EB46"/>
  <c r="EB31"/>
  <c r="EB39"/>
  <c r="EB47"/>
  <c r="EB33"/>
  <c r="EB41"/>
  <c r="EB49"/>
  <c r="EB26"/>
  <c r="EB42"/>
  <c r="EB43"/>
  <c r="EB27"/>
  <c r="EB44"/>
  <c r="EB28"/>
  <c r="EB48"/>
  <c r="EB32"/>
  <c r="EB34"/>
  <c r="EB35"/>
  <c r="EB36"/>
  <c r="EB40"/>
  <c r="EC65"/>
  <c r="EC69"/>
  <c r="EC73"/>
  <c r="EC68"/>
  <c r="EC72"/>
  <c r="EC62"/>
  <c r="EC57"/>
  <c r="EC59"/>
  <c r="EC56"/>
  <c r="EC64"/>
  <c r="EC71"/>
  <c r="EC52"/>
  <c r="EC70"/>
  <c r="EC53"/>
  <c r="EC67"/>
  <c r="EC51"/>
  <c r="EC66"/>
  <c r="EC58"/>
  <c r="EC54"/>
  <c r="EC63"/>
  <c r="EC55"/>
  <c r="EC60"/>
  <c r="EC61"/>
  <c r="EC32"/>
  <c r="EC38"/>
  <c r="EC46"/>
  <c r="EC26"/>
  <c r="EC39"/>
  <c r="EC47"/>
  <c r="EC33"/>
  <c r="EC41"/>
  <c r="EC49"/>
  <c r="EC34"/>
  <c r="EC48"/>
  <c r="EC36"/>
  <c r="EC40"/>
  <c r="EC44"/>
  <c r="EC45"/>
  <c r="EC35"/>
  <c r="EC28"/>
  <c r="EC37"/>
  <c r="EC29"/>
  <c r="EC27"/>
  <c r="EC30"/>
  <c r="EC42"/>
  <c r="EC31"/>
  <c r="EC43"/>
  <c r="DY75"/>
  <c r="DY76"/>
  <c r="DY79"/>
  <c r="DY78"/>
  <c r="DY77"/>
  <c r="DY32"/>
  <c r="DY38"/>
  <c r="DY46"/>
  <c r="DY27"/>
  <c r="DY39"/>
  <c r="DY47"/>
  <c r="DY33"/>
  <c r="DY41"/>
  <c r="DY49"/>
  <c r="DY30"/>
  <c r="DY26"/>
  <c r="DY43"/>
  <c r="DY34"/>
  <c r="DY45"/>
  <c r="DY36"/>
  <c r="DY35"/>
  <c r="DY48"/>
  <c r="DY31"/>
  <c r="DY44"/>
  <c r="DY28"/>
  <c r="DY37"/>
  <c r="DY29"/>
  <c r="DY40"/>
  <c r="DY42"/>
  <c r="EC14"/>
  <c r="EC22"/>
  <c r="EC15"/>
  <c r="EC23"/>
  <c r="EC16"/>
  <c r="EC17"/>
  <c r="EC24"/>
  <c r="EC19"/>
  <c r="EC20"/>
  <c r="EC21"/>
  <c r="EC18"/>
  <c r="EC11"/>
  <c r="EC12"/>
  <c r="EC13"/>
  <c r="CX79"/>
  <c r="CX75"/>
  <c r="CX76"/>
  <c r="CX77"/>
  <c r="CX78"/>
  <c r="EB58"/>
  <c r="EB66"/>
  <c r="EB73"/>
  <c r="EB67"/>
  <c r="EB68"/>
  <c r="EB69"/>
  <c r="EB54"/>
  <c r="EB63"/>
  <c r="EB62"/>
  <c r="EB59"/>
  <c r="EB61"/>
  <c r="EB60"/>
  <c r="EB70"/>
  <c r="EB57"/>
  <c r="EB56"/>
  <c r="EB52"/>
  <c r="EB53"/>
  <c r="EB51"/>
  <c r="EB55"/>
  <c r="EB64"/>
  <c r="EB65"/>
  <c r="EB71"/>
  <c r="EB72"/>
  <c r="EC75"/>
  <c r="EC76"/>
  <c r="EC78"/>
  <c r="EC77"/>
  <c r="EC79"/>
  <c r="CX40"/>
  <c r="CX29"/>
  <c r="CX30"/>
  <c r="CX35"/>
  <c r="CX43"/>
  <c r="CX32"/>
  <c r="CX45"/>
  <c r="CX27"/>
  <c r="CX49"/>
  <c r="CX31"/>
  <c r="CX36"/>
  <c r="CX44"/>
  <c r="CX37"/>
  <c r="CX41"/>
  <c r="CX48"/>
  <c r="CX33"/>
  <c r="CX34"/>
  <c r="CX26"/>
  <c r="CX38"/>
  <c r="CX46"/>
  <c r="CX28"/>
  <c r="CX39"/>
  <c r="CX47"/>
  <c r="CX42"/>
  <c r="DV27"/>
  <c r="DV26"/>
  <c r="DV45"/>
  <c r="DV34"/>
  <c r="DV40"/>
  <c r="DV39"/>
  <c r="DV29"/>
  <c r="DV46"/>
  <c r="DV41"/>
  <c r="DV43"/>
  <c r="DV44"/>
  <c r="DV30"/>
  <c r="DV36"/>
  <c r="DV42"/>
  <c r="DV35"/>
  <c r="DV48"/>
  <c r="DV32"/>
  <c r="DV37"/>
  <c r="DV28"/>
  <c r="DV49"/>
  <c r="DV33"/>
  <c r="DV38"/>
  <c r="DV31"/>
  <c r="DV47"/>
  <c r="DW73"/>
  <c r="DW67"/>
  <c r="DW66"/>
  <c r="DW51"/>
  <c r="DW63"/>
  <c r="DW52"/>
  <c r="DW69"/>
  <c r="DW62"/>
  <c r="DW57"/>
  <c r="DW54"/>
  <c r="DW68"/>
  <c r="DW56"/>
  <c r="DW65"/>
  <c r="DW59"/>
  <c r="DW71"/>
  <c r="DW60"/>
  <c r="DW70"/>
  <c r="DW53"/>
  <c r="DW58"/>
  <c r="DW61"/>
  <c r="DW64"/>
  <c r="DW55"/>
  <c r="DW72"/>
  <c r="DW30"/>
  <c r="DW38"/>
  <c r="DW46"/>
  <c r="DW31"/>
  <c r="DW39"/>
  <c r="DW47"/>
  <c r="DW33"/>
  <c r="DW41"/>
  <c r="DW49"/>
  <c r="DW28"/>
  <c r="DW29"/>
  <c r="DW32"/>
  <c r="DW44"/>
  <c r="DW35"/>
  <c r="DW40"/>
  <c r="DW42"/>
  <c r="DW34"/>
  <c r="DW45"/>
  <c r="DW48"/>
  <c r="DW27"/>
  <c r="DW43"/>
  <c r="DW36"/>
  <c r="DW26"/>
  <c r="DW37"/>
  <c r="DX21"/>
  <c r="DX22"/>
  <c r="DX12"/>
  <c r="DX14"/>
  <c r="DX24"/>
  <c r="DX20"/>
  <c r="DX13"/>
  <c r="DX17"/>
  <c r="DX16"/>
  <c r="DX19"/>
  <c r="DX18"/>
  <c r="DX15"/>
  <c r="DX23"/>
  <c r="DX11"/>
  <c r="CX65"/>
  <c r="CX51"/>
  <c r="CX59"/>
  <c r="CX61"/>
  <c r="CX56"/>
  <c r="CX66"/>
  <c r="CX52"/>
  <c r="CX60"/>
  <c r="CX64"/>
  <c r="CX58"/>
  <c r="CX53"/>
  <c r="CX54"/>
  <c r="CX62"/>
  <c r="CX55"/>
  <c r="CX63"/>
  <c r="CX57"/>
  <c r="DU14"/>
  <c r="DU18"/>
  <c r="DU24"/>
  <c r="DU23"/>
  <c r="DU15"/>
  <c r="DU16"/>
  <c r="DU22"/>
  <c r="DU17"/>
  <c r="DU12"/>
  <c r="DU19"/>
  <c r="DU13"/>
  <c r="DU20"/>
  <c r="DU21"/>
  <c r="DU11"/>
  <c r="EB76"/>
  <c r="EB77"/>
  <c r="EB78"/>
  <c r="EB79"/>
  <c r="EB75"/>
  <c r="EE17"/>
  <c r="EE12"/>
  <c r="EE14"/>
  <c r="EE24"/>
  <c r="EE15"/>
  <c r="EE16"/>
  <c r="EE18"/>
  <c r="EE21"/>
  <c r="EE20"/>
  <c r="EE19"/>
  <c r="EE11"/>
  <c r="EE22"/>
  <c r="EE13"/>
  <c r="EE23"/>
  <c r="DW75"/>
  <c r="DW79"/>
  <c r="DW78"/>
  <c r="DW76"/>
  <c r="DW77"/>
  <c r="CY32"/>
  <c r="CY40"/>
  <c r="CY48"/>
  <c r="CY33"/>
  <c r="CY41"/>
  <c r="CY49"/>
  <c r="CY26"/>
  <c r="CY34"/>
  <c r="CY42"/>
  <c r="CY28"/>
  <c r="CY36"/>
  <c r="CY44"/>
  <c r="CY29"/>
  <c r="CY37"/>
  <c r="CY45"/>
  <c r="CY27"/>
  <c r="CY47"/>
  <c r="CY30"/>
  <c r="CY31"/>
  <c r="CY35"/>
  <c r="CY38"/>
  <c r="CY39"/>
  <c r="CY43"/>
  <c r="CY46"/>
  <c r="DX77"/>
  <c r="DX78"/>
  <c r="DX75"/>
  <c r="DX76"/>
  <c r="DX79"/>
  <c r="DU32"/>
  <c r="DU38"/>
  <c r="DU46"/>
  <c r="DU26"/>
  <c r="DU39"/>
  <c r="DU47"/>
  <c r="DU33"/>
  <c r="DU41"/>
  <c r="DU49"/>
  <c r="DU30"/>
  <c r="DU42"/>
  <c r="DU31"/>
  <c r="DU43"/>
  <c r="DU34"/>
  <c r="DU28"/>
  <c r="DU27"/>
  <c r="DU44"/>
  <c r="DU45"/>
  <c r="DU40"/>
  <c r="DU35"/>
  <c r="DU48"/>
  <c r="DU36"/>
  <c r="DU37"/>
  <c r="DU29"/>
  <c r="DU75"/>
  <c r="DU76"/>
  <c r="DU78"/>
  <c r="DU79"/>
  <c r="DU77"/>
  <c r="ED73"/>
  <c r="ED71"/>
  <c r="ED65"/>
  <c r="ED62"/>
  <c r="ED68"/>
  <c r="ED58"/>
  <c r="ED60"/>
  <c r="ED55"/>
  <c r="ED61"/>
  <c r="ED56"/>
  <c r="ED57"/>
  <c r="ED67"/>
  <c r="ED63"/>
  <c r="ED54"/>
  <c r="ED51"/>
  <c r="ED53"/>
  <c r="ED52"/>
  <c r="ED64"/>
  <c r="ED59"/>
  <c r="ED69"/>
  <c r="ED66"/>
  <c r="ED70"/>
  <c r="ED72"/>
  <c r="DZ56"/>
  <c r="DZ62"/>
  <c r="DZ65"/>
  <c r="DZ68"/>
  <c r="DZ73"/>
  <c r="DZ57"/>
  <c r="DZ64"/>
  <c r="DZ60"/>
  <c r="DZ71"/>
  <c r="DZ69"/>
  <c r="DZ61"/>
  <c r="DZ55"/>
  <c r="DZ63"/>
  <c r="DZ58"/>
  <c r="DZ53"/>
  <c r="DZ51"/>
  <c r="DZ52"/>
  <c r="DZ54"/>
  <c r="DZ59"/>
  <c r="DZ70"/>
  <c r="DZ66"/>
  <c r="DZ67"/>
  <c r="DZ72"/>
  <c r="CY63"/>
  <c r="CY60"/>
  <c r="CY56"/>
  <c r="CY61"/>
  <c r="CY66"/>
  <c r="CY55"/>
  <c r="CY65"/>
  <c r="CY64"/>
  <c r="CY51"/>
  <c r="CY62"/>
  <c r="CY54"/>
  <c r="CY59"/>
  <c r="CY57"/>
  <c r="CY58"/>
  <c r="CY52"/>
  <c r="CY53"/>
  <c r="CW66"/>
  <c r="CW57"/>
  <c r="CW64"/>
  <c r="CW51"/>
  <c r="CW55"/>
  <c r="CW56"/>
  <c r="CW54"/>
  <c r="CW65"/>
  <c r="CW63"/>
  <c r="CW61"/>
  <c r="CW52"/>
  <c r="CW59"/>
  <c r="CW60"/>
  <c r="CW58"/>
  <c r="CW53"/>
  <c r="CW62"/>
  <c r="DY65"/>
  <c r="DY73"/>
  <c r="DY72"/>
  <c r="DY68"/>
  <c r="DY58"/>
  <c r="DY66"/>
  <c r="DY59"/>
  <c r="DY63"/>
  <c r="DY62"/>
  <c r="DY57"/>
  <c r="DY51"/>
  <c r="DY56"/>
  <c r="DY53"/>
  <c r="DY71"/>
  <c r="DY60"/>
  <c r="DY69"/>
  <c r="DY55"/>
  <c r="DY70"/>
  <c r="DY61"/>
  <c r="DY67"/>
  <c r="DY52"/>
  <c r="DY64"/>
  <c r="DY54"/>
  <c r="CY12"/>
  <c r="CY19"/>
  <c r="CY16"/>
  <c r="CY20"/>
  <c r="CY24"/>
  <c r="CY15"/>
  <c r="CY22"/>
  <c r="CY21"/>
  <c r="CY11"/>
  <c r="CY14"/>
  <c r="CY13"/>
  <c r="CY17"/>
  <c r="CY18"/>
  <c r="CY23"/>
  <c r="DX68"/>
  <c r="DX53"/>
  <c r="DX65"/>
  <c r="DX52"/>
  <c r="DX66"/>
  <c r="DX60"/>
  <c r="DX69"/>
  <c r="DX62"/>
  <c r="DX67"/>
  <c r="DX70"/>
  <c r="DX51"/>
  <c r="DX55"/>
  <c r="DX72"/>
  <c r="DX59"/>
  <c r="DX54"/>
  <c r="DX57"/>
  <c r="DX58"/>
  <c r="DX73"/>
  <c r="DX61"/>
  <c r="DX71"/>
  <c r="DX63"/>
  <c r="DX64"/>
  <c r="DX56"/>
  <c r="CW75"/>
  <c r="CW76"/>
  <c r="CW78"/>
  <c r="CW77"/>
  <c r="CW79"/>
  <c r="ED77"/>
  <c r="ED76"/>
  <c r="ED79"/>
  <c r="ED75"/>
  <c r="ED78"/>
  <c r="EE30"/>
  <c r="EE38"/>
  <c r="EE46"/>
  <c r="EE31"/>
  <c r="EE39"/>
  <c r="EE47"/>
  <c r="EE33"/>
  <c r="EE41"/>
  <c r="EE49"/>
  <c r="EE45"/>
  <c r="EE26"/>
  <c r="EE37"/>
  <c r="EE28"/>
  <c r="EE27"/>
  <c r="EE40"/>
  <c r="EE42"/>
  <c r="EE48"/>
  <c r="EE36"/>
  <c r="EE35"/>
  <c r="EE29"/>
  <c r="EE43"/>
  <c r="EE32"/>
  <c r="EE44"/>
  <c r="EE34"/>
  <c r="DV24"/>
  <c r="DV21"/>
  <c r="DV15"/>
  <c r="DV22"/>
  <c r="DV19"/>
  <c r="DV20"/>
  <c r="DV23"/>
  <c r="DV12"/>
  <c r="DV18"/>
  <c r="DV13"/>
  <c r="DV16"/>
  <c r="DV11"/>
  <c r="DV14"/>
  <c r="DV17"/>
  <c r="EA75"/>
  <c r="EA79"/>
  <c r="EA78"/>
  <c r="EA76"/>
  <c r="EA77"/>
  <c r="EA30"/>
  <c r="EA38"/>
  <c r="EA46"/>
  <c r="EA31"/>
  <c r="EA39"/>
  <c r="EA47"/>
  <c r="EA33"/>
  <c r="EA41"/>
  <c r="EA49"/>
  <c r="EA34"/>
  <c r="EA35"/>
  <c r="EA48"/>
  <c r="EA37"/>
  <c r="EA43"/>
  <c r="EA36"/>
  <c r="EA26"/>
  <c r="EA29"/>
  <c r="EA44"/>
  <c r="EA27"/>
  <c r="EA40"/>
  <c r="EA28"/>
  <c r="EA42"/>
  <c r="EA32"/>
  <c r="EA45"/>
  <c r="EF13"/>
  <c r="EF19"/>
  <c r="EF23"/>
  <c r="EF14"/>
  <c r="EF15"/>
  <c r="EF12"/>
  <c r="EF17"/>
  <c r="EF22"/>
  <c r="EF16"/>
  <c r="EF11"/>
  <c r="EF21"/>
  <c r="EF24"/>
  <c r="EF20"/>
  <c r="EF18"/>
  <c r="DW17"/>
  <c r="DW23"/>
  <c r="DW22"/>
  <c r="DW12"/>
  <c r="DW14"/>
  <c r="DW15"/>
  <c r="DW24"/>
  <c r="DW16"/>
  <c r="DW18"/>
  <c r="DW21"/>
  <c r="DW11"/>
  <c r="DW13"/>
  <c r="DW20"/>
  <c r="DW19"/>
  <c r="DU73"/>
  <c r="DU70"/>
  <c r="DU67"/>
  <c r="DU51"/>
  <c r="DU66"/>
  <c r="DU59"/>
  <c r="DU53"/>
  <c r="DU63"/>
  <c r="DU54"/>
  <c r="DU62"/>
  <c r="DU57"/>
  <c r="DU56"/>
  <c r="DU61"/>
  <c r="DU69"/>
  <c r="DU55"/>
  <c r="DU64"/>
  <c r="DU60"/>
  <c r="DU58"/>
  <c r="DU71"/>
  <c r="DU52"/>
  <c r="DU65"/>
  <c r="DU72"/>
  <c r="DU68"/>
  <c r="ED30"/>
  <c r="ED41"/>
  <c r="ED48"/>
  <c r="ED31"/>
  <c r="ED42"/>
  <c r="ED38"/>
  <c r="ED33"/>
  <c r="ED44"/>
  <c r="ED49"/>
  <c r="ED40"/>
  <c r="ED27"/>
  <c r="ED43"/>
  <c r="ED29"/>
  <c r="ED26"/>
  <c r="ED28"/>
  <c r="ED45"/>
  <c r="ED46"/>
  <c r="ED37"/>
  <c r="ED32"/>
  <c r="ED39"/>
  <c r="ED34"/>
  <c r="ED47"/>
  <c r="ED35"/>
  <c r="ED36"/>
  <c r="DZ11"/>
  <c r="DZ15"/>
  <c r="DZ19"/>
  <c r="DZ12"/>
  <c r="DZ23"/>
  <c r="DZ14"/>
  <c r="DZ21"/>
  <c r="DZ20"/>
  <c r="DZ18"/>
  <c r="DZ16"/>
  <c r="DZ13"/>
  <c r="DZ17"/>
  <c r="DZ24"/>
  <c r="DZ22"/>
  <c r="EE78"/>
  <c r="EE79"/>
  <c r="EE76"/>
  <c r="EE75"/>
  <c r="EE77"/>
  <c r="DV55"/>
  <c r="DV69"/>
  <c r="DV73"/>
  <c r="DV52"/>
  <c r="DV61"/>
  <c r="DV63"/>
  <c r="DV60"/>
  <c r="DV59"/>
  <c r="DV65"/>
  <c r="DV54"/>
  <c r="DV64"/>
  <c r="DV62"/>
  <c r="DV51"/>
  <c r="DV67"/>
  <c r="DV70"/>
  <c r="DV57"/>
  <c r="DV56"/>
  <c r="DV66"/>
  <c r="DV71"/>
  <c r="DV58"/>
  <c r="DV68"/>
  <c r="DV72"/>
  <c r="DV53"/>
  <c r="DV75"/>
  <c r="DV79"/>
  <c r="DV76"/>
  <c r="DV77"/>
  <c r="DV78"/>
  <c r="EA12"/>
  <c r="EA18"/>
  <c r="EA19"/>
  <c r="EA21"/>
  <c r="EA22"/>
  <c r="EA11"/>
  <c r="EA24"/>
  <c r="EA13"/>
  <c r="EA20"/>
  <c r="EA23"/>
  <c r="EA14"/>
  <c r="EA16"/>
  <c r="EA15"/>
  <c r="EA17"/>
  <c r="EF75"/>
  <c r="EF77"/>
  <c r="EF78"/>
  <c r="EF76"/>
  <c r="EF79"/>
  <c r="EA73"/>
  <c r="EA55"/>
  <c r="EA68"/>
  <c r="EA69"/>
  <c r="EA63"/>
  <c r="EA65"/>
  <c r="EA62"/>
  <c r="EA57"/>
  <c r="EA64"/>
  <c r="EA56"/>
  <c r="EA53"/>
  <c r="EA52"/>
  <c r="EA71"/>
  <c r="EA70"/>
  <c r="EA58"/>
  <c r="EA67"/>
  <c r="EA59"/>
  <c r="EA60"/>
  <c r="EA72"/>
  <c r="EA61"/>
  <c r="EA66"/>
  <c r="EA51"/>
  <c r="EA54"/>
  <c r="CY79"/>
  <c r="CY78"/>
  <c r="CY76"/>
  <c r="CY75"/>
  <c r="CY77"/>
  <c r="DX29"/>
  <c r="DX37"/>
  <c r="DX45"/>
  <c r="DX30"/>
  <c r="DX38"/>
  <c r="DX46"/>
  <c r="DX31"/>
  <c r="DX39"/>
  <c r="DX47"/>
  <c r="DX33"/>
  <c r="DX41"/>
  <c r="DX49"/>
  <c r="DX26"/>
  <c r="DX34"/>
  <c r="DX42"/>
  <c r="DX28"/>
  <c r="DX32"/>
  <c r="DX35"/>
  <c r="DX36"/>
  <c r="DX40"/>
  <c r="DX43"/>
  <c r="DX44"/>
  <c r="DX27"/>
  <c r="DX48"/>
  <c r="CW30"/>
  <c r="CW38"/>
  <c r="CW46"/>
  <c r="CW31"/>
  <c r="CW39"/>
  <c r="CW47"/>
  <c r="CW33"/>
  <c r="CW41"/>
  <c r="CW49"/>
  <c r="CW42"/>
  <c r="CW43"/>
  <c r="CW32"/>
  <c r="CW44"/>
  <c r="CW40"/>
  <c r="CW34"/>
  <c r="CW45"/>
  <c r="CW48"/>
  <c r="CW27"/>
  <c r="CW35"/>
  <c r="CW29"/>
  <c r="CW36"/>
  <c r="CW26"/>
  <c r="CW37"/>
  <c r="CW28"/>
  <c r="ED21"/>
  <c r="ED15"/>
  <c r="ED13"/>
  <c r="ED17"/>
  <c r="ED19"/>
  <c r="ED18"/>
  <c r="ED16"/>
  <c r="ED14"/>
  <c r="ED12"/>
  <c r="ED11"/>
  <c r="ED24"/>
  <c r="ED22"/>
  <c r="ED23"/>
  <c r="ED20"/>
  <c r="DZ29"/>
  <c r="DZ37"/>
  <c r="DZ38"/>
  <c r="DZ30"/>
  <c r="DZ41"/>
  <c r="DZ40"/>
  <c r="DZ31"/>
  <c r="DZ42"/>
  <c r="DZ48"/>
  <c r="DZ33"/>
  <c r="DZ44"/>
  <c r="DZ49"/>
  <c r="DZ26"/>
  <c r="DZ34"/>
  <c r="DZ45"/>
  <c r="DZ27"/>
  <c r="DZ39"/>
  <c r="DZ28"/>
  <c r="DZ32"/>
  <c r="DZ35"/>
  <c r="DZ36"/>
  <c r="DZ43"/>
  <c r="DZ46"/>
  <c r="DZ47"/>
  <c r="EE73"/>
  <c r="EE55"/>
  <c r="EE72"/>
  <c r="EE65"/>
  <c r="EE68"/>
  <c r="EE56"/>
  <c r="EE59"/>
  <c r="EE71"/>
  <c r="EE60"/>
  <c r="EE70"/>
  <c r="EE61"/>
  <c r="EE67"/>
  <c r="EE66"/>
  <c r="EE52"/>
  <c r="EE63"/>
  <c r="EE54"/>
  <c r="EE57"/>
  <c r="EE53"/>
  <c r="EE62"/>
  <c r="EE51"/>
  <c r="EE69"/>
  <c r="EE58"/>
  <c r="EE64"/>
  <c r="EF67"/>
  <c r="EF58"/>
  <c r="EF56"/>
  <c r="EF60"/>
  <c r="EF62"/>
  <c r="EF73"/>
  <c r="EF61"/>
  <c r="EF52"/>
  <c r="EF57"/>
  <c r="EF65"/>
  <c r="EF70"/>
  <c r="EF66"/>
  <c r="EF55"/>
  <c r="EF68"/>
  <c r="EF69"/>
  <c r="EF64"/>
  <c r="EF63"/>
  <c r="EF59"/>
  <c r="EF53"/>
  <c r="EF51"/>
  <c r="EF72"/>
  <c r="EF71"/>
  <c r="EF54"/>
  <c r="EB21"/>
  <c r="EB13"/>
  <c r="EB19"/>
  <c r="EB15"/>
  <c r="EB12"/>
  <c r="EB18"/>
  <c r="EB11"/>
  <c r="EB24"/>
  <c r="EB20"/>
  <c r="EB23"/>
  <c r="EB16"/>
  <c r="EB14"/>
  <c r="EB17"/>
  <c r="EB22"/>
  <c r="DY18"/>
  <c r="DY20"/>
  <c r="DY21"/>
  <c r="DY15"/>
  <c r="DY23"/>
  <c r="DY16"/>
  <c r="DY14"/>
  <c r="DY24"/>
  <c r="DY17"/>
  <c r="DY12"/>
  <c r="DY13"/>
  <c r="DY19"/>
  <c r="DY22"/>
  <c r="DY11"/>
  <c r="CB76"/>
  <c r="CB78"/>
  <c r="CB75"/>
  <c r="CB77"/>
  <c r="CB79"/>
  <c r="CB29"/>
  <c r="CB28"/>
  <c r="CB36"/>
  <c r="CB40"/>
  <c r="CB44"/>
  <c r="CB48"/>
  <c r="CB30"/>
  <c r="CB32"/>
  <c r="CB26"/>
  <c r="CB33"/>
  <c r="CB35"/>
  <c r="CB37"/>
  <c r="CB39"/>
  <c r="CB41"/>
  <c r="CB43"/>
  <c r="CB45"/>
  <c r="CB47"/>
  <c r="CB49"/>
  <c r="CB31"/>
  <c r="CB27"/>
  <c r="CB34"/>
  <c r="CB38"/>
  <c r="CB42"/>
  <c r="CB46"/>
  <c r="CB24"/>
  <c r="CB15"/>
  <c r="CB17"/>
  <c r="CB19"/>
  <c r="CB21"/>
  <c r="CB12"/>
  <c r="CB14"/>
  <c r="CB23"/>
  <c r="CB16"/>
  <c r="CB18"/>
  <c r="CB20"/>
  <c r="CB22"/>
  <c r="CB11"/>
  <c r="CB13"/>
  <c r="CA76"/>
  <c r="CA75"/>
  <c r="CA79"/>
  <c r="CA78"/>
  <c r="CA77"/>
  <c r="CA12"/>
  <c r="CA17"/>
  <c r="CA11"/>
  <c r="CA16"/>
  <c r="CA20"/>
  <c r="CA23"/>
  <c r="CA13"/>
  <c r="CA15"/>
  <c r="CA14"/>
  <c r="CA18"/>
  <c r="CA22"/>
  <c r="CA21"/>
  <c r="CA24"/>
  <c r="CA19"/>
  <c r="BZ53"/>
  <c r="BZ57"/>
  <c r="BZ51"/>
  <c r="BZ55"/>
  <c r="BZ59"/>
  <c r="BZ62"/>
  <c r="BZ63"/>
  <c r="BZ67"/>
  <c r="BZ71"/>
  <c r="BZ64"/>
  <c r="BZ68"/>
  <c r="BZ72"/>
  <c r="BZ52"/>
  <c r="BZ73"/>
  <c r="BZ58"/>
  <c r="BZ56"/>
  <c r="BZ61"/>
  <c r="BZ69"/>
  <c r="BZ66"/>
  <c r="BZ54"/>
  <c r="BZ60"/>
  <c r="BZ65"/>
  <c r="BZ70"/>
  <c r="BZ12"/>
  <c r="BZ19"/>
  <c r="BZ15"/>
  <c r="BZ23"/>
  <c r="BZ11"/>
  <c r="BZ13"/>
  <c r="BZ14"/>
  <c r="BZ17"/>
  <c r="BZ21"/>
  <c r="BZ24"/>
  <c r="BZ16"/>
  <c r="BZ18"/>
  <c r="BZ20"/>
  <c r="BZ22"/>
  <c r="BZ28"/>
  <c r="BZ36"/>
  <c r="BZ42"/>
  <c r="BZ27"/>
  <c r="BZ29"/>
  <c r="BZ31"/>
  <c r="BZ33"/>
  <c r="BZ35"/>
  <c r="BZ37"/>
  <c r="BZ39"/>
  <c r="BZ41"/>
  <c r="BZ43"/>
  <c r="BZ45"/>
  <c r="BZ47"/>
  <c r="BZ49"/>
  <c r="BZ26"/>
  <c r="BZ30"/>
  <c r="BZ32"/>
  <c r="BZ34"/>
  <c r="BZ38"/>
  <c r="BZ40"/>
  <c r="BZ44"/>
  <c r="BZ46"/>
  <c r="BZ48"/>
  <c r="BY12"/>
  <c r="BY18"/>
  <c r="BY22"/>
  <c r="BY17"/>
  <c r="BY20"/>
  <c r="BY21"/>
  <c r="BY14"/>
  <c r="BY16"/>
  <c r="BY23"/>
  <c r="BY13"/>
  <c r="BY15"/>
  <c r="BY24"/>
  <c r="BY11"/>
  <c r="BY19"/>
  <c r="BQ77"/>
  <c r="BQ76"/>
  <c r="BQ75"/>
  <c r="BQ79"/>
  <c r="BQ78"/>
  <c r="BQ26"/>
  <c r="BQ34"/>
  <c r="BQ27"/>
  <c r="BQ29"/>
  <c r="BQ31"/>
  <c r="BQ33"/>
  <c r="BQ35"/>
  <c r="BQ37"/>
  <c r="BQ39"/>
  <c r="BQ41"/>
  <c r="BQ43"/>
  <c r="BQ45"/>
  <c r="BQ47"/>
  <c r="BQ49"/>
  <c r="BQ28"/>
  <c r="BQ30"/>
  <c r="BQ32"/>
  <c r="BQ36"/>
  <c r="BQ38"/>
  <c r="BQ40"/>
  <c r="BQ42"/>
  <c r="BQ44"/>
  <c r="BQ46"/>
  <c r="BQ48"/>
  <c r="BQ51"/>
  <c r="BQ55"/>
  <c r="BQ53"/>
  <c r="BQ57"/>
  <c r="BQ61"/>
  <c r="BQ62"/>
  <c r="BQ66"/>
  <c r="BQ70"/>
  <c r="BQ59"/>
  <c r="BQ65"/>
  <c r="BQ69"/>
  <c r="BQ73"/>
  <c r="BQ52"/>
  <c r="BQ54"/>
  <c r="BQ60"/>
  <c r="BQ68"/>
  <c r="BQ63"/>
  <c r="BQ71"/>
  <c r="BQ56"/>
  <c r="BQ64"/>
  <c r="BQ67"/>
  <c r="BQ58"/>
  <c r="BQ72"/>
  <c r="BW78"/>
  <c r="BW77"/>
  <c r="BW79"/>
  <c r="BW75"/>
  <c r="BW76"/>
  <c r="BW27"/>
  <c r="BW29"/>
  <c r="BW31"/>
  <c r="BW33"/>
  <c r="BW35"/>
  <c r="BW37"/>
  <c r="BW41"/>
  <c r="BW43"/>
  <c r="BW45"/>
  <c r="BW47"/>
  <c r="BW48"/>
  <c r="BW40"/>
  <c r="BW26"/>
  <c r="BW30"/>
  <c r="BW34"/>
  <c r="BW38"/>
  <c r="BW44"/>
  <c r="BW39"/>
  <c r="BW28"/>
  <c r="BW32"/>
  <c r="BW36"/>
  <c r="BW42"/>
  <c r="BW46"/>
  <c r="BW49"/>
  <c r="CD12"/>
  <c r="CD14"/>
  <c r="CD19"/>
  <c r="CD18"/>
  <c r="CD21"/>
  <c r="CD24"/>
  <c r="CD23"/>
  <c r="CD17"/>
  <c r="CD13"/>
  <c r="CD16"/>
  <c r="CD11"/>
  <c r="CD15"/>
  <c r="CD20"/>
  <c r="CD22"/>
  <c r="CD27"/>
  <c r="CD29"/>
  <c r="CD31"/>
  <c r="CD33"/>
  <c r="CD35"/>
  <c r="CD37"/>
  <c r="CD39"/>
  <c r="CD41"/>
  <c r="CD43"/>
  <c r="CD45"/>
  <c r="CD47"/>
  <c r="CD49"/>
  <c r="CD26"/>
  <c r="CD30"/>
  <c r="CD34"/>
  <c r="CD38"/>
  <c r="CD42"/>
  <c r="CD46"/>
  <c r="CD28"/>
  <c r="CD32"/>
  <c r="CD36"/>
  <c r="CD40"/>
  <c r="CD44"/>
  <c r="CD48"/>
  <c r="CD76"/>
  <c r="CD78"/>
  <c r="CD77"/>
  <c r="CD79"/>
  <c r="CD75"/>
  <c r="BX30"/>
  <c r="BX32"/>
  <c r="BX28"/>
  <c r="BX33"/>
  <c r="BX35"/>
  <c r="BX37"/>
  <c r="BX39"/>
  <c r="BX41"/>
  <c r="BX43"/>
  <c r="BX45"/>
  <c r="BX47"/>
  <c r="BX49"/>
  <c r="BX29"/>
  <c r="BX26"/>
  <c r="BX34"/>
  <c r="BX38"/>
  <c r="BX42"/>
  <c r="BX46"/>
  <c r="BX31"/>
  <c r="BX27"/>
  <c r="BX36"/>
  <c r="BX40"/>
  <c r="BX44"/>
  <c r="BX48"/>
  <c r="BX53"/>
  <c r="BX57"/>
  <c r="BX51"/>
  <c r="BX55"/>
  <c r="BX59"/>
  <c r="BX62"/>
  <c r="BX54"/>
  <c r="BX52"/>
  <c r="BX60"/>
  <c r="BX65"/>
  <c r="BX69"/>
  <c r="BX73"/>
  <c r="BX64"/>
  <c r="BX68"/>
  <c r="BX72"/>
  <c r="BX63"/>
  <c r="BX71"/>
  <c r="BX66"/>
  <c r="BX56"/>
  <c r="BX67"/>
  <c r="BX61"/>
  <c r="BX70"/>
  <c r="BX58"/>
  <c r="BV15"/>
  <c r="BV14"/>
  <c r="BV18"/>
  <c r="BV13"/>
  <c r="BV12"/>
  <c r="BV20"/>
  <c r="BV11"/>
  <c r="BV24"/>
  <c r="BV23"/>
  <c r="BV19"/>
  <c r="BV21"/>
  <c r="BV22"/>
  <c r="BV16"/>
  <c r="BV17"/>
  <c r="BV76"/>
  <c r="BV78"/>
  <c r="BV75"/>
  <c r="BV79"/>
  <c r="BV77"/>
  <c r="CC11"/>
  <c r="CC14"/>
  <c r="CC22"/>
  <c r="CC20"/>
  <c r="CC19"/>
  <c r="CC21"/>
  <c r="CC18"/>
  <c r="CC12"/>
  <c r="CC16"/>
  <c r="CC23"/>
  <c r="CC13"/>
  <c r="CC24"/>
  <c r="CC17"/>
  <c r="CC15"/>
  <c r="CB53"/>
  <c r="CB57"/>
  <c r="CB51"/>
  <c r="CB55"/>
  <c r="CB59"/>
  <c r="CB62"/>
  <c r="CB65"/>
  <c r="CB69"/>
  <c r="CB73"/>
  <c r="CB64"/>
  <c r="CB68"/>
  <c r="CB72"/>
  <c r="CB54"/>
  <c r="CB58"/>
  <c r="CB52"/>
  <c r="CB56"/>
  <c r="CB60"/>
  <c r="CB63"/>
  <c r="CB67"/>
  <c r="CB71"/>
  <c r="CB61"/>
  <c r="CB66"/>
  <c r="CB70"/>
  <c r="CA52"/>
  <c r="CA56"/>
  <c r="CA54"/>
  <c r="CA58"/>
  <c r="CA59"/>
  <c r="CA66"/>
  <c r="CA70"/>
  <c r="CA60"/>
  <c r="CA63"/>
  <c r="CA67"/>
  <c r="CA71"/>
  <c r="CA68"/>
  <c r="CA55"/>
  <c r="CA57"/>
  <c r="CA64"/>
  <c r="CA72"/>
  <c r="CA65"/>
  <c r="CA73"/>
  <c r="CA51"/>
  <c r="CA53"/>
  <c r="CA61"/>
  <c r="CA62"/>
  <c r="CA69"/>
  <c r="CA27"/>
  <c r="CA29"/>
  <c r="CA31"/>
  <c r="CA33"/>
  <c r="CA35"/>
  <c r="CA37"/>
  <c r="CA41"/>
  <c r="CA43"/>
  <c r="CA45"/>
  <c r="CA47"/>
  <c r="CA48"/>
  <c r="CA39"/>
  <c r="CA26"/>
  <c r="CA30"/>
  <c r="CA34"/>
  <c r="CA38"/>
  <c r="CA44"/>
  <c r="CA40"/>
  <c r="CA28"/>
  <c r="CA32"/>
  <c r="CA36"/>
  <c r="CA42"/>
  <c r="CA46"/>
  <c r="CA49"/>
  <c r="BZ76"/>
  <c r="BZ78"/>
  <c r="BZ75"/>
  <c r="BZ79"/>
  <c r="BZ77"/>
  <c r="BY75"/>
  <c r="BY79"/>
  <c r="BY78"/>
  <c r="BY77"/>
  <c r="BY76"/>
  <c r="BY27"/>
  <c r="BY29"/>
  <c r="BY31"/>
  <c r="BY33"/>
  <c r="BY35"/>
  <c r="BY37"/>
  <c r="BY39"/>
  <c r="BY41"/>
  <c r="BY43"/>
  <c r="BY45"/>
  <c r="BY47"/>
  <c r="BY49"/>
  <c r="BY26"/>
  <c r="BY30"/>
  <c r="BY34"/>
  <c r="BY38"/>
  <c r="BY42"/>
  <c r="BY46"/>
  <c r="BY28"/>
  <c r="BY32"/>
  <c r="BY36"/>
  <c r="BY40"/>
  <c r="BY44"/>
  <c r="BY48"/>
  <c r="BY51"/>
  <c r="BY55"/>
  <c r="BY53"/>
  <c r="BY57"/>
  <c r="BY61"/>
  <c r="BY62"/>
  <c r="BY66"/>
  <c r="BY70"/>
  <c r="BY59"/>
  <c r="BY65"/>
  <c r="BY69"/>
  <c r="BY73"/>
  <c r="BY52"/>
  <c r="BY56"/>
  <c r="BY54"/>
  <c r="BY60"/>
  <c r="BY68"/>
  <c r="BY63"/>
  <c r="BY71"/>
  <c r="BY58"/>
  <c r="BY72"/>
  <c r="BY64"/>
  <c r="BY67"/>
  <c r="BQ17"/>
  <c r="BQ12"/>
  <c r="BQ22"/>
  <c r="BQ14"/>
  <c r="BQ16"/>
  <c r="BQ23"/>
  <c r="BQ18"/>
  <c r="BQ21"/>
  <c r="BQ20"/>
  <c r="BQ11"/>
  <c r="BQ19"/>
  <c r="BQ13"/>
  <c r="BQ15"/>
  <c r="BQ24"/>
  <c r="BW52"/>
  <c r="BW56"/>
  <c r="BW54"/>
  <c r="BW58"/>
  <c r="BW59"/>
  <c r="BW66"/>
  <c r="BW70"/>
  <c r="BW60"/>
  <c r="BW63"/>
  <c r="BW67"/>
  <c r="BW71"/>
  <c r="BW62"/>
  <c r="BW55"/>
  <c r="BW57"/>
  <c r="BW64"/>
  <c r="BW72"/>
  <c r="BW65"/>
  <c r="BW73"/>
  <c r="BW51"/>
  <c r="BW53"/>
  <c r="BW61"/>
  <c r="BW68"/>
  <c r="BW69"/>
  <c r="BW12"/>
  <c r="BW14"/>
  <c r="BW18"/>
  <c r="BW22"/>
  <c r="BW13"/>
  <c r="BW24"/>
  <c r="BW11"/>
  <c r="BW17"/>
  <c r="BW16"/>
  <c r="BW20"/>
  <c r="BW23"/>
  <c r="BW21"/>
  <c r="BW19"/>
  <c r="BW15"/>
  <c r="CD53"/>
  <c r="CD57"/>
  <c r="CD51"/>
  <c r="CD55"/>
  <c r="CD59"/>
  <c r="CD61"/>
  <c r="CD65"/>
  <c r="CD69"/>
  <c r="CD73"/>
  <c r="CD64"/>
  <c r="CD68"/>
  <c r="CD72"/>
  <c r="CD54"/>
  <c r="CD52"/>
  <c r="CD60"/>
  <c r="CD67"/>
  <c r="CD62"/>
  <c r="CD70"/>
  <c r="CD56"/>
  <c r="CD71"/>
  <c r="CD58"/>
  <c r="CD63"/>
  <c r="CD66"/>
  <c r="BX15"/>
  <c r="BX13"/>
  <c r="BX20"/>
  <c r="BX12"/>
  <c r="BX21"/>
  <c r="BX17"/>
  <c r="BX11"/>
  <c r="BX18"/>
  <c r="BX22"/>
  <c r="BX16"/>
  <c r="BX14"/>
  <c r="BX19"/>
  <c r="BX24"/>
  <c r="BX23"/>
  <c r="BX76"/>
  <c r="BX78"/>
  <c r="BX77"/>
  <c r="BX75"/>
  <c r="BX79"/>
  <c r="BV51"/>
  <c r="BV54"/>
  <c r="BV58"/>
  <c r="BV55"/>
  <c r="BV59"/>
  <c r="BV62"/>
  <c r="BV63"/>
  <c r="BV67"/>
  <c r="BV71"/>
  <c r="BV64"/>
  <c r="BV68"/>
  <c r="BV72"/>
  <c r="BV53"/>
  <c r="BV65"/>
  <c r="BV70"/>
  <c r="BV57"/>
  <c r="BV56"/>
  <c r="BV61"/>
  <c r="BV69"/>
  <c r="BV66"/>
  <c r="BV52"/>
  <c r="BV60"/>
  <c r="BV73"/>
  <c r="BV26"/>
  <c r="BV34"/>
  <c r="BV44"/>
  <c r="BV27"/>
  <c r="BV29"/>
  <c r="BV31"/>
  <c r="BV33"/>
  <c r="BV35"/>
  <c r="BV37"/>
  <c r="BV39"/>
  <c r="BV41"/>
  <c r="BV43"/>
  <c r="BV45"/>
  <c r="BV47"/>
  <c r="BV49"/>
  <c r="BV28"/>
  <c r="BV30"/>
  <c r="BV32"/>
  <c r="BV36"/>
  <c r="BV38"/>
  <c r="BV40"/>
  <c r="BV42"/>
  <c r="BV46"/>
  <c r="BV48"/>
  <c r="CC51"/>
  <c r="CC55"/>
  <c r="CC53"/>
  <c r="CC57"/>
  <c r="CC61"/>
  <c r="CC62"/>
  <c r="CC66"/>
  <c r="CC70"/>
  <c r="CC59"/>
  <c r="CC65"/>
  <c r="CC69"/>
  <c r="CC73"/>
  <c r="CC58"/>
  <c r="CC67"/>
  <c r="CC52"/>
  <c r="CC54"/>
  <c r="CC60"/>
  <c r="CC68"/>
  <c r="CC63"/>
  <c r="CC71"/>
  <c r="CC56"/>
  <c r="CC64"/>
  <c r="CC72"/>
  <c r="CC77"/>
  <c r="CC76"/>
  <c r="CC79"/>
  <c r="CC75"/>
  <c r="CC78"/>
  <c r="CC27"/>
  <c r="CC29"/>
  <c r="CC31"/>
  <c r="CC33"/>
  <c r="CC35"/>
  <c r="CC37"/>
  <c r="CC39"/>
  <c r="CC41"/>
  <c r="CC43"/>
  <c r="CC45"/>
  <c r="CC47"/>
  <c r="CC49"/>
  <c r="CC40"/>
  <c r="CC26"/>
  <c r="CC30"/>
  <c r="CC34"/>
  <c r="CC38"/>
  <c r="CC42"/>
  <c r="CC46"/>
  <c r="CC28"/>
  <c r="CC32"/>
  <c r="CC36"/>
  <c r="CC44"/>
  <c r="CC48"/>
  <c r="I24" i="339"/>
  <c r="Q24"/>
  <c r="C24"/>
  <c r="M24"/>
  <c r="M64" i="340" l="1"/>
  <c r="Q64"/>
  <c r="I64"/>
  <c r="BE158" i="343"/>
  <c r="BD160"/>
  <c r="BD163"/>
  <c r="BD167"/>
  <c r="BD165"/>
  <c r="BD166"/>
  <c r="BD161"/>
  <c r="BD159"/>
  <c r="BD164"/>
  <c r="BD169"/>
  <c r="BD168"/>
  <c r="BD162"/>
  <c r="C36" i="304"/>
  <c r="C26"/>
  <c r="C22"/>
  <c r="C18"/>
  <c r="C12"/>
  <c r="H10"/>
  <c r="C8"/>
  <c r="C23" i="199"/>
  <c r="D23" s="1"/>
  <c r="F23"/>
  <c r="D13"/>
  <c r="F13"/>
  <c r="F19"/>
  <c r="C19"/>
  <c r="D19" s="1"/>
  <c r="C15" i="271"/>
  <c r="I1" i="191"/>
  <c r="J1"/>
  <c r="G1"/>
  <c r="K1"/>
  <c r="L1"/>
  <c r="M1"/>
  <c r="N1"/>
  <c r="H1"/>
  <c r="K1" i="122"/>
  <c r="J1"/>
  <c r="I1"/>
  <c r="H1"/>
  <c r="G1"/>
  <c r="H1" i="235"/>
  <c r="I1"/>
  <c r="K1"/>
  <c r="G1"/>
  <c r="K24" i="121"/>
  <c r="AF3" i="342"/>
  <c r="AH3"/>
  <c r="AK3"/>
  <c r="AM3"/>
  <c r="K23" i="121"/>
  <c r="M1" i="220"/>
  <c r="S1" i="188"/>
  <c r="I7" i="358" l="1"/>
  <c r="J30" i="124"/>
  <c r="M30"/>
  <c r="L30"/>
  <c r="M28"/>
  <c r="O28" s="1"/>
  <c r="M20" i="355" s="1"/>
  <c r="K26" i="124"/>
  <c r="K24"/>
  <c r="N26"/>
  <c r="N24"/>
  <c r="K16" i="355" s="1"/>
  <c r="L27" i="124"/>
  <c r="L25"/>
  <c r="I31"/>
  <c r="K27"/>
  <c r="J25"/>
  <c r="I24"/>
  <c r="J31"/>
  <c r="K30"/>
  <c r="I30"/>
  <c r="K28"/>
  <c r="J28"/>
  <c r="M25"/>
  <c r="J26"/>
  <c r="J24"/>
  <c r="I27"/>
  <c r="I25"/>
  <c r="M24"/>
  <c r="K31"/>
  <c r="L31"/>
  <c r="N27"/>
  <c r="K19" i="355" s="1"/>
  <c r="M27" i="124"/>
  <c r="K25"/>
  <c r="N28"/>
  <c r="N25"/>
  <c r="K17" i="355" s="1"/>
  <c r="L28" i="124"/>
  <c r="L26"/>
  <c r="L24"/>
  <c r="N30"/>
  <c r="K22" i="355" s="1"/>
  <c r="J27" i="124"/>
  <c r="M26"/>
  <c r="I28"/>
  <c r="I26"/>
  <c r="I6"/>
  <c r="H6"/>
  <c r="H15"/>
  <c r="H9"/>
  <c r="I9"/>
  <c r="I15"/>
  <c r="M40" i="193"/>
  <c r="L40"/>
  <c r="C10" i="253"/>
  <c r="H16" i="287"/>
  <c r="E11"/>
  <c r="C13"/>
  <c r="F42" i="193"/>
  <c r="D42"/>
  <c r="Y17"/>
  <c r="S12"/>
  <c r="V12" s="1"/>
  <c r="N13"/>
  <c r="I14"/>
  <c r="G16"/>
  <c r="F11"/>
  <c r="C13"/>
  <c r="E17"/>
  <c r="H17"/>
  <c r="I15"/>
  <c r="C9" i="253"/>
  <c r="H15" i="287"/>
  <c r="D17"/>
  <c r="F17" s="1"/>
  <c r="C12"/>
  <c r="F41" i="193"/>
  <c r="D41"/>
  <c r="Y16"/>
  <c r="S11"/>
  <c r="M13"/>
  <c r="I13"/>
  <c r="G15"/>
  <c r="C12"/>
  <c r="E14"/>
  <c r="E10" i="245"/>
  <c r="H14" i="287"/>
  <c r="D16"/>
  <c r="F16" s="1"/>
  <c r="C11"/>
  <c r="F40" i="193"/>
  <c r="D40"/>
  <c r="Y15"/>
  <c r="R17"/>
  <c r="M14"/>
  <c r="I12"/>
  <c r="G14"/>
  <c r="E16"/>
  <c r="C11"/>
  <c r="I11"/>
  <c r="E15"/>
  <c r="D15" s="1"/>
  <c r="O13"/>
  <c r="D13" i="245"/>
  <c r="H13" i="287"/>
  <c r="D15"/>
  <c r="E44" i="193"/>
  <c r="D39"/>
  <c r="Y14"/>
  <c r="R16"/>
  <c r="L13"/>
  <c r="G13"/>
  <c r="G12"/>
  <c r="D12" i="245"/>
  <c r="H12" i="287"/>
  <c r="D14"/>
  <c r="E43" i="193"/>
  <c r="I43" s="1"/>
  <c r="D38"/>
  <c r="Y13"/>
  <c r="R15"/>
  <c r="K13"/>
  <c r="D11" i="245"/>
  <c r="H11" i="287"/>
  <c r="D13"/>
  <c r="E42" i="193"/>
  <c r="C44"/>
  <c r="Y12"/>
  <c r="R14"/>
  <c r="H16"/>
  <c r="G11"/>
  <c r="E12"/>
  <c r="E11"/>
  <c r="D11" s="1"/>
  <c r="C17"/>
  <c r="C16"/>
  <c r="D43"/>
  <c r="D10" i="245"/>
  <c r="E17" i="287"/>
  <c r="D12"/>
  <c r="F12" s="1"/>
  <c r="E41" i="193"/>
  <c r="C43"/>
  <c r="Y11"/>
  <c r="R13"/>
  <c r="J17"/>
  <c r="H15"/>
  <c r="F17"/>
  <c r="E13"/>
  <c r="H13"/>
  <c r="F14"/>
  <c r="C38"/>
  <c r="C13" i="245"/>
  <c r="E16" i="287"/>
  <c r="D11"/>
  <c r="E40" i="193"/>
  <c r="I40" s="1"/>
  <c r="C42"/>
  <c r="S17"/>
  <c r="R12"/>
  <c r="K39" s="1"/>
  <c r="J15"/>
  <c r="H14"/>
  <c r="F16"/>
  <c r="C15"/>
  <c r="C14" i="287"/>
  <c r="F12" i="193"/>
  <c r="C12" i="245"/>
  <c r="E15" i="287"/>
  <c r="C17"/>
  <c r="E39" i="193"/>
  <c r="F39" s="1"/>
  <c r="C41"/>
  <c r="S16"/>
  <c r="R11"/>
  <c r="K38" s="1"/>
  <c r="J14"/>
  <c r="F15"/>
  <c r="H17" i="287"/>
  <c r="F43" i="193"/>
  <c r="J43" s="1"/>
  <c r="C14"/>
  <c r="C11" i="245"/>
  <c r="E14" i="287"/>
  <c r="C16"/>
  <c r="E38" i="193"/>
  <c r="F38" s="1"/>
  <c r="C40"/>
  <c r="S15"/>
  <c r="Q13"/>
  <c r="I17"/>
  <c r="H12"/>
  <c r="S13"/>
  <c r="C10" i="245"/>
  <c r="E91" i="337" s="1"/>
  <c r="E13" i="287"/>
  <c r="C15"/>
  <c r="F44" i="193"/>
  <c r="D44"/>
  <c r="C39"/>
  <c r="S14"/>
  <c r="P13"/>
  <c r="I16"/>
  <c r="H11"/>
  <c r="F13"/>
  <c r="E12" i="287"/>
  <c r="G17" i="193"/>
  <c r="P9" i="253"/>
  <c r="C59" i="193"/>
  <c r="G56"/>
  <c r="G59"/>
  <c r="E56"/>
  <c r="E59"/>
  <c r="G22" i="351"/>
  <c r="G25" i="317"/>
  <c r="J22" i="192"/>
  <c r="H22"/>
  <c r="G22"/>
  <c r="I22"/>
  <c r="K22"/>
  <c r="C14" i="253"/>
  <c r="J13" i="254"/>
  <c r="K43" i="193"/>
  <c r="H43"/>
  <c r="M14" i="253"/>
  <c r="D16" i="193"/>
  <c r="G13" i="254"/>
  <c r="H13"/>
  <c r="I13"/>
  <c r="N14" i="253"/>
  <c r="D14"/>
  <c r="E14"/>
  <c r="M12"/>
  <c r="N13"/>
  <c r="N12"/>
  <c r="M13"/>
  <c r="T16" i="193"/>
  <c r="E13" i="254"/>
  <c r="F13"/>
  <c r="D13"/>
  <c r="X16" i="193"/>
  <c r="J7" i="363"/>
  <c r="G7"/>
  <c r="I7"/>
  <c r="G24" i="124"/>
  <c r="G16" i="355" s="1"/>
  <c r="H24" i="124"/>
  <c r="H16" i="355" s="1"/>
  <c r="L16" s="1"/>
  <c r="I42" i="192"/>
  <c r="G43"/>
  <c r="H43"/>
  <c r="G43" i="317"/>
  <c r="I43" i="192"/>
  <c r="G41"/>
  <c r="J43"/>
  <c r="L43"/>
  <c r="G7" i="125"/>
  <c r="H19" i="236"/>
  <c r="G7"/>
  <c r="Z158" i="343" s="1"/>
  <c r="H41" i="192"/>
  <c r="I41"/>
  <c r="G42" i="317"/>
  <c r="J41" i="192"/>
  <c r="G41" i="317"/>
  <c r="G42" i="192"/>
  <c r="H42"/>
  <c r="J42"/>
  <c r="L42"/>
  <c r="L41"/>
  <c r="I10" i="137"/>
  <c r="J11" i="193"/>
  <c r="J12" s="1"/>
  <c r="E23" i="197"/>
  <c r="G7" i="362"/>
  <c r="F8" i="197"/>
  <c r="K15" i="193"/>
  <c r="P15" i="194"/>
  <c r="O15"/>
  <c r="L13"/>
  <c r="K15"/>
  <c r="M15" i="253"/>
  <c r="M11"/>
  <c r="M8"/>
  <c r="N11"/>
  <c r="N15"/>
  <c r="N8"/>
  <c r="T13" i="193"/>
  <c r="T11"/>
  <c r="W11" s="1"/>
  <c r="C15" i="194"/>
  <c r="N15"/>
  <c r="E15"/>
  <c r="D15"/>
  <c r="G14"/>
  <c r="L15"/>
  <c r="M15"/>
  <c r="F14"/>
  <c r="F15"/>
  <c r="F36" i="335"/>
  <c r="G36" s="1"/>
  <c r="F35"/>
  <c r="G35" s="1"/>
  <c r="I34" i="360"/>
  <c r="H34"/>
  <c r="H33"/>
  <c r="H25"/>
  <c r="I23"/>
  <c r="H22"/>
  <c r="I21"/>
  <c r="H20"/>
  <c r="I19"/>
  <c r="I33"/>
  <c r="I26"/>
  <c r="I25"/>
  <c r="H23"/>
  <c r="I22"/>
  <c r="H21"/>
  <c r="I20"/>
  <c r="H19"/>
  <c r="M6" i="122"/>
  <c r="J6"/>
  <c r="K6" s="1"/>
  <c r="I7" i="360"/>
  <c r="J7" i="125"/>
  <c r="J7" i="360"/>
  <c r="H7"/>
  <c r="H7" i="125"/>
  <c r="N7"/>
  <c r="M7"/>
  <c r="I7"/>
  <c r="E24" i="335"/>
  <c r="I16" i="352"/>
  <c r="N14" i="194"/>
  <c r="H38" i="352"/>
  <c r="K29" i="122"/>
  <c r="R99" i="342" s="1"/>
  <c r="E6" i="335"/>
  <c r="G7" i="358"/>
  <c r="G36" i="192"/>
  <c r="H18" i="236"/>
  <c r="H7" s="1"/>
  <c r="J21" i="193"/>
  <c r="G13" i="351"/>
  <c r="H10" i="137"/>
  <c r="G8" i="254"/>
  <c r="G9" s="1"/>
  <c r="H8"/>
  <c r="H9" s="1"/>
  <c r="J8"/>
  <c r="J9" s="1"/>
  <c r="I8"/>
  <c r="I9" s="1"/>
  <c r="D9"/>
  <c r="E9"/>
  <c r="D8"/>
  <c r="E8"/>
  <c r="F9"/>
  <c r="F8"/>
  <c r="H14"/>
  <c r="D14"/>
  <c r="G10" i="253"/>
  <c r="H15"/>
  <c r="D15"/>
  <c r="K13" i="245"/>
  <c r="G13"/>
  <c r="C9"/>
  <c r="T14" i="193"/>
  <c r="T12"/>
  <c r="M17"/>
  <c r="G14" i="254"/>
  <c r="F10" i="253"/>
  <c r="G15"/>
  <c r="C15"/>
  <c r="N13" i="245"/>
  <c r="J13"/>
  <c r="F13"/>
  <c r="F9"/>
  <c r="T15" i="193"/>
  <c r="W15" s="1"/>
  <c r="N17"/>
  <c r="J14" i="254"/>
  <c r="F14"/>
  <c r="D11" i="253"/>
  <c r="E10"/>
  <c r="F15"/>
  <c r="M13" i="245"/>
  <c r="I13"/>
  <c r="E13"/>
  <c r="E9"/>
  <c r="T17" i="193"/>
  <c r="K17"/>
  <c r="I14" i="254"/>
  <c r="E14"/>
  <c r="H10" i="253"/>
  <c r="D10"/>
  <c r="E15"/>
  <c r="L13" i="245"/>
  <c r="H13"/>
  <c r="D9"/>
  <c r="L17" i="193"/>
  <c r="X17"/>
  <c r="I44"/>
  <c r="P13" i="245"/>
  <c r="D12" i="193"/>
  <c r="H44"/>
  <c r="U17"/>
  <c r="O13" i="245"/>
  <c r="D17" i="193"/>
  <c r="J44"/>
  <c r="F14" i="287"/>
  <c r="K38" i="190"/>
  <c r="I33"/>
  <c r="I34" s="1"/>
  <c r="K37"/>
  <c r="K36"/>
  <c r="K33"/>
  <c r="K34" s="1"/>
  <c r="H31" i="124"/>
  <c r="H23" i="355" s="1"/>
  <c r="L23" s="1"/>
  <c r="G30" i="124"/>
  <c r="J44" i="235"/>
  <c r="I43"/>
  <c r="H33"/>
  <c r="F3" i="342" s="1"/>
  <c r="J38" i="352"/>
  <c r="J14" i="122"/>
  <c r="H15"/>
  <c r="L15"/>
  <c r="J16"/>
  <c r="G16"/>
  <c r="J13"/>
  <c r="H13"/>
  <c r="I26" i="121"/>
  <c r="H22" i="236"/>
  <c r="I22" s="1"/>
  <c r="L22" s="1"/>
  <c r="K28" i="249"/>
  <c r="G28"/>
  <c r="I23" i="355"/>
  <c r="H30" i="124"/>
  <c r="H22" i="355" s="1"/>
  <c r="L22" s="1"/>
  <c r="J43" i="235"/>
  <c r="I33"/>
  <c r="G43"/>
  <c r="H22"/>
  <c r="I22" s="1"/>
  <c r="K14" i="122"/>
  <c r="I15"/>
  <c r="M15"/>
  <c r="K16"/>
  <c r="G15"/>
  <c r="K13"/>
  <c r="G13"/>
  <c r="H26" i="121"/>
  <c r="AM6" i="342" s="1"/>
  <c r="AN6" s="1"/>
  <c r="J28" i="249"/>
  <c r="M31" i="124"/>
  <c r="I22" i="355"/>
  <c r="K43" i="235"/>
  <c r="H44"/>
  <c r="G33"/>
  <c r="E3" i="342" s="1"/>
  <c r="H21" i="235"/>
  <c r="K31" i="122"/>
  <c r="H14"/>
  <c r="L14"/>
  <c r="J15"/>
  <c r="H16"/>
  <c r="L16"/>
  <c r="G14"/>
  <c r="L13"/>
  <c r="K26" i="121"/>
  <c r="AQ24" i="342" s="1"/>
  <c r="AQ36" s="1"/>
  <c r="H21" i="236"/>
  <c r="I28" i="249"/>
  <c r="I27" i="310" s="1"/>
  <c r="E30" i="335"/>
  <c r="N31" i="124"/>
  <c r="I16" i="355"/>
  <c r="I44" i="235"/>
  <c r="H43"/>
  <c r="L38" i="352"/>
  <c r="J31" i="122"/>
  <c r="I14"/>
  <c r="M14"/>
  <c r="K15"/>
  <c r="I16"/>
  <c r="M16"/>
  <c r="I13"/>
  <c r="M13"/>
  <c r="J26" i="121"/>
  <c r="H28" i="249"/>
  <c r="H24" i="235"/>
  <c r="I24" s="1"/>
  <c r="G33" i="121"/>
  <c r="H33" s="1"/>
  <c r="G15" i="249"/>
  <c r="H15" s="1"/>
  <c r="I15" s="1"/>
  <c r="J15" s="1"/>
  <c r="K15" s="1"/>
  <c r="K14" i="310" s="1"/>
  <c r="H23" i="235"/>
  <c r="I23" s="1"/>
  <c r="G34" i="121"/>
  <c r="H34" s="1"/>
  <c r="G14" i="249"/>
  <c r="H14" s="1"/>
  <c r="I14" s="1"/>
  <c r="J14" s="1"/>
  <c r="K14" s="1"/>
  <c r="K13" i="310" s="1"/>
  <c r="G32" i="121"/>
  <c r="H32" s="1"/>
  <c r="G16" i="249"/>
  <c r="H16" s="1"/>
  <c r="G31" i="121"/>
  <c r="G36" i="317"/>
  <c r="I26" i="125"/>
  <c r="G26"/>
  <c r="J26"/>
  <c r="K26" s="1"/>
  <c r="I25"/>
  <c r="I19"/>
  <c r="BS3" i="342" s="1"/>
  <c r="G25" i="125"/>
  <c r="I39" i="192"/>
  <c r="G39" i="317"/>
  <c r="J25" i="125"/>
  <c r="K25" s="1"/>
  <c r="H26"/>
  <c r="G19"/>
  <c r="H39" i="192"/>
  <c r="J19" i="125"/>
  <c r="H25"/>
  <c r="H19"/>
  <c r="H18" i="350" s="1"/>
  <c r="G39" i="192"/>
  <c r="G35" i="317"/>
  <c r="J33" i="235"/>
  <c r="G25" i="124"/>
  <c r="G17" i="355" s="1"/>
  <c r="H25" i="124"/>
  <c r="H17" i="355" s="1"/>
  <c r="L17" s="1"/>
  <c r="H20" i="125"/>
  <c r="G35" i="235"/>
  <c r="H35"/>
  <c r="I21" i="125"/>
  <c r="K19"/>
  <c r="J39" i="192"/>
  <c r="I17" i="355"/>
  <c r="K44" i="235"/>
  <c r="H34"/>
  <c r="J20" i="125"/>
  <c r="G26" i="124"/>
  <c r="G18" i="355" s="1"/>
  <c r="I35" i="235"/>
  <c r="K33"/>
  <c r="G21" i="125"/>
  <c r="G16" i="192"/>
  <c r="D65" i="344" s="1"/>
  <c r="L39" i="192"/>
  <c r="I18" i="355"/>
  <c r="G20" i="125"/>
  <c r="I20"/>
  <c r="G34" i="235"/>
  <c r="I34"/>
  <c r="G38" i="317"/>
  <c r="H26" i="124"/>
  <c r="H18" i="355" s="1"/>
  <c r="L18" s="1"/>
  <c r="H21" i="125"/>
  <c r="H20" i="350" s="1"/>
  <c r="J21" i="125"/>
  <c r="H18" i="122"/>
  <c r="G23" i="352"/>
  <c r="K37" i="235"/>
  <c r="H32" i="190"/>
  <c r="CM210" i="342" s="1"/>
  <c r="G25" i="235"/>
  <c r="K34"/>
  <c r="G26"/>
  <c r="H23" i="125"/>
  <c r="H22" i="350" s="1"/>
  <c r="I19" i="355"/>
  <c r="I36" i="235"/>
  <c r="G28" i="124"/>
  <c r="G20" i="355" s="1"/>
  <c r="K32" i="190"/>
  <c r="CY210" i="342" s="1"/>
  <c r="K22" i="125"/>
  <c r="K17" i="122"/>
  <c r="I17" i="249"/>
  <c r="I16" i="310" s="1"/>
  <c r="K20" i="125"/>
  <c r="I20" i="355"/>
  <c r="I18" i="122"/>
  <c r="H18" i="249"/>
  <c r="H18" i="123" s="1"/>
  <c r="J17" i="122"/>
  <c r="G17"/>
  <c r="K35" i="235"/>
  <c r="G18" i="122"/>
  <c r="H37" i="235"/>
  <c r="F48" i="342" s="1"/>
  <c r="G27" i="124"/>
  <c r="G19" i="355" s="1"/>
  <c r="I22" i="125"/>
  <c r="H27" i="124"/>
  <c r="H19" i="355" s="1"/>
  <c r="L19" s="1"/>
  <c r="G37" i="235"/>
  <c r="E48" i="342" s="1"/>
  <c r="H35" i="124"/>
  <c r="H27" i="355" s="1"/>
  <c r="H17" i="122"/>
  <c r="I23" i="125"/>
  <c r="I18" i="249"/>
  <c r="I17" i="310" s="1"/>
  <c r="H36" i="124"/>
  <c r="H28" i="355" s="1"/>
  <c r="K20"/>
  <c r="H33" i="190"/>
  <c r="H34" s="1"/>
  <c r="G17" i="249"/>
  <c r="G16" i="310" s="1"/>
  <c r="K18" i="355"/>
  <c r="J18" i="122"/>
  <c r="I37" i="235"/>
  <c r="G36"/>
  <c r="E12" i="342" s="1"/>
  <c r="J22" i="125"/>
  <c r="L22" s="1"/>
  <c r="H22"/>
  <c r="H21" i="350" s="1"/>
  <c r="G23" i="125"/>
  <c r="G22" i="350" s="1"/>
  <c r="H25" i="235"/>
  <c r="H17" i="249"/>
  <c r="H17" i="123" s="1"/>
  <c r="J35" i="235"/>
  <c r="K21" i="125"/>
  <c r="J23"/>
  <c r="K18" i="122"/>
  <c r="H26" i="235"/>
  <c r="J37"/>
  <c r="H31" i="190"/>
  <c r="CM209" i="342" s="1"/>
  <c r="G35" i="124"/>
  <c r="G27" i="355" s="1"/>
  <c r="G36" i="124"/>
  <c r="G28" i="355" s="1"/>
  <c r="G18" i="249"/>
  <c r="G18" i="123" s="1"/>
  <c r="H28" i="124"/>
  <c r="H20" i="355" s="1"/>
  <c r="L20" s="1"/>
  <c r="G22" i="125"/>
  <c r="G21" i="350" s="1"/>
  <c r="H36" i="235"/>
  <c r="F12" i="342" s="1"/>
  <c r="J34" i="235"/>
  <c r="K31" i="190"/>
  <c r="CY209" i="342" s="1"/>
  <c r="K23" i="125"/>
  <c r="G22" i="352"/>
  <c r="I17" i="122"/>
  <c r="K26" i="249"/>
  <c r="BC99" i="342" s="1"/>
  <c r="G26" i="249"/>
  <c r="G25" i="310" s="1"/>
  <c r="J26" i="249"/>
  <c r="J25" i="310" s="1"/>
  <c r="K36" i="235"/>
  <c r="H26" i="249"/>
  <c r="H25" i="310" s="1"/>
  <c r="J29" i="122"/>
  <c r="Q99" i="342" s="1"/>
  <c r="J36" i="235"/>
  <c r="I26" i="249"/>
  <c r="BA99" i="342" s="1"/>
  <c r="G6" i="355"/>
  <c r="L15" i="124"/>
  <c r="G6"/>
  <c r="I6" i="122"/>
  <c r="S158" i="343" s="1"/>
  <c r="M7" i="236"/>
  <c r="AG158" i="343" s="1"/>
  <c r="K7" i="123"/>
  <c r="M6" i="310"/>
  <c r="I6"/>
  <c r="K13" i="192"/>
  <c r="DS158" i="343" s="1"/>
  <c r="G7" i="123"/>
  <c r="AU158" i="343" s="1"/>
  <c r="J7" i="137"/>
  <c r="J13" i="192"/>
  <c r="DO158" i="343" s="1"/>
  <c r="L6" i="124"/>
  <c r="H6" i="122"/>
  <c r="I7" i="123"/>
  <c r="L6" i="310"/>
  <c r="H6"/>
  <c r="I7" i="137"/>
  <c r="I13" i="192"/>
  <c r="DN158" i="343" s="1"/>
  <c r="H7" i="190"/>
  <c r="C14" i="297" s="1"/>
  <c r="D14" s="1"/>
  <c r="J6" i="310"/>
  <c r="G6" i="255"/>
  <c r="I6" s="1"/>
  <c r="G6" i="235"/>
  <c r="G6" i="122"/>
  <c r="Q158" i="343" s="1"/>
  <c r="H7" i="123"/>
  <c r="K6" i="310"/>
  <c r="G6"/>
  <c r="BI158" i="343" s="1"/>
  <c r="H7" i="137"/>
  <c r="H13" i="192"/>
  <c r="DM158" i="343" s="1"/>
  <c r="G13" i="192"/>
  <c r="DL158" i="343" s="1"/>
  <c r="G15" i="124"/>
  <c r="L9"/>
  <c r="O6"/>
  <c r="G9"/>
  <c r="O15"/>
  <c r="G15" i="235"/>
  <c r="H6"/>
  <c r="G28" i="317"/>
  <c r="G7" i="352"/>
  <c r="H16" i="192"/>
  <c r="G25"/>
  <c r="H19"/>
  <c r="G19"/>
  <c r="G10" i="137"/>
  <c r="K16" i="192"/>
  <c r="H25"/>
  <c r="I19"/>
  <c r="G10" i="190"/>
  <c r="K25" i="192"/>
  <c r="J25"/>
  <c r="G25" i="351"/>
  <c r="I25" i="192"/>
  <c r="I6" i="235"/>
  <c r="D40" i="344" s="1"/>
  <c r="I16" i="192"/>
  <c r="K19"/>
  <c r="H15" i="235"/>
  <c r="J16" i="192"/>
  <c r="J19"/>
  <c r="I15" i="235"/>
  <c r="G19" i="190"/>
  <c r="J19"/>
  <c r="I7" i="352"/>
  <c r="I19" i="190"/>
  <c r="G10" i="352"/>
  <c r="J10" i="125"/>
  <c r="G10"/>
  <c r="K7" i="352"/>
  <c r="G16"/>
  <c r="H19" i="190"/>
  <c r="H10" i="125"/>
  <c r="E50" i="337" s="1"/>
  <c r="I10" i="125"/>
  <c r="K16" i="352"/>
  <c r="K10"/>
  <c r="K19" i="190"/>
  <c r="I29"/>
  <c r="CP205" i="342" s="1"/>
  <c r="H35" i="190"/>
  <c r="J39" i="352"/>
  <c r="L39"/>
  <c r="H39"/>
  <c r="L30" s="1"/>
  <c r="X13" i="193"/>
  <c r="X15"/>
  <c r="K12" i="194"/>
  <c r="L12"/>
  <c r="M12"/>
  <c r="Q8" i="245"/>
  <c r="Q9" s="1"/>
  <c r="J11" i="253"/>
  <c r="J40" i="193"/>
  <c r="H40"/>
  <c r="N11"/>
  <c r="N12" s="1"/>
  <c r="I11" i="253"/>
  <c r="G12" i="254"/>
  <c r="K11" i="253"/>
  <c r="K7" i="190"/>
  <c r="DB158" i="343" s="1"/>
  <c r="K36" i="352"/>
  <c r="I10"/>
  <c r="I36"/>
  <c r="L20" i="193"/>
  <c r="L21"/>
  <c r="O19" i="194"/>
  <c r="I20" i="193"/>
  <c r="P19" i="194"/>
  <c r="I21" i="193"/>
  <c r="O9" i="124"/>
  <c r="D40" i="338"/>
  <c r="H41" i="190"/>
  <c r="H40"/>
  <c r="I13"/>
  <c r="CG158" i="343"/>
  <c r="G19" i="351"/>
  <c r="G16"/>
  <c r="H23" i="352"/>
  <c r="G32"/>
  <c r="K32"/>
  <c r="H22"/>
  <c r="I32"/>
  <c r="I23"/>
  <c r="I22"/>
  <c r="I35"/>
  <c r="K35"/>
  <c r="I7" i="190"/>
  <c r="I8" s="1"/>
  <c r="G36" i="352"/>
  <c r="G35"/>
  <c r="BE161" i="343"/>
  <c r="BE159"/>
  <c r="BE162"/>
  <c r="BE166"/>
  <c r="BE169"/>
  <c r="BE168"/>
  <c r="BE163"/>
  <c r="BE160"/>
  <c r="BE164"/>
  <c r="BE167"/>
  <c r="BE165"/>
  <c r="BF158"/>
  <c r="E25" i="339"/>
  <c r="K10" i="190"/>
  <c r="DB132" i="343" s="1"/>
  <c r="D42" i="338"/>
  <c r="K13" i="190"/>
  <c r="AL3" i="342"/>
  <c r="AG3"/>
  <c r="AJ3"/>
  <c r="AI3"/>
  <c r="AN3"/>
  <c r="C8" i="197"/>
  <c r="DJ158" i="343"/>
  <c r="DK95"/>
  <c r="G22" i="317"/>
  <c r="G19"/>
  <c r="DI158" i="343"/>
  <c r="G16" i="317"/>
  <c r="D44" i="338"/>
  <c r="DK92" i="343"/>
  <c r="DK80"/>
  <c r="M15" i="249"/>
  <c r="M14" i="310" s="1"/>
  <c r="M16" i="249"/>
  <c r="M15" i="310" s="1"/>
  <c r="M14" i="249"/>
  <c r="M13" i="310" s="1"/>
  <c r="CI158" i="343"/>
  <c r="L15" i="249"/>
  <c r="L14" i="310" s="1"/>
  <c r="L16" i="249"/>
  <c r="L15" i="310" s="1"/>
  <c r="L14" i="249"/>
  <c r="L13" i="310" s="1"/>
  <c r="CF158" i="343"/>
  <c r="CE158"/>
  <c r="M26" i="125"/>
  <c r="N26"/>
  <c r="K18" i="249"/>
  <c r="K17" i="310" s="1"/>
  <c r="K17" i="249"/>
  <c r="K16" i="310" s="1"/>
  <c r="J18" i="249"/>
  <c r="I18" i="123" s="1"/>
  <c r="K18" s="1"/>
  <c r="J17" i="249"/>
  <c r="I17" i="123" s="1"/>
  <c r="K17" s="1"/>
  <c r="N19" i="125"/>
  <c r="N23"/>
  <c r="BZ135" i="342" s="1"/>
  <c r="N22" i="125"/>
  <c r="L28" i="249"/>
  <c r="L27" i="310" s="1"/>
  <c r="M19" i="125"/>
  <c r="L26" i="249"/>
  <c r="L25" i="310" s="1"/>
  <c r="AZ99" i="342"/>
  <c r="M28" i="249"/>
  <c r="M27" i="310" s="1"/>
  <c r="N25" i="125"/>
  <c r="M22"/>
  <c r="M25"/>
  <c r="M23"/>
  <c r="BX135" i="342" s="1"/>
  <c r="U14" i="193"/>
  <c r="M11"/>
  <c r="M12" s="1"/>
  <c r="K14"/>
  <c r="M15"/>
  <c r="M16" s="1"/>
  <c r="L11"/>
  <c r="L12" s="1"/>
  <c r="L14"/>
  <c r="N14"/>
  <c r="L15"/>
  <c r="L16" s="1"/>
  <c r="N15"/>
  <c r="N16" s="1"/>
  <c r="Q11" i="245"/>
  <c r="Q12"/>
  <c r="Q13" s="1"/>
  <c r="K10" i="194"/>
  <c r="K11" s="1"/>
  <c r="M10"/>
  <c r="M11" s="1"/>
  <c r="G10"/>
  <c r="G11" s="1"/>
  <c r="H10"/>
  <c r="H11" s="1"/>
  <c r="L10"/>
  <c r="L11" s="1"/>
  <c r="D11" i="254"/>
  <c r="C8" i="245"/>
  <c r="I14" i="194"/>
  <c r="D10" i="254"/>
  <c r="D89" i="338"/>
  <c r="D12" i="254"/>
  <c r="D86" i="338"/>
  <c r="I13" i="194"/>
  <c r="D14" i="193"/>
  <c r="I10" i="194"/>
  <c r="I12"/>
  <c r="D80" i="338"/>
  <c r="J12" i="194"/>
  <c r="J10"/>
  <c r="J11" s="1"/>
  <c r="J13"/>
  <c r="E10" i="254"/>
  <c r="E12"/>
  <c r="C14" i="194"/>
  <c r="J14"/>
  <c r="P10"/>
  <c r="P11" s="1"/>
  <c r="C12"/>
  <c r="E11" i="254"/>
  <c r="C13" i="194"/>
  <c r="C10"/>
  <c r="C11" s="1"/>
  <c r="D14"/>
  <c r="P13"/>
  <c r="E13"/>
  <c r="C12" i="253"/>
  <c r="D85" i="344" s="1"/>
  <c r="D84" i="338"/>
  <c r="G13" i="194"/>
  <c r="E12"/>
  <c r="F11" i="254"/>
  <c r="D91" i="344" s="1"/>
  <c r="F12" i="254"/>
  <c r="G12" i="194"/>
  <c r="D90" i="338"/>
  <c r="F10" i="254"/>
  <c r="E10" i="194"/>
  <c r="E11" s="1"/>
  <c r="D12"/>
  <c r="D10"/>
  <c r="D11" s="1"/>
  <c r="E14"/>
  <c r="F9" i="253"/>
  <c r="D13" i="194"/>
  <c r="D9" i="253"/>
  <c r="J10" i="254"/>
  <c r="H14" i="194"/>
  <c r="N10"/>
  <c r="N11" s="1"/>
  <c r="H12"/>
  <c r="J11" i="254"/>
  <c r="F12" i="194"/>
  <c r="H13"/>
  <c r="K14"/>
  <c r="O10"/>
  <c r="O11" s="1"/>
  <c r="G9" i="253"/>
  <c r="F10" i="194"/>
  <c r="F11" s="1"/>
  <c r="F12" i="253"/>
  <c r="E9"/>
  <c r="D85" i="338"/>
  <c r="D12" i="253"/>
  <c r="D86" i="344" s="1"/>
  <c r="F13" i="194"/>
  <c r="K13"/>
  <c r="J12" i="254"/>
  <c r="G11"/>
  <c r="H9" i="253"/>
  <c r="H11" i="254"/>
  <c r="E12" i="253"/>
  <c r="N13" i="194"/>
  <c r="G12" i="253"/>
  <c r="I11" i="254"/>
  <c r="H12" i="253"/>
  <c r="O13" i="194"/>
  <c r="CC87" i="342"/>
  <c r="CG48"/>
  <c r="CC84"/>
  <c r="CK147" i="343"/>
  <c r="CM144"/>
  <c r="CK132"/>
  <c r="AQ5" i="342"/>
  <c r="J29" i="190"/>
  <c r="CR205" i="342" s="1"/>
  <c r="G13" i="190"/>
  <c r="J13"/>
  <c r="I10"/>
  <c r="J10"/>
  <c r="CB48" i="342"/>
  <c r="CG13"/>
  <c r="CB5"/>
  <c r="CM147" i="343"/>
  <c r="CK144"/>
  <c r="AP5" i="342"/>
  <c r="AF158" i="343"/>
  <c r="H13" i="190"/>
  <c r="H21" i="320"/>
  <c r="CV147" i="343" s="1"/>
  <c r="H15" i="320"/>
  <c r="CV132" i="343" s="1"/>
  <c r="J67" i="191"/>
  <c r="L67"/>
  <c r="N67"/>
  <c r="K68"/>
  <c r="M68"/>
  <c r="I68"/>
  <c r="N66"/>
  <c r="K66"/>
  <c r="M66"/>
  <c r="K61"/>
  <c r="M61"/>
  <c r="K60"/>
  <c r="M59"/>
  <c r="DC210" i="342" s="1"/>
  <c r="M58" i="191"/>
  <c r="DC209" i="342" s="1"/>
  <c r="N24" i="191"/>
  <c r="H21"/>
  <c r="L21"/>
  <c r="DE147" i="343" s="1"/>
  <c r="J18" i="191"/>
  <c r="L18"/>
  <c r="DE144" i="343" s="1"/>
  <c r="H15" i="191"/>
  <c r="N15"/>
  <c r="DG132" i="343" s="1"/>
  <c r="DN196" i="342"/>
  <c r="CC88"/>
  <c r="CB4"/>
  <c r="CM132" i="343"/>
  <c r="CN209" i="342"/>
  <c r="H18" i="320"/>
  <c r="CV144" i="343" s="1"/>
  <c r="K67" i="191"/>
  <c r="M67"/>
  <c r="J68"/>
  <c r="L68"/>
  <c r="N68"/>
  <c r="I67"/>
  <c r="J66"/>
  <c r="L66"/>
  <c r="I66"/>
  <c r="M64"/>
  <c r="M63"/>
  <c r="J61"/>
  <c r="N61"/>
  <c r="J60"/>
  <c r="N60"/>
  <c r="J59"/>
  <c r="CZ210" i="342" s="1"/>
  <c r="N59" i="191"/>
  <c r="DD210" i="342" s="1"/>
  <c r="J58" i="191"/>
  <c r="CZ209" i="342" s="1"/>
  <c r="N58" i="191"/>
  <c r="DD209" i="342" s="1"/>
  <c r="J56" i="191"/>
  <c r="J24"/>
  <c r="L24"/>
  <c r="K21"/>
  <c r="DD147" i="343" s="1"/>
  <c r="M21" i="191"/>
  <c r="DF147" i="343" s="1"/>
  <c r="G21" i="191"/>
  <c r="K18"/>
  <c r="DD144" i="343" s="1"/>
  <c r="M18" i="191"/>
  <c r="DF144" i="343" s="1"/>
  <c r="G18" i="191"/>
  <c r="K15"/>
  <c r="DD132" i="343" s="1"/>
  <c r="M15" i="191"/>
  <c r="DF132" i="343" s="1"/>
  <c r="G15" i="191"/>
  <c r="G40" i="317"/>
  <c r="DO196" i="342"/>
  <c r="M60" i="191"/>
  <c r="K59"/>
  <c r="DA210" i="342" s="1"/>
  <c r="K58" i="191"/>
  <c r="DA209" i="342" s="1"/>
  <c r="K24" i="191"/>
  <c r="M24"/>
  <c r="DF158" i="343" s="1"/>
  <c r="J21" i="191"/>
  <c r="N21"/>
  <c r="DG147" i="343" s="1"/>
  <c r="H18" i="191"/>
  <c r="N18"/>
  <c r="DG144" i="343" s="1"/>
  <c r="J15" i="191"/>
  <c r="L15"/>
  <c r="DE132" i="343" s="1"/>
  <c r="DQ158"/>
  <c r="DR95"/>
  <c r="DT95"/>
  <c r="D46" i="338"/>
  <c r="DR158" i="343"/>
  <c r="DT158"/>
  <c r="DQ121"/>
  <c r="G7" i="137"/>
  <c r="S99" i="342"/>
  <c r="J48"/>
  <c r="I21" i="235"/>
  <c r="H9"/>
  <c r="L147" i="343"/>
  <c r="D31" i="338"/>
  <c r="D34"/>
  <c r="L144" i="343"/>
  <c r="L132"/>
  <c r="K48" i="342"/>
  <c r="I9" i="235"/>
  <c r="G9"/>
  <c r="D32" i="338"/>
  <c r="D35"/>
  <c r="D33"/>
  <c r="K3" i="342"/>
  <c r="I87"/>
  <c r="I3"/>
  <c r="J3"/>
  <c r="J89"/>
  <c r="I25" i="235"/>
  <c r="I26"/>
  <c r="K89" i="342"/>
  <c r="I48"/>
  <c r="K39" i="235"/>
  <c r="H87" i="342" s="1"/>
  <c r="H39" i="235"/>
  <c r="F87" i="342" s="1"/>
  <c r="J87"/>
  <c r="I12"/>
  <c r="J12"/>
  <c r="J24" s="1"/>
  <c r="J36" s="1"/>
  <c r="K41" i="235"/>
  <c r="H89" i="342" s="1"/>
  <c r="I41" i="235"/>
  <c r="G89" i="342" s="1"/>
  <c r="I89"/>
  <c r="G41" i="235"/>
  <c r="E89" i="342" s="1"/>
  <c r="K12"/>
  <c r="G39" i="235"/>
  <c r="E87" i="342" s="1"/>
  <c r="H41" i="235"/>
  <c r="F89" i="342" s="1"/>
  <c r="K87"/>
  <c r="I39" i="235"/>
  <c r="G87" i="342" s="1"/>
  <c r="I40" i="235"/>
  <c r="G88" i="342" s="1"/>
  <c r="J88"/>
  <c r="H40" i="235"/>
  <c r="F88" i="342" s="1"/>
  <c r="K88"/>
  <c r="G40" i="235"/>
  <c r="E88" i="342" s="1"/>
  <c r="I88"/>
  <c r="K40" i="235"/>
  <c r="H88" i="342" s="1"/>
  <c r="J19" i="194"/>
  <c r="I19"/>
  <c r="K19"/>
  <c r="E5" i="339"/>
  <c r="I31" i="122"/>
  <c r="G31"/>
  <c r="H31"/>
  <c r="M18" i="249"/>
  <c r="M17" i="310" s="1"/>
  <c r="M17" i="249"/>
  <c r="M16" i="310" s="1"/>
  <c r="CN210" i="342"/>
  <c r="M22" i="236"/>
  <c r="M26" i="249"/>
  <c r="M25" i="310" s="1"/>
  <c r="M21" i="236"/>
  <c r="L18" i="249"/>
  <c r="L17" i="310" s="1"/>
  <c r="L17" i="249"/>
  <c r="L16" i="310" s="1"/>
  <c r="E4" i="339"/>
  <c r="H60" i="193"/>
  <c r="I17" i="245"/>
  <c r="Q28"/>
  <c r="Q29" s="1"/>
  <c r="G60" i="193"/>
  <c r="X21"/>
  <c r="Q31" i="245"/>
  <c r="H37"/>
  <c r="I37"/>
  <c r="D37"/>
  <c r="C36"/>
  <c r="D16"/>
  <c r="E36"/>
  <c r="F16"/>
  <c r="G36"/>
  <c r="G21" i="193"/>
  <c r="F21"/>
  <c r="D20"/>
  <c r="J37" i="245"/>
  <c r="H16"/>
  <c r="J16"/>
  <c r="D17"/>
  <c r="E17"/>
  <c r="E16"/>
  <c r="F36"/>
  <c r="G37"/>
  <c r="M19" i="194"/>
  <c r="E19"/>
  <c r="E21" i="193"/>
  <c r="M20"/>
  <c r="T21"/>
  <c r="D21"/>
  <c r="H36" i="245"/>
  <c r="I16"/>
  <c r="J17"/>
  <c r="H17"/>
  <c r="E37"/>
  <c r="C17"/>
  <c r="F17"/>
  <c r="G16"/>
  <c r="Y21" i="193"/>
  <c r="F19" i="194"/>
  <c r="S21" i="193"/>
  <c r="G20"/>
  <c r="R21"/>
  <c r="C20"/>
  <c r="H20"/>
  <c r="C60"/>
  <c r="I36" i="245"/>
  <c r="F37"/>
  <c r="D19" i="194"/>
  <c r="C21" i="193"/>
  <c r="F20"/>
  <c r="Q32" i="245"/>
  <c r="Q33" s="1"/>
  <c r="D36"/>
  <c r="G17"/>
  <c r="C19" i="194"/>
  <c r="E20" i="193"/>
  <c r="J36" i="245"/>
  <c r="C16"/>
  <c r="H21" i="193"/>
  <c r="M21"/>
  <c r="C37" i="245"/>
  <c r="E60" i="193"/>
  <c r="I8" i="358" l="1"/>
  <c r="I9" s="1"/>
  <c r="H7" i="362"/>
  <c r="G14"/>
  <c r="G12"/>
  <c r="J14" i="310"/>
  <c r="G15" i="123"/>
  <c r="U11" i="193"/>
  <c r="I16" i="124"/>
  <c r="H16"/>
  <c r="H7"/>
  <c r="I7"/>
  <c r="H10"/>
  <c r="I10"/>
  <c r="H16" i="310"/>
  <c r="J23" i="192"/>
  <c r="J24" s="1"/>
  <c r="G17" i="138"/>
  <c r="G18" s="1"/>
  <c r="K23" i="192"/>
  <c r="K24" s="1"/>
  <c r="G23"/>
  <c r="G24" s="1"/>
  <c r="J23" i="351"/>
  <c r="J24" s="1"/>
  <c r="I23" i="192"/>
  <c r="I24" s="1"/>
  <c r="H17" i="138"/>
  <c r="H18" s="1"/>
  <c r="G23" i="351"/>
  <c r="G24" s="1"/>
  <c r="H23" i="192"/>
  <c r="H24" s="1"/>
  <c r="G26" i="317"/>
  <c r="I14" i="310"/>
  <c r="J25" i="317"/>
  <c r="H71" i="194"/>
  <c r="D71"/>
  <c r="G71"/>
  <c r="H15" i="123"/>
  <c r="G24" i="335"/>
  <c r="H22" i="351"/>
  <c r="H23" s="1"/>
  <c r="H24" s="1"/>
  <c r="I19"/>
  <c r="I22"/>
  <c r="I23" s="1"/>
  <c r="I24" s="1"/>
  <c r="K22"/>
  <c r="K23" s="1"/>
  <c r="K24" s="1"/>
  <c r="I16" i="138"/>
  <c r="I17" s="1"/>
  <c r="I18" s="1"/>
  <c r="H14" i="310"/>
  <c r="C71" i="194"/>
  <c r="I15" i="123"/>
  <c r="K15" s="1"/>
  <c r="G8" i="363"/>
  <c r="G9" s="1"/>
  <c r="J8"/>
  <c r="J9" s="1"/>
  <c r="G8" i="362"/>
  <c r="H8" s="1"/>
  <c r="G15"/>
  <c r="H15" s="1"/>
  <c r="G11"/>
  <c r="H11" s="1"/>
  <c r="G13"/>
  <c r="H13" s="1"/>
  <c r="H12"/>
  <c r="G9"/>
  <c r="H9" s="1"/>
  <c r="G10"/>
  <c r="H10" s="1"/>
  <c r="H8" i="363"/>
  <c r="H9" s="1"/>
  <c r="K19" i="236"/>
  <c r="J19"/>
  <c r="I19"/>
  <c r="L19" s="1"/>
  <c r="I8" i="363"/>
  <c r="I9" s="1"/>
  <c r="F24" i="335"/>
  <c r="D73" i="194"/>
  <c r="C73"/>
  <c r="F6" i="335"/>
  <c r="G6"/>
  <c r="H6"/>
  <c r="I6" s="1"/>
  <c r="J16" i="352"/>
  <c r="H36" i="317"/>
  <c r="I36" s="1"/>
  <c r="L36" s="1"/>
  <c r="H42"/>
  <c r="H41"/>
  <c r="H43"/>
  <c r="H39"/>
  <c r="K39" s="1"/>
  <c r="K13" i="351"/>
  <c r="K14" s="1"/>
  <c r="K15" s="1"/>
  <c r="K16"/>
  <c r="K17" s="1"/>
  <c r="K18" s="1"/>
  <c r="D21" i="294"/>
  <c r="G21" s="1"/>
  <c r="K18" i="236"/>
  <c r="K7" s="1"/>
  <c r="AD158" i="343" s="1"/>
  <c r="AD165" s="1"/>
  <c r="AA158"/>
  <c r="AA165" s="1"/>
  <c r="T158"/>
  <c r="T165" s="1"/>
  <c r="N6" i="122"/>
  <c r="Y158" i="343" s="1"/>
  <c r="L6" i="122"/>
  <c r="W158" i="343" s="1"/>
  <c r="F9" i="197"/>
  <c r="H8"/>
  <c r="H9" s="1"/>
  <c r="G8"/>
  <c r="G9" s="1"/>
  <c r="F30" i="335"/>
  <c r="L16" i="352"/>
  <c r="H16"/>
  <c r="L7"/>
  <c r="L8" s="1"/>
  <c r="L9" s="1"/>
  <c r="H7"/>
  <c r="H8" s="1"/>
  <c r="H9" s="1"/>
  <c r="D8" i="197"/>
  <c r="D9" s="1"/>
  <c r="E8"/>
  <c r="K25" i="310"/>
  <c r="H13"/>
  <c r="E60" i="337"/>
  <c r="O12" i="197"/>
  <c r="W17" i="193"/>
  <c r="O10" i="197"/>
  <c r="W13" i="193"/>
  <c r="O11" i="197"/>
  <c r="W14" i="193"/>
  <c r="K44"/>
  <c r="V17"/>
  <c r="U12"/>
  <c r="O9" i="197"/>
  <c r="W12" i="193"/>
  <c r="R158" i="343"/>
  <c r="R165" s="1"/>
  <c r="J16" i="310"/>
  <c r="E59" i="337"/>
  <c r="D59" s="1"/>
  <c r="D25" s="1"/>
  <c r="G17" i="123"/>
  <c r="K8" i="138"/>
  <c r="K9" s="1"/>
  <c r="L52" i="317"/>
  <c r="K52"/>
  <c r="G7" i="124"/>
  <c r="G8" s="1"/>
  <c r="L7"/>
  <c r="L8" s="1"/>
  <c r="L10"/>
  <c r="G10"/>
  <c r="O10"/>
  <c r="O11" s="1"/>
  <c r="O16"/>
  <c r="G16"/>
  <c r="L16"/>
  <c r="H24" i="335"/>
  <c r="I24" s="1"/>
  <c r="I13" i="138"/>
  <c r="I14" s="1"/>
  <c r="I15" s="1"/>
  <c r="G13" i="310"/>
  <c r="H14" i="123"/>
  <c r="G14"/>
  <c r="I13" i="310"/>
  <c r="I14" i="123"/>
  <c r="K14" s="1"/>
  <c r="G16"/>
  <c r="J17" i="310"/>
  <c r="I34" i="121"/>
  <c r="J34" s="1"/>
  <c r="K34" s="1"/>
  <c r="D39" i="297"/>
  <c r="E39" s="1"/>
  <c r="C20" i="271" s="1"/>
  <c r="I33" i="121"/>
  <c r="J33" s="1"/>
  <c r="K33" s="1"/>
  <c r="D38" i="297"/>
  <c r="E38" s="1"/>
  <c r="C19" i="271" s="1"/>
  <c r="I32" i="121"/>
  <c r="D37" i="297"/>
  <c r="H36" i="192"/>
  <c r="J36" s="1"/>
  <c r="I19" i="138"/>
  <c r="I20" s="1"/>
  <c r="I21" s="1"/>
  <c r="J28" i="317"/>
  <c r="I25" i="351"/>
  <c r="I26" s="1"/>
  <c r="I27" s="1"/>
  <c r="H16"/>
  <c r="H17" s="1"/>
  <c r="H18" s="1"/>
  <c r="I16"/>
  <c r="I17" s="1"/>
  <c r="I18" s="1"/>
  <c r="I13"/>
  <c r="I14" s="1"/>
  <c r="I15" s="1"/>
  <c r="H19"/>
  <c r="H20" s="1"/>
  <c r="H21" s="1"/>
  <c r="H7"/>
  <c r="H8" s="1"/>
  <c r="H9" s="1"/>
  <c r="I7"/>
  <c r="I8" s="1"/>
  <c r="I9" s="1"/>
  <c r="I10"/>
  <c r="I11" s="1"/>
  <c r="I12" s="1"/>
  <c r="H25"/>
  <c r="H26" s="1"/>
  <c r="H27" s="1"/>
  <c r="H10"/>
  <c r="H11" s="1"/>
  <c r="H12" s="1"/>
  <c r="H13"/>
  <c r="H14" s="1"/>
  <c r="H15" s="1"/>
  <c r="J20"/>
  <c r="J21" s="1"/>
  <c r="J11"/>
  <c r="J12" s="1"/>
  <c r="J26"/>
  <c r="J27" s="1"/>
  <c r="G8" i="358"/>
  <c r="G9" s="1"/>
  <c r="H8"/>
  <c r="H9" s="1"/>
  <c r="J14" i="351"/>
  <c r="J15" s="1"/>
  <c r="J8"/>
  <c r="J9" s="1"/>
  <c r="G11" i="317"/>
  <c r="H11" s="1"/>
  <c r="J17" i="351"/>
  <c r="J18" s="1"/>
  <c r="H30" i="335"/>
  <c r="E31"/>
  <c r="E26"/>
  <c r="E25"/>
  <c r="I36" i="192"/>
  <c r="K10" i="351"/>
  <c r="M16" i="317"/>
  <c r="M17" s="1"/>
  <c r="M18" s="1"/>
  <c r="J16"/>
  <c r="E57" i="337"/>
  <c r="O24" i="124"/>
  <c r="M16" i="355"/>
  <c r="CY212" i="342"/>
  <c r="CY213"/>
  <c r="CY214"/>
  <c r="J7" i="352"/>
  <c r="J8" s="1"/>
  <c r="J9" s="1"/>
  <c r="J18" i="236"/>
  <c r="I18"/>
  <c r="I7" s="1"/>
  <c r="J31" i="121"/>
  <c r="H31"/>
  <c r="K31"/>
  <c r="I31"/>
  <c r="F13" i="287"/>
  <c r="M7" i="122"/>
  <c r="M8" s="1"/>
  <c r="O25" i="124"/>
  <c r="M17" i="355"/>
  <c r="H16" i="123"/>
  <c r="I16" i="249"/>
  <c r="K23" i="355"/>
  <c r="O31" i="124"/>
  <c r="M23" i="355" s="1"/>
  <c r="E7" i="335"/>
  <c r="G7" s="1"/>
  <c r="H6" i="355"/>
  <c r="H7" s="1"/>
  <c r="H8" s="1"/>
  <c r="L6"/>
  <c r="L7" s="1"/>
  <c r="L8" s="1"/>
  <c r="I6"/>
  <c r="I7" s="1"/>
  <c r="I8" s="1"/>
  <c r="M19" i="317"/>
  <c r="E94" i="337"/>
  <c r="G94" s="1"/>
  <c r="E95"/>
  <c r="G95" s="1"/>
  <c r="D23" i="294"/>
  <c r="G23" s="1"/>
  <c r="D25"/>
  <c r="D24"/>
  <c r="E9" i="335"/>
  <c r="G9" s="1"/>
  <c r="H31" i="352"/>
  <c r="J31" s="1"/>
  <c r="H10"/>
  <c r="H11" s="1"/>
  <c r="L7" i="138"/>
  <c r="L8" s="1"/>
  <c r="K7" i="351"/>
  <c r="L13" i="138"/>
  <c r="L14" s="1"/>
  <c r="K19" i="351"/>
  <c r="K20" s="1"/>
  <c r="K25"/>
  <c r="F163" i="341"/>
  <c r="F166" s="1"/>
  <c r="F179" s="1"/>
  <c r="F152"/>
  <c r="F162" s="1"/>
  <c r="H14" i="138"/>
  <c r="H15" s="1"/>
  <c r="K14"/>
  <c r="G7" i="355"/>
  <c r="G8" s="1"/>
  <c r="G23" i="317"/>
  <c r="G24" s="1"/>
  <c r="G15" i="310"/>
  <c r="I25"/>
  <c r="H17"/>
  <c r="J11" i="190"/>
  <c r="G17" i="310"/>
  <c r="K22" i="236"/>
  <c r="J22"/>
  <c r="I21"/>
  <c r="L21" s="1"/>
  <c r="J21"/>
  <c r="K21"/>
  <c r="AH88" i="342"/>
  <c r="AJ88" s="1"/>
  <c r="AJ91" s="1"/>
  <c r="AJ94" s="1"/>
  <c r="AH4"/>
  <c r="G34" i="352"/>
  <c r="G33"/>
  <c r="I51" i="348"/>
  <c r="N51" s="1"/>
  <c r="I48"/>
  <c r="N48" s="1"/>
  <c r="I47"/>
  <c r="N47" s="1"/>
  <c r="I42"/>
  <c r="N42" s="1"/>
  <c r="I50"/>
  <c r="N50" s="1"/>
  <c r="I41"/>
  <c r="N41" s="1"/>
  <c r="I49"/>
  <c r="N49" s="1"/>
  <c r="I44"/>
  <c r="N44" s="1"/>
  <c r="I52"/>
  <c r="N52" s="1"/>
  <c r="I43"/>
  <c r="N43" s="1"/>
  <c r="I46"/>
  <c r="N46" s="1"/>
  <c r="I45"/>
  <c r="N45" s="1"/>
  <c r="AF88" i="342"/>
  <c r="AF91" s="1"/>
  <c r="AF94" s="1"/>
  <c r="AF4"/>
  <c r="AG4" s="1"/>
  <c r="AH89"/>
  <c r="AI89" s="1"/>
  <c r="AI92" s="1"/>
  <c r="AI95" s="1"/>
  <c r="AH5"/>
  <c r="I22" i="350"/>
  <c r="J22" s="1"/>
  <c r="L23" i="125"/>
  <c r="I34" i="352"/>
  <c r="I33"/>
  <c r="I57" i="348"/>
  <c r="N57" s="1"/>
  <c r="I65"/>
  <c r="N65" s="1"/>
  <c r="I64"/>
  <c r="N64" s="1"/>
  <c r="I59"/>
  <c r="N59" s="1"/>
  <c r="I67"/>
  <c r="N67" s="1"/>
  <c r="I68"/>
  <c r="N68" s="1"/>
  <c r="I66"/>
  <c r="N66" s="1"/>
  <c r="I58"/>
  <c r="N58" s="1"/>
  <c r="I61"/>
  <c r="N61" s="1"/>
  <c r="I62"/>
  <c r="N62" s="1"/>
  <c r="I63"/>
  <c r="N63" s="1"/>
  <c r="I60"/>
  <c r="N60" s="1"/>
  <c r="AF89" i="342"/>
  <c r="AF92" s="1"/>
  <c r="AF95" s="1"/>
  <c r="AF5"/>
  <c r="AG5" s="1"/>
  <c r="AK88"/>
  <c r="AL88" s="1"/>
  <c r="AL91" s="1"/>
  <c r="AL94" s="1"/>
  <c r="AK4"/>
  <c r="AL4" s="1"/>
  <c r="L25" i="125"/>
  <c r="L26"/>
  <c r="J10" i="352"/>
  <c r="J11" s="1"/>
  <c r="J41" i="348"/>
  <c r="J9"/>
  <c r="AK89" i="342"/>
  <c r="AK92" s="1"/>
  <c r="AK95" s="1"/>
  <c r="AK5"/>
  <c r="AL5" s="1"/>
  <c r="O30" i="124"/>
  <c r="M22" i="355" s="1"/>
  <c r="I21" i="350"/>
  <c r="J21" s="1"/>
  <c r="I18"/>
  <c r="J18" s="1"/>
  <c r="L19" i="125"/>
  <c r="K34" i="352"/>
  <c r="K33"/>
  <c r="I19" i="348"/>
  <c r="N19" s="1"/>
  <c r="I9"/>
  <c r="N9" s="1"/>
  <c r="I16"/>
  <c r="N16" s="1"/>
  <c r="I11"/>
  <c r="N11" s="1"/>
  <c r="I10"/>
  <c r="N10" s="1"/>
  <c r="I18"/>
  <c r="N18" s="1"/>
  <c r="I13"/>
  <c r="N13" s="1"/>
  <c r="I12"/>
  <c r="N12" s="1"/>
  <c r="I20"/>
  <c r="N20" s="1"/>
  <c r="I15"/>
  <c r="N15" s="1"/>
  <c r="I14"/>
  <c r="N14" s="1"/>
  <c r="I17"/>
  <c r="N17" s="1"/>
  <c r="I35"/>
  <c r="N35" s="1"/>
  <c r="I28"/>
  <c r="N28" s="1"/>
  <c r="I36"/>
  <c r="N36" s="1"/>
  <c r="I25"/>
  <c r="N25" s="1"/>
  <c r="I33"/>
  <c r="N33" s="1"/>
  <c r="I30"/>
  <c r="N30" s="1"/>
  <c r="I27"/>
  <c r="N27" s="1"/>
  <c r="I32"/>
  <c r="N32" s="1"/>
  <c r="I29"/>
  <c r="N29" s="1"/>
  <c r="I26"/>
  <c r="N26" s="1"/>
  <c r="I34"/>
  <c r="N34" s="1"/>
  <c r="I31"/>
  <c r="N31" s="1"/>
  <c r="D39" i="344"/>
  <c r="C39" s="1"/>
  <c r="G14" i="190"/>
  <c r="BH158" i="343"/>
  <c r="BG158"/>
  <c r="BF160"/>
  <c r="BF159"/>
  <c r="BF168"/>
  <c r="BF164"/>
  <c r="BF169"/>
  <c r="BF161"/>
  <c r="BF163"/>
  <c r="BF165"/>
  <c r="BF166"/>
  <c r="BF167"/>
  <c r="BF162"/>
  <c r="J11" i="121"/>
  <c r="J12" s="1"/>
  <c r="H11"/>
  <c r="H12" s="1"/>
  <c r="H19" i="320"/>
  <c r="H20" s="1"/>
  <c r="K8" i="190"/>
  <c r="K9" s="1"/>
  <c r="H8"/>
  <c r="I14"/>
  <c r="H14"/>
  <c r="CS132" i="343"/>
  <c r="CS133" s="1"/>
  <c r="I11" i="190"/>
  <c r="J14"/>
  <c r="D41" i="338"/>
  <c r="C41" s="1"/>
  <c r="CO144" i="343"/>
  <c r="CO146" s="1"/>
  <c r="T152" i="341"/>
  <c r="T159" s="1"/>
  <c r="E93" i="340"/>
  <c r="G93" s="1"/>
  <c r="I11" i="194"/>
  <c r="D91" i="345"/>
  <c r="C91" s="1"/>
  <c r="C9" i="197"/>
  <c r="E32" i="339"/>
  <c r="C32" s="1"/>
  <c r="M28" i="317"/>
  <c r="M22"/>
  <c r="M8"/>
  <c r="M9" s="1"/>
  <c r="I8"/>
  <c r="K8"/>
  <c r="G8"/>
  <c r="G9" s="1"/>
  <c r="H8"/>
  <c r="J8"/>
  <c r="L8"/>
  <c r="E89" i="340"/>
  <c r="G89" s="1"/>
  <c r="E88"/>
  <c r="G88" s="1"/>
  <c r="E94"/>
  <c r="G94" s="1"/>
  <c r="D92" i="345"/>
  <c r="C92" s="1"/>
  <c r="D88"/>
  <c r="C88" s="1"/>
  <c r="E90" i="340"/>
  <c r="D90" s="1"/>
  <c r="Q149" i="341"/>
  <c r="Q151" s="1"/>
  <c r="CS147" i="343"/>
  <c r="CS151" s="1"/>
  <c r="M11" i="317"/>
  <c r="M12" s="1"/>
  <c r="M14"/>
  <c r="M15" s="1"/>
  <c r="K8" i="352"/>
  <c r="K9" s="1"/>
  <c r="G8"/>
  <c r="G9" s="1"/>
  <c r="O7" i="124"/>
  <c r="O8" s="1"/>
  <c r="I8" i="352"/>
  <c r="I9" s="1"/>
  <c r="CO147" i="343"/>
  <c r="CO150" s="1"/>
  <c r="J14" i="121"/>
  <c r="J15" s="1"/>
  <c r="I11"/>
  <c r="I12" s="1"/>
  <c r="G11" i="352"/>
  <c r="I11"/>
  <c r="G48" i="342"/>
  <c r="G56" s="1"/>
  <c r="H48"/>
  <c r="H49" s="1"/>
  <c r="G3"/>
  <c r="G6" s="1"/>
  <c r="M6" s="1"/>
  <c r="H3"/>
  <c r="G12"/>
  <c r="G24" s="1"/>
  <c r="H13"/>
  <c r="H25" s="1"/>
  <c r="H37" s="1"/>
  <c r="D41" i="345"/>
  <c r="C41" s="1"/>
  <c r="D40"/>
  <c r="F40" s="1"/>
  <c r="X4" i="342"/>
  <c r="X7" s="1"/>
  <c r="DS95" i="343"/>
  <c r="DS96" s="1"/>
  <c r="DN95"/>
  <c r="DN96" s="1"/>
  <c r="I8" i="350"/>
  <c r="I9" s="1"/>
  <c r="I163" i="341"/>
  <c r="I175" s="1"/>
  <c r="D75" i="338"/>
  <c r="D83"/>
  <c r="E79" i="340"/>
  <c r="D79" s="1"/>
  <c r="U6" i="341"/>
  <c r="E10" i="335"/>
  <c r="E11"/>
  <c r="G11" s="1"/>
  <c r="D76" i="338"/>
  <c r="F76" s="1"/>
  <c r="D77" i="344"/>
  <c r="F77" s="1"/>
  <c r="E80" i="340"/>
  <c r="G80" s="1"/>
  <c r="D79" i="338"/>
  <c r="F79" s="1"/>
  <c r="D80" i="344"/>
  <c r="C80" s="1"/>
  <c r="E16" i="335"/>
  <c r="E14"/>
  <c r="E12"/>
  <c r="E15"/>
  <c r="E13"/>
  <c r="E8"/>
  <c r="G14" i="351"/>
  <c r="G15" s="1"/>
  <c r="G20"/>
  <c r="D74" i="338"/>
  <c r="F74" s="1"/>
  <c r="G8" i="351"/>
  <c r="G9" s="1"/>
  <c r="G17"/>
  <c r="G18" s="1"/>
  <c r="J19" i="317"/>
  <c r="J22"/>
  <c r="D43" i="338"/>
  <c r="C43" s="1"/>
  <c r="G24" i="332"/>
  <c r="G24" i="350"/>
  <c r="H24" i="332"/>
  <c r="H24" i="350"/>
  <c r="I24" i="332"/>
  <c r="J24" s="1"/>
  <c r="I24" i="350"/>
  <c r="J24" s="1"/>
  <c r="H25" i="332"/>
  <c r="H25" i="350"/>
  <c r="I25" i="332"/>
  <c r="J25" s="1"/>
  <c r="I25" i="350"/>
  <c r="J25" s="1"/>
  <c r="BN3" i="342"/>
  <c r="BN6" s="1"/>
  <c r="BN9" s="1"/>
  <c r="G18" i="350"/>
  <c r="G25" i="332"/>
  <c r="G25" i="350"/>
  <c r="CG6" i="342"/>
  <c r="CG9" s="1"/>
  <c r="D68" i="344"/>
  <c r="F68" s="1"/>
  <c r="E46" i="337"/>
  <c r="E16"/>
  <c r="D50"/>
  <c r="D16" s="1"/>
  <c r="D47" i="344"/>
  <c r="F47" s="1"/>
  <c r="A49" i="337" s="1"/>
  <c r="J8" i="350"/>
  <c r="J9" s="1"/>
  <c r="DK158" i="343"/>
  <c r="DK163" s="1"/>
  <c r="E43" i="337"/>
  <c r="H9" i="347"/>
  <c r="H15" s="1"/>
  <c r="K15" s="1"/>
  <c r="H9" i="348"/>
  <c r="H57"/>
  <c r="H57" i="347"/>
  <c r="L13"/>
  <c r="L45" s="1"/>
  <c r="L13" i="348"/>
  <c r="E6" i="339"/>
  <c r="AP8" i="342"/>
  <c r="AP11" s="1"/>
  <c r="CS144" i="343"/>
  <c r="E16" i="339"/>
  <c r="C16" s="1"/>
  <c r="K14" i="190"/>
  <c r="E26" i="339"/>
  <c r="K91" i="342"/>
  <c r="K94" s="1"/>
  <c r="K90"/>
  <c r="K93" s="1"/>
  <c r="K11" i="190"/>
  <c r="K12" s="1"/>
  <c r="D61" i="344"/>
  <c r="K24" i="342"/>
  <c r="K36" s="1"/>
  <c r="E163" i="341"/>
  <c r="E175" s="1"/>
  <c r="E180" s="1"/>
  <c r="K92" i="342"/>
  <c r="K95" s="1"/>
  <c r="Q137" i="341"/>
  <c r="Q140" s="1"/>
  <c r="Q152"/>
  <c r="Q158" s="1"/>
  <c r="F85" i="338"/>
  <c r="C85"/>
  <c r="U137" i="341"/>
  <c r="U146" s="1"/>
  <c r="D82" i="344"/>
  <c r="F84" i="338"/>
  <c r="C84"/>
  <c r="F137" i="341"/>
  <c r="F85" s="1"/>
  <c r="D81" i="344"/>
  <c r="F80" i="338"/>
  <c r="C80"/>
  <c r="I137" i="341"/>
  <c r="I85" s="1"/>
  <c r="D76" i="344"/>
  <c r="F86" i="338"/>
  <c r="C86"/>
  <c r="F89"/>
  <c r="C89"/>
  <c r="I152" i="341"/>
  <c r="I159" s="1"/>
  <c r="D77" i="345"/>
  <c r="E6" i="341"/>
  <c r="E12" s="1"/>
  <c r="E78" i="340"/>
  <c r="J149" i="341"/>
  <c r="J150" s="1"/>
  <c r="D77" i="338"/>
  <c r="J137" i="341"/>
  <c r="J138" s="1"/>
  <c r="D78" i="344"/>
  <c r="E137" i="341"/>
  <c r="E148" s="1"/>
  <c r="D75" i="344"/>
  <c r="K6" i="341"/>
  <c r="K7" s="1"/>
  <c r="E81" i="340"/>
  <c r="F86" i="344"/>
  <c r="C86"/>
  <c r="F90" i="338"/>
  <c r="C90"/>
  <c r="F91" i="344"/>
  <c r="C91"/>
  <c r="C85"/>
  <c r="F85"/>
  <c r="F6" i="341"/>
  <c r="F12" s="1"/>
  <c r="E84" i="340"/>
  <c r="S137" i="341"/>
  <c r="S139" s="1"/>
  <c r="D90" i="344"/>
  <c r="E152" i="341"/>
  <c r="E161" s="1"/>
  <c r="D76" i="345"/>
  <c r="D91" i="337"/>
  <c r="G91"/>
  <c r="D36" i="338"/>
  <c r="C35"/>
  <c r="C32"/>
  <c r="M147" i="343"/>
  <c r="M151" s="1"/>
  <c r="D44" i="345"/>
  <c r="D37" i="338"/>
  <c r="C34"/>
  <c r="N147" i="343"/>
  <c r="N151" s="1"/>
  <c r="D46" i="345"/>
  <c r="K147" i="343"/>
  <c r="K148" s="1"/>
  <c r="D43" i="345"/>
  <c r="DL95" i="343"/>
  <c r="DL121" s="1"/>
  <c r="D66" i="345"/>
  <c r="DM95" i="343"/>
  <c r="DM96" s="1"/>
  <c r="D67" i="345"/>
  <c r="C42" i="338"/>
  <c r="DB147" i="343"/>
  <c r="DB148" s="1"/>
  <c r="D62" i="345"/>
  <c r="D56"/>
  <c r="DA147" i="343"/>
  <c r="DA149" s="1"/>
  <c r="D60" i="345"/>
  <c r="CU147" i="343"/>
  <c r="CU150" s="1"/>
  <c r="D58" i="345"/>
  <c r="CE147" i="343"/>
  <c r="CE149" s="1"/>
  <c r="D51" i="345"/>
  <c r="CH147" i="343"/>
  <c r="CH151" s="1"/>
  <c r="D52" i="345"/>
  <c r="CH158" i="343"/>
  <c r="CH160" s="1"/>
  <c r="CG147"/>
  <c r="CG148" s="1"/>
  <c r="D49" i="345"/>
  <c r="DH80" i="343"/>
  <c r="DH87" s="1"/>
  <c r="D62" i="344"/>
  <c r="DH95" i="343"/>
  <c r="DH97" s="1"/>
  <c r="DH101" s="1"/>
  <c r="DH105" s="1"/>
  <c r="D63" i="345"/>
  <c r="DI95" i="343"/>
  <c r="DI97" s="1"/>
  <c r="DI101" s="1"/>
  <c r="DI105" s="1"/>
  <c r="D64" i="345"/>
  <c r="C33" i="338"/>
  <c r="H147" i="343"/>
  <c r="D42" i="345"/>
  <c r="C31" i="338"/>
  <c r="F65" i="344"/>
  <c r="C65"/>
  <c r="DO95" i="343"/>
  <c r="DO96" s="1"/>
  <c r="D68" i="345"/>
  <c r="C46" i="338"/>
  <c r="DC147" i="343"/>
  <c r="DC148" s="1"/>
  <c r="D61" i="345"/>
  <c r="CZ147" i="343"/>
  <c r="CZ150" s="1"/>
  <c r="D59" i="345"/>
  <c r="C40" i="338"/>
  <c r="CP147" i="343"/>
  <c r="CP151" s="1"/>
  <c r="D55" i="345"/>
  <c r="D57"/>
  <c r="CL147" i="343"/>
  <c r="CL148" s="1"/>
  <c r="D54" i="345"/>
  <c r="D39" i="338"/>
  <c r="CF147" i="343"/>
  <c r="CF151" s="1"/>
  <c r="D53" i="345"/>
  <c r="CI147" i="343"/>
  <c r="CI149" s="1"/>
  <c r="D50" i="345"/>
  <c r="DI80" i="343"/>
  <c r="DI81" s="1"/>
  <c r="D63" i="344"/>
  <c r="C44" i="338"/>
  <c r="DJ95" i="343"/>
  <c r="DJ100" s="1"/>
  <c r="DJ104" s="1"/>
  <c r="D65" i="345"/>
  <c r="DJ80" i="343"/>
  <c r="DJ86" s="1"/>
  <c r="D64" i="344"/>
  <c r="C40"/>
  <c r="CF132" i="343"/>
  <c r="CF135" s="1"/>
  <c r="D52" i="344"/>
  <c r="F52" s="1"/>
  <c r="N144" i="343"/>
  <c r="N146" s="1"/>
  <c r="CH132"/>
  <c r="CH142" s="1"/>
  <c r="D51" i="344"/>
  <c r="F51" s="1"/>
  <c r="CE132" i="343"/>
  <c r="CE140" s="1"/>
  <c r="D50" i="344"/>
  <c r="F50" s="1"/>
  <c r="M144" i="343"/>
  <c r="M146" s="1"/>
  <c r="H132"/>
  <c r="H138" s="1"/>
  <c r="D41" i="344"/>
  <c r="DC132" i="343"/>
  <c r="DC136" s="1"/>
  <c r="D60" i="344"/>
  <c r="F60" s="1"/>
  <c r="CI132" i="343"/>
  <c r="CI133" s="1"/>
  <c r="D49" i="344"/>
  <c r="F49" s="1"/>
  <c r="M132" i="343"/>
  <c r="M133" s="1"/>
  <c r="D43" i="344"/>
  <c r="F43" s="1"/>
  <c r="A35" i="338" s="1"/>
  <c r="N132" i="343"/>
  <c r="N133" s="1"/>
  <c r="D45" i="344"/>
  <c r="F45" s="1"/>
  <c r="A37" i="338" s="1"/>
  <c r="D55" i="344"/>
  <c r="F55" s="1"/>
  <c r="DA132" i="343"/>
  <c r="DA136" s="1"/>
  <c r="D59" i="344"/>
  <c r="F59" s="1"/>
  <c r="CG132" i="343"/>
  <c r="CG135" s="1"/>
  <c r="D48" i="344"/>
  <c r="F48" s="1"/>
  <c r="A39" i="338" s="1"/>
  <c r="CL144" i="343"/>
  <c r="CL145" s="1"/>
  <c r="CU132"/>
  <c r="CU134" s="1"/>
  <c r="D57" i="344"/>
  <c r="F57" s="1"/>
  <c r="CL132" i="343"/>
  <c r="CL136" s="1"/>
  <c r="D53" i="344"/>
  <c r="F53" s="1"/>
  <c r="A40" i="338" s="1"/>
  <c r="K132" i="343"/>
  <c r="K136" s="1"/>
  <c r="D42" i="344"/>
  <c r="CZ132" i="343"/>
  <c r="CZ136" s="1"/>
  <c r="D58" i="344"/>
  <c r="F58" s="1"/>
  <c r="D56"/>
  <c r="F56" s="1"/>
  <c r="DH158" i="343"/>
  <c r="DH168" s="1"/>
  <c r="E41" i="337"/>
  <c r="H16" i="320"/>
  <c r="H17" s="1"/>
  <c r="DR121" i="343"/>
  <c r="DR99"/>
  <c r="DR103" s="1"/>
  <c r="DR97"/>
  <c r="DR101" s="1"/>
  <c r="DR105" s="1"/>
  <c r="DR96"/>
  <c r="DR100"/>
  <c r="DR104" s="1"/>
  <c r="DR98"/>
  <c r="DR102" s="1"/>
  <c r="DF134"/>
  <c r="DF135"/>
  <c r="DF140"/>
  <c r="DF141"/>
  <c r="DF136"/>
  <c r="DF138"/>
  <c r="DF143"/>
  <c r="DF133"/>
  <c r="DF137"/>
  <c r="DF139"/>
  <c r="DF142"/>
  <c r="DF149"/>
  <c r="DF151"/>
  <c r="DF148"/>
  <c r="DF150"/>
  <c r="DF157"/>
  <c r="CT157"/>
  <c r="CQ157"/>
  <c r="CK149"/>
  <c r="CK151"/>
  <c r="CK157"/>
  <c r="CK150"/>
  <c r="CK148"/>
  <c r="L145"/>
  <c r="L146"/>
  <c r="DD133"/>
  <c r="DD135"/>
  <c r="DD137"/>
  <c r="DD134"/>
  <c r="DD136"/>
  <c r="DD138"/>
  <c r="DD143"/>
  <c r="DD140"/>
  <c r="DD139"/>
  <c r="DD142"/>
  <c r="DD141"/>
  <c r="DD149"/>
  <c r="DD151"/>
  <c r="DD150"/>
  <c r="DD157"/>
  <c r="DD148"/>
  <c r="CB7" i="342"/>
  <c r="CB10" s="1"/>
  <c r="DK121" i="343"/>
  <c r="DK96"/>
  <c r="DK98"/>
  <c r="DK102" s="1"/>
  <c r="DK100"/>
  <c r="DK104" s="1"/>
  <c r="DK97"/>
  <c r="DK101" s="1"/>
  <c r="DK105" s="1"/>
  <c r="DK99"/>
  <c r="DK103" s="1"/>
  <c r="DE133"/>
  <c r="DE135"/>
  <c r="DE137"/>
  <c r="DE138"/>
  <c r="DE140"/>
  <c r="DE142"/>
  <c r="DE141"/>
  <c r="DE134"/>
  <c r="DE136"/>
  <c r="DE143"/>
  <c r="DE139"/>
  <c r="DB133"/>
  <c r="DB136"/>
  <c r="DB134"/>
  <c r="DB143"/>
  <c r="DB139"/>
  <c r="DB140"/>
  <c r="DB135"/>
  <c r="DB142"/>
  <c r="DB137"/>
  <c r="DB138"/>
  <c r="DB141"/>
  <c r="CV145"/>
  <c r="CV146"/>
  <c r="CV133"/>
  <c r="CV135"/>
  <c r="CV137"/>
  <c r="CV134"/>
  <c r="CV138"/>
  <c r="CV143"/>
  <c r="CV141"/>
  <c r="CV139"/>
  <c r="CV140"/>
  <c r="CV142"/>
  <c r="CV136"/>
  <c r="DK106"/>
  <c r="DK83"/>
  <c r="DK91"/>
  <c r="DK86"/>
  <c r="DK81"/>
  <c r="DK89"/>
  <c r="DK88"/>
  <c r="DK84"/>
  <c r="DK87"/>
  <c r="DK82"/>
  <c r="DK90"/>
  <c r="DK85"/>
  <c r="DG133"/>
  <c r="DG135"/>
  <c r="DG137"/>
  <c r="DG138"/>
  <c r="DG140"/>
  <c r="DG142"/>
  <c r="DG134"/>
  <c r="DG139"/>
  <c r="DG136"/>
  <c r="DG143"/>
  <c r="DG141"/>
  <c r="CV149"/>
  <c r="CV151"/>
  <c r="CV157"/>
  <c r="CV148"/>
  <c r="CV150"/>
  <c r="DG146"/>
  <c r="DG145"/>
  <c r="DF145"/>
  <c r="DF146"/>
  <c r="CM134"/>
  <c r="CM136"/>
  <c r="CM139"/>
  <c r="CM141"/>
  <c r="CM143"/>
  <c r="CM133"/>
  <c r="CM135"/>
  <c r="CM142"/>
  <c r="CM138"/>
  <c r="CM140"/>
  <c r="CM137"/>
  <c r="DK118"/>
  <c r="DK94"/>
  <c r="DK93"/>
  <c r="L139"/>
  <c r="L136"/>
  <c r="L140"/>
  <c r="L143"/>
  <c r="L135"/>
  <c r="L133"/>
  <c r="L134"/>
  <c r="L137"/>
  <c r="L138"/>
  <c r="L141"/>
  <c r="L142"/>
  <c r="L150"/>
  <c r="L157"/>
  <c r="L148"/>
  <c r="L151"/>
  <c r="DD145"/>
  <c r="DD146"/>
  <c r="DE146"/>
  <c r="DE145"/>
  <c r="CK145"/>
  <c r="CK146"/>
  <c r="CK134"/>
  <c r="CK136"/>
  <c r="CK137"/>
  <c r="CK139"/>
  <c r="CK141"/>
  <c r="CK143"/>
  <c r="CK133"/>
  <c r="CK138"/>
  <c r="CK135"/>
  <c r="CK140"/>
  <c r="CK142"/>
  <c r="T149" i="341"/>
  <c r="T151" s="1"/>
  <c r="K6" i="342"/>
  <c r="K9" s="1"/>
  <c r="DG149" i="343"/>
  <c r="DG151"/>
  <c r="DG148"/>
  <c r="DG150"/>
  <c r="DG157"/>
  <c r="CM148"/>
  <c r="CM150"/>
  <c r="CM157"/>
  <c r="CM149"/>
  <c r="CM151"/>
  <c r="T137" i="341"/>
  <c r="T147" s="1"/>
  <c r="S152"/>
  <c r="S153" s="1"/>
  <c r="DT121" i="343"/>
  <c r="DT96"/>
  <c r="DT99"/>
  <c r="DT103" s="1"/>
  <c r="DT98"/>
  <c r="DT102" s="1"/>
  <c r="DT97"/>
  <c r="DT101" s="1"/>
  <c r="DT105" s="1"/>
  <c r="DT100"/>
  <c r="DT104" s="1"/>
  <c r="CN157"/>
  <c r="DE148"/>
  <c r="DE150"/>
  <c r="DE157"/>
  <c r="DE149"/>
  <c r="DE151"/>
  <c r="CM145"/>
  <c r="CM146"/>
  <c r="E149" i="341"/>
  <c r="BA101" i="342"/>
  <c r="BA108"/>
  <c r="BI99"/>
  <c r="BA105"/>
  <c r="BA110"/>
  <c r="BA102"/>
  <c r="BA107"/>
  <c r="BA111"/>
  <c r="BA104"/>
  <c r="BA109"/>
  <c r="BA106"/>
  <c r="BA100"/>
  <c r="BA103"/>
  <c r="H25" i="123"/>
  <c r="AS99" i="342" s="1"/>
  <c r="AY99"/>
  <c r="I25" i="123"/>
  <c r="J25" s="1"/>
  <c r="BB99" i="342"/>
  <c r="G22" i="332"/>
  <c r="BN56" i="342"/>
  <c r="CN211"/>
  <c r="F16"/>
  <c r="F15"/>
  <c r="F13"/>
  <c r="L12"/>
  <c r="F14"/>
  <c r="F24"/>
  <c r="I16"/>
  <c r="I28" s="1"/>
  <c r="I40" s="1"/>
  <c r="I13"/>
  <c r="I25" s="1"/>
  <c r="I37" s="1"/>
  <c r="I15"/>
  <c r="I27" s="1"/>
  <c r="I39" s="1"/>
  <c r="I24"/>
  <c r="I36" s="1"/>
  <c r="I14"/>
  <c r="I26" s="1"/>
  <c r="I38" s="1"/>
  <c r="J92"/>
  <c r="J95" s="1"/>
  <c r="I90"/>
  <c r="I93" s="1"/>
  <c r="H6" i="255"/>
  <c r="EP158" i="343"/>
  <c r="DR92"/>
  <c r="DR80"/>
  <c r="CY227" i="342"/>
  <c r="CY215"/>
  <c r="CY233"/>
  <c r="CY221"/>
  <c r="CZ234"/>
  <c r="CZ211"/>
  <c r="CZ216"/>
  <c r="CZ228"/>
  <c r="CZ222"/>
  <c r="DC144" i="343"/>
  <c r="DC225" i="342"/>
  <c r="DC224"/>
  <c r="DC226"/>
  <c r="X5"/>
  <c r="CU144" i="343"/>
  <c r="AG159"/>
  <c r="AG162"/>
  <c r="AG164"/>
  <c r="AG165"/>
  <c r="AG168"/>
  <c r="AG167"/>
  <c r="AG169"/>
  <c r="AG166"/>
  <c r="AG161"/>
  <c r="AG160"/>
  <c r="AG163"/>
  <c r="AO89" i="342"/>
  <c r="AO92" s="1"/>
  <c r="AO95" s="1"/>
  <c r="AM89"/>
  <c r="CC85"/>
  <c r="CC86" s="1"/>
  <c r="S163" i="341"/>
  <c r="BX141" i="342"/>
  <c r="BY141" s="1"/>
  <c r="BX142"/>
  <c r="BY142" s="1"/>
  <c r="BX155"/>
  <c r="BX136"/>
  <c r="BX138"/>
  <c r="BX140"/>
  <c r="BY140" s="1"/>
  <c r="BX139"/>
  <c r="BY139" s="1"/>
  <c r="BX137"/>
  <c r="H21" i="332"/>
  <c r="BP22" i="342"/>
  <c r="BP34" s="1"/>
  <c r="BP46" s="1"/>
  <c r="BO13"/>
  <c r="H22" i="332"/>
  <c r="BO56" i="342"/>
  <c r="DI92" i="343"/>
  <c r="DL159"/>
  <c r="DL164"/>
  <c r="DL167"/>
  <c r="DL169"/>
  <c r="DL165"/>
  <c r="DL166"/>
  <c r="DL168"/>
  <c r="DL160"/>
  <c r="DL163"/>
  <c r="DL162"/>
  <c r="DL161"/>
  <c r="DA227" i="342"/>
  <c r="DA233"/>
  <c r="DA215"/>
  <c r="DA221"/>
  <c r="CZ144" i="343"/>
  <c r="DB162"/>
  <c r="DB161"/>
  <c r="DB167"/>
  <c r="DB169"/>
  <c r="DB164"/>
  <c r="DB168"/>
  <c r="DB166"/>
  <c r="DB165"/>
  <c r="DB160"/>
  <c r="DB159"/>
  <c r="DB163"/>
  <c r="DD218" i="342"/>
  <c r="DD219"/>
  <c r="DD220"/>
  <c r="AF90"/>
  <c r="AF93" s="1"/>
  <c r="AN90"/>
  <c r="AN93" s="1"/>
  <c r="AM90"/>
  <c r="AM93" s="1"/>
  <c r="AO90"/>
  <c r="AO93" s="1"/>
  <c r="AI90"/>
  <c r="AI93" s="1"/>
  <c r="AK90"/>
  <c r="AK93" s="1"/>
  <c r="AH90"/>
  <c r="AH93" s="1"/>
  <c r="AL90"/>
  <c r="AL93" s="1"/>
  <c r="AG90"/>
  <c r="AG93" s="1"/>
  <c r="AJ90"/>
  <c r="AJ93" s="1"/>
  <c r="AO6"/>
  <c r="DA224"/>
  <c r="DA225"/>
  <c r="DA226"/>
  <c r="CP144" i="343"/>
  <c r="X6" i="342"/>
  <c r="CB60"/>
  <c r="CB57"/>
  <c r="CB55"/>
  <c r="CB58"/>
  <c r="CB53"/>
  <c r="CB56"/>
  <c r="CB51"/>
  <c r="CB59"/>
  <c r="CB54"/>
  <c r="CB49"/>
  <c r="CB52"/>
  <c r="CB50"/>
  <c r="CM239"/>
  <c r="CM200"/>
  <c r="CM197"/>
  <c r="CC4"/>
  <c r="CC7" s="1"/>
  <c r="CC10" s="1"/>
  <c r="F149" i="341"/>
  <c r="BX3" i="342"/>
  <c r="BY3" s="1"/>
  <c r="BZ3"/>
  <c r="I22" i="332"/>
  <c r="J22" s="1"/>
  <c r="BQ151" i="342"/>
  <c r="BQ99"/>
  <c r="BR147"/>
  <c r="BQ100"/>
  <c r="BR56"/>
  <c r="BQ56"/>
  <c r="I18" i="332"/>
  <c r="J18" s="1"/>
  <c r="BQ3" i="342"/>
  <c r="DH92" i="343"/>
  <c r="CC89" i="342"/>
  <c r="CC92" s="1"/>
  <c r="CC95" s="1"/>
  <c r="CC96"/>
  <c r="CC97" s="1"/>
  <c r="CC98" s="1"/>
  <c r="AH6"/>
  <c r="DD216"/>
  <c r="DD228"/>
  <c r="DD234"/>
  <c r="DD222"/>
  <c r="DD211"/>
  <c r="CC5"/>
  <c r="CC8" s="1"/>
  <c r="CC11" s="1"/>
  <c r="DA218"/>
  <c r="DA219"/>
  <c r="DA220"/>
  <c r="AF160" i="343"/>
  <c r="AF164"/>
  <c r="AF165"/>
  <c r="AF168"/>
  <c r="AF167"/>
  <c r="AF169"/>
  <c r="AF166"/>
  <c r="AF159"/>
  <c r="AF163"/>
  <c r="AF162"/>
  <c r="AF161"/>
  <c r="Z159"/>
  <c r="Z161"/>
  <c r="Z163"/>
  <c r="Z165"/>
  <c r="Z167"/>
  <c r="Z169"/>
  <c r="Z166"/>
  <c r="Z164"/>
  <c r="Z168"/>
  <c r="Z162"/>
  <c r="Z160"/>
  <c r="L88" i="342"/>
  <c r="F91"/>
  <c r="E15"/>
  <c r="E27" s="1"/>
  <c r="E39" s="1"/>
  <c r="E14"/>
  <c r="E26" s="1"/>
  <c r="E38" s="1"/>
  <c r="E13"/>
  <c r="E25" s="1"/>
  <c r="E37" s="1"/>
  <c r="E16"/>
  <c r="E28" s="1"/>
  <c r="E40" s="1"/>
  <c r="E24"/>
  <c r="E36" s="1"/>
  <c r="E60"/>
  <c r="E55"/>
  <c r="E49"/>
  <c r="E54"/>
  <c r="E56"/>
  <c r="E53"/>
  <c r="E58"/>
  <c r="E59"/>
  <c r="E51"/>
  <c r="E50"/>
  <c r="E57"/>
  <c r="E52"/>
  <c r="E71"/>
  <c r="J6"/>
  <c r="J9" s="1"/>
  <c r="S111"/>
  <c r="S103"/>
  <c r="S101"/>
  <c r="S110"/>
  <c r="S100"/>
  <c r="S108"/>
  <c r="S106"/>
  <c r="S109"/>
  <c r="S104"/>
  <c r="S102"/>
  <c r="S107"/>
  <c r="S105"/>
  <c r="DT92" i="343"/>
  <c r="DT80"/>
  <c r="I92" i="342"/>
  <c r="I95" s="1"/>
  <c r="Q159" i="343"/>
  <c r="Q165"/>
  <c r="Q166"/>
  <c r="Q160"/>
  <c r="Q168"/>
  <c r="Q167"/>
  <c r="Q169"/>
  <c r="Q163"/>
  <c r="Q162"/>
  <c r="Q161"/>
  <c r="Q164"/>
  <c r="DV158"/>
  <c r="DW158"/>
  <c r="DX158"/>
  <c r="DU158"/>
  <c r="EB158"/>
  <c r="DY158"/>
  <c r="DZ158"/>
  <c r="EA158"/>
  <c r="DS161"/>
  <c r="DS164"/>
  <c r="DS165"/>
  <c r="DS167"/>
  <c r="DS169"/>
  <c r="DS166"/>
  <c r="DS168"/>
  <c r="DS159"/>
  <c r="DS162"/>
  <c r="DS163"/>
  <c r="DS160"/>
  <c r="CY228" i="342"/>
  <c r="CY211"/>
  <c r="CY216"/>
  <c r="CY234"/>
  <c r="CY222"/>
  <c r="CM211"/>
  <c r="CM240"/>
  <c r="CM241" s="1"/>
  <c r="CM196"/>
  <c r="J27" i="310"/>
  <c r="I27" i="123"/>
  <c r="J27" s="1"/>
  <c r="BI165" i="343"/>
  <c r="BI161"/>
  <c r="BI160"/>
  <c r="BI163"/>
  <c r="BI159"/>
  <c r="BI162"/>
  <c r="BI168"/>
  <c r="BI166"/>
  <c r="BI164"/>
  <c r="BI167"/>
  <c r="BI169"/>
  <c r="DJ92"/>
  <c r="J90" i="342"/>
  <c r="J93" s="1"/>
  <c r="I6"/>
  <c r="I9" s="1"/>
  <c r="Q111"/>
  <c r="Q110"/>
  <c r="Q107"/>
  <c r="Q109"/>
  <c r="Q108"/>
  <c r="Q106"/>
  <c r="Q100"/>
  <c r="Q102"/>
  <c r="Q104"/>
  <c r="Q101"/>
  <c r="Q103"/>
  <c r="Q105"/>
  <c r="CZ219"/>
  <c r="CZ218"/>
  <c r="CZ220"/>
  <c r="CM236"/>
  <c r="CM237" s="1"/>
  <c r="CM238" s="1"/>
  <c r="J91"/>
  <c r="J94" s="1"/>
  <c r="F92"/>
  <c r="L89"/>
  <c r="R103"/>
  <c r="R109"/>
  <c r="R107"/>
  <c r="R105"/>
  <c r="R102"/>
  <c r="R104"/>
  <c r="R101"/>
  <c r="R106"/>
  <c r="R111"/>
  <c r="R108"/>
  <c r="R100"/>
  <c r="R110"/>
  <c r="ED158" i="343"/>
  <c r="EE158"/>
  <c r="EF158"/>
  <c r="EC158"/>
  <c r="DT160"/>
  <c r="DT163"/>
  <c r="DT159"/>
  <c r="DT161"/>
  <c r="DT162"/>
  <c r="DT164"/>
  <c r="DT165"/>
  <c r="DT167"/>
  <c r="DT169"/>
  <c r="DT166"/>
  <c r="DT168"/>
  <c r="EI158"/>
  <c r="EH158"/>
  <c r="EG158"/>
  <c r="DQ165"/>
  <c r="DQ161"/>
  <c r="DQ167"/>
  <c r="DQ169"/>
  <c r="DQ166"/>
  <c r="DQ168"/>
  <c r="DQ164"/>
  <c r="DQ162"/>
  <c r="DQ159"/>
  <c r="DQ163"/>
  <c r="DQ160"/>
  <c r="DA144"/>
  <c r="DA228" i="342"/>
  <c r="DA211"/>
  <c r="DA234"/>
  <c r="DA216"/>
  <c r="DA222"/>
  <c r="DD224"/>
  <c r="DD225"/>
  <c r="DD226"/>
  <c r="AK91"/>
  <c r="AK94" s="1"/>
  <c r="AC4"/>
  <c r="CB13"/>
  <c r="CB15" s="1"/>
  <c r="CB25"/>
  <c r="U149" i="341"/>
  <c r="T163"/>
  <c r="S149"/>
  <c r="K27" i="310"/>
  <c r="K27" i="123"/>
  <c r="L27" s="1"/>
  <c r="G27" i="310"/>
  <c r="G27" i="123"/>
  <c r="BZ136" i="342"/>
  <c r="BZ138"/>
  <c r="BZ155"/>
  <c r="CA135"/>
  <c r="BZ141"/>
  <c r="CA141" s="1"/>
  <c r="BZ143"/>
  <c r="CA143" s="1"/>
  <c r="BZ137"/>
  <c r="BZ139"/>
  <c r="CA139" s="1"/>
  <c r="BZ140"/>
  <c r="CA140" s="1"/>
  <c r="BZ142"/>
  <c r="CA142" s="1"/>
  <c r="EL170" i="343"/>
  <c r="EM170"/>
  <c r="EN170"/>
  <c r="EK170"/>
  <c r="EO170"/>
  <c r="EJ170"/>
  <c r="DR159"/>
  <c r="DR161"/>
  <c r="DR162"/>
  <c r="DR160"/>
  <c r="DR163"/>
  <c r="DR164"/>
  <c r="DR165"/>
  <c r="DR167"/>
  <c r="DR169"/>
  <c r="DR166"/>
  <c r="DR168"/>
  <c r="DO161"/>
  <c r="DO164"/>
  <c r="DO165"/>
  <c r="DO166"/>
  <c r="DO168"/>
  <c r="DO167"/>
  <c r="DO169"/>
  <c r="DO162"/>
  <c r="DO160"/>
  <c r="DO159"/>
  <c r="DO163"/>
  <c r="DC219" i="342"/>
  <c r="DC218"/>
  <c r="DC220"/>
  <c r="DB144" i="343"/>
  <c r="CZ224" i="342"/>
  <c r="CZ226"/>
  <c r="CZ225"/>
  <c r="CE48"/>
  <c r="CD48"/>
  <c r="DC233"/>
  <c r="DC227"/>
  <c r="DC221"/>
  <c r="DC215"/>
  <c r="AP24"/>
  <c r="AP36" s="1"/>
  <c r="AP7"/>
  <c r="AP6"/>
  <c r="CG50"/>
  <c r="CG58"/>
  <c r="CG51"/>
  <c r="CG59"/>
  <c r="CG52"/>
  <c r="CG53"/>
  <c r="CG57"/>
  <c r="CG54"/>
  <c r="CG55"/>
  <c r="CG49"/>
  <c r="CG56"/>
  <c r="I6" i="341"/>
  <c r="BC101" i="342"/>
  <c r="BC105"/>
  <c r="BK99"/>
  <c r="BC110"/>
  <c r="BC102"/>
  <c r="BC107"/>
  <c r="BC111"/>
  <c r="BC104"/>
  <c r="BC109"/>
  <c r="BC106"/>
  <c r="BC103"/>
  <c r="BC108"/>
  <c r="BC100"/>
  <c r="H27" i="310"/>
  <c r="H27" i="123"/>
  <c r="DI160" i="343"/>
  <c r="DI165"/>
  <c r="DI163"/>
  <c r="DI161"/>
  <c r="DI159"/>
  <c r="DI167"/>
  <c r="DI169"/>
  <c r="DI164"/>
  <c r="DI166"/>
  <c r="DI168"/>
  <c r="DI162"/>
  <c r="AF6" i="342"/>
  <c r="E17" i="339"/>
  <c r="C17" s="1"/>
  <c r="I91" i="342"/>
  <c r="I94" s="1"/>
  <c r="E92"/>
  <c r="E95" s="1"/>
  <c r="G92"/>
  <c r="M89"/>
  <c r="DL80" i="343"/>
  <c r="DL92"/>
  <c r="DM161"/>
  <c r="DM164"/>
  <c r="DM166"/>
  <c r="DM168"/>
  <c r="DM167"/>
  <c r="DM169"/>
  <c r="DM165"/>
  <c r="DM160"/>
  <c r="DM159"/>
  <c r="DM162"/>
  <c r="DM163"/>
  <c r="CY224" i="342"/>
  <c r="CY226"/>
  <c r="CY225"/>
  <c r="DD215"/>
  <c r="DD227"/>
  <c r="DD233"/>
  <c r="DD221"/>
  <c r="DC230"/>
  <c r="DC232"/>
  <c r="DC231"/>
  <c r="CC91"/>
  <c r="CC94" s="1"/>
  <c r="DC234"/>
  <c r="DC211"/>
  <c r="DC216"/>
  <c r="DC228"/>
  <c r="DC222"/>
  <c r="CC90"/>
  <c r="CC93" s="1"/>
  <c r="G25" i="123"/>
  <c r="AR99" i="342" s="1"/>
  <c r="AX99"/>
  <c r="H18" i="332"/>
  <c r="BO3" i="342"/>
  <c r="H6" i="341"/>
  <c r="CJ62" i="342"/>
  <c r="CJ74" s="1"/>
  <c r="CH3"/>
  <c r="CJ3"/>
  <c r="G91"/>
  <c r="M88"/>
  <c r="E90"/>
  <c r="E93" s="1"/>
  <c r="M48"/>
  <c r="F54"/>
  <c r="L54" s="1"/>
  <c r="F49"/>
  <c r="L49" s="1"/>
  <c r="L48"/>
  <c r="F51"/>
  <c r="L51" s="1"/>
  <c r="F52"/>
  <c r="F53"/>
  <c r="L53" s="1"/>
  <c r="F55"/>
  <c r="L55" s="1"/>
  <c r="F58"/>
  <c r="L58" s="1"/>
  <c r="F50"/>
  <c r="L50" s="1"/>
  <c r="F57"/>
  <c r="L57" s="1"/>
  <c r="F59"/>
  <c r="L59" s="1"/>
  <c r="F60"/>
  <c r="L60" s="1"/>
  <c r="F56"/>
  <c r="L56" s="1"/>
  <c r="F62"/>
  <c r="L62" s="1"/>
  <c r="F73"/>
  <c r="L73" s="1"/>
  <c r="F61"/>
  <c r="L61" s="1"/>
  <c r="F71"/>
  <c r="L71" s="1"/>
  <c r="F72"/>
  <c r="L72" s="1"/>
  <c r="L87"/>
  <c r="F90"/>
  <c r="K50"/>
  <c r="K53"/>
  <c r="K59"/>
  <c r="K51"/>
  <c r="K49"/>
  <c r="K57"/>
  <c r="K52"/>
  <c r="K54"/>
  <c r="K55"/>
  <c r="K56"/>
  <c r="K58"/>
  <c r="S161" i="343"/>
  <c r="S162"/>
  <c r="S159"/>
  <c r="S163"/>
  <c r="S164"/>
  <c r="S160"/>
  <c r="S166"/>
  <c r="S168"/>
  <c r="S165"/>
  <c r="S167"/>
  <c r="S169"/>
  <c r="CJ48" i="342"/>
  <c r="E91"/>
  <c r="E94" s="1"/>
  <c r="M87"/>
  <c r="G90"/>
  <c r="I60"/>
  <c r="I58"/>
  <c r="I59"/>
  <c r="I49"/>
  <c r="I53"/>
  <c r="I50"/>
  <c r="I57"/>
  <c r="I52"/>
  <c r="I51"/>
  <c r="I54"/>
  <c r="I55"/>
  <c r="I56"/>
  <c r="I73"/>
  <c r="I71"/>
  <c r="I61"/>
  <c r="I72"/>
  <c r="I82"/>
  <c r="I62"/>
  <c r="J50"/>
  <c r="J51"/>
  <c r="J49"/>
  <c r="J53"/>
  <c r="J54"/>
  <c r="J55"/>
  <c r="J57"/>
  <c r="J58"/>
  <c r="J59"/>
  <c r="J52"/>
  <c r="J56"/>
  <c r="DN159" i="343"/>
  <c r="DN162"/>
  <c r="DN160"/>
  <c r="DN163"/>
  <c r="DN165"/>
  <c r="DN161"/>
  <c r="DN166"/>
  <c r="DN168"/>
  <c r="DN164"/>
  <c r="DN167"/>
  <c r="DN169"/>
  <c r="DQ106"/>
  <c r="DQ118"/>
  <c r="DF163"/>
  <c r="DF164"/>
  <c r="DF161"/>
  <c r="DF159"/>
  <c r="DF160"/>
  <c r="DF162"/>
  <c r="DF165"/>
  <c r="DF168"/>
  <c r="DF166"/>
  <c r="DF167"/>
  <c r="DF169"/>
  <c r="CY230" i="342"/>
  <c r="CY231"/>
  <c r="CY232"/>
  <c r="CZ233"/>
  <c r="CZ227"/>
  <c r="CZ215"/>
  <c r="CZ221"/>
  <c r="CY218"/>
  <c r="CY219"/>
  <c r="CY220"/>
  <c r="CC14"/>
  <c r="AO88"/>
  <c r="AO91" s="1"/>
  <c r="AO94" s="1"/>
  <c r="AM88"/>
  <c r="CC3"/>
  <c r="CC6" s="1"/>
  <c r="CC9" s="1"/>
  <c r="I149" i="341"/>
  <c r="BH99" i="342"/>
  <c r="AZ108"/>
  <c r="AZ105"/>
  <c r="AZ102"/>
  <c r="AZ109"/>
  <c r="AZ104"/>
  <c r="AZ110"/>
  <c r="AZ103"/>
  <c r="AZ101"/>
  <c r="AZ111"/>
  <c r="AZ107"/>
  <c r="AZ106"/>
  <c r="AZ100"/>
  <c r="I21" i="332"/>
  <c r="J21" s="1"/>
  <c r="BR23" i="342"/>
  <c r="BR35" s="1"/>
  <c r="BR47" s="1"/>
  <c r="BQ22"/>
  <c r="BQ34" s="1"/>
  <c r="BQ46" s="1"/>
  <c r="G21" i="332"/>
  <c r="BN13" i="342"/>
  <c r="BT3"/>
  <c r="BS6"/>
  <c r="AU164" i="343"/>
  <c r="AU165"/>
  <c r="AU168"/>
  <c r="AU166"/>
  <c r="AU167"/>
  <c r="AU169"/>
  <c r="AU159"/>
  <c r="AU163"/>
  <c r="AU162"/>
  <c r="AU161"/>
  <c r="AU160"/>
  <c r="DJ162"/>
  <c r="DJ159"/>
  <c r="DJ167"/>
  <c r="DJ169"/>
  <c r="DJ164"/>
  <c r="DJ165"/>
  <c r="DJ166"/>
  <c r="DJ168"/>
  <c r="DJ161"/>
  <c r="DJ160"/>
  <c r="DJ163"/>
  <c r="AK6" i="342"/>
  <c r="AL6" s="1"/>
  <c r="BY158" i="343"/>
  <c r="BZ158"/>
  <c r="BX158"/>
  <c r="BV170"/>
  <c r="BW170"/>
  <c r="BW158"/>
  <c r="BV158"/>
  <c r="BQ170"/>
  <c r="BU158"/>
  <c r="BT158"/>
  <c r="BR170"/>
  <c r="BS170"/>
  <c r="CH13" i="342"/>
  <c r="CH48"/>
  <c r="CJ63"/>
  <c r="CJ75" s="1"/>
  <c r="CJ69"/>
  <c r="CJ81" s="1"/>
  <c r="CH61"/>
  <c r="CH73" s="1"/>
  <c r="CH63"/>
  <c r="CH75" s="1"/>
  <c r="CH69"/>
  <c r="CH81" s="1"/>
  <c r="CH71"/>
  <c r="CH83" s="1"/>
  <c r="CH68"/>
  <c r="CH80" s="1"/>
  <c r="CH70"/>
  <c r="CH82" s="1"/>
  <c r="CH62"/>
  <c r="CH74" s="1"/>
  <c r="CH67"/>
  <c r="CH79" s="1"/>
  <c r="CH65"/>
  <c r="CH77" s="1"/>
  <c r="CH66"/>
  <c r="CH78" s="1"/>
  <c r="CH6"/>
  <c r="CH9" s="1"/>
  <c r="CI62"/>
  <c r="CI74" s="1"/>
  <c r="CI61"/>
  <c r="CI73" s="1"/>
  <c r="CI63"/>
  <c r="CI75" s="1"/>
  <c r="CI66"/>
  <c r="CI78" s="1"/>
  <c r="CI67"/>
  <c r="CI79" s="1"/>
  <c r="CI65"/>
  <c r="CI77" s="1"/>
  <c r="CI68"/>
  <c r="CI80" s="1"/>
  <c r="CI69"/>
  <c r="CI81" s="1"/>
  <c r="CI70"/>
  <c r="CI82" s="1"/>
  <c r="CI71"/>
  <c r="CI83" s="1"/>
  <c r="CH144" i="343"/>
  <c r="CH159"/>
  <c r="CI144"/>
  <c r="CI161"/>
  <c r="CI159"/>
  <c r="CI167"/>
  <c r="CI168"/>
  <c r="CI169"/>
  <c r="CI160"/>
  <c r="CI164"/>
  <c r="CI165"/>
  <c r="CI166"/>
  <c r="CI163"/>
  <c r="CI162"/>
  <c r="CB3" i="342"/>
  <c r="CB6" s="1"/>
  <c r="CB9" s="1"/>
  <c r="CB8"/>
  <c r="CB11" s="1"/>
  <c r="CG14"/>
  <c r="CG15"/>
  <c r="CG16"/>
  <c r="CG17"/>
  <c r="CE144" i="343"/>
  <c r="CE159"/>
  <c r="CE161"/>
  <c r="CE162"/>
  <c r="CE167"/>
  <c r="CE168"/>
  <c r="CE169"/>
  <c r="CE160"/>
  <c r="CE163"/>
  <c r="CE164"/>
  <c r="CE165"/>
  <c r="CE166"/>
  <c r="CF144"/>
  <c r="CF163"/>
  <c r="CF160"/>
  <c r="CF164"/>
  <c r="CF165"/>
  <c r="CF166"/>
  <c r="CF159"/>
  <c r="CF167"/>
  <c r="CF169"/>
  <c r="CF161"/>
  <c r="CF162"/>
  <c r="CF168"/>
  <c r="CG144"/>
  <c r="CG161"/>
  <c r="CG159"/>
  <c r="CG163"/>
  <c r="CG167"/>
  <c r="CG168"/>
  <c r="CG169"/>
  <c r="CG164"/>
  <c r="CG165"/>
  <c r="CG166"/>
  <c r="CG160"/>
  <c r="CG162"/>
  <c r="F6" i="342"/>
  <c r="L6" s="1"/>
  <c r="L3"/>
  <c r="P132" i="343"/>
  <c r="J132"/>
  <c r="P144"/>
  <c r="J144"/>
  <c r="P147"/>
  <c r="J147"/>
  <c r="O132"/>
  <c r="I132"/>
  <c r="O144"/>
  <c r="I144"/>
  <c r="O147"/>
  <c r="I147"/>
  <c r="H144"/>
  <c r="K144"/>
  <c r="E6" i="342"/>
  <c r="E9" s="1"/>
  <c r="C5" i="339"/>
  <c r="M5"/>
  <c r="E9"/>
  <c r="I5"/>
  <c r="Q5"/>
  <c r="M4"/>
  <c r="C4"/>
  <c r="E8"/>
  <c r="I8" s="1"/>
  <c r="I4"/>
  <c r="M6"/>
  <c r="C6"/>
  <c r="I6"/>
  <c r="Q6"/>
  <c r="M26"/>
  <c r="P26"/>
  <c r="P27" s="1"/>
  <c r="C26"/>
  <c r="I26"/>
  <c r="J13" i="310"/>
  <c r="H15"/>
  <c r="G14"/>
  <c r="E45" i="337"/>
  <c r="E79"/>
  <c r="G79" s="1"/>
  <c r="E64"/>
  <c r="E47"/>
  <c r="E44"/>
  <c r="E58"/>
  <c r="E85"/>
  <c r="G85" s="1"/>
  <c r="E80"/>
  <c r="G80" s="1"/>
  <c r="E56"/>
  <c r="E42"/>
  <c r="C25" i="339"/>
  <c r="Q25"/>
  <c r="M25"/>
  <c r="I25"/>
  <c r="E27"/>
  <c r="E5" i="342"/>
  <c r="E4"/>
  <c r="E7" s="1"/>
  <c r="G18" i="332"/>
  <c r="G20" i="350"/>
  <c r="G19"/>
  <c r="F4" i="342"/>
  <c r="L4" s="1"/>
  <c r="F5"/>
  <c r="L5" s="1"/>
  <c r="I5"/>
  <c r="I8" s="1"/>
  <c r="I11" s="1"/>
  <c r="I4"/>
  <c r="I7" s="1"/>
  <c r="I10" s="1"/>
  <c r="J4"/>
  <c r="J7" s="1"/>
  <c r="J10" s="1"/>
  <c r="J5"/>
  <c r="J8" s="1"/>
  <c r="J11" s="1"/>
  <c r="K5"/>
  <c r="K8" s="1"/>
  <c r="K11" s="1"/>
  <c r="K4"/>
  <c r="K7" s="1"/>
  <c r="K10" s="1"/>
  <c r="L18" i="320"/>
  <c r="N18"/>
  <c r="J18"/>
  <c r="N21"/>
  <c r="CY147" i="343" s="1"/>
  <c r="L21" i="320"/>
  <c r="CX147" i="343" s="1"/>
  <c r="J21" i="320"/>
  <c r="CW147" i="343" s="1"/>
  <c r="J14" i="138"/>
  <c r="L15" i="320"/>
  <c r="N15"/>
  <c r="J15"/>
  <c r="M21" i="125"/>
  <c r="M20"/>
  <c r="N21"/>
  <c r="N20"/>
  <c r="BS5" i="342"/>
  <c r="BS4"/>
  <c r="H19" i="350"/>
  <c r="H7" i="235"/>
  <c r="H8" s="1"/>
  <c r="I7"/>
  <c r="I8" s="1"/>
  <c r="G7"/>
  <c r="G8" s="1"/>
  <c r="I11" i="124" l="1"/>
  <c r="H11"/>
  <c r="I17"/>
  <c r="H17"/>
  <c r="H8"/>
  <c r="I8"/>
  <c r="AI88" i="342"/>
  <c r="AI91" s="1"/>
  <c r="AI94" s="1"/>
  <c r="AH91"/>
  <c r="AH94" s="1"/>
  <c r="H26" i="317"/>
  <c r="G27"/>
  <c r="AA4" i="342"/>
  <c r="AA7" s="1"/>
  <c r="G26" i="335"/>
  <c r="L19" i="192"/>
  <c r="DP95" i="343" s="1"/>
  <c r="L22" i="192"/>
  <c r="L23" s="1"/>
  <c r="L24" s="1"/>
  <c r="T169" i="343"/>
  <c r="K25" i="317"/>
  <c r="H25"/>
  <c r="H22"/>
  <c r="F31" i="335"/>
  <c r="G31" s="1"/>
  <c r="G30"/>
  <c r="AQ8" i="342"/>
  <c r="AQ11" s="1"/>
  <c r="T163" i="343"/>
  <c r="T160"/>
  <c r="T161"/>
  <c r="T159"/>
  <c r="T167"/>
  <c r="H13" i="317"/>
  <c r="H14" s="1"/>
  <c r="H15" s="1"/>
  <c r="F25" i="335"/>
  <c r="G25"/>
  <c r="F12"/>
  <c r="G12"/>
  <c r="F14"/>
  <c r="G14"/>
  <c r="F16"/>
  <c r="G16"/>
  <c r="F8"/>
  <c r="G8"/>
  <c r="F10"/>
  <c r="G10"/>
  <c r="F13"/>
  <c r="G13"/>
  <c r="F15"/>
  <c r="G15"/>
  <c r="I43" i="317"/>
  <c r="L43" s="1"/>
  <c r="K43"/>
  <c r="K41"/>
  <c r="I41"/>
  <c r="L41" s="1"/>
  <c r="I42"/>
  <c r="L42" s="1"/>
  <c r="K42"/>
  <c r="DK167" i="343"/>
  <c r="DK166"/>
  <c r="DK160"/>
  <c r="E25" i="337"/>
  <c r="T162" i="343"/>
  <c r="T166"/>
  <c r="T164"/>
  <c r="T168"/>
  <c r="I20" i="351"/>
  <c r="I21" s="1"/>
  <c r="R164" i="343"/>
  <c r="J7" i="236"/>
  <c r="AA166" i="343"/>
  <c r="AA159"/>
  <c r="E65" i="337"/>
  <c r="D65" s="1"/>
  <c r="D31" s="1"/>
  <c r="AA163" i="343"/>
  <c r="AA161"/>
  <c r="AA169"/>
  <c r="AA160"/>
  <c r="L18" i="236"/>
  <c r="L7" s="1"/>
  <c r="AA168" i="343"/>
  <c r="AA167"/>
  <c r="AA162"/>
  <c r="AA164"/>
  <c r="H52" i="342"/>
  <c r="H74" s="1"/>
  <c r="K19" i="317"/>
  <c r="H8" i="360"/>
  <c r="H9" s="1"/>
  <c r="I8"/>
  <c r="I9" s="1"/>
  <c r="J8"/>
  <c r="J9" s="1"/>
  <c r="K14" i="317"/>
  <c r="K17"/>
  <c r="J17"/>
  <c r="J18" s="1"/>
  <c r="J14"/>
  <c r="J15" s="1"/>
  <c r="R162" i="343"/>
  <c r="R159"/>
  <c r="R160"/>
  <c r="R169"/>
  <c r="R168"/>
  <c r="R163"/>
  <c r="R167"/>
  <c r="R166"/>
  <c r="R161"/>
  <c r="I30" i="335"/>
  <c r="I31" s="1"/>
  <c r="H31"/>
  <c r="H10" i="317"/>
  <c r="C16" i="197" s="1"/>
  <c r="H7" i="317"/>
  <c r="I7" s="1"/>
  <c r="I9" s="1"/>
  <c r="K22"/>
  <c r="E37" i="297"/>
  <c r="C18" i="271" s="1"/>
  <c r="E34" i="339"/>
  <c r="C34" s="1"/>
  <c r="AD168" i="343"/>
  <c r="AD160"/>
  <c r="AD164"/>
  <c r="G55" i="342"/>
  <c r="M55" s="1"/>
  <c r="AD161" i="343"/>
  <c r="AD162"/>
  <c r="AD159"/>
  <c r="L7" i="122"/>
  <c r="L8" s="1"/>
  <c r="AD169" i="343"/>
  <c r="AD166"/>
  <c r="AD163"/>
  <c r="AD167"/>
  <c r="D95" i="337"/>
  <c r="Q17" i="339"/>
  <c r="K7" i="317"/>
  <c r="L7" s="1"/>
  <c r="L9" s="1"/>
  <c r="H11" i="335"/>
  <c r="I11" s="1"/>
  <c r="F11"/>
  <c r="H9"/>
  <c r="I9" s="1"/>
  <c r="F9"/>
  <c r="H44" i="348" s="1"/>
  <c r="N7" i="122"/>
  <c r="N8" s="1"/>
  <c r="H8" i="335"/>
  <c r="I8" s="1"/>
  <c r="H14"/>
  <c r="I14" s="1"/>
  <c r="H10"/>
  <c r="I10" s="1"/>
  <c r="H12"/>
  <c r="I12" s="1"/>
  <c r="H7"/>
  <c r="I7" s="1"/>
  <c r="F7"/>
  <c r="H42" i="348" s="1"/>
  <c r="H48" s="1"/>
  <c r="H15" i="335"/>
  <c r="I15" s="1"/>
  <c r="H13"/>
  <c r="I13" s="1"/>
  <c r="H16"/>
  <c r="I16" s="1"/>
  <c r="K16" i="317"/>
  <c r="L31" i="352"/>
  <c r="J32" i="121"/>
  <c r="K32" s="1"/>
  <c r="AF8" i="342"/>
  <c r="AF11" s="1"/>
  <c r="AG11" s="1"/>
  <c r="K28" i="317"/>
  <c r="H16"/>
  <c r="H28"/>
  <c r="H29" s="1"/>
  <c r="H19"/>
  <c r="L13" i="192"/>
  <c r="L10"/>
  <c r="L11" s="1"/>
  <c r="L12" s="1"/>
  <c r="L7"/>
  <c r="DP4" i="343" s="1"/>
  <c r="DP6" s="1"/>
  <c r="L16" i="192"/>
  <c r="L25"/>
  <c r="K10" i="317"/>
  <c r="K13"/>
  <c r="L25" i="347"/>
  <c r="L32" s="1"/>
  <c r="M16" i="339"/>
  <c r="E109" i="337"/>
  <c r="D109" s="1"/>
  <c r="G25" i="348"/>
  <c r="G34" s="1"/>
  <c r="Q16" i="339"/>
  <c r="E100" i="340"/>
  <c r="D100" s="1"/>
  <c r="G25" i="347"/>
  <c r="G34" s="1"/>
  <c r="L25" i="348"/>
  <c r="L26" s="1"/>
  <c r="H26" i="335"/>
  <c r="F26"/>
  <c r="H25"/>
  <c r="I25" s="1"/>
  <c r="E33" i="339"/>
  <c r="G53" i="342"/>
  <c r="M53" s="1"/>
  <c r="G51"/>
  <c r="G62" s="1"/>
  <c r="M62" s="1"/>
  <c r="E8" i="270"/>
  <c r="F22" i="297"/>
  <c r="G22" s="1"/>
  <c r="J29" i="317"/>
  <c r="J30" s="1"/>
  <c r="DK165" i="343"/>
  <c r="DK159"/>
  <c r="DI82"/>
  <c r="DK162"/>
  <c r="DK164"/>
  <c r="DK161"/>
  <c r="DI87"/>
  <c r="DK168"/>
  <c r="DK169"/>
  <c r="DI106"/>
  <c r="DI108" s="1"/>
  <c r="D94" i="337"/>
  <c r="I39" i="317"/>
  <c r="L39" s="1"/>
  <c r="X158" i="343"/>
  <c r="E63" i="337"/>
  <c r="K36" i="317"/>
  <c r="J16" i="249"/>
  <c r="I15" i="310"/>
  <c r="Y164" i="343"/>
  <c r="Y169"/>
  <c r="Y162"/>
  <c r="Y165"/>
  <c r="Y168"/>
  <c r="Y160"/>
  <c r="Y166"/>
  <c r="Y161"/>
  <c r="Y159"/>
  <c r="Y167"/>
  <c r="Y163"/>
  <c r="W161"/>
  <c r="W165"/>
  <c r="W163"/>
  <c r="W164"/>
  <c r="W167"/>
  <c r="W160"/>
  <c r="W166"/>
  <c r="W169"/>
  <c r="W159"/>
  <c r="W168"/>
  <c r="W162"/>
  <c r="H58" i="342"/>
  <c r="H80" s="1"/>
  <c r="H18"/>
  <c r="H30" s="1"/>
  <c r="H42" s="1"/>
  <c r="H56"/>
  <c r="H78" s="1"/>
  <c r="H59"/>
  <c r="H70" s="1"/>
  <c r="H50"/>
  <c r="H61" s="1"/>
  <c r="H51"/>
  <c r="H62" s="1"/>
  <c r="H54"/>
  <c r="H65" s="1"/>
  <c r="H55"/>
  <c r="H77" s="1"/>
  <c r="H53"/>
  <c r="H75" s="1"/>
  <c r="H71"/>
  <c r="H57"/>
  <c r="H68" s="1"/>
  <c r="G17"/>
  <c r="G29" s="1"/>
  <c r="G54"/>
  <c r="G76" s="1"/>
  <c r="M76" s="1"/>
  <c r="G50"/>
  <c r="M50" s="1"/>
  <c r="G49"/>
  <c r="M49" s="1"/>
  <c r="G71"/>
  <c r="M71" s="1"/>
  <c r="G57"/>
  <c r="G79" s="1"/>
  <c r="M79" s="1"/>
  <c r="G58"/>
  <c r="G69" s="1"/>
  <c r="M69" s="1"/>
  <c r="G60"/>
  <c r="M60" s="1"/>
  <c r="G52"/>
  <c r="G63" s="1"/>
  <c r="M63" s="1"/>
  <c r="G59"/>
  <c r="G81" s="1"/>
  <c r="M81" s="1"/>
  <c r="AH92"/>
  <c r="AH95" s="1"/>
  <c r="AJ89"/>
  <c r="AJ92" s="1"/>
  <c r="AJ95" s="1"/>
  <c r="G13"/>
  <c r="G25" s="1"/>
  <c r="G14"/>
  <c r="G26" s="1"/>
  <c r="H60"/>
  <c r="G15"/>
  <c r="M15" s="1"/>
  <c r="M12"/>
  <c r="M3"/>
  <c r="AG88"/>
  <c r="AG91" s="1"/>
  <c r="AG94" s="1"/>
  <c r="AG89"/>
  <c r="AG92" s="1"/>
  <c r="AG95" s="1"/>
  <c r="CO145" i="343"/>
  <c r="D26" i="294"/>
  <c r="G26" s="1"/>
  <c r="H6" i="342"/>
  <c r="H9" s="1"/>
  <c r="F165" i="341"/>
  <c r="F178" s="1"/>
  <c r="F164"/>
  <c r="F177" s="1"/>
  <c r="F173"/>
  <c r="F186" s="1"/>
  <c r="F175"/>
  <c r="F167"/>
  <c r="F180" s="1"/>
  <c r="F169"/>
  <c r="F182" s="1"/>
  <c r="D22" i="294"/>
  <c r="W23"/>
  <c r="J23"/>
  <c r="N23"/>
  <c r="R23"/>
  <c r="V23"/>
  <c r="AO23"/>
  <c r="AS23"/>
  <c r="AZ23"/>
  <c r="U23"/>
  <c r="AY23"/>
  <c r="AE23"/>
  <c r="K23"/>
  <c r="O23"/>
  <c r="S23"/>
  <c r="AA23"/>
  <c r="AP23"/>
  <c r="AT23"/>
  <c r="BA23"/>
  <c r="M23"/>
  <c r="AR23"/>
  <c r="H23"/>
  <c r="L23"/>
  <c r="P23"/>
  <c r="T23"/>
  <c r="AB23"/>
  <c r="AQ23"/>
  <c r="AX23"/>
  <c r="I23"/>
  <c r="Q23"/>
  <c r="AN23"/>
  <c r="X25"/>
  <c r="AB25"/>
  <c r="AG25"/>
  <c r="AK25"/>
  <c r="AV25"/>
  <c r="Y25"/>
  <c r="AC25"/>
  <c r="AH25"/>
  <c r="AL25"/>
  <c r="AW25"/>
  <c r="AA25"/>
  <c r="Z25"/>
  <c r="AD25"/>
  <c r="AI25"/>
  <c r="AM25"/>
  <c r="AX25"/>
  <c r="G25"/>
  <c r="AF25"/>
  <c r="AJ25"/>
  <c r="AU25"/>
  <c r="AZ25"/>
  <c r="F174" i="341"/>
  <c r="F172"/>
  <c r="F185" s="1"/>
  <c r="F171"/>
  <c r="F184" s="1"/>
  <c r="F176"/>
  <c r="F181" s="1"/>
  <c r="F170"/>
  <c r="F183" s="1"/>
  <c r="F168"/>
  <c r="J24" i="294"/>
  <c r="N24"/>
  <c r="R24"/>
  <c r="V24"/>
  <c r="Z24"/>
  <c r="AD24"/>
  <c r="AI24"/>
  <c r="AM24"/>
  <c r="Q24"/>
  <c r="AC24"/>
  <c r="AL24"/>
  <c r="K24"/>
  <c r="O24"/>
  <c r="S24"/>
  <c r="W24"/>
  <c r="AA24"/>
  <c r="AF24"/>
  <c r="AJ24"/>
  <c r="AZ24"/>
  <c r="H24"/>
  <c r="L24"/>
  <c r="P24"/>
  <c r="T24"/>
  <c r="X24"/>
  <c r="AB24"/>
  <c r="AG24"/>
  <c r="AK24"/>
  <c r="I24"/>
  <c r="M24"/>
  <c r="U24"/>
  <c r="Y24"/>
  <c r="AH24"/>
  <c r="I21"/>
  <c r="M21"/>
  <c r="Q21"/>
  <c r="U21"/>
  <c r="Y21"/>
  <c r="AC21"/>
  <c r="AG21"/>
  <c r="AK21"/>
  <c r="AO21"/>
  <c r="AS21"/>
  <c r="AW21"/>
  <c r="BA21"/>
  <c r="L21"/>
  <c r="X21"/>
  <c r="AR21"/>
  <c r="J21"/>
  <c r="N21"/>
  <c r="R21"/>
  <c r="V21"/>
  <c r="Z21"/>
  <c r="AD21"/>
  <c r="AH21"/>
  <c r="AL21"/>
  <c r="AP21"/>
  <c r="AT21"/>
  <c r="AX21"/>
  <c r="P21"/>
  <c r="AB21"/>
  <c r="AN21"/>
  <c r="AV21"/>
  <c r="K21"/>
  <c r="O21"/>
  <c r="S21"/>
  <c r="W21"/>
  <c r="AA21"/>
  <c r="AE21"/>
  <c r="AI21"/>
  <c r="AM21"/>
  <c r="AQ21"/>
  <c r="AU21"/>
  <c r="AY21"/>
  <c r="H21"/>
  <c r="T21"/>
  <c r="AF21"/>
  <c r="AJ21"/>
  <c r="AZ21"/>
  <c r="D82" i="345"/>
  <c r="F82" s="1"/>
  <c r="Q32" i="339"/>
  <c r="M32"/>
  <c r="D89" i="340"/>
  <c r="S141" i="341"/>
  <c r="F92" i="345"/>
  <c r="H92" s="1"/>
  <c r="E168" i="341"/>
  <c r="E9"/>
  <c r="I169"/>
  <c r="I182" s="1"/>
  <c r="Q150"/>
  <c r="E141"/>
  <c r="F139"/>
  <c r="Q142"/>
  <c r="F11"/>
  <c r="F52" s="1"/>
  <c r="U144"/>
  <c r="E174"/>
  <c r="Q138"/>
  <c r="U139"/>
  <c r="U140"/>
  <c r="C77" i="344"/>
  <c r="Q147" i="341"/>
  <c r="U85"/>
  <c r="U111" s="1"/>
  <c r="U141"/>
  <c r="U138"/>
  <c r="Q144"/>
  <c r="U142"/>
  <c r="U147"/>
  <c r="U145"/>
  <c r="Q143"/>
  <c r="Q139"/>
  <c r="U143"/>
  <c r="U148"/>
  <c r="L17" i="352"/>
  <c r="L18" s="1"/>
  <c r="J17"/>
  <c r="J18" s="1"/>
  <c r="E169" i="341"/>
  <c r="I170"/>
  <c r="I183" s="1"/>
  <c r="E166"/>
  <c r="E179" s="1"/>
  <c r="E176"/>
  <c r="E181" s="1"/>
  <c r="I176"/>
  <c r="G16" i="235"/>
  <c r="G20" i="138"/>
  <c r="K26" i="351"/>
  <c r="K27" s="1"/>
  <c r="G29" i="317"/>
  <c r="G26" i="192"/>
  <c r="I26"/>
  <c r="H26"/>
  <c r="K26"/>
  <c r="G26" i="351"/>
  <c r="G27" s="1"/>
  <c r="I16" i="235"/>
  <c r="I17" s="1"/>
  <c r="H20" i="138"/>
  <c r="H21" s="1"/>
  <c r="G20" i="190"/>
  <c r="J26" i="192"/>
  <c r="H16" i="235"/>
  <c r="I20" i="190"/>
  <c r="H20"/>
  <c r="J20"/>
  <c r="I17" i="352"/>
  <c r="I18" s="1"/>
  <c r="G17"/>
  <c r="G18" s="1"/>
  <c r="K17"/>
  <c r="K18" s="1"/>
  <c r="H17"/>
  <c r="H18" s="1"/>
  <c r="K20" i="190"/>
  <c r="K21" s="1"/>
  <c r="E164" i="341"/>
  <c r="E177" s="1"/>
  <c r="E182" s="1"/>
  <c r="E173"/>
  <c r="E186" s="1"/>
  <c r="CH163" i="343"/>
  <c r="G79" i="340"/>
  <c r="M79" s="1"/>
  <c r="T158" i="341"/>
  <c r="F144"/>
  <c r="F156"/>
  <c r="T157"/>
  <c r="F147"/>
  <c r="F91" i="345"/>
  <c r="E91" s="1"/>
  <c r="AL89" i="342"/>
  <c r="AL92" s="1"/>
  <c r="AL95" s="1"/>
  <c r="F153" i="341"/>
  <c r="T155"/>
  <c r="I138"/>
  <c r="Z4" i="342"/>
  <c r="F9" i="341"/>
  <c r="I165"/>
  <c r="I178" s="1"/>
  <c r="I167"/>
  <c r="I180" s="1"/>
  <c r="I172"/>
  <c r="I185" s="1"/>
  <c r="I164"/>
  <c r="I177" s="1"/>
  <c r="T160"/>
  <c r="T153"/>
  <c r="AF7" i="342"/>
  <c r="AF10" s="1"/>
  <c r="AG10" s="1"/>
  <c r="D94" i="340"/>
  <c r="CS136" i="343"/>
  <c r="I147" i="341"/>
  <c r="Y4" i="342"/>
  <c r="E142" i="341"/>
  <c r="I171"/>
  <c r="I184" s="1"/>
  <c r="I168"/>
  <c r="I181" s="1"/>
  <c r="I173"/>
  <c r="I186" s="1"/>
  <c r="T154"/>
  <c r="T161"/>
  <c r="CS139" i="343"/>
  <c r="E145" i="341"/>
  <c r="I166"/>
  <c r="I179" s="1"/>
  <c r="I174"/>
  <c r="T162"/>
  <c r="T156"/>
  <c r="F88" i="345"/>
  <c r="H88" s="1"/>
  <c r="CS141" i="343"/>
  <c r="K8" i="351"/>
  <c r="K9" s="1"/>
  <c r="AI5" i="342"/>
  <c r="AJ5"/>
  <c r="AI4"/>
  <c r="AJ4"/>
  <c r="CF48"/>
  <c r="CF56" s="1"/>
  <c r="D93" i="340"/>
  <c r="M15" i="347"/>
  <c r="P15" s="1"/>
  <c r="L25" i="350"/>
  <c r="K25"/>
  <c r="K24"/>
  <c r="L24"/>
  <c r="J16" i="348"/>
  <c r="J20"/>
  <c r="J12"/>
  <c r="J15"/>
  <c r="J19"/>
  <c r="J11"/>
  <c r="J25"/>
  <c r="O25" s="1"/>
  <c r="J13"/>
  <c r="J17"/>
  <c r="O9"/>
  <c r="J18"/>
  <c r="J10"/>
  <c r="J14"/>
  <c r="I19" i="350"/>
  <c r="J19" s="1"/>
  <c r="L20" i="125"/>
  <c r="D88" i="340"/>
  <c r="G90"/>
  <c r="I90" s="1"/>
  <c r="K21" i="350"/>
  <c r="L21"/>
  <c r="I20"/>
  <c r="J20" s="1"/>
  <c r="L21" i="125"/>
  <c r="K8" i="341"/>
  <c r="DJ91" i="343"/>
  <c r="CE150"/>
  <c r="C74" i="338"/>
  <c r="L18" i="350"/>
  <c r="K18"/>
  <c r="O41" i="348"/>
  <c r="J43"/>
  <c r="J42"/>
  <c r="J57"/>
  <c r="O57" s="1"/>
  <c r="L22" i="350"/>
  <c r="K22"/>
  <c r="CH164" i="343"/>
  <c r="DA137"/>
  <c r="CO148"/>
  <c r="DA151"/>
  <c r="CS135"/>
  <c r="CS140"/>
  <c r="C40" i="345"/>
  <c r="F41"/>
  <c r="H41" s="1"/>
  <c r="BG163" i="343"/>
  <c r="BG165"/>
  <c r="BG166"/>
  <c r="BG169"/>
  <c r="BG160"/>
  <c r="BG164"/>
  <c r="BG159"/>
  <c r="BG168"/>
  <c r="BG167"/>
  <c r="BG161"/>
  <c r="BG162"/>
  <c r="BH163"/>
  <c r="BH168"/>
  <c r="BH164"/>
  <c r="BH169"/>
  <c r="BH161"/>
  <c r="BH160"/>
  <c r="BH159"/>
  <c r="BH166"/>
  <c r="BH167"/>
  <c r="BH165"/>
  <c r="BH162"/>
  <c r="DA134"/>
  <c r="J9" i="317"/>
  <c r="J20"/>
  <c r="J21" s="1"/>
  <c r="J11"/>
  <c r="J23"/>
  <c r="J24" s="1"/>
  <c r="K29"/>
  <c r="K23"/>
  <c r="K20"/>
  <c r="K11"/>
  <c r="K26" s="1"/>
  <c r="E9" i="197"/>
  <c r="CH169" i="343"/>
  <c r="CH166"/>
  <c r="CH161"/>
  <c r="CZ133"/>
  <c r="CO149"/>
  <c r="CS134"/>
  <c r="CS138"/>
  <c r="CS137"/>
  <c r="CS142"/>
  <c r="CS143"/>
  <c r="CH167"/>
  <c r="CH168"/>
  <c r="CH165"/>
  <c r="CH162"/>
  <c r="CS157"/>
  <c r="CO157"/>
  <c r="CS149"/>
  <c r="I11" i="192"/>
  <c r="I12" s="1"/>
  <c r="G11"/>
  <c r="G12" s="1"/>
  <c r="G14" i="317"/>
  <c r="G15" s="1"/>
  <c r="H11" i="192"/>
  <c r="H12" s="1"/>
  <c r="G11" i="351"/>
  <c r="G12" s="1"/>
  <c r="K11" i="192"/>
  <c r="K12" s="1"/>
  <c r="K11" i="351"/>
  <c r="K12" s="1"/>
  <c r="J11" i="192"/>
  <c r="J12" s="1"/>
  <c r="CO151" i="343"/>
  <c r="S159" i="341"/>
  <c r="J142"/>
  <c r="F143"/>
  <c r="F148"/>
  <c r="F138"/>
  <c r="CH149" i="343"/>
  <c r="DA157"/>
  <c r="G11" i="124"/>
  <c r="G17"/>
  <c r="F140" i="341"/>
  <c r="F141"/>
  <c r="F145"/>
  <c r="F142"/>
  <c r="F146"/>
  <c r="CZ148" i="343"/>
  <c r="DC150"/>
  <c r="DC133"/>
  <c r="E47" i="344"/>
  <c r="C79" i="338"/>
  <c r="C76"/>
  <c r="E85" i="340"/>
  <c r="E74" s="1"/>
  <c r="D74" s="1"/>
  <c r="U9" i="341"/>
  <c r="U12"/>
  <c r="U20" s="1"/>
  <c r="U7"/>
  <c r="U11"/>
  <c r="U52" s="1"/>
  <c r="CG140" i="343"/>
  <c r="DA141"/>
  <c r="DA150"/>
  <c r="DA148"/>
  <c r="C68" i="344"/>
  <c r="D71" i="338"/>
  <c r="C71" s="1"/>
  <c r="S161" i="341"/>
  <c r="CZ151" i="343"/>
  <c r="CZ140"/>
  <c r="CZ134"/>
  <c r="F80" i="344"/>
  <c r="T80" s="1"/>
  <c r="F75" i="338"/>
  <c r="N75" s="1"/>
  <c r="D80" i="340"/>
  <c r="CS148" i="343"/>
  <c r="S155" i="341"/>
  <c r="S157"/>
  <c r="S154"/>
  <c r="CZ157" i="343"/>
  <c r="CZ143"/>
  <c r="CZ137"/>
  <c r="CZ139"/>
  <c r="DC149"/>
  <c r="DH88"/>
  <c r="DC137"/>
  <c r="DC135"/>
  <c r="CG149"/>
  <c r="C75" i="338"/>
  <c r="K15" i="190"/>
  <c r="CS150" i="343"/>
  <c r="M20" i="317"/>
  <c r="M21" s="1"/>
  <c r="J12" i="352"/>
  <c r="I12"/>
  <c r="G12"/>
  <c r="O17" i="124"/>
  <c r="H12" i="352"/>
  <c r="L11" i="124"/>
  <c r="L17"/>
  <c r="G4" i="342"/>
  <c r="M4" s="1"/>
  <c r="H4"/>
  <c r="H7" s="1"/>
  <c r="H10" s="1"/>
  <c r="G5"/>
  <c r="M5" s="1"/>
  <c r="H5"/>
  <c r="H8" s="1"/>
  <c r="H11" s="1"/>
  <c r="L21" i="332"/>
  <c r="K21"/>
  <c r="K18"/>
  <c r="L18"/>
  <c r="K22"/>
  <c r="L22"/>
  <c r="K25"/>
  <c r="L25"/>
  <c r="L24"/>
  <c r="K24"/>
  <c r="DS98" i="343"/>
  <c r="DS102" s="1"/>
  <c r="DN97"/>
  <c r="DN101" s="1"/>
  <c r="DN105" s="1"/>
  <c r="G21" i="351"/>
  <c r="K21"/>
  <c r="DH100" i="343"/>
  <c r="DH104" s="1"/>
  <c r="DJ85"/>
  <c r="DJ81"/>
  <c r="DH83"/>
  <c r="DH106"/>
  <c r="DH113" s="1"/>
  <c r="DH121"/>
  <c r="DH130" s="1"/>
  <c r="DI88"/>
  <c r="DI90"/>
  <c r="DI89"/>
  <c r="DS121"/>
  <c r="DS122" s="1"/>
  <c r="DS126" s="1"/>
  <c r="DS99"/>
  <c r="DS103" s="1"/>
  <c r="DN99"/>
  <c r="DN103" s="1"/>
  <c r="DN121"/>
  <c r="DN123" s="1"/>
  <c r="DN131" s="1"/>
  <c r="DS100"/>
  <c r="DS104" s="1"/>
  <c r="DS97"/>
  <c r="DS101" s="1"/>
  <c r="DS105" s="1"/>
  <c r="DN100"/>
  <c r="DN104" s="1"/>
  <c r="DN98"/>
  <c r="DN102" s="1"/>
  <c r="DO97"/>
  <c r="DO101" s="1"/>
  <c r="DO105" s="1"/>
  <c r="DH161"/>
  <c r="DJ98"/>
  <c r="DJ102" s="1"/>
  <c r="DJ90"/>
  <c r="DJ84"/>
  <c r="DJ106"/>
  <c r="DJ110" s="1"/>
  <c r="DH81"/>
  <c r="DH89"/>
  <c r="DH86"/>
  <c r="DI121"/>
  <c r="DI122" s="1"/>
  <c r="DI126" s="1"/>
  <c r="DH96"/>
  <c r="DJ88"/>
  <c r="DJ82"/>
  <c r="DJ87"/>
  <c r="DJ83"/>
  <c r="DJ89"/>
  <c r="DH99"/>
  <c r="DH103" s="1"/>
  <c r="DH98"/>
  <c r="DH102" s="1"/>
  <c r="K151"/>
  <c r="N137"/>
  <c r="K133"/>
  <c r="N134"/>
  <c r="M143"/>
  <c r="CH157"/>
  <c r="CL146"/>
  <c r="CE138"/>
  <c r="CE148"/>
  <c r="CH148"/>
  <c r="CG139"/>
  <c r="CG133"/>
  <c r="CE157"/>
  <c r="CH150"/>
  <c r="CG141"/>
  <c r="CG138"/>
  <c r="CG137"/>
  <c r="CE133"/>
  <c r="CH133"/>
  <c r="CL149"/>
  <c r="CE151"/>
  <c r="CI151"/>
  <c r="CI140"/>
  <c r="CF139"/>
  <c r="CF148"/>
  <c r="CI138"/>
  <c r="CF143"/>
  <c r="CF137"/>
  <c r="H41" i="193"/>
  <c r="D84" i="344" s="1"/>
  <c r="C83" i="338"/>
  <c r="F83"/>
  <c r="D81"/>
  <c r="U8" i="341"/>
  <c r="U10"/>
  <c r="U76" s="1"/>
  <c r="U80" s="1"/>
  <c r="DA138" i="343"/>
  <c r="DA140"/>
  <c r="DA135"/>
  <c r="CE141"/>
  <c r="CE135"/>
  <c r="CE142"/>
  <c r="CP157"/>
  <c r="CG150"/>
  <c r="A54" i="340"/>
  <c r="F8" i="341"/>
  <c r="E140"/>
  <c r="E85"/>
  <c r="E111" s="1"/>
  <c r="E143"/>
  <c r="F100"/>
  <c r="F126" s="1"/>
  <c r="E170"/>
  <c r="E183" s="1"/>
  <c r="E172"/>
  <c r="E185" s="1"/>
  <c r="E167"/>
  <c r="E165"/>
  <c r="E178" s="1"/>
  <c r="E171"/>
  <c r="E184" s="1"/>
  <c r="DH159" i="343"/>
  <c r="K11" i="341"/>
  <c r="K52" s="1"/>
  <c r="K10"/>
  <c r="K76" s="1"/>
  <c r="K80" s="1"/>
  <c r="CI150" i="343"/>
  <c r="CZ149"/>
  <c r="DC151"/>
  <c r="DC157"/>
  <c r="K150"/>
  <c r="CF150"/>
  <c r="CF149"/>
  <c r="DH90"/>
  <c r="DH82"/>
  <c r="DH84"/>
  <c r="DH91"/>
  <c r="DH85"/>
  <c r="CG136"/>
  <c r="CG143"/>
  <c r="CG142"/>
  <c r="CG134"/>
  <c r="DA133"/>
  <c r="DA142"/>
  <c r="DA143"/>
  <c r="DA139"/>
  <c r="CE139"/>
  <c r="CE143"/>
  <c r="CE136"/>
  <c r="CE137"/>
  <c r="CE134"/>
  <c r="CH137"/>
  <c r="CG151"/>
  <c r="CG157"/>
  <c r="C47" i="344"/>
  <c r="I16" i="339"/>
  <c r="H41" i="347"/>
  <c r="H41" i="348"/>
  <c r="K40" i="317"/>
  <c r="I40"/>
  <c r="L40" s="1"/>
  <c r="L35"/>
  <c r="H9" i="190"/>
  <c r="N143" i="343"/>
  <c r="M138"/>
  <c r="M137"/>
  <c r="K140"/>
  <c r="D4" i="338"/>
  <c r="D16" s="1"/>
  <c r="E12" i="337"/>
  <c r="D46"/>
  <c r="D12" s="1"/>
  <c r="DM97" i="343"/>
  <c r="DM101" s="1"/>
  <c r="DM105" s="1"/>
  <c r="DO99"/>
  <c r="DO103" s="1"/>
  <c r="DO121"/>
  <c r="DO130" s="1"/>
  <c r="H16" i="337"/>
  <c r="H50" s="1"/>
  <c r="I16"/>
  <c r="M157" i="343"/>
  <c r="E9" i="337"/>
  <c r="D43"/>
  <c r="D9" s="1"/>
  <c r="E22"/>
  <c r="D56"/>
  <c r="D22" s="1"/>
  <c r="E10"/>
  <c r="D44"/>
  <c r="D10" s="1"/>
  <c r="E30"/>
  <c r="D64"/>
  <c r="D30" s="1"/>
  <c r="E26"/>
  <c r="D60"/>
  <c r="D26" s="1"/>
  <c r="E7"/>
  <c r="H7" s="1"/>
  <c r="H41" s="1"/>
  <c r="G41" s="1"/>
  <c r="D41"/>
  <c r="D7" s="1"/>
  <c r="E8"/>
  <c r="D42"/>
  <c r="D8" s="1"/>
  <c r="E24"/>
  <c r="D58"/>
  <c r="D24" s="1"/>
  <c r="E13"/>
  <c r="D47"/>
  <c r="D13" s="1"/>
  <c r="D45"/>
  <c r="D11" s="1"/>
  <c r="E11"/>
  <c r="H10" i="348"/>
  <c r="H10" i="347"/>
  <c r="H16" s="1"/>
  <c r="M16" s="1"/>
  <c r="P16" s="1"/>
  <c r="H60" i="348"/>
  <c r="H60" i="347"/>
  <c r="M57"/>
  <c r="H63"/>
  <c r="H15" i="348"/>
  <c r="M9"/>
  <c r="K9"/>
  <c r="H12"/>
  <c r="H12" i="347"/>
  <c r="H18" s="1"/>
  <c r="H58" i="348"/>
  <c r="H58" i="347"/>
  <c r="H25"/>
  <c r="H25" i="348"/>
  <c r="M57"/>
  <c r="H63"/>
  <c r="L45"/>
  <c r="M17" i="339"/>
  <c r="E18"/>
  <c r="Q18" s="1"/>
  <c r="I17"/>
  <c r="CI157" i="343"/>
  <c r="CI148"/>
  <c r="CZ141"/>
  <c r="CZ138"/>
  <c r="CZ135"/>
  <c r="CZ142"/>
  <c r="K157"/>
  <c r="CF157"/>
  <c r="N157"/>
  <c r="DI91"/>
  <c r="DI85"/>
  <c r="DI83"/>
  <c r="DI86"/>
  <c r="DI84"/>
  <c r="CI136"/>
  <c r="CI134"/>
  <c r="CI135"/>
  <c r="DC142"/>
  <c r="DC141"/>
  <c r="DC134"/>
  <c r="DM99"/>
  <c r="DM103" s="1"/>
  <c r="DM121"/>
  <c r="DM124" s="1"/>
  <c r="DM127" s="1"/>
  <c r="CF136"/>
  <c r="CF138"/>
  <c r="CF133"/>
  <c r="CL150"/>
  <c r="F10" i="341"/>
  <c r="F76" s="1"/>
  <c r="F81" s="1"/>
  <c r="F7"/>
  <c r="E144"/>
  <c r="E138"/>
  <c r="E146"/>
  <c r="E147"/>
  <c r="E139"/>
  <c r="K9"/>
  <c r="K12"/>
  <c r="K24" s="1"/>
  <c r="M9" i="347"/>
  <c r="K9"/>
  <c r="K139" i="343"/>
  <c r="N138"/>
  <c r="N136"/>
  <c r="M140"/>
  <c r="M135"/>
  <c r="CS145"/>
  <c r="CS146"/>
  <c r="CI139"/>
  <c r="CI143"/>
  <c r="CI141"/>
  <c r="CI142"/>
  <c r="CI137"/>
  <c r="DC140"/>
  <c r="DC138"/>
  <c r="DC143"/>
  <c r="DC139"/>
  <c r="H141"/>
  <c r="CF141"/>
  <c r="CF142"/>
  <c r="CF140"/>
  <c r="CF134"/>
  <c r="CL151"/>
  <c r="CL157"/>
  <c r="CJ68" i="342"/>
  <c r="CJ80" s="1"/>
  <c r="Q160" i="341"/>
  <c r="DH162" i="343"/>
  <c r="I160" i="341"/>
  <c r="DJ96" i="343"/>
  <c r="DL96"/>
  <c r="CH141"/>
  <c r="CH138"/>
  <c r="CJ67" i="342"/>
  <c r="CJ79" s="1"/>
  <c r="CJ6"/>
  <c r="CJ9" s="1"/>
  <c r="Q157" i="341"/>
  <c r="DH163" i="343"/>
  <c r="I157" i="341"/>
  <c r="DJ99" i="343"/>
  <c r="DJ103" s="1"/>
  <c r="DL100"/>
  <c r="DL104" s="1"/>
  <c r="CH139"/>
  <c r="CH134"/>
  <c r="C61" i="344"/>
  <c r="F61"/>
  <c r="CJ66" i="342"/>
  <c r="CJ78" s="1"/>
  <c r="DH164" i="343"/>
  <c r="E155" i="341"/>
  <c r="I158"/>
  <c r="DJ97" i="343"/>
  <c r="DJ101" s="1"/>
  <c r="DJ105" s="1"/>
  <c r="CL140"/>
  <c r="DL98"/>
  <c r="DL102" s="1"/>
  <c r="DI100"/>
  <c r="DI104" s="1"/>
  <c r="CH136"/>
  <c r="DH165"/>
  <c r="E158" i="341"/>
  <c r="DJ121" i="343"/>
  <c r="DJ125" s="1"/>
  <c r="DJ128" s="1"/>
  <c r="CL143"/>
  <c r="DL99"/>
  <c r="DL103" s="1"/>
  <c r="DI98"/>
  <c r="DI102" s="1"/>
  <c r="CH140"/>
  <c r="CJ61" i="342"/>
  <c r="CJ73" s="1"/>
  <c r="DH169" i="343"/>
  <c r="E153" i="341"/>
  <c r="DL97" i="343"/>
  <c r="DL101" s="1"/>
  <c r="DL105" s="1"/>
  <c r="DI96"/>
  <c r="CH135"/>
  <c r="Q26" i="339"/>
  <c r="CJ71" i="342"/>
  <c r="CJ83" s="1"/>
  <c r="DH166" i="343"/>
  <c r="DH167"/>
  <c r="DI99"/>
  <c r="DI103" s="1"/>
  <c r="CH143"/>
  <c r="CJ70" i="342"/>
  <c r="CJ82" s="1"/>
  <c r="DH160" i="343"/>
  <c r="CU151"/>
  <c r="DB149"/>
  <c r="DB150"/>
  <c r="CU137"/>
  <c r="DB151"/>
  <c r="DB157"/>
  <c r="CU148"/>
  <c r="CU141"/>
  <c r="CP149"/>
  <c r="CU157"/>
  <c r="CU133"/>
  <c r="CU135"/>
  <c r="CU136"/>
  <c r="CP148"/>
  <c r="CR157"/>
  <c r="CU149"/>
  <c r="CU142"/>
  <c r="CU138"/>
  <c r="CU140"/>
  <c r="CU143"/>
  <c r="CU139"/>
  <c r="CP150"/>
  <c r="N148"/>
  <c r="N135"/>
  <c r="N142"/>
  <c r="N139"/>
  <c r="N140"/>
  <c r="N141"/>
  <c r="M134"/>
  <c r="M142"/>
  <c r="M136"/>
  <c r="M139"/>
  <c r="M141"/>
  <c r="K142"/>
  <c r="K138"/>
  <c r="DM100"/>
  <c r="DM104" s="1"/>
  <c r="DM98"/>
  <c r="DM102" s="1"/>
  <c r="DO100"/>
  <c r="DO104" s="1"/>
  <c r="DO98"/>
  <c r="DO102" s="1"/>
  <c r="Q141" i="341"/>
  <c r="Q145"/>
  <c r="Q148"/>
  <c r="Q146"/>
  <c r="T150"/>
  <c r="S146"/>
  <c r="S140"/>
  <c r="E8"/>
  <c r="E11"/>
  <c r="E52" s="1"/>
  <c r="I144"/>
  <c r="F155"/>
  <c r="F160"/>
  <c r="F154"/>
  <c r="Q159"/>
  <c r="Q155"/>
  <c r="Q153"/>
  <c r="S162"/>
  <c r="S160"/>
  <c r="S156"/>
  <c r="S158"/>
  <c r="E157"/>
  <c r="E162"/>
  <c r="E100"/>
  <c r="E103" s="1"/>
  <c r="E129" s="1"/>
  <c r="J139"/>
  <c r="J143"/>
  <c r="I154"/>
  <c r="I161"/>
  <c r="I100"/>
  <c r="I103" s="1"/>
  <c r="I129" s="1"/>
  <c r="T139"/>
  <c r="J151"/>
  <c r="S143"/>
  <c r="S138"/>
  <c r="S142"/>
  <c r="I143"/>
  <c r="I140"/>
  <c r="I139"/>
  <c r="Q161"/>
  <c r="Q162"/>
  <c r="Q154"/>
  <c r="Q156"/>
  <c r="T146"/>
  <c r="J145"/>
  <c r="J147"/>
  <c r="T145"/>
  <c r="T141"/>
  <c r="T142"/>
  <c r="T148"/>
  <c r="S148"/>
  <c r="S145"/>
  <c r="S144"/>
  <c r="S147"/>
  <c r="E7"/>
  <c r="E10"/>
  <c r="E76" s="1"/>
  <c r="E80" s="1"/>
  <c r="I141"/>
  <c r="I145"/>
  <c r="I142"/>
  <c r="I146"/>
  <c r="I148"/>
  <c r="F158"/>
  <c r="F157"/>
  <c r="F161"/>
  <c r="F159"/>
  <c r="T138"/>
  <c r="T143"/>
  <c r="T140"/>
  <c r="T144"/>
  <c r="E156"/>
  <c r="E154"/>
  <c r="E159"/>
  <c r="E160"/>
  <c r="J141"/>
  <c r="J140"/>
  <c r="J144"/>
  <c r="J146"/>
  <c r="J148"/>
  <c r="I156"/>
  <c r="I162"/>
  <c r="I155"/>
  <c r="I153"/>
  <c r="F94" i="337"/>
  <c r="I94"/>
  <c r="D84" i="340"/>
  <c r="G84"/>
  <c r="A89" i="337"/>
  <c r="A88" i="340"/>
  <c r="V88" s="1"/>
  <c r="W88" s="1"/>
  <c r="T85" i="344"/>
  <c r="H85"/>
  <c r="A84" i="338"/>
  <c r="P85" i="344"/>
  <c r="E85"/>
  <c r="L85"/>
  <c r="G81" i="340"/>
  <c r="D81"/>
  <c r="F75" i="344"/>
  <c r="A79" i="337" s="1"/>
  <c r="C75" i="344"/>
  <c r="D72"/>
  <c r="D23" s="1"/>
  <c r="H89" i="338"/>
  <c r="E89"/>
  <c r="A91" i="345"/>
  <c r="H86" i="338"/>
  <c r="A88" i="345"/>
  <c r="E86" i="338"/>
  <c r="F93" i="340"/>
  <c r="U93"/>
  <c r="I93"/>
  <c r="N74" i="338"/>
  <c r="A76" i="345"/>
  <c r="H74" i="338"/>
  <c r="Q74"/>
  <c r="E74"/>
  <c r="F81" i="344"/>
  <c r="C81"/>
  <c r="D71"/>
  <c r="C71" s="1"/>
  <c r="F82"/>
  <c r="C82"/>
  <c r="U91" i="337"/>
  <c r="F91"/>
  <c r="I91"/>
  <c r="F76" i="345"/>
  <c r="C76"/>
  <c r="D73"/>
  <c r="D16" s="1"/>
  <c r="F90" i="344"/>
  <c r="C90"/>
  <c r="I88" i="340"/>
  <c r="U88"/>
  <c r="F88"/>
  <c r="U94"/>
  <c r="I94"/>
  <c r="F94"/>
  <c r="P91" i="344"/>
  <c r="A95" i="337"/>
  <c r="A94" i="340"/>
  <c r="H91" i="344"/>
  <c r="A90" i="338"/>
  <c r="E91" i="344"/>
  <c r="N90" i="338"/>
  <c r="A92" i="345"/>
  <c r="H90" i="338"/>
  <c r="E90"/>
  <c r="I89" i="340"/>
  <c r="F89"/>
  <c r="U89"/>
  <c r="A90" i="337"/>
  <c r="A85" i="338"/>
  <c r="A89" i="340"/>
  <c r="V89" s="1"/>
  <c r="W89" s="1"/>
  <c r="H86" i="344"/>
  <c r="E86"/>
  <c r="T86"/>
  <c r="L86"/>
  <c r="A81" i="345"/>
  <c r="Q79" i="338"/>
  <c r="N79"/>
  <c r="E79"/>
  <c r="H79"/>
  <c r="F80" i="340"/>
  <c r="I80"/>
  <c r="Q80"/>
  <c r="U80"/>
  <c r="A81" i="337"/>
  <c r="T77" i="344"/>
  <c r="A76" i="338"/>
  <c r="A80" i="340"/>
  <c r="V80" s="1"/>
  <c r="W80" s="1"/>
  <c r="E77" i="344"/>
  <c r="H77"/>
  <c r="A78" i="345"/>
  <c r="Q76" i="338"/>
  <c r="E76"/>
  <c r="H76"/>
  <c r="F78" i="344"/>
  <c r="C78"/>
  <c r="F77" i="338"/>
  <c r="C77"/>
  <c r="G78" i="340"/>
  <c r="D78"/>
  <c r="E75"/>
  <c r="F77" i="345"/>
  <c r="C77"/>
  <c r="C76" i="344"/>
  <c r="F76"/>
  <c r="Q80" i="338"/>
  <c r="H80"/>
  <c r="E80"/>
  <c r="A82" i="345"/>
  <c r="Q84" i="338"/>
  <c r="A86" i="345"/>
  <c r="N84" i="338"/>
  <c r="E84"/>
  <c r="H84"/>
  <c r="R95" i="337"/>
  <c r="I95"/>
  <c r="F95"/>
  <c r="H85" i="338"/>
  <c r="Q85"/>
  <c r="A87" i="345"/>
  <c r="E85" i="338"/>
  <c r="N149" i="343"/>
  <c r="M150"/>
  <c r="M145"/>
  <c r="N150"/>
  <c r="N145"/>
  <c r="M148"/>
  <c r="K141"/>
  <c r="K137"/>
  <c r="K143"/>
  <c r="K135"/>
  <c r="K134"/>
  <c r="F63" i="344"/>
  <c r="C63"/>
  <c r="F50" i="345"/>
  <c r="C50"/>
  <c r="F53"/>
  <c r="C53"/>
  <c r="F54"/>
  <c r="C54"/>
  <c r="F57"/>
  <c r="C57"/>
  <c r="A57"/>
  <c r="C61"/>
  <c r="F61"/>
  <c r="A60"/>
  <c r="F68"/>
  <c r="C68"/>
  <c r="F42"/>
  <c r="C42"/>
  <c r="F62" i="344"/>
  <c r="C62"/>
  <c r="F49" i="345"/>
  <c r="C49"/>
  <c r="F52"/>
  <c r="C52"/>
  <c r="C51"/>
  <c r="F51"/>
  <c r="A58"/>
  <c r="C60"/>
  <c r="F60"/>
  <c r="F62"/>
  <c r="C62"/>
  <c r="F43"/>
  <c r="C43"/>
  <c r="D38" i="338"/>
  <c r="C37"/>
  <c r="F64" i="344"/>
  <c r="C64"/>
  <c r="F65" i="345"/>
  <c r="C65"/>
  <c r="C39" i="338"/>
  <c r="F55" i="345"/>
  <c r="C55"/>
  <c r="F59"/>
  <c r="C59"/>
  <c r="A59"/>
  <c r="A46" i="338"/>
  <c r="A60" i="340"/>
  <c r="E65" i="344"/>
  <c r="A44" i="337"/>
  <c r="P65" i="344"/>
  <c r="H65"/>
  <c r="T65"/>
  <c r="T40" i="345"/>
  <c r="E40"/>
  <c r="H40"/>
  <c r="F64"/>
  <c r="C64"/>
  <c r="F63"/>
  <c r="C63"/>
  <c r="F58"/>
  <c r="C58"/>
  <c r="A61"/>
  <c r="F56"/>
  <c r="C56"/>
  <c r="A56"/>
  <c r="C67"/>
  <c r="F67"/>
  <c r="F66"/>
  <c r="C66"/>
  <c r="P68" i="344"/>
  <c r="H68"/>
  <c r="E68"/>
  <c r="F46" i="345"/>
  <c r="D47"/>
  <c r="C46"/>
  <c r="D45"/>
  <c r="C44"/>
  <c r="F44"/>
  <c r="C36" i="338"/>
  <c r="A48" i="340"/>
  <c r="A50"/>
  <c r="A51"/>
  <c r="A56" i="337"/>
  <c r="A47" i="340"/>
  <c r="A49"/>
  <c r="F79" i="337"/>
  <c r="L79"/>
  <c r="G75"/>
  <c r="R79"/>
  <c r="U79"/>
  <c r="I79"/>
  <c r="I80"/>
  <c r="U80"/>
  <c r="R80"/>
  <c r="L80"/>
  <c r="F80"/>
  <c r="F85"/>
  <c r="U85"/>
  <c r="L85"/>
  <c r="I85"/>
  <c r="D85"/>
  <c r="E75"/>
  <c r="D80"/>
  <c r="D79"/>
  <c r="H47" i="344"/>
  <c r="L47"/>
  <c r="P47"/>
  <c r="C52"/>
  <c r="E52"/>
  <c r="C56"/>
  <c r="E56"/>
  <c r="C41"/>
  <c r="C55"/>
  <c r="E55"/>
  <c r="C51"/>
  <c r="E51"/>
  <c r="C60"/>
  <c r="E60"/>
  <c r="C42"/>
  <c r="C45"/>
  <c r="E45"/>
  <c r="C59"/>
  <c r="E59"/>
  <c r="C53"/>
  <c r="E53"/>
  <c r="C48"/>
  <c r="E48"/>
  <c r="C49"/>
  <c r="E49"/>
  <c r="C43"/>
  <c r="E43"/>
  <c r="C50"/>
  <c r="E50"/>
  <c r="C58"/>
  <c r="E58"/>
  <c r="C57"/>
  <c r="E57"/>
  <c r="CL142" i="343"/>
  <c r="CL139"/>
  <c r="H134"/>
  <c r="H137"/>
  <c r="CL137"/>
  <c r="CL133"/>
  <c r="H133"/>
  <c r="H135"/>
  <c r="D46" i="344"/>
  <c r="F46" s="1"/>
  <c r="A38" i="338" s="1"/>
  <c r="CL135" i="343"/>
  <c r="H142"/>
  <c r="H143"/>
  <c r="CL141"/>
  <c r="H139"/>
  <c r="D44" i="344"/>
  <c r="F44" s="1"/>
  <c r="A36" i="338" s="1"/>
  <c r="CL134" i="343"/>
  <c r="H136"/>
  <c r="CL138"/>
  <c r="H140"/>
  <c r="CB16" i="342"/>
  <c r="CB14"/>
  <c r="CX149" i="343"/>
  <c r="CX151"/>
  <c r="CX148"/>
  <c r="CX150"/>
  <c r="CX157"/>
  <c r="O148"/>
  <c r="O157"/>
  <c r="O150"/>
  <c r="O151"/>
  <c r="O149"/>
  <c r="J145"/>
  <c r="J146"/>
  <c r="DA145"/>
  <c r="DA146"/>
  <c r="CC26" i="342"/>
  <c r="CC38" s="1"/>
  <c r="DT106" i="343"/>
  <c r="DT83"/>
  <c r="DT91"/>
  <c r="DT86"/>
  <c r="DT81"/>
  <c r="DT89"/>
  <c r="DT88"/>
  <c r="DT85"/>
  <c r="DT84"/>
  <c r="DT87"/>
  <c r="DT90"/>
  <c r="DT82"/>
  <c r="DI118"/>
  <c r="DI93"/>
  <c r="DI94"/>
  <c r="I145"/>
  <c r="I146"/>
  <c r="P146"/>
  <c r="P145"/>
  <c r="CF146"/>
  <c r="CF145"/>
  <c r="DL118"/>
  <c r="DL94"/>
  <c r="DL93"/>
  <c r="DJ118"/>
  <c r="DJ93"/>
  <c r="DJ94"/>
  <c r="DT118"/>
  <c r="DT93"/>
  <c r="DT94"/>
  <c r="K145"/>
  <c r="K146"/>
  <c r="O146"/>
  <c r="O145"/>
  <c r="CH146"/>
  <c r="CH145"/>
  <c r="DL106"/>
  <c r="DL88"/>
  <c r="DL83"/>
  <c r="DL91"/>
  <c r="DL86"/>
  <c r="DL85"/>
  <c r="DL81"/>
  <c r="DL84"/>
  <c r="DL90"/>
  <c r="DL89"/>
  <c r="DL82"/>
  <c r="DL87"/>
  <c r="DB146"/>
  <c r="DB145"/>
  <c r="DT124"/>
  <c r="DT127" s="1"/>
  <c r="DT122"/>
  <c r="DT126" s="1"/>
  <c r="DT125"/>
  <c r="DT128" s="1"/>
  <c r="DT130"/>
  <c r="DT129"/>
  <c r="DT123"/>
  <c r="DT131" s="1"/>
  <c r="J134"/>
  <c r="J135"/>
  <c r="J139"/>
  <c r="J143"/>
  <c r="J138"/>
  <c r="J142"/>
  <c r="J133"/>
  <c r="J136"/>
  <c r="J141"/>
  <c r="J137"/>
  <c r="J140"/>
  <c r="DR122"/>
  <c r="DR126" s="1"/>
  <c r="DR125"/>
  <c r="DR128" s="1"/>
  <c r="DR129"/>
  <c r="DR130"/>
  <c r="DR124"/>
  <c r="DR127" s="1"/>
  <c r="DR123"/>
  <c r="DR131" s="1"/>
  <c r="CW148"/>
  <c r="CW150"/>
  <c r="CW157"/>
  <c r="CW149"/>
  <c r="CW151"/>
  <c r="H146"/>
  <c r="H145"/>
  <c r="I133"/>
  <c r="I134"/>
  <c r="I135"/>
  <c r="I136"/>
  <c r="I137"/>
  <c r="I138"/>
  <c r="I139"/>
  <c r="I140"/>
  <c r="I141"/>
  <c r="I142"/>
  <c r="I143"/>
  <c r="P134"/>
  <c r="P138"/>
  <c r="P142"/>
  <c r="P140"/>
  <c r="P133"/>
  <c r="P137"/>
  <c r="P141"/>
  <c r="P136"/>
  <c r="P139"/>
  <c r="P143"/>
  <c r="P135"/>
  <c r="CG146"/>
  <c r="CG145"/>
  <c r="DH118"/>
  <c r="DH94"/>
  <c r="DH93"/>
  <c r="CP146"/>
  <c r="CP145"/>
  <c r="DR106"/>
  <c r="DR81"/>
  <c r="DR89"/>
  <c r="DR84"/>
  <c r="DR87"/>
  <c r="DR86"/>
  <c r="DR82"/>
  <c r="DR85"/>
  <c r="DR91"/>
  <c r="DR90"/>
  <c r="DR83"/>
  <c r="DR88"/>
  <c r="DL124"/>
  <c r="DL127" s="1"/>
  <c r="DL130"/>
  <c r="DL129"/>
  <c r="DL123"/>
  <c r="DL131" s="1"/>
  <c r="DL122"/>
  <c r="DL126" s="1"/>
  <c r="DL125"/>
  <c r="DL128" s="1"/>
  <c r="O133"/>
  <c r="O134"/>
  <c r="O135"/>
  <c r="O136"/>
  <c r="O137"/>
  <c r="O138"/>
  <c r="O139"/>
  <c r="O140"/>
  <c r="O141"/>
  <c r="O142"/>
  <c r="O143"/>
  <c r="CI146"/>
  <c r="CI145"/>
  <c r="DC145"/>
  <c r="DC146"/>
  <c r="DR118"/>
  <c r="DR93"/>
  <c r="DR94"/>
  <c r="DK108"/>
  <c r="DK110"/>
  <c r="DK112"/>
  <c r="DK114"/>
  <c r="DK116"/>
  <c r="DK107"/>
  <c r="DK109"/>
  <c r="DK111"/>
  <c r="DK113"/>
  <c r="DK115"/>
  <c r="DK117" s="1"/>
  <c r="DK124"/>
  <c r="DK127" s="1"/>
  <c r="DK122"/>
  <c r="DK126" s="1"/>
  <c r="DK129"/>
  <c r="DK125"/>
  <c r="DK128" s="1"/>
  <c r="DK130"/>
  <c r="DK123"/>
  <c r="DK131" s="1"/>
  <c r="CY149"/>
  <c r="CY151"/>
  <c r="CY148"/>
  <c r="CY150"/>
  <c r="CY157"/>
  <c r="J148"/>
  <c r="J150"/>
  <c r="J151"/>
  <c r="J157"/>
  <c r="J149"/>
  <c r="CE145"/>
  <c r="CE146"/>
  <c r="CU145"/>
  <c r="CU146"/>
  <c r="DK120"/>
  <c r="DK119"/>
  <c r="I157"/>
  <c r="I149"/>
  <c r="I151"/>
  <c r="I150"/>
  <c r="I148"/>
  <c r="P148"/>
  <c r="P151"/>
  <c r="P150"/>
  <c r="P157"/>
  <c r="P149"/>
  <c r="CZ146"/>
  <c r="CZ145"/>
  <c r="I12" i="341"/>
  <c r="I8"/>
  <c r="I11"/>
  <c r="I9"/>
  <c r="I10"/>
  <c r="I76" s="1"/>
  <c r="I7"/>
  <c r="CD49" i="342"/>
  <c r="CD51"/>
  <c r="CD53"/>
  <c r="CD55"/>
  <c r="CD52"/>
  <c r="CD57"/>
  <c r="CD54"/>
  <c r="CD59"/>
  <c r="CD56"/>
  <c r="CD50"/>
  <c r="CD58"/>
  <c r="CD60"/>
  <c r="E72"/>
  <c r="E61"/>
  <c r="BO15"/>
  <c r="BO27" s="1"/>
  <c r="BO39" s="1"/>
  <c r="BO22"/>
  <c r="BO34" s="1"/>
  <c r="BO46" s="1"/>
  <c r="BO25"/>
  <c r="BO37" s="1"/>
  <c r="AM91"/>
  <c r="AM94" s="1"/>
  <c r="AN88"/>
  <c r="AN91" s="1"/>
  <c r="AN94" s="1"/>
  <c r="BC115"/>
  <c r="BC123"/>
  <c r="BC131"/>
  <c r="BC117"/>
  <c r="BC125"/>
  <c r="BC133"/>
  <c r="BC118"/>
  <c r="BC126"/>
  <c r="BC134"/>
  <c r="BC119"/>
  <c r="BC127"/>
  <c r="BK111"/>
  <c r="BC120"/>
  <c r="BC128"/>
  <c r="BC112"/>
  <c r="BC124"/>
  <c r="BC129"/>
  <c r="BC130"/>
  <c r="BC113"/>
  <c r="BC132"/>
  <c r="BC114"/>
  <c r="BC116"/>
  <c r="BC121"/>
  <c r="BC122"/>
  <c r="EJ173" i="343"/>
  <c r="EJ179"/>
  <c r="EJ174"/>
  <c r="EJ176"/>
  <c r="EJ180"/>
  <c r="EJ171"/>
  <c r="EJ175"/>
  <c r="EJ177"/>
  <c r="EJ181"/>
  <c r="EJ172"/>
  <c r="EJ178"/>
  <c r="EC159"/>
  <c r="EC160"/>
  <c r="EC161"/>
  <c r="EC163"/>
  <c r="EC164"/>
  <c r="EC166"/>
  <c r="EC168"/>
  <c r="EC165"/>
  <c r="EC167"/>
  <c r="EC169"/>
  <c r="EC162"/>
  <c r="E73" i="342"/>
  <c r="E62"/>
  <c r="CA3"/>
  <c r="BZ6"/>
  <c r="G94"/>
  <c r="M94" s="1"/>
  <c r="M91"/>
  <c r="G95"/>
  <c r="M95" s="1"/>
  <c r="M92"/>
  <c r="EF164" i="343"/>
  <c r="EF159"/>
  <c r="EF165"/>
  <c r="EF166"/>
  <c r="EF168"/>
  <c r="EF167"/>
  <c r="EF169"/>
  <c r="EF160"/>
  <c r="EF162"/>
  <c r="EF163"/>
  <c r="EF161"/>
  <c r="L24" i="342"/>
  <c r="L36" s="1"/>
  <c r="F36"/>
  <c r="F93"/>
  <c r="L93" s="1"/>
  <c r="L90"/>
  <c r="I111" i="341"/>
  <c r="I88"/>
  <c r="I114" s="1"/>
  <c r="I95"/>
  <c r="I121" s="1"/>
  <c r="I91"/>
  <c r="I117" s="1"/>
  <c r="I90"/>
  <c r="I116" s="1"/>
  <c r="I92"/>
  <c r="I118" s="1"/>
  <c r="I96"/>
  <c r="I122" s="1"/>
  <c r="I87"/>
  <c r="I113" s="1"/>
  <c r="I86"/>
  <c r="I112" s="1"/>
  <c r="I93"/>
  <c r="I119" s="1"/>
  <c r="I89"/>
  <c r="I115" s="1"/>
  <c r="I94"/>
  <c r="I120" s="1"/>
  <c r="AF9" i="342"/>
  <c r="AG9" s="1"/>
  <c r="AG6"/>
  <c r="AQ6"/>
  <c r="AQ9" s="1"/>
  <c r="AP9"/>
  <c r="EK172" i="343"/>
  <c r="EK178"/>
  <c r="EK173"/>
  <c r="EK179"/>
  <c r="EK174"/>
  <c r="EK176"/>
  <c r="EK180"/>
  <c r="EK171"/>
  <c r="EK175"/>
  <c r="EK177"/>
  <c r="EK181"/>
  <c r="EI160"/>
  <c r="EI162"/>
  <c r="EI159"/>
  <c r="EI164"/>
  <c r="EI167"/>
  <c r="EI169"/>
  <c r="EI165"/>
  <c r="EI166"/>
  <c r="EI168"/>
  <c r="EI163"/>
  <c r="EI161"/>
  <c r="EE159"/>
  <c r="EE160"/>
  <c r="EE162"/>
  <c r="EE161"/>
  <c r="EE163"/>
  <c r="EE165"/>
  <c r="EE166"/>
  <c r="EE168"/>
  <c r="EE167"/>
  <c r="EE169"/>
  <c r="EE164"/>
  <c r="DU161"/>
  <c r="DU163"/>
  <c r="DU166"/>
  <c r="DU168"/>
  <c r="DU165"/>
  <c r="DU167"/>
  <c r="DU169"/>
  <c r="DU162"/>
  <c r="DU160"/>
  <c r="DU159"/>
  <c r="DU164"/>
  <c r="S113" i="342"/>
  <c r="S128"/>
  <c r="S120"/>
  <c r="S133"/>
  <c r="S117"/>
  <c r="S131"/>
  <c r="S115"/>
  <c r="S134"/>
  <c r="S126"/>
  <c r="S118"/>
  <c r="S129"/>
  <c r="S127"/>
  <c r="S132"/>
  <c r="S124"/>
  <c r="S116"/>
  <c r="S125"/>
  <c r="S123"/>
  <c r="S130"/>
  <c r="S122"/>
  <c r="S114"/>
  <c r="S121"/>
  <c r="S112"/>
  <c r="S119"/>
  <c r="E80"/>
  <c r="E69"/>
  <c r="AJ6"/>
  <c r="AI6"/>
  <c r="BX6"/>
  <c r="AA5"/>
  <c r="AC5"/>
  <c r="L14"/>
  <c r="F26"/>
  <c r="BJ99"/>
  <c r="BB100"/>
  <c r="BB103"/>
  <c r="BB110"/>
  <c r="BB109"/>
  <c r="BB105"/>
  <c r="BB104"/>
  <c r="BB108"/>
  <c r="BB111"/>
  <c r="BB101"/>
  <c r="BB102"/>
  <c r="BB107"/>
  <c r="BB106"/>
  <c r="DA235"/>
  <c r="DA229"/>
  <c r="DA217"/>
  <c r="DA223"/>
  <c r="DZ161" i="343"/>
  <c r="DZ160"/>
  <c r="DZ167"/>
  <c r="DZ169"/>
  <c r="DZ164"/>
  <c r="DZ166"/>
  <c r="DZ168"/>
  <c r="DZ165"/>
  <c r="DZ159"/>
  <c r="DZ162"/>
  <c r="DZ163"/>
  <c r="E77" i="342"/>
  <c r="E66"/>
  <c r="BR3"/>
  <c r="BQ6"/>
  <c r="BX158"/>
  <c r="BX178" s="1"/>
  <c r="BX161"/>
  <c r="BX181" s="1"/>
  <c r="BX156"/>
  <c r="BX176" s="1"/>
  <c r="BX157"/>
  <c r="BX177" s="1"/>
  <c r="BX159"/>
  <c r="BX179" s="1"/>
  <c r="BX160"/>
  <c r="BX180" s="1"/>
  <c r="BX175"/>
  <c r="BX162"/>
  <c r="BX182" s="1"/>
  <c r="G61"/>
  <c r="M61" s="1"/>
  <c r="L16" i="320"/>
  <c r="L17" s="1"/>
  <c r="CX132" i="343"/>
  <c r="T166" i="341"/>
  <c r="T179" s="1"/>
  <c r="T176"/>
  <c r="T173"/>
  <c r="T186" s="1"/>
  <c r="T164"/>
  <c r="T177" s="1"/>
  <c r="T165"/>
  <c r="T178" s="1"/>
  <c r="T172"/>
  <c r="T185" s="1"/>
  <c r="T168"/>
  <c r="T181" s="1"/>
  <c r="T171"/>
  <c r="T184" s="1"/>
  <c r="T175"/>
  <c r="T167"/>
  <c r="T180" s="1"/>
  <c r="T170"/>
  <c r="T183" s="1"/>
  <c r="T169"/>
  <c r="T182" s="1"/>
  <c r="T174"/>
  <c r="EQ158" i="343"/>
  <c r="EP168"/>
  <c r="ER158"/>
  <c r="EP163"/>
  <c r="EP162"/>
  <c r="EP166"/>
  <c r="EP165"/>
  <c r="EP169"/>
  <c r="EP161"/>
  <c r="EP167"/>
  <c r="EP160"/>
  <c r="EP164"/>
  <c r="EP159"/>
  <c r="ES158"/>
  <c r="BI106" i="342"/>
  <c r="BI108"/>
  <c r="BI101"/>
  <c r="BI109"/>
  <c r="BI102"/>
  <c r="BI110"/>
  <c r="BI103"/>
  <c r="BI100"/>
  <c r="BI105"/>
  <c r="BI107"/>
  <c r="BI104"/>
  <c r="H177" i="341"/>
  <c r="H17"/>
  <c r="H33"/>
  <c r="H49"/>
  <c r="H65"/>
  <c r="H81"/>
  <c r="H12"/>
  <c r="H28"/>
  <c r="H44"/>
  <c r="H60"/>
  <c r="H76"/>
  <c r="H130"/>
  <c r="H116"/>
  <c r="H100"/>
  <c r="H86"/>
  <c r="H135"/>
  <c r="H119"/>
  <c r="H105"/>
  <c r="H179"/>
  <c r="H19"/>
  <c r="H35"/>
  <c r="H51"/>
  <c r="H67"/>
  <c r="H176"/>
  <c r="H14"/>
  <c r="H30"/>
  <c r="H46"/>
  <c r="H62"/>
  <c r="H78"/>
  <c r="H128"/>
  <c r="H114"/>
  <c r="H98"/>
  <c r="H84"/>
  <c r="H133"/>
  <c r="H21"/>
  <c r="H37"/>
  <c r="H53"/>
  <c r="H69"/>
  <c r="H178"/>
  <c r="H16"/>
  <c r="H32"/>
  <c r="H48"/>
  <c r="H64"/>
  <c r="H80"/>
  <c r="H126"/>
  <c r="H112"/>
  <c r="H96"/>
  <c r="H82"/>
  <c r="H131"/>
  <c r="H101"/>
  <c r="H87"/>
  <c r="H61"/>
  <c r="H40"/>
  <c r="H118"/>
  <c r="H123"/>
  <c r="H15"/>
  <c r="H79"/>
  <c r="H58"/>
  <c r="H102"/>
  <c r="H107"/>
  <c r="H181"/>
  <c r="H23"/>
  <c r="H39"/>
  <c r="H55"/>
  <c r="H71"/>
  <c r="H180"/>
  <c r="H18"/>
  <c r="H34"/>
  <c r="H50"/>
  <c r="H66"/>
  <c r="H7"/>
  <c r="H124"/>
  <c r="H110"/>
  <c r="H94"/>
  <c r="H10"/>
  <c r="H129"/>
  <c r="H115"/>
  <c r="H99"/>
  <c r="H85"/>
  <c r="H45"/>
  <c r="H24"/>
  <c r="H134"/>
  <c r="H149"/>
  <c r="H93"/>
  <c r="H47"/>
  <c r="H63"/>
  <c r="H42"/>
  <c r="H121"/>
  <c r="H103"/>
  <c r="H183"/>
  <c r="H25"/>
  <c r="H41"/>
  <c r="H57"/>
  <c r="H73"/>
  <c r="H20"/>
  <c r="H36"/>
  <c r="H52"/>
  <c r="H68"/>
  <c r="H152"/>
  <c r="H122"/>
  <c r="H108"/>
  <c r="H92"/>
  <c r="H8"/>
  <c r="H127"/>
  <c r="H113"/>
  <c r="H97"/>
  <c r="H83"/>
  <c r="H29"/>
  <c r="H184"/>
  <c r="H72"/>
  <c r="H90"/>
  <c r="H9"/>
  <c r="H31"/>
  <c r="H26"/>
  <c r="H132"/>
  <c r="H137"/>
  <c r="H117"/>
  <c r="H185"/>
  <c r="H27"/>
  <c r="H43"/>
  <c r="H59"/>
  <c r="H75"/>
  <c r="H182"/>
  <c r="H22"/>
  <c r="H38"/>
  <c r="H54"/>
  <c r="H70"/>
  <c r="H136"/>
  <c r="H120"/>
  <c r="H106"/>
  <c r="H163"/>
  <c r="H125"/>
  <c r="H111"/>
  <c r="H95"/>
  <c r="H11"/>
  <c r="H13"/>
  <c r="H77"/>
  <c r="H56"/>
  <c r="H104"/>
  <c r="H109"/>
  <c r="H175"/>
  <c r="H186"/>
  <c r="H74"/>
  <c r="H88"/>
  <c r="H91"/>
  <c r="H89"/>
  <c r="Y7" i="342"/>
  <c r="Z7"/>
  <c r="X10"/>
  <c r="CE49"/>
  <c r="CE55"/>
  <c r="CE56"/>
  <c r="CE60"/>
  <c r="CE57"/>
  <c r="CE50"/>
  <c r="CE58"/>
  <c r="CE51"/>
  <c r="CE59"/>
  <c r="CE52"/>
  <c r="CE53"/>
  <c r="CE54"/>
  <c r="EO174" i="343"/>
  <c r="EO176"/>
  <c r="EO180"/>
  <c r="EO171"/>
  <c r="EO175"/>
  <c r="EO177"/>
  <c r="EO181"/>
  <c r="EO172"/>
  <c r="EO178"/>
  <c r="EO173"/>
  <c r="EO179"/>
  <c r="U97" i="341"/>
  <c r="U151"/>
  <c r="U150"/>
  <c r="AM92" i="342"/>
  <c r="AM95" s="1"/>
  <c r="AN89"/>
  <c r="AN92" s="1"/>
  <c r="AN95" s="1"/>
  <c r="H19" i="332"/>
  <c r="BO4" i="342"/>
  <c r="I19" i="332"/>
  <c r="J19" s="1"/>
  <c r="BQ4" i="342"/>
  <c r="CH5"/>
  <c r="CH8" s="1"/>
  <c r="CH11" s="1"/>
  <c r="CJ5"/>
  <c r="CJ8" s="1"/>
  <c r="CJ11" s="1"/>
  <c r="G19" i="332"/>
  <c r="BN4" i="342"/>
  <c r="BN7" s="1"/>
  <c r="BN10" s="1"/>
  <c r="CJ13"/>
  <c r="CJ14" s="1"/>
  <c r="CJ26" s="1"/>
  <c r="CJ38" s="1"/>
  <c r="BT6"/>
  <c r="BT9" s="1"/>
  <c r="BS9"/>
  <c r="CD25"/>
  <c r="CD13"/>
  <c r="BO6"/>
  <c r="BP3"/>
  <c r="AP10"/>
  <c r="AQ7"/>
  <c r="AQ10" s="1"/>
  <c r="EN171" i="343"/>
  <c r="EN175"/>
  <c r="EN177"/>
  <c r="EN181"/>
  <c r="EN172"/>
  <c r="EN178"/>
  <c r="EN173"/>
  <c r="EN179"/>
  <c r="EN174"/>
  <c r="EN176"/>
  <c r="EN180"/>
  <c r="CB27" i="342"/>
  <c r="CB39" s="1"/>
  <c r="CB37"/>
  <c r="CB28"/>
  <c r="CB40" s="1"/>
  <c r="CB26"/>
  <c r="CB38" s="1"/>
  <c r="ED159" i="343"/>
  <c r="ED165"/>
  <c r="ED164"/>
  <c r="ED166"/>
  <c r="ED168"/>
  <c r="ED167"/>
  <c r="ED169"/>
  <c r="ED163"/>
  <c r="ED162"/>
  <c r="ED160"/>
  <c r="ED161"/>
  <c r="DX161"/>
  <c r="DX164"/>
  <c r="DX160"/>
  <c r="DX166"/>
  <c r="DX168"/>
  <c r="DX165"/>
  <c r="DX167"/>
  <c r="DX169"/>
  <c r="DX159"/>
  <c r="DX162"/>
  <c r="DX163"/>
  <c r="E64" i="342"/>
  <c r="E75"/>
  <c r="BR100"/>
  <c r="BQ101"/>
  <c r="BR101" s="1"/>
  <c r="BQ102"/>
  <c r="BR102" s="1"/>
  <c r="BY159"/>
  <c r="BY179" s="1"/>
  <c r="BY143"/>
  <c r="BY163" s="1"/>
  <c r="BY183" s="1"/>
  <c r="X8"/>
  <c r="Y5"/>
  <c r="Z5"/>
  <c r="K25" i="123"/>
  <c r="AT99" i="342"/>
  <c r="BA113"/>
  <c r="BA121"/>
  <c r="BA129"/>
  <c r="BA115"/>
  <c r="BA123"/>
  <c r="BA131"/>
  <c r="BA116"/>
  <c r="BA124"/>
  <c r="BA132"/>
  <c r="BA117"/>
  <c r="BA125"/>
  <c r="BA133"/>
  <c r="BA118"/>
  <c r="BA126"/>
  <c r="BA134"/>
  <c r="BA114"/>
  <c r="BA112"/>
  <c r="BA119"/>
  <c r="BA120"/>
  <c r="BA122"/>
  <c r="BA127"/>
  <c r="BA128"/>
  <c r="BA130"/>
  <c r="BI111"/>
  <c r="L19" i="320"/>
  <c r="L20" s="1"/>
  <c r="CX144" i="343"/>
  <c r="CE3" i="342"/>
  <c r="CE6" s="1"/>
  <c r="CE9" s="1"/>
  <c r="CD3"/>
  <c r="CD6" s="1"/>
  <c r="CD9" s="1"/>
  <c r="I69"/>
  <c r="I64"/>
  <c r="I76"/>
  <c r="I65"/>
  <c r="I75"/>
  <c r="I81"/>
  <c r="I63"/>
  <c r="I68"/>
  <c r="I80"/>
  <c r="I67"/>
  <c r="I66"/>
  <c r="I70"/>
  <c r="I78"/>
  <c r="I74"/>
  <c r="I79"/>
  <c r="I77"/>
  <c r="CA136"/>
  <c r="BZ144"/>
  <c r="CA144" s="1"/>
  <c r="CY235"/>
  <c r="CY223"/>
  <c r="CY229"/>
  <c r="CY217"/>
  <c r="EG160" i="343"/>
  <c r="EG165"/>
  <c r="EG167"/>
  <c r="EG169"/>
  <c r="EG166"/>
  <c r="EG168"/>
  <c r="EG162"/>
  <c r="EG161"/>
  <c r="EG163"/>
  <c r="EG164"/>
  <c r="EG159"/>
  <c r="BY146" i="342"/>
  <c r="BY166" s="1"/>
  <c r="BY186" s="1"/>
  <c r="BY162"/>
  <c r="BY182" s="1"/>
  <c r="CZ235"/>
  <c r="CZ217"/>
  <c r="CZ223"/>
  <c r="CZ229"/>
  <c r="EH161" i="343"/>
  <c r="EH160"/>
  <c r="EH162"/>
  <c r="EH159"/>
  <c r="EH163"/>
  <c r="EH164"/>
  <c r="EH167"/>
  <c r="EH169"/>
  <c r="EH165"/>
  <c r="EH166"/>
  <c r="EH168"/>
  <c r="EB161"/>
  <c r="EB160"/>
  <c r="EB165"/>
  <c r="EB167"/>
  <c r="EB169"/>
  <c r="EB164"/>
  <c r="EB166"/>
  <c r="EB168"/>
  <c r="EB163"/>
  <c r="EB159"/>
  <c r="EB162"/>
  <c r="H20" i="332"/>
  <c r="BO5" i="342"/>
  <c r="I20" i="332"/>
  <c r="J20" s="1"/>
  <c r="BQ5" i="342"/>
  <c r="CH4"/>
  <c r="CH7" s="1"/>
  <c r="CH10" s="1"/>
  <c r="CJ4"/>
  <c r="CJ7" s="1"/>
  <c r="CJ10" s="1"/>
  <c r="G20" i="332"/>
  <c r="BN5" i="342"/>
  <c r="BN8" s="1"/>
  <c r="BN11" s="1"/>
  <c r="CJ65"/>
  <c r="CJ77" s="1"/>
  <c r="I150" i="341"/>
  <c r="I151"/>
  <c r="I97"/>
  <c r="M24" i="342"/>
  <c r="M36" s="1"/>
  <c r="G36"/>
  <c r="E17" i="341"/>
  <c r="E14"/>
  <c r="E22"/>
  <c r="E21"/>
  <c r="E16"/>
  <c r="E24"/>
  <c r="E23"/>
  <c r="E26"/>
  <c r="E25"/>
  <c r="E13"/>
  <c r="E15"/>
  <c r="E18"/>
  <c r="E20"/>
  <c r="E19"/>
  <c r="DC235" i="342"/>
  <c r="DC229"/>
  <c r="DC217"/>
  <c r="DC223"/>
  <c r="BK103"/>
  <c r="BK100"/>
  <c r="BK105"/>
  <c r="BK106"/>
  <c r="BK107"/>
  <c r="BK108"/>
  <c r="BK110"/>
  <c r="BK101"/>
  <c r="BK102"/>
  <c r="BK104"/>
  <c r="BK109"/>
  <c r="EM171" i="343"/>
  <c r="EM175"/>
  <c r="EM177"/>
  <c r="EM181"/>
  <c r="EM172"/>
  <c r="EM178"/>
  <c r="EM173"/>
  <c r="EM179"/>
  <c r="EM174"/>
  <c r="EM176"/>
  <c r="EM180"/>
  <c r="S150" i="341"/>
  <c r="S151"/>
  <c r="DW160" i="343"/>
  <c r="DW163"/>
  <c r="DW159"/>
  <c r="DW162"/>
  <c r="DW161"/>
  <c r="DW165"/>
  <c r="DW164"/>
  <c r="DW166"/>
  <c r="DW168"/>
  <c r="DW167"/>
  <c r="DW169"/>
  <c r="E78" i="342"/>
  <c r="E67"/>
  <c r="BR150"/>
  <c r="BR170" s="1"/>
  <c r="BR190" s="1"/>
  <c r="BR148"/>
  <c r="BR168" s="1"/>
  <c r="BR188" s="1"/>
  <c r="BR167"/>
  <c r="BR187" s="1"/>
  <c r="BR149"/>
  <c r="BR169" s="1"/>
  <c r="BR189" s="1"/>
  <c r="F97" i="341"/>
  <c r="F151"/>
  <c r="F150"/>
  <c r="CE4" i="342"/>
  <c r="CE7" s="1"/>
  <c r="CE10" s="1"/>
  <c r="CD4"/>
  <c r="CD7" s="1"/>
  <c r="CD10" s="1"/>
  <c r="BY144"/>
  <c r="BY164" s="1"/>
  <c r="BY184" s="1"/>
  <c r="BY160"/>
  <c r="BY180" s="1"/>
  <c r="L13"/>
  <c r="F25"/>
  <c r="AY101"/>
  <c r="AY103"/>
  <c r="AY108"/>
  <c r="BG99"/>
  <c r="AY105"/>
  <c r="AY110"/>
  <c r="AY102"/>
  <c r="AY107"/>
  <c r="AY111"/>
  <c r="AY104"/>
  <c r="AY100"/>
  <c r="AY109"/>
  <c r="AY106"/>
  <c r="AA6"/>
  <c r="DY161" i="343"/>
  <c r="DY165"/>
  <c r="DY163"/>
  <c r="DY160"/>
  <c r="DY159"/>
  <c r="DY162"/>
  <c r="DY167"/>
  <c r="DY169"/>
  <c r="DY164"/>
  <c r="DY166"/>
  <c r="DY168"/>
  <c r="E150" i="341"/>
  <c r="E151"/>
  <c r="E97"/>
  <c r="C8" i="339"/>
  <c r="BN22" i="342"/>
  <c r="BN34" s="1"/>
  <c r="BN46" s="1"/>
  <c r="BN15"/>
  <c r="BN27" s="1"/>
  <c r="BN39" s="1"/>
  <c r="BN25"/>
  <c r="BN37" s="1"/>
  <c r="AZ120"/>
  <c r="AZ113"/>
  <c r="AZ129"/>
  <c r="AZ124"/>
  <c r="AZ117"/>
  <c r="AZ133"/>
  <c r="BH111"/>
  <c r="AZ126"/>
  <c r="AZ119"/>
  <c r="AZ112"/>
  <c r="AZ128"/>
  <c r="AZ121"/>
  <c r="AZ114"/>
  <c r="AZ130"/>
  <c r="AZ123"/>
  <c r="AZ132"/>
  <c r="AZ134"/>
  <c r="AZ115"/>
  <c r="AZ125"/>
  <c r="AZ127"/>
  <c r="AZ116"/>
  <c r="AZ131"/>
  <c r="AZ118"/>
  <c r="AZ122"/>
  <c r="G93"/>
  <c r="M93" s="1"/>
  <c r="M90"/>
  <c r="BF99"/>
  <c r="AX105"/>
  <c r="AX106"/>
  <c r="AX110"/>
  <c r="AX107"/>
  <c r="AX103"/>
  <c r="AX104"/>
  <c r="AX111"/>
  <c r="AX109"/>
  <c r="AX108"/>
  <c r="AX101"/>
  <c r="AX102"/>
  <c r="AX100"/>
  <c r="EL172" i="343"/>
  <c r="EL178"/>
  <c r="EL173"/>
  <c r="EL179"/>
  <c r="EL174"/>
  <c r="EL176"/>
  <c r="EL180"/>
  <c r="EL171"/>
  <c r="EL175"/>
  <c r="EL181"/>
  <c r="EL177"/>
  <c r="BZ160" i="342"/>
  <c r="BZ180" s="1"/>
  <c r="BZ161"/>
  <c r="BZ181" s="1"/>
  <c r="BZ162"/>
  <c r="BZ182" s="1"/>
  <c r="BZ163"/>
  <c r="BZ183" s="1"/>
  <c r="BZ164"/>
  <c r="BZ184" s="1"/>
  <c r="BZ165"/>
  <c r="BZ185" s="1"/>
  <c r="BZ157"/>
  <c r="BZ177" s="1"/>
  <c r="BZ166"/>
  <c r="BZ186" s="1"/>
  <c r="BZ158"/>
  <c r="BZ178" s="1"/>
  <c r="BZ156"/>
  <c r="BZ176" s="1"/>
  <c r="CA155"/>
  <c r="BZ159"/>
  <c r="BZ179" s="1"/>
  <c r="BZ175"/>
  <c r="CM201"/>
  <c r="DV160" i="343"/>
  <c r="DV161"/>
  <c r="DV165"/>
  <c r="DV164"/>
  <c r="DV166"/>
  <c r="DV168"/>
  <c r="DV167"/>
  <c r="DV169"/>
  <c r="DV163"/>
  <c r="DV162"/>
  <c r="DV159"/>
  <c r="E63" i="342"/>
  <c r="E74"/>
  <c r="E65"/>
  <c r="E76"/>
  <c r="BQ111"/>
  <c r="BR99"/>
  <c r="BR111" s="1"/>
  <c r="CB68"/>
  <c r="CB79" s="1"/>
  <c r="CB66"/>
  <c r="CB77" s="1"/>
  <c r="CB64"/>
  <c r="CB75" s="1"/>
  <c r="CB71"/>
  <c r="CB82" s="1"/>
  <c r="CB62"/>
  <c r="CB73" s="1"/>
  <c r="CB61"/>
  <c r="CB72" s="1"/>
  <c r="CB83" s="1"/>
  <c r="CB69"/>
  <c r="CB80" s="1"/>
  <c r="CB67"/>
  <c r="CB78" s="1"/>
  <c r="CB65"/>
  <c r="CB76" s="1"/>
  <c r="CB63"/>
  <c r="CB74" s="1"/>
  <c r="CB70"/>
  <c r="CB81" s="1"/>
  <c r="S165" i="341"/>
  <c r="S178" s="1"/>
  <c r="S167"/>
  <c r="S180" s="1"/>
  <c r="S171"/>
  <c r="S184" s="1"/>
  <c r="S164"/>
  <c r="S177" s="1"/>
  <c r="S166"/>
  <c r="S179" s="1"/>
  <c r="S169"/>
  <c r="S182" s="1"/>
  <c r="S175"/>
  <c r="S168"/>
  <c r="S181" s="1"/>
  <c r="S170"/>
  <c r="S183" s="1"/>
  <c r="S176"/>
  <c r="S173"/>
  <c r="S186" s="1"/>
  <c r="S174"/>
  <c r="S172"/>
  <c r="S185" s="1"/>
  <c r="L15" i="342"/>
  <c r="F27"/>
  <c r="AS103"/>
  <c r="AS111"/>
  <c r="AS104"/>
  <c r="AS105"/>
  <c r="AS106"/>
  <c r="AS100"/>
  <c r="AS107"/>
  <c r="AS108"/>
  <c r="AS101"/>
  <c r="AS109"/>
  <c r="AS102"/>
  <c r="AS110"/>
  <c r="M56"/>
  <c r="G67"/>
  <c r="M67" s="1"/>
  <c r="G78"/>
  <c r="M78" s="1"/>
  <c r="N16" i="320"/>
  <c r="N17" s="1"/>
  <c r="CY132" i="343"/>
  <c r="R113" i="342"/>
  <c r="R131"/>
  <c r="R125"/>
  <c r="R134"/>
  <c r="R119"/>
  <c r="R124"/>
  <c r="R133"/>
  <c r="R112"/>
  <c r="R132"/>
  <c r="R114"/>
  <c r="R128"/>
  <c r="R118"/>
  <c r="R122"/>
  <c r="R123"/>
  <c r="R116"/>
  <c r="R117"/>
  <c r="R121"/>
  <c r="R129"/>
  <c r="R126"/>
  <c r="R120"/>
  <c r="R130"/>
  <c r="R127"/>
  <c r="R115"/>
  <c r="F111" i="341"/>
  <c r="F94"/>
  <c r="F120" s="1"/>
  <c r="F93"/>
  <c r="F119" s="1"/>
  <c r="F87"/>
  <c r="F113" s="1"/>
  <c r="F92"/>
  <c r="F118" s="1"/>
  <c r="F86"/>
  <c r="F112" s="1"/>
  <c r="F95"/>
  <c r="F121" s="1"/>
  <c r="F96"/>
  <c r="F122" s="1"/>
  <c r="F90"/>
  <c r="F116" s="1"/>
  <c r="F89"/>
  <c r="F115" s="1"/>
  <c r="F88"/>
  <c r="F114" s="1"/>
  <c r="F91"/>
  <c r="F117" s="1"/>
  <c r="F76" i="342"/>
  <c r="L76" s="1"/>
  <c r="F77"/>
  <c r="L77" s="1"/>
  <c r="F69"/>
  <c r="L69" s="1"/>
  <c r="F68"/>
  <c r="L68" s="1"/>
  <c r="F80"/>
  <c r="L80" s="1"/>
  <c r="F78"/>
  <c r="L78" s="1"/>
  <c r="L52"/>
  <c r="F66"/>
  <c r="L66" s="1"/>
  <c r="F74"/>
  <c r="L74" s="1"/>
  <c r="F81"/>
  <c r="L81" s="1"/>
  <c r="F67"/>
  <c r="L67" s="1"/>
  <c r="F79"/>
  <c r="L79" s="1"/>
  <c r="F70"/>
  <c r="L70" s="1"/>
  <c r="F64"/>
  <c r="L64" s="1"/>
  <c r="F63"/>
  <c r="L63" s="1"/>
  <c r="F75"/>
  <c r="L75" s="1"/>
  <c r="F65"/>
  <c r="L65" s="1"/>
  <c r="CA137"/>
  <c r="BZ145"/>
  <c r="CA145" s="1"/>
  <c r="E70"/>
  <c r="E81"/>
  <c r="DD217"/>
  <c r="DD235"/>
  <c r="DD229"/>
  <c r="DD223"/>
  <c r="BY145"/>
  <c r="BY165" s="1"/>
  <c r="BY185" s="1"/>
  <c r="BY161"/>
  <c r="BY181" s="1"/>
  <c r="BS7"/>
  <c r="BT4"/>
  <c r="BX4"/>
  <c r="BZ4"/>
  <c r="J19" i="320"/>
  <c r="J20" s="1"/>
  <c r="CW144" i="343"/>
  <c r="BT5" i="342"/>
  <c r="BS8"/>
  <c r="BZ5"/>
  <c r="BX5"/>
  <c r="J16" i="320"/>
  <c r="J17" s="1"/>
  <c r="CW132" i="343"/>
  <c r="N19" i="320"/>
  <c r="N20" s="1"/>
  <c r="CY144" i="343"/>
  <c r="BH100" i="342"/>
  <c r="BH101"/>
  <c r="BH106"/>
  <c r="BH105"/>
  <c r="BH108"/>
  <c r="BH104"/>
  <c r="BH109"/>
  <c r="BH102"/>
  <c r="BH103"/>
  <c r="BH107"/>
  <c r="BH110"/>
  <c r="AR100"/>
  <c r="AR107"/>
  <c r="AR101"/>
  <c r="AR108"/>
  <c r="AR103"/>
  <c r="AR106"/>
  <c r="AR104"/>
  <c r="AR111"/>
  <c r="AR102"/>
  <c r="AR109"/>
  <c r="AR105"/>
  <c r="AR110"/>
  <c r="F18" i="341"/>
  <c r="F20"/>
  <c r="F15"/>
  <c r="F19"/>
  <c r="F26"/>
  <c r="F17"/>
  <c r="F25"/>
  <c r="F14"/>
  <c r="F24"/>
  <c r="F23"/>
  <c r="F16"/>
  <c r="F22"/>
  <c r="F13"/>
  <c r="F21"/>
  <c r="CA138" i="342"/>
  <c r="BZ146"/>
  <c r="CA146" s="1"/>
  <c r="F95"/>
  <c r="L95" s="1"/>
  <c r="L92"/>
  <c r="Q114"/>
  <c r="Q121"/>
  <c r="Q115"/>
  <c r="Q129"/>
  <c r="Q128"/>
  <c r="Q120"/>
  <c r="Q119"/>
  <c r="Q117"/>
  <c r="Q123"/>
  <c r="Q125"/>
  <c r="Q134"/>
  <c r="Q126"/>
  <c r="Q118"/>
  <c r="Q127"/>
  <c r="Q133"/>
  <c r="Q131"/>
  <c r="Q132"/>
  <c r="Q124"/>
  <c r="Q116"/>
  <c r="Q112"/>
  <c r="Q113"/>
  <c r="Q130"/>
  <c r="Q122"/>
  <c r="CM199"/>
  <c r="CM198"/>
  <c r="EA162" i="343"/>
  <c r="EA161"/>
  <c r="EA163"/>
  <c r="EA160"/>
  <c r="EA159"/>
  <c r="EA167"/>
  <c r="EA169"/>
  <c r="EA164"/>
  <c r="EA166"/>
  <c r="EA168"/>
  <c r="EA165"/>
  <c r="E68" i="342"/>
  <c r="E79"/>
  <c r="F94"/>
  <c r="L94" s="1"/>
  <c r="L91"/>
  <c r="CE5"/>
  <c r="CE8" s="1"/>
  <c r="CE11" s="1"/>
  <c r="CD5"/>
  <c r="CD8" s="1"/>
  <c r="CD11" s="1"/>
  <c r="BQ153"/>
  <c r="BQ173" s="1"/>
  <c r="BQ193" s="1"/>
  <c r="BQ152"/>
  <c r="BQ172" s="1"/>
  <c r="BQ192" s="1"/>
  <c r="BQ154"/>
  <c r="BQ174" s="1"/>
  <c r="BQ194" s="1"/>
  <c r="BQ171"/>
  <c r="BQ191" s="1"/>
  <c r="X9"/>
  <c r="Y6"/>
  <c r="Z6"/>
  <c r="L16"/>
  <c r="F28"/>
  <c r="BR171" i="343"/>
  <c r="BR175"/>
  <c r="BR176"/>
  <c r="BR180"/>
  <c r="BR177"/>
  <c r="BR181"/>
  <c r="BR173"/>
  <c r="BR174"/>
  <c r="BR178"/>
  <c r="BR172"/>
  <c r="BR179"/>
  <c r="BU162"/>
  <c r="BU160"/>
  <c r="BU166"/>
  <c r="BU167"/>
  <c r="BU169"/>
  <c r="BU159"/>
  <c r="BU161"/>
  <c r="BU164"/>
  <c r="BU165"/>
  <c r="BU168"/>
  <c r="BU163"/>
  <c r="BQ171"/>
  <c r="BQ172"/>
  <c r="BQ173"/>
  <c r="BQ174"/>
  <c r="BQ175"/>
  <c r="BQ176"/>
  <c r="BQ177"/>
  <c r="BQ178"/>
  <c r="BQ179"/>
  <c r="BQ180"/>
  <c r="BQ181"/>
  <c r="BW163"/>
  <c r="BW160"/>
  <c r="BW161"/>
  <c r="BW166"/>
  <c r="BW167"/>
  <c r="BW169"/>
  <c r="BW159"/>
  <c r="BW162"/>
  <c r="BW164"/>
  <c r="BW165"/>
  <c r="BW168"/>
  <c r="BV171"/>
  <c r="BV172"/>
  <c r="BV173"/>
  <c r="BV174"/>
  <c r="BV175"/>
  <c r="BV176"/>
  <c r="BV177"/>
  <c r="BV178"/>
  <c r="BV179"/>
  <c r="BV180"/>
  <c r="BV181"/>
  <c r="BZ162"/>
  <c r="BZ165"/>
  <c r="BZ168"/>
  <c r="BZ164"/>
  <c r="BZ166"/>
  <c r="BZ167"/>
  <c r="BZ169"/>
  <c r="BZ160"/>
  <c r="BZ161"/>
  <c r="BZ159"/>
  <c r="BZ163"/>
  <c r="BS172"/>
  <c r="BS175"/>
  <c r="BS177"/>
  <c r="BS181"/>
  <c r="BS176"/>
  <c r="BS180"/>
  <c r="BS174"/>
  <c r="BS171"/>
  <c r="BS179"/>
  <c r="BS173"/>
  <c r="BS178"/>
  <c r="BT161"/>
  <c r="BT159"/>
  <c r="BT162"/>
  <c r="BT164"/>
  <c r="BT165"/>
  <c r="BT168"/>
  <c r="BT160"/>
  <c r="BT166"/>
  <c r="BT167"/>
  <c r="BT169"/>
  <c r="BT163"/>
  <c r="BV159"/>
  <c r="BV164"/>
  <c r="BV165"/>
  <c r="BV168"/>
  <c r="BV160"/>
  <c r="BV166"/>
  <c r="BV167"/>
  <c r="BV169"/>
  <c r="BV161"/>
  <c r="BV163"/>
  <c r="BV162"/>
  <c r="BW174"/>
  <c r="BW173"/>
  <c r="BW177"/>
  <c r="BW181"/>
  <c r="BW175"/>
  <c r="BW178"/>
  <c r="BW172"/>
  <c r="BW179"/>
  <c r="BW171"/>
  <c r="BW176"/>
  <c r="BW180"/>
  <c r="BX159"/>
  <c r="BX163"/>
  <c r="BX164"/>
  <c r="BX165"/>
  <c r="BX168"/>
  <c r="BX160"/>
  <c r="BX166"/>
  <c r="BX167"/>
  <c r="BX169"/>
  <c r="BX162"/>
  <c r="BX161"/>
  <c r="BY166"/>
  <c r="BY167"/>
  <c r="BY169"/>
  <c r="BY165"/>
  <c r="BY168"/>
  <c r="BY162"/>
  <c r="BY160"/>
  <c r="BY164"/>
  <c r="BY163"/>
  <c r="BY161"/>
  <c r="BY159"/>
  <c r="CJ60" i="342"/>
  <c r="CJ72" s="1"/>
  <c r="CJ52"/>
  <c r="CJ64" s="1"/>
  <c r="CJ76" s="1"/>
  <c r="CH25"/>
  <c r="CH37" s="1"/>
  <c r="CH15"/>
  <c r="CH14"/>
  <c r="CH26" s="1"/>
  <c r="CH38" s="1"/>
  <c r="CH60"/>
  <c r="CH72" s="1"/>
  <c r="CH52"/>
  <c r="CH64" s="1"/>
  <c r="CH76" s="1"/>
  <c r="E8"/>
  <c r="E11" s="1"/>
  <c r="F9"/>
  <c r="L9" s="1"/>
  <c r="G9"/>
  <c r="M9" s="1"/>
  <c r="F8"/>
  <c r="L8" s="1"/>
  <c r="E10"/>
  <c r="F7"/>
  <c r="L7" s="1"/>
  <c r="I9" i="339"/>
  <c r="Q9"/>
  <c r="M9"/>
  <c r="C9"/>
  <c r="M27"/>
  <c r="Q27"/>
  <c r="I27"/>
  <c r="A29" i="320"/>
  <c r="A32" i="191"/>
  <c r="D32"/>
  <c r="D29" i="320"/>
  <c r="H63" i="342" l="1"/>
  <c r="G77"/>
  <c r="M77" s="1"/>
  <c r="CJ25"/>
  <c r="CJ37" s="1"/>
  <c r="K27" i="317"/>
  <c r="H27"/>
  <c r="AG8" i="342"/>
  <c r="J12" i="317"/>
  <c r="J26"/>
  <c r="J27" s="1"/>
  <c r="AB4" i="342"/>
  <c r="M51"/>
  <c r="G66"/>
  <c r="M66" s="1"/>
  <c r="DI125" i="343"/>
  <c r="DI128" s="1"/>
  <c r="DJ113"/>
  <c r="P9" i="348"/>
  <c r="DI111" i="343"/>
  <c r="K12" i="317"/>
  <c r="E31" i="337"/>
  <c r="AE158" i="343"/>
  <c r="AC158"/>
  <c r="AB158"/>
  <c r="E15" i="270"/>
  <c r="E10"/>
  <c r="E13"/>
  <c r="E16"/>
  <c r="E9"/>
  <c r="I8"/>
  <c r="G8"/>
  <c r="E11"/>
  <c r="E12"/>
  <c r="K8"/>
  <c r="H8"/>
  <c r="H15" s="1"/>
  <c r="F8"/>
  <c r="Q34" i="339"/>
  <c r="M34"/>
  <c r="G30" i="348"/>
  <c r="L30"/>
  <c r="C15" i="197"/>
  <c r="C18" s="1"/>
  <c r="D18" s="1"/>
  <c r="L26" i="192"/>
  <c r="L27" s="1"/>
  <c r="G28" i="348"/>
  <c r="L33"/>
  <c r="G26"/>
  <c r="G73" i="342"/>
  <c r="M73" s="1"/>
  <c r="M59"/>
  <c r="F27" i="341"/>
  <c r="F31" s="1"/>
  <c r="G26" i="347"/>
  <c r="R23" i="297"/>
  <c r="Q22"/>
  <c r="G29" i="347"/>
  <c r="L36"/>
  <c r="G28"/>
  <c r="K9" i="317"/>
  <c r="K15"/>
  <c r="DH123" i="343"/>
  <c r="DH131" s="1"/>
  <c r="DO123"/>
  <c r="DO131" s="1"/>
  <c r="G109" i="337"/>
  <c r="I109" s="1"/>
  <c r="G35" i="347"/>
  <c r="G33"/>
  <c r="G36"/>
  <c r="L26"/>
  <c r="G27"/>
  <c r="G32"/>
  <c r="L27"/>
  <c r="L31"/>
  <c r="G31"/>
  <c r="G30"/>
  <c r="L28"/>
  <c r="L30"/>
  <c r="G27" i="342"/>
  <c r="M27" s="1"/>
  <c r="M39" s="1"/>
  <c r="H79"/>
  <c r="CF57"/>
  <c r="H76"/>
  <c r="H67"/>
  <c r="G75"/>
  <c r="M75" s="1"/>
  <c r="CF60"/>
  <c r="CF69" s="1"/>
  <c r="CF80" s="1"/>
  <c r="AG7"/>
  <c r="CF49"/>
  <c r="C82" i="345"/>
  <c r="L34" i="347"/>
  <c r="L29"/>
  <c r="L35"/>
  <c r="L33"/>
  <c r="L31" i="348"/>
  <c r="L34"/>
  <c r="L28"/>
  <c r="L32"/>
  <c r="L27"/>
  <c r="L36"/>
  <c r="DP96" i="343"/>
  <c r="DP99"/>
  <c r="DP103" s="1"/>
  <c r="DP97"/>
  <c r="DP101" s="1"/>
  <c r="DP105" s="1"/>
  <c r="DN130"/>
  <c r="DP50"/>
  <c r="DP68" s="1"/>
  <c r="DP5"/>
  <c r="G100" i="340"/>
  <c r="U100" s="1"/>
  <c r="G31" i="348"/>
  <c r="G29"/>
  <c r="DP100" i="343"/>
  <c r="DP104" s="1"/>
  <c r="DP25"/>
  <c r="DP29" s="1"/>
  <c r="DP9"/>
  <c r="G27" i="348"/>
  <c r="G36"/>
  <c r="G32"/>
  <c r="DP98" i="343"/>
  <c r="DP102" s="1"/>
  <c r="DP74"/>
  <c r="DP75" s="1"/>
  <c r="DP7"/>
  <c r="DP10"/>
  <c r="DP12" s="1"/>
  <c r="E69" i="337"/>
  <c r="DP158" i="343"/>
  <c r="DP92"/>
  <c r="DP80"/>
  <c r="L17" i="192"/>
  <c r="L18" s="1"/>
  <c r="G33" i="348"/>
  <c r="G35"/>
  <c r="L35"/>
  <c r="L29"/>
  <c r="H9" i="317"/>
  <c r="DP121" i="343"/>
  <c r="DP123" s="1"/>
  <c r="DP131" s="1"/>
  <c r="DP8"/>
  <c r="I26" i="335"/>
  <c r="C33" i="339"/>
  <c r="Q33"/>
  <c r="M33"/>
  <c r="G74" i="342"/>
  <c r="M74" s="1"/>
  <c r="CF55"/>
  <c r="CF50"/>
  <c r="CF54"/>
  <c r="G64"/>
  <c r="M64" s="1"/>
  <c r="CF51"/>
  <c r="CF53"/>
  <c r="CF59"/>
  <c r="H66"/>
  <c r="CF52"/>
  <c r="CF58"/>
  <c r="G72"/>
  <c r="M72" s="1"/>
  <c r="M58"/>
  <c r="H73"/>
  <c r="G80"/>
  <c r="M80" s="1"/>
  <c r="D16" i="197"/>
  <c r="DI107" i="343"/>
  <c r="DI115"/>
  <c r="DI117" s="1"/>
  <c r="DI114"/>
  <c r="DI110"/>
  <c r="DI113"/>
  <c r="DI109"/>
  <c r="DI116"/>
  <c r="DI112"/>
  <c r="Y26" i="294"/>
  <c r="AJ26"/>
  <c r="K26"/>
  <c r="AW26"/>
  <c r="P92" i="345"/>
  <c r="E16" i="197"/>
  <c r="D63" i="337"/>
  <c r="D29" s="1"/>
  <c r="E29"/>
  <c r="X162" i="343"/>
  <c r="X166"/>
  <c r="X160"/>
  <c r="X159"/>
  <c r="X168"/>
  <c r="X161"/>
  <c r="X167"/>
  <c r="X164"/>
  <c r="X163"/>
  <c r="X169"/>
  <c r="X165"/>
  <c r="K16" i="249"/>
  <c r="K15" i="310" s="1"/>
  <c r="J15"/>
  <c r="I16" i="123"/>
  <c r="K16" s="1"/>
  <c r="G68" i="342"/>
  <c r="M68" s="1"/>
  <c r="M54"/>
  <c r="M14"/>
  <c r="H69"/>
  <c r="H72"/>
  <c r="G70"/>
  <c r="M70" s="1"/>
  <c r="H64"/>
  <c r="G65"/>
  <c r="M65" s="1"/>
  <c r="M57"/>
  <c r="H81"/>
  <c r="M13"/>
  <c r="M52"/>
  <c r="M17"/>
  <c r="DI124" i="343"/>
  <c r="DI127" s="1"/>
  <c r="DJ108"/>
  <c r="DJ116"/>
  <c r="AI26" i="294"/>
  <c r="L26"/>
  <c r="AK26"/>
  <c r="DH129" i="343"/>
  <c r="DH125"/>
  <c r="DH128" s="1"/>
  <c r="DN125"/>
  <c r="DN128" s="1"/>
  <c r="DS124"/>
  <c r="DS127" s="1"/>
  <c r="DH122"/>
  <c r="DH126" s="1"/>
  <c r="DH124"/>
  <c r="DH127" s="1"/>
  <c r="DS130"/>
  <c r="DN129"/>
  <c r="DS125"/>
  <c r="DS128" s="1"/>
  <c r="AM26" i="294"/>
  <c r="J26"/>
  <c r="AC26"/>
  <c r="AV26"/>
  <c r="X26"/>
  <c r="AU26"/>
  <c r="O26"/>
  <c r="AZ26"/>
  <c r="N26"/>
  <c r="AH26"/>
  <c r="I26"/>
  <c r="AB26"/>
  <c r="Z26"/>
  <c r="AA26"/>
  <c r="AD26"/>
  <c r="AL26"/>
  <c r="M26"/>
  <c r="AG26"/>
  <c r="H26"/>
  <c r="AF26"/>
  <c r="E80" i="344"/>
  <c r="DH114" i="343"/>
  <c r="U95" i="341"/>
  <c r="U121" s="1"/>
  <c r="U94"/>
  <c r="U120" s="1"/>
  <c r="U92"/>
  <c r="U118" s="1"/>
  <c r="U93"/>
  <c r="U119" s="1"/>
  <c r="U90"/>
  <c r="U116" s="1"/>
  <c r="E92" i="345"/>
  <c r="U96" i="341"/>
  <c r="U122" s="1"/>
  <c r="U89"/>
  <c r="U115" s="1"/>
  <c r="U91"/>
  <c r="U117" s="1"/>
  <c r="U88"/>
  <c r="U114" s="1"/>
  <c r="CI3" i="342"/>
  <c r="CI6" s="1"/>
  <c r="CI9" s="1"/>
  <c r="E110" i="341"/>
  <c r="E136" s="1"/>
  <c r="U87"/>
  <c r="U113" s="1"/>
  <c r="U86"/>
  <c r="U112" s="1"/>
  <c r="Q79" i="340"/>
  <c r="E75" i="338"/>
  <c r="F103" i="341"/>
  <c r="F129" s="1"/>
  <c r="F108"/>
  <c r="F134" s="1"/>
  <c r="K78"/>
  <c r="F101"/>
  <c r="F127" s="1"/>
  <c r="K79"/>
  <c r="K81"/>
  <c r="F105"/>
  <c r="F131" s="1"/>
  <c r="F104"/>
  <c r="F130" s="1"/>
  <c r="F107"/>
  <c r="F133" s="1"/>
  <c r="F110"/>
  <c r="F136" s="1"/>
  <c r="F102"/>
  <c r="F128" s="1"/>
  <c r="K77"/>
  <c r="F109"/>
  <c r="F135" s="1"/>
  <c r="F106"/>
  <c r="F132" s="1"/>
  <c r="U16"/>
  <c r="E106"/>
  <c r="E132" s="1"/>
  <c r="K26"/>
  <c r="E94"/>
  <c r="E120" s="1"/>
  <c r="U81"/>
  <c r="U14"/>
  <c r="E78"/>
  <c r="U26"/>
  <c r="U24"/>
  <c r="K19"/>
  <c r="K16"/>
  <c r="F77"/>
  <c r="E79"/>
  <c r="F71" i="338"/>
  <c r="G71" s="1"/>
  <c r="A84" i="337"/>
  <c r="K18" i="341"/>
  <c r="F79"/>
  <c r="H44" i="347"/>
  <c r="M44" s="1"/>
  <c r="H75" i="338"/>
  <c r="I107" i="341"/>
  <c r="I133" s="1"/>
  <c r="U27"/>
  <c r="U28" s="1"/>
  <c r="Q75" i="338"/>
  <c r="A77" i="345"/>
  <c r="I104" i="341"/>
  <c r="I130" s="1"/>
  <c r="I105"/>
  <c r="I131" s="1"/>
  <c r="E88" i="345"/>
  <c r="I106" i="341"/>
  <c r="I132" s="1"/>
  <c r="I126"/>
  <c r="I109"/>
  <c r="I135" s="1"/>
  <c r="G85" i="340"/>
  <c r="U85" s="1"/>
  <c r="H91" i="345"/>
  <c r="I79" i="340"/>
  <c r="H80" i="344"/>
  <c r="A83" i="340"/>
  <c r="V83" s="1"/>
  <c r="I102" i="341"/>
  <c r="I128" s="1"/>
  <c r="I101"/>
  <c r="I127" s="1"/>
  <c r="I110"/>
  <c r="I136" s="1"/>
  <c r="D85" i="340"/>
  <c r="F79"/>
  <c r="U79"/>
  <c r="P80" i="344"/>
  <c r="A79" i="338"/>
  <c r="I108" i="341"/>
  <c r="I134" s="1"/>
  <c r="L80" i="344"/>
  <c r="T41" i="345"/>
  <c r="D32"/>
  <c r="D30"/>
  <c r="D21"/>
  <c r="D23"/>
  <c r="D10"/>
  <c r="U25" i="341"/>
  <c r="E41" i="345"/>
  <c r="U19" i="341"/>
  <c r="E101"/>
  <c r="E127" s="1"/>
  <c r="U17"/>
  <c r="U13"/>
  <c r="U23"/>
  <c r="K27"/>
  <c r="K28" s="1"/>
  <c r="E95"/>
  <c r="E121" s="1"/>
  <c r="E109"/>
  <c r="E135" s="1"/>
  <c r="U22"/>
  <c r="G7" i="342"/>
  <c r="M7" s="1"/>
  <c r="E126" i="341"/>
  <c r="E104"/>
  <c r="E130" s="1"/>
  <c r="U21"/>
  <c r="U15"/>
  <c r="U18"/>
  <c r="E88"/>
  <c r="E114" s="1"/>
  <c r="K17"/>
  <c r="K20"/>
  <c r="K14"/>
  <c r="U77"/>
  <c r="U79"/>
  <c r="F80"/>
  <c r="E93"/>
  <c r="E119" s="1"/>
  <c r="E90"/>
  <c r="E116" s="1"/>
  <c r="E87"/>
  <c r="E113" s="1"/>
  <c r="U90" i="340"/>
  <c r="G8" i="342"/>
  <c r="M8" s="1"/>
  <c r="K15" i="341"/>
  <c r="K21"/>
  <c r="K23"/>
  <c r="U78"/>
  <c r="F78"/>
  <c r="E91"/>
  <c r="E117" s="1"/>
  <c r="E89"/>
  <c r="E115" s="1"/>
  <c r="E86"/>
  <c r="E112" s="1"/>
  <c r="F90" i="340"/>
  <c r="K25" i="341"/>
  <c r="K13"/>
  <c r="K22"/>
  <c r="E96"/>
  <c r="E122" s="1"/>
  <c r="E92"/>
  <c r="E118" s="1"/>
  <c r="H42" i="347"/>
  <c r="K42" s="1"/>
  <c r="J44" i="348"/>
  <c r="J59"/>
  <c r="O59" s="1"/>
  <c r="J45"/>
  <c r="O43"/>
  <c r="J34"/>
  <c r="O34" s="1"/>
  <c r="O18"/>
  <c r="J28"/>
  <c r="O28" s="1"/>
  <c r="O12"/>
  <c r="K19" i="350"/>
  <c r="L19"/>
  <c r="O11" i="348"/>
  <c r="J27"/>
  <c r="O27" s="1"/>
  <c r="J36"/>
  <c r="O36" s="1"/>
  <c r="O20"/>
  <c r="O26" i="124"/>
  <c r="CI4" i="342"/>
  <c r="CI7" s="1"/>
  <c r="CI10" s="1"/>
  <c r="L20" i="350"/>
  <c r="K20"/>
  <c r="J30" i="348"/>
  <c r="O30" s="1"/>
  <c r="O14"/>
  <c r="O17"/>
  <c r="J33"/>
  <c r="O33" s="1"/>
  <c r="O19"/>
  <c r="J35"/>
  <c r="O35" s="1"/>
  <c r="J32"/>
  <c r="O32" s="1"/>
  <c r="O16"/>
  <c r="CF3" i="342"/>
  <c r="CF6" s="1"/>
  <c r="CF9" s="1"/>
  <c r="O27" i="124"/>
  <c r="M19" i="355" s="1"/>
  <c r="J58" i="348"/>
  <c r="O58" s="1"/>
  <c r="O42"/>
  <c r="J26"/>
  <c r="O26" s="1"/>
  <c r="O10"/>
  <c r="O13"/>
  <c r="J29"/>
  <c r="O29" s="1"/>
  <c r="O15"/>
  <c r="J31"/>
  <c r="O31" s="1"/>
  <c r="DO124" i="343"/>
  <c r="DO127" s="1"/>
  <c r="DN122"/>
  <c r="DN126" s="1"/>
  <c r="DN124"/>
  <c r="DN127" s="1"/>
  <c r="DS123"/>
  <c r="DS131" s="1"/>
  <c r="DS129"/>
  <c r="K18" i="317"/>
  <c r="K24"/>
  <c r="K21"/>
  <c r="DO125" i="343"/>
  <c r="DO128" s="1"/>
  <c r="DM123"/>
  <c r="DM131" s="1"/>
  <c r="DH116"/>
  <c r="DH107"/>
  <c r="DH110"/>
  <c r="DH112"/>
  <c r="DI123"/>
  <c r="DI131" s="1"/>
  <c r="DJ109"/>
  <c r="DJ112"/>
  <c r="M23" i="317"/>
  <c r="M29" s="1"/>
  <c r="M30" s="1"/>
  <c r="AU99" i="342"/>
  <c r="AU108" s="1"/>
  <c r="L25" i="123"/>
  <c r="L19" i="332"/>
  <c r="K19"/>
  <c r="K20"/>
  <c r="L20"/>
  <c r="DH109" i="343"/>
  <c r="DH108"/>
  <c r="DH111"/>
  <c r="DH115"/>
  <c r="DH117" s="1"/>
  <c r="DI130"/>
  <c r="DI129"/>
  <c r="DJ115"/>
  <c r="DJ117" s="1"/>
  <c r="DJ111"/>
  <c r="DJ107"/>
  <c r="DJ114"/>
  <c r="DJ129"/>
  <c r="DJ123"/>
  <c r="DJ131" s="1"/>
  <c r="DJ122"/>
  <c r="DJ126" s="1"/>
  <c r="D15" i="338"/>
  <c r="D31" i="345"/>
  <c r="E83" i="338"/>
  <c r="A85" i="345"/>
  <c r="H83" i="338"/>
  <c r="F84" i="344"/>
  <c r="C84"/>
  <c r="J41" i="193"/>
  <c r="I41"/>
  <c r="F81" i="338"/>
  <c r="C81"/>
  <c r="D70"/>
  <c r="C70" s="1"/>
  <c r="M42" i="348"/>
  <c r="P42" s="1"/>
  <c r="K42"/>
  <c r="H47"/>
  <c r="M41"/>
  <c r="P41" s="1"/>
  <c r="K41"/>
  <c r="H47" i="347"/>
  <c r="M41"/>
  <c r="P41" s="1"/>
  <c r="K41"/>
  <c r="K16"/>
  <c r="D13" i="338"/>
  <c r="D7" i="344"/>
  <c r="D14" i="338"/>
  <c r="C4"/>
  <c r="C16" s="1"/>
  <c r="D26"/>
  <c r="D10"/>
  <c r="D17"/>
  <c r="H17" s="1"/>
  <c r="D9"/>
  <c r="H9" s="1"/>
  <c r="D19"/>
  <c r="D21"/>
  <c r="H21" s="1"/>
  <c r="D23"/>
  <c r="G23" s="1"/>
  <c r="D20"/>
  <c r="D11"/>
  <c r="D18"/>
  <c r="G18" s="1"/>
  <c r="G41" s="1"/>
  <c r="F41" s="1"/>
  <c r="D12"/>
  <c r="C13"/>
  <c r="I12" i="337"/>
  <c r="H12"/>
  <c r="H46" s="1"/>
  <c r="G46" s="1"/>
  <c r="DO122" i="343"/>
  <c r="DO126" s="1"/>
  <c r="DO129"/>
  <c r="DM125"/>
  <c r="DM128" s="1"/>
  <c r="DM130"/>
  <c r="DM129"/>
  <c r="DM122"/>
  <c r="DM126" s="1"/>
  <c r="DJ130"/>
  <c r="DJ124"/>
  <c r="DJ127" s="1"/>
  <c r="L41" i="337"/>
  <c r="O41"/>
  <c r="U11"/>
  <c r="R11"/>
  <c r="O11"/>
  <c r="L11"/>
  <c r="U13"/>
  <c r="L13"/>
  <c r="U8"/>
  <c r="R8"/>
  <c r="R26"/>
  <c r="U26"/>
  <c r="O26"/>
  <c r="U22"/>
  <c r="R22"/>
  <c r="O22"/>
  <c r="O24"/>
  <c r="L24"/>
  <c r="R10"/>
  <c r="O10"/>
  <c r="U10"/>
  <c r="M18" i="339"/>
  <c r="I18"/>
  <c r="K12" i="347"/>
  <c r="H14" i="348"/>
  <c r="H14" i="347"/>
  <c r="H20" s="1"/>
  <c r="H46"/>
  <c r="H52" s="1"/>
  <c r="M52" s="1"/>
  <c r="H46" i="348"/>
  <c r="H61"/>
  <c r="H61" i="347"/>
  <c r="H26" i="348"/>
  <c r="H26" i="347"/>
  <c r="M12"/>
  <c r="H43"/>
  <c r="H49" s="1"/>
  <c r="M49" s="1"/>
  <c r="H43" i="348"/>
  <c r="M63"/>
  <c r="M25"/>
  <c r="P25" s="1"/>
  <c r="H31"/>
  <c r="K25"/>
  <c r="M58" i="347"/>
  <c r="H64"/>
  <c r="H59" i="348"/>
  <c r="H59" i="347"/>
  <c r="H18" i="348"/>
  <c r="M12"/>
  <c r="K12"/>
  <c r="M60"/>
  <c r="H66"/>
  <c r="H16"/>
  <c r="M10"/>
  <c r="P10" s="1"/>
  <c r="K10"/>
  <c r="H13" i="347"/>
  <c r="H19" s="1"/>
  <c r="H13" i="348"/>
  <c r="H45" i="347"/>
  <c r="H51" s="1"/>
  <c r="M51" s="1"/>
  <c r="H45" i="348"/>
  <c r="H62"/>
  <c r="H62" i="347"/>
  <c r="H11"/>
  <c r="H17" s="1"/>
  <c r="H11" i="348"/>
  <c r="H28"/>
  <c r="H28" i="347"/>
  <c r="H31"/>
  <c r="M25"/>
  <c r="P25" s="1"/>
  <c r="M58" i="348"/>
  <c r="H64"/>
  <c r="H50"/>
  <c r="M44"/>
  <c r="K44"/>
  <c r="M15"/>
  <c r="K15"/>
  <c r="M63" i="347"/>
  <c r="H66"/>
  <c r="M60"/>
  <c r="M48" i="348"/>
  <c r="M18" i="347"/>
  <c r="P18" s="1"/>
  <c r="K18"/>
  <c r="D9" i="345"/>
  <c r="D26"/>
  <c r="D17"/>
  <c r="D18"/>
  <c r="D34"/>
  <c r="P9" i="347"/>
  <c r="M10"/>
  <c r="K10"/>
  <c r="Q9" i="338"/>
  <c r="D30" i="344"/>
  <c r="D26"/>
  <c r="D17"/>
  <c r="D9"/>
  <c r="D31"/>
  <c r="D25"/>
  <c r="D11"/>
  <c r="D24"/>
  <c r="H61"/>
  <c r="T61"/>
  <c r="A53" i="340"/>
  <c r="A42" i="338"/>
  <c r="L61" i="344"/>
  <c r="P61"/>
  <c r="A58" i="337"/>
  <c r="E61" i="344"/>
  <c r="E27" i="341"/>
  <c r="E44" s="1"/>
  <c r="D14" i="344"/>
  <c r="D29"/>
  <c r="A32" i="345"/>
  <c r="A24"/>
  <c r="Q10" i="338"/>
  <c r="E105" i="341"/>
  <c r="E131" s="1"/>
  <c r="E107"/>
  <c r="E133" s="1"/>
  <c r="E108"/>
  <c r="E134" s="1"/>
  <c r="E102"/>
  <c r="E128" s="1"/>
  <c r="A29" i="345"/>
  <c r="A28"/>
  <c r="A6"/>
  <c r="E77" i="341"/>
  <c r="E81"/>
  <c r="D19" i="344"/>
  <c r="D18"/>
  <c r="D15"/>
  <c r="D28"/>
  <c r="D21"/>
  <c r="D16"/>
  <c r="D22"/>
  <c r="D8"/>
  <c r="D12" i="345"/>
  <c r="D33"/>
  <c r="D24"/>
  <c r="D29"/>
  <c r="D25"/>
  <c r="D28"/>
  <c r="D15"/>
  <c r="D8"/>
  <c r="D27"/>
  <c r="D20"/>
  <c r="D19"/>
  <c r="A80" i="337"/>
  <c r="A79" i="340"/>
  <c r="V79" s="1"/>
  <c r="W79" s="1"/>
  <c r="T76" i="344"/>
  <c r="P76"/>
  <c r="A75" i="338"/>
  <c r="H76" i="344"/>
  <c r="E76"/>
  <c r="L76"/>
  <c r="E9" i="340"/>
  <c r="E5"/>
  <c r="E34"/>
  <c r="E32"/>
  <c r="E12"/>
  <c r="E30"/>
  <c r="E7"/>
  <c r="E10"/>
  <c r="E33"/>
  <c r="E6"/>
  <c r="D75"/>
  <c r="E11"/>
  <c r="E29"/>
  <c r="E31"/>
  <c r="E8"/>
  <c r="E22"/>
  <c r="E17"/>
  <c r="E26"/>
  <c r="E14"/>
  <c r="E15"/>
  <c r="E25"/>
  <c r="E27"/>
  <c r="E23"/>
  <c r="E13"/>
  <c r="E19"/>
  <c r="E21"/>
  <c r="E16"/>
  <c r="E24"/>
  <c r="E28"/>
  <c r="Q78"/>
  <c r="F78"/>
  <c r="I78"/>
  <c r="M78"/>
  <c r="G75"/>
  <c r="U78"/>
  <c r="A79" i="345"/>
  <c r="H77" i="338"/>
  <c r="E77"/>
  <c r="Q77"/>
  <c r="N77"/>
  <c r="A82" i="337"/>
  <c r="E78" i="344"/>
  <c r="A77" i="338"/>
  <c r="T78" i="344"/>
  <c r="A81" i="340"/>
  <c r="V81" s="1"/>
  <c r="W81" s="1"/>
  <c r="P78" i="344"/>
  <c r="H78"/>
  <c r="L78"/>
  <c r="A94" i="337"/>
  <c r="A93" i="340"/>
  <c r="E90" i="344"/>
  <c r="A89" i="338"/>
  <c r="H90" i="344"/>
  <c r="A85" i="337"/>
  <c r="E81" i="344"/>
  <c r="T81"/>
  <c r="A80" i="338"/>
  <c r="F71" i="344"/>
  <c r="H81"/>
  <c r="P81"/>
  <c r="A84" i="340"/>
  <c r="V84" s="1"/>
  <c r="W84" s="1"/>
  <c r="L81" i="344"/>
  <c r="C72"/>
  <c r="C8" s="1"/>
  <c r="D27"/>
  <c r="D34"/>
  <c r="D13"/>
  <c r="D5"/>
  <c r="D6"/>
  <c r="A74" i="338"/>
  <c r="E75" i="344"/>
  <c r="P75"/>
  <c r="H75"/>
  <c r="A78" i="340"/>
  <c r="V78" s="1"/>
  <c r="W78" s="1"/>
  <c r="T75" i="344"/>
  <c r="F72"/>
  <c r="L75"/>
  <c r="I84" i="340"/>
  <c r="U84"/>
  <c r="M84"/>
  <c r="F84"/>
  <c r="Q84"/>
  <c r="T82" i="345"/>
  <c r="H82"/>
  <c r="L82"/>
  <c r="E82"/>
  <c r="E77"/>
  <c r="H77"/>
  <c r="L77"/>
  <c r="T77"/>
  <c r="P77"/>
  <c r="D14"/>
  <c r="C73"/>
  <c r="C12" s="1"/>
  <c r="D35"/>
  <c r="D7"/>
  <c r="D6"/>
  <c r="L76"/>
  <c r="H76"/>
  <c r="T76"/>
  <c r="F73"/>
  <c r="F12" s="1"/>
  <c r="E76"/>
  <c r="P76"/>
  <c r="A86" i="337"/>
  <c r="P82" i="344"/>
  <c r="A81" i="338"/>
  <c r="A85" i="340"/>
  <c r="V85" s="1"/>
  <c r="E82" i="344"/>
  <c r="T82"/>
  <c r="H82"/>
  <c r="L82"/>
  <c r="Q81" i="340"/>
  <c r="F81"/>
  <c r="I81"/>
  <c r="U81"/>
  <c r="A9" i="345"/>
  <c r="H46"/>
  <c r="E46"/>
  <c r="T46"/>
  <c r="E66"/>
  <c r="T66"/>
  <c r="H66"/>
  <c r="P66"/>
  <c r="T67"/>
  <c r="H67"/>
  <c r="E67"/>
  <c r="E56"/>
  <c r="H56"/>
  <c r="H64"/>
  <c r="P64"/>
  <c r="T64"/>
  <c r="E64"/>
  <c r="L55"/>
  <c r="H55"/>
  <c r="E55"/>
  <c r="P65"/>
  <c r="H65"/>
  <c r="T65"/>
  <c r="E65"/>
  <c r="H64" i="344"/>
  <c r="T64"/>
  <c r="A58" i="340"/>
  <c r="P64" i="344"/>
  <c r="E64"/>
  <c r="Q14" i="338"/>
  <c r="C38"/>
  <c r="E52" i="345"/>
  <c r="T52"/>
  <c r="H52"/>
  <c r="A26"/>
  <c r="E54"/>
  <c r="H54"/>
  <c r="L53"/>
  <c r="E53"/>
  <c r="H53"/>
  <c r="A31"/>
  <c r="Q13" i="338"/>
  <c r="A7" i="345"/>
  <c r="N9" i="338"/>
  <c r="H44" i="345"/>
  <c r="T44"/>
  <c r="E44"/>
  <c r="C45"/>
  <c r="D11"/>
  <c r="F45"/>
  <c r="F47"/>
  <c r="D13"/>
  <c r="C47"/>
  <c r="E58"/>
  <c r="H58"/>
  <c r="H63"/>
  <c r="E63"/>
  <c r="L63"/>
  <c r="P63"/>
  <c r="T63"/>
  <c r="H59"/>
  <c r="E59"/>
  <c r="Q16" i="338"/>
  <c r="T43" i="345"/>
  <c r="E43"/>
  <c r="H43"/>
  <c r="H62"/>
  <c r="L62"/>
  <c r="E62"/>
  <c r="T62"/>
  <c r="H60"/>
  <c r="E60"/>
  <c r="T51"/>
  <c r="L51"/>
  <c r="E51"/>
  <c r="H51"/>
  <c r="L49"/>
  <c r="E49"/>
  <c r="T49"/>
  <c r="H49"/>
  <c r="A43" i="338"/>
  <c r="A56" i="340"/>
  <c r="A41" i="337"/>
  <c r="E62" i="344"/>
  <c r="H62"/>
  <c r="P62"/>
  <c r="T62"/>
  <c r="L62"/>
  <c r="E42" i="345"/>
  <c r="H42"/>
  <c r="T42"/>
  <c r="E68"/>
  <c r="P68"/>
  <c r="H68"/>
  <c r="T68"/>
  <c r="H61"/>
  <c r="E61"/>
  <c r="A21"/>
  <c r="E57"/>
  <c r="H57"/>
  <c r="L50"/>
  <c r="E50"/>
  <c r="T50"/>
  <c r="H50"/>
  <c r="A57" i="340"/>
  <c r="A44" i="338"/>
  <c r="H63" i="344"/>
  <c r="P63"/>
  <c r="A42" i="337"/>
  <c r="T63" i="344"/>
  <c r="E63"/>
  <c r="F75" i="337"/>
  <c r="H75"/>
  <c r="I75"/>
  <c r="U75"/>
  <c r="R75"/>
  <c r="L75"/>
  <c r="D75"/>
  <c r="P43" i="344"/>
  <c r="T43"/>
  <c r="H43"/>
  <c r="H59"/>
  <c r="H56"/>
  <c r="H57"/>
  <c r="L49"/>
  <c r="P49"/>
  <c r="T49"/>
  <c r="H49"/>
  <c r="P45"/>
  <c r="H45"/>
  <c r="T45"/>
  <c r="T51"/>
  <c r="H51"/>
  <c r="L52"/>
  <c r="H52"/>
  <c r="H58"/>
  <c r="H48"/>
  <c r="L48"/>
  <c r="P48"/>
  <c r="T48"/>
  <c r="H55"/>
  <c r="L50"/>
  <c r="H50"/>
  <c r="T50"/>
  <c r="H53"/>
  <c r="H60"/>
  <c r="C44"/>
  <c r="E44"/>
  <c r="C46"/>
  <c r="E46"/>
  <c r="F37"/>
  <c r="F73"/>
  <c r="D10"/>
  <c r="D12"/>
  <c r="CJ15" i="342"/>
  <c r="CJ27" s="1"/>
  <c r="CJ39" s="1"/>
  <c r="DH120" i="343"/>
  <c r="DH119"/>
  <c r="DL120"/>
  <c r="DL119"/>
  <c r="CX146"/>
  <c r="CX145"/>
  <c r="CX137"/>
  <c r="CX142"/>
  <c r="CX133"/>
  <c r="CX138"/>
  <c r="CX135"/>
  <c r="CX139"/>
  <c r="CX141"/>
  <c r="CX143"/>
  <c r="CX140"/>
  <c r="CX134"/>
  <c r="CX136"/>
  <c r="DR112"/>
  <c r="DR107"/>
  <c r="DR115"/>
  <c r="DR117" s="1"/>
  <c r="DR110"/>
  <c r="DR109"/>
  <c r="DR116"/>
  <c r="DR113"/>
  <c r="DR108"/>
  <c r="DR114"/>
  <c r="DR111"/>
  <c r="DT120"/>
  <c r="DT119"/>
  <c r="DI119"/>
  <c r="DI120"/>
  <c r="CY133"/>
  <c r="CY135"/>
  <c r="CY137"/>
  <c r="CY136"/>
  <c r="CY138"/>
  <c r="CY140"/>
  <c r="CY142"/>
  <c r="CY141"/>
  <c r="CY139"/>
  <c r="CY143"/>
  <c r="CY134"/>
  <c r="DR119"/>
  <c r="DR120"/>
  <c r="DL107"/>
  <c r="DL109"/>
  <c r="DL111"/>
  <c r="DL113"/>
  <c r="DL115"/>
  <c r="DL117" s="1"/>
  <c r="DL110"/>
  <c r="DL108"/>
  <c r="DL116"/>
  <c r="DL112"/>
  <c r="DL114"/>
  <c r="CY146"/>
  <c r="CY145"/>
  <c r="CW146"/>
  <c r="CW145"/>
  <c r="DJ119"/>
  <c r="DJ120"/>
  <c r="CW133"/>
  <c r="CW135"/>
  <c r="CW137"/>
  <c r="CW136"/>
  <c r="CW138"/>
  <c r="CW140"/>
  <c r="CW142"/>
  <c r="CW139"/>
  <c r="CW141"/>
  <c r="CW143"/>
  <c r="CW134"/>
  <c r="AC8" i="342"/>
  <c r="AC11" s="1"/>
  <c r="DT114" i="343"/>
  <c r="DT109"/>
  <c r="DT112"/>
  <c r="DT111"/>
  <c r="DT115"/>
  <c r="DT117" s="1"/>
  <c r="DT110"/>
  <c r="DT116"/>
  <c r="DT107"/>
  <c r="DT113"/>
  <c r="DT108"/>
  <c r="K63" i="341"/>
  <c r="K68"/>
  <c r="K73"/>
  <c r="K60"/>
  <c r="K57"/>
  <c r="K54"/>
  <c r="K70"/>
  <c r="K75"/>
  <c r="K65"/>
  <c r="K62"/>
  <c r="K56"/>
  <c r="K72"/>
  <c r="K53"/>
  <c r="K58"/>
  <c r="K74"/>
  <c r="K67"/>
  <c r="K59"/>
  <c r="K64"/>
  <c r="K69"/>
  <c r="K55"/>
  <c r="K61"/>
  <c r="K66"/>
  <c r="K71"/>
  <c r="Y9" i="342"/>
  <c r="Z9"/>
  <c r="AR120"/>
  <c r="AR127"/>
  <c r="AR114"/>
  <c r="AR121"/>
  <c r="AR129"/>
  <c r="AR117"/>
  <c r="AR124"/>
  <c r="AR132"/>
  <c r="AR116"/>
  <c r="AR128"/>
  <c r="AR118"/>
  <c r="AR130"/>
  <c r="AR119"/>
  <c r="AR131"/>
  <c r="AR112"/>
  <c r="AR133"/>
  <c r="AR122"/>
  <c r="AR134"/>
  <c r="AR123"/>
  <c r="AR113"/>
  <c r="AR125"/>
  <c r="AR126"/>
  <c r="AR115"/>
  <c r="CA5"/>
  <c r="BZ8"/>
  <c r="BS10"/>
  <c r="BT7"/>
  <c r="BT10" s="1"/>
  <c r="BR112"/>
  <c r="BR124" s="1"/>
  <c r="BR123"/>
  <c r="BR114"/>
  <c r="BR126" s="1"/>
  <c r="BR113"/>
  <c r="BR125" s="1"/>
  <c r="G38"/>
  <c r="M26"/>
  <c r="M38" s="1"/>
  <c r="U98" i="341"/>
  <c r="U124" s="1"/>
  <c r="U123"/>
  <c r="U99"/>
  <c r="U125" s="1"/>
  <c r="EQ162" i="343"/>
  <c r="EQ165"/>
  <c r="EQ167"/>
  <c r="EQ161"/>
  <c r="EQ169"/>
  <c r="EQ163"/>
  <c r="EQ164"/>
  <c r="EQ166"/>
  <c r="EQ159"/>
  <c r="EQ168"/>
  <c r="EQ160"/>
  <c r="BB123" i="342"/>
  <c r="BB118"/>
  <c r="BB134"/>
  <c r="BB112"/>
  <c r="BB127"/>
  <c r="BB122"/>
  <c r="BB113"/>
  <c r="BB115"/>
  <c r="BB117"/>
  <c r="BB133"/>
  <c r="BB128"/>
  <c r="BB116"/>
  <c r="BJ111"/>
  <c r="BB120"/>
  <c r="BB119"/>
  <c r="BB124"/>
  <c r="BB121"/>
  <c r="BB126"/>
  <c r="BB125"/>
  <c r="BB130"/>
  <c r="BB129"/>
  <c r="BB132"/>
  <c r="BB131"/>
  <c r="BB114"/>
  <c r="BJ100"/>
  <c r="BJ105"/>
  <c r="BJ106"/>
  <c r="BJ107"/>
  <c r="BJ101"/>
  <c r="BJ110"/>
  <c r="BJ109"/>
  <c r="BJ104"/>
  <c r="BJ103"/>
  <c r="BJ108"/>
  <c r="BJ102"/>
  <c r="AB5"/>
  <c r="AA8"/>
  <c r="I123" i="341"/>
  <c r="I98"/>
  <c r="I124" s="1"/>
  <c r="I99"/>
  <c r="I125" s="1"/>
  <c r="H151"/>
  <c r="H150"/>
  <c r="BK120" i="342"/>
  <c r="BK115"/>
  <c r="BK117"/>
  <c r="BK122"/>
  <c r="BK119"/>
  <c r="BK121"/>
  <c r="BK124"/>
  <c r="BK123"/>
  <c r="BK125"/>
  <c r="BK126"/>
  <c r="BK127"/>
  <c r="BK129"/>
  <c r="BK128"/>
  <c r="BK131"/>
  <c r="BK114"/>
  <c r="BK130"/>
  <c r="BK112"/>
  <c r="BK116"/>
  <c r="BK132"/>
  <c r="BK134"/>
  <c r="BK118"/>
  <c r="BK133"/>
  <c r="BK113"/>
  <c r="BT8"/>
  <c r="BT11" s="1"/>
  <c r="BS11"/>
  <c r="BQ114"/>
  <c r="BQ126" s="1"/>
  <c r="BQ123"/>
  <c r="BQ112"/>
  <c r="BQ124" s="1"/>
  <c r="BQ113"/>
  <c r="BQ125" s="1"/>
  <c r="CA164"/>
  <c r="CA184" s="1"/>
  <c r="CA159"/>
  <c r="CA179" s="1"/>
  <c r="CA166"/>
  <c r="CA186" s="1"/>
  <c r="CA175"/>
  <c r="CA156"/>
  <c r="CA176" s="1"/>
  <c r="CA160"/>
  <c r="CA180" s="1"/>
  <c r="CA157"/>
  <c r="CA177" s="1"/>
  <c r="CA161"/>
  <c r="CA181" s="1"/>
  <c r="CA158"/>
  <c r="CA178" s="1"/>
  <c r="CA162"/>
  <c r="CA182" s="1"/>
  <c r="CA163"/>
  <c r="CA183" s="1"/>
  <c r="CA165"/>
  <c r="CA185" s="1"/>
  <c r="BH113"/>
  <c r="BH121"/>
  <c r="BH129"/>
  <c r="BH114"/>
  <c r="BH122"/>
  <c r="BH130"/>
  <c r="BH115"/>
  <c r="BH123"/>
  <c r="BH131"/>
  <c r="BH116"/>
  <c r="BH124"/>
  <c r="BH132"/>
  <c r="BH117"/>
  <c r="BH125"/>
  <c r="BH133"/>
  <c r="BH118"/>
  <c r="BH126"/>
  <c r="BH112"/>
  <c r="BH119"/>
  <c r="BH127"/>
  <c r="BH120"/>
  <c r="BH128"/>
  <c r="BH134"/>
  <c r="F37"/>
  <c r="L25"/>
  <c r="L37" s="1"/>
  <c r="CG4"/>
  <c r="CG7" s="1"/>
  <c r="CG10" s="1"/>
  <c r="CF4"/>
  <c r="CF7" s="1"/>
  <c r="CF10" s="1"/>
  <c r="BI121"/>
  <c r="BI118"/>
  <c r="BI132"/>
  <c r="BI123"/>
  <c r="BI122"/>
  <c r="BI112"/>
  <c r="BI125"/>
  <c r="BI126"/>
  <c r="BI134"/>
  <c r="BI127"/>
  <c r="BI130"/>
  <c r="BI113"/>
  <c r="BI129"/>
  <c r="BI116"/>
  <c r="BI115"/>
  <c r="BI131"/>
  <c r="BI120"/>
  <c r="BI117"/>
  <c r="BI133"/>
  <c r="BI124"/>
  <c r="BI114"/>
  <c r="BI128"/>
  <c r="BI119"/>
  <c r="AT100"/>
  <c r="AT109"/>
  <c r="AT101"/>
  <c r="AT108"/>
  <c r="AT111"/>
  <c r="AT107"/>
  <c r="AT106"/>
  <c r="AT105"/>
  <c r="AT104"/>
  <c r="AT103"/>
  <c r="AT110"/>
  <c r="AT102"/>
  <c r="BX9"/>
  <c r="BY6"/>
  <c r="BY9" s="1"/>
  <c r="BZ9"/>
  <c r="CA6"/>
  <c r="CA9" s="1"/>
  <c r="F40"/>
  <c r="L28"/>
  <c r="L40" s="1"/>
  <c r="F39"/>
  <c r="L27"/>
  <c r="L39" s="1"/>
  <c r="BQ8"/>
  <c r="BR5"/>
  <c r="F55" i="341"/>
  <c r="F71"/>
  <c r="F63"/>
  <c r="F62"/>
  <c r="F54"/>
  <c r="F57"/>
  <c r="F73"/>
  <c r="F65"/>
  <c r="F56"/>
  <c r="F59"/>
  <c r="F75"/>
  <c r="F58"/>
  <c r="F61"/>
  <c r="F66"/>
  <c r="F60"/>
  <c r="F64"/>
  <c r="F67"/>
  <c r="F72"/>
  <c r="F68"/>
  <c r="F70"/>
  <c r="F53"/>
  <c r="F69"/>
  <c r="F74"/>
  <c r="CD15" i="342"/>
  <c r="CD16"/>
  <c r="CD14"/>
  <c r="Z10"/>
  <c r="Y10"/>
  <c r="ES163" i="343"/>
  <c r="ES164"/>
  <c r="ES166"/>
  <c r="ES159"/>
  <c r="ES168"/>
  <c r="ES160"/>
  <c r="ES162"/>
  <c r="ES165"/>
  <c r="ES167"/>
  <c r="ES161"/>
  <c r="ES169"/>
  <c r="BQ9" i="342"/>
  <c r="BR6"/>
  <c r="BR9" s="1"/>
  <c r="I77" i="341"/>
  <c r="I78"/>
  <c r="I79"/>
  <c r="I81"/>
  <c r="I80"/>
  <c r="AC6" i="342"/>
  <c r="AC9" s="1"/>
  <c r="AC7"/>
  <c r="AC10" s="1"/>
  <c r="BG101"/>
  <c r="BG109"/>
  <c r="BG103"/>
  <c r="BG100"/>
  <c r="BG104"/>
  <c r="BG105"/>
  <c r="BG106"/>
  <c r="BG102"/>
  <c r="BG107"/>
  <c r="BG108"/>
  <c r="BG110"/>
  <c r="CE25"/>
  <c r="CE13"/>
  <c r="BQ7"/>
  <c r="BR4"/>
  <c r="AB6"/>
  <c r="AA9"/>
  <c r="AB9" s="1"/>
  <c r="BP5"/>
  <c r="BO8"/>
  <c r="E66" i="341"/>
  <c r="E73"/>
  <c r="E57"/>
  <c r="E64"/>
  <c r="E71"/>
  <c r="E55"/>
  <c r="E62"/>
  <c r="E69"/>
  <c r="E53"/>
  <c r="E63"/>
  <c r="E60"/>
  <c r="E67"/>
  <c r="E65"/>
  <c r="E72"/>
  <c r="E70"/>
  <c r="E54"/>
  <c r="E61"/>
  <c r="E74"/>
  <c r="E56"/>
  <c r="E68"/>
  <c r="E75"/>
  <c r="E59"/>
  <c r="E58"/>
  <c r="CD37" i="342"/>
  <c r="CD28"/>
  <c r="CD40" s="1"/>
  <c r="CD27"/>
  <c r="CD39" s="1"/>
  <c r="CD26"/>
  <c r="CD38" s="1"/>
  <c r="H164" i="341"/>
  <c r="H167"/>
  <c r="H165"/>
  <c r="H168"/>
  <c r="H172"/>
  <c r="H169"/>
  <c r="H171"/>
  <c r="H170"/>
  <c r="H173"/>
  <c r="H174"/>
  <c r="H166"/>
  <c r="H140"/>
  <c r="H142"/>
  <c r="H141"/>
  <c r="H148"/>
  <c r="H139"/>
  <c r="H143"/>
  <c r="H138"/>
  <c r="H145"/>
  <c r="H144"/>
  <c r="H146"/>
  <c r="H147"/>
  <c r="M29" i="342"/>
  <c r="M41" s="1"/>
  <c r="G41"/>
  <c r="I27" i="341"/>
  <c r="I52"/>
  <c r="CG5" i="342"/>
  <c r="CG8" s="1"/>
  <c r="CG11" s="1"/>
  <c r="CF5"/>
  <c r="CF8" s="1"/>
  <c r="CF11" s="1"/>
  <c r="E98" i="341"/>
  <c r="E124" s="1"/>
  <c r="E123"/>
  <c r="E99"/>
  <c r="E125" s="1"/>
  <c r="U53"/>
  <c r="U58"/>
  <c r="U74"/>
  <c r="U55"/>
  <c r="U60"/>
  <c r="U65"/>
  <c r="U73"/>
  <c r="U57"/>
  <c r="U62"/>
  <c r="U67"/>
  <c r="U59"/>
  <c r="U64"/>
  <c r="U69"/>
  <c r="U61"/>
  <c r="U66"/>
  <c r="U71"/>
  <c r="U63"/>
  <c r="U68"/>
  <c r="U54"/>
  <c r="U70"/>
  <c r="U75"/>
  <c r="U56"/>
  <c r="U72"/>
  <c r="BP6" i="342"/>
  <c r="BO9"/>
  <c r="BP9" s="1"/>
  <c r="G37"/>
  <c r="M25"/>
  <c r="M37" s="1"/>
  <c r="CA4"/>
  <c r="BZ7"/>
  <c r="AB7"/>
  <c r="AA10"/>
  <c r="AB10" s="1"/>
  <c r="BF100"/>
  <c r="BF109"/>
  <c r="BF103"/>
  <c r="BF106"/>
  <c r="BF105"/>
  <c r="BF110"/>
  <c r="BF104"/>
  <c r="BF101"/>
  <c r="BF108"/>
  <c r="BF102"/>
  <c r="BF107"/>
  <c r="F99" i="341"/>
  <c r="F125" s="1"/>
  <c r="F123"/>
  <c r="F98"/>
  <c r="F124" s="1"/>
  <c r="CF25" i="342"/>
  <c r="CF13"/>
  <c r="BO7"/>
  <c r="BP4"/>
  <c r="H154" i="341"/>
  <c r="H155"/>
  <c r="H156"/>
  <c r="H157"/>
  <c r="H153"/>
  <c r="H160"/>
  <c r="H159"/>
  <c r="H161"/>
  <c r="H158"/>
  <c r="H162"/>
  <c r="F38" i="342"/>
  <c r="L26"/>
  <c r="L38" s="1"/>
  <c r="CD71"/>
  <c r="CD82" s="1"/>
  <c r="CD64"/>
  <c r="CD75" s="1"/>
  <c r="CD65"/>
  <c r="CD76" s="1"/>
  <c r="CD67"/>
  <c r="CD78" s="1"/>
  <c r="CD70"/>
  <c r="CD81" s="1"/>
  <c r="CD68"/>
  <c r="CD79" s="1"/>
  <c r="CD66"/>
  <c r="CD77" s="1"/>
  <c r="CD61"/>
  <c r="CD72" s="1"/>
  <c r="CD83" s="1"/>
  <c r="CD62"/>
  <c r="CD73" s="1"/>
  <c r="CD69"/>
  <c r="CD80" s="1"/>
  <c r="CD63"/>
  <c r="CD74" s="1"/>
  <c r="BX8"/>
  <c r="BY5"/>
  <c r="X11"/>
  <c r="Y8"/>
  <c r="Z8"/>
  <c r="BX7"/>
  <c r="BY4"/>
  <c r="AS113"/>
  <c r="AS121"/>
  <c r="AS129"/>
  <c r="AS115"/>
  <c r="AS123"/>
  <c r="AS131"/>
  <c r="AS118"/>
  <c r="AS126"/>
  <c r="AS134"/>
  <c r="AS119"/>
  <c r="AS132"/>
  <c r="AS120"/>
  <c r="AS133"/>
  <c r="AS122"/>
  <c r="AS112"/>
  <c r="AS124"/>
  <c r="AS125"/>
  <c r="AS114"/>
  <c r="AS127"/>
  <c r="AS116"/>
  <c r="AS128"/>
  <c r="AS117"/>
  <c r="AS130"/>
  <c r="AX119"/>
  <c r="AX114"/>
  <c r="AX130"/>
  <c r="AX123"/>
  <c r="AX118"/>
  <c r="AX134"/>
  <c r="BF111"/>
  <c r="AX125"/>
  <c r="AX120"/>
  <c r="AX112"/>
  <c r="AX127"/>
  <c r="AX122"/>
  <c r="AX113"/>
  <c r="AX129"/>
  <c r="AX124"/>
  <c r="AX121"/>
  <c r="AX131"/>
  <c r="AX133"/>
  <c r="AX116"/>
  <c r="AX126"/>
  <c r="AX128"/>
  <c r="AX115"/>
  <c r="AX132"/>
  <c r="AX117"/>
  <c r="AY115"/>
  <c r="AY123"/>
  <c r="AY131"/>
  <c r="AY117"/>
  <c r="AY125"/>
  <c r="AY133"/>
  <c r="AY118"/>
  <c r="AY126"/>
  <c r="AY134"/>
  <c r="AY119"/>
  <c r="AY127"/>
  <c r="BG111"/>
  <c r="AY120"/>
  <c r="AY128"/>
  <c r="AY112"/>
  <c r="AY129"/>
  <c r="AY130"/>
  <c r="AY113"/>
  <c r="AY132"/>
  <c r="AY114"/>
  <c r="AY116"/>
  <c r="AY121"/>
  <c r="AY122"/>
  <c r="AY124"/>
  <c r="CE66"/>
  <c r="CE77" s="1"/>
  <c r="CE67"/>
  <c r="CE78" s="1"/>
  <c r="CE68"/>
  <c r="CE79" s="1"/>
  <c r="CE69"/>
  <c r="CE80" s="1"/>
  <c r="CE62"/>
  <c r="CE73" s="1"/>
  <c r="CE70"/>
  <c r="CE81" s="1"/>
  <c r="CE63"/>
  <c r="CE74" s="1"/>
  <c r="CE71"/>
  <c r="CE82" s="1"/>
  <c r="CE64"/>
  <c r="CE75" s="1"/>
  <c r="CE61"/>
  <c r="CE72" s="1"/>
  <c r="CE83" s="1"/>
  <c r="CE65"/>
  <c r="CE76" s="1"/>
  <c r="ER160" i="343"/>
  <c r="ER166"/>
  <c r="ER162"/>
  <c r="ER168"/>
  <c r="ER165"/>
  <c r="ER161"/>
  <c r="ER167"/>
  <c r="ER163"/>
  <c r="ER169"/>
  <c r="ER159"/>
  <c r="ER164"/>
  <c r="I26" i="341"/>
  <c r="I15"/>
  <c r="I21"/>
  <c r="I16"/>
  <c r="I23"/>
  <c r="I20"/>
  <c r="I22"/>
  <c r="I13"/>
  <c r="I17"/>
  <c r="I25"/>
  <c r="I14"/>
  <c r="I18"/>
  <c r="I19"/>
  <c r="I24"/>
  <c r="CH27" i="342"/>
  <c r="CH39" s="1"/>
  <c r="CH19"/>
  <c r="CH31" s="1"/>
  <c r="CH43" s="1"/>
  <c r="F11"/>
  <c r="L11" s="1"/>
  <c r="F10"/>
  <c r="L10" s="1"/>
  <c r="DE208" i="295"/>
  <c r="C68" i="194"/>
  <c r="DF208" i="295"/>
  <c r="DG208"/>
  <c r="I14" i="270" l="1"/>
  <c r="I16"/>
  <c r="I15"/>
  <c r="I13"/>
  <c r="J8"/>
  <c r="G39" i="342"/>
  <c r="CF61"/>
  <c r="CF72" s="1"/>
  <c r="CF83" s="1"/>
  <c r="CF62"/>
  <c r="CF73" s="1"/>
  <c r="CF64"/>
  <c r="CF75" s="1"/>
  <c r="F38" i="341"/>
  <c r="F49"/>
  <c r="F40"/>
  <c r="F47"/>
  <c r="F43"/>
  <c r="F41"/>
  <c r="AE162" i="343"/>
  <c r="AE164"/>
  <c r="AE168"/>
  <c r="AE159"/>
  <c r="AE161"/>
  <c r="AE163"/>
  <c r="AE169"/>
  <c r="AE165"/>
  <c r="AE166"/>
  <c r="AE160"/>
  <c r="AE167"/>
  <c r="CF68" i="342"/>
  <c r="CF79" s="1"/>
  <c r="CF66"/>
  <c r="CF77" s="1"/>
  <c r="CF71"/>
  <c r="CF82" s="1"/>
  <c r="CF65"/>
  <c r="CF76" s="1"/>
  <c r="CF70"/>
  <c r="CF81" s="1"/>
  <c r="AB169" i="343"/>
  <c r="AB166"/>
  <c r="AB161"/>
  <c r="AB163"/>
  <c r="AB165"/>
  <c r="AB159"/>
  <c r="AB162"/>
  <c r="AB167"/>
  <c r="AB164"/>
  <c r="AB168"/>
  <c r="AB160"/>
  <c r="CF63" i="342"/>
  <c r="CF74" s="1"/>
  <c r="CF67"/>
  <c r="CF78" s="1"/>
  <c r="W100" i="340"/>
  <c r="AC164" i="343"/>
  <c r="AC160"/>
  <c r="AC167"/>
  <c r="AC159"/>
  <c r="AC168"/>
  <c r="AC169"/>
  <c r="AC161"/>
  <c r="AC163"/>
  <c r="AC166"/>
  <c r="AC162"/>
  <c r="AC165"/>
  <c r="F15" i="270"/>
  <c r="G15"/>
  <c r="J15"/>
  <c r="F9"/>
  <c r="F13"/>
  <c r="F16"/>
  <c r="F10"/>
  <c r="F11"/>
  <c r="F12"/>
  <c r="K9"/>
  <c r="K10"/>
  <c r="K13"/>
  <c r="K11"/>
  <c r="K12"/>
  <c r="G9"/>
  <c r="G12"/>
  <c r="G11"/>
  <c r="G16"/>
  <c r="G13"/>
  <c r="G10"/>
  <c r="H9"/>
  <c r="H10"/>
  <c r="H13"/>
  <c r="H16"/>
  <c r="H12"/>
  <c r="H11"/>
  <c r="I9"/>
  <c r="J9" s="1"/>
  <c r="I11"/>
  <c r="J11" s="1"/>
  <c r="J16"/>
  <c r="I10"/>
  <c r="J10" s="1"/>
  <c r="J13"/>
  <c r="I12"/>
  <c r="J12" s="1"/>
  <c r="D15" i="197"/>
  <c r="E15"/>
  <c r="C17"/>
  <c r="F32" i="341"/>
  <c r="F30"/>
  <c r="F37"/>
  <c r="F35"/>
  <c r="F36"/>
  <c r="F51"/>
  <c r="F29"/>
  <c r="F46"/>
  <c r="F28"/>
  <c r="F48"/>
  <c r="F33"/>
  <c r="F34"/>
  <c r="F50"/>
  <c r="F44"/>
  <c r="F42"/>
  <c r="F39"/>
  <c r="F45"/>
  <c r="R22" i="297"/>
  <c r="U109" i="337"/>
  <c r="F109"/>
  <c r="R109"/>
  <c r="F100" i="340"/>
  <c r="I100"/>
  <c r="DP79" i="343"/>
  <c r="DP77"/>
  <c r="DP71"/>
  <c r="DP14"/>
  <c r="DP32"/>
  <c r="DP45"/>
  <c r="DP23"/>
  <c r="DP26"/>
  <c r="DP36"/>
  <c r="DP41"/>
  <c r="DP30"/>
  <c r="DP20"/>
  <c r="DP22"/>
  <c r="DP44"/>
  <c r="DP40"/>
  <c r="DP38"/>
  <c r="DP11"/>
  <c r="DP33"/>
  <c r="DP39"/>
  <c r="DP37"/>
  <c r="DP13"/>
  <c r="DP18"/>
  <c r="DP28"/>
  <c r="DP35"/>
  <c r="DP34"/>
  <c r="DP46"/>
  <c r="DP27"/>
  <c r="DP47"/>
  <c r="DP42"/>
  <c r="DP48"/>
  <c r="DP43"/>
  <c r="DP31"/>
  <c r="DP49"/>
  <c r="DP21"/>
  <c r="DP16"/>
  <c r="DP24"/>
  <c r="DP15"/>
  <c r="DP19"/>
  <c r="DP17"/>
  <c r="DP76"/>
  <c r="DP78"/>
  <c r="Q100" i="340"/>
  <c r="DP122" i="343"/>
  <c r="DP126" s="1"/>
  <c r="DP125"/>
  <c r="DP128" s="1"/>
  <c r="DP124"/>
  <c r="DP127" s="1"/>
  <c r="DP130"/>
  <c r="DP129"/>
  <c r="DP58"/>
  <c r="DP59"/>
  <c r="DP57"/>
  <c r="DP51"/>
  <c r="DP65"/>
  <c r="DP62"/>
  <c r="DP52"/>
  <c r="DP66"/>
  <c r="DP69"/>
  <c r="DP72"/>
  <c r="DP67"/>
  <c r="DP63"/>
  <c r="DP70"/>
  <c r="DP56"/>
  <c r="DP55"/>
  <c r="DP54"/>
  <c r="DP64"/>
  <c r="DP73"/>
  <c r="DP53"/>
  <c r="DP60"/>
  <c r="DP61"/>
  <c r="E35" i="337"/>
  <c r="I35" s="1"/>
  <c r="D69"/>
  <c r="D35" s="1"/>
  <c r="DP161" i="343"/>
  <c r="DP159"/>
  <c r="DP169"/>
  <c r="DP162"/>
  <c r="DP168"/>
  <c r="DP165"/>
  <c r="DP163"/>
  <c r="DP160"/>
  <c r="DP167"/>
  <c r="DP166"/>
  <c r="DP164"/>
  <c r="DP93"/>
  <c r="DP118"/>
  <c r="DP94"/>
  <c r="DP84"/>
  <c r="DP81"/>
  <c r="DP83"/>
  <c r="DP87"/>
  <c r="DP106"/>
  <c r="DP90"/>
  <c r="DP88"/>
  <c r="DP82"/>
  <c r="DP85"/>
  <c r="DP86"/>
  <c r="DP89"/>
  <c r="DP91"/>
  <c r="E18" i="197"/>
  <c r="AU106" i="342"/>
  <c r="G11"/>
  <c r="M11" s="1"/>
  <c r="CI5"/>
  <c r="CI8" s="1"/>
  <c r="CI11" s="1"/>
  <c r="M18" i="355"/>
  <c r="AU101" i="342"/>
  <c r="E41" i="341"/>
  <c r="U44"/>
  <c r="U42"/>
  <c r="U36"/>
  <c r="U49"/>
  <c r="U47"/>
  <c r="U45"/>
  <c r="H71" i="338"/>
  <c r="K44" i="347"/>
  <c r="Q85" i="340"/>
  <c r="M42" i="347"/>
  <c r="P42" s="1"/>
  <c r="N71" i="338"/>
  <c r="Q71"/>
  <c r="K71"/>
  <c r="H50" i="347"/>
  <c r="M50" s="1"/>
  <c r="P50" s="1"/>
  <c r="E71" i="338"/>
  <c r="U51" i="341"/>
  <c r="U46"/>
  <c r="U43"/>
  <c r="U41"/>
  <c r="U39"/>
  <c r="U50"/>
  <c r="U48"/>
  <c r="U29"/>
  <c r="U40"/>
  <c r="U37"/>
  <c r="U35"/>
  <c r="U33"/>
  <c r="U31"/>
  <c r="U38"/>
  <c r="U34"/>
  <c r="U32"/>
  <c r="U30"/>
  <c r="K44"/>
  <c r="K30"/>
  <c r="H48" i="347"/>
  <c r="M48" s="1"/>
  <c r="P48" s="1"/>
  <c r="K45" i="341"/>
  <c r="M85" i="340"/>
  <c r="K39" i="341"/>
  <c r="F85" i="340"/>
  <c r="I85"/>
  <c r="W85"/>
  <c r="K51" i="341"/>
  <c r="K37"/>
  <c r="G74" i="340"/>
  <c r="F74" s="1"/>
  <c r="E31" i="341"/>
  <c r="E43"/>
  <c r="AU104" i="342"/>
  <c r="AU100"/>
  <c r="K46" i="341"/>
  <c r="K29"/>
  <c r="K40"/>
  <c r="K34"/>
  <c r="K32"/>
  <c r="K48"/>
  <c r="K43" i="347"/>
  <c r="G10" i="342"/>
  <c r="M10" s="1"/>
  <c r="E33" i="341"/>
  <c r="E29"/>
  <c r="AU103" i="342"/>
  <c r="K31" i="341"/>
  <c r="K42"/>
  <c r="K36"/>
  <c r="K47"/>
  <c r="K50"/>
  <c r="K33"/>
  <c r="E39"/>
  <c r="AU102" i="342"/>
  <c r="K49" i="341"/>
  <c r="K38"/>
  <c r="K43"/>
  <c r="K41"/>
  <c r="K35"/>
  <c r="E34"/>
  <c r="E30"/>
  <c r="E38"/>
  <c r="E40"/>
  <c r="E46"/>
  <c r="E48"/>
  <c r="E50"/>
  <c r="E36"/>
  <c r="E47"/>
  <c r="E49"/>
  <c r="E32"/>
  <c r="E45"/>
  <c r="E28"/>
  <c r="E42"/>
  <c r="E37"/>
  <c r="E51"/>
  <c r="E35"/>
  <c r="J61" i="348"/>
  <c r="O61" s="1"/>
  <c r="J46"/>
  <c r="J47"/>
  <c r="K47" s="1"/>
  <c r="O45"/>
  <c r="P15"/>
  <c r="CI48" i="342"/>
  <c r="CI13"/>
  <c r="J60" i="348"/>
  <c r="O60" s="1"/>
  <c r="O44"/>
  <c r="H18" i="338"/>
  <c r="G9"/>
  <c r="G32" s="1"/>
  <c r="F32" s="1"/>
  <c r="K32" s="1"/>
  <c r="C15"/>
  <c r="O6" i="341"/>
  <c r="O7" s="1"/>
  <c r="C69" i="194"/>
  <c r="M24" i="317"/>
  <c r="AU107" i="342"/>
  <c r="AU105"/>
  <c r="AU111"/>
  <c r="AU122" s="1"/>
  <c r="AU110"/>
  <c r="AU109"/>
  <c r="K30" i="317"/>
  <c r="K46" i="347"/>
  <c r="A83" i="338"/>
  <c r="H84" i="344"/>
  <c r="A88" i="337"/>
  <c r="E84" i="344"/>
  <c r="L84"/>
  <c r="A83" i="345"/>
  <c r="Q81" i="338"/>
  <c r="F70"/>
  <c r="H81"/>
  <c r="E81"/>
  <c r="M46" i="347"/>
  <c r="M43"/>
  <c r="M47"/>
  <c r="P47" s="1"/>
  <c r="K47"/>
  <c r="M47" i="348"/>
  <c r="K14" i="347"/>
  <c r="K11"/>
  <c r="M13"/>
  <c r="P13" s="1"/>
  <c r="M45"/>
  <c r="C14" i="338"/>
  <c r="C26"/>
  <c r="C23"/>
  <c r="C19"/>
  <c r="C12"/>
  <c r="C17"/>
  <c r="C20"/>
  <c r="C9"/>
  <c r="C18"/>
  <c r="C10"/>
  <c r="C21"/>
  <c r="C8"/>
  <c r="C11"/>
  <c r="G26"/>
  <c r="G49" s="1"/>
  <c r="F49" s="1"/>
  <c r="H26"/>
  <c r="O46" i="337"/>
  <c r="I46"/>
  <c r="R46"/>
  <c r="F46"/>
  <c r="F12" s="1"/>
  <c r="A55" i="345"/>
  <c r="H41" i="338"/>
  <c r="E41"/>
  <c r="A65" i="345"/>
  <c r="N23" i="338"/>
  <c r="G11"/>
  <c r="G34" s="1"/>
  <c r="F34" s="1"/>
  <c r="Q11"/>
  <c r="A17" i="345"/>
  <c r="N12" i="338"/>
  <c r="Q12"/>
  <c r="A23" i="345"/>
  <c r="G17" i="338"/>
  <c r="G40" s="1"/>
  <c r="F40" s="1"/>
  <c r="K40" s="1"/>
  <c r="A20" i="345"/>
  <c r="H12" i="338"/>
  <c r="A10" i="345"/>
  <c r="A27"/>
  <c r="N8" i="338"/>
  <c r="Q23"/>
  <c r="L14" i="337"/>
  <c r="H31"/>
  <c r="H65" s="1"/>
  <c r="G65" s="1"/>
  <c r="K13" i="347"/>
  <c r="M11"/>
  <c r="M14"/>
  <c r="K45"/>
  <c r="H32" i="337"/>
  <c r="H66" s="1"/>
  <c r="G66" s="1"/>
  <c r="L66" s="1"/>
  <c r="H29" i="347"/>
  <c r="H29" i="348"/>
  <c r="M50"/>
  <c r="M64"/>
  <c r="H34" i="347"/>
  <c r="M28"/>
  <c r="P28" s="1"/>
  <c r="K28"/>
  <c r="M11" i="348"/>
  <c r="H17"/>
  <c r="K11"/>
  <c r="H68" i="347"/>
  <c r="M62"/>
  <c r="M45" i="348"/>
  <c r="H51"/>
  <c r="K45"/>
  <c r="M13"/>
  <c r="P13" s="1"/>
  <c r="H19"/>
  <c r="K13"/>
  <c r="M16"/>
  <c r="P16" s="1"/>
  <c r="K16"/>
  <c r="M66"/>
  <c r="M18"/>
  <c r="P18" s="1"/>
  <c r="K18"/>
  <c r="M59"/>
  <c r="H65"/>
  <c r="M64" i="347"/>
  <c r="M43" i="348"/>
  <c r="H49"/>
  <c r="K43"/>
  <c r="H32"/>
  <c r="M26"/>
  <c r="P26" s="1"/>
  <c r="K26"/>
  <c r="H67" i="347"/>
  <c r="M61"/>
  <c r="H52" i="348"/>
  <c r="M46"/>
  <c r="K46"/>
  <c r="H30"/>
  <c r="H30" i="347"/>
  <c r="M66"/>
  <c r="M31"/>
  <c r="P31" s="1"/>
  <c r="K31"/>
  <c r="H34" i="348"/>
  <c r="M28"/>
  <c r="P28" s="1"/>
  <c r="K28"/>
  <c r="H68"/>
  <c r="M62"/>
  <c r="H65" i="347"/>
  <c r="M59"/>
  <c r="M31" i="348"/>
  <c r="P31" s="1"/>
  <c r="K31"/>
  <c r="H32" i="347"/>
  <c r="M26"/>
  <c r="P26" s="1"/>
  <c r="K26"/>
  <c r="H27"/>
  <c r="H27" i="348"/>
  <c r="M61"/>
  <c r="H67"/>
  <c r="H20"/>
  <c r="M14"/>
  <c r="K14"/>
  <c r="P49" i="347"/>
  <c r="K49"/>
  <c r="P45"/>
  <c r="P51"/>
  <c r="K51"/>
  <c r="P52"/>
  <c r="K52"/>
  <c r="M17"/>
  <c r="P17" s="1"/>
  <c r="K17"/>
  <c r="M19"/>
  <c r="P19" s="1"/>
  <c r="K19"/>
  <c r="M20"/>
  <c r="P20" s="1"/>
  <c r="K20"/>
  <c r="P10"/>
  <c r="F9" i="345"/>
  <c r="T9" s="1"/>
  <c r="F21"/>
  <c r="H21" s="1"/>
  <c r="F30"/>
  <c r="T30" s="1"/>
  <c r="I33" i="337"/>
  <c r="G12" i="338"/>
  <c r="G35" s="1"/>
  <c r="F35" s="1"/>
  <c r="G46"/>
  <c r="F46" s="1"/>
  <c r="K46" s="1"/>
  <c r="H23"/>
  <c r="Q8"/>
  <c r="I30" i="337"/>
  <c r="H33"/>
  <c r="H67" s="1"/>
  <c r="G67" s="1"/>
  <c r="F24" i="345"/>
  <c r="H24" s="1"/>
  <c r="F10"/>
  <c r="H10" s="1"/>
  <c r="F19"/>
  <c r="L19" s="1"/>
  <c r="F20"/>
  <c r="H20" s="1"/>
  <c r="F18"/>
  <c r="H18" s="1"/>
  <c r="F31"/>
  <c r="H31" s="1"/>
  <c r="A25"/>
  <c r="Q21" i="338"/>
  <c r="H19"/>
  <c r="N20"/>
  <c r="A8" i="345"/>
  <c r="N21" i="338"/>
  <c r="H24" i="337"/>
  <c r="H58" s="1"/>
  <c r="G58" s="1"/>
  <c r="I32"/>
  <c r="I24"/>
  <c r="H30"/>
  <c r="H64" s="1"/>
  <c r="G64" s="1"/>
  <c r="F32" i="345"/>
  <c r="T32" s="1"/>
  <c r="I31" i="337"/>
  <c r="H11"/>
  <c r="H45" s="1"/>
  <c r="G45" s="1"/>
  <c r="I11"/>
  <c r="H13"/>
  <c r="H47" s="1"/>
  <c r="G47" s="1"/>
  <c r="I13"/>
  <c r="F30" i="344"/>
  <c r="H30" s="1"/>
  <c r="I29" i="337"/>
  <c r="H29"/>
  <c r="H63" s="1"/>
  <c r="G63" s="1"/>
  <c r="I21"/>
  <c r="H21"/>
  <c r="H55" s="1"/>
  <c r="G55" s="1"/>
  <c r="H22"/>
  <c r="H56" s="1"/>
  <c r="G56" s="1"/>
  <c r="L22"/>
  <c r="I22"/>
  <c r="I25"/>
  <c r="H25"/>
  <c r="H59" s="1"/>
  <c r="G59" s="1"/>
  <c r="H10" i="338"/>
  <c r="H20"/>
  <c r="G10"/>
  <c r="G33" s="1"/>
  <c r="F33" s="1"/>
  <c r="K33" s="1"/>
  <c r="G21"/>
  <c r="G44" s="1"/>
  <c r="F44" s="1"/>
  <c r="K44" s="1"/>
  <c r="A30" i="345"/>
  <c r="H11" i="338"/>
  <c r="G19"/>
  <c r="G42" s="1"/>
  <c r="F42" s="1"/>
  <c r="Q20"/>
  <c r="G20"/>
  <c r="G43" s="1"/>
  <c r="F43" s="1"/>
  <c r="K43" s="1"/>
  <c r="F15" i="345"/>
  <c r="H15" s="1"/>
  <c r="F29" i="344"/>
  <c r="H29" s="1"/>
  <c r="F16" i="345"/>
  <c r="L16" s="1"/>
  <c r="F34"/>
  <c r="T34" s="1"/>
  <c r="F26"/>
  <c r="H26" s="1"/>
  <c r="C13"/>
  <c r="C12" i="344"/>
  <c r="C10"/>
  <c r="F23" i="345"/>
  <c r="F27"/>
  <c r="F8"/>
  <c r="F17"/>
  <c r="H17" s="1"/>
  <c r="F28"/>
  <c r="H28" s="1"/>
  <c r="F25"/>
  <c r="H25" s="1"/>
  <c r="F29"/>
  <c r="L29" s="1"/>
  <c r="C30" i="344"/>
  <c r="C17"/>
  <c r="C21"/>
  <c r="C26"/>
  <c r="F10"/>
  <c r="H10" s="1"/>
  <c r="F12"/>
  <c r="A15" i="338" s="1"/>
  <c r="F28" i="344"/>
  <c r="A20" i="338" s="1"/>
  <c r="C11" i="345"/>
  <c r="F33"/>
  <c r="T33" s="1"/>
  <c r="P73"/>
  <c r="H73"/>
  <c r="G73"/>
  <c r="L73"/>
  <c r="T73"/>
  <c r="E73"/>
  <c r="E23" s="1"/>
  <c r="F35"/>
  <c r="F7"/>
  <c r="F6"/>
  <c r="C20"/>
  <c r="C18"/>
  <c r="C21"/>
  <c r="C30"/>
  <c r="C33"/>
  <c r="C27" i="344"/>
  <c r="C13"/>
  <c r="C5"/>
  <c r="D3" s="1"/>
  <c r="C6"/>
  <c r="C34"/>
  <c r="C31"/>
  <c r="E71"/>
  <c r="T71"/>
  <c r="H71"/>
  <c r="G71"/>
  <c r="P71"/>
  <c r="L71"/>
  <c r="G32" i="340"/>
  <c r="H32" s="1"/>
  <c r="G9"/>
  <c r="H9" s="1"/>
  <c r="F75"/>
  <c r="G7"/>
  <c r="G6"/>
  <c r="U75"/>
  <c r="G10"/>
  <c r="Q75"/>
  <c r="G31"/>
  <c r="G34"/>
  <c r="G11"/>
  <c r="G8"/>
  <c r="G5"/>
  <c r="I75"/>
  <c r="G29"/>
  <c r="G12"/>
  <c r="H75"/>
  <c r="M75"/>
  <c r="G33"/>
  <c r="G30"/>
  <c r="G25"/>
  <c r="G14"/>
  <c r="G13"/>
  <c r="G22"/>
  <c r="G21"/>
  <c r="G26"/>
  <c r="G19"/>
  <c r="G28"/>
  <c r="G15"/>
  <c r="G17"/>
  <c r="G27"/>
  <c r="G24"/>
  <c r="G16"/>
  <c r="G23"/>
  <c r="D12"/>
  <c r="D30"/>
  <c r="D10"/>
  <c r="D31"/>
  <c r="D5"/>
  <c r="E3" s="1"/>
  <c r="D11"/>
  <c r="D7"/>
  <c r="D32"/>
  <c r="D29"/>
  <c r="D34"/>
  <c r="D33"/>
  <c r="D6"/>
  <c r="D8"/>
  <c r="D9"/>
  <c r="D28"/>
  <c r="D15"/>
  <c r="D13"/>
  <c r="D24"/>
  <c r="D16"/>
  <c r="D26"/>
  <c r="D23"/>
  <c r="D25"/>
  <c r="D14"/>
  <c r="D17"/>
  <c r="D22"/>
  <c r="D27"/>
  <c r="D21"/>
  <c r="D19"/>
  <c r="C16" i="345"/>
  <c r="C27"/>
  <c r="C8"/>
  <c r="C28" i="344"/>
  <c r="C17" i="345"/>
  <c r="C28"/>
  <c r="C24"/>
  <c r="C18" i="344"/>
  <c r="C7"/>
  <c r="C25"/>
  <c r="C14"/>
  <c r="C9"/>
  <c r="C24"/>
  <c r="C14" i="345"/>
  <c r="C35"/>
  <c r="C6"/>
  <c r="D4" s="1"/>
  <c r="C7"/>
  <c r="C19"/>
  <c r="C31"/>
  <c r="C32"/>
  <c r="E72" i="344"/>
  <c r="E29" s="1"/>
  <c r="T72"/>
  <c r="P72"/>
  <c r="H72"/>
  <c r="L72"/>
  <c r="G72"/>
  <c r="F27"/>
  <c r="F13"/>
  <c r="F31"/>
  <c r="F22"/>
  <c r="F21"/>
  <c r="F25"/>
  <c r="F26"/>
  <c r="F15"/>
  <c r="T15" s="1"/>
  <c r="F11"/>
  <c r="T11" s="1"/>
  <c r="F18"/>
  <c r="L18" s="1"/>
  <c r="F24"/>
  <c r="F14"/>
  <c r="P14" s="1"/>
  <c r="F17"/>
  <c r="T17" s="1"/>
  <c r="F16"/>
  <c r="T16" s="1"/>
  <c r="F34"/>
  <c r="F23"/>
  <c r="F19"/>
  <c r="F9"/>
  <c r="P9" s="1"/>
  <c r="C29"/>
  <c r="C23" i="345"/>
  <c r="C34"/>
  <c r="C15"/>
  <c r="C26"/>
  <c r="C9"/>
  <c r="C25"/>
  <c r="C29"/>
  <c r="C10"/>
  <c r="C22" i="344"/>
  <c r="C11"/>
  <c r="C19"/>
  <c r="C15"/>
  <c r="C16"/>
  <c r="C23"/>
  <c r="A16" i="345"/>
  <c r="E45"/>
  <c r="F11"/>
  <c r="T45"/>
  <c r="H45"/>
  <c r="A11"/>
  <c r="N13" i="338"/>
  <c r="G13"/>
  <c r="G36" s="1"/>
  <c r="F36" s="1"/>
  <c r="H13"/>
  <c r="A12" i="345"/>
  <c r="H14" i="338"/>
  <c r="G14"/>
  <c r="G37" s="1"/>
  <c r="F37" s="1"/>
  <c r="N14"/>
  <c r="A18" i="345"/>
  <c r="H12"/>
  <c r="T12"/>
  <c r="A19"/>
  <c r="A15"/>
  <c r="G16" i="338"/>
  <c r="G39" s="1"/>
  <c r="F39" s="1"/>
  <c r="K39" s="1"/>
  <c r="H16"/>
  <c r="N16"/>
  <c r="E47" i="345"/>
  <c r="T47"/>
  <c r="H47"/>
  <c r="F13"/>
  <c r="Q15" i="338"/>
  <c r="H8" i="337"/>
  <c r="H42" s="1"/>
  <c r="G42" s="1"/>
  <c r="I8"/>
  <c r="I9"/>
  <c r="H9"/>
  <c r="H43" s="1"/>
  <c r="H46" i="344"/>
  <c r="P46"/>
  <c r="T46"/>
  <c r="P44"/>
  <c r="T44"/>
  <c r="H44"/>
  <c r="BP7" i="342"/>
  <c r="BO10"/>
  <c r="BP10" s="1"/>
  <c r="BP8"/>
  <c r="BO11"/>
  <c r="BP11" s="1"/>
  <c r="CE37"/>
  <c r="CE32"/>
  <c r="CE44" s="1"/>
  <c r="CE33"/>
  <c r="CE45" s="1"/>
  <c r="CE28"/>
  <c r="CE40" s="1"/>
  <c r="CE27"/>
  <c r="CE39" s="1"/>
  <c r="CE26"/>
  <c r="CE38" s="1"/>
  <c r="AB8"/>
  <c r="AA11"/>
  <c r="AB11" s="1"/>
  <c r="BJ118"/>
  <c r="BJ126"/>
  <c r="BJ133"/>
  <c r="BJ119"/>
  <c r="BJ127"/>
  <c r="BJ134"/>
  <c r="BJ120"/>
  <c r="BJ128"/>
  <c r="BJ113"/>
  <c r="BJ121"/>
  <c r="BJ129"/>
  <c r="BJ114"/>
  <c r="BJ122"/>
  <c r="BJ130"/>
  <c r="BJ115"/>
  <c r="BJ123"/>
  <c r="BJ131"/>
  <c r="BJ116"/>
  <c r="BJ124"/>
  <c r="BJ132"/>
  <c r="BJ117"/>
  <c r="BJ125"/>
  <c r="BJ112"/>
  <c r="BX11"/>
  <c r="BY8"/>
  <c r="BY11" s="1"/>
  <c r="CF21"/>
  <c r="CF14"/>
  <c r="CF15"/>
  <c r="CF16"/>
  <c r="CF20" s="1"/>
  <c r="BX10"/>
  <c r="BY7"/>
  <c r="BY10" s="1"/>
  <c r="CF37"/>
  <c r="CF33"/>
  <c r="CF45" s="1"/>
  <c r="CF27"/>
  <c r="CF39" s="1"/>
  <c r="CF26"/>
  <c r="CF38" s="1"/>
  <c r="CF28"/>
  <c r="CF40" s="1"/>
  <c r="CF32"/>
  <c r="CF44" s="1"/>
  <c r="CE21"/>
  <c r="CE16"/>
  <c r="CE20" s="1"/>
  <c r="CE14"/>
  <c r="CE15"/>
  <c r="BF120"/>
  <c r="BF128"/>
  <c r="BF113"/>
  <c r="BF121"/>
  <c r="BF129"/>
  <c r="BF114"/>
  <c r="BF122"/>
  <c r="BF130"/>
  <c r="BF115"/>
  <c r="BF123"/>
  <c r="BF131"/>
  <c r="BF116"/>
  <c r="BF124"/>
  <c r="BF132"/>
  <c r="BF117"/>
  <c r="BF125"/>
  <c r="BF133"/>
  <c r="BF118"/>
  <c r="BF126"/>
  <c r="BF112"/>
  <c r="BF119"/>
  <c r="BF127"/>
  <c r="CA7"/>
  <c r="CA10" s="1"/>
  <c r="BZ10"/>
  <c r="BR8"/>
  <c r="BR11" s="1"/>
  <c r="BQ11"/>
  <c r="AT112"/>
  <c r="AT127"/>
  <c r="AT114"/>
  <c r="AT121"/>
  <c r="AT129"/>
  <c r="AT115"/>
  <c r="AT122"/>
  <c r="AT130"/>
  <c r="AT116"/>
  <c r="AT123"/>
  <c r="AT131"/>
  <c r="AT117"/>
  <c r="AT124"/>
  <c r="AT132"/>
  <c r="AT118"/>
  <c r="AT119"/>
  <c r="AT120"/>
  <c r="AT125"/>
  <c r="AT126"/>
  <c r="AT128"/>
  <c r="AT133"/>
  <c r="AT113"/>
  <c r="AT134"/>
  <c r="Y11"/>
  <c r="Z11"/>
  <c r="I55" i="341"/>
  <c r="I71"/>
  <c r="I65"/>
  <c r="I54"/>
  <c r="I57"/>
  <c r="I73"/>
  <c r="I60"/>
  <c r="I56"/>
  <c r="I59"/>
  <c r="I75"/>
  <c r="I58"/>
  <c r="I61"/>
  <c r="I66"/>
  <c r="I68"/>
  <c r="I62"/>
  <c r="I70"/>
  <c r="I64"/>
  <c r="I67"/>
  <c r="I72"/>
  <c r="I63"/>
  <c r="I53"/>
  <c r="I69"/>
  <c r="I74"/>
  <c r="BZ11" i="342"/>
  <c r="CA8"/>
  <c r="CA11" s="1"/>
  <c r="BG122"/>
  <c r="BG117"/>
  <c r="BG123"/>
  <c r="BG124"/>
  <c r="BG121"/>
  <c r="BG127"/>
  <c r="BG126"/>
  <c r="BG125"/>
  <c r="BG131"/>
  <c r="BG128"/>
  <c r="BG129"/>
  <c r="BG114"/>
  <c r="BG130"/>
  <c r="BG133"/>
  <c r="BG116"/>
  <c r="BG132"/>
  <c r="BG112"/>
  <c r="BG118"/>
  <c r="BG134"/>
  <c r="BG115"/>
  <c r="BG120"/>
  <c r="BG113"/>
  <c r="BG119"/>
  <c r="I31" i="341"/>
  <c r="I34"/>
  <c r="I51"/>
  <c r="I33"/>
  <c r="I36"/>
  <c r="I40"/>
  <c r="I35"/>
  <c r="I38"/>
  <c r="I42"/>
  <c r="I46"/>
  <c r="I37"/>
  <c r="I41"/>
  <c r="I44"/>
  <c r="I39"/>
  <c r="I45"/>
  <c r="I30"/>
  <c r="I47"/>
  <c r="I50"/>
  <c r="I43"/>
  <c r="I28"/>
  <c r="I29"/>
  <c r="I32"/>
  <c r="I49"/>
  <c r="I48"/>
  <c r="BR7" i="342"/>
  <c r="BR10" s="1"/>
  <c r="BQ10"/>
  <c r="DH208" i="295"/>
  <c r="DE209"/>
  <c r="DI212"/>
  <c r="O137" i="341"/>
  <c r="F68" i="194"/>
  <c r="F69" s="1"/>
  <c r="D68"/>
  <c r="D69" s="1"/>
  <c r="DE212" i="295"/>
  <c r="E68" i="194"/>
  <c r="E69" s="1"/>
  <c r="AU131" i="342" l="1"/>
  <c r="H35" i="337"/>
  <c r="H69" s="1"/>
  <c r="G69" s="1"/>
  <c r="O69" s="1"/>
  <c r="DP108" i="343"/>
  <c r="DP112"/>
  <c r="DP116"/>
  <c r="DP107"/>
  <c r="DP111"/>
  <c r="DP115"/>
  <c r="DP117" s="1"/>
  <c r="DP110"/>
  <c r="DP114"/>
  <c r="DP109"/>
  <c r="DP113"/>
  <c r="DP120"/>
  <c r="DP119"/>
  <c r="AU125" i="342"/>
  <c r="AU124"/>
  <c r="AU116"/>
  <c r="AU118"/>
  <c r="AU123"/>
  <c r="AU128"/>
  <c r="AU112"/>
  <c r="AU114"/>
  <c r="AU115"/>
  <c r="AU127"/>
  <c r="H9" i="345"/>
  <c r="M74" i="340"/>
  <c r="U74"/>
  <c r="H19" i="345"/>
  <c r="E18" i="338"/>
  <c r="I74" i="340"/>
  <c r="Q74"/>
  <c r="H74"/>
  <c r="K50" i="347"/>
  <c r="K48"/>
  <c r="O12" i="341"/>
  <c r="O23" s="1"/>
  <c r="O10"/>
  <c r="O76" s="1"/>
  <c r="O79" s="1"/>
  <c r="O9"/>
  <c r="O8"/>
  <c r="O11"/>
  <c r="O27" s="1"/>
  <c r="T31" i="345"/>
  <c r="AU133" i="342"/>
  <c r="AU129"/>
  <c r="AU126"/>
  <c r="AU134"/>
  <c r="AU119"/>
  <c r="AU130"/>
  <c r="H32" i="345"/>
  <c r="AU120" i="342"/>
  <c r="AU117"/>
  <c r="AU113"/>
  <c r="AU121"/>
  <c r="AU132"/>
  <c r="P45" i="348"/>
  <c r="CI15" i="342"/>
  <c r="CI27" s="1"/>
  <c r="CI39" s="1"/>
  <c r="CI25"/>
  <c r="CI37" s="1"/>
  <c r="CI14"/>
  <c r="CI26" s="1"/>
  <c r="CI38" s="1"/>
  <c r="H32" i="338"/>
  <c r="CI60" i="342"/>
  <c r="CI72" s="1"/>
  <c r="CI52"/>
  <c r="CI64" s="1"/>
  <c r="CI76" s="1"/>
  <c r="O46" i="348"/>
  <c r="J62"/>
  <c r="O62" s="1"/>
  <c r="O47"/>
  <c r="J48"/>
  <c r="J63"/>
  <c r="O63" s="1"/>
  <c r="J49"/>
  <c r="P47"/>
  <c r="E32" i="338"/>
  <c r="E9" s="1"/>
  <c r="Q32"/>
  <c r="N32"/>
  <c r="A41" i="345"/>
  <c r="T18"/>
  <c r="T16"/>
  <c r="L15"/>
  <c r="L21"/>
  <c r="A26" i="337"/>
  <c r="H30" i="345"/>
  <c r="H33"/>
  <c r="P29" i="344"/>
  <c r="E11" i="345"/>
  <c r="T17"/>
  <c r="E25"/>
  <c r="K70" i="338"/>
  <c r="H70"/>
  <c r="N70"/>
  <c r="E70"/>
  <c r="Q70"/>
  <c r="G70"/>
  <c r="E27" i="345"/>
  <c r="A21" i="338"/>
  <c r="A27" i="337"/>
  <c r="K49" i="338"/>
  <c r="H49"/>
  <c r="Q49"/>
  <c r="N49"/>
  <c r="E49"/>
  <c r="E26" s="1"/>
  <c r="G50" i="337"/>
  <c r="T10" i="345"/>
  <c r="A49"/>
  <c r="N39" i="338"/>
  <c r="Q39"/>
  <c r="E39"/>
  <c r="E16" s="1"/>
  <c r="H39"/>
  <c r="A53" i="345"/>
  <c r="A52"/>
  <c r="A50"/>
  <c r="Q42" i="338"/>
  <c r="E42"/>
  <c r="E19" s="1"/>
  <c r="A62" i="345"/>
  <c r="H42" i="338"/>
  <c r="Q33"/>
  <c r="E33"/>
  <c r="E10" s="1"/>
  <c r="A42" i="345"/>
  <c r="H33" i="338"/>
  <c r="A51" i="345"/>
  <c r="A44"/>
  <c r="E35" i="338"/>
  <c r="E12" s="1"/>
  <c r="H35"/>
  <c r="N35"/>
  <c r="Q35"/>
  <c r="E40"/>
  <c r="E17" s="1"/>
  <c r="A54" i="345"/>
  <c r="H40" i="338"/>
  <c r="N37"/>
  <c r="E37"/>
  <c r="E14" s="1"/>
  <c r="A46" i="345"/>
  <c r="Q37" i="338"/>
  <c r="H37"/>
  <c r="N36"/>
  <c r="Q36"/>
  <c r="A45" i="345"/>
  <c r="E36" i="338"/>
  <c r="E13" s="1"/>
  <c r="H36"/>
  <c r="Q44"/>
  <c r="N44"/>
  <c r="H44"/>
  <c r="A64" i="345"/>
  <c r="E44" i="338"/>
  <c r="E21" s="1"/>
  <c r="E46"/>
  <c r="E23" s="1"/>
  <c r="N46"/>
  <c r="A66" i="345"/>
  <c r="Q46" i="338"/>
  <c r="H46"/>
  <c r="Q34"/>
  <c r="A43" i="345"/>
  <c r="E34" i="338"/>
  <c r="E11" s="1"/>
  <c r="H34"/>
  <c r="N43"/>
  <c r="E43"/>
  <c r="E20" s="1"/>
  <c r="H43"/>
  <c r="A63" i="345"/>
  <c r="Q43" i="338"/>
  <c r="I42" i="337"/>
  <c r="U42"/>
  <c r="F42"/>
  <c r="F8" s="1"/>
  <c r="R42"/>
  <c r="R64"/>
  <c r="I64"/>
  <c r="F64"/>
  <c r="F30" s="1"/>
  <c r="R65"/>
  <c r="O65"/>
  <c r="F65"/>
  <c r="F31" s="1"/>
  <c r="I65"/>
  <c r="F55"/>
  <c r="F21" s="1"/>
  <c r="I55"/>
  <c r="R67"/>
  <c r="I67"/>
  <c r="F67"/>
  <c r="F33" s="1"/>
  <c r="F63"/>
  <c r="F29" s="1"/>
  <c r="I63"/>
  <c r="F59"/>
  <c r="F25" s="1"/>
  <c r="O56"/>
  <c r="F56"/>
  <c r="F22" s="1"/>
  <c r="L56"/>
  <c r="R56"/>
  <c r="U56"/>
  <c r="I56"/>
  <c r="I66"/>
  <c r="F66"/>
  <c r="F32" s="1"/>
  <c r="O58"/>
  <c r="L58"/>
  <c r="F58"/>
  <c r="F24" s="1"/>
  <c r="I58"/>
  <c r="L47"/>
  <c r="F47"/>
  <c r="F13" s="1"/>
  <c r="I47"/>
  <c r="U47"/>
  <c r="O45"/>
  <c r="F45"/>
  <c r="F11" s="1"/>
  <c r="I45"/>
  <c r="L45"/>
  <c r="R45"/>
  <c r="U45"/>
  <c r="G43"/>
  <c r="F43" s="1"/>
  <c r="F9" s="1"/>
  <c r="H33" i="347"/>
  <c r="M27"/>
  <c r="P27" s="1"/>
  <c r="K27"/>
  <c r="M65"/>
  <c r="M34" i="348"/>
  <c r="P34" s="1"/>
  <c r="K34"/>
  <c r="H36"/>
  <c r="M30"/>
  <c r="P30" s="1"/>
  <c r="K30"/>
  <c r="M67" i="347"/>
  <c r="M65" i="348"/>
  <c r="M51"/>
  <c r="M68" i="347"/>
  <c r="M17" i="348"/>
  <c r="P17" s="1"/>
  <c r="K17"/>
  <c r="M34" i="347"/>
  <c r="P34" s="1"/>
  <c r="K34"/>
  <c r="H35"/>
  <c r="M29"/>
  <c r="P29" s="1"/>
  <c r="K29"/>
  <c r="M20" i="348"/>
  <c r="P20" s="1"/>
  <c r="K20"/>
  <c r="M67"/>
  <c r="M27"/>
  <c r="P27" s="1"/>
  <c r="H33"/>
  <c r="K27"/>
  <c r="M32" i="347"/>
  <c r="P32" s="1"/>
  <c r="K32"/>
  <c r="M68" i="348"/>
  <c r="H36" i="347"/>
  <c r="M30"/>
  <c r="P30" s="1"/>
  <c r="K30"/>
  <c r="M52" i="348"/>
  <c r="M32"/>
  <c r="P32" s="1"/>
  <c r="K32"/>
  <c r="M49"/>
  <c r="K49"/>
  <c r="M19"/>
  <c r="P19" s="1"/>
  <c r="K19"/>
  <c r="M29"/>
  <c r="P29" s="1"/>
  <c r="H35"/>
  <c r="K29"/>
  <c r="P30" i="344"/>
  <c r="T29"/>
  <c r="A22" i="340"/>
  <c r="G30" i="344"/>
  <c r="T15" i="345"/>
  <c r="J25" i="294"/>
  <c r="H25"/>
  <c r="I25"/>
  <c r="K25"/>
  <c r="T30" i="344"/>
  <c r="A23" i="340"/>
  <c r="EA16" i="295"/>
  <c r="EB16" s="1"/>
  <c r="EI16"/>
  <c r="EJ16" s="1"/>
  <c r="EA17"/>
  <c r="EB17" s="1"/>
  <c r="G24" i="294"/>
  <c r="T9" i="344"/>
  <c r="P11"/>
  <c r="G12"/>
  <c r="H12"/>
  <c r="H27" i="345"/>
  <c r="E31"/>
  <c r="E17"/>
  <c r="T8"/>
  <c r="T29"/>
  <c r="L28"/>
  <c r="A21" i="340"/>
  <c r="H16" i="345"/>
  <c r="E13"/>
  <c r="H23"/>
  <c r="H34"/>
  <c r="E10"/>
  <c r="E28"/>
  <c r="E8"/>
  <c r="A13" i="338"/>
  <c r="L28" i="344"/>
  <c r="G29"/>
  <c r="L16"/>
  <c r="L14"/>
  <c r="P15"/>
  <c r="E32" i="345"/>
  <c r="E21"/>
  <c r="E18"/>
  <c r="E29"/>
  <c r="E9"/>
  <c r="E26"/>
  <c r="E15"/>
  <c r="E34"/>
  <c r="T14" i="344"/>
  <c r="L15"/>
  <c r="G10"/>
  <c r="H8" i="345"/>
  <c r="P29"/>
  <c r="H29"/>
  <c r="T28"/>
  <c r="L17"/>
  <c r="P28" i="344"/>
  <c r="T28"/>
  <c r="A25" i="337"/>
  <c r="H28" i="344"/>
  <c r="G28"/>
  <c r="D38" i="345"/>
  <c r="D74"/>
  <c r="P6" i="341"/>
  <c r="P12" s="1"/>
  <c r="E92" i="340"/>
  <c r="A17" i="338"/>
  <c r="H19" i="344"/>
  <c r="G19"/>
  <c r="G23"/>
  <c r="H23"/>
  <c r="A19" i="337"/>
  <c r="G16" i="344"/>
  <c r="A15" i="340"/>
  <c r="H16" i="344"/>
  <c r="A16" i="338"/>
  <c r="A17" i="337"/>
  <c r="H14" i="344"/>
  <c r="A13" i="340"/>
  <c r="G14" i="344"/>
  <c r="A21" i="337"/>
  <c r="H18" i="344"/>
  <c r="A17" i="340"/>
  <c r="G18" i="344"/>
  <c r="A14" i="340"/>
  <c r="H15" i="344"/>
  <c r="A18" i="337"/>
  <c r="G15" i="344"/>
  <c r="H25"/>
  <c r="G25"/>
  <c r="G22"/>
  <c r="H22"/>
  <c r="A20" i="340"/>
  <c r="H13" i="344"/>
  <c r="A24" i="337"/>
  <c r="G13" i="344"/>
  <c r="P13"/>
  <c r="L13"/>
  <c r="E27"/>
  <c r="E13"/>
  <c r="E21"/>
  <c r="E31"/>
  <c r="E24"/>
  <c r="E9"/>
  <c r="E14"/>
  <c r="E25"/>
  <c r="E18"/>
  <c r="E26"/>
  <c r="E17"/>
  <c r="E23"/>
  <c r="E16"/>
  <c r="E15"/>
  <c r="E19"/>
  <c r="E11"/>
  <c r="E22"/>
  <c r="E34"/>
  <c r="E30"/>
  <c r="E76" i="340"/>
  <c r="E37"/>
  <c r="I16"/>
  <c r="Q16"/>
  <c r="M16"/>
  <c r="W16"/>
  <c r="U16"/>
  <c r="H16"/>
  <c r="H24"/>
  <c r="W24"/>
  <c r="U24"/>
  <c r="Q24"/>
  <c r="I24"/>
  <c r="I17"/>
  <c r="W17"/>
  <c r="Q17"/>
  <c r="H17"/>
  <c r="M17"/>
  <c r="Q28"/>
  <c r="U28"/>
  <c r="M28"/>
  <c r="W28"/>
  <c r="I28"/>
  <c r="H28"/>
  <c r="Q26"/>
  <c r="H26"/>
  <c r="U26"/>
  <c r="W26"/>
  <c r="I26"/>
  <c r="W22"/>
  <c r="U22"/>
  <c r="H22"/>
  <c r="I22"/>
  <c r="Q22"/>
  <c r="H14"/>
  <c r="W14"/>
  <c r="Q14"/>
  <c r="U14"/>
  <c r="I14"/>
  <c r="H30"/>
  <c r="W30"/>
  <c r="I30"/>
  <c r="Q30"/>
  <c r="Q12"/>
  <c r="H12"/>
  <c r="I12"/>
  <c r="U12"/>
  <c r="W12"/>
  <c r="W8"/>
  <c r="Q8"/>
  <c r="I8"/>
  <c r="H8"/>
  <c r="I34"/>
  <c r="M34"/>
  <c r="Q34"/>
  <c r="W34"/>
  <c r="H34"/>
  <c r="W7"/>
  <c r="Q7"/>
  <c r="H7"/>
  <c r="I7"/>
  <c r="W9"/>
  <c r="Q9"/>
  <c r="M9"/>
  <c r="I9"/>
  <c r="T6" i="345"/>
  <c r="H6"/>
  <c r="H35"/>
  <c r="T35"/>
  <c r="P35"/>
  <c r="E12"/>
  <c r="E30"/>
  <c r="E19"/>
  <c r="E10" i="344"/>
  <c r="H9"/>
  <c r="A12" i="338"/>
  <c r="G9" i="344"/>
  <c r="H34"/>
  <c r="P34"/>
  <c r="G34"/>
  <c r="A16" i="340"/>
  <c r="G17" i="344"/>
  <c r="A20" i="337"/>
  <c r="H17" i="344"/>
  <c r="G24"/>
  <c r="H24"/>
  <c r="A14" i="338"/>
  <c r="G11" i="344"/>
  <c r="H11"/>
  <c r="G26"/>
  <c r="H26"/>
  <c r="H21"/>
  <c r="G21"/>
  <c r="A28" i="337"/>
  <c r="T31" i="344"/>
  <c r="A23" i="338"/>
  <c r="A24" i="340"/>
  <c r="P31" i="344"/>
  <c r="G31"/>
  <c r="H31"/>
  <c r="G27"/>
  <c r="T27"/>
  <c r="A19" i="340"/>
  <c r="L27" i="344"/>
  <c r="A19" i="338"/>
  <c r="A23" i="337"/>
  <c r="H27" i="344"/>
  <c r="Q23" i="340"/>
  <c r="I23"/>
  <c r="U23"/>
  <c r="W23"/>
  <c r="H23"/>
  <c r="Q27"/>
  <c r="W27"/>
  <c r="H27"/>
  <c r="M27"/>
  <c r="I27"/>
  <c r="W15"/>
  <c r="Q15"/>
  <c r="M15"/>
  <c r="U15"/>
  <c r="I15"/>
  <c r="H15"/>
  <c r="I19"/>
  <c r="M19"/>
  <c r="Q19"/>
  <c r="U19"/>
  <c r="H19"/>
  <c r="W19"/>
  <c r="U21"/>
  <c r="W21"/>
  <c r="I21"/>
  <c r="Q21"/>
  <c r="M21"/>
  <c r="H21"/>
  <c r="M13"/>
  <c r="I13"/>
  <c r="Q13"/>
  <c r="U13"/>
  <c r="W13"/>
  <c r="H13"/>
  <c r="Q25"/>
  <c r="I25"/>
  <c r="U25"/>
  <c r="H25"/>
  <c r="W25"/>
  <c r="I33"/>
  <c r="Q33"/>
  <c r="H33"/>
  <c r="W33"/>
  <c r="M33"/>
  <c r="W29"/>
  <c r="H29"/>
  <c r="Q29"/>
  <c r="M29"/>
  <c r="I29"/>
  <c r="W5"/>
  <c r="I5"/>
  <c r="H5"/>
  <c r="Q5"/>
  <c r="U5"/>
  <c r="W11"/>
  <c r="Q11"/>
  <c r="I11"/>
  <c r="H11"/>
  <c r="W31"/>
  <c r="Q31"/>
  <c r="I31"/>
  <c r="H31"/>
  <c r="Q10"/>
  <c r="I10"/>
  <c r="W10"/>
  <c r="H10"/>
  <c r="W6"/>
  <c r="Q6"/>
  <c r="H6"/>
  <c r="I6"/>
  <c r="F11"/>
  <c r="F32"/>
  <c r="F6"/>
  <c r="F10"/>
  <c r="F12"/>
  <c r="F34"/>
  <c r="F8"/>
  <c r="F7"/>
  <c r="F33"/>
  <c r="F5"/>
  <c r="F31"/>
  <c r="F30"/>
  <c r="F9"/>
  <c r="F29"/>
  <c r="F16"/>
  <c r="F27"/>
  <c r="F13"/>
  <c r="F25"/>
  <c r="F19"/>
  <c r="F21"/>
  <c r="F17"/>
  <c r="F28"/>
  <c r="F24"/>
  <c r="F22"/>
  <c r="F14"/>
  <c r="F23"/>
  <c r="F26"/>
  <c r="F15"/>
  <c r="W32"/>
  <c r="Q32"/>
  <c r="I32"/>
  <c r="D73" i="344"/>
  <c r="D37"/>
  <c r="H7" i="345"/>
  <c r="T7"/>
  <c r="E14"/>
  <c r="E35"/>
  <c r="E6"/>
  <c r="E7"/>
  <c r="E33"/>
  <c r="E20"/>
  <c r="E24"/>
  <c r="E28" i="344"/>
  <c r="E16" i="345"/>
  <c r="E12" i="344"/>
  <c r="A13" i="345"/>
  <c r="G15" i="338"/>
  <c r="G38" s="1"/>
  <c r="F38" s="1"/>
  <c r="N15"/>
  <c r="H15"/>
  <c r="T13" i="345"/>
  <c r="H13"/>
  <c r="T11"/>
  <c r="H11"/>
  <c r="E5" i="337"/>
  <c r="E39" s="1"/>
  <c r="P12" i="344"/>
  <c r="T12"/>
  <c r="T10"/>
  <c r="P10"/>
  <c r="O139" i="341"/>
  <c r="O138"/>
  <c r="O140"/>
  <c r="O146"/>
  <c r="O142"/>
  <c r="O145"/>
  <c r="O143"/>
  <c r="O147"/>
  <c r="O144"/>
  <c r="O148"/>
  <c r="O141"/>
  <c r="DI209" i="295"/>
  <c r="R137" i="341"/>
  <c r="DG212" i="295"/>
  <c r="DE210"/>
  <c r="O149" i="341"/>
  <c r="DF212" i="295"/>
  <c r="DH212"/>
  <c r="F69" i="337" l="1"/>
  <c r="F35" s="1"/>
  <c r="O80" i="341"/>
  <c r="O19"/>
  <c r="O21"/>
  <c r="O15"/>
  <c r="O20"/>
  <c r="O22"/>
  <c r="O13"/>
  <c r="O16"/>
  <c r="O17"/>
  <c r="O25"/>
  <c r="O26"/>
  <c r="O78"/>
  <c r="O77"/>
  <c r="O81"/>
  <c r="O24"/>
  <c r="O18"/>
  <c r="O14"/>
  <c r="O52"/>
  <c r="O71" s="1"/>
  <c r="P7"/>
  <c r="P9"/>
  <c r="P8"/>
  <c r="J64" i="348"/>
  <c r="O64" s="1"/>
  <c r="O48"/>
  <c r="P48" s="1"/>
  <c r="K48"/>
  <c r="J65"/>
  <c r="O65" s="1"/>
  <c r="J50"/>
  <c r="J51"/>
  <c r="O49"/>
  <c r="P49" s="1"/>
  <c r="O50" i="337"/>
  <c r="U50"/>
  <c r="R50"/>
  <c r="F50"/>
  <c r="F16" s="1"/>
  <c r="I50"/>
  <c r="A47" i="345"/>
  <c r="N38" i="338"/>
  <c r="Q38"/>
  <c r="E38"/>
  <c r="E15" s="1"/>
  <c r="H38"/>
  <c r="M36" i="348"/>
  <c r="P36" s="1"/>
  <c r="K36"/>
  <c r="M35"/>
  <c r="P35" s="1"/>
  <c r="K35"/>
  <c r="M36" i="347"/>
  <c r="P36" s="1"/>
  <c r="K36"/>
  <c r="M33" i="348"/>
  <c r="P33" s="1"/>
  <c r="K33"/>
  <c r="M35" i="347"/>
  <c r="P35" s="1"/>
  <c r="K35"/>
  <c r="M33"/>
  <c r="P33" s="1"/>
  <c r="K33"/>
  <c r="P10" i="341"/>
  <c r="P76" s="1"/>
  <c r="P79" s="1"/>
  <c r="P11"/>
  <c r="P52" s="1"/>
  <c r="G92" i="340"/>
  <c r="D92"/>
  <c r="E77" i="337"/>
  <c r="O151" i="341"/>
  <c r="O150"/>
  <c r="P26"/>
  <c r="P13"/>
  <c r="P17"/>
  <c r="P19"/>
  <c r="P20"/>
  <c r="P24"/>
  <c r="P14"/>
  <c r="P21"/>
  <c r="P18"/>
  <c r="P15"/>
  <c r="P23"/>
  <c r="P16"/>
  <c r="P25"/>
  <c r="P22"/>
  <c r="O30"/>
  <c r="O35"/>
  <c r="O50"/>
  <c r="O49"/>
  <c r="O32"/>
  <c r="O37"/>
  <c r="O41"/>
  <c r="O44"/>
  <c r="O34"/>
  <c r="O39"/>
  <c r="O43"/>
  <c r="O36"/>
  <c r="O40"/>
  <c r="O45"/>
  <c r="O42"/>
  <c r="O29"/>
  <c r="O31"/>
  <c r="O46"/>
  <c r="O51"/>
  <c r="O38"/>
  <c r="O28"/>
  <c r="O33"/>
  <c r="O48"/>
  <c r="O47"/>
  <c r="R139"/>
  <c r="R148"/>
  <c r="R147"/>
  <c r="R138"/>
  <c r="R142"/>
  <c r="R144"/>
  <c r="R145"/>
  <c r="R146"/>
  <c r="R141"/>
  <c r="R143"/>
  <c r="R140"/>
  <c r="DH209" i="295"/>
  <c r="F71" i="194"/>
  <c r="DJ212" i="295"/>
  <c r="DF209"/>
  <c r="DE211"/>
  <c r="DI210"/>
  <c r="R149" i="341"/>
  <c r="DG209" i="295"/>
  <c r="E71" i="194"/>
  <c r="O61" i="341" l="1"/>
  <c r="O64"/>
  <c r="O74"/>
  <c r="O57"/>
  <c r="O66"/>
  <c r="O75"/>
  <c r="O59"/>
  <c r="O60"/>
  <c r="O58"/>
  <c r="O72"/>
  <c r="O70"/>
  <c r="O67"/>
  <c r="O55"/>
  <c r="O53"/>
  <c r="O56"/>
  <c r="O69"/>
  <c r="O62"/>
  <c r="O63"/>
  <c r="P77"/>
  <c r="P27"/>
  <c r="P29" s="1"/>
  <c r="O68"/>
  <c r="O54"/>
  <c r="O73"/>
  <c r="O65"/>
  <c r="J66" i="348"/>
  <c r="O66" s="1"/>
  <c r="O50"/>
  <c r="P50" s="1"/>
  <c r="K50"/>
  <c r="O51"/>
  <c r="P51" s="1"/>
  <c r="J67"/>
  <c r="O67" s="1"/>
  <c r="J52"/>
  <c r="K51"/>
  <c r="P80" i="341"/>
  <c r="P78"/>
  <c r="P81"/>
  <c r="P137"/>
  <c r="P146" s="1"/>
  <c r="D89" i="344"/>
  <c r="U92" i="340"/>
  <c r="F92"/>
  <c r="I92"/>
  <c r="P53" i="341"/>
  <c r="P69"/>
  <c r="P74"/>
  <c r="P55"/>
  <c r="P71"/>
  <c r="P54"/>
  <c r="P57"/>
  <c r="P73"/>
  <c r="P66"/>
  <c r="P68"/>
  <c r="P56"/>
  <c r="P59"/>
  <c r="P75"/>
  <c r="P62"/>
  <c r="P65"/>
  <c r="P70"/>
  <c r="P61"/>
  <c r="P60"/>
  <c r="P64"/>
  <c r="P67"/>
  <c r="P72"/>
  <c r="P58"/>
  <c r="P63"/>
  <c r="R150"/>
  <c r="R151"/>
  <c r="DG210" i="295"/>
  <c r="DJ209"/>
  <c r="DM209"/>
  <c r="DI211"/>
  <c r="DF210"/>
  <c r="DH210"/>
  <c r="P41" i="341" l="1"/>
  <c r="P33"/>
  <c r="P31"/>
  <c r="P140"/>
  <c r="P46"/>
  <c r="P44"/>
  <c r="P38"/>
  <c r="P30"/>
  <c r="P40"/>
  <c r="P43"/>
  <c r="P39"/>
  <c r="P48"/>
  <c r="P42"/>
  <c r="P49"/>
  <c r="P50"/>
  <c r="P28"/>
  <c r="P35"/>
  <c r="P51"/>
  <c r="P47"/>
  <c r="P45"/>
  <c r="P37"/>
  <c r="P36"/>
  <c r="P34"/>
  <c r="P32"/>
  <c r="O52" i="348"/>
  <c r="P52" s="1"/>
  <c r="J68"/>
  <c r="O68" s="1"/>
  <c r="K52"/>
  <c r="M13" i="194"/>
  <c r="DO14" i="295"/>
  <c r="DN14"/>
  <c r="P141" i="341"/>
  <c r="P144"/>
  <c r="P139"/>
  <c r="P142"/>
  <c r="P138"/>
  <c r="P149"/>
  <c r="P150" s="1"/>
  <c r="D88" i="338"/>
  <c r="P148" i="341"/>
  <c r="P145"/>
  <c r="P147"/>
  <c r="P143"/>
  <c r="F89" i="344"/>
  <c r="C89"/>
  <c r="DJ210" i="295"/>
  <c r="DH211"/>
  <c r="DN209"/>
  <c r="DG211"/>
  <c r="DM210"/>
  <c r="DF211"/>
  <c r="DO209"/>
  <c r="P151" i="341" l="1"/>
  <c r="A93" i="337"/>
  <c r="T89" i="344"/>
  <c r="A88" i="338"/>
  <c r="P89" i="344"/>
  <c r="H89"/>
  <c r="A92" i="340"/>
  <c r="E89" i="344"/>
  <c r="F88" i="338"/>
  <c r="C88"/>
  <c r="DO210" i="295"/>
  <c r="DJ211"/>
  <c r="DN210"/>
  <c r="DM211"/>
  <c r="M14" i="194" l="1"/>
  <c r="DO16" i="295"/>
  <c r="L14" i="194"/>
  <c r="DN16" i="295"/>
  <c r="A90" i="345"/>
  <c r="H88" i="338"/>
  <c r="Q88"/>
  <c r="N88"/>
  <c r="E88"/>
  <c r="DN211" i="295"/>
  <c r="DO211"/>
  <c r="C9" i="297" l="1"/>
  <c r="C10" s="1"/>
  <c r="C8"/>
  <c r="I12" i="190" l="1"/>
  <c r="G16" i="191"/>
  <c r="G17" s="1"/>
  <c r="H16" l="1"/>
  <c r="H17" s="1"/>
  <c r="J16"/>
  <c r="J17" s="1"/>
  <c r="L16"/>
  <c r="L17" s="1"/>
  <c r="G19"/>
  <c r="G20" s="1"/>
  <c r="K16"/>
  <c r="K17" s="1"/>
  <c r="J12" i="190"/>
  <c r="L19" i="191" l="1"/>
  <c r="L20" s="1"/>
  <c r="H19"/>
  <c r="H20" s="1"/>
  <c r="K19"/>
  <c r="K20" s="1"/>
  <c r="N16"/>
  <c r="N17" s="1"/>
  <c r="J19"/>
  <c r="J20" s="1"/>
  <c r="M16"/>
  <c r="M17" s="1"/>
  <c r="N19" l="1"/>
  <c r="N20" s="1"/>
  <c r="M19"/>
  <c r="M20" s="1"/>
  <c r="EE33" i="295" l="1"/>
  <c r="EF33" s="1"/>
  <c r="DX33" l="1"/>
  <c r="DX35" s="1"/>
  <c r="DX15" s="1"/>
  <c r="EE132"/>
  <c r="E54" i="337"/>
  <c r="DX17" i="295"/>
  <c r="DX212"/>
  <c r="DX175" l="1"/>
  <c r="EF132"/>
  <c r="E20" i="337"/>
  <c r="D54"/>
  <c r="D20" s="1"/>
  <c r="AV158" i="343"/>
  <c r="AV162" s="1"/>
  <c r="BO158"/>
  <c r="BO164" s="1"/>
  <c r="BP158"/>
  <c r="BP163" s="1"/>
  <c r="E52" i="337"/>
  <c r="BM158" i="343"/>
  <c r="BM162" s="1"/>
  <c r="BK158"/>
  <c r="BK163" s="1"/>
  <c r="BL158"/>
  <c r="BL160" s="1"/>
  <c r="AW158"/>
  <c r="AW166" s="1"/>
  <c r="BN158"/>
  <c r="BN160" s="1"/>
  <c r="DX13" i="295" l="1"/>
  <c r="K10" i="197"/>
  <c r="E18" i="337"/>
  <c r="D52"/>
  <c r="D18" s="1"/>
  <c r="AV159" i="343"/>
  <c r="AV161"/>
  <c r="AV160"/>
  <c r="AV163"/>
  <c r="AV168"/>
  <c r="AV166"/>
  <c r="AV164"/>
  <c r="AV169"/>
  <c r="AV167"/>
  <c r="AV165"/>
  <c r="BP168"/>
  <c r="BM163"/>
  <c r="BM164"/>
  <c r="BP169"/>
  <c r="BL162"/>
  <c r="BM161"/>
  <c r="BP162"/>
  <c r="BP165"/>
  <c r="BP160"/>
  <c r="BL168"/>
  <c r="BL167"/>
  <c r="BL163"/>
  <c r="BM169"/>
  <c r="BL164"/>
  <c r="BM165"/>
  <c r="BP159"/>
  <c r="BM168"/>
  <c r="BM167"/>
  <c r="BM166"/>
  <c r="BM160"/>
  <c r="BM159"/>
  <c r="BP161"/>
  <c r="BP167"/>
  <c r="BP166"/>
  <c r="BP164"/>
  <c r="BL161"/>
  <c r="BL166"/>
  <c r="BL169"/>
  <c r="BL165"/>
  <c r="BL159"/>
  <c r="AW159"/>
  <c r="BJ158"/>
  <c r="BJ160" s="1"/>
  <c r="AW161"/>
  <c r="BK168"/>
  <c r="BN165"/>
  <c r="BO169"/>
  <c r="AW162"/>
  <c r="BK161"/>
  <c r="BK164"/>
  <c r="BN167"/>
  <c r="BO165"/>
  <c r="BK160"/>
  <c r="BK167"/>
  <c r="BK159"/>
  <c r="BN162"/>
  <c r="BN164"/>
  <c r="BN163"/>
  <c r="BO160"/>
  <c r="BO166"/>
  <c r="BO163"/>
  <c r="AW164"/>
  <c r="AW167"/>
  <c r="AW160"/>
  <c r="AX158"/>
  <c r="AX161" s="1"/>
  <c r="BK162"/>
  <c r="BK166"/>
  <c r="BK169"/>
  <c r="BK165"/>
  <c r="BN161"/>
  <c r="BN169"/>
  <c r="BN166"/>
  <c r="BN168"/>
  <c r="BN159"/>
  <c r="BO162"/>
  <c r="BO161"/>
  <c r="BO167"/>
  <c r="BO168"/>
  <c r="BO159"/>
  <c r="AW163"/>
  <c r="AW169"/>
  <c r="AW165"/>
  <c r="AW168"/>
  <c r="DX16" i="295" l="1"/>
  <c r="K12" i="197"/>
  <c r="DX178" i="295"/>
  <c r="BJ163" i="343"/>
  <c r="BQ158"/>
  <c r="BQ161" s="1"/>
  <c r="AX167"/>
  <c r="E54" i="340"/>
  <c r="D54" s="1"/>
  <c r="D20" s="1"/>
  <c r="R18" i="337"/>
  <c r="U18"/>
  <c r="O18"/>
  <c r="BJ162" i="343"/>
  <c r="BJ169"/>
  <c r="BJ166"/>
  <c r="BJ165"/>
  <c r="AX166"/>
  <c r="AX164"/>
  <c r="AX162"/>
  <c r="AX169"/>
  <c r="AX165"/>
  <c r="H20" i="337"/>
  <c r="H54" s="1"/>
  <c r="G54" s="1"/>
  <c r="I20"/>
  <c r="BJ161" i="343"/>
  <c r="BJ164"/>
  <c r="BJ168"/>
  <c r="BJ167"/>
  <c r="BJ159"/>
  <c r="AX168"/>
  <c r="AX160"/>
  <c r="AX159"/>
  <c r="AX163"/>
  <c r="AY158"/>
  <c r="AY163" s="1"/>
  <c r="E68" i="337"/>
  <c r="BS4" i="343"/>
  <c r="BR4"/>
  <c r="BQ160" l="1"/>
  <c r="BQ166"/>
  <c r="BQ159"/>
  <c r="BQ167"/>
  <c r="BQ164"/>
  <c r="BQ163"/>
  <c r="BQ162"/>
  <c r="BQ169"/>
  <c r="BQ168"/>
  <c r="BQ165"/>
  <c r="G54" i="340"/>
  <c r="Q54" s="1"/>
  <c r="E55"/>
  <c r="D55" s="1"/>
  <c r="G8" i="350"/>
  <c r="G9" s="1"/>
  <c r="E51" i="337"/>
  <c r="E48"/>
  <c r="D48" s="1"/>
  <c r="D14" s="1"/>
  <c r="E20" i="340"/>
  <c r="E49" i="337"/>
  <c r="D49" s="1"/>
  <c r="D15" s="1"/>
  <c r="H8" i="350"/>
  <c r="H9" s="1"/>
  <c r="O20" i="337"/>
  <c r="O54"/>
  <c r="F54"/>
  <c r="F20" s="1"/>
  <c r="I54"/>
  <c r="E34"/>
  <c r="D68"/>
  <c r="D34" s="1"/>
  <c r="I18"/>
  <c r="H18"/>
  <c r="BR158" i="343"/>
  <c r="BR165" s="1"/>
  <c r="AY166"/>
  <c r="AY162"/>
  <c r="AY161"/>
  <c r="AY169"/>
  <c r="AY164"/>
  <c r="AY160"/>
  <c r="AZ158"/>
  <c r="AZ159" s="1"/>
  <c r="AY159"/>
  <c r="AY167"/>
  <c r="AY168"/>
  <c r="AY165"/>
  <c r="BS158"/>
  <c r="BS164" s="1"/>
  <c r="BR50"/>
  <c r="BR10"/>
  <c r="BR74"/>
  <c r="BR8"/>
  <c r="BR7"/>
  <c r="BR5"/>
  <c r="BR6"/>
  <c r="BR25"/>
  <c r="BR9"/>
  <c r="BT4"/>
  <c r="BU4"/>
  <c r="BS50"/>
  <c r="BS7"/>
  <c r="BS74"/>
  <c r="BS5"/>
  <c r="BS6"/>
  <c r="BS8"/>
  <c r="BS25"/>
  <c r="BS9"/>
  <c r="BS10"/>
  <c r="I54" i="340" l="1"/>
  <c r="G20"/>
  <c r="U20" s="1"/>
  <c r="M54"/>
  <c r="F54"/>
  <c r="F20" s="1"/>
  <c r="U54"/>
  <c r="E14" i="337"/>
  <c r="H14" s="1"/>
  <c r="H48" s="1"/>
  <c r="G48" s="1"/>
  <c r="G55" i="340"/>
  <c r="I55" s="1"/>
  <c r="E17" i="337"/>
  <c r="D51"/>
  <c r="D17" s="1"/>
  <c r="E15"/>
  <c r="H52"/>
  <c r="G52" s="1"/>
  <c r="U52" s="1"/>
  <c r="H51"/>
  <c r="G51" s="1"/>
  <c r="BS163" i="343"/>
  <c r="CA158"/>
  <c r="CA169" s="1"/>
  <c r="BS168"/>
  <c r="BS162"/>
  <c r="BS165"/>
  <c r="BS169"/>
  <c r="BS166"/>
  <c r="BR160"/>
  <c r="BR164"/>
  <c r="BR161"/>
  <c r="H19" i="337"/>
  <c r="H53" s="1"/>
  <c r="G53" s="1"/>
  <c r="I19"/>
  <c r="BR167" i="343"/>
  <c r="BR162"/>
  <c r="BR163"/>
  <c r="BR166"/>
  <c r="BR169"/>
  <c r="BR159"/>
  <c r="BR168"/>
  <c r="AZ167"/>
  <c r="AZ161"/>
  <c r="AZ162"/>
  <c r="AZ168"/>
  <c r="AZ160"/>
  <c r="AZ164"/>
  <c r="AZ169"/>
  <c r="AZ166"/>
  <c r="AZ165"/>
  <c r="AZ163"/>
  <c r="BS159"/>
  <c r="BS167"/>
  <c r="BS161"/>
  <c r="BS160"/>
  <c r="CB158"/>
  <c r="CB167" s="1"/>
  <c r="BS78"/>
  <c r="BS77"/>
  <c r="BS76"/>
  <c r="BS75"/>
  <c r="BS79"/>
  <c r="BS56"/>
  <c r="BS67"/>
  <c r="BS62"/>
  <c r="BS58"/>
  <c r="BS55"/>
  <c r="BS52"/>
  <c r="BS54"/>
  <c r="BS71"/>
  <c r="BS69"/>
  <c r="BS57"/>
  <c r="BS61"/>
  <c r="BS59"/>
  <c r="BS73"/>
  <c r="BS64"/>
  <c r="BS66"/>
  <c r="BS72"/>
  <c r="BS60"/>
  <c r="BS68"/>
  <c r="BS51"/>
  <c r="BS70"/>
  <c r="BS53"/>
  <c r="BS65"/>
  <c r="BS63"/>
  <c r="BR76"/>
  <c r="BR78"/>
  <c r="BR75"/>
  <c r="BR79"/>
  <c r="BR77"/>
  <c r="BS21"/>
  <c r="BS18"/>
  <c r="BS24"/>
  <c r="BS12"/>
  <c r="BS13"/>
  <c r="BS22"/>
  <c r="BS16"/>
  <c r="BS15"/>
  <c r="BS20"/>
  <c r="BS19"/>
  <c r="BS23"/>
  <c r="BS14"/>
  <c r="BS17"/>
  <c r="BS11"/>
  <c r="BS29"/>
  <c r="BS47"/>
  <c r="BS38"/>
  <c r="BS45"/>
  <c r="BS31"/>
  <c r="BS48"/>
  <c r="BS42"/>
  <c r="BS43"/>
  <c r="BS33"/>
  <c r="BS39"/>
  <c r="BS44"/>
  <c r="BS35"/>
  <c r="BS26"/>
  <c r="BS40"/>
  <c r="BS34"/>
  <c r="BS27"/>
  <c r="BS36"/>
  <c r="BS37"/>
  <c r="BS28"/>
  <c r="BS49"/>
  <c r="BS32"/>
  <c r="BS41"/>
  <c r="BS30"/>
  <c r="BS46"/>
  <c r="CA167"/>
  <c r="BU50"/>
  <c r="BU74"/>
  <c r="BU9"/>
  <c r="BU25"/>
  <c r="BU6"/>
  <c r="BU10"/>
  <c r="BU5"/>
  <c r="BU7"/>
  <c r="BU8"/>
  <c r="BR11"/>
  <c r="BR24"/>
  <c r="BR13"/>
  <c r="BR15"/>
  <c r="BR14"/>
  <c r="BR12"/>
  <c r="BR19"/>
  <c r="BR21"/>
  <c r="BR23"/>
  <c r="BR18"/>
  <c r="BR16"/>
  <c r="BR17"/>
  <c r="BR20"/>
  <c r="BR22"/>
  <c r="BR35"/>
  <c r="BR26"/>
  <c r="BR36"/>
  <c r="BR33"/>
  <c r="BR37"/>
  <c r="BR30"/>
  <c r="BR40"/>
  <c r="BR47"/>
  <c r="BR32"/>
  <c r="BR39"/>
  <c r="BR34"/>
  <c r="BR44"/>
  <c r="BR31"/>
  <c r="BR41"/>
  <c r="BR38"/>
  <c r="BR48"/>
  <c r="BR49"/>
  <c r="BR27"/>
  <c r="BR43"/>
  <c r="BR42"/>
  <c r="BR29"/>
  <c r="BR45"/>
  <c r="BR46"/>
  <c r="BR28"/>
  <c r="CC158"/>
  <c r="CD158"/>
  <c r="BT7"/>
  <c r="BT8"/>
  <c r="BT6"/>
  <c r="BT25"/>
  <c r="BT10"/>
  <c r="BT9"/>
  <c r="BT5"/>
  <c r="BT50"/>
  <c r="BT74"/>
  <c r="BR51"/>
  <c r="BR71"/>
  <c r="BR61"/>
  <c r="BR70"/>
  <c r="BR54"/>
  <c r="BR64"/>
  <c r="BR69"/>
  <c r="BR57"/>
  <c r="BR56"/>
  <c r="BR58"/>
  <c r="BR68"/>
  <c r="BR66"/>
  <c r="BR55"/>
  <c r="BR72"/>
  <c r="BR53"/>
  <c r="BR67"/>
  <c r="BR59"/>
  <c r="BR52"/>
  <c r="BR60"/>
  <c r="BR62"/>
  <c r="BR65"/>
  <c r="BR73"/>
  <c r="BR63"/>
  <c r="Q20" i="340" l="1"/>
  <c r="I52" i="337"/>
  <c r="I20" i="340"/>
  <c r="M20"/>
  <c r="F55"/>
  <c r="W20"/>
  <c r="H20"/>
  <c r="I14" i="337"/>
  <c r="CA166" i="343"/>
  <c r="CA159"/>
  <c r="CA165"/>
  <c r="CA163"/>
  <c r="CA161"/>
  <c r="CA164"/>
  <c r="CA160"/>
  <c r="CA162"/>
  <c r="CA168"/>
  <c r="R52" i="337"/>
  <c r="O52"/>
  <c r="I17"/>
  <c r="H17"/>
  <c r="F52"/>
  <c r="F18" s="1"/>
  <c r="O51"/>
  <c r="F51"/>
  <c r="F17" s="1"/>
  <c r="U51"/>
  <c r="I48"/>
  <c r="R48"/>
  <c r="O48"/>
  <c r="L48"/>
  <c r="F48"/>
  <c r="F14" s="1"/>
  <c r="O19"/>
  <c r="O53"/>
  <c r="F53"/>
  <c r="F19" s="1"/>
  <c r="H34"/>
  <c r="H68" s="1"/>
  <c r="G68" s="1"/>
  <c r="I34"/>
  <c r="H15"/>
  <c r="H49" s="1"/>
  <c r="G49" s="1"/>
  <c r="I15"/>
  <c r="CB159" i="343"/>
  <c r="CB168"/>
  <c r="CB160"/>
  <c r="CB164"/>
  <c r="CB166"/>
  <c r="CB162"/>
  <c r="CB161"/>
  <c r="CB165"/>
  <c r="CB163"/>
  <c r="CB169"/>
  <c r="BT21"/>
  <c r="BT19"/>
  <c r="BT23"/>
  <c r="BT17"/>
  <c r="BT15"/>
  <c r="BT24"/>
  <c r="BT18"/>
  <c r="BT11"/>
  <c r="BT20"/>
  <c r="BT13"/>
  <c r="BT12"/>
  <c r="BT14"/>
  <c r="BT16"/>
  <c r="BT22"/>
  <c r="BU11"/>
  <c r="BU24"/>
  <c r="BU21"/>
  <c r="BU19"/>
  <c r="BU13"/>
  <c r="BU18"/>
  <c r="BU14"/>
  <c r="BU20"/>
  <c r="BU15"/>
  <c r="BU12"/>
  <c r="BU23"/>
  <c r="BU16"/>
  <c r="BU22"/>
  <c r="BU17"/>
  <c r="BT30"/>
  <c r="BT43"/>
  <c r="BT38"/>
  <c r="BT47"/>
  <c r="BT32"/>
  <c r="BT45"/>
  <c r="BT42"/>
  <c r="BT39"/>
  <c r="BT48"/>
  <c r="BT26"/>
  <c r="BT46"/>
  <c r="BT34"/>
  <c r="BT33"/>
  <c r="BT28"/>
  <c r="BT49"/>
  <c r="BT31"/>
  <c r="BT27"/>
  <c r="BT41"/>
  <c r="BT35"/>
  <c r="BT40"/>
  <c r="BT37"/>
  <c r="BT29"/>
  <c r="BT36"/>
  <c r="BT44"/>
  <c r="BT77"/>
  <c r="BT75"/>
  <c r="BT76"/>
  <c r="BT78"/>
  <c r="BT79"/>
  <c r="BU75"/>
  <c r="BU79"/>
  <c r="BU78"/>
  <c r="BU77"/>
  <c r="BU76"/>
  <c r="BT53"/>
  <c r="BT73"/>
  <c r="BT60"/>
  <c r="BT68"/>
  <c r="BT54"/>
  <c r="BT69"/>
  <c r="BT57"/>
  <c r="BT64"/>
  <c r="BT67"/>
  <c r="BT65"/>
  <c r="BT51"/>
  <c r="BT61"/>
  <c r="BT55"/>
  <c r="BT72"/>
  <c r="BT70"/>
  <c r="BT56"/>
  <c r="BT52"/>
  <c r="BT59"/>
  <c r="BT58"/>
  <c r="BT62"/>
  <c r="BT71"/>
  <c r="BT63"/>
  <c r="BT66"/>
  <c r="CD164"/>
  <c r="CD168"/>
  <c r="CD166"/>
  <c r="CD163"/>
  <c r="CD161"/>
  <c r="CD160"/>
  <c r="CD159"/>
  <c r="CD162"/>
  <c r="CD165"/>
  <c r="CD169"/>
  <c r="CD167"/>
  <c r="BU66"/>
  <c r="BU64"/>
  <c r="BU63"/>
  <c r="BU61"/>
  <c r="BU62"/>
  <c r="BU70"/>
  <c r="BU72"/>
  <c r="BU51"/>
  <c r="BU59"/>
  <c r="BU67"/>
  <c r="BU55"/>
  <c r="BU65"/>
  <c r="BU54"/>
  <c r="BU56"/>
  <c r="BU60"/>
  <c r="BU53"/>
  <c r="BU69"/>
  <c r="BU68"/>
  <c r="BU57"/>
  <c r="BU73"/>
  <c r="BU71"/>
  <c r="BU52"/>
  <c r="BU58"/>
  <c r="BU31"/>
  <c r="BU47"/>
  <c r="BU48"/>
  <c r="BU40"/>
  <c r="BU44"/>
  <c r="BU28"/>
  <c r="BU33"/>
  <c r="BU49"/>
  <c r="BU27"/>
  <c r="BU29"/>
  <c r="BU32"/>
  <c r="BU35"/>
  <c r="BU26"/>
  <c r="BU36"/>
  <c r="BU37"/>
  <c r="BU30"/>
  <c r="BU45"/>
  <c r="BU42"/>
  <c r="BU39"/>
  <c r="BU34"/>
  <c r="BU46"/>
  <c r="BU41"/>
  <c r="BU38"/>
  <c r="BU43"/>
  <c r="CC166"/>
  <c r="CC167"/>
  <c r="CC163"/>
  <c r="CC169"/>
  <c r="CC159"/>
  <c r="CC168"/>
  <c r="CC160"/>
  <c r="CC164"/>
  <c r="CC161"/>
  <c r="CC162"/>
  <c r="CC165"/>
  <c r="O15" i="337" l="1"/>
  <c r="O49"/>
  <c r="I49"/>
  <c r="F49"/>
  <c r="F15" s="1"/>
  <c r="I68"/>
  <c r="F68"/>
  <c r="F34" s="1"/>
  <c r="DT177" i="295"/>
  <c r="DT210" l="1"/>
  <c r="EA34"/>
  <c r="EB34" l="1"/>
  <c r="EB133" s="1"/>
  <c r="EA133"/>
  <c r="DT176"/>
  <c r="C11" i="197"/>
  <c r="D47" i="338"/>
  <c r="DT14" i="295"/>
  <c r="E10" i="197"/>
  <c r="G20" i="317"/>
  <c r="H20" s="1"/>
  <c r="H21" s="1"/>
  <c r="DT209" i="295"/>
  <c r="E11" i="197" l="1"/>
  <c r="D11"/>
  <c r="C47" i="338"/>
  <c r="C24" s="1"/>
  <c r="D24"/>
  <c r="L14" i="347"/>
  <c r="L46" s="1"/>
  <c r="P46" s="1"/>
  <c r="L14" i="348"/>
  <c r="K15" i="294"/>
  <c r="DN80" i="343"/>
  <c r="D66" i="344"/>
  <c r="C66" s="1"/>
  <c r="C32" s="1"/>
  <c r="D48" i="338"/>
  <c r="D25" s="1"/>
  <c r="G21" i="317"/>
  <c r="G17" i="192"/>
  <c r="G18" s="1"/>
  <c r="P14" i="347" l="1"/>
  <c r="L46" i="348"/>
  <c r="P46" s="1"/>
  <c r="P14"/>
  <c r="Q24" i="338"/>
  <c r="DN92" i="343"/>
  <c r="DN94" s="1"/>
  <c r="DM80"/>
  <c r="DM106" s="1"/>
  <c r="F66" i="344"/>
  <c r="A47" i="338" s="1"/>
  <c r="DM92" i="343"/>
  <c r="DM118" s="1"/>
  <c r="D32" i="344"/>
  <c r="D67"/>
  <c r="C67" s="1"/>
  <c r="C33" s="1"/>
  <c r="C48" i="338"/>
  <c r="C25" s="1"/>
  <c r="DN106" i="343"/>
  <c r="DN82"/>
  <c r="DN90"/>
  <c r="DN85"/>
  <c r="DN88"/>
  <c r="DN87"/>
  <c r="DN91"/>
  <c r="DN84"/>
  <c r="DN83"/>
  <c r="DN86"/>
  <c r="DN89"/>
  <c r="DN81"/>
  <c r="I17" i="192"/>
  <c r="I18" s="1"/>
  <c r="H17"/>
  <c r="H18" s="1"/>
  <c r="A61" i="340" l="1"/>
  <c r="DM81" i="343"/>
  <c r="DM84"/>
  <c r="DM83"/>
  <c r="DM86"/>
  <c r="DM82"/>
  <c r="DM85"/>
  <c r="E66" i="344"/>
  <c r="E32" s="1"/>
  <c r="DN93" i="343"/>
  <c r="DN118"/>
  <c r="DN119" s="1"/>
  <c r="DM94"/>
  <c r="H24" i="338"/>
  <c r="N25"/>
  <c r="A33" i="345"/>
  <c r="DM89" i="343"/>
  <c r="DM87"/>
  <c r="DM90"/>
  <c r="DM91"/>
  <c r="DM88"/>
  <c r="H66" i="344"/>
  <c r="G24" i="338"/>
  <c r="G47" s="1"/>
  <c r="F47" s="1"/>
  <c r="K47" s="1"/>
  <c r="DM93" i="343"/>
  <c r="K17" i="192"/>
  <c r="K18" s="1"/>
  <c r="F32" i="344"/>
  <c r="T32" s="1"/>
  <c r="T66"/>
  <c r="DO80" i="343"/>
  <c r="DO106" s="1"/>
  <c r="F67" i="344"/>
  <c r="A62" i="340" s="1"/>
  <c r="DO92" i="343"/>
  <c r="DO94" s="1"/>
  <c r="D33" i="344"/>
  <c r="DM108" i="343"/>
  <c r="DM110"/>
  <c r="DM112"/>
  <c r="DM114"/>
  <c r="DM116"/>
  <c r="DM111"/>
  <c r="DM107"/>
  <c r="DM115"/>
  <c r="DM117" s="1"/>
  <c r="DM113"/>
  <c r="DM109"/>
  <c r="DM120"/>
  <c r="DM119"/>
  <c r="DN107"/>
  <c r="DN108"/>
  <c r="DN109"/>
  <c r="DN110"/>
  <c r="DN111"/>
  <c r="DN112"/>
  <c r="DN113"/>
  <c r="DN114"/>
  <c r="DN115"/>
  <c r="DN117" s="1"/>
  <c r="DN116"/>
  <c r="J17" i="192"/>
  <c r="J18" s="1"/>
  <c r="Q47" i="338" l="1"/>
  <c r="E47"/>
  <c r="E24" s="1"/>
  <c r="H47"/>
  <c r="A67" i="345"/>
  <c r="A34"/>
  <c r="DN120" i="343"/>
  <c r="A24" i="338"/>
  <c r="H25"/>
  <c r="G25"/>
  <c r="G48" s="1"/>
  <c r="F48" s="1"/>
  <c r="Q25"/>
  <c r="DO118" i="343"/>
  <c r="DO120" s="1"/>
  <c r="H32" i="344"/>
  <c r="G32"/>
  <c r="H67"/>
  <c r="A25" i="340"/>
  <c r="A29" i="337"/>
  <c r="DS80" i="343"/>
  <c r="DS92"/>
  <c r="DO84"/>
  <c r="DO83"/>
  <c r="DO87"/>
  <c r="DO89"/>
  <c r="DO91"/>
  <c r="DO90"/>
  <c r="DO93"/>
  <c r="DO86"/>
  <c r="DO81"/>
  <c r="DO88"/>
  <c r="DO85"/>
  <c r="DO82"/>
  <c r="F33" i="344"/>
  <c r="H33" s="1"/>
  <c r="T67"/>
  <c r="P67"/>
  <c r="E67"/>
  <c r="E33" s="1"/>
  <c r="A48" i="338"/>
  <c r="DO107" i="343"/>
  <c r="DO108"/>
  <c r="DO109"/>
  <c r="DO110"/>
  <c r="DO111"/>
  <c r="DO112"/>
  <c r="DO113"/>
  <c r="DO114"/>
  <c r="DO115"/>
  <c r="DO117" s="1"/>
  <c r="DO116"/>
  <c r="N48" i="338" l="1"/>
  <c r="E48"/>
  <c r="E25" s="1"/>
  <c r="A68" i="345"/>
  <c r="H48" i="338"/>
  <c r="Q48"/>
  <c r="DO119" i="343"/>
  <c r="G33" i="344"/>
  <c r="A26" i="340"/>
  <c r="T33" i="344"/>
  <c r="DS93" i="343"/>
  <c r="DS118"/>
  <c r="DS94"/>
  <c r="DS83"/>
  <c r="DS106"/>
  <c r="DS81"/>
  <c r="DS84"/>
  <c r="DS91"/>
  <c r="DS88"/>
  <c r="DS90"/>
  <c r="DS86"/>
  <c r="DS89"/>
  <c r="DS82"/>
  <c r="DS87"/>
  <c r="DS85"/>
  <c r="A30" i="337"/>
  <c r="P33" i="344"/>
  <c r="A25" i="338"/>
  <c r="EG33" i="295"/>
  <c r="EH33" s="1"/>
  <c r="DY33" s="1"/>
  <c r="EH39" l="1"/>
  <c r="EG132"/>
  <c r="DS109" i="343"/>
  <c r="DS107"/>
  <c r="DS114"/>
  <c r="DS111"/>
  <c r="DS108"/>
  <c r="DS112"/>
  <c r="DS115"/>
  <c r="DS117" s="1"/>
  <c r="DS110"/>
  <c r="DS113"/>
  <c r="DS116"/>
  <c r="V158"/>
  <c r="V160" s="1"/>
  <c r="DS119"/>
  <c r="DS120"/>
  <c r="E62" i="337"/>
  <c r="EH132" i="295" l="1"/>
  <c r="E28" i="337"/>
  <c r="D62"/>
  <c r="D28" s="1"/>
  <c r="V164" i="343"/>
  <c r="V166"/>
  <c r="V162"/>
  <c r="V167"/>
  <c r="V163"/>
  <c r="U158"/>
  <c r="U159" s="1"/>
  <c r="V168"/>
  <c r="V169"/>
  <c r="V165"/>
  <c r="V161"/>
  <c r="V159"/>
  <c r="L10" i="197" l="1"/>
  <c r="DY179" i="295"/>
  <c r="DY35"/>
  <c r="DY37"/>
  <c r="L14" i="197" s="1"/>
  <c r="DY17" i="295"/>
  <c r="DY34"/>
  <c r="L11" i="197" s="1"/>
  <c r="DY212" i="295"/>
  <c r="U165" i="343"/>
  <c r="EZ158"/>
  <c r="EZ160" s="1"/>
  <c r="E70" i="337"/>
  <c r="AH158" i="343"/>
  <c r="AH163" s="1"/>
  <c r="E61" i="337"/>
  <c r="O28"/>
  <c r="U166" i="343"/>
  <c r="H10" i="337"/>
  <c r="H44" s="1"/>
  <c r="G44" s="1"/>
  <c r="I10"/>
  <c r="U163" i="343"/>
  <c r="U167"/>
  <c r="U162"/>
  <c r="U160"/>
  <c r="U168"/>
  <c r="U169"/>
  <c r="U164"/>
  <c r="U161"/>
  <c r="FA158"/>
  <c r="FA167" s="1"/>
  <c r="A70" i="297"/>
  <c r="F75" s="1"/>
  <c r="F71" s="1"/>
  <c r="DY176" i="295" l="1"/>
  <c r="DY211"/>
  <c r="DY15"/>
  <c r="L12" i="197"/>
  <c r="DY209" i="295"/>
  <c r="DY16"/>
  <c r="DY178"/>
  <c r="DY14"/>
  <c r="AH167" i="343"/>
  <c r="DY177" i="295"/>
  <c r="DY210"/>
  <c r="AH168" i="343"/>
  <c r="EZ169"/>
  <c r="EZ168"/>
  <c r="EZ159"/>
  <c r="EZ161"/>
  <c r="EZ166"/>
  <c r="FA164"/>
  <c r="AH166"/>
  <c r="AH165"/>
  <c r="EZ167"/>
  <c r="EZ165"/>
  <c r="EZ162"/>
  <c r="EZ164"/>
  <c r="EZ163"/>
  <c r="AH164"/>
  <c r="AH160"/>
  <c r="AH169"/>
  <c r="AH161"/>
  <c r="AH162"/>
  <c r="AH159"/>
  <c r="E27" i="337"/>
  <c r="D61"/>
  <c r="D27" s="1"/>
  <c r="E36"/>
  <c r="D70"/>
  <c r="D36" s="1"/>
  <c r="O44"/>
  <c r="F44"/>
  <c r="F10" s="1"/>
  <c r="R44"/>
  <c r="U44"/>
  <c r="I44"/>
  <c r="H28"/>
  <c r="H62" s="1"/>
  <c r="G62" s="1"/>
  <c r="I28"/>
  <c r="FA168" i="343"/>
  <c r="FA165"/>
  <c r="FA162"/>
  <c r="FA159"/>
  <c r="FA161"/>
  <c r="FA166"/>
  <c r="FA160"/>
  <c r="FA169"/>
  <c r="FA163"/>
  <c r="H81" i="297"/>
  <c r="G76"/>
  <c r="G78"/>
  <c r="G79"/>
  <c r="G75"/>
  <c r="D8" i="271" s="1"/>
  <c r="G80" i="297"/>
  <c r="H83"/>
  <c r="H79"/>
  <c r="H84"/>
  <c r="H85"/>
  <c r="G85"/>
  <c r="H82"/>
  <c r="H86"/>
  <c r="G82"/>
  <c r="H76"/>
  <c r="G86"/>
  <c r="G81"/>
  <c r="H75"/>
  <c r="G84"/>
  <c r="H78"/>
  <c r="H80"/>
  <c r="G77"/>
  <c r="H77"/>
  <c r="G83"/>
  <c r="I36" i="337" l="1"/>
  <c r="H36"/>
  <c r="H70" s="1"/>
  <c r="G70" s="1"/>
  <c r="F70" s="1"/>
  <c r="F36" s="1"/>
  <c r="I27"/>
  <c r="H27"/>
  <c r="H61" s="1"/>
  <c r="G61" s="1"/>
  <c r="O62"/>
  <c r="I62"/>
  <c r="F62"/>
  <c r="F28" s="1"/>
  <c r="R62"/>
  <c r="I61" l="1"/>
  <c r="R61"/>
  <c r="O61"/>
  <c r="F61"/>
  <c r="F27" s="1"/>
  <c r="BT170" i="343" l="1"/>
  <c r="BU170"/>
  <c r="BT181" l="1"/>
  <c r="BT179"/>
  <c r="BT171"/>
  <c r="BT175"/>
  <c r="BT177"/>
  <c r="BT173"/>
  <c r="BT172"/>
  <c r="BT178"/>
  <c r="BT180"/>
  <c r="BT176"/>
  <c r="BT174"/>
  <c r="BU175"/>
  <c r="BU180"/>
  <c r="BU178"/>
  <c r="BU172"/>
  <c r="BU176"/>
  <c r="BU181"/>
  <c r="BU174"/>
  <c r="BU173"/>
  <c r="BU179"/>
  <c r="BU177"/>
  <c r="BU171"/>
  <c r="L16" i="295" l="1"/>
  <c r="E211"/>
  <c r="K10" i="245" l="1"/>
  <c r="CH17" i="295"/>
  <c r="L211"/>
  <c r="E212"/>
  <c r="H12" i="317"/>
  <c r="G13" i="320"/>
  <c r="G14" s="1"/>
  <c r="M13"/>
  <c r="M14" s="1"/>
  <c r="M13" i="191"/>
  <c r="M14" s="1"/>
  <c r="J8" i="192"/>
  <c r="J9" s="1"/>
  <c r="L13" i="191"/>
  <c r="L14" s="1"/>
  <c r="G8" i="192"/>
  <c r="G9" s="1"/>
  <c r="K8"/>
  <c r="K9" s="1"/>
  <c r="I13" i="320"/>
  <c r="I14" s="1"/>
  <c r="L8" i="192"/>
  <c r="L9" s="1"/>
  <c r="G13" i="191"/>
  <c r="G14" s="1"/>
  <c r="I8" i="192"/>
  <c r="I9" s="1"/>
  <c r="K13" i="320"/>
  <c r="K14" s="1"/>
  <c r="H8" i="192"/>
  <c r="H9" s="1"/>
  <c r="N13" i="191"/>
  <c r="N14" s="1"/>
  <c r="H13"/>
  <c r="H14" s="1"/>
  <c r="J13"/>
  <c r="J14" s="1"/>
  <c r="K13"/>
  <c r="K14" s="1"/>
  <c r="CO16" i="295"/>
  <c r="BZ211"/>
  <c r="BZ210"/>
  <c r="CO13"/>
  <c r="BZ208"/>
  <c r="CD210"/>
  <c r="CH212"/>
  <c r="BZ212"/>
  <c r="BZ158" s="1"/>
  <c r="CA158" s="1"/>
  <c r="BZ176" l="1"/>
  <c r="BZ14"/>
  <c r="D87" i="344"/>
  <c r="BZ209" i="295"/>
  <c r="CO158"/>
  <c r="CK158"/>
  <c r="CK209" s="1"/>
  <c r="CD158"/>
  <c r="CH158"/>
  <c r="CH176" s="1"/>
  <c r="CO17"/>
  <c r="CW17"/>
  <c r="CH18"/>
  <c r="CH19"/>
  <c r="L11" i="347"/>
  <c r="L43" s="1"/>
  <c r="P43" s="1"/>
  <c r="L11" i="348"/>
  <c r="G10" i="245"/>
  <c r="CD17" i="295"/>
  <c r="G8" i="245"/>
  <c r="G9" s="1"/>
  <c r="CD13" i="295"/>
  <c r="J211"/>
  <c r="J16"/>
  <c r="CA16"/>
  <c r="L17"/>
  <c r="J212"/>
  <c r="J17"/>
  <c r="N10" i="245"/>
  <c r="CK17" i="295"/>
  <c r="D8" i="245"/>
  <c r="CA13" i="295"/>
  <c r="K16"/>
  <c r="N12" i="245"/>
  <c r="CK16" i="295"/>
  <c r="G12" i="245"/>
  <c r="CD16" i="295"/>
  <c r="K12" i="245"/>
  <c r="CH16" i="295"/>
  <c r="K17"/>
  <c r="CH14"/>
  <c r="CA17"/>
  <c r="L10" i="245"/>
  <c r="CI17" i="295"/>
  <c r="N8" i="245"/>
  <c r="N9" s="1"/>
  <c r="CK13" i="295"/>
  <c r="K13"/>
  <c r="L13"/>
  <c r="J208"/>
  <c r="J13"/>
  <c r="CH209"/>
  <c r="K11" i="245"/>
  <c r="G12" i="317"/>
  <c r="CA212" i="295"/>
  <c r="CD212"/>
  <c r="CK208"/>
  <c r="CZ13"/>
  <c r="G208"/>
  <c r="G211"/>
  <c r="CD211"/>
  <c r="CS16"/>
  <c r="CH211"/>
  <c r="CW16"/>
  <c r="C31" i="245"/>
  <c r="D88" i="344" s="1"/>
  <c r="CO209" i="295"/>
  <c r="CK212"/>
  <c r="CW212"/>
  <c r="K30" i="245"/>
  <c r="CE210" i="295"/>
  <c r="CA208"/>
  <c r="CP13"/>
  <c r="CO208"/>
  <c r="C28" i="245"/>
  <c r="CA210" i="295"/>
  <c r="D87" i="338"/>
  <c r="CO210" i="295"/>
  <c r="CH210"/>
  <c r="K211"/>
  <c r="K208"/>
  <c r="L208"/>
  <c r="T211"/>
  <c r="I165" s="1"/>
  <c r="F211"/>
  <c r="CA211"/>
  <c r="CP16"/>
  <c r="CO211"/>
  <c r="C32" i="245"/>
  <c r="G212" i="295"/>
  <c r="L212"/>
  <c r="F212"/>
  <c r="CO212"/>
  <c r="C30" i="245"/>
  <c r="E92" i="337" s="1"/>
  <c r="CI212" i="295"/>
  <c r="CS210"/>
  <c r="CD208"/>
  <c r="CS13"/>
  <c r="CK210"/>
  <c r="CK211"/>
  <c r="CZ16"/>
  <c r="T212"/>
  <c r="F165" s="1"/>
  <c r="H10" i="332"/>
  <c r="H11" s="1"/>
  <c r="K212" i="295"/>
  <c r="BZ117" l="1"/>
  <c r="N11" i="245"/>
  <c r="CK176" i="295"/>
  <c r="CK14"/>
  <c r="C87" i="344"/>
  <c r="F87"/>
  <c r="CD176" i="295"/>
  <c r="CD14"/>
  <c r="CA176"/>
  <c r="CA14"/>
  <c r="CA209"/>
  <c r="CO176"/>
  <c r="CO14"/>
  <c r="CB158"/>
  <c r="CP158"/>
  <c r="CW158"/>
  <c r="CW209" s="1"/>
  <c r="CI158"/>
  <c r="CL158"/>
  <c r="CL176" s="1"/>
  <c r="CZ158"/>
  <c r="CZ176" s="1"/>
  <c r="CS158"/>
  <c r="CE158"/>
  <c r="CS17"/>
  <c r="U17"/>
  <c r="H17"/>
  <c r="CP17"/>
  <c r="D89" i="345"/>
  <c r="C89" s="1"/>
  <c r="E91" i="340"/>
  <c r="G91" s="1"/>
  <c r="C29" i="245"/>
  <c r="CI18" i="295"/>
  <c r="CW18"/>
  <c r="CK19"/>
  <c r="CX17"/>
  <c r="CZ17"/>
  <c r="CI19"/>
  <c r="CW19"/>
  <c r="CK18"/>
  <c r="P11" i="347"/>
  <c r="L43" i="348"/>
  <c r="P43" s="1"/>
  <c r="P11"/>
  <c r="L12" i="347"/>
  <c r="L44" s="1"/>
  <c r="P44" s="1"/>
  <c r="L12" i="348"/>
  <c r="BD17" i="295"/>
  <c r="M10" i="245"/>
  <c r="CJ17" i="295"/>
  <c r="U16"/>
  <c r="C13" i="253"/>
  <c r="BH16" i="295"/>
  <c r="H10" i="245"/>
  <c r="CE17" i="295"/>
  <c r="P12" i="194"/>
  <c r="DR17" i="295"/>
  <c r="AN212"/>
  <c r="AN17"/>
  <c r="O12" i="245"/>
  <c r="CL16" i="295"/>
  <c r="H8" i="245"/>
  <c r="H9" s="1"/>
  <c r="CE13" i="295"/>
  <c r="E12" i="245"/>
  <c r="CB16" i="295"/>
  <c r="BD16"/>
  <c r="U15" i="193"/>
  <c r="AR16" i="295"/>
  <c r="AN211"/>
  <c r="AN16"/>
  <c r="O10" i="245"/>
  <c r="CL17" i="295"/>
  <c r="L12" i="245"/>
  <c r="CI16" i="295"/>
  <c r="O8" i="245"/>
  <c r="O9" s="1"/>
  <c r="CL13" i="295"/>
  <c r="CB17"/>
  <c r="O11" i="245"/>
  <c r="CL14" i="295"/>
  <c r="C11" i="253"/>
  <c r="BH17" i="295"/>
  <c r="P14" i="194"/>
  <c r="DR16" i="295"/>
  <c r="E8" i="245"/>
  <c r="CB13" i="295"/>
  <c r="H12" i="245"/>
  <c r="CE16" i="295"/>
  <c r="H16"/>
  <c r="CZ209"/>
  <c r="G92" i="337"/>
  <c r="D92"/>
  <c r="F87" i="338"/>
  <c r="C87"/>
  <c r="F88" i="344"/>
  <c r="C88"/>
  <c r="U13" i="193"/>
  <c r="N31" i="245"/>
  <c r="D84" i="345"/>
  <c r="C84" s="1"/>
  <c r="L14" i="192"/>
  <c r="L15" s="1"/>
  <c r="L20"/>
  <c r="H7" i="332"/>
  <c r="H8" s="1"/>
  <c r="I7"/>
  <c r="I8" s="1"/>
  <c r="J10"/>
  <c r="J11" s="1"/>
  <c r="G10"/>
  <c r="G11" s="1"/>
  <c r="I10"/>
  <c r="I11" s="1"/>
  <c r="G7"/>
  <c r="G8" s="1"/>
  <c r="J7"/>
  <c r="J8" s="1"/>
  <c r="CL209" i="295"/>
  <c r="D13" i="193"/>
  <c r="J7" i="122"/>
  <c r="J8" s="1"/>
  <c r="G8" i="121"/>
  <c r="G9" s="1"/>
  <c r="I8" i="123"/>
  <c r="I9" s="1"/>
  <c r="I7" i="255"/>
  <c r="I8" s="1"/>
  <c r="I8" i="236"/>
  <c r="K7" i="310"/>
  <c r="K8" s="1"/>
  <c r="G8" i="236"/>
  <c r="G9" s="1"/>
  <c r="M7" i="310"/>
  <c r="M8" s="1"/>
  <c r="G8" i="123"/>
  <c r="G9" s="1"/>
  <c r="L7" i="310"/>
  <c r="L8" s="1"/>
  <c r="G7"/>
  <c r="G8" s="1"/>
  <c r="G7" i="255"/>
  <c r="G8" s="1"/>
  <c r="H14" i="192"/>
  <c r="H15" s="1"/>
  <c r="H7" i="310"/>
  <c r="H8" s="1"/>
  <c r="H8" i="137"/>
  <c r="H9" s="1"/>
  <c r="I7" i="310"/>
  <c r="I8" s="1"/>
  <c r="J7"/>
  <c r="J8" s="1"/>
  <c r="G8" i="249"/>
  <c r="G9" s="1"/>
  <c r="G14" i="192"/>
  <c r="G15" s="1"/>
  <c r="G8" i="137"/>
  <c r="G9" s="1"/>
  <c r="CS208" i="295"/>
  <c r="G28" i="245"/>
  <c r="G29" s="1"/>
  <c r="L30"/>
  <c r="CX212" i="295"/>
  <c r="CB211"/>
  <c r="CQ16"/>
  <c r="AR211"/>
  <c r="AX16"/>
  <c r="H20" i="192"/>
  <c r="G10" i="235"/>
  <c r="G20" i="192"/>
  <c r="M22" i="191"/>
  <c r="M23" s="1"/>
  <c r="K22"/>
  <c r="K23" s="1"/>
  <c r="H22"/>
  <c r="H23" s="1"/>
  <c r="K20" i="192"/>
  <c r="I20"/>
  <c r="G30" i="317"/>
  <c r="CW210" i="295"/>
  <c r="CP210"/>
  <c r="CP208"/>
  <c r="D28" i="245"/>
  <c r="D29" s="1"/>
  <c r="CT210" i="295"/>
  <c r="CZ212"/>
  <c r="N30" i="245"/>
  <c r="G32"/>
  <c r="CS211" i="295"/>
  <c r="H211"/>
  <c r="N28" i="245"/>
  <c r="N29" s="1"/>
  <c r="CZ208" i="295"/>
  <c r="CE212"/>
  <c r="CB212"/>
  <c r="U212"/>
  <c r="BD212"/>
  <c r="BH212"/>
  <c r="I7" i="122"/>
  <c r="I8" s="1"/>
  <c r="H14" i="121"/>
  <c r="H15" s="1"/>
  <c r="G11" i="125"/>
  <c r="G12" s="1"/>
  <c r="H7" i="255"/>
  <c r="H8" s="1"/>
  <c r="I8" i="125"/>
  <c r="I9" s="1"/>
  <c r="K8" i="249"/>
  <c r="K9" s="1"/>
  <c r="L8" i="236"/>
  <c r="L9" s="1"/>
  <c r="G7" i="122"/>
  <c r="G8" s="1"/>
  <c r="K14" i="192"/>
  <c r="K15" s="1"/>
  <c r="H11" i="125"/>
  <c r="H12" s="1"/>
  <c r="K7" i="122"/>
  <c r="K8" s="1"/>
  <c r="J8" i="125"/>
  <c r="J9" s="1"/>
  <c r="H8" i="123"/>
  <c r="H9" s="1"/>
  <c r="M25" i="191"/>
  <c r="M26" s="1"/>
  <c r="M8" i="236"/>
  <c r="M9" s="1"/>
  <c r="H7" i="122"/>
  <c r="H8" s="1"/>
  <c r="G8" i="125"/>
  <c r="G9" s="1"/>
  <c r="L8" i="249"/>
  <c r="L9" s="1"/>
  <c r="K8" i="236"/>
  <c r="K9" s="1"/>
  <c r="H8"/>
  <c r="H9" s="1"/>
  <c r="K8" i="123"/>
  <c r="K9" s="1"/>
  <c r="J8" i="137"/>
  <c r="J9" s="1"/>
  <c r="J14" i="192"/>
  <c r="J15" s="1"/>
  <c r="I11" i="125"/>
  <c r="I12" s="1"/>
  <c r="H8"/>
  <c r="H9" s="1"/>
  <c r="H8" i="249"/>
  <c r="H9" s="1"/>
  <c r="I14" i="192"/>
  <c r="I15" s="1"/>
  <c r="G11" i="137"/>
  <c r="J8" i="249"/>
  <c r="J9" s="1"/>
  <c r="G17" i="317"/>
  <c r="N32" i="245"/>
  <c r="CZ211" i="295"/>
  <c r="CZ210"/>
  <c r="CE208"/>
  <c r="CT13"/>
  <c r="CJ212"/>
  <c r="D32" i="245"/>
  <c r="CP211" i="295"/>
  <c r="U211"/>
  <c r="V16"/>
  <c r="DR211"/>
  <c r="BH211"/>
  <c r="H10" i="235"/>
  <c r="G14" i="138"/>
  <c r="J20" i="192"/>
  <c r="N22" i="191"/>
  <c r="N23" s="1"/>
  <c r="J22" i="320"/>
  <c r="J23" s="1"/>
  <c r="I10" i="235"/>
  <c r="L22" i="320"/>
  <c r="L23" s="1"/>
  <c r="J15" i="138"/>
  <c r="K15" s="1"/>
  <c r="L22" i="191"/>
  <c r="L23" s="1"/>
  <c r="N22" i="320"/>
  <c r="N23" s="1"/>
  <c r="CI210" i="295"/>
  <c r="CB210"/>
  <c r="CB208"/>
  <c r="CQ13"/>
  <c r="CF210"/>
  <c r="CL212"/>
  <c r="CI211"/>
  <c r="CX16"/>
  <c r="CE211"/>
  <c r="CT16"/>
  <c r="CL208"/>
  <c r="DA13"/>
  <c r="CS212"/>
  <c r="G30" i="245"/>
  <c r="CP212" i="295"/>
  <c r="D30" i="245"/>
  <c r="AR212" i="295"/>
  <c r="AS17"/>
  <c r="DR212"/>
  <c r="M8" i="125"/>
  <c r="I8" i="249"/>
  <c r="I9" s="1"/>
  <c r="J11" i="125"/>
  <c r="J12" s="1"/>
  <c r="I14" i="121"/>
  <c r="I15" s="1"/>
  <c r="M8" i="249"/>
  <c r="M9" s="1"/>
  <c r="I8" i="137"/>
  <c r="I9" s="1"/>
  <c r="K11" i="121"/>
  <c r="K12" s="1"/>
  <c r="CL211" i="295"/>
  <c r="DA16"/>
  <c r="CL210"/>
  <c r="H212"/>
  <c r="BD211"/>
  <c r="G22" i="191"/>
  <c r="G23" s="1"/>
  <c r="J22"/>
  <c r="J23" s="1"/>
  <c r="H22" i="320"/>
  <c r="H23" s="1"/>
  <c r="CW211" i="295"/>
  <c r="K32" i="245"/>
  <c r="CA117" i="295" l="1"/>
  <c r="CZ117"/>
  <c r="CD117"/>
  <c r="D91" i="340"/>
  <c r="CW14" i="295"/>
  <c r="CZ14"/>
  <c r="CE176"/>
  <c r="CE14"/>
  <c r="CS176"/>
  <c r="CS14"/>
  <c r="CW176"/>
  <c r="K31" i="245"/>
  <c r="CI176" i="295"/>
  <c r="CI209"/>
  <c r="CI14"/>
  <c r="CP176"/>
  <c r="CP14"/>
  <c r="CP209"/>
  <c r="D31" i="245"/>
  <c r="A86" i="338"/>
  <c r="E87" i="344"/>
  <c r="A90" i="340"/>
  <c r="V90" s="1"/>
  <c r="W90" s="1"/>
  <c r="A91" i="337"/>
  <c r="H87" i="344"/>
  <c r="L11" i="245"/>
  <c r="CB176" i="295"/>
  <c r="CB209"/>
  <c r="E11" i="245"/>
  <c r="CB14" i="295"/>
  <c r="E89" i="337"/>
  <c r="D89" s="1"/>
  <c r="F89" i="345"/>
  <c r="E89" s="1"/>
  <c r="D83"/>
  <c r="CJ158" i="295"/>
  <c r="CX158"/>
  <c r="CT158"/>
  <c r="CF158"/>
  <c r="CF176" s="1"/>
  <c r="DA158"/>
  <c r="DA176" s="1"/>
  <c r="CM158"/>
  <c r="CQ158"/>
  <c r="CC158"/>
  <c r="AX17"/>
  <c r="CQ17"/>
  <c r="V17"/>
  <c r="CT17"/>
  <c r="D86" i="345"/>
  <c r="C86" s="1"/>
  <c r="H15" i="190"/>
  <c r="H21"/>
  <c r="G15"/>
  <c r="G21"/>
  <c r="J15"/>
  <c r="J21"/>
  <c r="I15"/>
  <c r="I21"/>
  <c r="H11" i="235"/>
  <c r="H17"/>
  <c r="I11"/>
  <c r="G11"/>
  <c r="G17"/>
  <c r="I9" i="236"/>
  <c r="J9" s="1"/>
  <c r="J8"/>
  <c r="G15" i="138"/>
  <c r="L15" s="1"/>
  <c r="G21"/>
  <c r="K21" i="192"/>
  <c r="K27"/>
  <c r="J21"/>
  <c r="J27"/>
  <c r="I21"/>
  <c r="I27"/>
  <c r="G21"/>
  <c r="G27"/>
  <c r="H21"/>
  <c r="H27"/>
  <c r="L21"/>
  <c r="DA17" i="295"/>
  <c r="CZ18"/>
  <c r="CX19"/>
  <c r="CL18"/>
  <c r="CJ18"/>
  <c r="CY17"/>
  <c r="CZ19"/>
  <c r="CX18"/>
  <c r="CL19"/>
  <c r="CJ19"/>
  <c r="D81" i="345"/>
  <c r="F81" s="1"/>
  <c r="T81" s="1"/>
  <c r="D78"/>
  <c r="H11" i="137"/>
  <c r="I11" s="1"/>
  <c r="G12"/>
  <c r="H23" i="317"/>
  <c r="G18"/>
  <c r="K25" i="347" s="1"/>
  <c r="H17" i="317"/>
  <c r="H18" s="1"/>
  <c r="P12" i="347"/>
  <c r="L44" i="348"/>
  <c r="P44" s="1"/>
  <c r="P12"/>
  <c r="F84" i="345"/>
  <c r="T84" s="1"/>
  <c r="P12" i="245"/>
  <c r="CM16" i="295"/>
  <c r="P8" i="245"/>
  <c r="P9" s="1"/>
  <c r="CM13" i="295"/>
  <c r="BE211"/>
  <c r="BE16"/>
  <c r="AU17"/>
  <c r="I12" i="245"/>
  <c r="CF16" i="295"/>
  <c r="M12" i="245"/>
  <c r="CJ16" i="295"/>
  <c r="P10" i="245"/>
  <c r="CM17" i="295"/>
  <c r="F8" i="245"/>
  <c r="CC13" i="295"/>
  <c r="F13" i="253"/>
  <c r="BK16" i="295"/>
  <c r="D13" i="253"/>
  <c r="BI16" i="295"/>
  <c r="U163" i="341"/>
  <c r="U174" s="1"/>
  <c r="AG17" i="295"/>
  <c r="I10" i="245"/>
  <c r="CF17" i="295"/>
  <c r="AU16"/>
  <c r="AC17"/>
  <c r="AB16"/>
  <c r="W16"/>
  <c r="AG16"/>
  <c r="I8" i="245"/>
  <c r="I9" s="1"/>
  <c r="CF13" i="295"/>
  <c r="F11" i="253"/>
  <c r="BK17" i="295"/>
  <c r="BE212"/>
  <c r="BE17"/>
  <c r="W17"/>
  <c r="BI17"/>
  <c r="F10" i="245"/>
  <c r="CC17" i="295"/>
  <c r="AS16"/>
  <c r="F12" i="245"/>
  <c r="CC16" i="295"/>
  <c r="G163" i="341"/>
  <c r="G165" s="1"/>
  <c r="G178" s="1"/>
  <c r="I17" i="295"/>
  <c r="F91" i="340"/>
  <c r="I91"/>
  <c r="U91"/>
  <c r="A92" i="337"/>
  <c r="A87" i="338"/>
  <c r="A91" i="340"/>
  <c r="V91" s="1"/>
  <c r="W91" s="1"/>
  <c r="E88" i="344"/>
  <c r="H88"/>
  <c r="A89" i="345"/>
  <c r="H87" i="338"/>
  <c r="E87"/>
  <c r="U92" i="337"/>
  <c r="I92"/>
  <c r="F92"/>
  <c r="I212" i="295"/>
  <c r="E81" i="337"/>
  <c r="E87"/>
  <c r="K40" i="193"/>
  <c r="E84" i="337"/>
  <c r="S16" i="295"/>
  <c r="CM210"/>
  <c r="CM211"/>
  <c r="DB16"/>
  <c r="N8" i="125"/>
  <c r="M9"/>
  <c r="N9" s="1"/>
  <c r="AS212" i="295"/>
  <c r="AZ17"/>
  <c r="AX212"/>
  <c r="BB17"/>
  <c r="AY17"/>
  <c r="CX211"/>
  <c r="L32" i="245"/>
  <c r="CM212" i="295"/>
  <c r="CU210"/>
  <c r="E28" i="245"/>
  <c r="E29" s="1"/>
  <c r="CQ208" i="295"/>
  <c r="DA210"/>
  <c r="O32" i="245"/>
  <c r="DA211" i="295"/>
  <c r="AU212"/>
  <c r="DA208"/>
  <c r="O28" i="245"/>
  <c r="O29" s="1"/>
  <c r="H32"/>
  <c r="CT211" i="295"/>
  <c r="CJ211"/>
  <c r="CY16"/>
  <c r="DA212"/>
  <c r="O30" i="245"/>
  <c r="CG210" i="295"/>
  <c r="CC208"/>
  <c r="CR13"/>
  <c r="CC210"/>
  <c r="CJ210"/>
  <c r="AB211"/>
  <c r="W211"/>
  <c r="AG211"/>
  <c r="CY212"/>
  <c r="M30" i="245"/>
  <c r="CF208" i="295"/>
  <c r="CU13"/>
  <c r="BK212"/>
  <c r="AG212"/>
  <c r="V212"/>
  <c r="E30" i="245"/>
  <c r="CQ212" i="295"/>
  <c r="H30" i="245"/>
  <c r="CT212" i="295"/>
  <c r="AS211"/>
  <c r="AY16"/>
  <c r="BB16"/>
  <c r="AX211"/>
  <c r="AZ16"/>
  <c r="CQ211"/>
  <c r="E32" i="245"/>
  <c r="CM208" i="295"/>
  <c r="DB13"/>
  <c r="CU16"/>
  <c r="CF211"/>
  <c r="CQ210"/>
  <c r="CX210"/>
  <c r="BK211"/>
  <c r="V211"/>
  <c r="BI211"/>
  <c r="CT208"/>
  <c r="H28" i="245"/>
  <c r="H29" s="1"/>
  <c r="W212" i="295"/>
  <c r="AC212"/>
  <c r="BI212"/>
  <c r="CC212"/>
  <c r="CF212"/>
  <c r="AU211"/>
  <c r="CC211"/>
  <c r="CR16"/>
  <c r="CE117" l="1"/>
  <c r="CB117"/>
  <c r="DA117"/>
  <c r="CF117"/>
  <c r="CW117"/>
  <c r="CS117"/>
  <c r="G72" i="194"/>
  <c r="C72"/>
  <c r="D72"/>
  <c r="H72"/>
  <c r="K42" i="193"/>
  <c r="V15"/>
  <c r="V13"/>
  <c r="G89" i="337"/>
  <c r="R89" s="1"/>
  <c r="CF14" i="295"/>
  <c r="O31" i="245"/>
  <c r="CR158" i="295"/>
  <c r="CY158"/>
  <c r="CX176"/>
  <c r="CX14"/>
  <c r="DA14"/>
  <c r="CQ176"/>
  <c r="E31" i="245"/>
  <c r="CQ209" i="295"/>
  <c r="CQ14"/>
  <c r="L31" i="245"/>
  <c r="DA209" i="295"/>
  <c r="CX209"/>
  <c r="DB158"/>
  <c r="CT176"/>
  <c r="CT14"/>
  <c r="H89" i="345"/>
  <c r="E90" i="337"/>
  <c r="D90" s="1"/>
  <c r="CG158" i="295"/>
  <c r="CU158"/>
  <c r="CU17"/>
  <c r="CR17"/>
  <c r="S17"/>
  <c r="F86" i="345"/>
  <c r="L86" s="1"/>
  <c r="H42" i="193"/>
  <c r="D85" i="345" s="1"/>
  <c r="C85" s="1"/>
  <c r="D87"/>
  <c r="C87" s="1"/>
  <c r="U89" i="337"/>
  <c r="D79" i="345"/>
  <c r="C79" s="1"/>
  <c r="L9" i="138"/>
  <c r="H24" i="317"/>
  <c r="H30"/>
  <c r="AK39" i="295"/>
  <c r="AK38"/>
  <c r="C81" i="345"/>
  <c r="CY18" i="295"/>
  <c r="DA19"/>
  <c r="CM19"/>
  <c r="DB17"/>
  <c r="CY19"/>
  <c r="DA18"/>
  <c r="CM18"/>
  <c r="P81" i="345"/>
  <c r="L81"/>
  <c r="E81"/>
  <c r="H81"/>
  <c r="C78"/>
  <c r="F78"/>
  <c r="I12" i="137"/>
  <c r="H12"/>
  <c r="U168" i="341"/>
  <c r="U181" s="1"/>
  <c r="U167"/>
  <c r="U180" s="1"/>
  <c r="U170"/>
  <c r="U183" s="1"/>
  <c r="G170"/>
  <c r="G183" s="1"/>
  <c r="E86" i="337"/>
  <c r="G86" s="1"/>
  <c r="U175" i="341"/>
  <c r="U169"/>
  <c r="U182" s="1"/>
  <c r="U176"/>
  <c r="U164"/>
  <c r="U177" s="1"/>
  <c r="E84" i="345"/>
  <c r="L84"/>
  <c r="H84"/>
  <c r="G172" i="341"/>
  <c r="G185" s="1"/>
  <c r="G169"/>
  <c r="G182" s="1"/>
  <c r="U152"/>
  <c r="U160" s="1"/>
  <c r="G164"/>
  <c r="G177" s="1"/>
  <c r="G166"/>
  <c r="G179" s="1"/>
  <c r="G167"/>
  <c r="G180" s="1"/>
  <c r="J152"/>
  <c r="J161" s="1"/>
  <c r="N12" i="194"/>
  <c r="DP17" i="295"/>
  <c r="J12" i="245"/>
  <c r="CG16" i="295"/>
  <c r="E88" i="337"/>
  <c r="AJ17" i="295"/>
  <c r="G10" i="254"/>
  <c r="BU17" i="295"/>
  <c r="BF17"/>
  <c r="BU16"/>
  <c r="J10" i="245"/>
  <c r="CG17" i="295"/>
  <c r="G11" i="253"/>
  <c r="BL17" i="295"/>
  <c r="V163" i="341"/>
  <c r="V167" s="1"/>
  <c r="V180" s="1"/>
  <c r="AK17" i="295"/>
  <c r="AD17"/>
  <c r="E13" i="253"/>
  <c r="BJ16" i="295"/>
  <c r="BF16"/>
  <c r="AJ16"/>
  <c r="DP16"/>
  <c r="Q10" i="245"/>
  <c r="CN17" i="295"/>
  <c r="BA212"/>
  <c r="BA17"/>
  <c r="U172" i="341"/>
  <c r="U185" s="1"/>
  <c r="U173"/>
  <c r="U186" s="1"/>
  <c r="U166"/>
  <c r="U179" s="1"/>
  <c r="U165"/>
  <c r="U178" s="1"/>
  <c r="U171"/>
  <c r="U184" s="1"/>
  <c r="G175"/>
  <c r="G168"/>
  <c r="G174"/>
  <c r="G171"/>
  <c r="G184" s="1"/>
  <c r="G173"/>
  <c r="G186" s="1"/>
  <c r="G176"/>
  <c r="G181" s="1"/>
  <c r="G13" i="253"/>
  <c r="BL16" i="295"/>
  <c r="BA211"/>
  <c r="BA16"/>
  <c r="E11" i="253"/>
  <c r="BJ17" i="295"/>
  <c r="J8" i="245"/>
  <c r="J9" s="1"/>
  <c r="CG13" i="295"/>
  <c r="AW17"/>
  <c r="AB17"/>
  <c r="S212"/>
  <c r="S211"/>
  <c r="AM16"/>
  <c r="F83" i="345"/>
  <c r="C83"/>
  <c r="D72"/>
  <c r="C72" s="1"/>
  <c r="D84" i="337"/>
  <c r="G84"/>
  <c r="D81"/>
  <c r="G81"/>
  <c r="D87"/>
  <c r="G87"/>
  <c r="BU211" i="295"/>
  <c r="BL212"/>
  <c r="DP212"/>
  <c r="BJ211"/>
  <c r="BF211"/>
  <c r="BJ212"/>
  <c r="AJ212"/>
  <c r="CG208"/>
  <c r="CV13"/>
  <c r="AJ211"/>
  <c r="DP211"/>
  <c r="CR210"/>
  <c r="CV210"/>
  <c r="M32" i="245"/>
  <c r="CY211" i="295"/>
  <c r="DB212"/>
  <c r="P30" i="245"/>
  <c r="DB211" i="295"/>
  <c r="P32" i="245"/>
  <c r="DB210" i="295"/>
  <c r="F32" i="245"/>
  <c r="CR211" i="295"/>
  <c r="CG212"/>
  <c r="CU212"/>
  <c r="I30" i="245"/>
  <c r="F30"/>
  <c r="CR212" i="295"/>
  <c r="AK212"/>
  <c r="BL211"/>
  <c r="CV16"/>
  <c r="CG211"/>
  <c r="CU211"/>
  <c r="I32" i="245"/>
  <c r="DB208" i="295"/>
  <c r="P28" i="245"/>
  <c r="P29" s="1"/>
  <c r="CU208" i="295"/>
  <c r="I28" i="245"/>
  <c r="I29" s="1"/>
  <c r="CY210" i="295"/>
  <c r="CR208"/>
  <c r="F28" i="245"/>
  <c r="F29" s="1"/>
  <c r="AW212" i="295"/>
  <c r="BU212"/>
  <c r="CN212"/>
  <c r="BF212"/>
  <c r="CT117" l="1"/>
  <c r="CX117"/>
  <c r="I89" i="337"/>
  <c r="F89"/>
  <c r="H73" i="194"/>
  <c r="G73"/>
  <c r="G90" i="337"/>
  <c r="U90" s="1"/>
  <c r="CU176" i="295"/>
  <c r="CU14"/>
  <c r="CY176"/>
  <c r="CY209"/>
  <c r="CY14"/>
  <c r="M31" i="245"/>
  <c r="CV158" i="295"/>
  <c r="CC176"/>
  <c r="CC209"/>
  <c r="F11" i="245"/>
  <c r="CC14" i="295"/>
  <c r="DB176"/>
  <c r="DB14"/>
  <c r="DB209"/>
  <c r="P31" i="245"/>
  <c r="CR176" i="295"/>
  <c r="F31" i="245"/>
  <c r="CR14" i="295"/>
  <c r="CR209"/>
  <c r="CM176"/>
  <c r="CM209"/>
  <c r="CM14"/>
  <c r="P11" i="245"/>
  <c r="CJ176" i="295"/>
  <c r="M11" i="245"/>
  <c r="CJ14" i="295"/>
  <c r="CJ209"/>
  <c r="P86" i="345"/>
  <c r="E86"/>
  <c r="L163" i="341"/>
  <c r="L168" s="1"/>
  <c r="L181" s="1"/>
  <c r="H86" i="345"/>
  <c r="F79"/>
  <c r="T79" s="1"/>
  <c r="CV17" i="295"/>
  <c r="AM17"/>
  <c r="T86" i="345"/>
  <c r="I42" i="193"/>
  <c r="F15" i="287"/>
  <c r="F87" i="345"/>
  <c r="T87" s="1"/>
  <c r="DC17" i="295"/>
  <c r="J163" i="341"/>
  <c r="J167" s="1"/>
  <c r="J180" s="1"/>
  <c r="D60" i="193"/>
  <c r="DB18" i="295"/>
  <c r="CN18"/>
  <c r="E82" i="337"/>
  <c r="K163" i="341"/>
  <c r="DB19" i="295"/>
  <c r="CN19"/>
  <c r="U158" i="341"/>
  <c r="E78" i="345"/>
  <c r="H78"/>
  <c r="T78"/>
  <c r="J158" i="341"/>
  <c r="U159"/>
  <c r="F85" i="345"/>
  <c r="E85" s="1"/>
  <c r="D86" i="337"/>
  <c r="L86"/>
  <c r="J159" i="341"/>
  <c r="F86" i="337"/>
  <c r="J160" i="341"/>
  <c r="J156"/>
  <c r="E74" i="337"/>
  <c r="G74"/>
  <c r="F74" s="1"/>
  <c r="U86"/>
  <c r="I86"/>
  <c r="J162" i="341"/>
  <c r="J155"/>
  <c r="U156"/>
  <c r="U154"/>
  <c r="V165"/>
  <c r="V178" s="1"/>
  <c r="AM212" i="295"/>
  <c r="V174" i="341"/>
  <c r="U155"/>
  <c r="U157"/>
  <c r="U100"/>
  <c r="U101" s="1"/>
  <c r="U127" s="1"/>
  <c r="U161"/>
  <c r="U153"/>
  <c r="U162"/>
  <c r="AM211" i="295"/>
  <c r="V164" i="341"/>
  <c r="V177" s="1"/>
  <c r="V169"/>
  <c r="V182" s="1"/>
  <c r="V172"/>
  <c r="V185" s="1"/>
  <c r="V170"/>
  <c r="V183" s="1"/>
  <c r="J154"/>
  <c r="J153"/>
  <c r="J157"/>
  <c r="V175"/>
  <c r="V171"/>
  <c r="V184" s="1"/>
  <c r="V173"/>
  <c r="V186" s="1"/>
  <c r="V166"/>
  <c r="V179" s="1"/>
  <c r="V176"/>
  <c r="V168"/>
  <c r="V181" s="1"/>
  <c r="H10" i="254"/>
  <c r="BV17" i="295"/>
  <c r="AF17"/>
  <c r="AE17"/>
  <c r="BN17"/>
  <c r="O14" i="194"/>
  <c r="DQ16" i="295"/>
  <c r="H13" i="253"/>
  <c r="BM16" i="295"/>
  <c r="O12" i="194"/>
  <c r="E70" s="1"/>
  <c r="DQ17" i="295"/>
  <c r="H11" i="253"/>
  <c r="BM17" i="295"/>
  <c r="H12" i="254"/>
  <c r="BV16" i="295"/>
  <c r="H83" i="345"/>
  <c r="E83"/>
  <c r="L83"/>
  <c r="T83"/>
  <c r="F72"/>
  <c r="U87" i="337"/>
  <c r="D88"/>
  <c r="G88"/>
  <c r="I81"/>
  <c r="F81"/>
  <c r="U81"/>
  <c r="I87"/>
  <c r="F87"/>
  <c r="L87"/>
  <c r="F84"/>
  <c r="U84"/>
  <c r="L84"/>
  <c r="R84"/>
  <c r="I84"/>
  <c r="BV212" i="295"/>
  <c r="CV211"/>
  <c r="J32" i="245"/>
  <c r="AF212" i="295"/>
  <c r="CV212"/>
  <c r="J30" i="245"/>
  <c r="BM212" i="295"/>
  <c r="Q30" i="245"/>
  <c r="DC212" i="295"/>
  <c r="BN212"/>
  <c r="DQ211"/>
  <c r="CV208"/>
  <c r="J28" i="245"/>
  <c r="J29" s="1"/>
  <c r="BM211" i="295"/>
  <c r="DQ212"/>
  <c r="BV211"/>
  <c r="CU117" l="1"/>
  <c r="DB117"/>
  <c r="CC117"/>
  <c r="CY117"/>
  <c r="F90" i="337"/>
  <c r="I90"/>
  <c r="O163" i="341"/>
  <c r="O168" s="1"/>
  <c r="O181" s="1"/>
  <c r="R163"/>
  <c r="R176" s="1"/>
  <c r="CV176" i="295"/>
  <c r="CV14"/>
  <c r="CG176"/>
  <c r="CG14"/>
  <c r="L79" i="345"/>
  <c r="P79"/>
  <c r="L175" i="341"/>
  <c r="J165"/>
  <c r="J178" s="1"/>
  <c r="L165"/>
  <c r="L178" s="1"/>
  <c r="L166"/>
  <c r="L179" s="1"/>
  <c r="L164"/>
  <c r="L177" s="1"/>
  <c r="U110"/>
  <c r="U136" s="1"/>
  <c r="L170"/>
  <c r="L183" s="1"/>
  <c r="L167"/>
  <c r="L180" s="1"/>
  <c r="L171"/>
  <c r="L184" s="1"/>
  <c r="E83" i="337"/>
  <c r="G83" s="1"/>
  <c r="L176" i="341"/>
  <c r="L174"/>
  <c r="L173"/>
  <c r="L186" s="1"/>
  <c r="L172"/>
  <c r="L185" s="1"/>
  <c r="L169"/>
  <c r="L182" s="1"/>
  <c r="H79" i="345"/>
  <c r="E79"/>
  <c r="J164" i="341"/>
  <c r="J177" s="1"/>
  <c r="J166"/>
  <c r="J179" s="1"/>
  <c r="J176"/>
  <c r="J174"/>
  <c r="J173"/>
  <c r="J186" s="1"/>
  <c r="J172"/>
  <c r="J185" s="1"/>
  <c r="J175"/>
  <c r="J168"/>
  <c r="J181" s="1"/>
  <c r="J169"/>
  <c r="J182" s="1"/>
  <c r="J171"/>
  <c r="J184" s="1"/>
  <c r="J170"/>
  <c r="J183" s="1"/>
  <c r="O152"/>
  <c r="O153" s="1"/>
  <c r="R152"/>
  <c r="R154" s="1"/>
  <c r="L85" i="345"/>
  <c r="J42" i="193"/>
  <c r="H87" i="345"/>
  <c r="L87"/>
  <c r="E87"/>
  <c r="AL39" i="295"/>
  <c r="AL38"/>
  <c r="DC19"/>
  <c r="N163" i="341"/>
  <c r="N170" s="1"/>
  <c r="N183" s="1"/>
  <c r="F60" i="193"/>
  <c r="K174" i="341"/>
  <c r="K172"/>
  <c r="K185" s="1"/>
  <c r="K169"/>
  <c r="K182" s="1"/>
  <c r="K176"/>
  <c r="K165"/>
  <c r="K178" s="1"/>
  <c r="K166"/>
  <c r="K179" s="1"/>
  <c r="K171"/>
  <c r="K184" s="1"/>
  <c r="K164"/>
  <c r="K177" s="1"/>
  <c r="K173"/>
  <c r="K186" s="1"/>
  <c r="K175"/>
  <c r="K170"/>
  <c r="K183" s="1"/>
  <c r="K167"/>
  <c r="K180" s="1"/>
  <c r="K168"/>
  <c r="K181" s="1"/>
  <c r="D82" i="337"/>
  <c r="G82"/>
  <c r="DC18" i="295"/>
  <c r="H85" i="345"/>
  <c r="I74" i="337"/>
  <c r="U74"/>
  <c r="L74"/>
  <c r="H74"/>
  <c r="D74"/>
  <c r="M163" i="341"/>
  <c r="M173" s="1"/>
  <c r="M186" s="1"/>
  <c r="U104"/>
  <c r="U130" s="1"/>
  <c r="U108"/>
  <c r="U134" s="1"/>
  <c r="U103"/>
  <c r="U129" s="1"/>
  <c r="U107"/>
  <c r="U133" s="1"/>
  <c r="U102"/>
  <c r="U128" s="1"/>
  <c r="U106"/>
  <c r="U132" s="1"/>
  <c r="U109"/>
  <c r="U135" s="1"/>
  <c r="U126"/>
  <c r="U105"/>
  <c r="U131" s="1"/>
  <c r="I12" i="254"/>
  <c r="BW16" i="295"/>
  <c r="W163" i="341"/>
  <c r="W168" s="1"/>
  <c r="W181" s="1"/>
  <c r="AL17" i="295"/>
  <c r="BO17"/>
  <c r="BP17"/>
  <c r="I10" i="254"/>
  <c r="BW17" i="295"/>
  <c r="E72" i="345"/>
  <c r="L72"/>
  <c r="T72"/>
  <c r="P72"/>
  <c r="G72"/>
  <c r="H72"/>
  <c r="I88" i="337"/>
  <c r="L88"/>
  <c r="F88"/>
  <c r="F70" i="194"/>
  <c r="E72"/>
  <c r="F72"/>
  <c r="BO212" i="295"/>
  <c r="BW211"/>
  <c r="AL212"/>
  <c r="BP212"/>
  <c r="BW212"/>
  <c r="BR208"/>
  <c r="BR212"/>
  <c r="BR209"/>
  <c r="BR211"/>
  <c r="BR210"/>
  <c r="CG117" l="1"/>
  <c r="CV117"/>
  <c r="O173" i="341"/>
  <c r="O186" s="1"/>
  <c r="O167"/>
  <c r="O180" s="1"/>
  <c r="E73" i="194"/>
  <c r="F73"/>
  <c r="O175" i="341"/>
  <c r="O165"/>
  <c r="O178" s="1"/>
  <c r="O176"/>
  <c r="O169"/>
  <c r="O182" s="1"/>
  <c r="O171"/>
  <c r="O184" s="1"/>
  <c r="O166"/>
  <c r="O179" s="1"/>
  <c r="O172"/>
  <c r="O185" s="1"/>
  <c r="O164"/>
  <c r="O177" s="1"/>
  <c r="O170"/>
  <c r="O183" s="1"/>
  <c r="O174"/>
  <c r="R165"/>
  <c r="R178" s="1"/>
  <c r="R164"/>
  <c r="R177" s="1"/>
  <c r="R166"/>
  <c r="R179" s="1"/>
  <c r="R170"/>
  <c r="R183" s="1"/>
  <c r="R172"/>
  <c r="R185" s="1"/>
  <c r="R173"/>
  <c r="R186" s="1"/>
  <c r="R167"/>
  <c r="R180" s="1"/>
  <c r="R174"/>
  <c r="R175"/>
  <c r="R171"/>
  <c r="R184" s="1"/>
  <c r="R169"/>
  <c r="R182" s="1"/>
  <c r="R168"/>
  <c r="R181" s="1"/>
  <c r="D83" i="337"/>
  <c r="O162" i="341"/>
  <c r="R155"/>
  <c r="R161"/>
  <c r="R158"/>
  <c r="O156"/>
  <c r="N164"/>
  <c r="N177" s="1"/>
  <c r="M171"/>
  <c r="M184" s="1"/>
  <c r="R156"/>
  <c r="R159"/>
  <c r="O157"/>
  <c r="O159"/>
  <c r="O158"/>
  <c r="R162"/>
  <c r="R153"/>
  <c r="R160"/>
  <c r="R157"/>
  <c r="O161"/>
  <c r="O160"/>
  <c r="O154"/>
  <c r="O155"/>
  <c r="M166"/>
  <c r="M179" s="1"/>
  <c r="N171"/>
  <c r="N184" s="1"/>
  <c r="N176"/>
  <c r="N166"/>
  <c r="N179" s="1"/>
  <c r="N169"/>
  <c r="N182" s="1"/>
  <c r="N173"/>
  <c r="N186" s="1"/>
  <c r="N172"/>
  <c r="N185" s="1"/>
  <c r="N174"/>
  <c r="N167"/>
  <c r="N180" s="1"/>
  <c r="N175"/>
  <c r="N165"/>
  <c r="N178" s="1"/>
  <c r="N168"/>
  <c r="N181" s="1"/>
  <c r="DI18" i="295"/>
  <c r="U82" i="337"/>
  <c r="R82"/>
  <c r="I82"/>
  <c r="F82"/>
  <c r="E35" i="339"/>
  <c r="Q35" s="1"/>
  <c r="G57" i="348"/>
  <c r="G57" i="347"/>
  <c r="L57"/>
  <c r="L57" i="348"/>
  <c r="M167" i="341"/>
  <c r="M180" s="1"/>
  <c r="M164"/>
  <c r="M177" s="1"/>
  <c r="M170"/>
  <c r="M183" s="1"/>
  <c r="M174"/>
  <c r="M172"/>
  <c r="M185" s="1"/>
  <c r="M169"/>
  <c r="M182" s="1"/>
  <c r="M176"/>
  <c r="M168"/>
  <c r="M181" s="1"/>
  <c r="W167"/>
  <c r="W180" s="1"/>
  <c r="M165"/>
  <c r="M178" s="1"/>
  <c r="M175"/>
  <c r="W170"/>
  <c r="W183" s="1"/>
  <c r="W175"/>
  <c r="W173"/>
  <c r="W186" s="1"/>
  <c r="W169"/>
  <c r="W182" s="1"/>
  <c r="W176"/>
  <c r="W166"/>
  <c r="W179" s="1"/>
  <c r="W171"/>
  <c r="W184" s="1"/>
  <c r="W164"/>
  <c r="W177" s="1"/>
  <c r="W174"/>
  <c r="W165"/>
  <c r="W178" s="1"/>
  <c r="W172"/>
  <c r="W185" s="1"/>
  <c r="P152"/>
  <c r="P154" s="1"/>
  <c r="D90" i="345"/>
  <c r="P163" i="341"/>
  <c r="P166" s="1"/>
  <c r="P179" s="1"/>
  <c r="E93" i="337"/>
  <c r="U83"/>
  <c r="I83"/>
  <c r="F83"/>
  <c r="DJ18" i="295" l="1"/>
  <c r="C35" i="339"/>
  <c r="DN18" i="295"/>
  <c r="M35" i="339"/>
  <c r="L65" i="348"/>
  <c r="P65" s="1"/>
  <c r="L59"/>
  <c r="P59" s="1"/>
  <c r="L64"/>
  <c r="P64" s="1"/>
  <c r="L58"/>
  <c r="P58" s="1"/>
  <c r="L61"/>
  <c r="P61" s="1"/>
  <c r="L67"/>
  <c r="P67" s="1"/>
  <c r="L63"/>
  <c r="P63" s="1"/>
  <c r="L66"/>
  <c r="P66" s="1"/>
  <c r="L62"/>
  <c r="P62" s="1"/>
  <c r="L60"/>
  <c r="P60" s="1"/>
  <c r="L68"/>
  <c r="P68" s="1"/>
  <c r="P57"/>
  <c r="G58" i="347"/>
  <c r="K58" s="1"/>
  <c r="G59"/>
  <c r="K59" s="1"/>
  <c r="G68"/>
  <c r="K68" s="1"/>
  <c r="G65"/>
  <c r="K65" s="1"/>
  <c r="G64"/>
  <c r="K64" s="1"/>
  <c r="G67"/>
  <c r="K67" s="1"/>
  <c r="G66"/>
  <c r="K66" s="1"/>
  <c r="G62"/>
  <c r="K62" s="1"/>
  <c r="G61"/>
  <c r="K61" s="1"/>
  <c r="G60"/>
  <c r="K60" s="1"/>
  <c r="G63"/>
  <c r="K63" s="1"/>
  <c r="K57"/>
  <c r="L58"/>
  <c r="P58" s="1"/>
  <c r="L66"/>
  <c r="P66" s="1"/>
  <c r="L62"/>
  <c r="P62" s="1"/>
  <c r="L61"/>
  <c r="P61" s="1"/>
  <c r="L60"/>
  <c r="P60" s="1"/>
  <c r="L63"/>
  <c r="P63" s="1"/>
  <c r="L67"/>
  <c r="P67" s="1"/>
  <c r="L59"/>
  <c r="P59" s="1"/>
  <c r="L68"/>
  <c r="P68" s="1"/>
  <c r="L65"/>
  <c r="P65" s="1"/>
  <c r="L64"/>
  <c r="P64" s="1"/>
  <c r="P57"/>
  <c r="G64" i="348"/>
  <c r="K64" s="1"/>
  <c r="G58"/>
  <c r="K58" s="1"/>
  <c r="G63"/>
  <c r="K63" s="1"/>
  <c r="G67"/>
  <c r="K67" s="1"/>
  <c r="G68"/>
  <c r="K68" s="1"/>
  <c r="G59"/>
  <c r="K59" s="1"/>
  <c r="G66"/>
  <c r="K66" s="1"/>
  <c r="G62"/>
  <c r="K62" s="1"/>
  <c r="G65"/>
  <c r="K65" s="1"/>
  <c r="G61"/>
  <c r="K61" s="1"/>
  <c r="G60"/>
  <c r="K60" s="1"/>
  <c r="K57"/>
  <c r="P170" i="341"/>
  <c r="P183" s="1"/>
  <c r="P167"/>
  <c r="P180" s="1"/>
  <c r="P173"/>
  <c r="P186" s="1"/>
  <c r="P159"/>
  <c r="P171"/>
  <c r="P184" s="1"/>
  <c r="P176"/>
  <c r="P169"/>
  <c r="P182" s="1"/>
  <c r="P155"/>
  <c r="P175"/>
  <c r="P174"/>
  <c r="P172"/>
  <c r="P185" s="1"/>
  <c r="P168"/>
  <c r="P181" s="1"/>
  <c r="P164"/>
  <c r="P177" s="1"/>
  <c r="P165"/>
  <c r="P178" s="1"/>
  <c r="P158"/>
  <c r="P161"/>
  <c r="P157"/>
  <c r="P162"/>
  <c r="P160"/>
  <c r="P153"/>
  <c r="P156"/>
  <c r="G93" i="337"/>
  <c r="D93"/>
  <c r="F90" i="345"/>
  <c r="C90"/>
  <c r="T90" l="1"/>
  <c r="H90"/>
  <c r="E90"/>
  <c r="P90"/>
  <c r="R93" i="337"/>
  <c r="I93"/>
  <c r="F93"/>
  <c r="F42" i="344" l="1"/>
  <c r="A34" i="338" s="1"/>
  <c r="F40" i="344"/>
  <c r="A32" i="338" s="1"/>
  <c r="F39" i="344"/>
  <c r="A31" i="338" s="1"/>
  <c r="F41" i="344"/>
  <c r="A33" i="338" s="1"/>
  <c r="F7" i="344" l="1"/>
  <c r="H40"/>
  <c r="F6"/>
  <c r="P39"/>
  <c r="F5"/>
  <c r="E42"/>
  <c r="E8" s="1"/>
  <c r="F8"/>
  <c r="H39"/>
  <c r="T41"/>
  <c r="E39"/>
  <c r="E5" s="1"/>
  <c r="H41"/>
  <c r="E41"/>
  <c r="E7" s="1"/>
  <c r="T39"/>
  <c r="P40"/>
  <c r="E40"/>
  <c r="E6" s="1"/>
  <c r="T40"/>
  <c r="H42"/>
  <c r="T42"/>
  <c r="A8" i="338" l="1"/>
  <c r="A11"/>
  <c r="A9"/>
  <c r="A10"/>
  <c r="T7" i="344"/>
  <c r="G7"/>
  <c r="H7"/>
  <c r="T6"/>
  <c r="P6"/>
  <c r="G6"/>
  <c r="H6"/>
  <c r="G8"/>
  <c r="H8"/>
  <c r="T8"/>
  <c r="P5"/>
  <c r="H5"/>
  <c r="G5"/>
  <c r="T5"/>
  <c r="C7" i="297" l="1"/>
  <c r="G11" i="190"/>
  <c r="H10"/>
  <c r="H11" s="1"/>
  <c r="D57" i="337" l="1"/>
  <c r="D23" s="1"/>
  <c r="E23"/>
  <c r="CO132" i="343"/>
  <c r="D54" i="344"/>
  <c r="G12" i="190"/>
  <c r="CP132" i="343"/>
  <c r="H12" i="190"/>
  <c r="L23" i="337" l="1"/>
  <c r="O23"/>
  <c r="CP139" i="343"/>
  <c r="CP133"/>
  <c r="CP143"/>
  <c r="CP142"/>
  <c r="CP138"/>
  <c r="CP136"/>
  <c r="CP140"/>
  <c r="CP135"/>
  <c r="CP137"/>
  <c r="CP134"/>
  <c r="CP141"/>
  <c r="F54" i="344"/>
  <c r="C54"/>
  <c r="C20" s="1"/>
  <c r="D20"/>
  <c r="CO139" i="343"/>
  <c r="CO140"/>
  <c r="CO135"/>
  <c r="CO143"/>
  <c r="CO136"/>
  <c r="CO134"/>
  <c r="CO133"/>
  <c r="CO141"/>
  <c r="CO142"/>
  <c r="CO137"/>
  <c r="CO138"/>
  <c r="H23" i="337" l="1"/>
  <c r="H57" s="1"/>
  <c r="G57" s="1"/>
  <c r="I23"/>
  <c r="H26"/>
  <c r="H60" s="1"/>
  <c r="G60" s="1"/>
  <c r="I26"/>
  <c r="H54" i="344"/>
  <c r="A52" i="340"/>
  <c r="A57" i="337"/>
  <c r="E54" i="344"/>
  <c r="E20" s="1"/>
  <c r="F20"/>
  <c r="A41" i="338"/>
  <c r="L54" i="344"/>
  <c r="R60" i="337" l="1"/>
  <c r="O60"/>
  <c r="I60"/>
  <c r="F60"/>
  <c r="F26" s="1"/>
  <c r="U60"/>
  <c r="O57"/>
  <c r="L57"/>
  <c r="I57"/>
  <c r="F57"/>
  <c r="F23" s="1"/>
  <c r="G20" i="344"/>
  <c r="A18" i="338"/>
  <c r="A18" i="340"/>
  <c r="A22" i="337"/>
  <c r="L20" i="344"/>
  <c r="H20"/>
  <c r="C6" i="297" l="1"/>
  <c r="CP4" i="343" l="1"/>
  <c r="E52" i="340"/>
  <c r="CO4" i="343" l="1"/>
  <c r="E18" i="340"/>
  <c r="D52"/>
  <c r="D18" s="1"/>
  <c r="G52"/>
  <c r="CP8" i="343"/>
  <c r="CP6"/>
  <c r="CP9"/>
  <c r="CP50"/>
  <c r="CP10"/>
  <c r="CP5"/>
  <c r="CP7"/>
  <c r="CP25"/>
  <c r="CP74"/>
  <c r="CP77" l="1"/>
  <c r="CP76"/>
  <c r="CP79"/>
  <c r="CP78"/>
  <c r="CP75"/>
  <c r="CO8"/>
  <c r="CO7"/>
  <c r="CO6"/>
  <c r="CO5"/>
  <c r="CO9"/>
  <c r="CO10"/>
  <c r="CO25"/>
  <c r="CO74"/>
  <c r="CO50"/>
  <c r="CP33"/>
  <c r="CP47"/>
  <c r="CP42"/>
  <c r="CP39"/>
  <c r="CP36"/>
  <c r="CP41"/>
  <c r="CP37"/>
  <c r="CP44"/>
  <c r="CP46"/>
  <c r="CP32"/>
  <c r="CP43"/>
  <c r="CP45"/>
  <c r="CP27"/>
  <c r="CP34"/>
  <c r="CP30"/>
  <c r="CP48"/>
  <c r="CP26"/>
  <c r="CP38"/>
  <c r="CP49"/>
  <c r="CP40"/>
  <c r="CP29"/>
  <c r="CP28"/>
  <c r="CP31"/>
  <c r="CP35"/>
  <c r="CP51"/>
  <c r="CP55"/>
  <c r="CP56"/>
  <c r="CP59"/>
  <c r="CP57"/>
  <c r="CP54"/>
  <c r="CP62"/>
  <c r="CP61"/>
  <c r="CP64"/>
  <c r="CP63"/>
  <c r="CP65"/>
  <c r="CP52"/>
  <c r="CP53"/>
  <c r="CP58"/>
  <c r="CP66"/>
  <c r="CP60"/>
  <c r="I52" i="340"/>
  <c r="M52"/>
  <c r="Q52"/>
  <c r="U52"/>
  <c r="G18"/>
  <c r="F52"/>
  <c r="F18" s="1"/>
  <c r="CP14" i="343"/>
  <c r="CP13"/>
  <c r="CP11"/>
  <c r="CP18"/>
  <c r="CP20"/>
  <c r="CP17"/>
  <c r="CP19"/>
  <c r="CP24"/>
  <c r="CP15"/>
  <c r="CP22"/>
  <c r="CP12"/>
  <c r="CP23"/>
  <c r="CP16"/>
  <c r="CP21"/>
  <c r="I18" i="340" l="1"/>
  <c r="U18"/>
  <c r="H18"/>
  <c r="Q18"/>
  <c r="W18"/>
  <c r="CO20" i="343"/>
  <c r="CO11"/>
  <c r="CO18"/>
  <c r="CO17"/>
  <c r="CO12"/>
  <c r="CO14"/>
  <c r="CO22"/>
  <c r="CO21"/>
  <c r="CO23"/>
  <c r="CO24"/>
  <c r="CO15"/>
  <c r="CO13"/>
  <c r="CO19"/>
  <c r="CO16"/>
  <c r="CO58"/>
  <c r="CO57"/>
  <c r="CO54"/>
  <c r="CO53"/>
  <c r="CO59"/>
  <c r="CO52"/>
  <c r="CO55"/>
  <c r="CO62"/>
  <c r="CO65"/>
  <c r="CO66"/>
  <c r="CO61"/>
  <c r="CO56"/>
  <c r="CO51"/>
  <c r="CO60"/>
  <c r="CO63"/>
  <c r="CO64"/>
  <c r="CO45"/>
  <c r="CO41"/>
  <c r="CO49"/>
  <c r="CO28"/>
  <c r="CO34"/>
  <c r="CO35"/>
  <c r="CO32"/>
  <c r="CO39"/>
  <c r="CO33"/>
  <c r="CO38"/>
  <c r="CO42"/>
  <c r="CO37"/>
  <c r="CO26"/>
  <c r="CO27"/>
  <c r="CO44"/>
  <c r="CO46"/>
  <c r="CO30"/>
  <c r="CO40"/>
  <c r="CO47"/>
  <c r="CO48"/>
  <c r="CO31"/>
  <c r="CO29"/>
  <c r="CO36"/>
  <c r="CO43"/>
  <c r="CO75"/>
  <c r="CO77"/>
  <c r="CO78"/>
  <c r="CO76"/>
  <c r="CO79"/>
  <c r="AU13" i="295" l="1"/>
  <c r="AU208"/>
  <c r="AU29" s="1"/>
  <c r="AR13"/>
  <c r="V11" i="193"/>
  <c r="O8" i="197" l="1"/>
  <c r="AS208" i="295"/>
  <c r="AS29" s="1"/>
  <c r="AS13"/>
  <c r="AR208"/>
  <c r="AR29" s="1"/>
  <c r="E83" i="340" l="1"/>
  <c r="D83" s="1"/>
  <c r="AY13" i="295"/>
  <c r="AX208"/>
  <c r="AX29" s="1"/>
  <c r="AZ13"/>
  <c r="AX13"/>
  <c r="BB13"/>
  <c r="F11" i="287"/>
  <c r="BF13" i="295"/>
  <c r="BF208"/>
  <c r="BF29" s="1"/>
  <c r="BA13"/>
  <c r="BA208"/>
  <c r="BA29" s="1"/>
  <c r="BC13"/>
  <c r="X11" i="193"/>
  <c r="X12" s="1"/>
  <c r="BC208" i="295"/>
  <c r="BC29" s="1"/>
  <c r="Y83" i="340" l="1"/>
  <c r="G83"/>
  <c r="I83" s="1"/>
  <c r="X14" i="193"/>
  <c r="BC209" i="295"/>
  <c r="BC14"/>
  <c r="M83" i="340" l="1"/>
  <c r="W83"/>
  <c r="F83"/>
  <c r="Q83"/>
  <c r="U83"/>
  <c r="BC210" i="295"/>
  <c r="BC211" l="1"/>
  <c r="BC16"/>
  <c r="BC17" l="1"/>
  <c r="BC212"/>
  <c r="R41" i="337"/>
  <c r="I41"/>
  <c r="F41" l="1"/>
  <c r="F7" s="1"/>
  <c r="U41"/>
  <c r="I7" l="1"/>
  <c r="O7"/>
  <c r="R7"/>
  <c r="U7"/>
  <c r="L7"/>
  <c r="D8" i="338"/>
  <c r="G8" s="1"/>
  <c r="G31" s="1"/>
  <c r="F31" s="1"/>
  <c r="K31" s="1"/>
  <c r="E31" l="1"/>
  <c r="E8" s="1"/>
  <c r="H31"/>
  <c r="A40" i="345"/>
  <c r="Q31" i="338"/>
  <c r="N31"/>
  <c r="D6"/>
  <c r="H8"/>
  <c r="D72" l="1"/>
  <c r="D29"/>
  <c r="AD12" i="294"/>
  <c r="AC12"/>
  <c r="CU4" i="343" l="1"/>
  <c r="CU5" l="1"/>
  <c r="CU7"/>
  <c r="CU10"/>
  <c r="CU74"/>
  <c r="CU25"/>
  <c r="CU9"/>
  <c r="CU6"/>
  <c r="CU8"/>
  <c r="CU50"/>
  <c r="CS4"/>
  <c r="CU55" l="1"/>
  <c r="CU62"/>
  <c r="CU64"/>
  <c r="CU51"/>
  <c r="CU52"/>
  <c r="CU53"/>
  <c r="CU61"/>
  <c r="CU56"/>
  <c r="CU57"/>
  <c r="CU59"/>
  <c r="CU65"/>
  <c r="CU66"/>
  <c r="CU58"/>
  <c r="CU63"/>
  <c r="CU60"/>
  <c r="CU54"/>
  <c r="CU26"/>
  <c r="CU39"/>
  <c r="CU40"/>
  <c r="CU37"/>
  <c r="CU29"/>
  <c r="CU31"/>
  <c r="CU49"/>
  <c r="CU47"/>
  <c r="CU33"/>
  <c r="CU32"/>
  <c r="CU35"/>
  <c r="CU36"/>
  <c r="CU44"/>
  <c r="CU45"/>
  <c r="CU41"/>
  <c r="CU46"/>
  <c r="CU30"/>
  <c r="CU27"/>
  <c r="CU28"/>
  <c r="CU42"/>
  <c r="CU38"/>
  <c r="CU48"/>
  <c r="CU43"/>
  <c r="CU34"/>
  <c r="CU17"/>
  <c r="CU16"/>
  <c r="CU23"/>
  <c r="CU11"/>
  <c r="CU24"/>
  <c r="CU21"/>
  <c r="CU22"/>
  <c r="CU19"/>
  <c r="CU15"/>
  <c r="CU12"/>
  <c r="CU20"/>
  <c r="CU13"/>
  <c r="CU14"/>
  <c r="CU18"/>
  <c r="CS7"/>
  <c r="CS9"/>
  <c r="CS25"/>
  <c r="CS5"/>
  <c r="CS6"/>
  <c r="CS8"/>
  <c r="CS50"/>
  <c r="CS10"/>
  <c r="CS74"/>
  <c r="CU78"/>
  <c r="CU79"/>
  <c r="CU76"/>
  <c r="CU77"/>
  <c r="CU75"/>
  <c r="CS77" l="1"/>
  <c r="CS75"/>
  <c r="CS79"/>
  <c r="CS78"/>
  <c r="CS76"/>
  <c r="CS57"/>
  <c r="CS65"/>
  <c r="CS64"/>
  <c r="CS51"/>
  <c r="CS52"/>
  <c r="CS58"/>
  <c r="CS55"/>
  <c r="CS60"/>
  <c r="CS62"/>
  <c r="CS61"/>
  <c r="CS54"/>
  <c r="CS63"/>
  <c r="CS53"/>
  <c r="CS56"/>
  <c r="CS66"/>
  <c r="CS59"/>
  <c r="CS34"/>
  <c r="CS29"/>
  <c r="CS37"/>
  <c r="CS45"/>
  <c r="CS39"/>
  <c r="CS32"/>
  <c r="CS40"/>
  <c r="CS48"/>
  <c r="CS46"/>
  <c r="CS44"/>
  <c r="CS49"/>
  <c r="CS35"/>
  <c r="CS33"/>
  <c r="CS31"/>
  <c r="CS38"/>
  <c r="CS30"/>
  <c r="CS43"/>
  <c r="CS41"/>
  <c r="CS47"/>
  <c r="CS36"/>
  <c r="CS27"/>
  <c r="CS26"/>
  <c r="CS42"/>
  <c r="CS28"/>
  <c r="CS24"/>
  <c r="CS18"/>
  <c r="CS15"/>
  <c r="CS12"/>
  <c r="CS14"/>
  <c r="CS20"/>
  <c r="CS13"/>
  <c r="CS21"/>
  <c r="CS23"/>
  <c r="CS19"/>
  <c r="CS16"/>
  <c r="CS11"/>
  <c r="CS17"/>
  <c r="CS22"/>
  <c r="K11" i="352"/>
  <c r="K12" s="1"/>
  <c r="L10"/>
  <c r="L11" l="1"/>
  <c r="L12" s="1"/>
  <c r="F81" i="297"/>
  <c r="F82"/>
  <c r="F80"/>
  <c r="F79"/>
  <c r="F76"/>
  <c r="F78"/>
  <c r="F85"/>
  <c r="F77"/>
  <c r="F84"/>
  <c r="F86"/>
  <c r="F83"/>
  <c r="AS209" i="295"/>
  <c r="AS14"/>
  <c r="AS176"/>
  <c r="BA34"/>
  <c r="BA176" s="1"/>
  <c r="K41" i="193" l="1"/>
  <c r="V14"/>
  <c r="BA14" i="295"/>
  <c r="BA209"/>
  <c r="E17" i="197"/>
  <c r="D17"/>
</calcChain>
</file>

<file path=xl/comments1.xml><?xml version="1.0" encoding="utf-8"?>
<comments xmlns="http://schemas.openxmlformats.org/spreadsheetml/2006/main">
  <authors>
    <author>Автор</author>
  </authors>
  <commentList>
    <comment ref="S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 Рады нет погонажа в покрытиии Ясень крашеный, считают погонаж в эмали (выделено желтым)
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AD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эмали</t>
        </r>
      </text>
    </comment>
    <comment ref="AE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эмали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O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полотну элеганс</t>
        </r>
      </text>
    </comment>
    <comment ref="Q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полотну Турин</t>
        </r>
      </text>
    </comment>
    <comment ref="V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полотну Бергамо</t>
        </r>
      </text>
    </comment>
    <comment ref="AR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полотну Палермо</t>
        </r>
      </text>
    </comment>
    <comment ref="D1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D1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базового шпона</t>
        </r>
      </text>
    </comment>
    <comment ref="D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эмали</t>
        </r>
      </text>
    </comment>
    <comment ref="D5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D5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E5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ясеня
</t>
        </r>
      </text>
    </comment>
    <comment ref="D5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E5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ясеня</t>
        </r>
      </text>
    </comment>
    <comment ref="BB8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Porte
</t>
        </r>
      </text>
    </comment>
    <comment ref="BB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Porte
</t>
        </r>
      </text>
    </comment>
    <comment ref="BB15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Porte
</t>
        </r>
      </text>
    </comment>
    <comment ref="D15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D15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E15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ясеня
</t>
        </r>
      </text>
    </comment>
    <comment ref="D15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E15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ясеня</t>
        </r>
      </text>
    </comment>
  </commentList>
</comments>
</file>

<file path=xl/comments4.xml><?xml version="1.0" encoding="utf-8"?>
<comments xmlns="http://schemas.openxmlformats.org/spreadsheetml/2006/main">
  <authors>
    <author>Автор</author>
  </authors>
  <commentList>
    <comment ref="F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G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H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Q</t>
        </r>
      </text>
    </comment>
    <comment ref="K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L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P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прямому алюм.коробу</t>
        </r>
      </text>
    </comment>
    <comment ref="T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U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W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10*90
</t>
        </r>
      </text>
    </comment>
    <comment ref="AB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C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D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16*90</t>
        </r>
      </text>
    </comment>
    <comment ref="AE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F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J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Q 10*90
</t>
        </r>
      </text>
    </comment>
    <comment ref="AR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AS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AW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за 10 мм</t>
        </r>
      </text>
    </comment>
    <comment ref="BC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BD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
</t>
        </r>
      </text>
    </comment>
    <comment ref="BH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10*75
</t>
        </r>
      </text>
    </comment>
    <comment ref="BI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10*90
</t>
        </r>
      </text>
    </comment>
    <comment ref="BJ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16*90
</t>
        </r>
      </text>
    </comment>
    <comment ref="BK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75
</t>
        </r>
      </text>
    </comment>
    <comment ref="BL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90
</t>
        </r>
      </text>
    </comment>
    <comment ref="BM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110
</t>
        </r>
      </text>
    </comment>
    <comment ref="BN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BO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Step</t>
        </r>
      </text>
    </comment>
    <comment ref="BP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Модерн</t>
        </r>
      </text>
    </comment>
    <comment ref="BS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33*33
</t>
        </r>
      </text>
    </comment>
    <comment ref="BT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39*39</t>
        </r>
      </text>
    </comment>
    <comment ref="BV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33*10
</t>
        </r>
      </text>
    </comment>
    <comment ref="BW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X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45*45</t>
        </r>
      </text>
    </comment>
    <comment ref="CA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76*76
</t>
        </r>
      </text>
    </comment>
    <comment ref="CB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86*86
</t>
        </r>
      </text>
    </comment>
    <comment ref="CC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91*91
</t>
        </r>
      </text>
    </comment>
    <comment ref="CD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H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K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N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стандартной шашки 91*91*16</t>
        </r>
      </text>
    </comment>
    <comment ref="DE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F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G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H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I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Погонажный (1000)</t>
        </r>
      </text>
    </comment>
    <comment ref="DJ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британия 1000</t>
        </r>
      </text>
    </comment>
    <comment ref="DL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M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P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WL/ML наличнику</t>
        </r>
      </text>
    </comment>
    <comment ref="DQ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колонне погонажной
</t>
        </r>
      </text>
    </comment>
    <comment ref="DT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</t>
        </r>
      </text>
    </comment>
    <comment ref="DX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TURIN</t>
        </r>
      </text>
    </comment>
    <comment ref="DY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PALERMO/ RIMINI</t>
        </r>
      </text>
    </comment>
    <comment ref="C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C1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ясеня</t>
        </r>
      </text>
    </comment>
    <comment ref="C1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базового шпона</t>
        </r>
      </text>
    </comment>
    <comment ref="F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G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L,M</t>
        </r>
      </text>
    </comment>
    <comment ref="H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Q *1,1
</t>
        </r>
      </text>
    </comment>
    <comment ref="K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 (по эмали) далее по покрытиям идут коэфц от эмали</t>
        </r>
      </text>
    </comment>
    <comment ref="L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P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прямому алюм.коробу</t>
        </r>
      </text>
    </comment>
    <comment ref="T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U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W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10*90
</t>
        </r>
      </text>
    </comment>
    <comment ref="AB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по эмали, от этамли к другим покрытиям по коэфиц</t>
        </r>
      </text>
    </comment>
    <comment ref="AC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D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16*90</t>
        </r>
      </text>
    </comment>
    <comment ref="AF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J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Q 10*90
</t>
        </r>
      </text>
    </comment>
    <comment ref="AR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AS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75 - коэфиц понижения цены
</t>
        </r>
      </text>
    </comment>
    <comment ref="AT28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User: высчитываем за 10 от одностороннего
за 100 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U28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User: высчитываем за 10 от одностороннего
за 100 и *1,7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W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двухстороннему L за 10 мм</t>
        </r>
      </text>
    </comment>
    <comment ref="BC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BD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 
 по эмали гладкой, по др покрытиям кооэфициенты к эмали
</t>
        </r>
      </text>
    </comment>
    <comment ref="BH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10*75
</t>
        </r>
      </text>
    </comment>
    <comment ref="BI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10*90
</t>
        </r>
      </text>
    </comment>
    <comment ref="BJ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16*90
</t>
        </r>
      </text>
    </comment>
    <comment ref="BK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75
</t>
        </r>
      </text>
    </comment>
    <comment ref="BL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90
</t>
        </r>
      </text>
    </comment>
    <comment ref="BM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110
</t>
        </r>
      </text>
    </comment>
    <comment ref="BN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= наличник Арно с поправкой на длину. Цену наличника/2,4 и *2 м</t>
        </r>
      </text>
    </comment>
    <comment ref="BO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Step</t>
        </r>
      </text>
    </comment>
    <comment ref="BP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Модерн</t>
        </r>
      </text>
    </comment>
    <comment ref="BS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33*33
</t>
        </r>
      </text>
    </comment>
    <comment ref="BT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39*39</t>
        </r>
      </text>
    </comment>
    <comment ref="BU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цене двойного расширителя L за 10 мм с коррекцией по толщине окр до 50
</t>
        </r>
      </text>
    </comment>
    <comment ref="BV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W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X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45*45</t>
        </r>
      </text>
    </comment>
    <comment ref="CA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76*76
</t>
        </r>
      </text>
    </comment>
    <comment ref="CB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86*86
</t>
        </r>
      </text>
    </comment>
    <comment ref="CC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91*91
</t>
        </r>
      </text>
    </comment>
    <comment ref="CD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H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K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N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стандартной шашки 91*91*16</t>
        </r>
      </text>
    </comment>
    <comment ref="DE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ML *1,45
</t>
        </r>
      </text>
    </comment>
    <comment ref="DF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G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H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I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Погонажный (1000)</t>
        </r>
      </text>
    </comment>
    <comment ref="DJ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британия 1000</t>
        </r>
      </text>
    </comment>
    <comment ref="DK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M110/Модерн</t>
        </r>
      </text>
    </comment>
    <comment ref="DL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M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Британия</t>
        </r>
      </text>
    </comment>
    <comment ref="DP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WL/ML наличнику</t>
        </r>
      </text>
    </comment>
    <comment ref="DQ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L16*75
</t>
        </r>
      </text>
    </comment>
    <comment ref="DT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</t>
        </r>
      </text>
    </comment>
    <comment ref="DV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полотну Spline
</t>
        </r>
      </text>
    </comment>
    <comment ref="DW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 с зеркалом с 1 стороны 
</t>
        </r>
      </text>
    </comment>
    <comment ref="DX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TURIN</t>
        </r>
      </text>
    </comment>
    <comment ref="DY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PALERMO/ RIMINI</t>
        </r>
      </text>
    </comment>
    <comment ref="T2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
</t>
        </r>
      </text>
    </comment>
    <comment ref="U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V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W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AG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D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G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I31" authorId="0">
      <text>
        <r>
          <rPr>
            <b/>
            <sz val="9"/>
            <color indexed="81"/>
            <rFont val="Tahoma"/>
            <family val="2"/>
            <charset val="204"/>
          </rPr>
          <t>use 
оставляем как было</t>
        </r>
      </text>
    </comment>
    <comment ref="BR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S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DE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артекс оставляем как было</t>
        </r>
      </text>
    </comment>
    <comment ref="C3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эмали</t>
        </r>
      </text>
    </comment>
    <comment ref="C3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F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G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L,M</t>
        </r>
      </text>
    </comment>
    <comment ref="H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Q *1,1
</t>
        </r>
      </text>
    </comment>
    <comment ref="K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 (по эмали) далее по покрытиям идут коэфц от эмали</t>
        </r>
      </text>
    </comment>
    <comment ref="L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P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прямому алюм.коробу</t>
        </r>
      </text>
    </comment>
    <comment ref="T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U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W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10*90
</t>
        </r>
      </text>
    </comment>
    <comment ref="AB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по эмали, от этамли к другим покрытиям по коэфиц</t>
        </r>
      </text>
    </comment>
    <comment ref="AC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D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16*90</t>
        </r>
      </text>
    </comment>
    <comment ref="AF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J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Q 10*90
</t>
        </r>
      </text>
    </comment>
    <comment ref="AR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AS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75 - коэфиц понижения цены
</t>
        </r>
      </text>
    </comment>
    <comment ref="AT51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User: высчитываем за 10 от одностороннего
за 100 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U51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User: высчитываем за 10 от одностороннего
за 100 и *1,7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W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двухстороннему L за 10 мм</t>
        </r>
      </text>
    </comment>
    <comment ref="BC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BD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 
 по эмали гладкой, по др покрытиям кооэфициенты к эмали
</t>
        </r>
      </text>
    </comment>
    <comment ref="BH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10*75
</t>
        </r>
      </text>
    </comment>
    <comment ref="BI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10*90
</t>
        </r>
      </text>
    </comment>
    <comment ref="BJ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16*90
</t>
        </r>
      </text>
    </comment>
    <comment ref="BK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75
</t>
        </r>
      </text>
    </comment>
    <comment ref="BL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90
</t>
        </r>
      </text>
    </comment>
    <comment ref="BM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110
</t>
        </r>
      </text>
    </comment>
    <comment ref="BN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= наличник Арно с поправкой на длину. Цену наличника/2,4 и *2 м</t>
        </r>
      </text>
    </comment>
    <comment ref="BO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Step</t>
        </r>
      </text>
    </comment>
    <comment ref="BP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Модерн</t>
        </r>
      </text>
    </comment>
    <comment ref="BS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33*33
</t>
        </r>
      </text>
    </comment>
    <comment ref="BT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39*39</t>
        </r>
      </text>
    </comment>
    <comment ref="BU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цене двойного расширителя L за 10 мм с коррекцией по толщине окр до 50
</t>
        </r>
      </text>
    </comment>
    <comment ref="BV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W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X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45*45</t>
        </r>
      </text>
    </comment>
    <comment ref="CA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76*76
</t>
        </r>
      </text>
    </comment>
    <comment ref="CB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86*86
</t>
        </r>
      </text>
    </comment>
    <comment ref="CC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91*91
</t>
        </r>
      </text>
    </comment>
    <comment ref="CD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H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K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N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стандартной шашки 91*91*16</t>
        </r>
      </text>
    </comment>
    <comment ref="DE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ML *1,45
</t>
        </r>
      </text>
    </comment>
    <comment ref="DF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G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H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I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Погонажный (1000)</t>
        </r>
      </text>
    </comment>
    <comment ref="DJ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британия 1000</t>
        </r>
      </text>
    </comment>
    <comment ref="DK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M110/Модерн</t>
        </r>
      </text>
    </comment>
    <comment ref="DL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M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Британия</t>
        </r>
      </text>
    </comment>
    <comment ref="DP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WL/ML наличнику</t>
        </r>
      </text>
    </comment>
    <comment ref="DQ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L16*75
</t>
        </r>
      </text>
    </comment>
    <comment ref="DT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</t>
        </r>
      </text>
    </comment>
    <comment ref="DV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полотну Spline
</t>
        </r>
      </text>
    </comment>
    <comment ref="DW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 с зеркалом с 1 стороны 
</t>
        </r>
      </text>
    </comment>
    <comment ref="DX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TURIN</t>
        </r>
      </text>
    </comment>
    <comment ref="DY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PALERMO/ RIMINI</t>
        </r>
      </text>
    </comment>
    <comment ref="T5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
</t>
        </r>
      </text>
    </comment>
    <comment ref="U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V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W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AG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D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G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I54" authorId="0">
      <text>
        <r>
          <rPr>
            <b/>
            <sz val="9"/>
            <color indexed="81"/>
            <rFont val="Tahoma"/>
            <family val="2"/>
            <charset val="204"/>
          </rPr>
          <t>use 
оставляем как было</t>
        </r>
      </text>
    </comment>
    <comment ref="BR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S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DE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артекс оставляем как было</t>
        </r>
      </text>
    </comment>
    <comment ref="F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G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L,M</t>
        </r>
      </text>
    </comment>
    <comment ref="H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Q *1,1
</t>
        </r>
      </text>
    </comment>
    <comment ref="K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 (по эмали) далее по покрытиям идут коэфц от эмали</t>
        </r>
      </text>
    </comment>
    <comment ref="L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P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прямому алюм.коробу</t>
        </r>
      </text>
    </comment>
    <comment ref="T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U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W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10*90
</t>
        </r>
      </text>
    </comment>
    <comment ref="AB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по эмали, от этамли к другим покрытиям по коэфиц</t>
        </r>
      </text>
    </comment>
    <comment ref="AC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D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16*90</t>
        </r>
      </text>
    </comment>
    <comment ref="AF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J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Q 10*90
</t>
        </r>
      </text>
    </comment>
    <comment ref="AR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AS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75 - коэфиц понижения цены
</t>
        </r>
      </text>
    </comment>
    <comment ref="AT74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User: высчитываем за 10 от одностороннего
за 100 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U74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User: высчитываем за 10 от одностороннего
за 100 и *1,7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W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двухстороннему L за 10 мм</t>
        </r>
      </text>
    </comment>
    <comment ref="BC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BD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 
 по эмали гладкой, по др покрытиям кооэфициенты к эмали
</t>
        </r>
      </text>
    </comment>
    <comment ref="BH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10*75
</t>
        </r>
      </text>
    </comment>
    <comment ref="BI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10*90
</t>
        </r>
      </text>
    </comment>
    <comment ref="BJ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16*90
</t>
        </r>
      </text>
    </comment>
    <comment ref="BK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75
</t>
        </r>
      </text>
    </comment>
    <comment ref="BL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90
</t>
        </r>
      </text>
    </comment>
    <comment ref="BM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110
</t>
        </r>
      </text>
    </comment>
    <comment ref="BN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= наличник Арно с поправкой на длину. Цену наличника/2,4 и *2 м</t>
        </r>
      </text>
    </comment>
    <comment ref="BO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Step</t>
        </r>
      </text>
    </comment>
    <comment ref="BP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Модерн</t>
        </r>
      </text>
    </comment>
    <comment ref="BS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33*33
</t>
        </r>
      </text>
    </comment>
    <comment ref="BT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39*39</t>
        </r>
      </text>
    </comment>
    <comment ref="BU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цене двойного расширителя L за 10 мм с коррекцией по толщине окр до 50
</t>
        </r>
      </text>
    </comment>
    <comment ref="BV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W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X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45*45</t>
        </r>
      </text>
    </comment>
    <comment ref="CA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76*76
</t>
        </r>
      </text>
    </comment>
    <comment ref="CB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86*86
</t>
        </r>
      </text>
    </comment>
    <comment ref="CC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91*91
</t>
        </r>
      </text>
    </comment>
    <comment ref="CD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H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K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N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стандартной шашки 91*91*16</t>
        </r>
      </text>
    </comment>
    <comment ref="DE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ML *1,45
</t>
        </r>
      </text>
    </comment>
    <comment ref="DF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G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H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I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Погонажный (1000)</t>
        </r>
      </text>
    </comment>
    <comment ref="DJ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британия 1000</t>
        </r>
      </text>
    </comment>
    <comment ref="DK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M110/Модерн</t>
        </r>
      </text>
    </comment>
    <comment ref="DL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M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Британия</t>
        </r>
      </text>
    </comment>
    <comment ref="DP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WL/ML наличнику</t>
        </r>
      </text>
    </comment>
    <comment ref="DQ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L16*75
</t>
        </r>
      </text>
    </comment>
    <comment ref="DT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</t>
        </r>
      </text>
    </comment>
    <comment ref="DV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полотну Spline
</t>
        </r>
      </text>
    </comment>
    <comment ref="DW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 с зеркалом с 1 стороны 
</t>
        </r>
      </text>
    </comment>
    <comment ref="DX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TURIN</t>
        </r>
      </text>
    </comment>
    <comment ref="DY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PALERMO/ RIMINI</t>
        </r>
      </text>
    </comment>
    <comment ref="T7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
</t>
        </r>
      </text>
    </comment>
    <comment ref="U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V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W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AG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D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G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I77" authorId="0">
      <text>
        <r>
          <rPr>
            <b/>
            <sz val="9"/>
            <color indexed="81"/>
            <rFont val="Tahoma"/>
            <family val="2"/>
            <charset val="204"/>
          </rPr>
          <t>use 
оставляем как было</t>
        </r>
      </text>
    </comment>
    <comment ref="BR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S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DE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артекс оставляем как было</t>
        </r>
      </text>
    </comment>
    <comment ref="F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G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L,M</t>
        </r>
      </text>
    </comment>
    <comment ref="H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Q *1,1
</t>
        </r>
      </text>
    </comment>
    <comment ref="K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 (по эмали) далее по покрытиям идут коэфц от эмали</t>
        </r>
      </text>
    </comment>
    <comment ref="L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P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прямому алюм.коробу</t>
        </r>
      </text>
    </comment>
    <comment ref="T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U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W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10*90
</t>
        </r>
      </text>
    </comment>
    <comment ref="AB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по эмали, от этамли к другим покрытиям по коэфиц</t>
        </r>
      </text>
    </comment>
    <comment ref="AC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D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16*90</t>
        </r>
      </text>
    </comment>
    <comment ref="AF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J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Q 10*90
</t>
        </r>
      </text>
    </comment>
    <comment ref="AR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AS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75 - коэфиц понижения цены
</t>
        </r>
      </text>
    </comment>
    <comment ref="AT91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User: высчитываем за 10 от одностороннего
за 100 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U91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User: высчитываем за 10 от одностороннего
за 100 и *1,7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W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двухстороннему L за 10 мм</t>
        </r>
      </text>
    </comment>
    <comment ref="BC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BD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 
 по эмали гладкой, по др покрытиям кооэфициенты к эмали
</t>
        </r>
      </text>
    </comment>
    <comment ref="BH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10*75
</t>
        </r>
      </text>
    </comment>
    <comment ref="BI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10*90
</t>
        </r>
      </text>
    </comment>
    <comment ref="BJ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16*90
</t>
        </r>
      </text>
    </comment>
    <comment ref="BK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75
</t>
        </r>
      </text>
    </comment>
    <comment ref="BL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90
</t>
        </r>
      </text>
    </comment>
    <comment ref="BM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110
</t>
        </r>
      </text>
    </comment>
    <comment ref="BN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= наличник Арно с поправкой на длину. Цену наличника/2,4 и *2 м</t>
        </r>
      </text>
    </comment>
    <comment ref="BO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Step</t>
        </r>
      </text>
    </comment>
    <comment ref="BP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Модерн</t>
        </r>
      </text>
    </comment>
    <comment ref="BS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33*33
</t>
        </r>
      </text>
    </comment>
    <comment ref="BT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39*39</t>
        </r>
      </text>
    </comment>
    <comment ref="BU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цене двойного расширителя L за 10 мм с коррекцией по толщине окр до 50
</t>
        </r>
      </text>
    </comment>
    <comment ref="BV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W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X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45*45</t>
        </r>
      </text>
    </comment>
    <comment ref="CA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76*76
</t>
        </r>
      </text>
    </comment>
    <comment ref="CB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86*86
</t>
        </r>
      </text>
    </comment>
    <comment ref="CC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91*91
</t>
        </r>
      </text>
    </comment>
    <comment ref="CD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H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K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N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стандартной шашки 91*91*16</t>
        </r>
      </text>
    </comment>
    <comment ref="DE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ML *1,45
</t>
        </r>
      </text>
    </comment>
    <comment ref="DF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G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H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I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Погонажный (1000)</t>
        </r>
      </text>
    </comment>
    <comment ref="DJ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британия 1000</t>
        </r>
      </text>
    </comment>
    <comment ref="DK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M110/Модерн</t>
        </r>
      </text>
    </comment>
    <comment ref="DL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M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Британия</t>
        </r>
      </text>
    </comment>
    <comment ref="DP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WL/ML наличнику</t>
        </r>
      </text>
    </comment>
    <comment ref="DQ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L16*75
</t>
        </r>
      </text>
    </comment>
    <comment ref="DT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</t>
        </r>
      </text>
    </comment>
    <comment ref="DV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полотну Spline
</t>
        </r>
      </text>
    </comment>
    <comment ref="DW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 с зеркалом с 1 стороны 
</t>
        </r>
      </text>
    </comment>
    <comment ref="DX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TURIN</t>
        </r>
      </text>
    </comment>
    <comment ref="DY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PALERMO/ RIMINI</t>
        </r>
      </text>
    </comment>
    <comment ref="U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V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W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AG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D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G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I94" authorId="0">
      <text>
        <r>
          <rPr>
            <b/>
            <sz val="9"/>
            <color indexed="81"/>
            <rFont val="Tahoma"/>
            <family val="2"/>
            <charset val="204"/>
          </rPr>
          <t>use 
оставляем как было</t>
        </r>
      </text>
    </comment>
    <comment ref="BR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S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DE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артекс оставляем как было</t>
        </r>
      </text>
    </comment>
    <comment ref="F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G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L,M</t>
        </r>
      </text>
    </comment>
    <comment ref="H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Q *1,1
</t>
        </r>
      </text>
    </comment>
    <comment ref="K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 (по эмали) далее по покрытиям идут коэфц от эмали</t>
        </r>
      </text>
    </comment>
    <comment ref="L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P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прямому алюм.коробу</t>
        </r>
      </text>
    </comment>
    <comment ref="T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U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W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10*90
</t>
        </r>
      </text>
    </comment>
    <comment ref="AB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по эмали, от этамли к другим покрытиям по коэфиц</t>
        </r>
      </text>
    </comment>
    <comment ref="AC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D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16*90</t>
        </r>
      </text>
    </comment>
    <comment ref="AF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J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Q 10*90
</t>
        </r>
      </text>
    </comment>
    <comment ref="AR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AS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75 - коэфиц понижения цены
</t>
        </r>
      </text>
    </comment>
    <comment ref="AT114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User: высчитываем за 10 от одностороннего
за 100 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U114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User: высчитываем за 10 от одностороннего
за 100 и *1,7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W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двухстороннему L за 10 мм</t>
        </r>
      </text>
    </comment>
    <comment ref="BC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BD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 
 по эмали гладкой, по др покрытиям кооэфициенты к эмали
</t>
        </r>
      </text>
    </comment>
    <comment ref="BH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10*75
</t>
        </r>
      </text>
    </comment>
    <comment ref="BI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10*90
</t>
        </r>
      </text>
    </comment>
    <comment ref="BJ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16*90
</t>
        </r>
      </text>
    </comment>
    <comment ref="BK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75
</t>
        </r>
      </text>
    </comment>
    <comment ref="BL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90
</t>
        </r>
      </text>
    </comment>
    <comment ref="BM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110
</t>
        </r>
      </text>
    </comment>
    <comment ref="BN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= наличник Арно с поправкой на длину. Цену наличника/2,4 и *2 м</t>
        </r>
      </text>
    </comment>
    <comment ref="BO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Step</t>
        </r>
      </text>
    </comment>
    <comment ref="BP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Модерн</t>
        </r>
      </text>
    </comment>
    <comment ref="BS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33*33
</t>
        </r>
      </text>
    </comment>
    <comment ref="BT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39*39</t>
        </r>
      </text>
    </comment>
    <comment ref="BU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цене двойного расширителя L за 10 мм с коррекцией по толщине окр до 50
</t>
        </r>
      </text>
    </comment>
    <comment ref="BV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W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X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45*45</t>
        </r>
      </text>
    </comment>
    <comment ref="CA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76*76
</t>
        </r>
      </text>
    </comment>
    <comment ref="CB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86*86
</t>
        </r>
      </text>
    </comment>
    <comment ref="CC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91*91
</t>
        </r>
      </text>
    </comment>
    <comment ref="CD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H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K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N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стандартной шашки 91*91*16</t>
        </r>
      </text>
    </comment>
    <comment ref="DE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ML *1,45
</t>
        </r>
      </text>
    </comment>
    <comment ref="DF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G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H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I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Погонажный (1000)</t>
        </r>
      </text>
    </comment>
    <comment ref="DJ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британия 1000</t>
        </r>
      </text>
    </comment>
    <comment ref="DK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M110/Модерн</t>
        </r>
      </text>
    </comment>
    <comment ref="DL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M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Британия</t>
        </r>
      </text>
    </comment>
    <comment ref="DP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WL/ML наличнику</t>
        </r>
      </text>
    </comment>
    <comment ref="DQ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L16*75
</t>
        </r>
      </text>
    </comment>
    <comment ref="DT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</t>
        </r>
      </text>
    </comment>
    <comment ref="DV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полотну Spline
</t>
        </r>
      </text>
    </comment>
    <comment ref="DW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 с зеркалом с 1 стороны 
</t>
        </r>
      </text>
    </comment>
    <comment ref="DX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TURIN</t>
        </r>
      </text>
    </comment>
    <comment ref="DY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PALERMO/ RIMINI</t>
        </r>
      </text>
    </comment>
    <comment ref="T11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
</t>
        </r>
      </text>
    </comment>
    <comment ref="U1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V1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W1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AG1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D1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G1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I117" authorId="0">
      <text>
        <r>
          <rPr>
            <b/>
            <sz val="9"/>
            <color indexed="81"/>
            <rFont val="Tahoma"/>
            <family val="2"/>
            <charset val="204"/>
          </rPr>
          <t>use 
оставляем как было</t>
        </r>
      </text>
    </comment>
    <comment ref="BR1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S1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DE1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артекс оставляем как было</t>
        </r>
      </text>
    </comment>
    <comment ref="C1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эмали</t>
        </r>
      </text>
    </comment>
    <comment ref="C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F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G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H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Q</t>
        </r>
      </text>
    </comment>
    <comment ref="K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L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P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прямому алюм.коробу</t>
        </r>
      </text>
    </comment>
    <comment ref="T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U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W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10*90
</t>
        </r>
      </text>
    </comment>
    <comment ref="AB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C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D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16*90</t>
        </r>
      </text>
    </comment>
    <comment ref="AE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F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J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Q 10*90
</t>
        </r>
      </text>
    </comment>
    <comment ref="AR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AS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AW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за 10 мм</t>
        </r>
      </text>
    </comment>
    <comment ref="BC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BD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
</t>
        </r>
      </text>
    </comment>
    <comment ref="BH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10*75
</t>
        </r>
      </text>
    </comment>
    <comment ref="BI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10*90
</t>
        </r>
      </text>
    </comment>
    <comment ref="BJ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16*90
</t>
        </r>
      </text>
    </comment>
    <comment ref="BK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75
</t>
        </r>
      </text>
    </comment>
    <comment ref="BL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90
</t>
        </r>
      </text>
    </comment>
    <comment ref="BM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110
</t>
        </r>
      </text>
    </comment>
    <comment ref="BN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BO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Step</t>
        </r>
      </text>
    </comment>
    <comment ref="BP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Модерн</t>
        </r>
      </text>
    </comment>
    <comment ref="BS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33*33
</t>
        </r>
      </text>
    </comment>
    <comment ref="BT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39*39</t>
        </r>
      </text>
    </comment>
    <comment ref="BV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33*10
</t>
        </r>
      </text>
    </comment>
    <comment ref="BW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X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45*45</t>
        </r>
      </text>
    </comment>
    <comment ref="CA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76*76
</t>
        </r>
      </text>
    </comment>
    <comment ref="CB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86*86
</t>
        </r>
      </text>
    </comment>
    <comment ref="CC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91*91
</t>
        </r>
      </text>
    </comment>
    <comment ref="CD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H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K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N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стандартной шашки 91*91*16</t>
        </r>
      </text>
    </comment>
    <comment ref="DE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F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G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H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I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Погонажный (1000)</t>
        </r>
      </text>
    </comment>
    <comment ref="DJ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британия 1000</t>
        </r>
      </text>
    </comment>
    <comment ref="DK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брусу L</t>
        </r>
      </text>
    </comment>
    <comment ref="DL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M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P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WL/ML наличнику</t>
        </r>
      </text>
    </comment>
    <comment ref="DQ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колонне погонажной
</t>
        </r>
      </text>
    </comment>
    <comment ref="DT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</t>
        </r>
      </text>
    </comment>
    <comment ref="DX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TURIN</t>
        </r>
      </text>
    </comment>
    <comment ref="DY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PALERMO/ RIMINI</t>
        </r>
      </text>
    </comment>
    <comment ref="C15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C15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ясеня</t>
        </r>
      </text>
    </comment>
    <comment ref="C16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базового шпона</t>
        </r>
      </text>
    </comment>
    <comment ref="U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W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10*90
</t>
        </r>
      </text>
    </comment>
    <comment ref="AB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C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D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16*90</t>
        </r>
      </text>
    </comment>
    <comment ref="AE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F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J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Q 10*90
</t>
        </r>
      </text>
    </comment>
    <comment ref="AR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AS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AW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за 10 мм</t>
        </r>
      </text>
    </comment>
    <comment ref="BC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BD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
</t>
        </r>
      </text>
    </comment>
    <comment ref="BH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10*75
</t>
        </r>
      </text>
    </comment>
    <comment ref="BI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10*90
</t>
        </r>
      </text>
    </comment>
    <comment ref="BJ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16*90
</t>
        </r>
      </text>
    </comment>
    <comment ref="BK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75
</t>
        </r>
      </text>
    </comment>
    <comment ref="BL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90
</t>
        </r>
      </text>
    </comment>
    <comment ref="BM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110
</t>
        </r>
      </text>
    </comment>
    <comment ref="BN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BO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Step</t>
        </r>
      </text>
    </comment>
    <comment ref="BP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Модерн</t>
        </r>
      </text>
    </comment>
    <comment ref="BS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33*33
</t>
        </r>
      </text>
    </comment>
    <comment ref="BT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39*39</t>
        </r>
      </text>
    </comment>
    <comment ref="BV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33*10
</t>
        </r>
      </text>
    </comment>
    <comment ref="BW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X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45*45</t>
        </r>
      </text>
    </comment>
    <comment ref="DE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F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G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H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I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Погонажный (1000)</t>
        </r>
      </text>
    </comment>
    <comment ref="DJ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британия 1000</t>
        </r>
      </text>
    </comment>
    <comment ref="DL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M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P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WL/ML наличнику</t>
        </r>
      </text>
    </comment>
    <comment ref="DQ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колонне погонажной
</t>
        </r>
      </text>
    </comment>
    <comment ref="DT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</t>
        </r>
      </text>
    </comment>
    <comment ref="DX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TURIN</t>
        </r>
      </text>
    </comment>
    <comment ref="DY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PALERMO/ RIMINI</t>
        </r>
      </text>
    </comment>
    <comment ref="U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W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10*90
</t>
        </r>
      </text>
    </comment>
    <comment ref="AB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C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D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16*90</t>
        </r>
      </text>
    </comment>
    <comment ref="AE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F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J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Q 10*90
</t>
        </r>
      </text>
    </comment>
    <comment ref="AR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AS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AW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за 10 мм</t>
        </r>
      </text>
    </comment>
    <comment ref="BC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BD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
</t>
        </r>
      </text>
    </comment>
    <comment ref="BH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10*75
</t>
        </r>
      </text>
    </comment>
    <comment ref="BI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10*90
</t>
        </r>
      </text>
    </comment>
    <comment ref="BJ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16*90
</t>
        </r>
      </text>
    </comment>
    <comment ref="BK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75
</t>
        </r>
      </text>
    </comment>
    <comment ref="BL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90
</t>
        </r>
      </text>
    </comment>
    <comment ref="BM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110
</t>
        </r>
      </text>
    </comment>
    <comment ref="BN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BO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Step</t>
        </r>
      </text>
    </comment>
    <comment ref="BP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Модерн</t>
        </r>
      </text>
    </comment>
    <comment ref="BS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33*33
</t>
        </r>
      </text>
    </comment>
    <comment ref="BT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39*39</t>
        </r>
      </text>
    </comment>
    <comment ref="BV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33*10
</t>
        </r>
      </text>
    </comment>
    <comment ref="BW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X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45*45</t>
        </r>
      </text>
    </comment>
    <comment ref="DE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F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G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H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I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Погонажный (1000)</t>
        </r>
      </text>
    </comment>
    <comment ref="DJ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британия 1000</t>
        </r>
      </text>
    </comment>
    <comment ref="DL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M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P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WL/ML наличнику</t>
        </r>
      </text>
    </comment>
    <comment ref="DQ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колонне погонажной
</t>
        </r>
      </text>
    </comment>
    <comment ref="DT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</t>
        </r>
      </text>
    </comment>
    <comment ref="DX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TURIN</t>
        </r>
      </text>
    </comment>
    <comment ref="DY2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PALERMO/ RIMINI</t>
        </r>
      </text>
    </comment>
    <comment ref="U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W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10*90
</t>
        </r>
      </text>
    </comment>
    <comment ref="AB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C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D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16*90</t>
        </r>
      </text>
    </comment>
    <comment ref="AE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F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J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Q 10*90
</t>
        </r>
      </text>
    </comment>
    <comment ref="AR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AS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AW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за 10 мм</t>
        </r>
      </text>
    </comment>
    <comment ref="BC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BD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
</t>
        </r>
      </text>
    </comment>
    <comment ref="BH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10*75
</t>
        </r>
      </text>
    </comment>
    <comment ref="BI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10*90
</t>
        </r>
      </text>
    </comment>
    <comment ref="BJ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16*90
</t>
        </r>
      </text>
    </comment>
    <comment ref="BK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75
</t>
        </r>
      </text>
    </comment>
    <comment ref="BL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90
</t>
        </r>
      </text>
    </comment>
    <comment ref="BM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110
</t>
        </r>
      </text>
    </comment>
    <comment ref="BN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BO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Step</t>
        </r>
      </text>
    </comment>
    <comment ref="BP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Модерн</t>
        </r>
      </text>
    </comment>
    <comment ref="BS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33*33
</t>
        </r>
      </text>
    </comment>
    <comment ref="BT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39*39</t>
        </r>
      </text>
    </comment>
    <comment ref="BV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33*10
</t>
        </r>
      </text>
    </comment>
    <comment ref="BW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X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45*45</t>
        </r>
      </text>
    </comment>
    <comment ref="DE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F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G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H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I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Погонажный (1000)</t>
        </r>
      </text>
    </comment>
    <comment ref="DJ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британия 1000</t>
        </r>
      </text>
    </comment>
    <comment ref="DL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M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P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WL/ML наличнику</t>
        </r>
      </text>
    </comment>
    <comment ref="DQ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колонне погонажной
</t>
        </r>
      </text>
    </comment>
    <comment ref="DT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</t>
        </r>
      </text>
    </comment>
    <comment ref="DX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TURIN</t>
        </r>
      </text>
    </comment>
    <comment ref="DY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PALERMO/ RIMINI</t>
        </r>
      </text>
    </comment>
    <comment ref="C23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C24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ясеня</t>
        </r>
      </text>
    </comment>
    <comment ref="C24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базового шпона</t>
        </r>
      </text>
    </comment>
    <comment ref="U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W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10*90
</t>
        </r>
      </text>
    </comment>
    <comment ref="AB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C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D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16*90</t>
        </r>
      </text>
    </comment>
    <comment ref="AE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F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J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Q 10*90
</t>
        </r>
      </text>
    </comment>
    <comment ref="AR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AS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AW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за 10 мм</t>
        </r>
      </text>
    </comment>
    <comment ref="BC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BD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
</t>
        </r>
      </text>
    </comment>
    <comment ref="BH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10*75
</t>
        </r>
      </text>
    </comment>
    <comment ref="BI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10*90
</t>
        </r>
      </text>
    </comment>
    <comment ref="BJ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16*90
</t>
        </r>
      </text>
    </comment>
    <comment ref="BK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75
</t>
        </r>
      </text>
    </comment>
    <comment ref="BL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90
</t>
        </r>
      </text>
    </comment>
    <comment ref="BM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110
</t>
        </r>
      </text>
    </comment>
    <comment ref="BN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BO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Step</t>
        </r>
      </text>
    </comment>
    <comment ref="BP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Модерн</t>
        </r>
      </text>
    </comment>
    <comment ref="BS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33*33
</t>
        </r>
      </text>
    </comment>
    <comment ref="BT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39*39</t>
        </r>
      </text>
    </comment>
    <comment ref="BV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33*10
</t>
        </r>
      </text>
    </comment>
    <comment ref="BW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X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45*45</t>
        </r>
      </text>
    </comment>
    <comment ref="DE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F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G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H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I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Погонажный (1000)</t>
        </r>
      </text>
    </comment>
    <comment ref="DJ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британия 1000</t>
        </r>
      </text>
    </comment>
    <comment ref="DL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M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P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WL/ML наличнику</t>
        </r>
      </text>
    </comment>
    <comment ref="DQ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колонне погонажной
</t>
        </r>
      </text>
    </comment>
    <comment ref="DT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</t>
        </r>
      </text>
    </comment>
    <comment ref="DX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TURIN</t>
        </r>
      </text>
    </comment>
    <comment ref="DY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PALERMO/ RIMINI</t>
        </r>
      </text>
    </comment>
    <comment ref="C25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C2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ясеня</t>
        </r>
      </text>
    </comment>
    <comment ref="C25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базового шпона</t>
        </r>
      </text>
    </comment>
    <comment ref="U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W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10*90
</t>
        </r>
      </text>
    </comment>
    <comment ref="AB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C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D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16*90</t>
        </r>
      </text>
    </comment>
    <comment ref="AE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F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J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Q 10*90
</t>
        </r>
      </text>
    </comment>
    <comment ref="AR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AS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AW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за 10 мм</t>
        </r>
      </text>
    </comment>
    <comment ref="BC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BD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
</t>
        </r>
      </text>
    </comment>
    <comment ref="BH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10*75
</t>
        </r>
      </text>
    </comment>
    <comment ref="BI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10*90
</t>
        </r>
      </text>
    </comment>
    <comment ref="BJ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16*90
</t>
        </r>
      </text>
    </comment>
    <comment ref="BK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75
</t>
        </r>
      </text>
    </comment>
    <comment ref="BL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90
</t>
        </r>
      </text>
    </comment>
    <comment ref="BM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110
</t>
        </r>
      </text>
    </comment>
    <comment ref="BN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BO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Step</t>
        </r>
      </text>
    </comment>
    <comment ref="BP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Модерн</t>
        </r>
      </text>
    </comment>
    <comment ref="BS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33*33
</t>
        </r>
      </text>
    </comment>
    <comment ref="BT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39*39</t>
        </r>
      </text>
    </comment>
    <comment ref="BV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33*10
</t>
        </r>
      </text>
    </comment>
    <comment ref="BW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X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45*45</t>
        </r>
      </text>
    </comment>
    <comment ref="DE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F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G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H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I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Погонажный (1000)</t>
        </r>
      </text>
    </comment>
    <comment ref="DJ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британия 1000</t>
        </r>
      </text>
    </comment>
    <comment ref="DL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M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P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WL/ML наличнику</t>
        </r>
      </text>
    </comment>
    <comment ref="DQ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колонне погонажной
</t>
        </r>
      </text>
    </comment>
    <comment ref="DT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</t>
        </r>
      </text>
    </comment>
    <comment ref="DX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TURIN</t>
        </r>
      </text>
    </comment>
    <comment ref="DY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PALERMO/ RIMINI</t>
        </r>
      </text>
    </comment>
    <comment ref="C2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C26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ясеня</t>
        </r>
      </text>
    </comment>
    <comment ref="C26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базового шпона</t>
        </r>
      </text>
    </comment>
    <comment ref="C2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C28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ясеня</t>
        </r>
      </text>
    </comment>
    <comment ref="C28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базового шпона</t>
        </r>
      </text>
    </comment>
  </commentList>
</comments>
</file>

<file path=xl/comments5.xml><?xml version="1.0" encoding="utf-8"?>
<comments xmlns="http://schemas.openxmlformats.org/spreadsheetml/2006/main">
  <authors>
    <author>Автор</author>
  </authors>
  <commentList>
    <comment ref="EQ9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псевдофацет</t>
        </r>
      </text>
    </comment>
    <comment ref="A14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Терентьев А.А.</t>
        </r>
      </text>
    </comment>
    <comment ref="A14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Терентьев А.А.</t>
        </r>
      </text>
    </comment>
  </commentList>
</comments>
</file>

<file path=xl/sharedStrings.xml><?xml version="1.0" encoding="utf-8"?>
<sst xmlns="http://schemas.openxmlformats.org/spreadsheetml/2006/main" count="15666" uniqueCount="3531">
  <si>
    <t>Полотно</t>
  </si>
  <si>
    <t>Комплект</t>
  </si>
  <si>
    <t>Вид покрытия</t>
  </si>
  <si>
    <t>Вид декора</t>
  </si>
  <si>
    <t>-</t>
  </si>
  <si>
    <t xml:space="preserve"> </t>
  </si>
  <si>
    <t>I</t>
  </si>
  <si>
    <t>V</t>
  </si>
  <si>
    <t>Вид изделия</t>
  </si>
  <si>
    <t>B</t>
  </si>
  <si>
    <t>A</t>
  </si>
  <si>
    <t>C</t>
  </si>
  <si>
    <t>D</t>
  </si>
  <si>
    <t>E</t>
  </si>
  <si>
    <t>F</t>
  </si>
  <si>
    <t>G</t>
  </si>
  <si>
    <t>H</t>
  </si>
  <si>
    <t>L</t>
  </si>
  <si>
    <t>Q</t>
  </si>
  <si>
    <t>Эмаль</t>
  </si>
  <si>
    <t>Варианты декорирования</t>
  </si>
  <si>
    <t>ДГ</t>
  </si>
  <si>
    <t>ДО</t>
  </si>
  <si>
    <t>ДГО</t>
  </si>
  <si>
    <t>Возможные варианты исполнения</t>
  </si>
  <si>
    <t>Исполнение со стеклом (ДО)</t>
  </si>
  <si>
    <t>НАТУРАЛЬНЫЙ ШПОН</t>
  </si>
  <si>
    <t>Наименование</t>
  </si>
  <si>
    <t>1. Покрытия:</t>
  </si>
  <si>
    <t>Примечание</t>
  </si>
  <si>
    <t>ЭМАЛЬ</t>
  </si>
  <si>
    <t>HEFT</t>
  </si>
  <si>
    <t>Прозрачное</t>
  </si>
  <si>
    <t>Стекло без декора</t>
  </si>
  <si>
    <t xml:space="preserve">  2000,
2100</t>
  </si>
  <si>
    <t>400, 500,
600, 700,
800</t>
  </si>
  <si>
    <t>Матирование стекла</t>
  </si>
  <si>
    <t>Вид
изделия</t>
  </si>
  <si>
    <t>Цвет рисунка стекла</t>
  </si>
  <si>
    <t>Модификация/
Наименование</t>
  </si>
  <si>
    <t>Цвет
стекла</t>
  </si>
  <si>
    <t>Высота полотна, мм</t>
  </si>
  <si>
    <t>Ширина полотна, мм</t>
  </si>
  <si>
    <t>2000,
2100</t>
  </si>
  <si>
    <t>Прозрачный</t>
  </si>
  <si>
    <t xml:space="preserve"> 2000,
2100</t>
  </si>
  <si>
    <t>Возможные варианты остекления</t>
  </si>
  <si>
    <t>Высота 
полотна, мм</t>
  </si>
  <si>
    <t>Strada</t>
  </si>
  <si>
    <t>Триплекс 4+4 мм, глянец</t>
  </si>
  <si>
    <t>Триплекс 2+2 мм, глянец</t>
  </si>
  <si>
    <t>1. Остекления</t>
  </si>
  <si>
    <t xml:space="preserve">2. Зеркало  </t>
  </si>
  <si>
    <t>Рисунок "ПРИВИЛЕГИЯ"
Индивидуальный рисунок по эскизу или фотографии клиента, нанесенный на матовую поверхность стекла (от елезаметных оттенков серого до полноцвета)</t>
  </si>
  <si>
    <t>Вид 
изделия</t>
  </si>
  <si>
    <t>Лакобель</t>
  </si>
  <si>
    <t>по умолчанию</t>
  </si>
  <si>
    <t>Вертикальное направление шпона</t>
  </si>
  <si>
    <t>Комбинированное направление шпона</t>
  </si>
  <si>
    <t>Глухое исполнение (ДГ)</t>
  </si>
  <si>
    <t>TWIST</t>
  </si>
  <si>
    <t>DESIGN</t>
  </si>
  <si>
    <t>ТАДЖ</t>
  </si>
  <si>
    <t>Adilet</t>
  </si>
  <si>
    <t>MC Grоup</t>
  </si>
  <si>
    <t>ALF</t>
  </si>
  <si>
    <t>Венеция гриджио</t>
  </si>
  <si>
    <t>Камень темный</t>
  </si>
  <si>
    <t>Белая структурная</t>
  </si>
  <si>
    <t>Снежное дерево</t>
  </si>
  <si>
    <t>Дымчатое дерево</t>
  </si>
  <si>
    <t>Песочное дерево</t>
  </si>
  <si>
    <t>Дуб молочный</t>
  </si>
  <si>
    <t>Акация светлая</t>
  </si>
  <si>
    <t>Акация темная</t>
  </si>
  <si>
    <t>Миндаль</t>
  </si>
  <si>
    <t>Дуб сонома трюфель</t>
  </si>
  <si>
    <t xml:space="preserve">Цветовые решения остекления </t>
  </si>
  <si>
    <t>триплекс 2+2</t>
  </si>
  <si>
    <t>триплекс 4+4</t>
  </si>
  <si>
    <t>Матирование стекла с одной стороны (СМ1)</t>
  </si>
  <si>
    <t>лакобель</t>
  </si>
  <si>
    <t>Акриловое стекло</t>
  </si>
  <si>
    <t xml:space="preserve">T-образный молдинг 4 шт. </t>
  </si>
  <si>
    <r>
      <t xml:space="preserve">1. Погонаж (L)
</t>
    </r>
    <r>
      <rPr>
        <sz val="11"/>
        <rFont val="Calibri"/>
        <family val="2"/>
        <charset val="204"/>
        <scheme val="minor"/>
      </rPr>
      <t xml:space="preserve">Конфигурация - Стандарт; Крепление - Телескоп;
</t>
    </r>
  </si>
  <si>
    <t>II</t>
  </si>
  <si>
    <t>III</t>
  </si>
  <si>
    <t>IV</t>
  </si>
  <si>
    <t>Вид 
погонажного 
изделия</t>
  </si>
  <si>
    <t>Наличник</t>
  </si>
  <si>
    <t>Плоский</t>
  </si>
  <si>
    <t>Фигурный</t>
  </si>
  <si>
    <t>WL</t>
  </si>
  <si>
    <t>ML</t>
  </si>
  <si>
    <t>34 х 75 мм</t>
  </si>
  <si>
    <t>16 х 75 мм</t>
  </si>
  <si>
    <t>10 х 75 мм</t>
  </si>
  <si>
    <t>10 х 90 мм</t>
  </si>
  <si>
    <t>16 х 90 мм</t>
  </si>
  <si>
    <t>15 х 85 мм</t>
  </si>
  <si>
    <t>23 х 110 мм</t>
  </si>
  <si>
    <t>2150 мм</t>
  </si>
  <si>
    <t>2400 мм</t>
  </si>
  <si>
    <t>Авторский</t>
  </si>
  <si>
    <t>VI</t>
  </si>
  <si>
    <t>VII</t>
  </si>
  <si>
    <t xml:space="preserve">Расширитель (L)
</t>
  </si>
  <si>
    <t>Планка притворная</t>
  </si>
  <si>
    <t>Плинтус</t>
  </si>
  <si>
    <t>Классический</t>
  </si>
  <si>
    <t>Модерн 110</t>
  </si>
  <si>
    <t xml:space="preserve">Вид покрытия </t>
  </si>
  <si>
    <t>ширина полотна, мм</t>
  </si>
  <si>
    <t xml:space="preserve">Полотно </t>
  </si>
  <si>
    <t>2050-2100</t>
  </si>
  <si>
    <t>2150-2400</t>
  </si>
  <si>
    <t>450-950</t>
  </si>
  <si>
    <t>Вид покрытия/Ширина</t>
  </si>
  <si>
    <t>Карнизы, мм</t>
  </si>
  <si>
    <t>85х1000</t>
  </si>
  <si>
    <t>85х1300</t>
  </si>
  <si>
    <t>835-1035x120</t>
  </si>
  <si>
    <t>835-1035x110</t>
  </si>
  <si>
    <t>Дверные порталы (карниз + 2 колонны), мм</t>
  </si>
  <si>
    <t>2070х85</t>
  </si>
  <si>
    <t>2120х90</t>
  </si>
  <si>
    <t>2070x45x16</t>
  </si>
  <si>
    <t>Примечание:</t>
  </si>
  <si>
    <t>Формулы расчета</t>
  </si>
  <si>
    <t>Наценки на полотна и погонаж</t>
  </si>
  <si>
    <t>Высота короба, мм</t>
  </si>
  <si>
    <t>Наценка</t>
  </si>
  <si>
    <t xml:space="preserve"> + % к цене полотна 2000*800 мм</t>
  </si>
  <si>
    <t xml:space="preserve"> + % к базовой цене погонажных изделий</t>
  </si>
  <si>
    <t>1900-2000</t>
  </si>
  <si>
    <t>Наценки за изменение ширины карниза</t>
  </si>
  <si>
    <t>1 000 (для полотен 400-900)</t>
  </si>
  <si>
    <t>1 300 (для распашных 60+60 или 80+40)</t>
  </si>
  <si>
    <t>к цене карниза 2070х1300</t>
  </si>
  <si>
    <t>для обрамления нестандартных проемов</t>
  </si>
  <si>
    <t>Карниз Стандарт</t>
  </si>
  <si>
    <t>к цене карниза 2120х1300</t>
  </si>
  <si>
    <t>для полотен 600-900</t>
  </si>
  <si>
    <t>для полотен 1000-1800</t>
  </si>
  <si>
    <t>Стандартная</t>
  </si>
  <si>
    <t>М</t>
  </si>
  <si>
    <t>32х125</t>
  </si>
  <si>
    <t>Расширенная палитра</t>
  </si>
  <si>
    <t>Светлый дуб</t>
  </si>
  <si>
    <t>Темный дуб</t>
  </si>
  <si>
    <t>Каштановый орех</t>
  </si>
  <si>
    <t>Мореный дуб</t>
  </si>
  <si>
    <t>Американский орех</t>
  </si>
  <si>
    <t>2050 мм</t>
  </si>
  <si>
    <t>2000 мм</t>
  </si>
  <si>
    <r>
      <t xml:space="preserve">2. Погонаж (Q)
</t>
    </r>
    <r>
      <rPr>
        <sz val="11"/>
        <rFont val="Calibri"/>
        <family val="2"/>
        <charset val="204"/>
        <scheme val="minor"/>
      </rPr>
      <t>Конфигурация - Компланарная; Крепление - Телескоп;</t>
    </r>
    <r>
      <rPr>
        <b/>
        <sz val="11"/>
        <rFont val="Calibri"/>
        <family val="2"/>
        <charset val="204"/>
        <scheme val="minor"/>
      </rPr>
      <t xml:space="preserve">
</t>
    </r>
  </si>
  <si>
    <r>
      <rPr>
        <sz val="11"/>
        <rFont val="Calibri"/>
        <family val="2"/>
        <charset val="204"/>
        <scheme val="minor"/>
      </rPr>
      <t xml:space="preserve">Использование в коллекциях: 
Современные - </t>
    </r>
    <r>
      <rPr>
        <i/>
        <sz val="11"/>
        <rFont val="Calibri"/>
        <family val="2"/>
        <charset val="204"/>
        <scheme val="minor"/>
      </rPr>
      <t xml:space="preserve">Techno, Twist, Design </t>
    </r>
    <r>
      <rPr>
        <b/>
        <sz val="11"/>
        <rFont val="Calibri"/>
        <family val="2"/>
        <charset val="204"/>
        <scheme val="minor"/>
      </rPr>
      <t xml:space="preserve">
</t>
    </r>
  </si>
  <si>
    <r>
      <rPr>
        <sz val="11"/>
        <rFont val="Calibri"/>
        <family val="2"/>
        <charset val="204"/>
        <scheme val="minor"/>
      </rPr>
      <t xml:space="preserve">Использование в коллекциях:
Классические - </t>
    </r>
    <r>
      <rPr>
        <i/>
        <sz val="11"/>
        <rFont val="Calibri"/>
        <family val="2"/>
        <charset val="204"/>
        <scheme val="minor"/>
      </rPr>
      <t>Provence, E-Classic</t>
    </r>
  </si>
  <si>
    <t>34 х 72 мм</t>
  </si>
  <si>
    <t>Погонажный</t>
  </si>
  <si>
    <t>Стандартный</t>
  </si>
  <si>
    <r>
      <t>Британия</t>
    </r>
    <r>
      <rPr>
        <b/>
        <vertAlign val="superscript"/>
        <sz val="10"/>
        <color theme="1"/>
        <rFont val="Calibri"/>
        <family val="2"/>
        <charset val="204"/>
        <scheme val="minor"/>
      </rPr>
      <t>1</t>
    </r>
  </si>
  <si>
    <r>
      <t>Россо</t>
    </r>
    <r>
      <rPr>
        <b/>
        <vertAlign val="superscript"/>
        <sz val="10"/>
        <color theme="1"/>
        <rFont val="Calibri"/>
        <family val="2"/>
        <charset val="204"/>
        <scheme val="minor"/>
      </rPr>
      <t>1</t>
    </r>
  </si>
  <si>
    <t>Погонажная</t>
  </si>
  <si>
    <t xml:space="preserve">Вид декора </t>
  </si>
  <si>
    <t>Фурнитура</t>
  </si>
  <si>
    <t>Ясень Белый</t>
  </si>
  <si>
    <t>Ясень Серый шелк</t>
  </si>
  <si>
    <t>Ясень Крем</t>
  </si>
  <si>
    <t>Эмаль BRASH Белая</t>
  </si>
  <si>
    <t>Эмаль BRASH Серый шелк</t>
  </si>
  <si>
    <t>Эмаль BRASH Крем</t>
  </si>
  <si>
    <t>Эмаль BRASH Антрацит</t>
  </si>
  <si>
    <t>Поставщик</t>
  </si>
  <si>
    <t>Толщина</t>
  </si>
  <si>
    <t xml:space="preserve"> RAL</t>
  </si>
  <si>
    <t>Эмаль BRASH Ирис (Серая)</t>
  </si>
  <si>
    <t>NCS S 7502-B</t>
  </si>
  <si>
    <t>Карниз Погонажный, 
Карниз Погонажный Британия</t>
  </si>
  <si>
    <t>стоимость = S двери в м² х ЦЕНА ПОЛОТНА 2000х800 мм х 0,6</t>
  </si>
  <si>
    <t>Венге рифленый</t>
  </si>
  <si>
    <t>Grazia</t>
  </si>
  <si>
    <t>Вид</t>
  </si>
  <si>
    <t>Цвет</t>
  </si>
  <si>
    <t>матовый хром</t>
  </si>
  <si>
    <t>авторский</t>
  </si>
  <si>
    <r>
      <t xml:space="preserve">ARTEX 
</t>
    </r>
    <r>
      <rPr>
        <sz val="11"/>
        <rFont val="Calibri"/>
        <family val="2"/>
        <charset val="204"/>
        <scheme val="minor"/>
      </rPr>
      <t>(пленка ПВХ)</t>
    </r>
  </si>
  <si>
    <t>Россо</t>
  </si>
  <si>
    <r>
      <t>Верона</t>
    </r>
    <r>
      <rPr>
        <b/>
        <vertAlign val="superscript"/>
        <sz val="10"/>
        <color theme="1"/>
        <rFont val="Calibri"/>
        <family val="2"/>
        <charset val="204"/>
        <scheme val="minor"/>
      </rPr>
      <t>1</t>
    </r>
  </si>
  <si>
    <t>Верона2</t>
  </si>
  <si>
    <t>Верона1</t>
  </si>
  <si>
    <t>Россо 
с багетом 
Британия</t>
  </si>
  <si>
    <t>I.</t>
  </si>
  <si>
    <t>II.</t>
  </si>
  <si>
    <t>за 10 мм</t>
  </si>
  <si>
    <t>Белый</t>
  </si>
  <si>
    <t>Серый</t>
  </si>
  <si>
    <t>Крем</t>
  </si>
  <si>
    <t>Серо-коричневый</t>
  </si>
  <si>
    <t>Слоновая кость</t>
  </si>
  <si>
    <t>Коричневый</t>
  </si>
  <si>
    <t>III.</t>
  </si>
  <si>
    <t>Черный</t>
  </si>
  <si>
    <t>Клипсы для крепления плинтуса, 
50 шт</t>
  </si>
  <si>
    <t>Россо
погонажный</t>
  </si>
  <si>
    <t>эмаль</t>
  </si>
  <si>
    <t>ARTEX</t>
  </si>
  <si>
    <t>за 20 мм</t>
  </si>
  <si>
    <t>6 мм каленое</t>
  </si>
  <si>
    <t>8 мм некаленое</t>
  </si>
  <si>
    <t>СМ1 (Матовое с одной стороны)</t>
  </si>
  <si>
    <t>СМ2 (Матовое с 2х сторон)</t>
  </si>
  <si>
    <t>Исполнение стекла</t>
  </si>
  <si>
    <r>
      <t xml:space="preserve">Алмазная гравировка
</t>
    </r>
    <r>
      <rPr>
        <i/>
        <sz val="9"/>
        <rFont val="Calibri"/>
        <family val="2"/>
        <charset val="204"/>
        <scheme val="minor"/>
      </rPr>
      <t>см1+гравировка</t>
    </r>
  </si>
  <si>
    <t>Прованс; Винтаж; Акант; Лилия</t>
  </si>
  <si>
    <r>
      <t xml:space="preserve">Рисунок по стеклу
</t>
    </r>
    <r>
      <rPr>
        <i/>
        <sz val="9"/>
        <rFont val="Calibri"/>
        <family val="2"/>
        <charset val="204"/>
        <scheme val="minor"/>
      </rPr>
      <t>(УФ печать)</t>
    </r>
  </si>
  <si>
    <t>Белое</t>
  </si>
  <si>
    <t>Матовое белое</t>
  </si>
  <si>
    <t>Доплаты</t>
  </si>
  <si>
    <t>Стеклопакет 4+4 мм</t>
  </si>
  <si>
    <t>Эклектика1;
Эклектика2;
Эклектика3</t>
  </si>
  <si>
    <t>Фацет 20 мм</t>
  </si>
  <si>
    <t>4 мм</t>
  </si>
  <si>
    <t>6 мм</t>
  </si>
  <si>
    <t xml:space="preserve"> за цвет </t>
  </si>
  <si>
    <t>*Ромбы с рисунком</t>
  </si>
  <si>
    <t>Художественное матирование</t>
  </si>
  <si>
    <t>Прозрачное, Белое, Черное</t>
  </si>
  <si>
    <t xml:space="preserve"> Ярко-белое</t>
  </si>
  <si>
    <t>Ярко-белое</t>
  </si>
  <si>
    <t>Бронза, Серое</t>
  </si>
  <si>
    <t>Матирование стекла с 2х стороны (СМ2)</t>
  </si>
  <si>
    <t xml:space="preserve">на полотнах из ПВХ </t>
  </si>
  <si>
    <t>на прочих полотнах</t>
  </si>
  <si>
    <t xml:space="preserve"> за закалку 
</t>
  </si>
  <si>
    <r>
      <t xml:space="preserve">Алмазная гравировка
</t>
    </r>
    <r>
      <rPr>
        <sz val="9"/>
        <rFont val="Calibri"/>
        <family val="2"/>
        <charset val="204"/>
        <scheme val="minor"/>
      </rPr>
      <t>СМ1+гравировка</t>
    </r>
  </si>
  <si>
    <t>фурнитура</t>
  </si>
  <si>
    <t>NCS 2005-B80G</t>
  </si>
  <si>
    <t>Ясень Ниагара</t>
  </si>
  <si>
    <t>Эмаль BRASH Ниагара</t>
  </si>
  <si>
    <t>Стыковочный элемент для колонны
для крепления на оборотную сторону дверного проема</t>
  </si>
  <si>
    <t>*Отсутствие скидки/наценки -100%</t>
  </si>
  <si>
    <t>Марракеш</t>
  </si>
  <si>
    <t>СМ2 (Матовое с двух сторон)</t>
  </si>
  <si>
    <t xml:space="preserve">    Фацет 30 мм</t>
  </si>
  <si>
    <t>Модели для классических интерьеров</t>
  </si>
  <si>
    <t>Модели для современных интерьеров</t>
  </si>
  <si>
    <t>ПЕРЕГОРОДКИ</t>
  </si>
  <si>
    <t>МЕЖКОМНАТНЫЕ ДВЕРИ</t>
  </si>
  <si>
    <t>ПОГОНАЖНЫЕ ИЗДЕЛИЯ</t>
  </si>
  <si>
    <t>VIII</t>
  </si>
  <si>
    <t>ДОПОЛНИТЕЛЬНЫЕ ТАБЛИЦЫ</t>
  </si>
  <si>
    <t>Брус коробочный</t>
  </si>
  <si>
    <t>СОДЕРЖАНИЕ</t>
  </si>
  <si>
    <r>
      <rPr>
        <sz val="20"/>
        <rFont val="Calibri"/>
        <family val="2"/>
        <charset val="204"/>
        <scheme val="minor"/>
      </rPr>
      <t xml:space="preserve">Перегородки </t>
    </r>
    <r>
      <rPr>
        <b/>
        <sz val="20"/>
        <rFont val="Calibri"/>
        <family val="2"/>
        <charset val="204"/>
        <scheme val="minor"/>
      </rPr>
      <t>Corsa</t>
    </r>
  </si>
  <si>
    <r>
      <rPr>
        <sz val="20"/>
        <rFont val="Calibri"/>
        <family val="2"/>
        <charset val="204"/>
        <scheme val="minor"/>
      </rPr>
      <t xml:space="preserve">Перегородки </t>
    </r>
    <r>
      <rPr>
        <b/>
        <sz val="20"/>
        <rFont val="Calibri"/>
        <family val="2"/>
        <charset val="204"/>
        <scheme val="minor"/>
      </rPr>
      <t>Grazia</t>
    </r>
  </si>
  <si>
    <t>ПРОЧИЕ ДВЕРИ И КОНСТРУКЦИИ</t>
  </si>
  <si>
    <t>Mодерн</t>
  </si>
  <si>
    <t>Решетка; Икс, R16</t>
  </si>
  <si>
    <t>RAL-7044</t>
  </si>
  <si>
    <t>Псевдофацет; Решетка; Римини; Сетка;  Милан; Юнона, Парма</t>
  </si>
  <si>
    <t xml:space="preserve">  </t>
  </si>
  <si>
    <t>4. Накладка для входной двери (только для дверей ДГ)</t>
  </si>
  <si>
    <t>12 х 85 мм</t>
  </si>
  <si>
    <t>фацет прозрачный
(цвет: прозрачное, бронза*)</t>
  </si>
  <si>
    <t>фацет матовый  (матирование с 1ой или с 2х сторон)
(цвет: белое, бронза*)</t>
  </si>
  <si>
    <t>стекло без декора (прозрачное/матовое (с 1ой или с 2х сторон)); псевдофацет
(цвет: прозрачное/белое, бронза*)</t>
  </si>
  <si>
    <t>Бетон известковый</t>
  </si>
  <si>
    <t>Бетон антрацит</t>
  </si>
  <si>
    <t>Бетон бежевый</t>
  </si>
  <si>
    <t>Бетон средневековый</t>
  </si>
  <si>
    <r>
      <t xml:space="preserve">3. Погонаж (М)
</t>
    </r>
    <r>
      <rPr>
        <sz val="11"/>
        <rFont val="Calibri"/>
        <family val="2"/>
        <charset val="204"/>
        <scheme val="minor"/>
      </rPr>
      <t>Конфигурация - Компланарная; Крепление - Клей;</t>
    </r>
  </si>
  <si>
    <t>№</t>
  </si>
  <si>
    <t>Коллекция</t>
  </si>
  <si>
    <t>WOOD RADIAL</t>
  </si>
  <si>
    <t>Кедр шоколад</t>
  </si>
  <si>
    <t>WOOD TANGENTAL</t>
  </si>
  <si>
    <t>Темно-коричневый</t>
  </si>
  <si>
    <t>ORIGINAL</t>
  </si>
  <si>
    <t>Бежевый</t>
  </si>
  <si>
    <t>VELVET</t>
  </si>
  <si>
    <t>WOOD COLOR</t>
  </si>
  <si>
    <t>RAL-9010</t>
  </si>
  <si>
    <t>Порядок расчета дополнительных наценок:</t>
  </si>
  <si>
    <t>Гладкая</t>
  </si>
  <si>
    <r>
      <t xml:space="preserve">Винтаж </t>
    </r>
    <r>
      <rPr>
        <sz val="9"/>
        <rFont val="Calibri"/>
        <family val="2"/>
        <charset val="204"/>
        <scheme val="minor"/>
      </rPr>
      <t>(по эмали  для E-Classic, Provence)</t>
    </r>
  </si>
  <si>
    <r>
      <t xml:space="preserve">Патина </t>
    </r>
    <r>
      <rPr>
        <sz val="9"/>
        <rFont val="Calibri"/>
        <family val="2"/>
        <charset val="204"/>
        <scheme val="minor"/>
      </rPr>
      <t>(по крашеному ясеню  и по эмали  для E-Classic, Provence )</t>
    </r>
  </si>
  <si>
    <t xml:space="preserve">Эмаль </t>
  </si>
  <si>
    <t>Эмаль  Белая</t>
  </si>
  <si>
    <t>Эмаль  Серый шелк</t>
  </si>
  <si>
    <t>Эмаль  Ниагара</t>
  </si>
  <si>
    <t>Эмаль  Молочно-белая</t>
  </si>
  <si>
    <t>Эмаль  Крем</t>
  </si>
  <si>
    <t>Эмаль  Ирис (Серая)</t>
  </si>
  <si>
    <t>Эмаль  Антрацит</t>
  </si>
  <si>
    <t>Применение систем открывания</t>
  </si>
  <si>
    <t>Складные</t>
  </si>
  <si>
    <t>Откатные</t>
  </si>
  <si>
    <t>Системы открывания</t>
  </si>
  <si>
    <t>Распашные</t>
  </si>
  <si>
    <t>* Все наценки складываются и прибавляются к базовой цене</t>
  </si>
  <si>
    <t>Ясень Ирис (Серая)</t>
  </si>
  <si>
    <t>Ясень Антрацит</t>
  </si>
  <si>
    <t>Шпон</t>
  </si>
  <si>
    <t>Эмаль BRASH Молочно-белая</t>
  </si>
  <si>
    <r>
      <rPr>
        <u/>
        <sz val="11"/>
        <color theme="1"/>
        <rFont val="Calibri"/>
        <family val="2"/>
        <charset val="204"/>
        <scheme val="minor"/>
      </rPr>
      <t xml:space="preserve">Цена за Комплект включает в себя: 
</t>
    </r>
    <r>
      <rPr>
        <sz val="11"/>
        <color theme="1"/>
        <rFont val="Calibri"/>
        <family val="2"/>
        <charset val="204"/>
        <scheme val="minor"/>
      </rPr>
      <t>глухое полотно - 1 шт.;
стойку коробки (L) 2070х75х34 - 2.5 шт.;
наличник (L) 2150х75х10 - 5 шт.</t>
    </r>
  </si>
  <si>
    <t>Погонаж</t>
  </si>
  <si>
    <t>Amelia</t>
  </si>
  <si>
    <r>
      <rPr>
        <u/>
        <sz val="11"/>
        <color theme="1"/>
        <rFont val="Calibri"/>
        <family val="2"/>
        <charset val="204"/>
        <scheme val="minor"/>
      </rPr>
      <t xml:space="preserve">Цена за Комплект включает в себя: 
</t>
    </r>
    <r>
      <rPr>
        <sz val="11"/>
        <color theme="1"/>
        <rFont val="Calibri"/>
        <family val="2"/>
        <charset val="204"/>
        <scheme val="minor"/>
      </rPr>
      <t>глухое полотно - 1 шт.;
стойку коробки (L)  2070х75х34 - 2.5 шт.;
наличник плоский (L) 2150х75х10 - 5 шт.</t>
    </r>
  </si>
  <si>
    <r>
      <rPr>
        <u/>
        <sz val="11"/>
        <color theme="1"/>
        <rFont val="Calibri"/>
        <family val="2"/>
        <charset val="204"/>
        <scheme val="minor"/>
      </rPr>
      <t xml:space="preserve">Цена за Комплект включает в себя: 
</t>
    </r>
    <r>
      <rPr>
        <sz val="11"/>
        <color theme="1"/>
        <rFont val="Calibri"/>
        <family val="2"/>
        <charset val="204"/>
        <scheme val="minor"/>
      </rPr>
      <t>глухое полотно - 1 шт.;
стойку коробки (L) 2070х75х34 - 2.5 шт.;
наличник плоский (L) 2150х75х10 - 5 шт.</t>
    </r>
  </si>
  <si>
    <r>
      <rPr>
        <u/>
        <sz val="11"/>
        <color theme="1"/>
        <rFont val="Calibri"/>
        <family val="2"/>
        <charset val="204"/>
        <scheme val="minor"/>
      </rPr>
      <t xml:space="preserve">Цена за Комплект включает в себя: 
</t>
    </r>
    <r>
      <rPr>
        <sz val="11"/>
        <color theme="1"/>
        <rFont val="Calibri"/>
        <family val="2"/>
        <charset val="204"/>
        <scheme val="minor"/>
      </rPr>
      <t>глухое полотно - 1 шт.;
стойку коробки (L) 2070х75х34 - 2.5 шт.;
наличник плоский  (L) 2150х75х10 - 5 шт.</t>
    </r>
  </si>
  <si>
    <t>Арно 110</t>
  </si>
  <si>
    <t>шт.</t>
  </si>
  <si>
    <t>Накладки на входные двери, шт</t>
  </si>
  <si>
    <t>Арно</t>
  </si>
  <si>
    <t>Французские двери</t>
  </si>
  <si>
    <t>внешнего открывания</t>
  </si>
  <si>
    <t>внутреннего открывания</t>
  </si>
  <si>
    <t>Накладка на входную дверь плоская от 6 до 10 мм, шт</t>
  </si>
  <si>
    <t>Вставка для двери шкафа-купе для системы ARISTO, м²</t>
  </si>
  <si>
    <t>Прочие наценки:</t>
  </si>
  <si>
    <t>Vetro17</t>
  </si>
  <si>
    <t>RAL</t>
  </si>
  <si>
    <t>Venice6 (Клио)</t>
  </si>
  <si>
    <t>Coliseum6 (Колизей)</t>
  </si>
  <si>
    <t>Turin1 (Византия1)</t>
  </si>
  <si>
    <t>Turin2 (Византия2)</t>
  </si>
  <si>
    <t>Turin3 (Византия3)</t>
  </si>
  <si>
    <t>Turin4 (Византия4)</t>
  </si>
  <si>
    <t>Turin Romb (Византия1 Ромбы)</t>
  </si>
  <si>
    <t>Rino1 (R1)</t>
  </si>
  <si>
    <t>Rino2 (R2)</t>
  </si>
  <si>
    <t>Rino3 (R3)</t>
  </si>
  <si>
    <t>Rino4 (R4)</t>
  </si>
  <si>
    <t>Lina6 (R16)</t>
  </si>
  <si>
    <t>Dino2 (R14)</t>
  </si>
  <si>
    <t>Dino3 (R13)</t>
  </si>
  <si>
    <t>Marko1 (RX1)</t>
  </si>
  <si>
    <t>Marko2 (RX2)</t>
  </si>
  <si>
    <t>Marko3 (RX3)</t>
  </si>
  <si>
    <t>Paulo1 (R9)</t>
  </si>
  <si>
    <t>Paulo2 (R6)</t>
  </si>
  <si>
    <t>Paulo3 (R11)</t>
  </si>
  <si>
    <t>Paulo4 (R10)</t>
  </si>
  <si>
    <t>Garda1 (Классика1)</t>
  </si>
  <si>
    <t>Union01 (Футуро01)</t>
  </si>
  <si>
    <t>Union02 (Футуро02)</t>
  </si>
  <si>
    <t>Union03 (Футуро03)</t>
  </si>
  <si>
    <t>Union04 (new)</t>
  </si>
  <si>
    <t>Union05 (new)</t>
  </si>
  <si>
    <t>Union06 (new)</t>
  </si>
  <si>
    <t>Combo01 (new)</t>
  </si>
  <si>
    <t>Combo02 (new)</t>
  </si>
  <si>
    <t>Combo03 (new)</t>
  </si>
  <si>
    <t>Combo04 (new)</t>
  </si>
  <si>
    <t>Combo05 (new)</t>
  </si>
  <si>
    <t>Combo06 (new)</t>
  </si>
  <si>
    <t>Capriccio01 (Моцарт1)</t>
  </si>
  <si>
    <t>Capriccio02 (Моцарт2)</t>
  </si>
  <si>
    <t>Capriccio03 (Моцарт3)</t>
  </si>
  <si>
    <t>Грунт</t>
  </si>
  <si>
    <t>бронза</t>
  </si>
  <si>
    <t>ДО/ДГО</t>
  </si>
  <si>
    <t xml:space="preserve"> за закалку</t>
  </si>
  <si>
    <t>Bergamo1</t>
  </si>
  <si>
    <t>Bergamo2</t>
  </si>
  <si>
    <t>Bergamo2a</t>
  </si>
  <si>
    <t>Bergamo2b</t>
  </si>
  <si>
    <t>Bergamo3</t>
  </si>
  <si>
    <t>Bergamo4</t>
  </si>
  <si>
    <t>Bergamo5</t>
  </si>
  <si>
    <t>Bergamo6</t>
  </si>
  <si>
    <t>Багет "Britain" с двух сторон</t>
  </si>
  <si>
    <t>2. Размерный ряд и конфигурации:</t>
  </si>
  <si>
    <r>
      <rPr>
        <u/>
        <sz val="11"/>
        <color theme="1"/>
        <rFont val="Calibri"/>
        <family val="2"/>
        <charset val="204"/>
        <scheme val="minor"/>
      </rPr>
      <t xml:space="preserve">Цена за Комплект включает в себя: 
</t>
    </r>
    <r>
      <rPr>
        <sz val="11"/>
        <color theme="1"/>
        <rFont val="Calibri"/>
        <family val="2"/>
        <charset val="204"/>
        <scheme val="minor"/>
      </rPr>
      <t xml:space="preserve">глухое полотно - 1 шт.;
стойку коробки (L) 2070х75х34 - 2.5 шт.;
наличник (L) 2150х75х10 - 5 шт.
</t>
    </r>
  </si>
  <si>
    <t>1.3. Наценки за нестандартные виды покрытий уточняйте</t>
  </si>
  <si>
    <t>во вкладке "Наценки за нестандартное исполнение"</t>
  </si>
  <si>
    <t>1.2. Возможные варианты покрытия уточняйте во вкладке "Покрытие…"</t>
  </si>
  <si>
    <t>5. Погонаж для прочих изделий</t>
  </si>
  <si>
    <t>Наличник плоский</t>
  </si>
  <si>
    <t>RQ</t>
  </si>
  <si>
    <t>39*39</t>
  </si>
  <si>
    <t>Рейка для перегородок</t>
  </si>
  <si>
    <t>33*33</t>
  </si>
  <si>
    <t>45*45</t>
  </si>
  <si>
    <t>33*10</t>
  </si>
  <si>
    <t>39*10</t>
  </si>
  <si>
    <t>45*10</t>
  </si>
  <si>
    <t>50*100</t>
  </si>
  <si>
    <t xml:space="preserve">Рейка панельная </t>
  </si>
  <si>
    <t>Garda1 (К-1)</t>
  </si>
  <si>
    <t>0 категория</t>
  </si>
  <si>
    <t>Брашированная</t>
  </si>
  <si>
    <t xml:space="preserve">(I.+5% ; II.+10%; III.+15%; IV.+20% )
</t>
  </si>
  <si>
    <t>Дверь жалюзи 1</t>
  </si>
  <si>
    <t>Дверь жалюзи 2</t>
  </si>
  <si>
    <t>Дверь жалюзи 3</t>
  </si>
  <si>
    <t>Дверь жалюзи 4</t>
  </si>
  <si>
    <t>Рейка фоновая</t>
  </si>
  <si>
    <t>Матовое 4+4</t>
  </si>
  <si>
    <t>Ширина 
полотна, мм</t>
  </si>
  <si>
    <r>
      <t>Перегородка Grazia ДО 1</t>
    </r>
    <r>
      <rPr>
        <sz val="10"/>
        <rFont val="Calibri"/>
        <family val="2"/>
        <charset val="204"/>
        <scheme val="minor"/>
      </rPr>
      <t xml:space="preserve"> (А 1-3, new)</t>
    </r>
  </si>
  <si>
    <r>
      <t xml:space="preserve">Перегородка Grazia ДО 2 </t>
    </r>
    <r>
      <rPr>
        <sz val="10"/>
        <rFont val="Calibri"/>
        <family val="2"/>
        <charset val="204"/>
        <scheme val="minor"/>
      </rPr>
      <t xml:space="preserve"> (А 1-3, new)</t>
    </r>
  </si>
  <si>
    <r>
      <t xml:space="preserve">Перегородка Grazia ДО 3  </t>
    </r>
    <r>
      <rPr>
        <sz val="10"/>
        <rFont val="Calibri"/>
        <family val="2"/>
        <charset val="204"/>
        <scheme val="minor"/>
      </rPr>
      <t>(А 5-6)</t>
    </r>
  </si>
  <si>
    <r>
      <rPr>
        <b/>
        <sz val="9"/>
        <rFont val="Calibri"/>
        <family val="2"/>
        <charset val="204"/>
        <scheme val="minor"/>
      </rPr>
      <t>Гладкая</t>
    </r>
    <r>
      <rPr>
        <sz val="9"/>
        <rFont val="Calibri"/>
        <family val="2"/>
        <charset val="204"/>
        <scheme val="minor"/>
      </rPr>
      <t xml:space="preserve">
</t>
    </r>
    <r>
      <rPr>
        <i/>
        <sz val="9"/>
        <rFont val="Calibri"/>
        <family val="2"/>
        <charset val="204"/>
        <scheme val="minor"/>
      </rPr>
      <t>см.Покрытия</t>
    </r>
  </si>
  <si>
    <t xml:space="preserve">
400, 500,
600, 700,
800</t>
  </si>
  <si>
    <t>1500-2000</t>
  </si>
  <si>
    <t>0.</t>
  </si>
  <si>
    <t>Коричневая кожа</t>
  </si>
  <si>
    <t>Белая кожа</t>
  </si>
  <si>
    <t>Молочная кожа</t>
  </si>
  <si>
    <t>Дуб бомонт лофт</t>
  </si>
  <si>
    <t>TEXTILE</t>
  </si>
  <si>
    <t>IV.</t>
  </si>
  <si>
    <t>Greenwood</t>
  </si>
  <si>
    <t>Серый бетон</t>
  </si>
  <si>
    <t>Черный бетон</t>
  </si>
  <si>
    <t>Кофейный бетон</t>
  </si>
  <si>
    <t>Белый камень</t>
  </si>
  <si>
    <t>Серый камень</t>
  </si>
  <si>
    <t>Белый горизонт</t>
  </si>
  <si>
    <t>Белый бетон</t>
  </si>
  <si>
    <t>Светло-коричневый</t>
  </si>
  <si>
    <t>Серый букле</t>
  </si>
  <si>
    <t>Белый букле</t>
  </si>
  <si>
    <t>Белый холст с рисунком</t>
  </si>
  <si>
    <t>Серый холст с рисунком</t>
  </si>
  <si>
    <t>Наценки:</t>
  </si>
  <si>
    <t>Покрытия, возможные в исполнении МАТОВОЕ 5GL:</t>
  </si>
  <si>
    <t>*По умолчанию в покрытии МАТОВЫЙ  без наценки</t>
  </si>
  <si>
    <t>Белая штукатурка</t>
  </si>
  <si>
    <t>Графитовая штукатурка</t>
  </si>
  <si>
    <t>Бежевая штукатурка</t>
  </si>
  <si>
    <t>Серая штукатурка</t>
  </si>
  <si>
    <t>Белый, Коричневый, Умбра, Лак</t>
  </si>
  <si>
    <r>
      <t xml:space="preserve">Авторский </t>
    </r>
    <r>
      <rPr>
        <sz val="9"/>
        <rFont val="Calibri"/>
        <family val="2"/>
        <charset val="204"/>
        <scheme val="minor"/>
      </rPr>
      <t>(каштановый орех, мореный дуб, американский орех, марракеш, мускат, пепел)</t>
    </r>
  </si>
  <si>
    <t>золото</t>
  </si>
  <si>
    <t>BUONE RUOTE</t>
  </si>
  <si>
    <t>ARMADILLO</t>
  </si>
  <si>
    <t>черный</t>
  </si>
  <si>
    <t>42*75</t>
  </si>
  <si>
    <t>Podio01</t>
  </si>
  <si>
    <t>Podio02</t>
  </si>
  <si>
    <t>Элементы стыковочные верхние (шашки)</t>
  </si>
  <si>
    <t>Элементы стыковочные нижние (пьедесталы)</t>
  </si>
  <si>
    <t>Шашка стандартная прямая</t>
  </si>
  <si>
    <t>Шашка стандартная</t>
  </si>
  <si>
    <t>Шашка плоская</t>
  </si>
  <si>
    <t>Шашка Пирамида</t>
  </si>
  <si>
    <t>Шашка Модена</t>
  </si>
  <si>
    <t>Пьедестал стандартный прямой</t>
  </si>
  <si>
    <t>Пьедестал стандартный</t>
  </si>
  <si>
    <t>Пьедестал плоский</t>
  </si>
  <si>
    <t>Пьедестал Пирамида</t>
  </si>
  <si>
    <t>Пьедестал Модена</t>
  </si>
  <si>
    <t>Плинтуса</t>
  </si>
  <si>
    <t>Рейки</t>
  </si>
  <si>
    <t>Garda10
ДО</t>
  </si>
  <si>
    <t>4AL (по периметру)</t>
  </si>
  <si>
    <t>2AL (с 2х сторон)</t>
  </si>
  <si>
    <t>Коробка для двухстороннего открывания дверей</t>
  </si>
  <si>
    <t>Рекомендованное расстояние между клипсами для крепления плинтуса 0,5 метра</t>
  </si>
  <si>
    <t>Короб</t>
  </si>
  <si>
    <t>ПРОЧЕЕ</t>
  </si>
  <si>
    <t>Скрытые двери</t>
  </si>
  <si>
    <t>Карниз Британия без обкатки</t>
  </si>
  <si>
    <t>91*91*16(22)</t>
  </si>
  <si>
    <t>86*86*16(22)</t>
  </si>
  <si>
    <t>76х76х16(22)</t>
  </si>
  <si>
    <t>112*112*32</t>
  </si>
  <si>
    <t>112*112*16(22,32)</t>
  </si>
  <si>
    <t>112*112*22</t>
  </si>
  <si>
    <t>250*76*16(22)</t>
  </si>
  <si>
    <t>250*86*16(22)</t>
  </si>
  <si>
    <t>250*91*16(22)</t>
  </si>
  <si>
    <t>250*112*32</t>
  </si>
  <si>
    <t>250*76х16(22)</t>
  </si>
  <si>
    <t>250*86х16(22)</t>
  </si>
  <si>
    <t>250*91х16(22)</t>
  </si>
  <si>
    <t>250*112х16(22,32)</t>
  </si>
  <si>
    <t>250*112х22</t>
  </si>
  <si>
    <t>Погонаж для прочих изделий</t>
  </si>
  <si>
    <t>Кат.</t>
  </si>
  <si>
    <t>Стандарт</t>
  </si>
  <si>
    <t>Бронза, Евробронза (серое)</t>
  </si>
  <si>
    <t>ОГРАНИЧЕНИЯ: 
1. закалка в цвете Бронза, Евробронза не производится 
2. Закалка Фацета не производится</t>
  </si>
  <si>
    <t xml:space="preserve"> 90° TWICE 80</t>
  </si>
  <si>
    <t xml:space="preserve"> 180° TWICE 80</t>
  </si>
  <si>
    <t>2.1. Цены за комплект указаны для высоты 2000 мм</t>
  </si>
  <si>
    <t>Варианты исполнения (ДГ, ДО, ДГО)</t>
  </si>
  <si>
    <t>Вернуться в содержание</t>
  </si>
  <si>
    <t>тип 9</t>
  </si>
  <si>
    <t>тип 12</t>
  </si>
  <si>
    <t>удаленность от Ульяновска</t>
  </si>
  <si>
    <t>наценка</t>
  </si>
  <si>
    <t>федеральные округа</t>
  </si>
  <si>
    <t>до 600 км</t>
  </si>
  <si>
    <t>ПФО</t>
  </si>
  <si>
    <t>от 601 до 1100 км</t>
  </si>
  <si>
    <t>ЦФО</t>
  </si>
  <si>
    <t>от 1101 до 1900 км</t>
  </si>
  <si>
    <t>СЗФО, УФО, ЮФО, ЦФО</t>
  </si>
  <si>
    <t>от 1901 до 3000 км</t>
  </si>
  <si>
    <t>СФО, УФО, СЗФО, Крым</t>
  </si>
  <si>
    <t>от 3001 до 6000 км</t>
  </si>
  <si>
    <t>Восточная Сибирь</t>
  </si>
  <si>
    <t>от 6001 до 8500 км</t>
  </si>
  <si>
    <t>ДФО</t>
  </si>
  <si>
    <t>свыше 8500 км</t>
  </si>
  <si>
    <t>Магадан, Сахалин, Камчатка</t>
  </si>
  <si>
    <t>Областной центр</t>
  </si>
  <si>
    <t>Регион</t>
  </si>
  <si>
    <t>Федеральный округ</t>
  </si>
  <si>
    <t>Население</t>
  </si>
  <si>
    <t>Часовой пояс</t>
  </si>
  <si>
    <t>Удаленность от Ульяновска</t>
  </si>
  <si>
    <t>Наценка к прайсу РРЦ</t>
  </si>
  <si>
    <t>Южно-сахалинск</t>
  </si>
  <si>
    <t>Сахалинская область</t>
  </si>
  <si>
    <t>Дальневосточный</t>
  </si>
  <si>
    <t>UTC+11</t>
  </si>
  <si>
    <t>Магадан</t>
  </si>
  <si>
    <t>Магаданская область</t>
  </si>
  <si>
    <t>Петропавловск-Камчатский</t>
  </si>
  <si>
    <t>Камчатский край</t>
  </si>
  <si>
    <t>UTC+12</t>
  </si>
  <si>
    <t>Владивосток</t>
  </si>
  <si>
    <t>Приморский край</t>
  </si>
  <si>
    <t>UTC+10</t>
  </si>
  <si>
    <t>Комсомольск-на-Амуре</t>
  </si>
  <si>
    <t>Хабаровский край</t>
  </si>
  <si>
    <t>Хабаровск</t>
  </si>
  <si>
    <t>Якутск</t>
  </si>
  <si>
    <t>Республика Саха</t>
  </si>
  <si>
    <t>UTC+9</t>
  </si>
  <si>
    <t>Благовещенск</t>
  </si>
  <si>
    <t>Амурская область</t>
  </si>
  <si>
    <t>Чита</t>
  </si>
  <si>
    <t>Забайкальский край</t>
  </si>
  <si>
    <t>Улан-Удэ</t>
  </si>
  <si>
    <t>Бурятия</t>
  </si>
  <si>
    <t>UTC+8</t>
  </si>
  <si>
    <t>Иркутск</t>
  </si>
  <si>
    <t>Иркутская область</t>
  </si>
  <si>
    <t>Сибирский</t>
  </si>
  <si>
    <t>Красноярск</t>
  </si>
  <si>
    <t>Красноярский край</t>
  </si>
  <si>
    <t>UTC+7</t>
  </si>
  <si>
    <t>Томск</t>
  </si>
  <si>
    <t>Томская область</t>
  </si>
  <si>
    <t>UTC+6</t>
  </si>
  <si>
    <t>Кемерово</t>
  </si>
  <si>
    <t>Кемеровская область</t>
  </si>
  <si>
    <t>Барнаул</t>
  </si>
  <si>
    <t>Алтайский край</t>
  </si>
  <si>
    <t>Новосибирск</t>
  </si>
  <si>
    <t>Новосибирская область</t>
  </si>
  <si>
    <t>Омск</t>
  </si>
  <si>
    <t>Омская область</t>
  </si>
  <si>
    <t>Нижневартовск</t>
  </si>
  <si>
    <t>Ханты-Мансийский авт. окр.</t>
  </si>
  <si>
    <t>Уральский</t>
  </si>
  <si>
    <t>UTC+5</t>
  </si>
  <si>
    <t>Сургут</t>
  </si>
  <si>
    <t>Тюмень</t>
  </si>
  <si>
    <t>Тюменская область</t>
  </si>
  <si>
    <t>Курган</t>
  </si>
  <si>
    <t>Курганская область</t>
  </si>
  <si>
    <t>Екатеринбург</t>
  </si>
  <si>
    <t>Свердловская область</t>
  </si>
  <si>
    <t>Челябинск</t>
  </si>
  <si>
    <t>Челябинская область</t>
  </si>
  <si>
    <t>Пермь</t>
  </si>
  <si>
    <t>Пермский край</t>
  </si>
  <si>
    <t>Приволжский</t>
  </si>
  <si>
    <t>Оренбург</t>
  </si>
  <si>
    <t>Оренбургская область</t>
  </si>
  <si>
    <t>Киров</t>
  </si>
  <si>
    <t>Кировская область</t>
  </si>
  <si>
    <t>UTC+3</t>
  </si>
  <si>
    <t>Уфа</t>
  </si>
  <si>
    <t>Башкортостан</t>
  </si>
  <si>
    <t>Ижевск</t>
  </si>
  <si>
    <t>Удмуртия</t>
  </si>
  <si>
    <t>UTC+4</t>
  </si>
  <si>
    <t>Саратов</t>
  </si>
  <si>
    <t>Саратовская область</t>
  </si>
  <si>
    <t>Нижний Новгород</t>
  </si>
  <si>
    <t>Нижегородская область</t>
  </si>
  <si>
    <t>Пенза</t>
  </si>
  <si>
    <t>Пензенская область</t>
  </si>
  <si>
    <t>Йошкар-Ола</t>
  </si>
  <si>
    <t>Марий Эл</t>
  </si>
  <si>
    <t>Самара</t>
  </si>
  <si>
    <t>Самарская область</t>
  </si>
  <si>
    <t>Чебоксары</t>
  </si>
  <si>
    <t>Чувашия</t>
  </si>
  <si>
    <t>Саранск</t>
  </si>
  <si>
    <t>Мордовия</t>
  </si>
  <si>
    <t>Казань</t>
  </si>
  <si>
    <t>Татарстан</t>
  </si>
  <si>
    <t>Ульяновск</t>
  </si>
  <si>
    <t>Ульяновская область</t>
  </si>
  <si>
    <t>Смоленск</t>
  </si>
  <si>
    <t>Смоленская область</t>
  </si>
  <si>
    <t>Центральный</t>
  </si>
  <si>
    <t>Брянск</t>
  </si>
  <si>
    <t>Брянская область</t>
  </si>
  <si>
    <t>Белгород</t>
  </si>
  <si>
    <t>Белгородская область</t>
  </si>
  <si>
    <t>Курск</t>
  </si>
  <si>
    <t>Курская область</t>
  </si>
  <si>
    <t>Орёл</t>
  </si>
  <si>
    <t>Орловская область</t>
  </si>
  <si>
    <t>Тверь</t>
  </si>
  <si>
    <t>Тверская область</t>
  </si>
  <si>
    <t>Калуга</t>
  </si>
  <si>
    <t>Калужская область</t>
  </si>
  <si>
    <t>Москва</t>
  </si>
  <si>
    <t>Воронеж</t>
  </si>
  <si>
    <t>Воронежская область</t>
  </si>
  <si>
    <t>Тула</t>
  </si>
  <si>
    <t>Тульская область</t>
  </si>
  <si>
    <t>Ярославль</t>
  </si>
  <si>
    <t>Ярославская область</t>
  </si>
  <si>
    <t>Кострома</t>
  </si>
  <si>
    <t>Костромская область</t>
  </si>
  <si>
    <t>Липецк</t>
  </si>
  <si>
    <t>Липецкая область</t>
  </si>
  <si>
    <t>Иваново</t>
  </si>
  <si>
    <t>Ивановская область</t>
  </si>
  <si>
    <t>Владимир</t>
  </si>
  <si>
    <t>Владимирская область</t>
  </si>
  <si>
    <t>Рязань</t>
  </si>
  <si>
    <t>Рязанская область</t>
  </si>
  <si>
    <t>Тамбов</t>
  </si>
  <si>
    <t>Тамбовская область</t>
  </si>
  <si>
    <t>Мурманск</t>
  </si>
  <si>
    <t>Мурманская область</t>
  </si>
  <si>
    <t>Северо-Западный</t>
  </si>
  <si>
    <t>Калининград</t>
  </si>
  <si>
    <t>Калининградская область</t>
  </si>
  <si>
    <t>UTC+2</t>
  </si>
  <si>
    <t>Петрозаводск</t>
  </si>
  <si>
    <t>Карелия</t>
  </si>
  <si>
    <t>Псков</t>
  </si>
  <si>
    <t>Псковская область</t>
  </si>
  <si>
    <t>Архангельск</t>
  </si>
  <si>
    <t>Архангельская область</t>
  </si>
  <si>
    <t>Санкт-Петербург</t>
  </si>
  <si>
    <t>Великий Новгород</t>
  </si>
  <si>
    <t>Новгородская область</t>
  </si>
  <si>
    <t>Сыктывкар</t>
  </si>
  <si>
    <t>Коми</t>
  </si>
  <si>
    <t>Вологда</t>
  </si>
  <si>
    <t>Вологодская область</t>
  </si>
  <si>
    <t>Махачкала</t>
  </si>
  <si>
    <t>Дагестан</t>
  </si>
  <si>
    <t>Северо-Кавказский</t>
  </si>
  <si>
    <t>Владикавказ</t>
  </si>
  <si>
    <t>Северная Осетия - Алания</t>
  </si>
  <si>
    <t>Грозный</t>
  </si>
  <si>
    <t>Чечня</t>
  </si>
  <si>
    <t>Нальчик</t>
  </si>
  <si>
    <t>Кабардино-Балкария</t>
  </si>
  <si>
    <t>Ставрополь</t>
  </si>
  <si>
    <t>Краснодар</t>
  </si>
  <si>
    <t>Краснодарский край</t>
  </si>
  <si>
    <t>Южный</t>
  </si>
  <si>
    <t>Ростов-на-Дону</t>
  </si>
  <si>
    <t>Ростовская область</t>
  </si>
  <si>
    <t>Астрахань</t>
  </si>
  <si>
    <t>Астраханская область</t>
  </si>
  <si>
    <t>Волгоград</t>
  </si>
  <si>
    <t>Волгоградская область</t>
  </si>
  <si>
    <t>Симферополь</t>
  </si>
  <si>
    <t>Крым</t>
  </si>
  <si>
    <t>(в коллекциях Neclassic  и Standart технически невозможно)</t>
  </si>
  <si>
    <t>16 х 110 мм</t>
  </si>
  <si>
    <t>Схема соединения погонажа М через:</t>
  </si>
  <si>
    <t xml:space="preserve"> L расширитель</t>
  </si>
  <si>
    <t>M расширитель</t>
  </si>
  <si>
    <t xml:space="preserve">1.  Стыковочные элементы верхние (шашки)
</t>
  </si>
  <si>
    <t>Мускат*</t>
  </si>
  <si>
    <t>1. Декоративные рейки</t>
  </si>
  <si>
    <t>Элиста</t>
  </si>
  <si>
    <t>Калмыкия</t>
  </si>
  <si>
    <t>1.1. Возможно исполнение по RAL и  NCS  (ясень крашеный/эмаль) +20%</t>
  </si>
  <si>
    <t xml:space="preserve">2.5. Исполнение ПОЛОТНО С ЧЕТВЕРТЬЮ для обратного открывания  +15% к цене полотна </t>
  </si>
  <si>
    <t>Рейки для перегородок заказываются кратно 5, рейки декоративные - кратно 12.</t>
  </si>
  <si>
    <t>2.Если высота фрамуги от 1000мм и ниже, то стоимость = Цена полотна х 0.7</t>
  </si>
  <si>
    <t>- типовой профиль L расширителя с пазом с одной стороны</t>
  </si>
  <si>
    <t>- плоский расширитель с кромками</t>
  </si>
  <si>
    <t>Стеновые панели</t>
  </si>
  <si>
    <t xml:space="preserve">Вид покрытия
</t>
  </si>
  <si>
    <t>Торцевой элемент для стеновой панели</t>
  </si>
  <si>
    <t>Фрамуги</t>
  </si>
  <si>
    <t>1. Пьедестал Пирамида в шпоне ясень не изготавливается</t>
  </si>
  <si>
    <t>на дверь 600 (700, 800, 900)</t>
  </si>
  <si>
    <t>Карниз Верона 1, 
Карниз Верона 2,                                                                                                       Россо</t>
  </si>
  <si>
    <t>Крашеный ясень</t>
  </si>
  <si>
    <t>триплекс2+2</t>
  </si>
  <si>
    <t>триплекс4+4</t>
  </si>
  <si>
    <t>Ясень крашеный</t>
  </si>
  <si>
    <r>
      <t xml:space="preserve">Базовый
</t>
    </r>
    <r>
      <rPr>
        <sz val="9"/>
        <rFont val="Calibri"/>
        <family val="2"/>
        <charset val="204"/>
        <scheme val="minor"/>
      </rPr>
      <t>(красное дерево, дуб светлый, дуб темный)</t>
    </r>
  </si>
  <si>
    <t>M</t>
  </si>
  <si>
    <t>M110</t>
  </si>
  <si>
    <t>тип7</t>
  </si>
  <si>
    <t>тип4</t>
  </si>
  <si>
    <t>Плинтус плоский</t>
  </si>
  <si>
    <t>Карниз погонажный</t>
  </si>
  <si>
    <t>Карниз стандартный</t>
  </si>
  <si>
    <t>Карниз Британия</t>
  </si>
  <si>
    <t>Карниз Верона</t>
  </si>
  <si>
    <t>Карниз Россо</t>
  </si>
  <si>
    <t>Колонна погонажная</t>
  </si>
  <si>
    <t>Колонна стандартная</t>
  </si>
  <si>
    <t>Стык.элемент</t>
  </si>
  <si>
    <t>Базовый</t>
  </si>
  <si>
    <t>Россо с Брит</t>
  </si>
  <si>
    <t>Россо погон</t>
  </si>
  <si>
    <t>ШПОН НАТУРАЛЬНЫЙ</t>
  </si>
  <si>
    <t>белый</t>
  </si>
  <si>
    <t>1.</t>
  </si>
  <si>
    <t>2.</t>
  </si>
  <si>
    <t>наименование</t>
  </si>
  <si>
    <t>стенд "ЭМАЛЬ"</t>
  </si>
  <si>
    <t>стенд "ШПОН"</t>
  </si>
  <si>
    <t>стенд "СТЫКОВОЧНЫЕ ЭЛЕМЕНТЫ"</t>
  </si>
  <si>
    <t>стенд "РАЗРЕЗЫ ПОЛОТЕН"</t>
  </si>
  <si>
    <t>полиграфия</t>
  </si>
  <si>
    <t>коробка "Стекла"</t>
  </si>
  <si>
    <t>каталог RAL</t>
  </si>
  <si>
    <t>каталог NCS</t>
  </si>
  <si>
    <t>РЕКЛАМНАЯ ПРОДУКЦИЯ</t>
  </si>
  <si>
    <t>полотно</t>
  </si>
  <si>
    <t>шпон</t>
  </si>
  <si>
    <t>34 х 69 мм</t>
  </si>
  <si>
    <t>Список изменений прайса</t>
  </si>
  <si>
    <t>Версия прайса</t>
  </si>
  <si>
    <t>Вкладка</t>
  </si>
  <si>
    <t>400, 500, 600, 700, 800</t>
  </si>
  <si>
    <t xml:space="preserve">**Стоимость стекла для комплектации Florence 4а ДГО2 рассчитывается как 30% от стоимости стекла для Florence 4а ДО </t>
  </si>
  <si>
    <t>Step</t>
  </si>
  <si>
    <t>Elegance 1</t>
  </si>
  <si>
    <t>Elegance 2</t>
  </si>
  <si>
    <t>Elegance 3</t>
  </si>
  <si>
    <t>Elegance 4</t>
  </si>
  <si>
    <t>ярко-белое, серое, бронза</t>
  </si>
  <si>
    <t>прозрачное, белое,  серое</t>
  </si>
  <si>
    <t>СМ2 триплекс 4+4</t>
  </si>
  <si>
    <t>СМ1 триплекс 4+4</t>
  </si>
  <si>
    <t>глянцевый триплекс 4+4</t>
  </si>
  <si>
    <r>
      <t>стоимость за М</t>
    </r>
    <r>
      <rPr>
        <i/>
        <vertAlign val="superscript"/>
        <sz val="20"/>
        <color theme="1"/>
        <rFont val="Calibri"/>
        <family val="2"/>
        <charset val="204"/>
        <scheme val="minor"/>
      </rPr>
      <t>2</t>
    </r>
  </si>
  <si>
    <t>цвет стекла</t>
  </si>
  <si>
    <t>варианты остекления</t>
  </si>
  <si>
    <t>Дуб Песочный*</t>
  </si>
  <si>
    <t>Высота:
наличники, притворная планка, 
 мм</t>
  </si>
  <si>
    <t>Высота:
расширитель, мм</t>
  </si>
  <si>
    <t>раздатка "Перегородки", 50 шт.</t>
  </si>
  <si>
    <t>каталог генеральный, 1 шт.</t>
  </si>
  <si>
    <t>раздатка "Классические коллекции", 50 шт.</t>
  </si>
  <si>
    <t>раздатка "Современные коллекции", 50 шт.</t>
  </si>
  <si>
    <t>раздатка "ARTEX", 50 шт.</t>
  </si>
  <si>
    <t>3. Торцевой и стыковочный элементы в стоимость не входят и заказываются отдельно</t>
  </si>
  <si>
    <t>Прочие конструкции</t>
  </si>
  <si>
    <t xml:space="preserve"> Стеновые панели</t>
  </si>
  <si>
    <r>
      <rPr>
        <sz val="20"/>
        <rFont val="Calibri"/>
        <family val="2"/>
        <charset val="204"/>
        <scheme val="minor"/>
      </rPr>
      <t>Коллекция</t>
    </r>
    <r>
      <rPr>
        <b/>
        <sz val="20"/>
        <rFont val="Calibri"/>
        <family val="2"/>
        <charset val="204"/>
        <scheme val="minor"/>
      </rPr>
      <t xml:space="preserve"> Elegance</t>
    </r>
  </si>
  <si>
    <t>1. Чертеж фрамуги по индивидуальным размерам запрашивается дополнительно.</t>
  </si>
  <si>
    <t>Elegance 5</t>
  </si>
  <si>
    <t>Elegance 6</t>
  </si>
  <si>
    <t>Редакция от 13.05.21</t>
  </si>
  <si>
    <t>Наценки</t>
  </si>
  <si>
    <t>Редакция от 19.05.21</t>
  </si>
  <si>
    <t>Системы Twice, Roto</t>
  </si>
  <si>
    <t>Система Roto используется только для высоты 2100</t>
  </si>
  <si>
    <t>Редакция от 20.05.21</t>
  </si>
  <si>
    <t>Добавлена информация о стабилизаторе коробления</t>
  </si>
  <si>
    <t>Редакция от 01.06.21</t>
  </si>
  <si>
    <t>Добавлен WL наличник в эмали</t>
  </si>
  <si>
    <t>Дата прайса</t>
  </si>
  <si>
    <t>Плинтус Арно 110 -размер 2000мм, стоимость 1130руб.</t>
  </si>
  <si>
    <t xml:space="preserve">Цвет петель - матовый хром(никель)*                                * - название цвета определяется поставщиком                         </t>
  </si>
  <si>
    <t>Корректировка цен на деревянные изделия от 1 до 7% на отдельные единицы;
Увеличение цен на алюминиевые изделия на 5%;
Увеличение цен на фурнитуру до 3%
Покрытие «инженерный шпон» выводится из ассортимента</t>
  </si>
  <si>
    <t>добавлена таблица стоимости алюминиевой кромки</t>
  </si>
  <si>
    <t>Neoclassic Florence</t>
  </si>
  <si>
    <t>Добавлена строка "Комплектность" в таблицу "Ручки-лодочки"</t>
  </si>
  <si>
    <t>Увеличение цен на продукцию на 5%</t>
  </si>
  <si>
    <t>демонстрационная продукция</t>
  </si>
  <si>
    <t>обложки и разделители</t>
  </si>
  <si>
    <t>комплект образцов (68 шт.)</t>
  </si>
  <si>
    <t>образец ПВХ (150*210 мм)</t>
  </si>
  <si>
    <t>сувенирная продукция</t>
  </si>
  <si>
    <t>пакет п/п А4</t>
  </si>
  <si>
    <t>ручка</t>
  </si>
  <si>
    <t xml:space="preserve">коробка  </t>
  </si>
  <si>
    <t>комплект хангеров: 3 шт.+ конверт</t>
  </si>
  <si>
    <t>комплект стекол (19 шт.)</t>
  </si>
  <si>
    <t>блокнот А5</t>
  </si>
  <si>
    <t>образец стекла</t>
  </si>
  <si>
    <t>кружка 200 мл</t>
  </si>
  <si>
    <t>флаги настольные двухрожковые</t>
  </si>
  <si>
    <t>стенд (800*2000 мм)</t>
  </si>
  <si>
    <t>комплект образцов</t>
  </si>
  <si>
    <t>образец 1-осторонний эмаль (180*115 мм)</t>
  </si>
  <si>
    <t>образец 1-осторонний шпон (180*115 мм)</t>
  </si>
  <si>
    <t>1 элемент</t>
  </si>
  <si>
    <t>разрезы полотен (2 шт.)</t>
  </si>
  <si>
    <t>карточные петли (4 шт.)</t>
  </si>
  <si>
    <t>скрытые петли (4 шт.)</t>
  </si>
  <si>
    <t>стенд "РЕЙКИ И СТЕНОВЫЕ ПАНЕЛИ"</t>
  </si>
  <si>
    <t>было</t>
  </si>
  <si>
    <t>стало</t>
  </si>
  <si>
    <t>Изменение цен:</t>
  </si>
  <si>
    <t>Изменение ассортимента:</t>
  </si>
  <si>
    <t xml:space="preserve">прайс 01.03.21
</t>
  </si>
  <si>
    <t>редакция 1 от 01.03.21</t>
  </si>
  <si>
    <t>редакция 2 от 08.04.21</t>
  </si>
  <si>
    <t xml:space="preserve">редакция 3 от 09.04.2021
</t>
  </si>
  <si>
    <t>редакция 1 от 23.04.21</t>
  </si>
  <si>
    <t>Снижение цен на серию Modena коллекции  E-classic;</t>
  </si>
  <si>
    <t>Снижение цен на коллекцию перегородок Steel;</t>
  </si>
  <si>
    <t>Корректировка цен на коллецию перегородок Grazia.</t>
  </si>
  <si>
    <t>Введение новой коллекции  Elegance;</t>
  </si>
  <si>
    <t>Введение новой модели Step в коллекцию Modern;</t>
  </si>
  <si>
    <t>Введение новой модели наличника и плинтуса Step;</t>
  </si>
  <si>
    <t xml:space="preserve">прайс 09.06.21
</t>
  </si>
  <si>
    <t>прайс 23.04.21</t>
  </si>
  <si>
    <t>редакция 1 от 09.06.21</t>
  </si>
  <si>
    <t>Введение реечных стеновых панелей;</t>
  </si>
  <si>
    <t>Добавление ассортимента в разделе "Рекламная продукция";</t>
  </si>
  <si>
    <t>Разделение вкладок стеновые панели и прочие конструкции;</t>
  </si>
  <si>
    <t>Добавление вкладки "Рекомендованные скидки для розничного клиента".</t>
  </si>
  <si>
    <t>Введение названия погонажных изделий без паза- Z;</t>
  </si>
  <si>
    <t>стоимость, руб.</t>
  </si>
  <si>
    <t>Введение покрытия шпон "Дуб песочный"</t>
  </si>
  <si>
    <t>E-Classic</t>
  </si>
  <si>
    <t>Design</t>
  </si>
  <si>
    <t>Перегородки STEEL</t>
  </si>
  <si>
    <t>Перегородки Grazia</t>
  </si>
  <si>
    <t>Elegance</t>
  </si>
  <si>
    <t>Modern Turin</t>
  </si>
  <si>
    <t>Погонаж, Плинтуса</t>
  </si>
  <si>
    <t>Стен. Панели</t>
  </si>
  <si>
    <t>Покрытия</t>
  </si>
  <si>
    <t>Рекламная продукция</t>
  </si>
  <si>
    <t xml:space="preserve">Сумма заказа </t>
  </si>
  <si>
    <t>(без учета фурнитуры и монтажных работ)</t>
  </si>
  <si>
    <t>% скидки</t>
  </si>
  <si>
    <t>тыс.руб.</t>
  </si>
  <si>
    <t>от 50 до 75</t>
  </si>
  <si>
    <t>от 76 до 100</t>
  </si>
  <si>
    <t>от 101 до 150</t>
  </si>
  <si>
    <t>от 151 до 200</t>
  </si>
  <si>
    <t>от 201 до 300</t>
  </si>
  <si>
    <t>от 301 до 400</t>
  </si>
  <si>
    <t>Свыше 400</t>
  </si>
  <si>
    <t>- расширитель Z (типовой профиль L расширителя без пазов, не телескопический)</t>
  </si>
  <si>
    <t>Скидки розница</t>
  </si>
  <si>
    <t>Снижение цен на модель Vetro11 в покрытии Artex  коллекции  Techno;</t>
  </si>
  <si>
    <t>Techno</t>
  </si>
  <si>
    <t>Снижение цен на серию L`union, Combo коллекции  Design;</t>
  </si>
  <si>
    <t>Снижение цен на серию Rino/Lina в покрытии Artex  коллекции  Fusion;</t>
  </si>
  <si>
    <t>Fusion</t>
  </si>
  <si>
    <t>Прочие изменения:</t>
  </si>
  <si>
    <t>Рекомендованные скидки для розничного клиента в зависимости от объема заказа</t>
  </si>
  <si>
    <t>Снижение цен на коллекцию  Provence Sienna;</t>
  </si>
  <si>
    <t>Sienna</t>
  </si>
  <si>
    <t>Система Roto используется  для высоты 2300</t>
  </si>
  <si>
    <t>Петли К2700</t>
  </si>
  <si>
    <t xml:space="preserve">Петли К2760 </t>
  </si>
  <si>
    <t>Брус коробочный L, M,Q- 2070мм</t>
  </si>
  <si>
    <t>Брус коробочный L, M,Q - 2070(-20)мм</t>
  </si>
  <si>
    <t>Расширители 2150мм</t>
  </si>
  <si>
    <t>Расширители 2150(-20)мм</t>
  </si>
  <si>
    <t>4. Все стеновые панели изготавливаются по эскизу.</t>
  </si>
  <si>
    <t>редакция 2 от 16.06.21</t>
  </si>
  <si>
    <t>Ограничения по размерам</t>
  </si>
  <si>
    <t>Добавлена информация об ограничениях по размеру полотен коллекции Elegance и модели Step</t>
  </si>
  <si>
    <t>Добавлена вкладка " Допустимые размеры погонажных изделий в зависимости от вида покрытия"</t>
  </si>
  <si>
    <t>Доп. размеры погонажа</t>
  </si>
  <si>
    <t>Погонаж (L, Q, M, Z)</t>
  </si>
  <si>
    <t>Стыковочная 
планка МДФ (L)</t>
  </si>
  <si>
    <t>Планка
притворная</t>
  </si>
  <si>
    <t>Монтажные элементы для пеналов</t>
  </si>
  <si>
    <t xml:space="preserve">Брус коробочный под монтаж пеналов  </t>
  </si>
  <si>
    <t>Монтажные элементы для подвесных систем</t>
  </si>
  <si>
    <t xml:space="preserve">Облицовочная планка </t>
  </si>
  <si>
    <t>Брус коробочный под монтаж перегородок</t>
  </si>
  <si>
    <t>Пьедестал
стандартный прямой</t>
  </si>
  <si>
    <t>Пьедестал
стандартный</t>
  </si>
  <si>
    <r>
      <t xml:space="preserve">ARTEX 
</t>
    </r>
    <r>
      <rPr>
        <sz val="11"/>
        <rFont val="Calibri"/>
        <family val="2"/>
        <charset val="204"/>
        <scheme val="minor"/>
      </rPr>
      <t/>
    </r>
  </si>
  <si>
    <t>прайс 28.06.21</t>
  </si>
  <si>
    <t>редакция 1 от 28.06.2021</t>
  </si>
  <si>
    <t>Прочий погонаж</t>
  </si>
  <si>
    <t>Увеличение цен на продукцию на 6% ( за исключением перегородок коллекций
Corsa, Grazia, дверей-жалюзи, фурнитуры и рекламной продукции);</t>
  </si>
  <si>
    <t>Разделение филенчатых стеновых панелей на 2 вида - филенчатые и багетные;</t>
  </si>
  <si>
    <t>Скорректирована информация  об ограничениях по размеру полотен коллекции Elegance и модели Step;</t>
  </si>
  <si>
    <t>Добавлена информация о размерном ряде наличника и плинтуса Step;</t>
  </si>
  <si>
    <t>Введение нового типа монтажных элементов для подвесных систем;</t>
  </si>
  <si>
    <t>Elegance 2b</t>
  </si>
  <si>
    <t>Скорректирована информация  об установке на системы открывания полотен коллекции Elegance и модели Step;</t>
  </si>
  <si>
    <t>STEEL</t>
  </si>
  <si>
    <t>Введение доп.опции по установке уплотнителя для перегородок;</t>
  </si>
  <si>
    <t>Перегородки Corsa, Grazia</t>
  </si>
  <si>
    <t>редакция 2 от 06.07.2021</t>
  </si>
  <si>
    <t>Добавлена информация по стоимости откатных механизмов для алюминиевых перегородок</t>
  </si>
  <si>
    <t>Противопожарные двери</t>
  </si>
  <si>
    <t xml:space="preserve">Вкладка временно убрана </t>
  </si>
  <si>
    <t>погонаж</t>
  </si>
  <si>
    <t>Алюминий</t>
  </si>
  <si>
    <t>Шпон, эмаль</t>
  </si>
  <si>
    <t>полотна</t>
  </si>
  <si>
    <t>справочно: рекомендованная розничная наценка</t>
  </si>
  <si>
    <t>все не входящие в прочие категории</t>
  </si>
  <si>
    <t>Steel</t>
  </si>
  <si>
    <t>PORTE грунт</t>
  </si>
  <si>
    <r>
      <t xml:space="preserve">Дисконт/ </t>
    </r>
    <r>
      <rPr>
        <i/>
        <sz val="11"/>
        <color theme="1"/>
        <rFont val="Calibri"/>
        <family val="2"/>
        <charset val="204"/>
        <scheme val="minor"/>
      </rPr>
      <t>установите свою скидку</t>
    </r>
  </si>
  <si>
    <r>
      <rPr>
        <b/>
        <sz val="11"/>
        <color theme="1"/>
        <rFont val="Calibri"/>
        <family val="2"/>
        <charset val="204"/>
        <scheme val="minor"/>
      </rPr>
      <t>Курс УЕ в руб</t>
    </r>
    <r>
      <rPr>
        <sz val="11"/>
        <color theme="1"/>
        <rFont val="Calibri"/>
        <family val="2"/>
        <charset val="204"/>
        <scheme val="minor"/>
      </rPr>
      <t>:*</t>
    </r>
  </si>
  <si>
    <t>* 1 - стоимость в руб.</t>
  </si>
  <si>
    <t>E-classic design,Bergamo, Design, Grazia, Amelia</t>
  </si>
  <si>
    <t xml:space="preserve"> Neoclassic,Standart, Fusion, Twist, Techno, Corsa</t>
  </si>
  <si>
    <t>Elegance 2a</t>
  </si>
  <si>
    <t>Прайс-лист  сформирован в РРЦ, цены прайса и сайта совпадают.</t>
  </si>
  <si>
    <t xml:space="preserve">В рамках данного листа Вы можете сформировать собственный прайс лист:
1.  Для преобразования прайс-листа в оптовый необходимо установить свои дилерские скидки , в ячейки Е8 -Е22. Например 37%.
2. При необходимости можно установить региональные наценки. Например, при региональной наценке в 5% необходимо поставить  105 в ячейки G8-G22. Рекомендуемые наценки по регионам находятся во вкладке «наценки РФ».
3.Также можно получить прайс в у.е., при установке курса у.е в ячейку В2
</t>
  </si>
  <si>
    <r>
      <t>Rimini1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</si>
  <si>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Rimini2</t>
    </r>
    <r>
      <rPr>
        <sz val="10"/>
        <color theme="1"/>
        <rFont val="Calibri"/>
        <family val="2"/>
        <charset val="204"/>
        <scheme val="minor"/>
      </rPr>
      <t xml:space="preserve"> </t>
    </r>
  </si>
  <si>
    <t xml:space="preserve">Rimini4 </t>
  </si>
  <si>
    <r>
      <t>Rosso2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</si>
  <si>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Rosso7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</si>
  <si>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Rosso8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</si>
  <si>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Modena1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</si>
  <si>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Modena2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</si>
  <si>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Modena3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</si>
  <si>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Palermo1</t>
    </r>
    <r>
      <rPr>
        <sz val="10"/>
        <color theme="1"/>
        <rFont val="Calibri"/>
        <family val="2"/>
        <charset val="204"/>
        <scheme val="minor"/>
      </rPr>
      <t xml:space="preserve"> </t>
    </r>
  </si>
  <si>
    <t>Palermo2</t>
  </si>
  <si>
    <r>
      <t>Palermo2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</si>
  <si>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Venice6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</si>
  <si>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Coliseum6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</si>
  <si>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rPr>
        <b/>
        <sz val="10"/>
        <color theme="1"/>
        <rFont val="Calibri"/>
        <family val="2"/>
        <charset val="204"/>
        <scheme val="minor"/>
      </rPr>
      <t>Arno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</si>
  <si>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Turin1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</si>
  <si>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Turin2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</si>
  <si>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Turin3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</si>
  <si>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Turin4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</si>
  <si>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Garda1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</si>
  <si>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Garda2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</si>
  <si>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Garda4</t>
    </r>
    <r>
      <rPr>
        <sz val="10"/>
        <color theme="1"/>
        <rFont val="Calibri"/>
        <family val="2"/>
        <charset val="204"/>
        <scheme val="minor"/>
      </rPr>
      <t xml:space="preserve"> </t>
    </r>
  </si>
  <si>
    <t xml:space="preserve">Garda1 </t>
  </si>
  <si>
    <t>Florence2</t>
  </si>
  <si>
    <t>Florence4</t>
  </si>
  <si>
    <r>
      <t>Amelia8</t>
    </r>
    <r>
      <rPr>
        <sz val="10"/>
        <color theme="1"/>
        <rFont val="Calibri"/>
        <family val="2"/>
        <charset val="204"/>
        <scheme val="minor"/>
      </rPr>
      <t xml:space="preserve"> </t>
    </r>
  </si>
  <si>
    <t>Amelia10</t>
  </si>
  <si>
    <r>
      <t>Amelia12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</si>
  <si>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AmeliaArc1</t>
    </r>
    <r>
      <rPr>
        <sz val="10"/>
        <color theme="1"/>
        <rFont val="Calibri"/>
        <family val="2"/>
        <charset val="204"/>
        <scheme val="minor"/>
      </rPr>
      <t xml:space="preserve"> </t>
    </r>
  </si>
  <si>
    <t xml:space="preserve">Sienna </t>
  </si>
  <si>
    <t xml:space="preserve">Sienna10 </t>
  </si>
  <si>
    <t xml:space="preserve">SiennaX3 </t>
  </si>
  <si>
    <t xml:space="preserve">Sienna1 </t>
  </si>
  <si>
    <t xml:space="preserve">Vario
</t>
  </si>
  <si>
    <r>
      <t>Vario12</t>
    </r>
    <r>
      <rPr>
        <sz val="10"/>
        <rFont val="Calibri"/>
        <family val="2"/>
        <charset val="204"/>
        <scheme val="minor"/>
      </rPr>
      <t xml:space="preserve"> </t>
    </r>
  </si>
  <si>
    <t xml:space="preserve">Solo01
</t>
  </si>
  <si>
    <r>
      <t>Vetro11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</si>
  <si>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Vetro12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</si>
  <si>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Vetro13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</si>
  <si>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Vetro14</t>
    </r>
    <r>
      <rPr>
        <sz val="10"/>
        <color theme="1"/>
        <rFont val="Calibri"/>
        <family val="2"/>
        <charset val="204"/>
        <scheme val="minor"/>
      </rPr>
      <t xml:space="preserve"> </t>
    </r>
  </si>
  <si>
    <t>Изменения в структуре прайса:</t>
  </si>
  <si>
    <t>Коллекция E-classic разделена на 2 линейки:  E-classic и  E-classic design, добавлена вкладка E-classic design</t>
  </si>
  <si>
    <t>E-classic design</t>
  </si>
  <si>
    <t>Модели Combo перенесены во вкладку Twist</t>
  </si>
  <si>
    <t>Twist</t>
  </si>
  <si>
    <t>LL</t>
  </si>
  <si>
    <t>L, Z</t>
  </si>
  <si>
    <t>10*75</t>
  </si>
  <si>
    <t>10*90</t>
  </si>
  <si>
    <t>16*75</t>
  </si>
  <si>
    <t>16*90</t>
  </si>
  <si>
    <t>12*85</t>
  </si>
  <si>
    <t>15*85</t>
  </si>
  <si>
    <t>23*110</t>
  </si>
  <si>
    <t>16*110</t>
  </si>
  <si>
    <t>25*110</t>
  </si>
  <si>
    <t>за 10мм</t>
  </si>
  <si>
    <t>10*40</t>
  </si>
  <si>
    <t>10*120</t>
  </si>
  <si>
    <t>450*450</t>
  </si>
  <si>
    <t>за кв.м</t>
  </si>
  <si>
    <t>филенчатая фрезерованная</t>
  </si>
  <si>
    <t>филенчатая багетная</t>
  </si>
  <si>
    <t>база</t>
  </si>
  <si>
    <t>Страда 11</t>
  </si>
  <si>
    <t>Амелия8</t>
  </si>
  <si>
    <t>2. Щитовые фрезерованные стеновые панели заказываются кратно 4 шт.</t>
  </si>
  <si>
    <t>Плоские, м2</t>
  </si>
  <si>
    <t>Реечные, м2</t>
  </si>
  <si>
    <t>Фрезерованные, м2</t>
  </si>
  <si>
    <t>Багетные, м2</t>
  </si>
  <si>
    <t>филенчатые</t>
  </si>
  <si>
    <t>1.Щитовые фрезерованные и реечные стеновые панели изготавливаются только в следующих покрытиях: эмаль, шпон дуба (светлый дуб, темный дуб, мореный дуб, марракеш)</t>
  </si>
  <si>
    <t>Ясень Телегрей</t>
  </si>
  <si>
    <t>Эмаль  Телегрей</t>
  </si>
  <si>
    <t>RAL-7047</t>
  </si>
  <si>
    <t>Дуб Кварц*</t>
  </si>
  <si>
    <t>Дуб Нефрит*</t>
  </si>
  <si>
    <r>
      <t xml:space="preserve">Покрытия, возможные в исполнении </t>
    </r>
    <r>
      <rPr>
        <b/>
        <u/>
        <sz val="10"/>
        <rFont val="Arial Cyr"/>
        <charset val="204"/>
      </rPr>
      <t>только щитовы</t>
    </r>
    <r>
      <rPr>
        <sz val="10"/>
        <rFont val="Arial Cyr"/>
      </rPr>
      <t>х полотен:</t>
    </r>
  </si>
  <si>
    <t>ПВХ, Алюминий</t>
  </si>
  <si>
    <t>ARTEX, STEEL, Грунт</t>
  </si>
  <si>
    <t>Z</t>
  </si>
  <si>
    <t>под пенал</t>
  </si>
  <si>
    <t>барный</t>
  </si>
  <si>
    <t>Деревянный</t>
  </si>
  <si>
    <t>L полукруглый</t>
  </si>
  <si>
    <t>Z полукруглый</t>
  </si>
  <si>
    <t>Z 
прямой</t>
  </si>
  <si>
    <t>L 
прямой</t>
  </si>
  <si>
    <t xml:space="preserve">Расширитель  </t>
  </si>
  <si>
    <t>Стыковочные элементы</t>
  </si>
  <si>
    <t>группа</t>
  </si>
  <si>
    <t>размер</t>
  </si>
  <si>
    <t>принцип расчета</t>
  </si>
  <si>
    <t>ШПОН</t>
  </si>
  <si>
    <t>верхние</t>
  </si>
  <si>
    <t>нижние</t>
  </si>
  <si>
    <t>Плинтус классический</t>
  </si>
  <si>
    <t>Алюминиевый</t>
  </si>
  <si>
    <t>AL-прямой</t>
  </si>
  <si>
    <t>R-AL-обратный</t>
  </si>
  <si>
    <t xml:space="preserve">Телескопический </t>
  </si>
  <si>
    <t>Компланарный</t>
  </si>
  <si>
    <t>Гвоздевой</t>
  </si>
  <si>
    <t>Модерн 
110</t>
  </si>
  <si>
    <t>Арно 
110</t>
  </si>
  <si>
    <t>Облицовочная 
планка 
для подвесной
системы 
крепления</t>
  </si>
  <si>
    <t>щитовая плоская</t>
  </si>
  <si>
    <t>щитовая реечная</t>
  </si>
  <si>
    <t>щитовая фрезерованная</t>
  </si>
  <si>
    <t>на дверь 600 
(700, 800, 900)</t>
  </si>
  <si>
    <t>на дверь 600
(700, 800, 900)</t>
  </si>
  <si>
    <t>щитовые</t>
  </si>
  <si>
    <t>Порталы</t>
  </si>
  <si>
    <t>76х76х16
(22)</t>
  </si>
  <si>
    <t>% отклонения</t>
  </si>
  <si>
    <t>34*75</t>
  </si>
  <si>
    <t>45*90</t>
  </si>
  <si>
    <t>34*71</t>
  </si>
  <si>
    <t>34*69</t>
  </si>
  <si>
    <t>34*72</t>
  </si>
  <si>
    <t>32*125</t>
  </si>
  <si>
    <t>L (10мм)</t>
  </si>
  <si>
    <t>M
(16 мм)</t>
  </si>
  <si>
    <t>Z  (10мм)</t>
  </si>
  <si>
    <t>Облицовочная 
планка 
для подвесной
системы 
крепления
(с пазом и без)</t>
  </si>
  <si>
    <t>10*3,2</t>
  </si>
  <si>
    <t>панельная, 2.7 м</t>
  </si>
  <si>
    <t>фоновая 2.7 м</t>
  </si>
  <si>
    <t>перегородка 2.7 м</t>
  </si>
  <si>
    <t>по цене L</t>
  </si>
  <si>
    <t>ручная корректировка</t>
  </si>
  <si>
    <t>базовые цены -забиваются вручную</t>
  </si>
  <si>
    <t>по цене L 10*90</t>
  </si>
  <si>
    <t>по цене L 16*75</t>
  </si>
  <si>
    <t>по цене ML 15*85</t>
  </si>
  <si>
    <t>по цене Модерн</t>
  </si>
  <si>
    <t>по цене L 10*75</t>
  </si>
  <si>
    <t>по цене L полукруглово16*75</t>
  </si>
  <si>
    <t>по цене L 75</t>
  </si>
  <si>
    <t>по цене L 150</t>
  </si>
  <si>
    <t>по цене притворной планки</t>
  </si>
  <si>
    <t>по цене L добора 150</t>
  </si>
  <si>
    <t>Шашка 
Модена</t>
  </si>
  <si>
    <t>больше аналогичной шашки</t>
  </si>
  <si>
    <t>по цене  Россо</t>
  </si>
  <si>
    <t>PORTE01</t>
  </si>
  <si>
    <t>TURIN</t>
  </si>
  <si>
    <t>PALERMO</t>
  </si>
  <si>
    <t>кв.м</t>
  </si>
  <si>
    <t>RIMINI</t>
  </si>
  <si>
    <t>Arno (new)</t>
  </si>
  <si>
    <t>Florence2 (new)</t>
  </si>
  <si>
    <t>Florence4
(Флоренция Классик)</t>
  </si>
  <si>
    <t>Linea01 (Z2)</t>
  </si>
  <si>
    <t>Linea02 (Z3)</t>
  </si>
  <si>
    <t>Linea03 (new)</t>
  </si>
  <si>
    <t>Linea04 (new)</t>
  </si>
  <si>
    <t>Twist01 (Z1)</t>
  </si>
  <si>
    <t>Twist02 (Z14)</t>
  </si>
  <si>
    <t>Twist03 (Z15)</t>
  </si>
  <si>
    <t>Twist04  (Z4)</t>
  </si>
  <si>
    <t>Lingo01 (new)</t>
  </si>
  <si>
    <t>Lingo02 (new)</t>
  </si>
  <si>
    <t>Lingo03 (Z12)</t>
  </si>
  <si>
    <t>Lingo04 (new)</t>
  </si>
  <si>
    <t>Mezzo01 (new)</t>
  </si>
  <si>
    <t>Mezzo02 (Z17)</t>
  </si>
  <si>
    <t>Mezzo03  (Z18)</t>
  </si>
  <si>
    <t>Sienna (new)</t>
  </si>
  <si>
    <t>Sienna10 (new)</t>
  </si>
  <si>
    <t>SiennaX3 (new)</t>
  </si>
  <si>
    <t>Sienna1 (new)</t>
  </si>
  <si>
    <t>Rimini2 (Римини)</t>
  </si>
  <si>
    <t>Rimini1 (new)</t>
  </si>
  <si>
    <t>Rimini4 (Парма)</t>
  </si>
  <si>
    <t>Milan2 (Милан)</t>
  </si>
  <si>
    <t>Verona6 (Юнона)</t>
  </si>
  <si>
    <t>Rosso2 (Россо2)</t>
  </si>
  <si>
    <t>Rosso7 (Россо1)</t>
  </si>
  <si>
    <t>Rosso8 (Россо3)</t>
  </si>
  <si>
    <t>Palermo2 (Барса)</t>
  </si>
  <si>
    <t>Palermo1 (new)</t>
  </si>
  <si>
    <t>Palermo2а (new)</t>
  </si>
  <si>
    <t>Modena1 (Модена1)</t>
  </si>
  <si>
    <t>Modena2 (Модена2)</t>
  </si>
  <si>
    <t>Modena3 (Модена3)</t>
  </si>
  <si>
    <t>Garda2 (Классика2)</t>
  </si>
  <si>
    <t>Garda5 (Классика5)</t>
  </si>
  <si>
    <t>Garda3 (Классика3)</t>
  </si>
  <si>
    <t>Garda4 (Классика4)</t>
  </si>
  <si>
    <r>
      <t xml:space="preserve">Florence4а
</t>
    </r>
    <r>
      <rPr>
        <sz val="9"/>
        <rFont val="Calibri"/>
        <family val="2"/>
        <charset val="204"/>
        <scheme val="minor"/>
      </rPr>
      <t>(new)</t>
    </r>
  </si>
  <si>
    <t>Strada01
(Страда ДГ)</t>
  </si>
  <si>
    <t>Strada02
(Вега ДГ)</t>
  </si>
  <si>
    <r>
      <t xml:space="preserve">Strada03
</t>
    </r>
    <r>
      <rPr>
        <sz val="9"/>
        <rFont val="Calibri"/>
        <family val="2"/>
        <charset val="204"/>
        <scheme val="minor"/>
      </rPr>
      <t>(Персона ДГ)</t>
    </r>
  </si>
  <si>
    <t>Strada04
(Зебра2 ДГ)</t>
  </si>
  <si>
    <t>Strada05
(Зебра4 ДГ)</t>
  </si>
  <si>
    <t>Strada11
(Страда ДО)</t>
  </si>
  <si>
    <r>
      <t>Strada12</t>
    </r>
    <r>
      <rPr>
        <sz val="9"/>
        <rFont val="Calibri"/>
        <family val="2"/>
        <charset val="204"/>
        <scheme val="minor"/>
      </rPr>
      <t xml:space="preserve"> 
(Вега ДО)</t>
    </r>
  </si>
  <si>
    <r>
      <t xml:space="preserve">Strada13
</t>
    </r>
    <r>
      <rPr>
        <sz val="9"/>
        <rFont val="Calibri"/>
        <family val="2"/>
        <charset val="204"/>
        <scheme val="minor"/>
      </rPr>
      <t>(Персона ДО)</t>
    </r>
  </si>
  <si>
    <t>Strada14
(Зебра2 ДО)</t>
  </si>
  <si>
    <t>Strada15*
(Зебра4 ДО)</t>
  </si>
  <si>
    <t>Strada16*
(S11 ДО)</t>
  </si>
  <si>
    <r>
      <t>Vario
(</t>
    </r>
    <r>
      <rPr>
        <sz val="9"/>
        <rFont val="Calibri"/>
        <family val="2"/>
        <charset val="204"/>
        <scheme val="minor"/>
      </rPr>
      <t>new)</t>
    </r>
  </si>
  <si>
    <r>
      <t xml:space="preserve">Vario01
</t>
    </r>
    <r>
      <rPr>
        <sz val="9"/>
        <rFont val="Calibri"/>
        <family val="2"/>
        <charset val="204"/>
        <scheme val="minor"/>
      </rPr>
      <t>(Варио ДГ)</t>
    </r>
  </si>
  <si>
    <r>
      <t xml:space="preserve">Vario11 
</t>
    </r>
    <r>
      <rPr>
        <sz val="9"/>
        <rFont val="Calibri"/>
        <family val="2"/>
        <charset val="204"/>
        <scheme val="minor"/>
      </rPr>
      <t>(Варио ДО)</t>
    </r>
  </si>
  <si>
    <r>
      <t>Vario12</t>
    </r>
    <r>
      <rPr>
        <sz val="9"/>
        <rFont val="Calibri"/>
        <family val="2"/>
        <charset val="204"/>
        <scheme val="minor"/>
      </rPr>
      <t xml:space="preserve"> (Варио ДГО)</t>
    </r>
  </si>
  <si>
    <r>
      <t>Vario13
(</t>
    </r>
    <r>
      <rPr>
        <sz val="9"/>
        <rFont val="Calibri"/>
        <family val="2"/>
        <charset val="204"/>
        <scheme val="minor"/>
      </rPr>
      <t>new)</t>
    </r>
  </si>
  <si>
    <r>
      <t xml:space="preserve">Solo01
</t>
    </r>
    <r>
      <rPr>
        <sz val="9"/>
        <rFont val="Calibri"/>
        <family val="2"/>
        <charset val="204"/>
        <scheme val="minor"/>
      </rPr>
      <t>(Рояль ДГ)</t>
    </r>
  </si>
  <si>
    <r>
      <t xml:space="preserve">Solo11
</t>
    </r>
    <r>
      <rPr>
        <sz val="9"/>
        <rFont val="Calibri"/>
        <family val="2"/>
        <charset val="204"/>
        <scheme val="minor"/>
      </rPr>
      <t>(Рояль ДО)</t>
    </r>
  </si>
  <si>
    <r>
      <t xml:space="preserve">Solo12
</t>
    </r>
    <r>
      <rPr>
        <sz val="9"/>
        <rFont val="Calibri"/>
        <family val="2"/>
        <charset val="204"/>
        <scheme val="minor"/>
      </rPr>
      <t>(Рояль ДГО)</t>
    </r>
  </si>
  <si>
    <t>Porte01 (Футуро0)</t>
  </si>
  <si>
    <t>Porte02 (Футуро1 ДГ)</t>
  </si>
  <si>
    <t>Porte03 (Футуро5)</t>
  </si>
  <si>
    <t>Vetro11 (Футуро1)</t>
  </si>
  <si>
    <t>Vetro12 (Футуро21)</t>
  </si>
  <si>
    <t>Vetro13 (Вертикаль1)</t>
  </si>
  <si>
    <t>Vetro14 (Вертикаль2)</t>
  </si>
  <si>
    <t>Vetro15 (Z16)</t>
  </si>
  <si>
    <t>Vetro16 (S-classe)</t>
  </si>
  <si>
    <t>Amelia8 (Амелия1)</t>
  </si>
  <si>
    <t>Amelia10 (new)</t>
  </si>
  <si>
    <t>Amelia12 (Амелия2)</t>
  </si>
  <si>
    <t>AmeliaX3 (Амелия3)</t>
  </si>
  <si>
    <t>AmeliaRomb1 (Амелия6)</t>
  </si>
  <si>
    <t>AmeliaArc1 (Амелия5)</t>
  </si>
  <si>
    <t xml:space="preserve">Авторский </t>
  </si>
  <si>
    <t>на 20% меньше щитовой фрезерованной панели</t>
  </si>
  <si>
    <t>Изменение цен по всем линейкам</t>
  </si>
  <si>
    <t>Спец.цены на покурытие лофт не действуют.</t>
  </si>
  <si>
    <t>редакция 1 от 30.07.2021</t>
  </si>
  <si>
    <t>прайс 30.07.21</t>
  </si>
  <si>
    <t>В случае необходимости соединения 2-х реек 45*45 в единый блок 45*90  необходимо заказать соединитель из мдф. 
Стоимость 200 руб. за размер 2400 мм</t>
  </si>
  <si>
    <t>При креплении реек на на декоративную подложку стоимость подложки расчитывается 
как стоимость плоской стеновой панели
 (см.вкладку "Стеновые панели")</t>
  </si>
  <si>
    <t>Для монтажа необходимо дополнительно заказать набор шаблонов для установки монтажных брусков. 
В набор входит комплект из 3-х шаблонов под каждый размер панельной рейки.  
Стоимость шаблона 1500 руб. Заказывается единоразово.</t>
  </si>
  <si>
    <t>Введение нового стандартного цвета эмали ТЕЛЕГРЕЙ (ral7047)</t>
  </si>
  <si>
    <t>Введение в щитовые полотна цветов дуба Кварц, Опал, Нефрит, Имбирь</t>
  </si>
  <si>
    <t>Введение белой гладкой пленки Велюр белый снег для щитовых полотен.</t>
  </si>
  <si>
    <t>Рекомендуемые логистические наценки по регионам</t>
  </si>
  <si>
    <t>SOFT COLOR</t>
  </si>
  <si>
    <t>Покрытия: ШПОН, ЭМАЛЬ</t>
  </si>
  <si>
    <t>Стыковочные  элементы</t>
  </si>
  <si>
    <t>Двери ЖАЛЮЗИ</t>
  </si>
  <si>
    <t>Фрамуги и накладки</t>
  </si>
  <si>
    <t>Standart Strada</t>
  </si>
  <si>
    <t>Толщина профиля Бабочка (колонна Погонажная) -16мм</t>
  </si>
  <si>
    <t>Толщина профиля Бабочка (колонна Погонажная) -12мм</t>
  </si>
  <si>
    <t xml:space="preserve">Исправлена стоимость шпонированных  полотен Strada коллекции Standart </t>
  </si>
  <si>
    <t>Исправлена стоимость полотен Florence 4a коллекции Neoclassic</t>
  </si>
  <si>
    <t>ПОРТАЛЫ: КОЛОННЫ И КАРНИЗЫ</t>
  </si>
  <si>
    <t>Исправлена стоимость полотна Vetro14 коллекции Techno</t>
  </si>
  <si>
    <t>редакция 2 от 05.08.2021</t>
  </si>
  <si>
    <t>редакция 3 от 11.08.2021</t>
  </si>
  <si>
    <t>Пленка ARTEX Крымское дерево</t>
  </si>
  <si>
    <t>Выведена из ассортимента</t>
  </si>
  <si>
    <t xml:space="preserve">Покрытия_artex </t>
  </si>
  <si>
    <t>Толщина ML наличника - 15мм</t>
  </si>
  <si>
    <t>Толщина ML наличника - 16мм</t>
  </si>
  <si>
    <t>900, 1000,1100</t>
  </si>
  <si>
    <t>2400-2700</t>
  </si>
  <si>
    <t>Добавлена стоимость перегородки Grazia для высоты до 2700мм</t>
  </si>
  <si>
    <t>10х 75 мм</t>
  </si>
  <si>
    <t>Полукруглый L-наличник</t>
  </si>
  <si>
    <t>Выведен из ассортимента</t>
  </si>
  <si>
    <t xml:space="preserve">Добавлен Z  наличник </t>
  </si>
  <si>
    <r>
      <t>Наценка/</t>
    </r>
    <r>
      <rPr>
        <i/>
        <sz val="11"/>
        <color theme="0" tint="-0.249977111117893"/>
        <rFont val="Calibri"/>
        <family val="2"/>
        <charset val="204"/>
        <scheme val="minor"/>
      </rPr>
      <t>установите свою наценку</t>
    </r>
  </si>
  <si>
    <t>Изменены розничные наценки на коллекцию ARTEX, грунтованные полотна, алюминиевые короба</t>
  </si>
  <si>
    <t>редакция 4 от 30.08.2021</t>
  </si>
  <si>
    <t>Porte05 (new)</t>
  </si>
  <si>
    <t>Porte04 (new)</t>
  </si>
  <si>
    <t>Vetro 01 (new)</t>
  </si>
  <si>
    <t>Vetro18</t>
  </si>
  <si>
    <t>Погонажные изделия к полотнам (коробки, наличники, колонны, расширители)</t>
  </si>
  <si>
    <t>Увеличена розничная наценка на продукцию в покрытии artex</t>
  </si>
  <si>
    <t>прайс 04.10.21</t>
  </si>
  <si>
    <t>редакция 1 от 04.10.2021</t>
  </si>
  <si>
    <t>Изменение цен на фурнитуру Morelli на 10%</t>
  </si>
  <si>
    <t>раздел Фурнитура</t>
  </si>
  <si>
    <t>Введены новые цвета Artex в коллекции SOFT COLOR</t>
  </si>
  <si>
    <t>Введены новые цвета Artex в коллекции WOOD TANGENTAL</t>
  </si>
  <si>
    <t>Орех NY светлый</t>
  </si>
  <si>
    <t>Орех NY смоук</t>
  </si>
  <si>
    <t>Орех NY классический</t>
  </si>
  <si>
    <t xml:space="preserve">Патинирование  </t>
  </si>
  <si>
    <t>Алюминиевая кромка</t>
  </si>
  <si>
    <t>выкрас по ral/ncs</t>
  </si>
  <si>
    <t>с/с (п.м.)</t>
  </si>
  <si>
    <t>с/с (кг) золото</t>
  </si>
  <si>
    <t>с/с (кг) серебро</t>
  </si>
  <si>
    <t>с/с (кг) бронза</t>
  </si>
  <si>
    <t>коэф.1</t>
  </si>
  <si>
    <t>коэф.2</t>
  </si>
  <si>
    <t>римини2</t>
  </si>
  <si>
    <t>модена2</t>
  </si>
  <si>
    <t>Зеркало без фацета
(с одной стороны)</t>
  </si>
  <si>
    <t>СЕРЕБРО</t>
  </si>
  <si>
    <t>ЗОЛОТО</t>
  </si>
  <si>
    <t>БРОНЗА</t>
  </si>
  <si>
    <t>ГРАФИТ</t>
  </si>
  <si>
    <t>3D-панель</t>
  </si>
  <si>
    <t>3D-панель в покрытии ARTEX (StradaLight 16 3D (S11 3D))</t>
  </si>
  <si>
    <t>ОПТ</t>
  </si>
  <si>
    <t>РОЗН</t>
  </si>
  <si>
    <r>
      <t>Garda1 ДО</t>
    </r>
    <r>
      <rPr>
        <sz val="10"/>
        <color theme="3" tint="0.39997558519241921"/>
        <rFont val="Calibri"/>
        <family val="2"/>
        <charset val="204"/>
        <scheme val="minor"/>
      </rPr>
      <t xml:space="preserve"> (К-1)</t>
    </r>
  </si>
  <si>
    <r>
      <t>Garda1 ДО</t>
    </r>
    <r>
      <rPr>
        <sz val="10"/>
        <color theme="1"/>
        <rFont val="Calibri"/>
        <family val="2"/>
        <charset val="204"/>
        <scheme val="minor"/>
      </rPr>
      <t xml:space="preserve"> (Классика1)</t>
    </r>
  </si>
  <si>
    <t>потребность в стекле, кв.м</t>
  </si>
  <si>
    <t>толщина стекла для модели</t>
  </si>
  <si>
    <t>4+4</t>
  </si>
  <si>
    <t>Зеркало с фацетом
(с одной стороны)</t>
  </si>
  <si>
    <t>ООО "Герда"</t>
  </si>
  <si>
    <t>с/с (кв.м) серебро</t>
  </si>
  <si>
    <t>с/с (кв.м) бронза</t>
  </si>
  <si>
    <t>с/с (кв.м) графит</t>
  </si>
  <si>
    <t>Зеркало  4 мм</t>
  </si>
  <si>
    <t>Ренер</t>
  </si>
  <si>
    <t>Митпроф</t>
  </si>
  <si>
    <t>потребность в зеркале, кв.м</t>
  </si>
  <si>
    <r>
      <t>Garda1 ДГ</t>
    </r>
    <r>
      <rPr>
        <sz val="10"/>
        <color theme="3" tint="0.39997558519241921"/>
        <rFont val="Calibri"/>
        <family val="2"/>
        <charset val="204"/>
        <scheme val="minor"/>
      </rPr>
      <t xml:space="preserve"> (К-1)</t>
    </r>
  </si>
  <si>
    <r>
      <t>Garda1 ДГ</t>
    </r>
    <r>
      <rPr>
        <sz val="10"/>
        <color theme="1"/>
        <rFont val="Calibri"/>
        <family val="2"/>
        <charset val="204"/>
        <scheme val="minor"/>
      </rPr>
      <t xml:space="preserve"> (Классика1)</t>
    </r>
  </si>
  <si>
    <t>с/с (кв.м) 3D панель белая</t>
  </si>
  <si>
    <t>потребность в 3D панель, кв.м</t>
  </si>
  <si>
    <t>производство</t>
  </si>
  <si>
    <t>перепродажа</t>
  </si>
  <si>
    <t>белое</t>
  </si>
  <si>
    <t>ИП Захаров В.К.</t>
  </si>
  <si>
    <t>ИП Петров Р.Г.</t>
  </si>
  <si>
    <t xml:space="preserve"> с/с (кв.м) 4 мм</t>
  </si>
  <si>
    <t xml:space="preserve"> с/с (кв.м) 6 мм</t>
  </si>
  <si>
    <t xml:space="preserve"> с/с (кв.м) 8 мм</t>
  </si>
  <si>
    <t>стоимость базового стекла без обработки</t>
  </si>
  <si>
    <t>Фацет</t>
  </si>
  <si>
    <t>Триплекс</t>
  </si>
  <si>
    <t>потребность в триплекс 2+2, кв.м</t>
  </si>
  <si>
    <t>потребность в триплекс 4+4, кв.м</t>
  </si>
  <si>
    <t>потребность в акрил, кв.м</t>
  </si>
  <si>
    <t>акрил</t>
  </si>
  <si>
    <t>доплата за обработку</t>
  </si>
  <si>
    <t>наличие стекла</t>
  </si>
  <si>
    <t>СМ1</t>
  </si>
  <si>
    <t>СМ2</t>
  </si>
  <si>
    <t>ХМ1</t>
  </si>
  <si>
    <t>ХМ2</t>
  </si>
  <si>
    <t>Алмазная гравировка</t>
  </si>
  <si>
    <t>Рисунок (УФ печать)</t>
  </si>
  <si>
    <t>СМ1+
гравировка</t>
  </si>
  <si>
    <t>СМ1+
гравировка+
ХМ1</t>
  </si>
  <si>
    <t>виды работ</t>
  </si>
  <si>
    <t>СМ1+
печать УФ</t>
  </si>
  <si>
    <t>Цвет
рисунка</t>
  </si>
  <si>
    <t xml:space="preserve">Матовое белое </t>
  </si>
  <si>
    <t>услуги по обработке за кв.м</t>
  </si>
  <si>
    <t>закупка ИП Захаров В.К.</t>
  </si>
  <si>
    <t>потребность в обработке, п.м</t>
  </si>
  <si>
    <t>Фацет 20 мм, п.м</t>
  </si>
  <si>
    <t>Фацет 30 мм, п.м</t>
  </si>
  <si>
    <t>стоимость обработки</t>
  </si>
  <si>
    <t>триплекс 2+2 прозрачное, белое, черное</t>
  </si>
  <si>
    <t>триплекс 4+4 прозрачное, белое, черное</t>
  </si>
  <si>
    <t>триплекс 2+2 ярко-белое</t>
  </si>
  <si>
    <t>триплекс 4+4 ярко-белое</t>
  </si>
  <si>
    <t>триплекс 4+4 серое, бронза</t>
  </si>
  <si>
    <t>ООО "Стеклопрофи"</t>
  </si>
  <si>
    <t>Серое, бронза</t>
  </si>
  <si>
    <t>Акриловое стекло 3 мм</t>
  </si>
  <si>
    <t>Адилет</t>
  </si>
  <si>
    <t>черное</t>
  </si>
  <si>
    <t>лист 6 кв. м (2*3)</t>
  </si>
  <si>
    <t>с/с (кв.м) стекло Оптивайт</t>
  </si>
  <si>
    <t>работа (кв.м)</t>
  </si>
  <si>
    <t>с/с краски (кв.м)</t>
  </si>
  <si>
    <t>Итого лакобель (кв.м.)</t>
  </si>
  <si>
    <t>Черное, Бронза, Серое, Белое, Айвори</t>
  </si>
  <si>
    <t>RAL (доплата)</t>
  </si>
  <si>
    <t>потребность в лакобель, кв.м</t>
  </si>
  <si>
    <t>Porte01+лакобель с одной стороны</t>
  </si>
  <si>
    <t>Vetro11 лакобель сверху и снизу, посередине дерево</t>
  </si>
  <si>
    <t>Vetro11 лакобель сверху и снизу, посередине 3D панель</t>
  </si>
  <si>
    <t>Vetro11 (Футуро1), вместо лакобель 3D панель</t>
  </si>
  <si>
    <t>п.м.</t>
  </si>
  <si>
    <t>кг</t>
  </si>
  <si>
    <t>кв.м.</t>
  </si>
  <si>
    <t>руб.</t>
  </si>
  <si>
    <t>разница в цене белое/бронза</t>
  </si>
  <si>
    <t>ООО "Пальмира"</t>
  </si>
  <si>
    <t>Доплаты по стеклу БРОНЗА</t>
  </si>
  <si>
    <t>Доплаты по стеклу Закалка</t>
  </si>
  <si>
    <t>Страда</t>
  </si>
  <si>
    <t>Гравировка со стразами</t>
  </si>
  <si>
    <t>ПРИВИЛЕГИЯ</t>
  </si>
  <si>
    <t>Рисунок по стеклу</t>
  </si>
  <si>
    <t>Алмазная гравировка+стразы</t>
  </si>
  <si>
    <t>Алмазная гравировка с одной стороны</t>
  </si>
  <si>
    <t>Алмазная гравировка с 2х сторон</t>
  </si>
  <si>
    <t>Рояль, Варио, Ангола</t>
  </si>
  <si>
    <t xml:space="preserve">SLIDE </t>
  </si>
  <si>
    <t xml:space="preserve">ROTO </t>
  </si>
  <si>
    <t>допустимо</t>
  </si>
  <si>
    <t>Поворотные</t>
  </si>
  <si>
    <r>
      <t xml:space="preserve">NORMAL, SYNCHRO, CASCAD
</t>
    </r>
    <r>
      <rPr>
        <b/>
        <sz val="9"/>
        <color theme="0" tint="-0.499984740745262"/>
        <rFont val="Calibri"/>
        <family val="2"/>
        <charset val="204"/>
        <scheme val="minor"/>
      </rPr>
      <t/>
    </r>
  </si>
  <si>
    <t>Матовое 
белое</t>
  </si>
  <si>
    <t>INVISIBLE, 
LOFT</t>
  </si>
  <si>
    <t>Белый, Лак, Корич., Умбра</t>
  </si>
  <si>
    <t>Продиры "ВИНТАЖ" (с одной стороны)</t>
  </si>
  <si>
    <t>ПРИМЕЧАНИЕ</t>
  </si>
  <si>
    <t>3. Прочее:</t>
  </si>
  <si>
    <t>3.1. Стоимость систем открывания  уточняйте в разделе "Фурнитура…"</t>
  </si>
  <si>
    <t>4. Особенности коллекции:</t>
  </si>
  <si>
    <t>2.4. Наценки за нестандартные размеры уточняйте во вкладке "Наценки за нестандартное исполнение".</t>
  </si>
  <si>
    <t>Paulo1/2</t>
  </si>
  <si>
    <t>Paulo3/4</t>
  </si>
  <si>
    <t>Акант; Эклектика 1; 
Рисунок 1; Рисунок 2; Рисунок 4; Рисунок 6, Рисунок 10</t>
  </si>
  <si>
    <t>2.2. Модели в пленочном покрытии обозначаются дескриптором "Light" и имеют отличия</t>
  </si>
  <si>
    <r>
      <t>Rino4/Lina6</t>
    </r>
    <r>
      <rPr>
        <sz val="11"/>
        <color theme="1"/>
        <rFont val="Calibri"/>
        <family val="2"/>
        <charset val="204"/>
        <scheme val="minor"/>
      </rPr>
      <t xml:space="preserve"> </t>
    </r>
  </si>
  <si>
    <t>Strada11</t>
  </si>
  <si>
    <t>Strada14</t>
  </si>
  <si>
    <t>Strada15</t>
  </si>
  <si>
    <t>Strada01</t>
  </si>
  <si>
    <t>2+2</t>
  </si>
  <si>
    <t>Strada light02</t>
  </si>
  <si>
    <t>Strada02</t>
  </si>
  <si>
    <t>Strada light12</t>
  </si>
  <si>
    <t>Strada12</t>
  </si>
  <si>
    <t>Strada light03</t>
  </si>
  <si>
    <t>Strada03</t>
  </si>
  <si>
    <t>Strada light13</t>
  </si>
  <si>
    <t>Strada13</t>
  </si>
  <si>
    <t>Стекло 4 мм СМ1</t>
  </si>
  <si>
    <t xml:space="preserve">Рисунок "Страда" </t>
  </si>
  <si>
    <r>
      <t xml:space="preserve">сторона1 - зеркало
сторона2 - триплекс черный;
</t>
    </r>
    <r>
      <rPr>
        <u/>
        <sz val="9"/>
        <rFont val="Calibri"/>
        <family val="2"/>
        <charset val="204"/>
        <scheme val="minor"/>
      </rPr>
      <t/>
    </r>
  </si>
  <si>
    <t>Вставка МДФ</t>
  </si>
  <si>
    <t>2. Зеркало</t>
  </si>
  <si>
    <r>
      <t xml:space="preserve">Рисунок матовый на глянцевом фоне с 2-х сторон: </t>
    </r>
    <r>
      <rPr>
        <i/>
        <sz val="9"/>
        <rFont val="Calibri"/>
        <family val="2"/>
        <charset val="204"/>
        <scheme val="minor"/>
      </rPr>
      <t>Варио,Рояль</t>
    </r>
    <r>
      <rPr>
        <sz val="9"/>
        <rFont val="Calibri"/>
        <family val="2"/>
        <charset val="204"/>
        <scheme val="minor"/>
      </rPr>
      <t>,</t>
    </r>
    <r>
      <rPr>
        <i/>
        <sz val="9"/>
        <rFont val="Calibri"/>
        <family val="2"/>
        <charset val="204"/>
        <scheme val="minor"/>
      </rPr>
      <t xml:space="preserve"> Анголо</t>
    </r>
  </si>
  <si>
    <r>
      <t xml:space="preserve">Рисунок матовый на глянцевом фоне с 2-х сторон: </t>
    </r>
    <r>
      <rPr>
        <i/>
        <sz val="9"/>
        <rFont val="Calibri"/>
        <family val="2"/>
        <charset val="204"/>
        <scheme val="minor"/>
      </rPr>
      <t xml:space="preserve"> гравировка+стразы</t>
    </r>
  </si>
  <si>
    <t>Триплекс 4+4 мм</t>
  </si>
  <si>
    <t>Vario01</t>
  </si>
  <si>
    <t xml:space="preserve">Vario11 </t>
  </si>
  <si>
    <t>Vario13</t>
  </si>
  <si>
    <t>Solo01</t>
  </si>
  <si>
    <t>Solo11</t>
  </si>
  <si>
    <t>Solo12</t>
  </si>
  <si>
    <t>Vario</t>
  </si>
  <si>
    <r>
      <rPr>
        <u/>
        <sz val="9"/>
        <rFont val="Calibri"/>
        <family val="2"/>
        <charset val="204"/>
        <scheme val="minor"/>
      </rPr>
      <t xml:space="preserve"> При комплектации модели Vario11, Solo11/12 зеркалом возможны следующие варианты:
Вариант2</t>
    </r>
    <r>
      <rPr>
        <sz val="9"/>
        <rFont val="Calibri"/>
        <family val="2"/>
        <charset val="204"/>
        <scheme val="minor"/>
      </rPr>
      <t xml:space="preserve">: сторона1 - зеркало/сторона2 -триплекс ярко-белый;
</t>
    </r>
    <r>
      <rPr>
        <u/>
        <sz val="9"/>
        <rFont val="Calibri"/>
        <family val="2"/>
        <charset val="204"/>
        <scheme val="minor"/>
      </rPr>
      <t>Вариант3</t>
    </r>
    <r>
      <rPr>
        <sz val="9"/>
        <rFont val="Calibri"/>
        <family val="2"/>
        <charset val="204"/>
        <scheme val="minor"/>
      </rPr>
      <t xml:space="preserve">: сторона1 - зеркало/сторона2 -зеркало
</t>
    </r>
    <r>
      <rPr>
        <u/>
        <sz val="9"/>
        <rFont val="Calibri"/>
        <family val="2"/>
        <charset val="204"/>
        <scheme val="minor"/>
      </rPr>
      <t>Во втором и третьем варианте необходимо применить доплату за вторую сторону.</t>
    </r>
  </si>
  <si>
    <t>лакобель (крашенное стекло Optiwhite)</t>
  </si>
  <si>
    <t>серия Linea</t>
  </si>
  <si>
    <t>серия Twist</t>
  </si>
  <si>
    <r>
      <t>серия Lingo</t>
    </r>
    <r>
      <rPr>
        <sz val="10"/>
        <color theme="1"/>
        <rFont val="Calibri"/>
        <family val="2"/>
        <charset val="204"/>
        <scheme val="minor"/>
      </rPr>
      <t xml:space="preserve"> </t>
    </r>
  </si>
  <si>
    <t xml:space="preserve">Горизонтальное направление шпона </t>
  </si>
  <si>
    <t>Зеркало (с одной стороны)</t>
  </si>
  <si>
    <t>RAL/ NCS</t>
  </si>
  <si>
    <t>5. Изменение направления шпона</t>
  </si>
  <si>
    <t>3. Декоративные элементы</t>
  </si>
  <si>
    <t>Vetro 18 (new)</t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</si>
  <si>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Techno Porte</t>
    </r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</si>
  <si>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Techno Vetro</t>
    </r>
  </si>
  <si>
    <t>Эмаль BRASH Телегрей</t>
  </si>
  <si>
    <t>1950 мм</t>
  </si>
  <si>
    <t>прайс 01.11.21</t>
  </si>
  <si>
    <t>РРЦ предыдущего прайса от 04.10.2021</t>
  </si>
  <si>
    <t>опт</t>
  </si>
  <si>
    <t>замок</t>
  </si>
  <si>
    <t>скидка</t>
  </si>
  <si>
    <t>Триплекс 2+2 мм, СМ1</t>
  </si>
  <si>
    <t>Крепежный брус для реек-перегородок заказывается отдельной позицией. Длина 1 м. Стоимость его входит в цену реек-перегородок. При заказе отдельно - 1/2 бруса-коробочного L в соответствующем покрытии.</t>
  </si>
  <si>
    <t>шар новогодний ТЕРЕМ</t>
  </si>
  <si>
    <t>Изменение цен на весь ассортимент в среднем на 6%</t>
  </si>
  <si>
    <t>Введена новая модель Vetro18</t>
  </si>
  <si>
    <t>Введена новая модель Amelia 9</t>
  </si>
  <si>
    <t>Введена новая модель Sienna 9</t>
  </si>
  <si>
    <t>Provеnce design</t>
  </si>
  <si>
    <t>Provеnce</t>
  </si>
  <si>
    <t>Techno_Vetro</t>
  </si>
  <si>
    <t>Покрытия_artex</t>
  </si>
  <si>
    <t>Введены замки AGB</t>
  </si>
  <si>
    <t>Введены декоративные 3D панели в модели Vetro11/18</t>
  </si>
  <si>
    <t>редакция 1 от 01.11.2021</t>
  </si>
  <si>
    <t>2.3. Допустимые варианты размеров и исполнений уточняйте в "Тетраде продавца"</t>
  </si>
  <si>
    <t>% корректировки</t>
  </si>
  <si>
    <t>16 х 85 мм</t>
  </si>
  <si>
    <t>3.2.. Возможно исполнение накладки 
для входной двери (только для ДГ). 
Стоимость = ЦЕНА ПОЛОТНА 800х2000 мм х 0,85</t>
  </si>
  <si>
    <t>редакция 2 от 09.11.2021</t>
  </si>
  <si>
    <t>Изменение цен на короб барный на 20%, в связи с изменением базовой длины(было 2050 стало 2400 мм)</t>
  </si>
  <si>
    <t>Исправлены неточности</t>
  </si>
  <si>
    <t>Исправлена картинка К2760</t>
  </si>
  <si>
    <t>Снята модель Verona 6</t>
  </si>
  <si>
    <t>1. Брус коробочный барный используется только с петлей пружинной</t>
  </si>
  <si>
    <r>
      <t>Брус коробочный барный</t>
    </r>
    <r>
      <rPr>
        <b/>
        <vertAlign val="superscript"/>
        <sz val="11"/>
        <rFont val="Calibri"/>
        <family val="2"/>
        <charset val="204"/>
        <scheme val="minor"/>
      </rPr>
      <t>1</t>
    </r>
  </si>
  <si>
    <t>редакция 4 от 07.12.2021</t>
  </si>
  <si>
    <t>редакция 3 от 03.12.2021</t>
  </si>
  <si>
    <t>Добавлена 2 мм нержавеющая пластина</t>
  </si>
  <si>
    <t>Фурнитура /прочее</t>
  </si>
  <si>
    <t>редакция 5 от 08.12.2021</t>
  </si>
  <si>
    <t>Добавлена модель COSMO в коллекцию Enamel</t>
  </si>
  <si>
    <t>Enamеl</t>
  </si>
  <si>
    <t>Добавлены скрытые двери со склада</t>
  </si>
  <si>
    <t>Скрытая дверь СКЛАД</t>
  </si>
  <si>
    <t>Добавлены цены на патину на карнизе</t>
  </si>
  <si>
    <t>Vario11 
(Варио ДО)</t>
  </si>
  <si>
    <t>Декоративная вставка
(с 2х сторон)</t>
  </si>
  <si>
    <t>3D</t>
  </si>
  <si>
    <t>Эмаль, ПВХ</t>
  </si>
  <si>
    <t>ПВХ</t>
  </si>
  <si>
    <t>Базовые цвета</t>
  </si>
  <si>
    <t>по каталогу Artex</t>
  </si>
  <si>
    <t>Лакобель+4Al</t>
  </si>
  <si>
    <t>пузырчатая упаковка</t>
  </si>
  <si>
    <t>Дополнительная транспортировочная упаковка</t>
  </si>
  <si>
    <t>Рем.комплект</t>
  </si>
  <si>
    <t>Уплотнитель</t>
  </si>
  <si>
    <t>Информацию о сроках изготовления тех или иных моделей можно уточнить в ЛК Дилера https://teremdoor.ru/sotrudnichestvo/dileram/personal/</t>
  </si>
  <si>
    <t>(цены опт)</t>
  </si>
  <si>
    <t>по ясеню</t>
  </si>
  <si>
    <t>эмаль базовая</t>
  </si>
  <si>
    <t>по дубу</t>
  </si>
  <si>
    <t>эмаль (100г), 
отвердитель (75г), 
бутил(25г)</t>
  </si>
  <si>
    <t>характеристика</t>
  </si>
  <si>
    <t>цена</t>
  </si>
  <si>
    <t>жесткая упаковка (до 8 полотен)</t>
  </si>
  <si>
    <t>мягкая упаковка (за изделие)</t>
  </si>
  <si>
    <t>деревянный короб</t>
  </si>
  <si>
    <t>Стекло</t>
  </si>
  <si>
    <t>с врезкой под отверстие</t>
  </si>
  <si>
    <t>для Vetro11</t>
  </si>
  <si>
    <t>Добавлена модель Vetro19</t>
  </si>
  <si>
    <t>Прочее</t>
  </si>
  <si>
    <t>MSD 02</t>
  </si>
  <si>
    <t>УС 442 Ivб</t>
  </si>
  <si>
    <t>бежевый, холодно-бежевый, коричневый</t>
  </si>
  <si>
    <t>белый, серый, черный,
темно-коричневый</t>
  </si>
  <si>
    <t>прозрачный</t>
  </si>
  <si>
    <t>Д-10П/3</t>
  </si>
  <si>
    <t>морилка</t>
  </si>
  <si>
    <t>прайс 12.01.22</t>
  </si>
  <si>
    <t>Снижены цены на коллекции с префиксом DESIGN</t>
  </si>
  <si>
    <t>редакция 1 от 12.01.2022</t>
  </si>
  <si>
    <t>под пенал/
под перегородки</t>
  </si>
  <si>
    <t>РРЦ предыдущего прайса от 01.11.2021</t>
  </si>
  <si>
    <t>по цене
RQ</t>
  </si>
  <si>
    <t>Скорректированы цены на прочие коллекции и отдельные погонажные изделия</t>
  </si>
  <si>
    <t>Введение нового раздела "Прочее"</t>
  </si>
  <si>
    <t>черная</t>
  </si>
  <si>
    <t>900, 
1000</t>
  </si>
  <si>
    <t>РРЦ предыдущего прайса от 17.01.2022</t>
  </si>
  <si>
    <t>Общее изменение цен</t>
  </si>
  <si>
    <t>Добавлена коллекция Fusion Plain</t>
  </si>
  <si>
    <t>Fusion_Plain</t>
  </si>
  <si>
    <t>10 мм</t>
  </si>
  <si>
    <t>12, 16 мм</t>
  </si>
  <si>
    <t>25 мм</t>
  </si>
  <si>
    <t>Добавлены цены на щитовые плоские панели разных толщин</t>
  </si>
  <si>
    <t>редакция 1 от 14.02.2022</t>
  </si>
  <si>
    <t>прайс 14.02.22</t>
  </si>
  <si>
    <t>Прайс на складскую программу вынесен отдельно</t>
  </si>
  <si>
    <t>4.1. Применяются системы открывания только распашные системы или механизм LOFT</t>
  </si>
  <si>
    <t>Пленка ARTEX Массив Гриджио выведена из ассортимента</t>
  </si>
  <si>
    <t>Добавлена цена на позицию DIVA с доводчиком в цвете Черный</t>
  </si>
  <si>
    <t>редакция 2 от 22.02.2022</t>
  </si>
  <si>
    <t>Cистемы INVISIBLE</t>
  </si>
  <si>
    <t>алюм</t>
  </si>
  <si>
    <t>декоры</t>
  </si>
  <si>
    <t>Дуб Имбирь*</t>
  </si>
  <si>
    <t xml:space="preserve">2.  Стыковочные элементы нижние (пьедесталы)
</t>
  </si>
  <si>
    <t>1. Алюминиевые короба</t>
  </si>
  <si>
    <t>Дополнительные наценки к прайсу от 14.02.2022</t>
  </si>
  <si>
    <t>Погонаж алюминиевый</t>
  </si>
  <si>
    <t>прайс 12.03.22</t>
  </si>
  <si>
    <t>редакция 1 от 12.03.2022</t>
  </si>
  <si>
    <t>Введены корректирующие коэф.</t>
  </si>
  <si>
    <t>скидки_наценки</t>
  </si>
  <si>
    <t>редакция 2 от 16.03.2022</t>
  </si>
  <si>
    <t>Исправлены цены на ручки-лодочки</t>
  </si>
  <si>
    <t>Исправлены ошибки</t>
  </si>
  <si>
    <t>Исправлены цены на алюм.кромки</t>
  </si>
  <si>
    <t xml:space="preserve">Добавлена цена на WL наличник </t>
  </si>
  <si>
    <t>Алюм.погонаж</t>
  </si>
  <si>
    <t>Выкрас по RAL и  NCS</t>
  </si>
  <si>
    <t>изделия в покрытии "Ясень крашеный" +20%</t>
  </si>
  <si>
    <t>изделия в покрытии "Эмаль" +20%</t>
  </si>
  <si>
    <t>1.1.</t>
  </si>
  <si>
    <t>1.2.</t>
  </si>
  <si>
    <t>1.3.</t>
  </si>
  <si>
    <t>Матовое покрытие +10% к выбранному покрытию</t>
  </si>
  <si>
    <t>Изменение дизайна существующей модели  +25% (только по согласованию с технологами фабрики)</t>
  </si>
  <si>
    <t>Перегородка Corsa: На полотно шириной более 1100-1200мм, наценка  +15%к  полотну 1000мм в необходимой высоте. На полотно высотой более 2800-3000мм, наценка  +15% к полотну 2750мм в необходимой высоте</t>
  </si>
  <si>
    <t>Рейки: Размерный ряд: При заказе в покрытии шпон  или эмаль возможно исполнение 3000 мм. Наценка +30%</t>
  </si>
  <si>
    <t>Исправлены цены на стекла в коллекции Classic</t>
  </si>
  <si>
    <t>Переформатированны наценки</t>
  </si>
  <si>
    <t xml:space="preserve">Classic </t>
  </si>
  <si>
    <t>Двери для объектов</t>
  </si>
  <si>
    <t>Двери для пищеблоков</t>
  </si>
  <si>
    <t>Звукоизоляционное наполнение</t>
  </si>
  <si>
    <t>цельнонаполненный МДФ</t>
  </si>
  <si>
    <t>цельнонаполненный брус сосны</t>
  </si>
  <si>
    <t>цельнонаполненный пенопласт</t>
  </si>
  <si>
    <t>стоимость = Vetro11+25%</t>
  </si>
  <si>
    <t xml:space="preserve">стоимость=выбранное полотно + 15% </t>
  </si>
  <si>
    <t>1. Двери для объектов изготавливаются только по эскизам</t>
  </si>
  <si>
    <t>Двери с повышенной огнестойкостью</t>
  </si>
  <si>
    <t xml:space="preserve">стоимость=выбранное полотно + 25% </t>
  </si>
  <si>
    <t xml:space="preserve">стоимость=выбранное полотно + 35% </t>
  </si>
  <si>
    <t>тип 30</t>
  </si>
  <si>
    <t>тип 45</t>
  </si>
  <si>
    <t>44 мм</t>
  </si>
  <si>
    <t>59 мм</t>
  </si>
  <si>
    <t>1 000 руб/ед (ОПТ)</t>
  </si>
  <si>
    <t>эскиз разрабатывается только после предоставления образца</t>
  </si>
  <si>
    <t>по периметру стекла - круглая багетная рамка;
стекло прозрачное 4 мм</t>
  </si>
  <si>
    <t>Врезка СКУД/ скрытых доводчиков</t>
  </si>
  <si>
    <t>стоимость =  цена соответствующего полотна</t>
  </si>
  <si>
    <t>2. Двери с повышенной толщиной исполняются только с притвором</t>
  </si>
  <si>
    <t>3.Сертификат на двери с повышенной огнестойкостью не предоставляется</t>
  </si>
  <si>
    <t>4. В связи с перебоями импортных материалов, возможность изготовления двери с повышенной огнестойкостью уточняйте у регионального менеджера</t>
  </si>
  <si>
    <t xml:space="preserve">стоимость=выбранное полотно + 15%
</t>
  </si>
  <si>
    <t>стоимость=выбранное полотно + 35%</t>
  </si>
  <si>
    <r>
      <rPr>
        <b/>
        <sz val="12"/>
        <color theme="1"/>
        <rFont val="Calibri"/>
        <family val="2"/>
        <charset val="204"/>
        <scheme val="minor"/>
      </rPr>
      <t xml:space="preserve">стоимость=выбранное полотно + </t>
    </r>
    <r>
      <rPr>
        <b/>
        <sz val="12"/>
        <rFont val="Calibri"/>
        <family val="2"/>
        <charset val="204"/>
        <scheme val="minor"/>
      </rPr>
      <t xml:space="preserve">120% </t>
    </r>
    <r>
      <rPr>
        <b/>
        <sz val="12"/>
        <color theme="1"/>
        <rFont val="Calibri"/>
        <family val="2"/>
        <charset val="204"/>
        <scheme val="minor"/>
      </rPr>
      <t>+
выбранный погонаж+50% + специальная фурнитура</t>
    </r>
    <r>
      <rPr>
        <b/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theme="1"/>
        <rFont val="Calibri"/>
        <family val="2"/>
        <charset val="204"/>
        <scheme val="minor"/>
      </rPr>
      <t xml:space="preserve">
(Петля Apecs 100х75 (нержавеющая сталь); Ручка Apecs HP 72/1303-BL; Замок огнеупорный 3000 - ZN; Ответная планка замка)</t>
    </r>
  </si>
  <si>
    <r>
      <rPr>
        <b/>
        <sz val="12"/>
        <color theme="1"/>
        <rFont val="Calibri"/>
        <family val="2"/>
        <charset val="204"/>
        <scheme val="minor"/>
      </rPr>
      <t xml:space="preserve">стоимость=выбранное полотно + </t>
    </r>
    <r>
      <rPr>
        <b/>
        <sz val="12"/>
        <rFont val="Calibri"/>
        <family val="2"/>
        <charset val="204"/>
        <scheme val="minor"/>
      </rPr>
      <t xml:space="preserve">70% </t>
    </r>
    <r>
      <rPr>
        <b/>
        <sz val="12"/>
        <color theme="1"/>
        <rFont val="Calibri"/>
        <family val="2"/>
        <charset val="204"/>
        <scheme val="minor"/>
      </rPr>
      <t xml:space="preserve">+
выбранный погонаж+10%  + специальная фурнитура </t>
    </r>
    <r>
      <rPr>
        <sz val="12"/>
        <color theme="1"/>
        <rFont val="Calibri"/>
        <family val="2"/>
        <charset val="204"/>
        <scheme val="minor"/>
      </rPr>
      <t xml:space="preserve">
(Петля Apecs 100х75 (нержавеющая сталь); Ручка Apecs HP 72/1303-BL; Замок огнеупорный 3000 - ZN; Ответная планка замка; Порог выпадающий Morelli)</t>
    </r>
  </si>
  <si>
    <t>редакция 3 от 25.03.2022</t>
  </si>
  <si>
    <t>Добавлен раздел "Двери для объектов"</t>
  </si>
  <si>
    <t>Двери для обьектов</t>
  </si>
  <si>
    <t>Артикул</t>
  </si>
  <si>
    <t>40410-22</t>
  </si>
  <si>
    <t>E1201-H8P</t>
  </si>
  <si>
    <t xml:space="preserve">Е1101-W10P </t>
  </si>
  <si>
    <t>E1202-H8P</t>
  </si>
  <si>
    <t xml:space="preserve">Е1102-W10P </t>
  </si>
  <si>
    <t>30209-22</t>
  </si>
  <si>
    <t>TF 22IE-3-85</t>
  </si>
  <si>
    <t>TF 23 IE-8-3</t>
  </si>
  <si>
    <t>TF 23IE-34-3</t>
  </si>
  <si>
    <t>TF 22IE-1В-88</t>
  </si>
  <si>
    <t>H53110-27A</t>
  </si>
  <si>
    <t>TF 52 IE-2-73</t>
  </si>
  <si>
    <t>TF 22 IE-2-73</t>
  </si>
  <si>
    <t>TF 52 IE-5-73</t>
  </si>
  <si>
    <t>TF 22 IE-1-73</t>
  </si>
  <si>
    <t>LW 00 621-2</t>
  </si>
  <si>
    <t>LW 00 623-2</t>
  </si>
  <si>
    <t>LW 00 643-2</t>
  </si>
  <si>
    <t>LW 00 644-2</t>
  </si>
  <si>
    <t>LW 00 646-2</t>
  </si>
  <si>
    <t>ZB 701-GT</t>
  </si>
  <si>
    <t>1227-FGP</t>
  </si>
  <si>
    <t>1224-65P</t>
  </si>
  <si>
    <t>1232-65P</t>
  </si>
  <si>
    <t>YG10047-62A</t>
  </si>
  <si>
    <t xml:space="preserve"> H57806-77A</t>
  </si>
  <si>
    <t>К-655</t>
  </si>
  <si>
    <t>LS 00 920-2</t>
  </si>
  <si>
    <t>LS 00 926-2</t>
  </si>
  <si>
    <t>LS 00 923-2</t>
  </si>
  <si>
    <t>LS 00 925-2</t>
  </si>
  <si>
    <t>LW 663-SFT</t>
  </si>
  <si>
    <t>LW 664-SFT</t>
  </si>
  <si>
    <t>LW 667-SFT</t>
  </si>
  <si>
    <t>TX 00 401-2</t>
  </si>
  <si>
    <t>TX 00 402-2</t>
  </si>
  <si>
    <t>TX 00 421-2</t>
  </si>
  <si>
    <t>TX 00 422-2</t>
  </si>
  <si>
    <t>AW-01</t>
  </si>
  <si>
    <t xml:space="preserve">AW-02    </t>
  </si>
  <si>
    <t>AW-05</t>
  </si>
  <si>
    <t>SE-012</t>
  </si>
  <si>
    <t>SE-013</t>
  </si>
  <si>
    <t>SE-015</t>
  </si>
  <si>
    <t>Карелия светлая</t>
  </si>
  <si>
    <t>Карелия темная</t>
  </si>
  <si>
    <t>Дуб шале натур</t>
  </si>
  <si>
    <t>Дуб шале седой</t>
  </si>
  <si>
    <t>Дуб шале графит</t>
  </si>
  <si>
    <t>Дуб мелфорд светлый</t>
  </si>
  <si>
    <t>Дуб мелфорд натур</t>
  </si>
  <si>
    <t>Дуб бомонд грей</t>
  </si>
  <si>
    <t>Дуб бомонт натур</t>
  </si>
  <si>
    <t>Дуб кантри горизонт</t>
  </si>
  <si>
    <t>Лофт белый</t>
  </si>
  <si>
    <t>Лофт графит</t>
  </si>
  <si>
    <t>Лофт капучино</t>
  </si>
  <si>
    <t>Лофт грей</t>
  </si>
  <si>
    <t>Букле лайт грей</t>
  </si>
  <si>
    <t>Букле крем</t>
  </si>
  <si>
    <t>Холст прованс белый</t>
  </si>
  <si>
    <t>Холст прованс натур</t>
  </si>
  <si>
    <t>Сноу</t>
  </si>
  <si>
    <t>Кеймстоун</t>
  </si>
  <si>
    <t>R 20031</t>
  </si>
  <si>
    <t>хром</t>
  </si>
  <si>
    <t>терем</t>
  </si>
  <si>
    <t>волховец</t>
  </si>
  <si>
    <t>дариано</t>
  </si>
  <si>
    <t>рада</t>
  </si>
  <si>
    <t>океан</t>
  </si>
  <si>
    <t>потенциал</t>
  </si>
  <si>
    <t>модель</t>
  </si>
  <si>
    <t>скидка от РРЦ</t>
  </si>
  <si>
    <t>РРЦ</t>
  </si>
  <si>
    <t>отклонение от РРЦ</t>
  </si>
  <si>
    <t>отклонение от цены</t>
  </si>
  <si>
    <t>ВИЧЕНЦА-2</t>
  </si>
  <si>
    <t>Корфу</t>
  </si>
  <si>
    <t xml:space="preserve">Coliseum6 </t>
  </si>
  <si>
    <t>АРЕНА</t>
  </si>
  <si>
    <t>ИТАКА</t>
  </si>
  <si>
    <t>Прага</t>
  </si>
  <si>
    <t>Elegance2</t>
  </si>
  <si>
    <t>Визави</t>
  </si>
  <si>
    <t>Rino2</t>
  </si>
  <si>
    <t>NEO CLASSIC 8002</t>
  </si>
  <si>
    <t>Manchester M2</t>
  </si>
  <si>
    <t>Garda2</t>
  </si>
  <si>
    <t>GALANT 1421</t>
  </si>
  <si>
    <t xml:space="preserve">Neo N2 </t>
  </si>
  <si>
    <t>Garda3</t>
  </si>
  <si>
    <t>Neo N5</t>
  </si>
  <si>
    <t>Garda4</t>
  </si>
  <si>
    <t>GALANT 1431</t>
  </si>
  <si>
    <t xml:space="preserve">Neo N3 </t>
  </si>
  <si>
    <t>Garda1</t>
  </si>
  <si>
    <t>GALANT 1401</t>
  </si>
  <si>
    <t xml:space="preserve">Neo N1 </t>
  </si>
  <si>
    <t>Garda5</t>
  </si>
  <si>
    <t>GALANT 1411</t>
  </si>
  <si>
    <t>PLANUM 2102</t>
  </si>
  <si>
    <t>PLANUM 4114</t>
  </si>
  <si>
    <t>Porte01</t>
  </si>
  <si>
    <t>PLANUM 010</t>
  </si>
  <si>
    <t>Галактика</t>
  </si>
  <si>
    <t>MARCO1</t>
  </si>
  <si>
    <t>Porte02</t>
  </si>
  <si>
    <t>Лайн1</t>
  </si>
  <si>
    <t>MARCO2</t>
  </si>
  <si>
    <t>Porte03</t>
  </si>
  <si>
    <t>Лайн3</t>
  </si>
  <si>
    <t>MARCO4</t>
  </si>
  <si>
    <t>Vetro11</t>
  </si>
  <si>
    <t>Вита</t>
  </si>
  <si>
    <t>X-LINE1</t>
  </si>
  <si>
    <t>Vetro12</t>
  </si>
  <si>
    <t>X-LINE4</t>
  </si>
  <si>
    <t>Vetro14</t>
  </si>
  <si>
    <t>Вита2</t>
  </si>
  <si>
    <t>X-LINE5</t>
  </si>
  <si>
    <t>Linea01</t>
  </si>
  <si>
    <t>LINEA 8043</t>
  </si>
  <si>
    <t>Veсtor V1</t>
  </si>
  <si>
    <t>Twist01</t>
  </si>
  <si>
    <t>LINEA 8048</t>
  </si>
  <si>
    <t>Veсtor V4</t>
  </si>
  <si>
    <t>Mezzo01</t>
  </si>
  <si>
    <t>Sienna ДГ</t>
  </si>
  <si>
    <t>брус коробочный L</t>
  </si>
  <si>
    <t>кор 014.09</t>
  </si>
  <si>
    <t>Коробка (эмаль)</t>
  </si>
  <si>
    <t>нал 1157.20</t>
  </si>
  <si>
    <t>наличник L 80 (10мм)</t>
  </si>
  <si>
    <t>добор L, 75</t>
  </si>
  <si>
    <t>ДОБ 013, 90</t>
  </si>
  <si>
    <t>Добор 80</t>
  </si>
  <si>
    <t>брус коробочный Q</t>
  </si>
  <si>
    <t>КОР 053.07</t>
  </si>
  <si>
    <t>Коробка №6</t>
  </si>
  <si>
    <t>наличник Q, 10</t>
  </si>
  <si>
    <t>НАЛ 0539.00</t>
  </si>
  <si>
    <t>Наличник №6</t>
  </si>
  <si>
    <t>брус коробочный RQ</t>
  </si>
  <si>
    <t>КОР 003.07</t>
  </si>
  <si>
    <t>наличник RQ, 10</t>
  </si>
  <si>
    <t>НАЛ 0539.00/ 0549.00</t>
  </si>
  <si>
    <t>отклонение 
от РРЦ</t>
  </si>
  <si>
    <t>Rimini2</t>
  </si>
  <si>
    <t>Турин</t>
  </si>
  <si>
    <t>Rimini4</t>
  </si>
  <si>
    <t>Чикаго-О</t>
  </si>
  <si>
    <t>Rimini1</t>
  </si>
  <si>
    <t>Milan</t>
  </si>
  <si>
    <t>Rosso7 ДГ</t>
  </si>
  <si>
    <t>Венеция2ДГ</t>
  </si>
  <si>
    <t>Венеция2ДО</t>
  </si>
  <si>
    <t>Rosso8 ДГ</t>
  </si>
  <si>
    <t>Венеция ДГ</t>
  </si>
  <si>
    <t>Венеция ДО</t>
  </si>
  <si>
    <t>Rino2 браш</t>
  </si>
  <si>
    <t>Strada04</t>
  </si>
  <si>
    <t>Vario12</t>
  </si>
  <si>
    <t>ГАЛАКТИКА специальная сшивка шпона "елочка"</t>
  </si>
  <si>
    <t>Коробка (шпон)</t>
  </si>
  <si>
    <t>наличник L 75, 10</t>
  </si>
  <si>
    <t>наличник L 90, 10</t>
  </si>
  <si>
    <t>петли карточные</t>
  </si>
  <si>
    <t>петля карточная</t>
  </si>
  <si>
    <t>петля скрытая</t>
  </si>
  <si>
    <t xml:space="preserve">AGB </t>
  </si>
  <si>
    <t>К2760</t>
  </si>
  <si>
    <t xml:space="preserve">MR WС 1895 </t>
  </si>
  <si>
    <t>бонаити</t>
  </si>
  <si>
    <t>врезка</t>
  </si>
  <si>
    <t>комплект с карточными</t>
  </si>
  <si>
    <t>комплект со скрытыми</t>
  </si>
  <si>
    <t>скрытая дверь</t>
  </si>
  <si>
    <t>полотно грунт</t>
  </si>
  <si>
    <t>*0010</t>
  </si>
  <si>
    <t xml:space="preserve">Полотно Secret </t>
  </si>
  <si>
    <t>брус AL</t>
  </si>
  <si>
    <t>КОРН 013.07 короб скрытый прямого открывани</t>
  </si>
  <si>
    <t>Коробка Z line 40</t>
  </si>
  <si>
    <t>комплект фурнитуры</t>
  </si>
  <si>
    <t>обратная скрытая дверь</t>
  </si>
  <si>
    <t>брус R-AL</t>
  </si>
  <si>
    <t>КОРН 003.07 короб скрытый обратного открывани</t>
  </si>
  <si>
    <t xml:space="preserve">Коробка Z line 43
Для полотен с алюминиевой кромкой </t>
  </si>
  <si>
    <t>алюм.кромка</t>
  </si>
  <si>
    <t>с 2-х сторон хром</t>
  </si>
  <si>
    <t>с 2-х сторон черная</t>
  </si>
  <si>
    <t>с 4-х сторон хром</t>
  </si>
  <si>
    <t>с 4-х сторон черная</t>
  </si>
  <si>
    <t>Porte01 грунт</t>
  </si>
  <si>
    <t>MARCO1 грунт</t>
  </si>
  <si>
    <t>CENTRO 2523</t>
  </si>
  <si>
    <t>грунт</t>
  </si>
  <si>
    <t>прайс 08.04.22</t>
  </si>
  <si>
    <t>Снижены цены на фурнитуру</t>
  </si>
  <si>
    <t>Снижена цена на полотна в покрытии грунт</t>
  </si>
  <si>
    <t>Добавлена позиция "Стабилизатор"</t>
  </si>
  <si>
    <t>Techno_Porte</t>
  </si>
  <si>
    <t>петли скрытые К27</t>
  </si>
  <si>
    <t>комплект со скрытыми К27</t>
  </si>
  <si>
    <t>Вид погонажного изделия</t>
  </si>
  <si>
    <t>Название погонажного изделия</t>
  </si>
  <si>
    <t>Плоский L-наличник</t>
  </si>
  <si>
    <t>Фигурный  WL-наличник</t>
  </si>
  <si>
    <t>Фигурный ML-наличник</t>
  </si>
  <si>
    <t>Фигурный Модерн</t>
  </si>
  <si>
    <t>Фигурный Arno</t>
  </si>
  <si>
    <t>Фигурный Step</t>
  </si>
  <si>
    <t>Портал Погонажный</t>
  </si>
  <si>
    <t>Портал Стандартный</t>
  </si>
  <si>
    <t>Портал Россо</t>
  </si>
  <si>
    <t>Портал Британия</t>
  </si>
  <si>
    <t>Портал Верона1</t>
  </si>
  <si>
    <t>Портал Верона2</t>
  </si>
  <si>
    <t>Плоский Q-наличник</t>
  </si>
  <si>
    <t>Фигурный M-наличник</t>
  </si>
  <si>
    <t xml:space="preserve">Фигурный M-110 наличник  </t>
  </si>
  <si>
    <t>Скрытый короб без наличника</t>
  </si>
  <si>
    <t>Тип погонажного изделия</t>
  </si>
  <si>
    <t>AL</t>
  </si>
  <si>
    <t>Коэффициент умножения</t>
  </si>
  <si>
    <t>категория (сайт)</t>
  </si>
  <si>
    <t>коллекция (artex)</t>
  </si>
  <si>
    <t>цвет (сайт)</t>
  </si>
  <si>
    <t>Дуб Шале Снежный</t>
  </si>
  <si>
    <t>Кедр Дымчатый</t>
  </si>
  <si>
    <t>Кедр Смолянистый</t>
  </si>
  <si>
    <t>Кедр Шоколад</t>
  </si>
  <si>
    <t>Крымское дерево</t>
  </si>
  <si>
    <t>Монументальный дуб</t>
  </si>
  <si>
    <t>Массив Гриджио</t>
  </si>
  <si>
    <t>крашеный шпон porte</t>
  </si>
  <si>
    <t>горизонтальный шпон</t>
  </si>
  <si>
    <t>Ясень Серый Шелк</t>
  </si>
  <si>
    <t>Ясень Черный</t>
  </si>
  <si>
    <t>Ясень Слоновая Кость</t>
  </si>
  <si>
    <t>Ясень Шалфей</t>
  </si>
  <si>
    <t>Ясень Ирис</t>
  </si>
  <si>
    <t>Ясень Молочный</t>
  </si>
  <si>
    <t>Ясень RAL /NCS</t>
  </si>
  <si>
    <t>натуральный шпон porte</t>
  </si>
  <si>
    <t>Красное Дерево</t>
  </si>
  <si>
    <t>Дуб Светлый</t>
  </si>
  <si>
    <t>Дуб Темный</t>
  </si>
  <si>
    <t>Каштановый Орех</t>
  </si>
  <si>
    <t>Мореный Дуб</t>
  </si>
  <si>
    <t>Американский Орех</t>
  </si>
  <si>
    <t>Дуб Марракеш</t>
  </si>
  <si>
    <t>Дуб Пепел</t>
  </si>
  <si>
    <t>Дуб Песочный</t>
  </si>
  <si>
    <t>Дуб Кварц</t>
  </si>
  <si>
    <t>Дуб Опал</t>
  </si>
  <si>
    <t>Дуб Имбирь</t>
  </si>
  <si>
    <t>Дуб Нефрит</t>
  </si>
  <si>
    <t>Дуб Мускат</t>
  </si>
  <si>
    <t>вертикальный шпон</t>
  </si>
  <si>
    <t>крашеный шпон</t>
  </si>
  <si>
    <t>натуральный шпон</t>
  </si>
  <si>
    <t>эмаль гладкая</t>
  </si>
  <si>
    <t>Серый Шелк</t>
  </si>
  <si>
    <t>Ниагара</t>
  </si>
  <si>
    <t>Слоновая Кость</t>
  </si>
  <si>
    <t>Шалфей</t>
  </si>
  <si>
    <t>Ирис</t>
  </si>
  <si>
    <t>Антрацит</t>
  </si>
  <si>
    <t>Молочный</t>
  </si>
  <si>
    <t>Телегрей</t>
  </si>
  <si>
    <t>RAL /NCS</t>
  </si>
  <si>
    <t>эмаль брашированная</t>
  </si>
  <si>
    <t>Белый Brash</t>
  </si>
  <si>
    <t>Серый Шелк Brash</t>
  </si>
  <si>
    <t>Ниагара Brash</t>
  </si>
  <si>
    <t>Черный Brash</t>
  </si>
  <si>
    <t>Слоновая Кость Brash</t>
  </si>
  <si>
    <t>Шалфей Brash</t>
  </si>
  <si>
    <t>Крем Brash</t>
  </si>
  <si>
    <t>Ирис Brash</t>
  </si>
  <si>
    <t>Антрацит Brash</t>
  </si>
  <si>
    <t>Молочный Brash</t>
  </si>
  <si>
    <t>Телегрей Brash</t>
  </si>
  <si>
    <t>RAL /NCS Brash</t>
  </si>
  <si>
    <t>Дуб шале бисквит</t>
  </si>
  <si>
    <t>Бетон серый</t>
  </si>
  <si>
    <t>Орех каштановый</t>
  </si>
  <si>
    <t>вид обработки</t>
  </si>
  <si>
    <t xml:space="preserve"> цвет стекла</t>
  </si>
  <si>
    <t>Rimini2 ( Римини )</t>
  </si>
  <si>
    <t>Rimini4 ( Парма )</t>
  </si>
  <si>
    <t>Milan2 ( Милан )</t>
  </si>
  <si>
    <t>Rosso2  ( РОССО 2 )</t>
  </si>
  <si>
    <t>Rosso7 ( РОССО 1 )</t>
  </si>
  <si>
    <t>Rosso8 ( РОССО 3 )</t>
  </si>
  <si>
    <t>Palermo1</t>
  </si>
  <si>
    <t>Palermo2 ( Барса )</t>
  </si>
  <si>
    <t>PALERMO 2A</t>
  </si>
  <si>
    <t>Modena1 ( Модена 1 )</t>
  </si>
  <si>
    <t>Modena2 ( Модена 2 )</t>
  </si>
  <si>
    <t>Modena3 ( Модена 3 )</t>
  </si>
  <si>
    <t>Venice6 ( Клио )</t>
  </si>
  <si>
    <t>Coliseum6 ( Колизей )</t>
  </si>
  <si>
    <t>Turin1 ( PRO Византия 1 )</t>
  </si>
  <si>
    <t>Turin2 ( PRO Византия 2 )</t>
  </si>
  <si>
    <t>Turin3 ( PRO Византия 3 )</t>
  </si>
  <si>
    <t>Turin4  ( PRO Византия 4 )</t>
  </si>
  <si>
    <t>Turin Romb ( PRO Византия 1  РОМБЫ )</t>
  </si>
  <si>
    <t>Rino1 ( R 1 )</t>
  </si>
  <si>
    <t>Rino2 ( R 2 )</t>
  </si>
  <si>
    <t>Rino3 ( R 3 )</t>
  </si>
  <si>
    <t>Rino4 ( R 4 )</t>
  </si>
  <si>
    <t>Lina6 ( R 16 )</t>
  </si>
  <si>
    <t>Dino2 ( R 14 )</t>
  </si>
  <si>
    <t>Dino3  ( R 13 )</t>
  </si>
  <si>
    <t>Marko1 ( R 1X )</t>
  </si>
  <si>
    <t>Marko2 ( R 2X )</t>
  </si>
  <si>
    <t>Marko3  ( R 3X )</t>
  </si>
  <si>
    <t>Paulo1 ( R 9 )</t>
  </si>
  <si>
    <t>Paulo2  ( R 6 )</t>
  </si>
  <si>
    <t>Paulo3 ( R 11 )</t>
  </si>
  <si>
    <t>Paulo4  ( R 10 )</t>
  </si>
  <si>
    <t>Garda1 ( Классика 1 )</t>
  </si>
  <si>
    <t>Garda5  ( Виктория CLASSIC )</t>
  </si>
  <si>
    <t>Garda2 ( Классика 2 )</t>
  </si>
  <si>
    <t>Garda3 ( Классика 3 )</t>
  </si>
  <si>
    <t>Garda4  ( Классика 4 )</t>
  </si>
  <si>
    <t>Florence4  ( Флоренция CLASSIC )</t>
  </si>
  <si>
    <t>FLORENCE 4A</t>
  </si>
  <si>
    <t>Strada ( Страда )</t>
  </si>
  <si>
    <t>Strada11 ( Страда ДО )</t>
  </si>
  <si>
    <t>Strada12 (Вега ДО)</t>
  </si>
  <si>
    <t>Strada13 ( Персона ДО )</t>
  </si>
  <si>
    <t>Strada14 ( Зебра2 ДО )</t>
  </si>
  <si>
    <t>Strada15 ( Зебра4 ДО )</t>
  </si>
  <si>
    <t>STRADA16</t>
  </si>
  <si>
    <t>Vario11 ( Варио ДО )</t>
  </si>
  <si>
    <t>Vario12 ( Варио ДГО )</t>
  </si>
  <si>
    <t>Solo01 ( Рояль ДГ )</t>
  </si>
  <si>
    <t>Solo11 ( Рояль ДО )</t>
  </si>
  <si>
    <t>Solo12 ( Рояль ДГО )</t>
  </si>
  <si>
    <t>Porte01  ( Футуро 0 )</t>
  </si>
  <si>
    <t>Porte03 ( Футуро5 )</t>
  </si>
  <si>
    <t>Vetro11 (Футуро1 ДО)</t>
  </si>
  <si>
    <t>Vetro12 ( Футуро21 )</t>
  </si>
  <si>
    <t>Vetro13 ( Вертикаль )</t>
  </si>
  <si>
    <t>Vetro14 ( Вертикаль2 )</t>
  </si>
  <si>
    <t>Vetro15 ( Z16 )</t>
  </si>
  <si>
    <t>Vetro16 ( S-classe )</t>
  </si>
  <si>
    <t>VETRO17</t>
  </si>
  <si>
    <t>VETRO18</t>
  </si>
  <si>
    <t>VETRO19</t>
  </si>
  <si>
    <t xml:space="preserve">Стекло без декора </t>
  </si>
  <si>
    <t>Триплекс 2+2 мм</t>
  </si>
  <si>
    <t>Вид 
покрытия</t>
  </si>
  <si>
    <t>категория (1С)</t>
  </si>
  <si>
    <t>цвет (1с)</t>
  </si>
  <si>
    <r>
      <rPr>
        <sz val="8"/>
        <color rgb="FF000000"/>
        <rFont val="Arial"/>
        <family val="2"/>
        <charset val="204"/>
      </rPr>
      <t>Rimini2 Brit</t>
    </r>
    <r>
      <rPr>
        <sz val="10"/>
        <color rgb="FF000000"/>
        <rFont val="Calibri"/>
        <family val="2"/>
        <charset val="204"/>
      </rPr>
      <t xml:space="preserve"> (Римини Британия)</t>
    </r>
  </si>
  <si>
    <r>
      <rPr>
        <sz val="8"/>
        <color rgb="FF000000"/>
        <rFont val="Arial"/>
        <family val="2"/>
        <charset val="204"/>
      </rPr>
      <t xml:space="preserve">Rimini4 Brit </t>
    </r>
    <r>
      <rPr>
        <sz val="10"/>
        <color rgb="FF000000"/>
        <rFont val="Calibri"/>
        <family val="2"/>
        <charset val="204"/>
      </rPr>
      <t>(Парма Британия)</t>
    </r>
  </si>
  <si>
    <t>PALERMO2A</t>
  </si>
  <si>
    <t>Arno</t>
  </si>
  <si>
    <t>STEP1</t>
  </si>
  <si>
    <t>BERGAMO1</t>
  </si>
  <si>
    <t>BERGAMO2</t>
  </si>
  <si>
    <t>BERGAMO2A</t>
  </si>
  <si>
    <t>BERGAMO2B</t>
  </si>
  <si>
    <t>BERGAMO3</t>
  </si>
  <si>
    <t>BERGAMO4</t>
  </si>
  <si>
    <t>BERGAMO5</t>
  </si>
  <si>
    <t>BERGAMO6</t>
  </si>
  <si>
    <t>ELEGANCE1</t>
  </si>
  <si>
    <t>ELEGANCE2</t>
  </si>
  <si>
    <t>ELEGANCE2A</t>
  </si>
  <si>
    <t>ELEGANCE2B</t>
  </si>
  <si>
    <t>ELEGANCE3</t>
  </si>
  <si>
    <t>ELEGANCE4</t>
  </si>
  <si>
    <t>ELEGANCE5</t>
  </si>
  <si>
    <t>ELEGANCE6</t>
  </si>
  <si>
    <t xml:space="preserve">Florence2 </t>
  </si>
  <si>
    <t>FLORENCE4A</t>
  </si>
  <si>
    <t>GARDA10</t>
  </si>
  <si>
    <t>Strada02 ( Вега ДГ )</t>
  </si>
  <si>
    <t>Strada03 ( Персона ДГ )</t>
  </si>
  <si>
    <t>Strada16 (S11)</t>
  </si>
  <si>
    <t>Strada04 ( Зебра2 ДГ )</t>
  </si>
  <si>
    <t>Strada05 ( Зебра4 ДГ )</t>
  </si>
  <si>
    <t>Vario01 ( Варио ДГ )</t>
  </si>
  <si>
    <t>PORTE04</t>
  </si>
  <si>
    <t>Linea01 ( Z 2 )</t>
  </si>
  <si>
    <t xml:space="preserve">Linea02 ( Z 3 ) </t>
  </si>
  <si>
    <t>Linea03</t>
  </si>
  <si>
    <t>Linea04</t>
  </si>
  <si>
    <t>Twist01 ( Z 1 )</t>
  </si>
  <si>
    <t>Twist02 ( Z14 )</t>
  </si>
  <si>
    <t>Twist03 ( Z15 )</t>
  </si>
  <si>
    <t>Twist04 ( Z4)</t>
  </si>
  <si>
    <t xml:space="preserve">Lingo01 </t>
  </si>
  <si>
    <t>Lingo02</t>
  </si>
  <si>
    <t>Lingo03 ( Z12 )</t>
  </si>
  <si>
    <t xml:space="preserve">Lingo04 </t>
  </si>
  <si>
    <t xml:space="preserve">Mezzo01 </t>
  </si>
  <si>
    <t xml:space="preserve">Mezzo02 ( Z17 ) </t>
  </si>
  <si>
    <t>Mezzo03  ( Z18 )</t>
  </si>
  <si>
    <t>JALOUSIE1</t>
  </si>
  <si>
    <t>JALOUSIE2</t>
  </si>
  <si>
    <t>JALOUSIE3</t>
  </si>
  <si>
    <t>JALOUSIE4</t>
  </si>
  <si>
    <t>Union01 ( Футуро01 )</t>
  </si>
  <si>
    <t>Union02 ( Футуро02 )</t>
  </si>
  <si>
    <t>Union03 ( Футуро03 )</t>
  </si>
  <si>
    <t>Union04</t>
  </si>
  <si>
    <t>Union05</t>
  </si>
  <si>
    <t xml:space="preserve">Union06 </t>
  </si>
  <si>
    <t xml:space="preserve">Combo01 </t>
  </si>
  <si>
    <t>Combo02</t>
  </si>
  <si>
    <t>Combo03</t>
  </si>
  <si>
    <t>Combo04</t>
  </si>
  <si>
    <t>Combo05</t>
  </si>
  <si>
    <t>Combo06</t>
  </si>
  <si>
    <t>PODIO01</t>
  </si>
  <si>
    <t>PODIO02</t>
  </si>
  <si>
    <t>Сосна карелия светлая</t>
  </si>
  <si>
    <t>Сосна карелия темная</t>
  </si>
  <si>
    <t xml:space="preserve">Венге Рифленный </t>
  </si>
  <si>
    <t>Дуб шале натуральный</t>
  </si>
  <si>
    <t>дуб шале корица</t>
  </si>
  <si>
    <t>ясень</t>
  </si>
  <si>
    <t>красное дерево</t>
  </si>
  <si>
    <t>дуб натуральный</t>
  </si>
  <si>
    <t>ам. орех</t>
  </si>
  <si>
    <t>эмаль белая</t>
  </si>
  <si>
    <t>рал 7044 (серый шелк)</t>
  </si>
  <si>
    <t>NCS S 2005-B80G (ниагара)</t>
  </si>
  <si>
    <t>GRAND BLACK</t>
  </si>
  <si>
    <t>эмаль слоновая кость (ncs s 0505 y20r)</t>
  </si>
  <si>
    <t>NCS S 2010 - G 70 Y (шалфей)</t>
  </si>
  <si>
    <t>эмаль крем</t>
  </si>
  <si>
    <t>эмаль серая (ирис)</t>
  </si>
  <si>
    <t>NCS S 7502 - B (антрацит)</t>
  </si>
  <si>
    <t>рал 9010 (молочно-белый)</t>
  </si>
  <si>
    <t>RAL по сути это все кроме перечисленных в прайсе тонов</t>
  </si>
  <si>
    <t>светлый дуб</t>
  </si>
  <si>
    <t>темный дуб</t>
  </si>
  <si>
    <t>каштан</t>
  </si>
  <si>
    <t>мореный дуб</t>
  </si>
  <si>
    <t>марракеш</t>
  </si>
  <si>
    <t>мускат</t>
  </si>
  <si>
    <t>PRO</t>
  </si>
  <si>
    <t>рал 9005 (черный)</t>
  </si>
  <si>
    <t>RAL /NCS по сути это все кроме перечисленных в прайсе тонов</t>
  </si>
  <si>
    <t>Текстурная</t>
  </si>
  <si>
    <t>SIENNA (ДГ)</t>
  </si>
  <si>
    <t>Sienna10 (ДО)</t>
  </si>
  <si>
    <t>SIENNA10 (ДГО)</t>
  </si>
  <si>
    <t>SIENNA10(ДГО2)</t>
  </si>
  <si>
    <t>SiennaX3 (ДО)</t>
  </si>
  <si>
    <t>SIENNAX3(ДГО)</t>
  </si>
  <si>
    <t>SIENNA9 (ДО)</t>
  </si>
  <si>
    <t>Sienna1 (ДО)</t>
  </si>
  <si>
    <t>AMELIA (ДГ)</t>
  </si>
  <si>
    <t>Amelia8 (ДО)</t>
  </si>
  <si>
    <t>AMELIA8 (ДГО)</t>
  </si>
  <si>
    <t>Amelia10 (ДО)</t>
  </si>
  <si>
    <t>AMELIA10 (ДГО)</t>
  </si>
  <si>
    <t>AMELIA10 (ДГО2)</t>
  </si>
  <si>
    <t>Amelia12 (ДО)</t>
  </si>
  <si>
    <t>AMELIA12 (ДГО)</t>
  </si>
  <si>
    <t>AmeliaX3 (ДО)</t>
  </si>
  <si>
    <t>AMELIAX3 (ДГО)</t>
  </si>
  <si>
    <t>AMELIA9 (ДО)</t>
  </si>
  <si>
    <t>AmeliaRomb1 (ДО)</t>
  </si>
  <si>
    <t>AmeliaArc1 (ДО)</t>
  </si>
  <si>
    <t xml:space="preserve">Стекло без декора, </t>
  </si>
  <si>
    <t>Псевдофацет; Решетка; Римини; Сетка;  Милан; Парма; Ромбы с рисунком</t>
  </si>
  <si>
    <r>
      <t>Псевдофацет; Решетка; Римини; Сетка, Ромбы с рисунком</t>
    </r>
    <r>
      <rPr>
        <vertAlign val="superscript"/>
        <sz val="9"/>
        <rFont val="Calibri"/>
        <family val="2"/>
        <charset val="204"/>
        <scheme val="minor"/>
      </rPr>
      <t>1</t>
    </r>
    <r>
      <rPr>
        <sz val="9"/>
        <rFont val="Calibri"/>
        <family val="2"/>
        <charset val="204"/>
        <scheme val="minor"/>
      </rPr>
      <t>; Вензель, Классика3</t>
    </r>
  </si>
  <si>
    <t>Решетка; Икс, R16; 1Ромбы с рисунком</t>
  </si>
  <si>
    <t>СМ0 (Прозрачное)</t>
  </si>
  <si>
    <t>СМ0 (Прозрачный)</t>
  </si>
  <si>
    <t>СМ1 (Матовый с одной стороны)</t>
  </si>
  <si>
    <t>СМ2 (Матовый с двух сторон)</t>
  </si>
  <si>
    <t>Дуб шале снежный</t>
  </si>
  <si>
    <t>VARIO</t>
  </si>
  <si>
    <t>VARIO13</t>
  </si>
  <si>
    <t>Наличник L-образный плоский (10) 80мм</t>
  </si>
  <si>
    <t>Наличник PLANE</t>
  </si>
  <si>
    <t>Коробочный брус PLANE</t>
  </si>
  <si>
    <t>Step 23*110</t>
  </si>
  <si>
    <t>ML 16*85</t>
  </si>
  <si>
    <t>Наличник КЛЕРМОН 24*100</t>
  </si>
  <si>
    <t>Наличник L-образный фигурный 80*16 мм</t>
  </si>
  <si>
    <t>Добор L-образный (90 х 2070 х 16)</t>
  </si>
  <si>
    <t>LEGNO2</t>
  </si>
  <si>
    <t>LEGNO3</t>
  </si>
  <si>
    <t xml:space="preserve"> исполнение остекления</t>
  </si>
  <si>
    <t>цвет 
рисунка 
по стеклу</t>
  </si>
  <si>
    <t>ДГО2</t>
  </si>
  <si>
    <t>ANTIQUE2</t>
  </si>
  <si>
    <t>ANTIQUE3</t>
  </si>
  <si>
    <t>QUADRO2</t>
  </si>
  <si>
    <t>LEGNO4</t>
  </si>
  <si>
    <t>LEGNO1</t>
  </si>
  <si>
    <t xml:space="preserve">Псевдофацет </t>
  </si>
  <si>
    <t xml:space="preserve">Решетка </t>
  </si>
  <si>
    <t xml:space="preserve">Сетка </t>
  </si>
  <si>
    <t xml:space="preserve">Ромбы </t>
  </si>
  <si>
    <t xml:space="preserve">Римини </t>
  </si>
  <si>
    <t xml:space="preserve">Парма </t>
  </si>
  <si>
    <t xml:space="preserve">Милан </t>
  </si>
  <si>
    <t xml:space="preserve">Флоренция </t>
  </si>
  <si>
    <t xml:space="preserve">Вензель </t>
  </si>
  <si>
    <t xml:space="preserve">Классика 3 </t>
  </si>
  <si>
    <t xml:space="preserve">Икс </t>
  </si>
  <si>
    <t xml:space="preserve">R16 </t>
  </si>
  <si>
    <t xml:space="preserve">псевдофацет </t>
  </si>
  <si>
    <t xml:space="preserve">Водопад </t>
  </si>
  <si>
    <t xml:space="preserve">Рис. 1 </t>
  </si>
  <si>
    <t xml:space="preserve">Рис. 2 </t>
  </si>
  <si>
    <t xml:space="preserve">Рис. 4 </t>
  </si>
  <si>
    <t xml:space="preserve">Рис. 6 </t>
  </si>
  <si>
    <t xml:space="preserve">Рис. 10 </t>
  </si>
  <si>
    <t xml:space="preserve">Акрил </t>
  </si>
  <si>
    <t xml:space="preserve">Лакобель </t>
  </si>
  <si>
    <t xml:space="preserve">Триплекс 2+2 </t>
  </si>
  <si>
    <t xml:space="preserve">Триплекс 4+4 </t>
  </si>
  <si>
    <t xml:space="preserve"> Эклектика 1 </t>
  </si>
  <si>
    <t xml:space="preserve"> Эклектика 2 </t>
  </si>
  <si>
    <t xml:space="preserve"> Эклектика 3 </t>
  </si>
  <si>
    <t xml:space="preserve"> Прованс </t>
  </si>
  <si>
    <t xml:space="preserve"> Винтаж </t>
  </si>
  <si>
    <t xml:space="preserve"> Акант </t>
  </si>
  <si>
    <t>Без матирования</t>
  </si>
  <si>
    <t>Матовое с одной стороны</t>
  </si>
  <si>
    <t>Матовое с двух сторон</t>
  </si>
  <si>
    <t xml:space="preserve">рис. Виктория </t>
  </si>
  <si>
    <t>рис. Страда</t>
  </si>
  <si>
    <t xml:space="preserve">рис. Анголо </t>
  </si>
  <si>
    <t>рис. Варио</t>
  </si>
  <si>
    <t>рис. Рояль</t>
  </si>
  <si>
    <t>рис. Ветка</t>
  </si>
  <si>
    <t>лак</t>
  </si>
  <si>
    <t>коричневый</t>
  </si>
  <si>
    <t>умбра</t>
  </si>
  <si>
    <t>Бронзовый</t>
  </si>
  <si>
    <t xml:space="preserve">Прозрачный </t>
  </si>
  <si>
    <t xml:space="preserve">Бронзовый </t>
  </si>
  <si>
    <t xml:space="preserve">Серый </t>
  </si>
  <si>
    <t xml:space="preserve">Белый </t>
  </si>
  <si>
    <t xml:space="preserve">Айвори </t>
  </si>
  <si>
    <t xml:space="preserve">Белый  </t>
  </si>
  <si>
    <t xml:space="preserve">Черный </t>
  </si>
  <si>
    <t xml:space="preserve">Ярко-белый </t>
  </si>
  <si>
    <t>AGILITA2</t>
  </si>
  <si>
    <t>BRUNO2</t>
  </si>
  <si>
    <t>ILLUSION/ RAYS</t>
  </si>
  <si>
    <t xml:space="preserve">ILLUSION/ Rows  </t>
  </si>
  <si>
    <t>POLO5</t>
  </si>
  <si>
    <t>Porte04</t>
  </si>
  <si>
    <t>X-LINE8</t>
  </si>
  <si>
    <t>Porte01+зеркало серебро+ал кромка с 4х сторон/оборотная эмаль</t>
  </si>
  <si>
    <t>CLASSIC/ ВАЛЕНСИЯ</t>
  </si>
  <si>
    <t>CLASSIC/ ПАЛЕРМО</t>
  </si>
  <si>
    <t>CLASSIC/ МИЛАН</t>
  </si>
  <si>
    <t>CLASSIC/ ВЕРОНА</t>
  </si>
  <si>
    <t>CORSA2 ДГ</t>
  </si>
  <si>
    <t>CORSA1 ДГ</t>
  </si>
  <si>
    <t>MARCO2 ДО</t>
  </si>
  <si>
    <t>Коробочный брус универсальный прямоугольный
80мм</t>
  </si>
  <si>
    <t>Наличник L-образный плоский (10) 100мм</t>
  </si>
  <si>
    <t>WL 12 х 85 мм</t>
  </si>
  <si>
    <t>Плинтус плоский 80 мм 80 х 2400 х 16</t>
  </si>
  <si>
    <t>Плинтус плоский 100 мм 100 х 2400 х 17</t>
  </si>
  <si>
    <t>плинтус 75*2000</t>
  </si>
  <si>
    <t>плинтус 90*2000</t>
  </si>
  <si>
    <t>шашка 76*76*16</t>
  </si>
  <si>
    <t>пьедестал 250*76*16</t>
  </si>
  <si>
    <t>розетка 80 х 80 х 24</t>
  </si>
  <si>
    <t>башмак 200 х 80 х 24</t>
  </si>
  <si>
    <t>портал стандартный</t>
  </si>
  <si>
    <t>НАЛ 1307.20 (фигурный)</t>
  </si>
  <si>
    <t>ПЛС 021 75*2400</t>
  </si>
  <si>
    <t>ПЛС 021 100*2400</t>
  </si>
  <si>
    <t>Rosso7 ДО фацет</t>
  </si>
  <si>
    <t>Rosso8 ДО фацет</t>
  </si>
  <si>
    <t>карниз Верона2</t>
  </si>
  <si>
    <t>ясень крашеный</t>
  </si>
  <si>
    <t>комплекты</t>
  </si>
  <si>
    <t>CORSA2 ДО вар.3</t>
  </si>
  <si>
    <t>CORSA1 ДО вар.3</t>
  </si>
  <si>
    <t>рекомен РРЦ</t>
  </si>
  <si>
    <t>текущее РРЦ</t>
  </si>
  <si>
    <t>текущий ОПТ</t>
  </si>
  <si>
    <t>изм опт</t>
  </si>
  <si>
    <t>отклонение 
от РРЦ, %</t>
  </si>
  <si>
    <t>отклонение 
от РРЦ, руб</t>
  </si>
  <si>
    <t>комплект L</t>
  </si>
  <si>
    <t>комплект Q</t>
  </si>
  <si>
    <t>наличник L классический</t>
  </si>
  <si>
    <t>Плинтус напольный (76*2000мм)</t>
  </si>
  <si>
    <t xml:space="preserve">Комплект капители включает в себя набор элементов с одной стороны: 1 ригель, 2 пилястры </t>
  </si>
  <si>
    <t>Рейка панельная 45*45</t>
  </si>
  <si>
    <t>Брус декоративный с установочной планкой 41*48*2780</t>
  </si>
  <si>
    <t>Колонны КЛАССИКА</t>
  </si>
  <si>
    <t>комплект компланар</t>
  </si>
  <si>
    <t>комплект стандарт</t>
  </si>
  <si>
    <t>Rimini2 Brit (Римини Британия)</t>
  </si>
  <si>
    <t>Rimini4 Brit (Парма Британия)</t>
  </si>
  <si>
    <t>шпон авторский (американский орех)</t>
  </si>
  <si>
    <t>ПВХ (дуб молочный)</t>
  </si>
  <si>
    <t>Strada11 триплекс</t>
  </si>
  <si>
    <t>Rino2 3 категория</t>
  </si>
  <si>
    <t>Linea01 3 категория</t>
  </si>
  <si>
    <t>Twist01 3 категория</t>
  </si>
  <si>
    <t>шпон базовый (светлый, темный, красное дерево)</t>
  </si>
  <si>
    <t>дороже ясеня</t>
  </si>
  <si>
    <t>шпон базовый</t>
  </si>
  <si>
    <t>дороже базового</t>
  </si>
  <si>
    <t>БОСТОН</t>
  </si>
  <si>
    <t>ЛИОН</t>
  </si>
  <si>
    <t>Саппоро 1 с решеткой (фальшфацет)</t>
  </si>
  <si>
    <t>Veсtor V13</t>
  </si>
  <si>
    <t>Combo</t>
  </si>
  <si>
    <t>Вита3</t>
  </si>
  <si>
    <t>ЭЛЕГАНТ-О</t>
  </si>
  <si>
    <t>Корнелия ДГ</t>
  </si>
  <si>
    <t>Коробочный брус PLANE обратного открывания</t>
  </si>
  <si>
    <t>Юнион</t>
  </si>
  <si>
    <t xml:space="preserve">Forest ДГ      </t>
  </si>
  <si>
    <t>короб 
Cosmo</t>
  </si>
  <si>
    <t>наличник Cosmo</t>
  </si>
  <si>
    <t>расширитель Cosmo 100</t>
  </si>
  <si>
    <t>расширитель Cosmo 200</t>
  </si>
  <si>
    <t>У Волховца в прайсе на коробки и наличники есть две цены: комплект из 2,5 палок и комплект 3 палки</t>
  </si>
  <si>
    <t>!!!Комплект космо рассчитан из расчета 3 палки коробки и 5 палок погонажа</t>
  </si>
  <si>
    <t>Пит</t>
  </si>
  <si>
    <t>РРЦ предыдущего прайса от 01.03.2022</t>
  </si>
  <si>
    <t>ОПТ текущего прайса</t>
  </si>
  <si>
    <t>РРЦ предыдущего прайса от 01.02.2022</t>
  </si>
  <si>
    <t>РРЦ предыдущего прайса от 01.04.2022</t>
  </si>
  <si>
    <t>РРЦ текущего прайса от 01.05.2022</t>
  </si>
  <si>
    <t>комплект</t>
  </si>
  <si>
    <t>э</t>
  </si>
  <si>
    <t>я</t>
  </si>
  <si>
    <t>ш_ав</t>
  </si>
  <si>
    <t>ш_баз</t>
  </si>
  <si>
    <t>пвх</t>
  </si>
  <si>
    <t>Cosmo</t>
  </si>
  <si>
    <t>космо</t>
  </si>
  <si>
    <t>зеленым выделены модели, комплекты которых посчитаны в космо</t>
  </si>
  <si>
    <t>Добор</t>
  </si>
  <si>
    <t>по цене короба L</t>
  </si>
  <si>
    <t>комплект опт</t>
  </si>
  <si>
    <t>продиры</t>
  </si>
  <si>
    <t>состаренное</t>
  </si>
  <si>
    <t>щитовая 
реечная</t>
  </si>
  <si>
    <t>прайс 16.05.22</t>
  </si>
  <si>
    <t>Снижены цены на основной модельный ряд</t>
  </si>
  <si>
    <t>Добавлен универсальный алюм короб</t>
  </si>
  <si>
    <t>Сняты с производства некоторые модели из коллекции Standart. Снятые моделимогут быть приняты по согласованию по прайс листу от 8 апреля 2022</t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</si>
  <si>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Standart</t>
    </r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</si>
  <si>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Twist</t>
    </r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</si>
  <si>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Design</t>
    </r>
  </si>
  <si>
    <t>Введена дополнительная наценка за покрытие "Орех"</t>
  </si>
  <si>
    <t>ясень/эмаль по RAL/NCS (до 1 кг)</t>
  </si>
  <si>
    <t>ЦА 39/59</t>
  </si>
  <si>
    <t>ЦА541</t>
  </si>
  <si>
    <t>Ширина 
полотна, 
мм</t>
  </si>
  <si>
    <t>Количество петель в комплекте</t>
  </si>
  <si>
    <t>Внешнее открывание out</t>
  </si>
  <si>
    <t>Внутреннее открывание  in</t>
  </si>
  <si>
    <t>Комплект:
полотно, коробка, скрытые петли, магнитная защелка morelli M1895 SC с ответной планкой</t>
  </si>
  <si>
    <t>Комплект с притвором: 
полотно с притвором, коробка, скрытые петли, магнитная защелка morelli M1895 SC с ответной планкой</t>
  </si>
  <si>
    <t>ГРУНТ</t>
  </si>
  <si>
    <t>400, 600, 
700, 800</t>
  </si>
  <si>
    <t>Полотно прямого открывания
Porte01
(грунт)</t>
  </si>
  <si>
    <t xml:space="preserve">Высота 
полотна, мм 
</t>
  </si>
  <si>
    <t>Универсальный 
алюминиевый короб  ЦА 59 (хром)</t>
  </si>
  <si>
    <t>Магнитная защелка morelli M1895 SC с ответной планкой (хром)</t>
  </si>
  <si>
    <t>Полотно обратного открывания
Porte01
(грунт)</t>
  </si>
  <si>
    <r>
      <t xml:space="preserve">1. Скрытая дверь для полотен </t>
    </r>
    <r>
      <rPr>
        <b/>
        <u/>
        <sz val="12"/>
        <rFont val="Calibri"/>
        <family val="2"/>
        <charset val="204"/>
        <scheme val="minor"/>
      </rPr>
      <t>без алюминиевой кромки</t>
    </r>
    <r>
      <rPr>
        <b/>
        <sz val="12"/>
        <rFont val="Calibri"/>
        <family val="2"/>
        <charset val="204"/>
        <scheme val="minor"/>
      </rPr>
      <t xml:space="preserve"> по периметру, цвет ХРОМ</t>
    </r>
  </si>
  <si>
    <t>Скрытые петли TECH U3D7000 (12060UN3D)
 (хром)</t>
  </si>
  <si>
    <t>Наценка за высоты</t>
  </si>
  <si>
    <t>Скрытые петли К6360
 (хром)</t>
  </si>
  <si>
    <t>Магнитный замок PUNTO с ответной планкой (хром)</t>
  </si>
  <si>
    <t>Комплект скрытой двери прямого открывания, 
цвет хром</t>
  </si>
  <si>
    <t>Комплект скрытой двери обратного открывания, 
цвет хром</t>
  </si>
  <si>
    <t xml:space="preserve">
L прямой</t>
  </si>
  <si>
    <t>2120 мм</t>
  </si>
  <si>
    <t>100 мм</t>
  </si>
  <si>
    <t>200 мм</t>
  </si>
  <si>
    <t>L (12мм)</t>
  </si>
  <si>
    <t>односторонний</t>
  </si>
  <si>
    <t>двусторонний</t>
  </si>
  <si>
    <t>одно-
сторонний</t>
  </si>
  <si>
    <t>дву-
сторонний</t>
  </si>
  <si>
    <t>прайс 15.08.22</t>
  </si>
  <si>
    <t>Внесены изменения в погонажные изделия (высоты, толщины)</t>
  </si>
  <si>
    <t>30 х 4 мм</t>
  </si>
  <si>
    <t>2150х86</t>
  </si>
  <si>
    <t>2150x45x16</t>
  </si>
  <si>
    <t>2150х1000</t>
  </si>
  <si>
    <t>2150х1300</t>
  </si>
  <si>
    <t>2150Х1000</t>
  </si>
  <si>
    <t>2150*1000</t>
  </si>
  <si>
    <t>Полотно прямого открывания
Porte01  с алюминиевой кромкой по периметру
(грунт)</t>
  </si>
  <si>
    <r>
      <t xml:space="preserve">2. Скрытая дверь для полотен </t>
    </r>
    <r>
      <rPr>
        <b/>
        <u/>
        <sz val="12"/>
        <rFont val="Calibri"/>
        <family val="2"/>
        <charset val="204"/>
        <scheme val="minor"/>
      </rPr>
      <t>с алюминиевой кромкой</t>
    </r>
    <r>
      <rPr>
        <b/>
        <sz val="12"/>
        <rFont val="Calibri"/>
        <family val="2"/>
        <charset val="204"/>
        <scheme val="minor"/>
      </rPr>
      <t xml:space="preserve"> по периметру, цвет ХРОМ</t>
    </r>
  </si>
  <si>
    <r>
      <t xml:space="preserve">3. Скрытая дверь для полотен </t>
    </r>
    <r>
      <rPr>
        <b/>
        <u/>
        <sz val="12"/>
        <rFont val="Calibri"/>
        <family val="2"/>
        <charset val="204"/>
        <scheme val="minor"/>
      </rPr>
      <t>без алюминиевой кромки</t>
    </r>
    <r>
      <rPr>
        <b/>
        <sz val="12"/>
        <rFont val="Calibri"/>
        <family val="2"/>
        <charset val="204"/>
        <scheme val="minor"/>
      </rPr>
      <t xml:space="preserve"> по периметру, цвет Черный</t>
    </r>
  </si>
  <si>
    <r>
      <t xml:space="preserve">4. Скрытая дверь для полотен </t>
    </r>
    <r>
      <rPr>
        <b/>
        <u/>
        <sz val="12"/>
        <rFont val="Calibri"/>
        <family val="2"/>
        <charset val="204"/>
        <scheme val="minor"/>
      </rPr>
      <t>с алюминиевой кромкой</t>
    </r>
    <r>
      <rPr>
        <b/>
        <sz val="12"/>
        <rFont val="Calibri"/>
        <family val="2"/>
        <charset val="204"/>
        <scheme val="minor"/>
      </rPr>
      <t xml:space="preserve"> по периметру, цвет Черный</t>
    </r>
  </si>
  <si>
    <t xml:space="preserve"> 600, 
700, 800</t>
  </si>
  <si>
    <t>Наценка на полотна за высоты</t>
  </si>
  <si>
    <t>Универсальный 
алюминиевый короб  ЦА 59 (черный)</t>
  </si>
  <si>
    <t>Скрытые петли К6360
 (черные)</t>
  </si>
  <si>
    <t>Магнитный замок PUNTO с ответной планкой (черный)</t>
  </si>
  <si>
    <t xml:space="preserve">900
</t>
  </si>
  <si>
    <t>600, 
700, 800</t>
  </si>
  <si>
    <t>Скрытые петли Armadilo (12060UN3D-SN)
 (хром)</t>
  </si>
  <si>
    <t>Скрытые петли Armadilo (12060UN3D-BL)
 (черный)</t>
  </si>
  <si>
    <t>Магнитная защелка morelli M1895 SC с ответной планкой (черный)</t>
  </si>
  <si>
    <t>эмаль - белая</t>
  </si>
  <si>
    <t>погонаж комплект</t>
  </si>
  <si>
    <t>Терем</t>
  </si>
  <si>
    <t>Волховец</t>
  </si>
  <si>
    <t>Фрамир</t>
  </si>
  <si>
    <t>Рада</t>
  </si>
  <si>
    <t>Дариано</t>
  </si>
  <si>
    <t>Щитовые</t>
  </si>
  <si>
    <t>Porte 01</t>
  </si>
  <si>
    <t>Planum</t>
  </si>
  <si>
    <t>ПГ Base1</t>
  </si>
  <si>
    <t>Marco</t>
  </si>
  <si>
    <t>Slot 02</t>
  </si>
  <si>
    <t>Slot 02F</t>
  </si>
  <si>
    <t>Vetro 11</t>
  </si>
  <si>
    <t>ПO Loft1</t>
  </si>
  <si>
    <t>X-Line</t>
  </si>
  <si>
    <t>Twist 01</t>
  </si>
  <si>
    <t>Linea 8043</t>
  </si>
  <si>
    <t>ПГ Blanca2</t>
  </si>
  <si>
    <t>Вектор</t>
  </si>
  <si>
    <t>Linea 8041</t>
  </si>
  <si>
    <t>Plane 2</t>
  </si>
  <si>
    <t>Neoclassic</t>
  </si>
  <si>
    <t>ПГ Duet10</t>
  </si>
  <si>
    <t>Манчестер</t>
  </si>
  <si>
    <t>Rino 2</t>
  </si>
  <si>
    <t>ПГEmma10</t>
  </si>
  <si>
    <t>Stripe2</t>
  </si>
  <si>
    <t>ПГ Duet10F</t>
  </si>
  <si>
    <t>Agilita</t>
  </si>
  <si>
    <t>Фрезерованные</t>
  </si>
  <si>
    <t>ПГ Rimini2</t>
  </si>
  <si>
    <t>Quadro</t>
  </si>
  <si>
    <t>Belluno2</t>
  </si>
  <si>
    <t>ПГ Omega2</t>
  </si>
  <si>
    <t>Turin 2</t>
  </si>
  <si>
    <t>ПГ Alfa2</t>
  </si>
  <si>
    <t>Связочные</t>
  </si>
  <si>
    <t>Galant</t>
  </si>
  <si>
    <t>ПГ Elegance2</t>
  </si>
  <si>
    <t>Strada 11</t>
  </si>
  <si>
    <t>мод. 2101</t>
  </si>
  <si>
    <t>ПГ Base2</t>
  </si>
  <si>
    <t>Vario11</t>
  </si>
  <si>
    <t>мод. 4114</t>
  </si>
  <si>
    <t>ПО Base3</t>
  </si>
  <si>
    <t>Жалюзи 01</t>
  </si>
  <si>
    <t>Багетные</t>
  </si>
  <si>
    <t>Modena 2</t>
  </si>
  <si>
    <t>ПГ Katalina2</t>
  </si>
  <si>
    <t>Amelia ДГ</t>
  </si>
  <si>
    <t>ПГ Venezia2</t>
  </si>
  <si>
    <t>Palermo 2</t>
  </si>
  <si>
    <t>ПГ Florencia2</t>
  </si>
  <si>
    <t>Полотна с декоративной решеткой</t>
  </si>
  <si>
    <t>Sienna 10</t>
  </si>
  <si>
    <t>ПО Savona2</t>
  </si>
  <si>
    <t>Amelia 8 (по эскизу)</t>
  </si>
  <si>
    <t>Paris</t>
  </si>
  <si>
    <t xml:space="preserve"> Amelia 8 СМ1</t>
  </si>
  <si>
    <t>Corsa</t>
  </si>
  <si>
    <t>Дизайнерские</t>
  </si>
  <si>
    <t>Vetro 18</t>
  </si>
  <si>
    <t>ПГ Aluform5</t>
  </si>
  <si>
    <t>Podio 01</t>
  </si>
  <si>
    <t>Грата1А</t>
  </si>
  <si>
    <t>Саппоро22</t>
  </si>
  <si>
    <r>
      <t>Stripe1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</si>
  <si>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Stripe2</t>
    </r>
    <r>
      <rPr>
        <sz val="10"/>
        <color theme="1"/>
        <rFont val="Calibri"/>
        <family val="2"/>
        <charset val="204"/>
        <scheme val="minor"/>
      </rPr>
      <t/>
    </r>
  </si>
  <si>
    <r>
      <t>Stripe3</t>
    </r>
    <r>
      <rPr>
        <sz val="10"/>
        <color theme="1"/>
        <rFont val="Calibri"/>
        <family val="2"/>
        <charset val="204"/>
        <scheme val="minor"/>
      </rPr>
      <t/>
    </r>
  </si>
  <si>
    <r>
      <t>Stripe4</t>
    </r>
    <r>
      <rPr>
        <sz val="10"/>
        <color theme="1"/>
        <rFont val="Calibri"/>
        <family val="2"/>
        <charset val="204"/>
        <scheme val="minor"/>
      </rPr>
      <t/>
    </r>
  </si>
  <si>
    <t>шпон- светлый дуб</t>
  </si>
  <si>
    <t xml:space="preserve">Porte 01 </t>
  </si>
  <si>
    <t>ПГ Toledo6</t>
  </si>
  <si>
    <t>ПГ Dublin2</t>
  </si>
  <si>
    <t>Neo</t>
  </si>
  <si>
    <t>Неоклассика 2</t>
  </si>
  <si>
    <t>Strada 01</t>
  </si>
  <si>
    <t xml:space="preserve">Polo </t>
  </si>
  <si>
    <t>Vario 11</t>
  </si>
  <si>
    <t>Bruno</t>
  </si>
  <si>
    <t>Decanto</t>
  </si>
  <si>
    <t>ПГ Geneva2</t>
  </si>
  <si>
    <t>Валенсия</t>
  </si>
  <si>
    <t>Полотна с решеткой</t>
  </si>
  <si>
    <t>Rosso 8</t>
  </si>
  <si>
    <t>Венеция</t>
  </si>
  <si>
    <t>L'unione05</t>
  </si>
  <si>
    <t>ПГ Solo2</t>
  </si>
  <si>
    <t>Галактика  (диагональ, елочка)</t>
  </si>
  <si>
    <t>Forest</t>
  </si>
  <si>
    <t>Wave</t>
  </si>
  <si>
    <t>Capriccio</t>
  </si>
  <si>
    <t>ПГ BASE 1</t>
  </si>
  <si>
    <t>ПГ TOLEDO NEW 1</t>
  </si>
  <si>
    <t>ПО LOFT 1</t>
  </si>
  <si>
    <t>ПГ ELEGANCE 2</t>
  </si>
  <si>
    <t>ПГ SOLO 8</t>
  </si>
  <si>
    <t>ПГ DUBLIN 2</t>
  </si>
  <si>
    <t>ПГ GENEVA 1</t>
  </si>
  <si>
    <t>ПГ GENEVA 2</t>
  </si>
  <si>
    <t>ПГ GENEVA 7</t>
  </si>
  <si>
    <t>Rino 32 браш</t>
  </si>
  <si>
    <t>Manchester M2 браш</t>
  </si>
  <si>
    <t>AGILITA2 браш</t>
  </si>
  <si>
    <t>ПГ DUET 10</t>
  </si>
  <si>
    <t>ПО LOFT 6</t>
  </si>
  <si>
    <t>ПГ DOMINO 1</t>
  </si>
  <si>
    <t>Porte39-01</t>
  </si>
  <si>
    <t>Porte39-11</t>
  </si>
  <si>
    <r>
      <t>Porte39 -00
(Porte01</t>
    </r>
    <r>
      <rPr>
        <sz val="10"/>
        <color theme="1"/>
        <rFont val="Calibri"/>
        <family val="2"/>
        <charset val="204"/>
        <scheme val="minor"/>
      </rPr>
      <t xml:space="preserve"> )</t>
    </r>
  </si>
  <si>
    <t>обратное открывание</t>
  </si>
  <si>
    <t>Скорректированы цены на основной модельный ряд в части отдельных полотен</t>
  </si>
  <si>
    <t>Снижены цены на односторонние доборы</t>
  </si>
  <si>
    <t>Добавлен универсальный алюм короб для полотен с алюм кромкой</t>
  </si>
  <si>
    <t>Сняты с производства некоторые модели Bergamo2A, Elegance2A</t>
  </si>
  <si>
    <t>Добавлена коллекция Slot</t>
  </si>
  <si>
    <t>Добавлена серия Stripe</t>
  </si>
  <si>
    <t>Добавлена модель Step перенесена в коллекцию Designe</t>
  </si>
  <si>
    <t>Расширена линейка Porte</t>
  </si>
  <si>
    <t>Добавлены модели Wave и Spline</t>
  </si>
  <si>
    <t>прайс 26.09.22</t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</si>
  <si>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Techno Slot</t>
    </r>
  </si>
  <si>
    <t xml:space="preserve">Лакобель (крашенное стекло Optiwhite) </t>
  </si>
  <si>
    <t>цвет кромки</t>
  </si>
  <si>
    <t>наценка к базовому коробу</t>
  </si>
  <si>
    <t>3. Алюминиевый плинтус</t>
  </si>
  <si>
    <t>за погонный метр</t>
  </si>
  <si>
    <t>за шт (2м)</t>
  </si>
  <si>
    <t>????</t>
  </si>
  <si>
    <t>матовый</t>
  </si>
  <si>
    <t>RAL/NCS</t>
  </si>
  <si>
    <r>
      <rPr>
        <vertAlign val="superscript"/>
        <sz val="9"/>
        <color theme="1"/>
        <rFont val="Calibri"/>
        <family val="2"/>
        <charset val="204"/>
        <scheme val="minor"/>
      </rPr>
      <t>1.</t>
    </r>
    <r>
      <rPr>
        <sz val="9"/>
        <color theme="1"/>
        <rFont val="Calibri"/>
        <family val="2"/>
        <charset val="204"/>
        <scheme val="minor"/>
      </rPr>
      <t xml:space="preserve"> Для ДГ  полотен с деревянной кромкой или T-молдингом применяются петли HH3; для остальных полотен - петли К2760</t>
    </r>
  </si>
  <si>
    <r>
      <rPr>
        <vertAlign val="superscript"/>
        <sz val="9"/>
        <color theme="1"/>
        <rFont val="Calibri"/>
        <family val="2"/>
        <charset val="204"/>
        <scheme val="minor"/>
      </rPr>
      <t>3.</t>
    </r>
    <r>
      <rPr>
        <sz val="9"/>
        <color theme="1"/>
        <rFont val="Calibri"/>
        <family val="2"/>
        <charset val="204"/>
        <scheme val="minor"/>
      </rPr>
      <t xml:space="preserve"> Заказы на алюминиевые плинтуса принимаются со склада свободных остатков</t>
    </r>
  </si>
  <si>
    <t>Porte52-11</t>
  </si>
  <si>
    <t>**При шаге 10 мм наценка 70% к базовой цене полотна в наиболее близком размере 
(например нужна высота 2490: берем наценку за высоту 2450 35% и прибавляем к ней 70%, итого 105%, получившуюся наценку прибавляем к полотну )</t>
  </si>
  <si>
    <t>10 х 110 мм</t>
  </si>
  <si>
    <t>10 х 150 мм</t>
  </si>
  <si>
    <t>Переходник на Q погонаж</t>
  </si>
  <si>
    <t>22 х 100 мм</t>
  </si>
  <si>
    <t>Стык. планка МДФ (L)</t>
  </si>
  <si>
    <t>Патинирование багета 
 (с двух сторон)</t>
  </si>
  <si>
    <t>Багет "Britain" патинированный по крашеному ясеню (с 2-х сторон)</t>
  </si>
  <si>
    <t>Патинирование багета 
 (с 2х сторон)</t>
  </si>
  <si>
    <t>Багет "Britain" патинированный по крашеному ясеню (золото, серебро, бронза) 
с 2х сторон</t>
  </si>
  <si>
    <t>Патинирование багета e-classic (золото, серебро, бронза) с 2х сторон</t>
  </si>
  <si>
    <t>Опция винтаж продиры (для багета) с 2х сторон</t>
  </si>
  <si>
    <t xml:space="preserve">Винтаж </t>
  </si>
  <si>
    <r>
      <t xml:space="preserve">Патина </t>
    </r>
    <r>
      <rPr>
        <sz val="9"/>
        <rFont val="Calibri"/>
        <family val="2"/>
        <charset val="204"/>
        <scheme val="minor"/>
      </rPr>
      <t>золото</t>
    </r>
  </si>
  <si>
    <t>Добавлен Алюминиевый плинтус</t>
  </si>
  <si>
    <t>Добавлены новые наличники</t>
  </si>
  <si>
    <t>Снижены цену на патину</t>
  </si>
  <si>
    <t>Изменна система рассчетов на накладки для входной двери</t>
  </si>
  <si>
    <t>Скорректированы цены на Q наличники</t>
  </si>
  <si>
    <t>1 тип</t>
  </si>
  <si>
    <t>2 тип</t>
  </si>
  <si>
    <t xml:space="preserve">Алмазная гравировка
</t>
  </si>
  <si>
    <t>СМ1 
(Матовое с 1ой стороны)</t>
  </si>
  <si>
    <t>СМ2 
(Матовое с 2х сторон)</t>
  </si>
  <si>
    <t>ПРИМЕЧАНИЕ:</t>
  </si>
  <si>
    <r>
      <rPr>
        <vertAlign val="superscript"/>
        <sz val="11"/>
        <rFont val="Calibri"/>
        <family val="2"/>
        <charset val="204"/>
        <scheme val="minor"/>
      </rPr>
      <t>1.</t>
    </r>
    <r>
      <rPr>
        <sz val="11"/>
        <rFont val="Calibri"/>
        <family val="2"/>
        <charset val="204"/>
        <scheme val="minor"/>
      </rPr>
      <t xml:space="preserve"> В стоимость моделей  Porte39/52-01/11 входит алюминиевая кромка хром с 4-х сторон. При заказе в цвете черный или ral к цене прибавляется разница между этими кромками и кромкой в цвете хром (см. раздел "алюм.погонаж")</t>
    </r>
  </si>
  <si>
    <t>Al-короб</t>
  </si>
  <si>
    <t>Горизонтальное направление шпона</t>
  </si>
  <si>
    <t>Дуб, орех</t>
  </si>
  <si>
    <t>6. Исполнение полотен с отличными друг от друга сторонами</t>
  </si>
  <si>
    <t>для полотен из коллекций: Techno, Twist, Fusion</t>
  </si>
  <si>
    <t>для полотен из коллекций: Elegance</t>
  </si>
  <si>
    <t>для полотен из коллекций: Modern, Designe</t>
  </si>
  <si>
    <t>3. Направление шпона</t>
  </si>
  <si>
    <t>4. Исполнение полотен с отличными друг от друга сторонами</t>
  </si>
  <si>
    <t>Белое, 
Бронза, Серое</t>
  </si>
  <si>
    <t>˅</t>
  </si>
  <si>
    <t>1. Молдинг</t>
  </si>
  <si>
    <t>Молдинг 10 мм</t>
  </si>
  <si>
    <t>Молдинг 41 мм</t>
  </si>
  <si>
    <t>ХРОМ</t>
  </si>
  <si>
    <t>ЧЕРНЫЙ</t>
  </si>
  <si>
    <t>2. Изменение направления шпона</t>
  </si>
  <si>
    <t>3. Исполнение полотен с отличными друг от друга сторонами</t>
  </si>
  <si>
    <t>серия Wave</t>
  </si>
  <si>
    <t>1. Декоративные элементы</t>
  </si>
  <si>
    <t>2. Накладка для входной двери (только для дверей ДГ)</t>
  </si>
  <si>
    <t>Dino3/Rino3/Marko3</t>
  </si>
  <si>
    <r>
      <t>Rino1</t>
    </r>
    <r>
      <rPr>
        <sz val="10"/>
        <color theme="1"/>
        <rFont val="Calibri"/>
        <family val="2"/>
        <charset val="204"/>
        <scheme val="minor"/>
      </rPr>
      <t xml:space="preserve"> /</t>
    </r>
    <r>
      <rPr>
        <b/>
        <sz val="11"/>
        <color theme="1"/>
        <rFont val="Calibri"/>
        <family val="2"/>
        <charset val="204"/>
        <scheme val="minor"/>
      </rPr>
      <t>Marko1</t>
    </r>
  </si>
  <si>
    <t>Porte66-00</t>
  </si>
  <si>
    <t>универсальное открывание</t>
  </si>
  <si>
    <t>ДГО/ДГО2</t>
  </si>
  <si>
    <t>Amelia8/10/12</t>
  </si>
  <si>
    <t>глухое полотно</t>
  </si>
  <si>
    <t>полотно со стеклом без декора</t>
  </si>
  <si>
    <t>полотно с фацетным стеклом</t>
  </si>
  <si>
    <r>
      <t>Rosso8</t>
    </r>
    <r>
      <rPr>
        <sz val="10"/>
        <color theme="1"/>
        <rFont val="Calibri"/>
        <family val="2"/>
        <charset val="204"/>
        <scheme val="minor"/>
      </rPr>
      <t/>
    </r>
  </si>
  <si>
    <t>8 мм</t>
  </si>
  <si>
    <r>
      <rPr>
        <vertAlign val="superscript"/>
        <sz val="10"/>
        <rFont val="Calibri"/>
        <family val="2"/>
        <charset val="204"/>
        <scheme val="minor"/>
      </rPr>
      <t xml:space="preserve">1. </t>
    </r>
    <r>
      <rPr>
        <sz val="10"/>
        <rFont val="Calibri"/>
        <family val="2"/>
        <charset val="204"/>
        <scheme val="minor"/>
      </rPr>
      <t xml:space="preserve">Расширитель  также изготавливается следующих видов (стоимость как у типового L  расширителя): </t>
    </r>
  </si>
  <si>
    <t xml:space="preserve">Размер </t>
  </si>
  <si>
    <t>66 мм</t>
  </si>
  <si>
    <t>стоимость=выбранное полотно + 80%</t>
  </si>
  <si>
    <t>ТИП</t>
  </si>
  <si>
    <t>ед. измерения</t>
  </si>
  <si>
    <r>
      <rPr>
        <vertAlign val="superscript"/>
        <sz val="11"/>
        <rFont val="Calibri"/>
        <family val="2"/>
        <charset val="204"/>
        <scheme val="minor"/>
      </rPr>
      <t>2.</t>
    </r>
    <r>
      <rPr>
        <sz val="11"/>
        <rFont val="Calibri"/>
        <family val="2"/>
        <charset val="204"/>
        <scheme val="minor"/>
      </rPr>
      <t xml:space="preserve"> В стоимость моделей  Porte39/52-01 входит стабилизатор коробления для полотен от 2000 мм</t>
    </r>
  </si>
  <si>
    <t xml:space="preserve">(категории 0; I)
</t>
  </si>
  <si>
    <t>Триплекс 4+4</t>
  </si>
  <si>
    <t>выкрас по ral</t>
  </si>
  <si>
    <t>ОСТЕКЛЕНИЕ</t>
  </si>
  <si>
    <t>ЦВЕТ АЛЮМИНИЯ</t>
  </si>
  <si>
    <t>РУЧКА</t>
  </si>
  <si>
    <t>3.</t>
  </si>
  <si>
    <t>МЕХАНИЗМЫ</t>
  </si>
  <si>
    <t>4.</t>
  </si>
  <si>
    <t>5.</t>
  </si>
  <si>
    <t>ДОПОЛНИТЕЛЬНЫЕ ЭЛЕМЕНТЫ</t>
  </si>
  <si>
    <t>Алюминиевые перегородки</t>
  </si>
  <si>
    <t xml:space="preserve">STEEL </t>
  </si>
  <si>
    <t>META</t>
  </si>
  <si>
    <r>
      <t>стоимость за М</t>
    </r>
    <r>
      <rPr>
        <i/>
        <vertAlign val="superscript"/>
        <sz val="14"/>
        <color theme="1"/>
        <rFont val="Calibri"/>
        <family val="2"/>
        <charset val="204"/>
        <scheme val="minor"/>
      </rPr>
      <t>2</t>
    </r>
  </si>
  <si>
    <t>Перегородка Grazia 8, 10, 12</t>
  </si>
  <si>
    <t>Corsa/Race</t>
  </si>
  <si>
    <t xml:space="preserve">(категория  II; III)
</t>
  </si>
  <si>
    <t>1 тип 
(категории 0; I)</t>
  </si>
  <si>
    <t>2 тип
(категория II; III)</t>
  </si>
  <si>
    <t>1. К моделям в покрытии "Эмаль брашированная" комплектуется погонаж в покрытии "Эмаль стандартная"</t>
  </si>
  <si>
    <t>в стоимость не входят, необходимо заказать отдельно</t>
  </si>
  <si>
    <t>Снижены цену на изделия в покрытии ПВХ</t>
  </si>
  <si>
    <t>Оптимизированы категории покрытий</t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</si>
  <si>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Neoclassic</t>
    </r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</si>
  <si>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Сlassic Rosso</t>
    </r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</si>
  <si>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Modern Bergamo</t>
    </r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</si>
  <si>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Modern Turin</t>
    </r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</si>
  <si>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Provence Amelia</t>
    </r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</si>
  <si>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Provence Sienna</t>
    </r>
  </si>
  <si>
    <t>под натуральное дерево</t>
  </si>
  <si>
    <t>под бетон</t>
  </si>
  <si>
    <t>под крашеное дерево</t>
  </si>
  <si>
    <t>под камень</t>
  </si>
  <si>
    <t>под штукатурку</t>
  </si>
  <si>
    <r>
      <rPr>
        <vertAlign val="superscript"/>
        <sz val="9"/>
        <color theme="1"/>
        <rFont val="Calibri"/>
        <family val="2"/>
        <charset val="204"/>
        <scheme val="minor"/>
      </rPr>
      <t>2.</t>
    </r>
    <r>
      <rPr>
        <sz val="9"/>
        <color theme="1"/>
        <rFont val="Calibri"/>
        <family val="2"/>
        <charset val="204"/>
        <scheme val="minor"/>
      </rPr>
      <t xml:space="preserve"> Накладки на алюминиевый плинтус рассчитываются по цене плоского L-наличника в соответствующем покрытии и ширине при толщине 10 мм (110 при толщине 16 мм); для плинтосов под грунт по цене 1 типа ПВХ</t>
    </r>
  </si>
  <si>
    <t>петли, молдинги +2500 руб за комплект не зависимо от комплектации</t>
  </si>
  <si>
    <t>под дерево</t>
  </si>
  <si>
    <t>Имитация</t>
  </si>
  <si>
    <t>Покрытия третьего типа используются только на декоративные вставки</t>
  </si>
  <si>
    <t>в базе 2Al</t>
  </si>
  <si>
    <t>прайс 10.10.22</t>
  </si>
  <si>
    <t>Покрытия: ПВХ</t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</si>
  <si>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Fusion</t>
    </r>
  </si>
  <si>
    <r>
      <rPr>
        <b/>
        <sz val="20"/>
        <rFont val="Calibri"/>
        <family val="2"/>
        <charset val="204"/>
        <scheme val="minor"/>
      </rPr>
      <t>Алюминиевые</t>
    </r>
    <r>
      <rPr>
        <sz val="20"/>
        <rFont val="Calibri"/>
        <family val="2"/>
        <charset val="204"/>
        <scheme val="minor"/>
      </rPr>
      <t xml:space="preserve"> перегородки</t>
    </r>
  </si>
  <si>
    <t>Эмаль  Гриджио</t>
  </si>
  <si>
    <t>RAL-7045</t>
  </si>
  <si>
    <t>Эмаль  BRASH Гриджио</t>
  </si>
  <si>
    <t>Ясень  Гриджио</t>
  </si>
  <si>
    <t>52 мм</t>
  </si>
  <si>
    <t>стоимость=выбранное полотно + 25%</t>
  </si>
  <si>
    <t>Исполнение ПОЛОТНО С ЧЕТВЕРТЬЮ RQ для обратного открывания  +10% к цене полотна (в коллекциях Neclassic  и Standart технически невозможно)</t>
  </si>
  <si>
    <t>Зеркало СЕРЕБРО</t>
  </si>
  <si>
    <t>редакция 1 от 10.10.2022</t>
  </si>
  <si>
    <t>редакция 2 от 21.10.2022</t>
  </si>
  <si>
    <t>Добавлены цены на зеркальные и стеклянные стеновые панели</t>
  </si>
  <si>
    <t>Добавлены цены на утолщенные полотна</t>
  </si>
  <si>
    <t>Porte52-00*</t>
  </si>
  <si>
    <t>Porte52-01*</t>
  </si>
  <si>
    <t>*только для алюм.коробов</t>
  </si>
  <si>
    <t>редакция 3 от 31.10.2023</t>
  </si>
  <si>
    <t>Изменен шаг М-добора</t>
  </si>
  <si>
    <t>декоративная планка</t>
  </si>
  <si>
    <t>боковые заглушки для декоративной планки</t>
  </si>
  <si>
    <t>серия
Bergamo</t>
  </si>
  <si>
    <t>серия 
Turin1 (Византия1)</t>
  </si>
  <si>
    <t>серия 
Elegance</t>
  </si>
  <si>
    <t>серия 
Fusion</t>
  </si>
  <si>
    <t>серия
жалюзи 1</t>
  </si>
  <si>
    <t>Slot10-01</t>
  </si>
  <si>
    <t>Slot07-01</t>
  </si>
  <si>
    <t>серия 
Fusion Plane</t>
  </si>
  <si>
    <t>серия 
Stripe</t>
  </si>
  <si>
    <t>серия 
Belluno</t>
  </si>
  <si>
    <t>Slot41-02 без алюм кромки</t>
  </si>
  <si>
    <t>Vetro11 /13/17
(Футуро1)</t>
  </si>
  <si>
    <t>серия Linea/ Twist</t>
  </si>
  <si>
    <t>серия Mezzo/  Lingo</t>
  </si>
  <si>
    <t>серия Modena</t>
  </si>
  <si>
    <t>серия Palermo</t>
  </si>
  <si>
    <t>Coliseum6 / Venice6/ Arno</t>
  </si>
  <si>
    <t>Amelia с простым стеклом</t>
  </si>
  <si>
    <t xml:space="preserve">Sienna10/ X3 </t>
  </si>
  <si>
    <t>Sienna1</t>
  </si>
  <si>
    <t xml:space="preserve"> Wave</t>
  </si>
  <si>
    <t>Capriccio01 (Моцарт1); Spline</t>
  </si>
  <si>
    <t>Porte+фрезеровка+молдинг10</t>
  </si>
  <si>
    <t>Porte+фрезеровка+молдинг41</t>
  </si>
  <si>
    <t>Porte+фрезеровка</t>
  </si>
  <si>
    <t>Fusion Plain+работа</t>
  </si>
  <si>
    <t>Porte+фрезеровка+вставка</t>
  </si>
  <si>
    <t>Vetro12 /14</t>
  </si>
  <si>
    <t>Porte+мдф+фрезеровка</t>
  </si>
  <si>
    <t>Porte+работа по подбору</t>
  </si>
  <si>
    <t>Union Slot</t>
  </si>
  <si>
    <t>Union+молдинг</t>
  </si>
  <si>
    <t>Union</t>
  </si>
  <si>
    <t>Union+фрезеровка+ламели</t>
  </si>
  <si>
    <t>дешевле гарды на</t>
  </si>
  <si>
    <t>Страда01+триплекс</t>
  </si>
  <si>
    <t xml:space="preserve">Страда11+наценка </t>
  </si>
  <si>
    <t>гарда2+наценка</t>
  </si>
  <si>
    <t>Rosso7 + фацет</t>
  </si>
  <si>
    <t>Rosso8 + фацет</t>
  </si>
  <si>
    <t>Garda1 /2/4</t>
  </si>
  <si>
    <t>Ясень</t>
  </si>
  <si>
    <t>Дуб</t>
  </si>
  <si>
    <t>Орех, Brash</t>
  </si>
  <si>
    <t>комплекты РРЦ по текущему прайсу</t>
  </si>
  <si>
    <t>РРЦ текущего прайса от 16.01.2023</t>
  </si>
  <si>
    <t>% повышения в зависимости от покрытия</t>
  </si>
  <si>
    <t>серия  
Spline</t>
  </si>
  <si>
    <t>серия 
Capriccio</t>
  </si>
  <si>
    <t>серия 
Garda</t>
  </si>
  <si>
    <t>Eclectica</t>
  </si>
  <si>
    <t xml:space="preserve"> ДУБ</t>
  </si>
  <si>
    <t>ДУБ</t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</si>
  <si>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Eclectica Stripe</t>
    </r>
  </si>
  <si>
    <t>серия Palermo (+Венеция, Колизей и Арно)</t>
  </si>
  <si>
    <t xml:space="preserve"> ДУБ
</t>
  </si>
  <si>
    <t xml:space="preserve">ДУБ
</t>
  </si>
  <si>
    <t xml:space="preserve">      Двери с повышенной толщиной</t>
  </si>
  <si>
    <t>как в прайсе было</t>
  </si>
  <si>
    <t xml:space="preserve">Ясень </t>
  </si>
  <si>
    <t>ОРЕХ</t>
  </si>
  <si>
    <t xml:space="preserve"> ОРЕХ</t>
  </si>
  <si>
    <t>ОРЕХ (2)</t>
  </si>
  <si>
    <t>!!!Изделия в покрытии "Американский орех", "Каштановый орех" +15% к Дубу</t>
  </si>
  <si>
    <t>по цене
L</t>
  </si>
  <si>
    <t xml:space="preserve"> Lacio </t>
  </si>
  <si>
    <t>16*110*2400</t>
  </si>
  <si>
    <t xml:space="preserve">Komo </t>
  </si>
  <si>
    <t>16*90*2400</t>
  </si>
  <si>
    <t xml:space="preserve">Etna </t>
  </si>
  <si>
    <t>16*85*2400</t>
  </si>
  <si>
    <t>новинка</t>
  </si>
  <si>
    <t xml:space="preserve">  Доплаты</t>
  </si>
  <si>
    <t xml:space="preserve">  Патинирование 
   (с 2х сторон)</t>
  </si>
  <si>
    <t>L, Z, M</t>
  </si>
  <si>
    <t>нет в табл с нов цен</t>
  </si>
  <si>
    <t>1,2 к L16*90 (в эмали), округл вверх до 50 и  далее по покрытиям по коэффициентам</t>
  </si>
  <si>
    <t>10*110</t>
  </si>
  <si>
    <t>10*150</t>
  </si>
  <si>
    <t>оставляем как было (по старым ценам прошл прайс листа. 1,2)</t>
  </si>
  <si>
    <t>просто новая цена</t>
  </si>
  <si>
    <t>1  (стала меньше на 5%)</t>
  </si>
  <si>
    <t>Q
22*100</t>
  </si>
  <si>
    <t>по цене L200 (ПВХ прежние)</t>
  </si>
  <si>
    <t xml:space="preserve"> -</t>
  </si>
  <si>
    <t>по цене L добора 200</t>
  </si>
  <si>
    <t>Кomo</t>
  </si>
  <si>
    <t>16*90 мм</t>
  </si>
  <si>
    <t xml:space="preserve"> - </t>
  </si>
  <si>
    <t>16*85 мм</t>
  </si>
  <si>
    <t>Lacio</t>
  </si>
  <si>
    <t>16*110 мм</t>
  </si>
  <si>
    <t xml:space="preserve">LL </t>
  </si>
  <si>
    <t>Etna</t>
  </si>
  <si>
    <t>оставляем как было</t>
  </si>
  <si>
    <t xml:space="preserve"> Дуб</t>
  </si>
  <si>
    <t>Орех</t>
  </si>
  <si>
    <t xml:space="preserve">берем цену за 100 мм высчитывем за 10 </t>
  </si>
  <si>
    <t>НОВОЕ ЦЕНООБРАЗОВАНИЕ</t>
  </si>
  <si>
    <t>размеры стекол на модели</t>
  </si>
  <si>
    <t>на одну сторону</t>
  </si>
  <si>
    <t>лакобель (оптивайт) с 1-ой стороны</t>
  </si>
  <si>
    <t>зеркало с 1-ой стороны</t>
  </si>
  <si>
    <t>триплекс с 2-х сторон</t>
  </si>
  <si>
    <t>ширина, м</t>
  </si>
  <si>
    <t>высота, м</t>
  </si>
  <si>
    <r>
      <t>S, м</t>
    </r>
    <r>
      <rPr>
        <vertAlign val="superscript"/>
        <sz val="11"/>
        <color theme="1"/>
        <rFont val="Calibri"/>
        <family val="2"/>
        <charset val="204"/>
        <scheme val="minor"/>
      </rPr>
      <t>2</t>
    </r>
  </si>
  <si>
    <r>
      <t>Р, м</t>
    </r>
    <r>
      <rPr>
        <sz val="11"/>
        <color theme="1"/>
        <rFont val="Calibri"/>
        <family val="2"/>
        <charset val="204"/>
        <scheme val="minor"/>
      </rPr>
      <t/>
    </r>
  </si>
  <si>
    <t>серебро</t>
  </si>
  <si>
    <t>бронза/ графит</t>
  </si>
  <si>
    <t>ярко белый</t>
  </si>
  <si>
    <t>цена за две стороны</t>
  </si>
  <si>
    <t>Porte</t>
  </si>
  <si>
    <t>Vetro 14</t>
  </si>
  <si>
    <t>Vetro 12</t>
  </si>
  <si>
    <t>Vetro 13</t>
  </si>
  <si>
    <t>Страда11</t>
  </si>
  <si>
    <t>Варио11+триплекс</t>
  </si>
  <si>
    <t>Страда14</t>
  </si>
  <si>
    <t>Страда15</t>
  </si>
  <si>
    <t>1-офиленчатые</t>
  </si>
  <si>
    <t>2-х филенчатые: зеркало в верхней филенке</t>
  </si>
  <si>
    <t>3-х филенчатые: стекло в верхней и средней филенке</t>
  </si>
  <si>
    <t>3-х филенчатые: стекло большое</t>
  </si>
  <si>
    <t>3-х филенчатые: стекло малое</t>
  </si>
  <si>
    <t>закуп</t>
  </si>
  <si>
    <t>опт (+25%)</t>
  </si>
  <si>
    <t>розница (+65%)</t>
  </si>
  <si>
    <t>вид</t>
  </si>
  <si>
    <t>ярко-белый</t>
  </si>
  <si>
    <t>Лакобель с 1-ой стороны</t>
  </si>
  <si>
    <t>доплата RAL/ NCS</t>
  </si>
  <si>
    <t>доплата RAL/ NCS (за перламутр)</t>
  </si>
  <si>
    <t>Vetro 11, 13</t>
  </si>
  <si>
    <t>Vetro 12, 14</t>
  </si>
  <si>
    <t>Зеркало (c 1-ой стороны)</t>
  </si>
  <si>
    <t>графит</t>
  </si>
  <si>
    <t>Классические модели</t>
  </si>
  <si>
    <t>Modena1</t>
  </si>
  <si>
    <t>Modena2</t>
  </si>
  <si>
    <t>riminni1</t>
  </si>
  <si>
    <t>riminni2</t>
  </si>
  <si>
    <t>п/м</t>
  </si>
  <si>
    <t>прозрачное</t>
  </si>
  <si>
    <t>СМ1+
алмазная гравировка</t>
  </si>
  <si>
    <t>СМ1+
рисунок по стеклу</t>
  </si>
  <si>
    <t>закалка</t>
  </si>
  <si>
    <t>бронза/
серое</t>
  </si>
  <si>
    <t>4мм</t>
  </si>
  <si>
    <t>4+4 мм</t>
  </si>
  <si>
    <t>2-х филенчатые: стекло в верхней филенке</t>
  </si>
  <si>
    <t>россо целая</t>
  </si>
  <si>
    <t>россо три четверти</t>
  </si>
  <si>
    <t>амелия целая</t>
  </si>
  <si>
    <t>включена в стоимость уже</t>
  </si>
  <si>
    <t>амелия половина</t>
  </si>
  <si>
    <t>вычесть из амелии 10</t>
  </si>
  <si>
    <t>амелия три четверти</t>
  </si>
  <si>
    <t>зеркало серебро</t>
  </si>
  <si>
    <t>по одной цене</t>
  </si>
  <si>
    <t>триплекс</t>
  </si>
  <si>
    <t>равны между собой</t>
  </si>
  <si>
    <t>бронза и серое</t>
  </si>
  <si>
    <t>другая цена, дороже</t>
  </si>
  <si>
    <t>БРОНЗА, ГРАФИТ</t>
  </si>
  <si>
    <t>доплата за RAL/NCS</t>
  </si>
  <si>
    <t>Ral/NCS</t>
  </si>
  <si>
    <t>Диагональное направление шпона</t>
  </si>
  <si>
    <t>Покрытия: Возможно исполнение по RAL и  NCS в категории "Эмаль" и "Ясень ".</t>
  </si>
  <si>
    <t>SPLINE</t>
  </si>
  <si>
    <t>т.к. за квадрат 450*450</t>
  </si>
  <si>
    <t>за 45*45</t>
  </si>
  <si>
    <t>1,2 категория</t>
  </si>
  <si>
    <t>Фрезерованные, шт 
(450х450мм)</t>
  </si>
  <si>
    <t>Патиниирование</t>
  </si>
  <si>
    <t>Патина (c 2-х сторон)</t>
  </si>
  <si>
    <t>винтаж</t>
  </si>
  <si>
    <t>патина по эмали</t>
  </si>
  <si>
    <t>патина по ясеню</t>
  </si>
  <si>
    <t>40% от цены полотна с одной стороны</t>
  </si>
  <si>
    <t>шашки/пьедесталы</t>
  </si>
  <si>
    <t>25% от погонажа</t>
  </si>
  <si>
    <t>окрвверх 50</t>
  </si>
  <si>
    <t>шашки/пьедисталы</t>
  </si>
  <si>
    <t>к золоту</t>
  </si>
  <si>
    <t xml:space="preserve">погонаж с патиной по эмали </t>
  </si>
  <si>
    <t>погонаж с патиной по ясеню</t>
  </si>
  <si>
    <r>
      <t xml:space="preserve">2 тип
</t>
    </r>
    <r>
      <rPr>
        <sz val="9"/>
        <rFont val="Calibri"/>
        <family val="2"/>
        <charset val="204"/>
        <scheme val="minor"/>
      </rPr>
      <t>(категории  II.; III. )</t>
    </r>
  </si>
  <si>
    <r>
      <t>1 тип
(</t>
    </r>
    <r>
      <rPr>
        <sz val="9"/>
        <rFont val="Calibri"/>
        <family val="2"/>
        <charset val="204"/>
        <scheme val="minor"/>
      </rPr>
      <t>категория 0)</t>
    </r>
  </si>
  <si>
    <r>
      <t xml:space="preserve">Гладкая
</t>
    </r>
    <r>
      <rPr>
        <i/>
        <sz val="9"/>
        <rFont val="Calibri"/>
        <family val="2"/>
        <charset val="204"/>
        <scheme val="minor"/>
      </rPr>
      <t>см. Покрытия</t>
    </r>
  </si>
  <si>
    <r>
      <t xml:space="preserve">Ясень 
</t>
    </r>
    <r>
      <rPr>
        <i/>
        <sz val="9"/>
        <rFont val="Calibri"/>
        <family val="2"/>
        <charset val="204"/>
        <scheme val="minor"/>
      </rPr>
      <t>см. Покрытия</t>
    </r>
    <r>
      <rPr>
        <b/>
        <sz val="9"/>
        <rFont val="Calibri"/>
        <family val="2"/>
        <charset val="204"/>
        <scheme val="minor"/>
      </rPr>
      <t xml:space="preserve">
</t>
    </r>
  </si>
  <si>
    <r>
      <rPr>
        <b/>
        <sz val="9"/>
        <rFont val="Calibri"/>
        <family val="2"/>
        <charset val="204"/>
        <scheme val="minor"/>
      </rPr>
      <t xml:space="preserve"> ДУБ</t>
    </r>
    <r>
      <rPr>
        <sz val="9"/>
        <rFont val="Calibri"/>
        <family val="2"/>
        <charset val="204"/>
        <scheme val="minor"/>
      </rPr>
      <t xml:space="preserve">
</t>
    </r>
    <r>
      <rPr>
        <i/>
        <sz val="9"/>
        <rFont val="Calibri"/>
        <family val="2"/>
        <charset val="204"/>
        <scheme val="minor"/>
      </rPr>
      <t>см. Покрытия</t>
    </r>
  </si>
  <si>
    <r>
      <rPr>
        <b/>
        <sz val="9"/>
        <rFont val="Calibri"/>
        <family val="2"/>
        <charset val="204"/>
        <scheme val="minor"/>
      </rPr>
      <t>ОРЕХ</t>
    </r>
    <r>
      <rPr>
        <sz val="9"/>
        <rFont val="Calibri"/>
        <family val="2"/>
        <charset val="204"/>
        <scheme val="minor"/>
      </rPr>
      <t xml:space="preserve">
</t>
    </r>
    <r>
      <rPr>
        <i/>
        <sz val="9"/>
        <rFont val="Calibri"/>
        <family val="2"/>
        <charset val="204"/>
        <scheme val="minor"/>
      </rPr>
      <t>см. Покрытия</t>
    </r>
  </si>
  <si>
    <t>стоимость за М2</t>
  </si>
  <si>
    <t>Гладкая
см.Покрытия</t>
  </si>
  <si>
    <t>Амелия 8</t>
  </si>
  <si>
    <t>за матирование наценка 10%</t>
  </si>
  <si>
    <t>база/ хром</t>
  </si>
  <si>
    <t>ral/ncs</t>
  </si>
  <si>
    <t>Т-образная кромка</t>
  </si>
  <si>
    <t>2AL</t>
  </si>
  <si>
    <t>3AL</t>
  </si>
  <si>
    <t>4AL</t>
  </si>
  <si>
    <t>13,01,23</t>
  </si>
  <si>
    <t>3AL (с 3х сторон)</t>
  </si>
  <si>
    <t>Алюминиевый плинтус</t>
  </si>
  <si>
    <t>за п.м.</t>
  </si>
  <si>
    <t>за шт. (2м)</t>
  </si>
  <si>
    <t xml:space="preserve">фацет </t>
  </si>
  <si>
    <t>БРОНЗА, ГРФИТ</t>
  </si>
  <si>
    <t>4 мм (закаленое)</t>
  </si>
  <si>
    <r>
      <t>4 мм</t>
    </r>
    <r>
      <rPr>
        <i/>
        <sz val="9"/>
        <rFont val="Calibri"/>
        <family val="2"/>
        <charset val="204"/>
        <scheme val="minor"/>
      </rPr>
      <t xml:space="preserve"> (закаленное)</t>
    </r>
  </si>
  <si>
    <t>бронза, серое</t>
  </si>
  <si>
    <r>
      <t>на полотнах</t>
    </r>
    <r>
      <rPr>
        <i/>
        <sz val="9"/>
        <rFont val="Calibri"/>
        <family val="2"/>
        <charset val="204"/>
        <scheme val="minor"/>
      </rPr>
      <t xml:space="preserve"> (не зависимо от вида покрытия)</t>
    </r>
  </si>
  <si>
    <t>2. Алюминиевые кромки*</t>
  </si>
  <si>
    <t>* на полотнах из ПВХ по умолчанию устанавливается Т-молдинг</t>
  </si>
  <si>
    <t>берем одну цену по верхней границе</t>
  </si>
  <si>
    <t>Патина ВИНТАЖ
(только по эмали)</t>
  </si>
  <si>
    <r>
      <t xml:space="preserve">Патина </t>
    </r>
    <r>
      <rPr>
        <sz val="9"/>
        <rFont val="Calibri"/>
        <family val="2"/>
        <charset val="204"/>
        <scheme val="minor"/>
      </rPr>
      <t>(золото, серебро, броназ)</t>
    </r>
    <r>
      <rPr>
        <b/>
        <sz val="9"/>
        <rFont val="Calibri"/>
        <family val="2"/>
        <charset val="204"/>
        <scheme val="minor"/>
      </rPr>
      <t xml:space="preserve">
</t>
    </r>
    <r>
      <rPr>
        <i/>
        <sz val="9"/>
        <rFont val="Calibri"/>
        <family val="2"/>
        <charset val="204"/>
        <scheme val="minor"/>
      </rPr>
      <t>(по ясеню и коллекции в эмали
 E-Classic, Provence)</t>
    </r>
  </si>
  <si>
    <r>
      <t xml:space="preserve">Патина </t>
    </r>
    <r>
      <rPr>
        <sz val="9"/>
        <rFont val="Calibri"/>
        <family val="2"/>
        <charset val="204"/>
        <scheme val="minor"/>
      </rPr>
      <t>(золото, серебро, бронза)</t>
    </r>
    <r>
      <rPr>
        <b/>
        <sz val="9"/>
        <rFont val="Calibri"/>
        <family val="2"/>
        <charset val="204"/>
        <scheme val="minor"/>
      </rPr>
      <t xml:space="preserve">
</t>
    </r>
  </si>
  <si>
    <t>колонны с патиной</t>
  </si>
  <si>
    <t>берем одну цену по верхней границе за все цвета</t>
  </si>
  <si>
    <t>Убираем СМ2 везде</t>
  </si>
  <si>
    <t>если нужно, то наценка 1500 руб</t>
  </si>
  <si>
    <t>стекла с фацетом СМ1 равно цене прозрачного стекла с фацетом</t>
  </si>
  <si>
    <t>СМ1* (Матовый с одной стороны)</t>
  </si>
  <si>
    <t>для стекол с фацетом:</t>
  </si>
  <si>
    <t>рисунок по стеклу</t>
  </si>
  <si>
    <t>гравировка+стразы</t>
  </si>
  <si>
    <t>привелегия</t>
  </si>
  <si>
    <t>фацет прозрачный, матовый  1ой или с 2х* сторон)
(цвет: прозрачное, бронза)</t>
  </si>
  <si>
    <t>Триплекс 4+4 мм глянец
(прозрачное, белое,  черное, зеркало серебро)</t>
  </si>
  <si>
    <t>Триплекс 4+4 мм матовый
(белое матовое, ярко-белое, бронза, серое, зеркало броназа/графит)</t>
  </si>
  <si>
    <t>не будет в ПВХ</t>
  </si>
  <si>
    <t>за 1 кв.м в эмали</t>
  </si>
  <si>
    <t>за 1 кв м</t>
  </si>
  <si>
    <t>берем среднее между матовым и прозрачным</t>
  </si>
  <si>
    <t>Перегородка Grazia 8, 10, 12,  Arc*</t>
  </si>
  <si>
    <r>
      <t>фацет прозрачный, фацет матовый (матирование с 1ой или с 2х сторон)
(ц</t>
    </r>
    <r>
      <rPr>
        <sz val="9"/>
        <color theme="1"/>
        <rFont val="Calibri"/>
        <family val="2"/>
        <charset val="204"/>
        <scheme val="minor"/>
      </rPr>
      <t>вет: прозрачное, бронза)</t>
    </r>
  </si>
  <si>
    <t>Зеркало БРОНЗА, ГРАФИТ, Стекло ЛАКОБЕЛЬ (базовое)</t>
  </si>
  <si>
    <t>Плоская з зеркалом</t>
  </si>
  <si>
    <t>PORTE с зеркалом</t>
  </si>
  <si>
    <t>к модели с более высокой ценой</t>
  </si>
  <si>
    <t>2 сторона</t>
  </si>
  <si>
    <t>1 сторона</t>
  </si>
  <si>
    <t>Modern</t>
  </si>
  <si>
    <t>Designe</t>
  </si>
  <si>
    <t>E-classic</t>
  </si>
  <si>
    <t xml:space="preserve"> Designe</t>
  </si>
  <si>
    <t>Наценки на исполнение полотен с отличными друг от друга сторонами при едином покрытии</t>
  </si>
  <si>
    <t>Twist/Porte+работа</t>
  </si>
  <si>
    <t xml:space="preserve"> Wave, без ал кромки</t>
  </si>
  <si>
    <t>к Гарде</t>
  </si>
  <si>
    <t xml:space="preserve"> Наценки на исполнение полотен с отличными друг от друга сторонами см. в разделе "Наценки"</t>
  </si>
  <si>
    <t>L 
прямой/Z 75*10</t>
  </si>
  <si>
    <t>проверить ссылки</t>
  </si>
  <si>
    <t>брус под перегородки</t>
  </si>
  <si>
    <t>под пенал/</t>
  </si>
  <si>
    <t>58*56</t>
  </si>
  <si>
    <t>накладка для скрытого плинутса</t>
  </si>
  <si>
    <t>равна наличнику Q</t>
  </si>
  <si>
    <t>от рейки панельной 33/3</t>
  </si>
  <si>
    <t>2120x45x16</t>
  </si>
  <si>
    <t>Стык.элемент на обрат стор для станд портала</t>
  </si>
  <si>
    <t>Облицовочная 
планка 
для подвесной
системы 
крепления и пеналов</t>
  </si>
  <si>
    <t>Прозрачное, Белое, Черное, зеркало "Серебро"</t>
  </si>
  <si>
    <t>зеркало Серебро</t>
  </si>
  <si>
    <t>Ярко-белое, Бронза, Серое, зеркало "Бронза", "Графит"</t>
  </si>
  <si>
    <r>
      <t xml:space="preserve">Опция винтаж продиры (для багета) </t>
    </r>
    <r>
      <rPr>
        <i/>
        <sz val="9"/>
        <rFont val="Calibri"/>
        <family val="2"/>
        <charset val="204"/>
        <scheme val="minor"/>
      </rPr>
      <t xml:space="preserve"> с одной стороны перегородк</t>
    </r>
    <r>
      <rPr>
        <sz val="9"/>
        <rFont val="Calibri"/>
        <family val="2"/>
        <charset val="204"/>
        <scheme val="minor"/>
      </rPr>
      <t>и</t>
    </r>
  </si>
  <si>
    <t xml:space="preserve">   Брашированная</t>
  </si>
  <si>
    <t xml:space="preserve">   ОРЕХ</t>
  </si>
  <si>
    <t xml:space="preserve">  Брашированная</t>
  </si>
  <si>
    <t>1500-1800</t>
  </si>
  <si>
    <t>1550, 1650, 1750</t>
  </si>
  <si>
    <t>1950, 2050</t>
  </si>
  <si>
    <t>450-950, 1000</t>
  </si>
  <si>
    <t>*** Все наценки складываются и прибавляются к базовой цене</t>
  </si>
  <si>
    <t xml:space="preserve"> + % к модели с более высокой ценой</t>
  </si>
  <si>
    <t>Варианты не стандартного исполения</t>
  </si>
  <si>
    <t>прайс 30.01.23</t>
  </si>
  <si>
    <t>Eclectica_Beluno</t>
  </si>
  <si>
    <r>
      <rPr>
        <vertAlign val="superscript"/>
        <sz val="11"/>
        <rFont val="Calibri"/>
        <family val="2"/>
        <charset val="204"/>
        <scheme val="minor"/>
      </rPr>
      <t>1.</t>
    </r>
    <r>
      <rPr>
        <sz val="11"/>
        <rFont val="Calibri"/>
        <family val="2"/>
        <charset val="204"/>
        <scheme val="minor"/>
      </rPr>
      <t xml:space="preserve"> Наценки на исполнение полотен с отличными друг от друга сторонами см. в разделе "Наценки"</t>
    </r>
  </si>
  <si>
    <r>
      <rPr>
        <vertAlign val="superscript"/>
        <sz val="10"/>
        <rFont val="Calibri"/>
        <family val="2"/>
        <charset val="204"/>
        <scheme val="minor"/>
      </rPr>
      <t>1.</t>
    </r>
    <r>
      <rPr>
        <sz val="10"/>
        <rFont val="Calibri"/>
        <family val="2"/>
        <charset val="204"/>
        <scheme val="minor"/>
      </rPr>
      <t xml:space="preserve"> Наценки на исполнение полотен с отличными друг от друга сторонами см. в разделе "Наценки"</t>
    </r>
  </si>
  <si>
    <t xml:space="preserve">** В Rosso в исполнении ДО указана цена с  прозрачным с фацетом СМ0 </t>
  </si>
  <si>
    <t>*За матирование второй стороны для стекол с фацетом и стектол без декора применяется доплата +1500 руб. (СМ2 - матирование с двух сторон)</t>
  </si>
  <si>
    <r>
      <rPr>
        <vertAlign val="superscript"/>
        <sz val="10"/>
        <rFont val="Calibri"/>
        <family val="2"/>
        <charset val="204"/>
        <scheme val="minor"/>
      </rPr>
      <t>2</t>
    </r>
    <r>
      <rPr>
        <sz val="10"/>
        <rFont val="Calibri"/>
        <family val="2"/>
        <charset val="204"/>
        <scheme val="minor"/>
      </rPr>
      <t>. Односторонний расширитель  может быть изготовлен шириной до 1000 мм с кратностью 100 мм. Для расчета цены используется стоимость расширителя 100 мм с поправкой на кратность</t>
    </r>
  </si>
  <si>
    <t xml:space="preserve">Изменена логика ценообразования на перегородки Corsa/Race, Grazia - расчет исходя из стоимости за кв.м. </t>
  </si>
  <si>
    <t>Перегородки Corsa/Race</t>
  </si>
  <si>
    <t>Оптимизированы категории покрытий в натуральном шпоне: Ясень, Дуб, Орех. (объединены покрытия шпон базовый и авторский в единую категорию -Дуб)</t>
  </si>
  <si>
    <r>
      <rPr>
        <vertAlign val="superscript"/>
        <sz val="11"/>
        <rFont val="Calibri"/>
        <family val="2"/>
        <charset val="204"/>
        <scheme val="minor"/>
      </rPr>
      <t>3.</t>
    </r>
    <r>
      <rPr>
        <sz val="11"/>
        <rFont val="Calibri"/>
        <family val="2"/>
        <charset val="204"/>
        <scheme val="minor"/>
      </rPr>
      <t xml:space="preserve"> В стоимость моделей  Porte 39-00 в покрытии ПВХ входит Т-молдинг</t>
    </r>
  </si>
  <si>
    <t>15% к цене полотна</t>
  </si>
  <si>
    <t>цена (ОПТ)</t>
  </si>
  <si>
    <t>цена (РРЦ)</t>
  </si>
  <si>
    <t>доплата за RAL/NCS, особые группы</t>
  </si>
  <si>
    <t>у Vetro18</t>
  </si>
  <si>
    <t xml:space="preserve">**При шаге 10 мм наценка 70% к базовой цене полотна в наиболее близком размере </t>
  </si>
  <si>
    <t>**Возможный шаг - 50 мм</t>
  </si>
  <si>
    <t>Высота короба, наличников, притворных планок, расширителя, мм</t>
  </si>
  <si>
    <t xml:space="preserve">Лакобель (крашенное стекло Optiwhite)  </t>
  </si>
  <si>
    <t>оптивайт. Лакобель за 1 сторону</t>
  </si>
  <si>
    <t>оптивайт. Лакобель за 2 стороны</t>
  </si>
  <si>
    <t>39 с притвором</t>
  </si>
  <si>
    <t>Наценки в зависимости от толщины полотна</t>
  </si>
  <si>
    <t>стоимость=выбранное полотно + 10%</t>
  </si>
  <si>
    <t xml:space="preserve">до 1850
</t>
  </si>
  <si>
    <t>до 2000</t>
  </si>
  <si>
    <t>до 2100</t>
  </si>
  <si>
    <t>до 2200</t>
  </si>
  <si>
    <t>до 2300</t>
  </si>
  <si>
    <t>до 2400</t>
  </si>
  <si>
    <t>до 2500</t>
  </si>
  <si>
    <t>до 2600</t>
  </si>
  <si>
    <t>до 2700</t>
  </si>
  <si>
    <t>до 2800</t>
  </si>
  <si>
    <t>до 2900</t>
  </si>
  <si>
    <t>до 3000</t>
  </si>
  <si>
    <t>Тощина полотна</t>
  </si>
  <si>
    <t>Формула расчета</t>
  </si>
  <si>
    <t>ПРЯМ.СК (ПСК)/ОБР.СК (ОСК)</t>
  </si>
  <si>
    <r>
      <t xml:space="preserve">Возможность изготовления модели в данной толщине согласовывается в индивидуальном порядке, например, модель по эскизу.
</t>
    </r>
    <r>
      <rPr>
        <i/>
        <sz val="12"/>
        <color theme="1"/>
        <rFont val="Calibri"/>
        <family val="2"/>
        <charset val="204"/>
        <scheme val="minor"/>
      </rPr>
      <t>Используется для короба L , только в покрытии эмаль, не возможно применение с алюминиевой кромкой</t>
    </r>
  </si>
  <si>
    <r>
      <t xml:space="preserve">Только для алюминевый короба ОСК-1 и ОСК-2. 
</t>
    </r>
    <r>
      <rPr>
        <i/>
        <sz val="12"/>
        <color theme="1"/>
        <rFont val="Calibri"/>
        <family val="2"/>
        <charset val="204"/>
        <scheme val="minor"/>
      </rPr>
      <t>Ограничения по моделям для данного короба см. в тетради продавца часть 3</t>
    </r>
  </si>
  <si>
    <t xml:space="preserve"> + % к базовой цене погонажных изделий от 2400 мм</t>
  </si>
  <si>
    <t>Погонажные изделия в базовой высоте от 2400 мм/2700мм</t>
  </si>
  <si>
    <t xml:space="preserve">Размерный ряд: При заказе в покрытии шпон  или эмаль возможно исполнение 3000 мм. </t>
  </si>
  <si>
    <t>!!!!!В случае отличия и дизайна и покрытий - наценки складываются</t>
  </si>
  <si>
    <t>Изделия в покрытии "Ясень крашеный", "Эмаль"</t>
  </si>
  <si>
    <t>1 ИЗМЕНЕНИЯ ПОКРЫТИЙ И ЦВЕТОВ</t>
  </si>
  <si>
    <t xml:space="preserve">2 ИЗМЕНЕНИЕ МОДЕЛЕЙ ПОЛОТЕН </t>
  </si>
  <si>
    <t>2.3. При разных покрытиях дополнительно +15% к покрытию с более высокой ценой</t>
  </si>
  <si>
    <t>RAL/ NCS(2)</t>
  </si>
  <si>
    <t>RAL/NCS(2)</t>
  </si>
  <si>
    <t>серия 
Step</t>
  </si>
  <si>
    <r>
      <t>Slot 10-001
(Porte02</t>
    </r>
    <r>
      <rPr>
        <sz val="10"/>
        <color theme="1"/>
        <rFont val="Calibri"/>
        <family val="2"/>
        <charset val="204"/>
        <scheme val="minor"/>
      </rPr>
      <t xml:space="preserve"> )</t>
    </r>
  </si>
  <si>
    <t>Slot41-002
(Porte04)</t>
  </si>
  <si>
    <t>Slot 10-011/012</t>
  </si>
  <si>
    <t>Slot 10-11/12</t>
  </si>
  <si>
    <t>Новинка</t>
  </si>
  <si>
    <t>с ал кромкой</t>
  </si>
  <si>
    <r>
      <t>Slot 10-002/004
(Porte02</t>
    </r>
    <r>
      <rPr>
        <sz val="10"/>
        <color theme="1"/>
        <rFont val="Calibri"/>
        <family val="2"/>
        <charset val="204"/>
        <scheme val="minor"/>
      </rPr>
      <t xml:space="preserve"> )</t>
    </r>
  </si>
  <si>
    <t xml:space="preserve">                                        Вид декора</t>
  </si>
  <si>
    <r>
      <rPr>
        <vertAlign val="superscript"/>
        <sz val="11"/>
        <rFont val="Calibri"/>
        <family val="2"/>
        <charset val="204"/>
        <scheme val="minor"/>
      </rPr>
      <t>3.</t>
    </r>
    <r>
      <rPr>
        <sz val="11"/>
        <rFont val="Calibri"/>
        <family val="2"/>
        <charset val="204"/>
        <scheme val="minor"/>
      </rPr>
      <t xml:space="preserve"> Наценки на исполнение полотен с отличными друг от друга сторонами см. в разделе "Наценки"</t>
    </r>
  </si>
  <si>
    <t>Варианты исполнения</t>
  </si>
  <si>
    <t>Серия Linea</t>
  </si>
  <si>
    <t>Серия Capriccio</t>
  </si>
  <si>
    <t>Серия L-Union Slot</t>
  </si>
  <si>
    <t>Серия Podio</t>
  </si>
  <si>
    <t>Серия Twist</t>
  </si>
  <si>
    <t>Серия Lingo</t>
  </si>
  <si>
    <t>НАЦЕНКИ ЗА ГАБАРИТЫ</t>
  </si>
  <si>
    <t xml:space="preserve">  Стекло ЛАКОБЕЛЬ (ral/ncs) 
</t>
  </si>
  <si>
    <r>
      <t xml:space="preserve">  Стекло ЛАКОБЕЛЬ (ral/ncs (2)
</t>
    </r>
    <r>
      <rPr>
        <b/>
        <i/>
        <sz val="9"/>
        <rFont val="Calibri"/>
        <family val="2"/>
        <charset val="204"/>
        <scheme val="minor"/>
      </rPr>
      <t xml:space="preserve">  (перламутровые, люминисцентные, металлик )</t>
    </r>
  </si>
  <si>
    <r>
      <t xml:space="preserve">В коллекциях Neclassic  и Standart технически невозможно.
</t>
    </r>
    <r>
      <rPr>
        <i/>
        <sz val="12"/>
        <color theme="1"/>
        <rFont val="Calibri"/>
        <family val="2"/>
        <charset val="204"/>
        <scheme val="minor"/>
      </rPr>
      <t>Применяется только для деревянного короба RQ</t>
    </r>
  </si>
  <si>
    <r>
      <t xml:space="preserve">Возможность изготовления модели в данной толщине согласовывается в индивидуальном порядке, например, модель по эскизу.
</t>
    </r>
    <r>
      <rPr>
        <i/>
        <sz val="12"/>
        <color theme="1"/>
        <rFont val="Calibri"/>
        <family val="2"/>
        <charset val="204"/>
        <scheme val="minor"/>
      </rPr>
      <t xml:space="preserve">Возможно для полотен в коробе ЦА (цельноалюминиевый) 39/59 (по складской программе) см. прайс по  складским позициям. </t>
    </r>
  </si>
  <si>
    <t>Матирование стекла с двух сторон (СМ2)</t>
  </si>
  <si>
    <r>
      <rPr>
        <vertAlign val="superscript"/>
        <sz val="11"/>
        <rFont val="Calibri"/>
        <family val="2"/>
        <charset val="204"/>
        <scheme val="minor"/>
      </rPr>
      <t>1.</t>
    </r>
    <r>
      <rPr>
        <sz val="11"/>
        <rFont val="Calibri"/>
        <family val="2"/>
        <charset val="204"/>
        <scheme val="minor"/>
      </rPr>
      <t xml:space="preserve"> В стоимость моделей  </t>
    </r>
    <r>
      <rPr>
        <sz val="11"/>
        <color theme="1"/>
        <rFont val="Calibri"/>
        <family val="2"/>
        <charset val="204"/>
        <scheme val="minor"/>
      </rPr>
      <t xml:space="preserve">Slot 10-002/ 004, </t>
    </r>
    <r>
      <rPr>
        <sz val="11"/>
        <rFont val="Calibri"/>
        <family val="2"/>
        <charset val="204"/>
        <scheme val="minor"/>
      </rPr>
      <t>Slot 41-002 входит алюминиевая кромка хром с 2-х сторон. При заказе в цвете черный или ral к цене прибавляется разница между этими кромками и кромкой в цвете хром (см. раздел "алюм.погонаж")</t>
    </r>
  </si>
  <si>
    <r>
      <rPr>
        <vertAlign val="superscript"/>
        <sz val="11"/>
        <rFont val="Calibri"/>
        <family val="2"/>
        <charset val="204"/>
        <scheme val="minor"/>
      </rPr>
      <t>2.</t>
    </r>
    <r>
      <rPr>
        <sz val="11"/>
        <rFont val="Calibri"/>
        <family val="2"/>
        <charset val="204"/>
        <scheme val="minor"/>
      </rPr>
      <t xml:space="preserve"> Модель Slot 10-001/011/012 могут быть изготовлены как с кромкой, так и без нее, в базу алюминиевая кромка не входит.</t>
    </r>
  </si>
  <si>
    <t>Ясень молочно-белый</t>
  </si>
  <si>
    <t>светлый дуб, марракеш, мускат, американский орех</t>
  </si>
  <si>
    <t>Дуб Песочный, Дуб Имбирь, Дуб Кварц, Дуб Нефрит</t>
  </si>
  <si>
    <t>Ясень крашеный (9)</t>
  </si>
  <si>
    <t>ДУБ (9)</t>
  </si>
  <si>
    <t>зеркало с одной стороны + 
кромка 4Al</t>
  </si>
  <si>
    <t>зеркало с двух сторон + кромка 4Al</t>
  </si>
  <si>
    <t>зеркало с одной стороны 
+ кромка 4Al</t>
  </si>
  <si>
    <t>Покрытия_шпон_эмаль</t>
  </si>
  <si>
    <t>Скорректированы покрытия</t>
  </si>
  <si>
    <t>Покрытия ПВХ</t>
  </si>
  <si>
    <t>Выведено из шпона покрытие "Опал"</t>
  </si>
  <si>
    <t>Добавлены новые наличники Lacio, Komo, Etna в погонаж  L</t>
  </si>
  <si>
    <t xml:space="preserve">Добавлена в коллекцию Eclectica новая серия дверей Beluno </t>
  </si>
  <si>
    <t>В модели Porte введено новое направление шпона - диагональное (варинаты декорирования - направление шпона)</t>
  </si>
  <si>
    <t>E-Design</t>
  </si>
  <si>
    <t>В серию Podio введена новая модель - Podio03</t>
  </si>
  <si>
    <t>Введена серия L-Union Slot в коллекцию Design</t>
  </si>
  <si>
    <t>Наценки за габариты</t>
  </si>
  <si>
    <t>Покрытие ARTEX применяется только для коллекций: Techno_Porte, Techno Vetro, Techno Slot и в погонаже для данных коллекций, а также для реек и плоских стеновыех панелях. Из остальных коллекций данное покрытие выводится</t>
  </si>
  <si>
    <t>Для полотен, что  комплектются алюминиевой кромкой с 2-х сторон в базе, рядом с наименованием модели указано +2Al  
Для полотен, что комплектются алюминиевой кромкой с 4-х сторон в базе, рядом с наименованием модели указано +4Al</t>
  </si>
  <si>
    <t>Исполнение полотен с отличными друг от друга сторонами  вынесено в отдельную вкладку "Прочие наценки"</t>
  </si>
  <si>
    <t>Внутреннее перераспредление цен на полотна и погонажные изделия</t>
  </si>
  <si>
    <t xml:space="preserve">Вкладка "Наценки" разделена на 2 вкладки: "Наценки за габариты" и "Прочие наценки" </t>
  </si>
  <si>
    <t>Прочие наценки</t>
  </si>
  <si>
    <t>Коллекция Design разнесена на 2 вкладки:  Design и - E-Design (эмаль)</t>
  </si>
  <si>
    <t>Полотна в ПВХ в базе комплектуются Т-молдингом, доплата за молдинг  не требуется</t>
  </si>
  <si>
    <t>цена за кв.м</t>
  </si>
  <si>
    <t xml:space="preserve">  Серебро</t>
  </si>
  <si>
    <t xml:space="preserve">  Броназ</t>
  </si>
  <si>
    <r>
      <t xml:space="preserve">Патинирование багета 
 </t>
    </r>
    <r>
      <rPr>
        <sz val="10"/>
        <color theme="1" tint="4.9989318521683403E-2"/>
        <rFont val="Calibri"/>
        <family val="2"/>
        <charset val="204"/>
        <scheme val="minor"/>
      </rPr>
      <t>( с 2х сторон перегородки)</t>
    </r>
  </si>
  <si>
    <r>
      <t>AmeliaArc1*</t>
    </r>
    <r>
      <rPr>
        <sz val="10"/>
        <color theme="1"/>
        <rFont val="Calibri"/>
        <family val="2"/>
        <charset val="204"/>
        <scheme val="minor"/>
      </rPr>
      <t xml:space="preserve"> </t>
    </r>
  </si>
  <si>
    <t>**За матирование второй стороны для стекол с фацетом и стектол без декора применяется доплата +1500 руб. (СМ2 - матирование с двух сторон)</t>
  </si>
  <si>
    <t>СМ1** (Матовое с одной стороны)</t>
  </si>
  <si>
    <t>*GraziaArcв базе идет с псевдофацетом</t>
  </si>
  <si>
    <r>
      <t xml:space="preserve">Патинирование багета </t>
    </r>
    <r>
      <rPr>
        <i/>
        <sz val="9"/>
        <rFont val="Calibri"/>
        <family val="2"/>
        <charset val="204"/>
        <scheme val="minor"/>
      </rPr>
      <t>(золото  с 2х сторон перегородки</t>
    </r>
  </si>
  <si>
    <r>
      <t xml:space="preserve">Патинирование багета </t>
    </r>
    <r>
      <rPr>
        <i/>
        <sz val="9"/>
        <rFont val="Calibri"/>
        <family val="2"/>
        <charset val="204"/>
        <scheme val="minor"/>
      </rPr>
      <t>(серебро)  с 2х сторон перегородки</t>
    </r>
  </si>
  <si>
    <r>
      <t xml:space="preserve">Патинирование багета </t>
    </r>
    <r>
      <rPr>
        <i/>
        <sz val="9"/>
        <rFont val="Calibri"/>
        <family val="2"/>
        <charset val="204"/>
        <scheme val="minor"/>
      </rPr>
      <t>(бронза)  с 2х сторон перегородки</t>
    </r>
  </si>
  <si>
    <t>CМ0 прозрачн</t>
  </si>
  <si>
    <r>
      <t>Патина</t>
    </r>
    <r>
      <rPr>
        <sz val="9"/>
        <rFont val="Calibri"/>
        <family val="2"/>
        <charset val="204"/>
        <scheme val="minor"/>
      </rPr>
      <t xml:space="preserve"> (золото, бронза, серебро)</t>
    </r>
    <r>
      <rPr>
        <b/>
        <sz val="9"/>
        <rFont val="Calibri"/>
        <family val="2"/>
        <charset val="204"/>
        <scheme val="minor"/>
      </rPr>
      <t xml:space="preserve">
</t>
    </r>
    <r>
      <rPr>
        <i/>
        <sz val="9"/>
        <rFont val="Calibri"/>
        <family val="2"/>
        <charset val="204"/>
        <scheme val="minor"/>
      </rPr>
      <t xml:space="preserve">(по крашеному ясеню  и по эмали  для E-Classic, Provence )
</t>
    </r>
    <r>
      <rPr>
        <b/>
        <i/>
        <sz val="9"/>
        <rFont val="Calibri"/>
        <family val="2"/>
        <charset val="204"/>
        <scheme val="minor"/>
      </rPr>
      <t>Винтаж</t>
    </r>
    <r>
      <rPr>
        <i/>
        <sz val="9"/>
        <rFont val="Calibri"/>
        <family val="2"/>
        <charset val="204"/>
        <scheme val="minor"/>
      </rPr>
      <t xml:space="preserve"> (по эмали  для E-Classic, Provence)</t>
    </r>
  </si>
  <si>
    <t xml:space="preserve"> 10 мм</t>
  </si>
  <si>
    <t>берем цену за 100 мм высчитывем за 10 и *1,7</t>
  </si>
  <si>
    <t>В серию Lingo добавлено покрытие - эмаль брашированная</t>
  </si>
  <si>
    <t>Rino2/Dino2</t>
  </si>
  <si>
    <t>сняли</t>
  </si>
  <si>
    <t>к панели в выбранном покрытии</t>
  </si>
  <si>
    <t xml:space="preserve">Расшивка (МДФ) </t>
  </si>
  <si>
    <t xml:space="preserve">Шпонка декоративная </t>
  </si>
  <si>
    <t>12*25*2050мм</t>
  </si>
  <si>
    <t>6 (4)*45*2050мм</t>
  </si>
  <si>
    <t>Расшивка  МДФ (L)</t>
  </si>
  <si>
    <t>12*45*2050</t>
  </si>
  <si>
    <t>Шпонка декоративная МДФ 6(4) *45*2050</t>
  </si>
  <si>
    <t>новая</t>
  </si>
  <si>
    <t>5. В случае финишного покрытия стеновых панелей в шпоне или эмали с 2-х сторон (лицевая и оборотная + края) - наценка +70% к панели в выбранном покрытии</t>
  </si>
  <si>
    <t xml:space="preserve"> кромка 2Al </t>
  </si>
  <si>
    <t xml:space="preserve">кромка 2AL </t>
  </si>
  <si>
    <t>кромка 2AL</t>
  </si>
  <si>
    <t xml:space="preserve">серия Mezzo </t>
  </si>
  <si>
    <t>*** На модели Amelia могут устанавливаться только распашная система и поворотная, для откатных систем модель Grazia</t>
  </si>
  <si>
    <t>В расширителе М представлена цена за 10 мм.</t>
  </si>
  <si>
    <t>"Стыковочная планка (МДФ)"- переименована в "Расшивка - (МДФ)"</t>
  </si>
  <si>
    <t xml:space="preserve">В раздел "стеновые панели" введена новая номенклатура - "шпонка декоративная" </t>
  </si>
  <si>
    <t>Окрашивание изделий по RAL/NCS разделено на две группы с разной наценкой: 
1) RAL/NCS 
2) RAL/ NCS (2) (перламутровые, люминисцентные, металлик)</t>
  </si>
  <si>
    <t>ЗОЛОТО,  ВИНТАЖ</t>
  </si>
  <si>
    <r>
      <rPr>
        <b/>
        <sz val="9"/>
        <rFont val="Calibri"/>
        <family val="2"/>
        <charset val="204"/>
        <scheme val="minor"/>
      </rPr>
      <t>Патина</t>
    </r>
    <r>
      <rPr>
        <sz val="9"/>
        <rFont val="Calibri"/>
        <family val="2"/>
        <charset val="204"/>
        <scheme val="minor"/>
      </rPr>
      <t xml:space="preserve"> (золото, бронза серебро, 
</t>
    </r>
    <r>
      <rPr>
        <b/>
        <sz val="9"/>
        <rFont val="Calibri"/>
        <family val="2"/>
        <charset val="204"/>
        <scheme val="minor"/>
      </rPr>
      <t>ВИНТАЖ )</t>
    </r>
  </si>
  <si>
    <t>Золото,  ВИНТАЖ</t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</si>
  <si>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Design (Podio, Step)</t>
    </r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</si>
  <si>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E-Сlassiс</t>
    </r>
  </si>
  <si>
    <r>
      <t>Коллекция</t>
    </r>
    <r>
      <rPr>
        <b/>
        <sz val="20"/>
        <rFont val="Calibri"/>
        <family val="2"/>
        <charset val="204"/>
        <scheme val="minor"/>
      </rPr>
      <t xml:space="preserve"> Сlassic Rimini</t>
    </r>
  </si>
  <si>
    <t>Cерия Spline</t>
  </si>
  <si>
    <t>Серия Wawe</t>
  </si>
  <si>
    <t>серия Podio
(01/ 02/ 03)</t>
  </si>
  <si>
    <t>Серия Step</t>
  </si>
  <si>
    <t>Серия Mezzo</t>
  </si>
  <si>
    <t>Колонна</t>
  </si>
  <si>
    <t>поменяли от конкурентов</t>
  </si>
  <si>
    <t xml:space="preserve"> 
В случае финишного покрытия стеновых панелей в шпоне или эмали с 2-х сторон (лицевая и оборотная) </t>
  </si>
  <si>
    <t>Стеновые панели:</t>
  </si>
  <si>
    <t>к панели в выбранном покрытии и размере</t>
  </si>
  <si>
    <r>
      <t xml:space="preserve">Патина  (золото, серебро, бронза) 
</t>
    </r>
    <r>
      <rPr>
        <sz val="9"/>
        <color theme="1"/>
        <rFont val="Calibri"/>
        <family val="2"/>
        <charset val="204"/>
        <scheme val="minor"/>
      </rPr>
      <t xml:space="preserve">( для E-Classic, Provence )
</t>
    </r>
    <r>
      <rPr>
        <b/>
        <sz val="9"/>
        <color theme="1"/>
        <rFont val="Calibri"/>
        <family val="2"/>
        <charset val="204"/>
        <scheme val="minor"/>
      </rPr>
      <t>ВИНТАЖ (</t>
    </r>
    <r>
      <rPr>
        <sz val="9"/>
        <color theme="1"/>
        <rFont val="Calibri"/>
        <family val="2"/>
        <charset val="204"/>
        <scheme val="minor"/>
      </rPr>
      <t>для</t>
    </r>
    <r>
      <rPr>
        <b/>
        <sz val="9"/>
        <color theme="1"/>
        <rFont val="Calibri"/>
        <family val="2"/>
        <charset val="204"/>
        <scheme val="minor"/>
      </rPr>
      <t xml:space="preserve"> </t>
    </r>
    <r>
      <rPr>
        <sz val="9"/>
        <color theme="1"/>
        <rFont val="Calibri"/>
        <family val="2"/>
        <charset val="204"/>
        <scheme val="minor"/>
      </rPr>
      <t>Classic, Provence)</t>
    </r>
  </si>
  <si>
    <t>диагональное направление шпона для плоских панелей</t>
  </si>
  <si>
    <t>к выбранному покрытию/ цвету покрытия с более высокой ценой</t>
  </si>
  <si>
    <t xml:space="preserve">Выкрас разных сторон полотна в отличные друг от друга цвета при едином покрытии </t>
  </si>
  <si>
    <t>Скорректированы цены на перегородки Corsa/Race</t>
  </si>
  <si>
    <t>Перегородки Corsa</t>
  </si>
  <si>
    <t>Добавлена цена на WL наличник в эмали</t>
  </si>
  <si>
    <t>Редакция 1 от 01.02.23</t>
  </si>
  <si>
    <r>
      <t xml:space="preserve">Использование в коллекциях:
Классические - </t>
    </r>
    <r>
      <rPr>
        <i/>
        <sz val="11"/>
        <rFont val="Calibri"/>
        <family val="2"/>
        <charset val="204"/>
        <scheme val="minor"/>
      </rPr>
      <t xml:space="preserve">Classic, E-Classic, Provence, Modern, Neoclassic, Fusion, Beluno
</t>
    </r>
    <r>
      <rPr>
        <sz val="11"/>
        <rFont val="Calibri"/>
        <family val="2"/>
        <charset val="204"/>
        <scheme val="minor"/>
      </rPr>
      <t>Современные -</t>
    </r>
    <r>
      <rPr>
        <i/>
        <sz val="11"/>
        <rFont val="Calibri"/>
        <family val="2"/>
        <charset val="204"/>
        <scheme val="minor"/>
      </rPr>
      <t xml:space="preserve"> Standart, Techno,Twist, Design</t>
    </r>
    <r>
      <rPr>
        <sz val="11"/>
        <rFont val="Calibri"/>
        <family val="2"/>
        <charset val="204"/>
        <scheme val="minor"/>
      </rPr>
      <t xml:space="preserve">
</t>
    </r>
  </si>
  <si>
    <t>Редакция 2 от 06.02.23</t>
  </si>
  <si>
    <t>В покрытия ПВХ возвращена коллекция Soft color</t>
  </si>
  <si>
    <t>под эмаль</t>
  </si>
  <si>
    <t>Белый снег</t>
  </si>
  <si>
    <t>ZB 800-2</t>
  </si>
  <si>
    <t>Милк софт</t>
  </si>
  <si>
    <t>ZB 810-2</t>
  </si>
  <si>
    <t>Молочно-белый</t>
  </si>
  <si>
    <t>Кварц софт</t>
  </si>
  <si>
    <t>ZB 813-2</t>
  </si>
  <si>
    <t>серый</t>
  </si>
  <si>
    <t>Смоки софт</t>
  </si>
  <si>
    <t>ZB 815-2</t>
  </si>
  <si>
    <t>темно-серый</t>
  </si>
  <si>
    <t>Фисташка софт</t>
  </si>
  <si>
    <t>ZB 824-2</t>
  </si>
  <si>
    <t>зеленый</t>
  </si>
  <si>
    <t>Горчица софт</t>
  </si>
  <si>
    <t>ZB 827-2</t>
  </si>
  <si>
    <t>желтый</t>
  </si>
  <si>
    <t>Темно-синий софт</t>
  </si>
  <si>
    <t>ZB 828-2</t>
  </si>
  <si>
    <t>синий</t>
  </si>
  <si>
    <t>полотна и погонаж</t>
  </si>
  <si>
    <t>в случае, если молдинг или кромку нужно покрасить в комплекте с петлями, наценка остается такой же за весь комплект</t>
  </si>
  <si>
    <t>Фурнитура, системы открывания вынесены в отдельный прайс-лист</t>
  </si>
  <si>
    <t>клипса для крепления</t>
  </si>
  <si>
    <t>Молдинги, кромка</t>
  </si>
  <si>
    <t>Расширитель Lacio</t>
  </si>
  <si>
    <t>2150 мм/2700мм (110)</t>
  </si>
  <si>
    <t>2700 мм</t>
  </si>
  <si>
    <t>2150 мм/2700мм (110,150)</t>
  </si>
  <si>
    <t xml:space="preserve"> + % к базовой цене погонажных изделий от 2700 мм</t>
  </si>
  <si>
    <t>L=2700 мм/2400мм (ПВХ)</t>
  </si>
  <si>
    <t>L=2700 мм</t>
  </si>
  <si>
    <t>Редакция 3 от 10.03.23</t>
  </si>
  <si>
    <t>Добавлен новый разширитель Lacio</t>
  </si>
  <si>
    <t>Ассортимент</t>
  </si>
  <si>
    <t>Структура</t>
  </si>
  <si>
    <t xml:space="preserve">Прочее </t>
  </si>
  <si>
    <t xml:space="preserve">Изменены размеры погонажных изделий </t>
  </si>
  <si>
    <t>В связи с изменением размеров погонажных изделий обновлены пороги наценок на данные изделия</t>
  </si>
  <si>
    <t>3. Изделия в ПВХ изготавливаютмя размером: 2120мм, 2400мм и 2700мм</t>
  </si>
  <si>
    <t>* Изделия в ПВХ изготавливаютмя размером: 2120мм, 2400мм и 2700мм</t>
  </si>
  <si>
    <t>ПВХ*</t>
  </si>
  <si>
    <t>*** Для погонажа и реек в базе 2400 и 2700 мм предусмотрена отдельная наценка</t>
  </si>
  <si>
    <t>* Высота наличника, притворной планки для полотен высотой до 2050 мм применяется -  2150/2120 мм. Соответственно</t>
  </si>
  <si>
    <t xml:space="preserve">***** Размерный ряд: </t>
  </si>
  <si>
    <t>**** Наличники высотой 3150 мм изготавливается по запросу</t>
  </si>
  <si>
    <t xml:space="preserve"> Размеры коробов: 2120мм, 2400мм, 2700мм, 3000мм. 
Размеры наличников: 2150мм, 2400мм, 2700мм, 3000мм (3150мм по запросу). 
Изделия в покрытии ПВХ – 2120мм, 2400мм, 2700мм.</t>
  </si>
  <si>
    <t xml:space="preserve">Короба: 2120мм, 2400мм, 2700мм, 3000мм. </t>
  </si>
  <si>
    <t xml:space="preserve">Наличники: 2150мм, 2400мм, 2700мм, 3000мм </t>
  </si>
  <si>
    <t>Для изделий в ПВХ (наличники, короба)  – 2120мм, 2400мм, 2700мм.</t>
  </si>
  <si>
    <r>
      <t>Belluno1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</si>
  <si>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Belluno2</t>
    </r>
    <r>
      <rPr>
        <sz val="10"/>
        <color theme="1"/>
        <rFont val="Calibri"/>
        <family val="2"/>
        <charset val="204"/>
        <scheme val="minor"/>
      </rPr>
      <t xml:space="preserve"> </t>
    </r>
  </si>
  <si>
    <t>Belluno3/3b</t>
  </si>
  <si>
    <t>Belluno4</t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</si>
  <si>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Eclectica Belluno</t>
    </r>
  </si>
  <si>
    <t>13,04/23</t>
  </si>
  <si>
    <r>
      <t>1 тип
(</t>
    </r>
    <r>
      <rPr>
        <sz val="9"/>
        <color rgb="FF0070C0"/>
        <rFont val="Calibri"/>
        <family val="2"/>
        <charset val="204"/>
        <scheme val="minor"/>
      </rPr>
      <t>категория 0)</t>
    </r>
  </si>
  <si>
    <r>
      <t xml:space="preserve">2 тип
</t>
    </r>
    <r>
      <rPr>
        <sz val="9"/>
        <color rgb="FF0070C0"/>
        <rFont val="Calibri"/>
        <family val="2"/>
        <charset val="204"/>
        <scheme val="minor"/>
      </rPr>
      <t>(категории  II.; III. )</t>
    </r>
  </si>
  <si>
    <r>
      <t xml:space="preserve">Гладкая
</t>
    </r>
    <r>
      <rPr>
        <i/>
        <sz val="9"/>
        <color rgb="FF0070C0"/>
        <rFont val="Calibri"/>
        <family val="2"/>
        <charset val="204"/>
        <scheme val="minor"/>
      </rPr>
      <t>см. Покрытия</t>
    </r>
  </si>
  <si>
    <r>
      <t xml:space="preserve">Ясень 
</t>
    </r>
    <r>
      <rPr>
        <i/>
        <sz val="9"/>
        <color rgb="FF0070C0"/>
        <rFont val="Calibri"/>
        <family val="2"/>
        <charset val="204"/>
        <scheme val="minor"/>
      </rPr>
      <t>см. Покрытия</t>
    </r>
    <r>
      <rPr>
        <b/>
        <sz val="9"/>
        <color rgb="FF0070C0"/>
        <rFont val="Calibri"/>
        <family val="2"/>
        <charset val="204"/>
        <scheme val="minor"/>
      </rPr>
      <t xml:space="preserve">
</t>
    </r>
  </si>
  <si>
    <r>
      <rPr>
        <b/>
        <sz val="9"/>
        <color rgb="FF0070C0"/>
        <rFont val="Calibri"/>
        <family val="2"/>
        <charset val="204"/>
        <scheme val="minor"/>
      </rPr>
      <t xml:space="preserve"> ДУБ</t>
    </r>
    <r>
      <rPr>
        <sz val="9"/>
        <color rgb="FF0070C0"/>
        <rFont val="Calibri"/>
        <family val="2"/>
        <charset val="204"/>
        <scheme val="minor"/>
      </rPr>
      <t xml:space="preserve">
</t>
    </r>
    <r>
      <rPr>
        <i/>
        <sz val="9"/>
        <color rgb="FF0070C0"/>
        <rFont val="Calibri"/>
        <family val="2"/>
        <charset val="204"/>
        <scheme val="minor"/>
      </rPr>
      <t>см. Покрытия</t>
    </r>
  </si>
  <si>
    <r>
      <rPr>
        <b/>
        <sz val="9"/>
        <color rgb="FF0070C0"/>
        <rFont val="Calibri"/>
        <family val="2"/>
        <charset val="204"/>
        <scheme val="minor"/>
      </rPr>
      <t>ОРЕХ</t>
    </r>
    <r>
      <rPr>
        <sz val="9"/>
        <color rgb="FF0070C0"/>
        <rFont val="Calibri"/>
        <family val="2"/>
        <charset val="204"/>
        <scheme val="minor"/>
      </rPr>
      <t xml:space="preserve">
</t>
    </r>
    <r>
      <rPr>
        <i/>
        <sz val="9"/>
        <color rgb="FF0070C0"/>
        <rFont val="Calibri"/>
        <family val="2"/>
        <charset val="204"/>
        <scheme val="minor"/>
      </rPr>
      <t>см. Покрытия</t>
    </r>
  </si>
  <si>
    <t>Porte 01 c ал кромкой 4 al</t>
  </si>
  <si>
    <t>Porte 01 вертикаль</t>
  </si>
  <si>
    <t>Porte 01 диагональ</t>
  </si>
  <si>
    <t>L'unione slot</t>
  </si>
  <si>
    <t>Capriccio, Spline</t>
  </si>
  <si>
    <t>Wave без al-кромки</t>
  </si>
  <si>
    <t>Slot 10</t>
  </si>
  <si>
    <t>Slot 10/2</t>
  </si>
  <si>
    <t>Slot 41 без кромки</t>
  </si>
  <si>
    <t>Vetro11, 13, 17</t>
  </si>
  <si>
    <t>Vetro12, 14</t>
  </si>
  <si>
    <t>Twist brash</t>
  </si>
  <si>
    <t>Fusion Plain</t>
  </si>
  <si>
    <t>Rino2 brash</t>
  </si>
  <si>
    <t>Belluno</t>
  </si>
  <si>
    <t>Флоренция4</t>
  </si>
  <si>
    <t>Strada 14</t>
  </si>
  <si>
    <t>Strada 15</t>
  </si>
  <si>
    <t>Vario 11+триплекс</t>
  </si>
  <si>
    <t>Rosso 2</t>
  </si>
  <si>
    <t>Rosso 7</t>
  </si>
  <si>
    <t>Rosso 7 +фацет</t>
  </si>
  <si>
    <t>Rosso 8 +фацет</t>
  </si>
  <si>
    <t>Slot 10-11/12 (10/02)</t>
  </si>
  <si>
    <t>Provence</t>
  </si>
  <si>
    <t>??? Эмаль больше чем ясень</t>
  </si>
  <si>
    <t xml:space="preserve">серия Palermo </t>
  </si>
  <si>
    <t>НОВЫЕ ЦЕНЫ</t>
  </si>
  <si>
    <t>отклонение</t>
  </si>
  <si>
    <t>оставлям</t>
  </si>
  <si>
    <t>нов цена</t>
  </si>
  <si>
    <r>
      <t>стоимость за М</t>
    </r>
    <r>
      <rPr>
        <i/>
        <vertAlign val="superscript"/>
        <sz val="20"/>
        <color rgb="FF0070C0"/>
        <rFont val="Calibri"/>
        <family val="2"/>
        <charset val="204"/>
        <scheme val="minor"/>
      </rPr>
      <t>2</t>
    </r>
  </si>
  <si>
    <t>короб L/M 34*75*2120</t>
  </si>
  <si>
    <t>короб Q 34*75*2120</t>
  </si>
  <si>
    <t>короб RQ 34*75*2120</t>
  </si>
  <si>
    <t>Брус коробочный под монтаж пеналов  37*125*2400</t>
  </si>
  <si>
    <t>Брус коробочный под монтаж перегородок 58*56*2070</t>
  </si>
  <si>
    <t>Брус коробочный барный 52*75*2120</t>
  </si>
  <si>
    <t>наличник Z/ L10*75*2150</t>
  </si>
  <si>
    <t>наличникL10*90*2150</t>
  </si>
  <si>
    <t>наличник L16*75*2150</t>
  </si>
  <si>
    <t>наличник L16*90*2150</t>
  </si>
  <si>
    <t>наличник L16*110*2400</t>
  </si>
  <si>
    <t>наличник Q/RQ10*90*2150</t>
  </si>
  <si>
    <t>наличник Q10*110*2400</t>
  </si>
  <si>
    <t>наличник Q10*150*2750</t>
  </si>
  <si>
    <t>Облицовочная планка для пеналов/систем 10*120*2150</t>
  </si>
  <si>
    <t>Планка притворная 10*40*2120</t>
  </si>
  <si>
    <t>наличник Komo 16*90*2400</t>
  </si>
  <si>
    <t>наличник Etna 16*85*2400</t>
  </si>
  <si>
    <t>наличник WL 12*85*2400</t>
  </si>
  <si>
    <t>наличник M/ML 12*85*2400</t>
  </si>
  <si>
    <t>наличник Arno 16*110*2400</t>
  </si>
  <si>
    <t>наличник Step 23*110*2400</t>
  </si>
  <si>
    <t>наличник Lacio 16*110*2400</t>
  </si>
  <si>
    <t>наличник M110/Modern 23*110*2400</t>
  </si>
  <si>
    <t>Карниз Погонажный 28*1000*86</t>
  </si>
  <si>
    <t>Карниз Погонажный 28*1300*86</t>
  </si>
  <si>
    <t>Карниз Британия 42*1000*86</t>
  </si>
  <si>
    <t>Карниз Британия 42*1300*86</t>
  </si>
  <si>
    <t>Карниз Верона2 43*835-1035*120</t>
  </si>
  <si>
    <t>Карниз Верона1 43*835-1035*110</t>
  </si>
  <si>
    <t>Карниз Россо 28/41х600-900*236</t>
  </si>
  <si>
    <t>Карниз Россо 28/41х1000-130000*236</t>
  </si>
  <si>
    <t>Колонна Погонажная 12*86*2120</t>
  </si>
  <si>
    <t>Портал Стандартный (1000*2120)</t>
  </si>
  <si>
    <t>Карниз Стандартный 62*1000*85</t>
  </si>
  <si>
    <t>Колонна Стандартная 12*86*2120</t>
  </si>
  <si>
    <t>Портал Стандартный (1300*2120)</t>
  </si>
  <si>
    <t>Карниз Стандартный 62*1300*85</t>
  </si>
  <si>
    <t>Стык.Элемент на оборотную сторону для Стандартного портала 16*45*2120</t>
  </si>
  <si>
    <t>Шашка Плоская 76*76*16(22)</t>
  </si>
  <si>
    <t>Шашка Плоская 86*86*16(22)</t>
  </si>
  <si>
    <t>Шашка Плоская 91*91*16(22)</t>
  </si>
  <si>
    <t>Шашка Плоская 112*112*16(22,32)</t>
  </si>
  <si>
    <t>Шашка Пирамида 76*76*16(22)</t>
  </si>
  <si>
    <t>Шашка Пирамида 86*86*16(22)</t>
  </si>
  <si>
    <t>Шашка Пирамида 91*91*16(22)</t>
  </si>
  <si>
    <t>Шашка Пирамида 112*112*16(22,32)</t>
  </si>
  <si>
    <t>Шашка Стандартная 76*76*16(22)</t>
  </si>
  <si>
    <t>Шашка Стандартная 86*86*16(22)</t>
  </si>
  <si>
    <t>Шашка Стандартная 91*91*16(22)</t>
  </si>
  <si>
    <t>Шашка Модена 112*112*16(22,32)</t>
  </si>
  <si>
    <t>Пьедестал Плоский 250*76х16(22)</t>
  </si>
  <si>
    <t>Пьедестал Плоский 250*86х16(22)</t>
  </si>
  <si>
    <t>Пьедестал Плоский 250*91х16(22)</t>
  </si>
  <si>
    <t>Пьедестал Плоский 250*112х16(22)</t>
  </si>
  <si>
    <t>Пьедестал Пирамида 250*76х16(22)</t>
  </si>
  <si>
    <t>Пьедестал Пирамида 250*86х16(22)</t>
  </si>
  <si>
    <t>Пьедестал Пирамида 250*91х16(22)</t>
  </si>
  <si>
    <t>Пьедестал Пирамида 250*112х16(22)</t>
  </si>
  <si>
    <t>Пьедестал Стандартный 250*76х16(22)</t>
  </si>
  <si>
    <t>Пьедестал Стандартный 250*86х16(22)</t>
  </si>
  <si>
    <t>Пьедестал Стандартный 250*91х16(22)</t>
  </si>
  <si>
    <t>Пьедестал Модена 250*112*16(22,32)</t>
  </si>
  <si>
    <t>Расширитель L 12*100*2120</t>
  </si>
  <si>
    <t>Расширитель L 12*200</t>
  </si>
  <si>
    <t>Расширитель L 12*300</t>
  </si>
  <si>
    <t>Расширитель L 12*400</t>
  </si>
  <si>
    <t>Расширитель L 12*500</t>
  </si>
  <si>
    <t>Расширитель L 12*900</t>
  </si>
  <si>
    <t>Расширитель Q22*100</t>
  </si>
  <si>
    <t>Плинтус плоский75*2000</t>
  </si>
  <si>
    <t>Плинтус плоский90*2000</t>
  </si>
  <si>
    <t>Плинтус плоский110*2000</t>
  </si>
  <si>
    <t>Плинтус классический 75*2000</t>
  </si>
  <si>
    <t>Плинтус классический 90*2000</t>
  </si>
  <si>
    <t>Плинтус классический 110*2000</t>
  </si>
  <si>
    <t>Плинтус  Arno 16*110*2000</t>
  </si>
  <si>
    <t>Плинтус  Step 23*110*2000</t>
  </si>
  <si>
    <t>Плинтус  Modern 23*110*2000</t>
  </si>
  <si>
    <t>Накладка для скрытого плинтуса</t>
  </si>
  <si>
    <t>Рейка панельная 33*33*2700</t>
  </si>
  <si>
    <t>Рейка панельная 39*39*2700</t>
  </si>
  <si>
    <t>Рейка панельная 45*45*2700</t>
  </si>
  <si>
    <t>Рейка фоновая 33*10*2700</t>
  </si>
  <si>
    <t>Рейка фоновая 39*10*2700</t>
  </si>
  <si>
    <t>Рейка фоновая 45*102700</t>
  </si>
  <si>
    <t>Рейка для перегородок 50*100*2700</t>
  </si>
  <si>
    <t>Стыковочная планка (МДФ)</t>
  </si>
  <si>
    <t>Клипсы для крепления плинтуса, 50 шт</t>
  </si>
  <si>
    <t>Накладки на скрытый плинтус</t>
  </si>
  <si>
    <t>Тип 3</t>
  </si>
  <si>
    <t>Тип 4</t>
  </si>
  <si>
    <t>за 50 мм</t>
  </si>
  <si>
    <t>прайс 26.04.2023</t>
  </si>
  <si>
    <t>Ценообразование</t>
  </si>
  <si>
    <t xml:space="preserve">Общее изменение цен </t>
  </si>
  <si>
    <t>Добавлены накладки на скрытый плинтус</t>
  </si>
  <si>
    <t>накладка для скрытого плинутса Тип3</t>
  </si>
  <si>
    <t>накладка для скрытого плинутса Тип4</t>
  </si>
  <si>
    <r>
      <t>Plainе1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</si>
  <si>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Plainе2</t>
    </r>
    <r>
      <rPr>
        <sz val="10"/>
        <color theme="1"/>
        <rFont val="Calibri"/>
        <family val="2"/>
        <charset val="204"/>
        <scheme val="minor"/>
      </rPr>
      <t/>
    </r>
  </si>
  <si>
    <r>
      <t xml:space="preserve"> Plainе3</t>
    </r>
    <r>
      <rPr>
        <sz val="10"/>
        <color theme="1"/>
        <rFont val="Calibri"/>
        <family val="2"/>
        <charset val="204"/>
        <scheme val="minor"/>
      </rPr>
      <t/>
    </r>
  </si>
  <si>
    <r>
      <t xml:space="preserve"> Plainе4</t>
    </r>
    <r>
      <rPr>
        <sz val="10"/>
        <color theme="1"/>
        <rFont val="Calibri"/>
        <family val="2"/>
        <charset val="204"/>
        <scheme val="minor"/>
      </rPr>
      <t/>
    </r>
  </si>
  <si>
    <r>
      <rPr>
        <sz val="20"/>
        <rFont val="Calibri"/>
        <family val="2"/>
        <charset val="204"/>
        <scheme val="minor"/>
      </rPr>
      <t>Коллекция</t>
    </r>
    <r>
      <rPr>
        <b/>
        <sz val="20"/>
        <rFont val="Calibri"/>
        <family val="2"/>
        <charset val="204"/>
        <scheme val="minor"/>
      </rPr>
      <t xml:space="preserve"> Fusion Plainе</t>
    </r>
  </si>
  <si>
    <t>1.Наценка за исполнение по RAL и  NCS (кроме перламутровых, люминисцентных, металлик) +20% к соответствующему покрытию.</t>
  </si>
  <si>
    <t>Выкрас по RAL и NCS (кроме перламутровых, люминисцентных, металик)</t>
  </si>
  <si>
    <t>к шпону дуба (опция действует только для покрытия - дуб)</t>
  </si>
  <si>
    <t>2.2. При едином покрытии в рамках изменения существующего модельного ряда +25% только по согласованию с технологами фабрики</t>
  </si>
  <si>
    <t>2.1. При едином покрытии в рамках существующего модельного ряда</t>
  </si>
  <si>
    <t>Окраска по RAL/ NCS (кроме перламутровых, люминисцентных, металлик)</t>
  </si>
  <si>
    <t xml:space="preserve"> 50 мм</t>
  </si>
  <si>
    <r>
      <t xml:space="preserve">Louver 1 
</t>
    </r>
    <r>
      <rPr>
        <b/>
        <sz val="11"/>
        <color theme="0" tint="-0.499984740745262"/>
        <rFont val="Calibri"/>
        <family val="2"/>
        <charset val="204"/>
        <scheme val="minor"/>
      </rPr>
      <t>(жалюзи 1)</t>
    </r>
  </si>
  <si>
    <r>
      <t xml:space="preserve">Louver 2 
</t>
    </r>
    <r>
      <rPr>
        <b/>
        <sz val="11"/>
        <color theme="0" tint="-0.499984740745262"/>
        <rFont val="Calibri"/>
        <family val="2"/>
        <charset val="204"/>
        <scheme val="minor"/>
      </rPr>
      <t>(жалюзи 2)</t>
    </r>
  </si>
  <si>
    <r>
      <t xml:space="preserve">Louver 3 
</t>
    </r>
    <r>
      <rPr>
        <b/>
        <sz val="11"/>
        <color theme="0" tint="-0.499984740745262"/>
        <rFont val="Calibri"/>
        <family val="2"/>
        <charset val="204"/>
        <scheme val="minor"/>
      </rPr>
      <t>(жалюзи 3)</t>
    </r>
  </si>
  <si>
    <t xml:space="preserve">ПРОЧИЕ ДВЕРИ </t>
  </si>
  <si>
    <t>Классические</t>
  </si>
  <si>
    <r>
      <t xml:space="preserve">Скрытые двери (под покраску) </t>
    </r>
    <r>
      <rPr>
        <b/>
        <sz val="20"/>
        <rFont val="Calibri"/>
        <family val="2"/>
        <charset val="204"/>
        <scheme val="minor"/>
      </rPr>
      <t>Secret</t>
    </r>
  </si>
  <si>
    <r>
      <t xml:space="preserve">Жалюзийные двери </t>
    </r>
    <r>
      <rPr>
        <b/>
        <sz val="20"/>
        <rFont val="Calibri"/>
        <family val="2"/>
        <charset val="204"/>
        <scheme val="minor"/>
      </rPr>
      <t>Louver</t>
    </r>
  </si>
  <si>
    <r>
      <t xml:space="preserve">Алюминиевые двери </t>
    </r>
    <r>
      <rPr>
        <b/>
        <sz val="20"/>
        <rFont val="Calibri"/>
        <family val="2"/>
        <charset val="204"/>
        <scheme val="minor"/>
      </rPr>
      <t>Steel</t>
    </r>
  </si>
  <si>
    <t>Неоклассические</t>
  </si>
  <si>
    <t>Деревянные</t>
  </si>
  <si>
    <r>
      <t>Коллекция</t>
    </r>
    <r>
      <rPr>
        <b/>
        <sz val="20"/>
        <rFont val="Calibri"/>
        <family val="2"/>
        <charset val="204"/>
        <scheme val="minor"/>
      </rPr>
      <t xml:space="preserve"> Elegance</t>
    </r>
  </si>
  <si>
    <r>
      <t xml:space="preserve">Перегородки </t>
    </r>
    <r>
      <rPr>
        <b/>
        <sz val="20"/>
        <rFont val="Calibri"/>
        <family val="2"/>
        <charset val="204"/>
        <scheme val="minor"/>
      </rPr>
      <t>Race</t>
    </r>
  </si>
  <si>
    <t>Алюминиевые</t>
  </si>
  <si>
    <r>
      <t xml:space="preserve">Перегородки </t>
    </r>
    <r>
      <rPr>
        <b/>
        <sz val="20"/>
        <rFont val="Calibri"/>
        <family val="2"/>
        <charset val="204"/>
        <scheme val="minor"/>
      </rPr>
      <t>Meta</t>
    </r>
  </si>
  <si>
    <t>Современные</t>
  </si>
  <si>
    <r>
      <t>Коллекция</t>
    </r>
    <r>
      <rPr>
        <b/>
        <sz val="20"/>
        <color theme="1"/>
        <rFont val="Calibri"/>
        <family val="2"/>
        <charset val="204"/>
        <scheme val="minor"/>
      </rPr>
      <t xml:space="preserve"> E-</t>
    </r>
    <r>
      <rPr>
        <b/>
        <sz val="20"/>
        <rFont val="Calibri"/>
        <family val="2"/>
        <charset val="204"/>
        <scheme val="minor"/>
      </rPr>
      <t>Design</t>
    </r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</si>
  <si>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 xml:space="preserve">E-Design </t>
    </r>
  </si>
  <si>
    <r>
      <t xml:space="preserve">Перегородки </t>
    </r>
    <r>
      <rPr>
        <b/>
        <sz val="20"/>
        <rFont val="Calibri"/>
        <family val="2"/>
        <charset val="204"/>
        <scheme val="minor"/>
      </rPr>
      <t>Corsa</t>
    </r>
  </si>
  <si>
    <r>
      <t>Steel 1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</si>
  <si>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Steel 2</t>
    </r>
    <r>
      <rPr>
        <sz val="10"/>
        <color theme="1"/>
        <rFont val="Calibri"/>
        <family val="2"/>
        <charset val="204"/>
        <scheme val="minor"/>
      </rPr>
      <t/>
    </r>
  </si>
  <si>
    <r>
      <t>Steel 3</t>
    </r>
    <r>
      <rPr>
        <sz val="10"/>
        <color theme="1"/>
        <rFont val="Calibri"/>
        <family val="2"/>
        <charset val="204"/>
        <scheme val="minor"/>
      </rPr>
      <t/>
    </r>
  </si>
  <si>
    <t>Алюминиевый профиль</t>
  </si>
  <si>
    <t>Дополнительные опции</t>
  </si>
  <si>
    <t>Замок АGB/Morelli</t>
  </si>
  <si>
    <t>Петли</t>
  </si>
  <si>
    <t>Материал исполнения</t>
  </si>
  <si>
    <r>
      <rPr>
        <u/>
        <sz val="11"/>
        <color theme="1"/>
        <rFont val="Calibri"/>
        <family val="2"/>
        <charset val="204"/>
        <scheme val="minor"/>
      </rPr>
      <t xml:space="preserve">Цена за Комплект включает в себя: 
</t>
    </r>
    <r>
      <rPr>
        <sz val="11"/>
        <color theme="1"/>
        <rFont val="Calibri"/>
        <family val="2"/>
        <charset val="204"/>
        <scheme val="minor"/>
      </rPr>
      <t xml:space="preserve">полотно - 1 шт.;
скрытый короб 2070х75х34 - 2.5 шт.;
</t>
    </r>
    <r>
      <rPr>
        <sz val="11"/>
        <color rgb="FFFF0000"/>
        <rFont val="Calibri"/>
        <family val="2"/>
        <charset val="204"/>
        <scheme val="minor"/>
      </rPr>
      <t>комплект фурнитуры -
уплотнитель -</t>
    </r>
  </si>
  <si>
    <t>тип открывания?</t>
  </si>
  <si>
    <t>до какой высоты??? Какое наценки за высоты и ширины? Какой шаг -10 см?</t>
  </si>
  <si>
    <t>Шаг 10 см</t>
  </si>
  <si>
    <t>Возможно исполнение на коробе пямого и обратного открывания</t>
  </si>
  <si>
    <t>Содержание</t>
  </si>
  <si>
    <t>Изменена структура по межкомнатным дверям в рамках стилевых направлений</t>
  </si>
  <si>
    <t>Добавлены алюминиевые перегородки Meta</t>
  </si>
  <si>
    <t>Алюминиевые перегородки Meta</t>
  </si>
  <si>
    <t>Двери жалюзи переименованы в жалюзийные двери Louver</t>
  </si>
  <si>
    <t>Жалюзийные двери Louver</t>
  </si>
  <si>
    <t>Функциональные</t>
  </si>
  <si>
    <t>Ручка входит в комплект, интегрирована в перегородку, расположение на одном уровне с каркасом. По желанию можно заказать без ручки, цена при этом не изменится.</t>
  </si>
  <si>
    <t>до 100%</t>
  </si>
  <si>
    <t>заказывается отдельно*</t>
  </si>
  <si>
    <t xml:space="preserve">заказывается отдельно** </t>
  </si>
  <si>
    <t>4. Алюминиевая декоративная планка (для перегородок Meta)</t>
  </si>
  <si>
    <t>Алюминиевая декоративная планка</t>
  </si>
  <si>
    <t>за шт. (3м)</t>
  </si>
  <si>
    <t>за 1 шт</t>
  </si>
  <si>
    <t>Дисконт</t>
  </si>
  <si>
    <t>ЗАКУП</t>
  </si>
  <si>
    <t>за шт (3м)</t>
  </si>
  <si>
    <t>* Декоративная (облицовочная) планка с пазом для Steel см. в разделе "погонаж для прочих"</t>
  </si>
  <si>
    <t>** Декоративная алюминиевая планка для Meta см. в разделе "алюминиевый погонаж"</t>
  </si>
  <si>
    <t>в случае индивидуального подбора покрытия по требованию и дизайну заказчика, фабрика применяет наценку до 100% к изделию. Срок подбора покрытия и согласование образцов не входит в общий срок изготовления заказа</t>
  </si>
  <si>
    <t>прайс 09.06.2023</t>
  </si>
  <si>
    <t>Ручка входит в комлект, расположение на одном уровне с каркасом. По желанию можно заказать без ручки, цена при этом не изменится.</t>
  </si>
  <si>
    <t>Индивидуальный подбор покрытия</t>
  </si>
  <si>
    <t>SYNCHRO, NORMAL 1, 2, 
CASCAD 3</t>
  </si>
  <si>
    <t>SYNCHRO, NORMAL 1, CASCAD 2,3</t>
  </si>
  <si>
    <t>Длина декоративной планки, мм</t>
  </si>
  <si>
    <t>Цены от прайса от 9.06.2023</t>
  </si>
  <si>
    <t>пвх 1 тип</t>
  </si>
  <si>
    <t>пвх 2 тип</t>
  </si>
  <si>
    <t>не нацениваем коэфиц по покрытиям на стекло</t>
  </si>
  <si>
    <t>зеркало сатин "серебро", "Золото", "Бронза"</t>
  </si>
  <si>
    <t>прозрачное "Optiwhite"</t>
  </si>
  <si>
    <t>стопсол "Бронза", "Грей", "Клер"</t>
  </si>
  <si>
    <t>рифленоеMORU 8 мм</t>
  </si>
  <si>
    <t>поставщик</t>
  </si>
  <si>
    <t>цена закуп за кв.м</t>
  </si>
  <si>
    <t>цена опт за кв.м</t>
  </si>
  <si>
    <t>цена РРЦ за кв.м</t>
  </si>
  <si>
    <t>META цена РРЦ за кв.м</t>
  </si>
  <si>
    <t>STEEL цена РРЦ за кв.м</t>
  </si>
  <si>
    <t>глянец</t>
  </si>
  <si>
    <t>сатин1</t>
  </si>
  <si>
    <t>сатин2</t>
  </si>
  <si>
    <t>прозрачное "бутылочное"</t>
  </si>
  <si>
    <t>Пальмира</t>
  </si>
  <si>
    <t>Белое, Черное</t>
  </si>
  <si>
    <t>зеркало "Серебро", "Бронза", "Графит"</t>
  </si>
  <si>
    <t>зеркало сатин "Серебро", "Золото", "Бронза"</t>
  </si>
  <si>
    <t>стекло 8 мм</t>
  </si>
  <si>
    <t>Стекло рифленое MORU ULTRA 8 мм 3300х2000/19, 4300х2000/16л</t>
  </si>
  <si>
    <t>Adem Glass</t>
  </si>
  <si>
    <t>Mesh 1029 (серебро/золото)</t>
  </si>
  <si>
    <t>Private Glass</t>
  </si>
  <si>
    <t>META цена ОПТ за кв.м</t>
  </si>
  <si>
    <t>STEEL цена ОПТ за кв.м</t>
  </si>
  <si>
    <t>АЛЮМИНИЙ</t>
  </si>
  <si>
    <t xml:space="preserve">   Ясень</t>
  </si>
  <si>
    <t>стекло 
8 мм</t>
  </si>
  <si>
    <t>Крашенный 
(Черный, Белый, 
Серый шелк)</t>
  </si>
  <si>
    <t>Вид остекления</t>
  </si>
  <si>
    <r>
      <rPr>
        <vertAlign val="superscript"/>
        <sz val="9"/>
        <rFont val="Calibri"/>
        <family val="2"/>
        <charset val="204"/>
        <scheme val="minor"/>
      </rPr>
      <t>1</t>
    </r>
    <r>
      <rPr>
        <sz val="9"/>
        <rFont val="Calibri"/>
        <family val="2"/>
        <charset val="204"/>
        <scheme val="minor"/>
      </rPr>
      <t>прозрачное "Float"</t>
    </r>
  </si>
  <si>
    <r>
      <rPr>
        <vertAlign val="superscript"/>
        <sz val="9"/>
        <rFont val="Calibri"/>
        <family val="2"/>
        <charset val="204"/>
        <scheme val="minor"/>
      </rPr>
      <t>1</t>
    </r>
    <r>
      <rPr>
        <sz val="9"/>
        <rFont val="Calibri"/>
        <family val="2"/>
        <charset val="204"/>
        <scheme val="minor"/>
      </rPr>
      <t>прозрачное "Optiwhite"</t>
    </r>
  </si>
  <si>
    <t>1.Возможно матирование с одной стороны +5%; матирование с 2-х сторон +10%</t>
  </si>
  <si>
    <t>2. В моделях Steel и Meta ручка входит в комплект и  интегрирована в перегородку. По желанию можно заказать без ручки, цена при этом не изменится.</t>
  </si>
  <si>
    <r>
      <rPr>
        <vertAlign val="superscript"/>
        <sz val="9"/>
        <rFont val="Calibri"/>
        <family val="2"/>
        <charset val="204"/>
        <scheme val="minor"/>
      </rPr>
      <t>1</t>
    </r>
    <r>
      <rPr>
        <sz val="9"/>
        <rFont val="Calibri"/>
        <family val="2"/>
        <charset val="204"/>
        <scheme val="minor"/>
      </rPr>
      <t>Бронза, Серое,  Зеркало "Серебро"</t>
    </r>
  </si>
  <si>
    <r>
      <rPr>
        <b/>
        <vertAlign val="superscript"/>
        <sz val="11"/>
        <rFont val="Calibri"/>
        <family val="2"/>
        <charset val="204"/>
        <scheme val="minor"/>
      </rPr>
      <t>2</t>
    </r>
    <r>
      <rPr>
        <b/>
        <sz val="11"/>
        <rFont val="Calibri"/>
        <family val="2"/>
        <charset val="204"/>
        <scheme val="minor"/>
      </rPr>
      <t>Meta</t>
    </r>
  </si>
  <si>
    <r>
      <rPr>
        <b/>
        <vertAlign val="superscript"/>
        <sz val="11"/>
        <rFont val="Calibri"/>
        <family val="2"/>
        <charset val="204"/>
        <scheme val="minor"/>
      </rPr>
      <t>2</t>
    </r>
    <r>
      <rPr>
        <b/>
        <sz val="11"/>
        <rFont val="Calibri"/>
        <family val="2"/>
        <charset val="204"/>
        <scheme val="minor"/>
      </rPr>
      <t>Steel</t>
    </r>
  </si>
  <si>
    <t xml:space="preserve">Стекло рифленое MORU ULTRA </t>
  </si>
  <si>
    <t>триплекс
4+4 мм</t>
  </si>
  <si>
    <t>3. В моделях Race рифленое стекло не применяется</t>
  </si>
  <si>
    <t>4. Ограничения по применению стекол в отдельных моделях см. в тетради продавца</t>
  </si>
  <si>
    <r>
      <t>Corsa/</t>
    </r>
    <r>
      <rPr>
        <b/>
        <vertAlign val="superscript"/>
        <sz val="11"/>
        <rFont val="Calibri"/>
        <family val="2"/>
        <charset val="204"/>
        <scheme val="minor"/>
      </rPr>
      <t>2</t>
    </r>
    <r>
      <rPr>
        <b/>
        <sz val="11"/>
        <rFont val="Calibri"/>
        <family val="2"/>
        <charset val="204"/>
        <scheme val="minor"/>
      </rPr>
      <t>Race</t>
    </r>
  </si>
  <si>
    <t>Стекло рефлектив Грей, Светлый (закаленное)</t>
  </si>
  <si>
    <t>прайс 01.07.2023</t>
  </si>
  <si>
    <t>Цены</t>
  </si>
  <si>
    <t>Общая корректировка цен</t>
  </si>
  <si>
    <t>Добавлены новые стекла в перегородки</t>
  </si>
  <si>
    <t>Снята наценка за изменение направления шпона (кроме диагональной)</t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</si>
  <si>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Fusion Plainе</t>
    </r>
  </si>
  <si>
    <t>1. Шашка Пирамида в шпоне ясень не изготавливается</t>
  </si>
  <si>
    <t>Ярко-белое, Зеркало "Бронза", "Графит"</t>
  </si>
  <si>
    <t>Изненение цены на Florence 4 в покрытиях дуб и орех</t>
  </si>
  <si>
    <t>прайс от 20.07.2023</t>
  </si>
  <si>
    <t>56х58</t>
  </si>
  <si>
    <t>СМ1 (Матовое с одной стороны цена к прозрачному</t>
  </si>
  <si>
    <t>и для сиенны</t>
  </si>
  <si>
    <t>Коллекция Provence Sienna</t>
  </si>
  <si>
    <t xml:space="preserve">Выведено прозрачное стекло из коллкции Sienna </t>
  </si>
  <si>
    <t>Belluno3</t>
  </si>
  <si>
    <t>Frame</t>
  </si>
  <si>
    <t>Алюминиевая</t>
  </si>
  <si>
    <t>за кв.м по Meta</t>
  </si>
  <si>
    <t>Алюминиевые двери Frame</t>
  </si>
  <si>
    <t>Анодированный профиль
(Черный)</t>
  </si>
  <si>
    <t>Изделия, необходимые для комплектации заказа</t>
  </si>
  <si>
    <t>Алюминиевый короб</t>
  </si>
  <si>
    <t>Замок с ответной планкой</t>
  </si>
  <si>
    <t>1.Короб</t>
  </si>
  <si>
    <t>2.Фурнитура</t>
  </si>
  <si>
    <t>Ручка</t>
  </si>
  <si>
    <t xml:space="preserve">Cкрытые петли </t>
  </si>
  <si>
    <t>Прайс-лист "Фурнитура Терем", 
вкладки: "Ручки_накладки Италия/Китай"</t>
  </si>
  <si>
    <t>Прайс-лист "Фурнитура Терем", 
вкладка: "Замки"</t>
  </si>
  <si>
    <t>Прайс-лист "Фурнитура Терем", 
вкладка: "Скрытые петли"</t>
  </si>
  <si>
    <t>HH-3 (черные)</t>
  </si>
  <si>
    <t>Нажимная ручка на квадратном или круглом основании диаметром более 22мм. (черная)</t>
  </si>
  <si>
    <t>Аллюминиевый погонаж</t>
  </si>
  <si>
    <t>Детализация</t>
  </si>
  <si>
    <t>цена полотна за кв.м., руб.</t>
  </si>
  <si>
    <t>2. Рифленое стекло применяется только для Frame 1</t>
  </si>
  <si>
    <r>
      <rPr>
        <vertAlign val="superscript"/>
        <sz val="9"/>
        <rFont val="Calibri"/>
        <family val="2"/>
        <charset val="204"/>
        <scheme val="minor"/>
      </rPr>
      <t xml:space="preserve">2. </t>
    </r>
    <r>
      <rPr>
        <sz val="9"/>
        <rFont val="Calibri"/>
        <family val="2"/>
        <charset val="204"/>
        <scheme val="minor"/>
      </rPr>
      <t xml:space="preserve">Стекло рифленое MORU ULTRA </t>
    </r>
  </si>
  <si>
    <r>
      <rPr>
        <vertAlign val="superscript"/>
        <sz val="9"/>
        <rFont val="Calibri"/>
        <family val="2"/>
        <charset val="204"/>
        <scheme val="minor"/>
      </rPr>
      <t xml:space="preserve">1 </t>
    </r>
    <r>
      <rPr>
        <sz val="9"/>
        <rFont val="Calibri"/>
        <family val="2"/>
        <charset val="204"/>
        <scheme val="minor"/>
      </rPr>
      <t>Прозрачное "Optiwhite"</t>
    </r>
  </si>
  <si>
    <r>
      <rPr>
        <vertAlign val="superscript"/>
        <sz val="9"/>
        <rFont val="Calibri"/>
        <family val="2"/>
        <charset val="204"/>
        <scheme val="minor"/>
      </rPr>
      <t>1</t>
    </r>
    <r>
      <rPr>
        <sz val="9"/>
        <rFont val="Calibri"/>
        <family val="2"/>
        <charset val="204"/>
        <scheme val="minor"/>
      </rPr>
      <t xml:space="preserve"> Прозрачное "Float"</t>
    </r>
  </si>
  <si>
    <t>1 шт.</t>
  </si>
  <si>
    <r>
      <t xml:space="preserve">2-3 шт. </t>
    </r>
    <r>
      <rPr>
        <sz val="8"/>
        <rFont val="Calibri"/>
        <family val="2"/>
        <charset val="204"/>
        <scheme val="minor"/>
      </rPr>
      <t>(в зависимости от габаритов полотна</t>
    </r>
    <r>
      <rPr>
        <sz val="9"/>
        <rFont val="Calibri"/>
        <family val="2"/>
        <charset val="204"/>
        <scheme val="minor"/>
      </rPr>
      <t>)</t>
    </r>
  </si>
  <si>
    <t>пара</t>
  </si>
  <si>
    <t>Количество</t>
  </si>
  <si>
    <t>Введены алюминиевые двери Frame</t>
  </si>
  <si>
    <r>
      <t xml:space="preserve">Перегородки </t>
    </r>
    <r>
      <rPr>
        <b/>
        <sz val="20"/>
        <rFont val="Calibri"/>
        <family val="2"/>
        <charset val="204"/>
        <scheme val="minor"/>
      </rPr>
      <t>Grazia</t>
    </r>
  </si>
  <si>
    <t>Morelli (черный) или AGB (черный)</t>
  </si>
  <si>
    <t>прайс от 02.08.2023</t>
  </si>
  <si>
    <t>Старые цены от 02.08.23</t>
  </si>
  <si>
    <t>Старые цены июль 23</t>
  </si>
  <si>
    <t>коэф</t>
  </si>
  <si>
    <t>Старые комплекты 02.08.23</t>
  </si>
  <si>
    <t>от 10.08.2023</t>
  </si>
  <si>
    <t>Старые цены 02,08,23</t>
  </si>
  <si>
    <t>орех</t>
  </si>
  <si>
    <t>зависимость</t>
  </si>
  <si>
    <t xml:space="preserve">Porte 01 c ал кромкой 4 al </t>
  </si>
  <si>
    <t>Vetro18 без кромки</t>
  </si>
  <si>
    <t xml:space="preserve">Rino2 </t>
  </si>
  <si>
    <t>пвх1</t>
  </si>
  <si>
    <t>пвх2</t>
  </si>
  <si>
    <t>дуб</t>
  </si>
  <si>
    <t>Общее изменение цен на полотна и погонажные изделия</t>
  </si>
  <si>
    <t>Новые цены 11.08.23</t>
  </si>
  <si>
    <t>1. Возможно матирование с одной стороны +5%; матирование с 2-х сторон +10%</t>
  </si>
  <si>
    <t>Латунный T-молдинг</t>
  </si>
  <si>
    <t>Размер</t>
  </si>
  <si>
    <t>1. Молдинг для стеновых панелей</t>
  </si>
  <si>
    <t>20х2700 мм</t>
  </si>
  <si>
    <t>Цена, руб.</t>
  </si>
  <si>
    <t>Изделия для дополнительной комплектации заказа</t>
  </si>
  <si>
    <t>заказывается штучно, приобретается при необходимости</t>
  </si>
  <si>
    <t>Зеркало сатинат (c 1-ой стороны)</t>
  </si>
  <si>
    <t>зеркало САТИНАТ с 1-ой стороны</t>
  </si>
  <si>
    <t>классическое зеркало</t>
  </si>
  <si>
    <t>БРОНЗА САТИН</t>
  </si>
  <si>
    <t>ГРАФИТ САТИН</t>
  </si>
  <si>
    <t>Введен лантунный Т-молдинг для стеновых панелей</t>
  </si>
  <si>
    <t>Коллекция Techno Porte</t>
  </si>
  <si>
    <t>прайс от 28.08.2023</t>
  </si>
  <si>
    <t>Коллекция Techno Vetro</t>
  </si>
  <si>
    <t>СЕРЕБРО САТИН, 
 ГРАФИТ САТИН</t>
  </si>
  <si>
    <t>каталог покрытий ПВХ</t>
  </si>
  <si>
    <t>50*100*2700</t>
  </si>
  <si>
    <t>Введено зеркало сатин (серебро, бронза, графит) для коллекции Techno</t>
  </si>
  <si>
    <t>Алюминиевый погонаж</t>
  </si>
  <si>
    <t>Скорректирован размер у рейки для перегородок</t>
  </si>
  <si>
    <t>В алюминиевом погонаже введены новые цвета: золото, бронза для короба и кромок</t>
  </si>
  <si>
    <t>Матовое зеркало (с одной стороны)</t>
  </si>
  <si>
    <t>СЕРЕБРО , 
 ГРАФИТ</t>
  </si>
  <si>
    <t>Матовое зеркало "Серебро", "Золото", "Бронза"</t>
  </si>
  <si>
    <t>2. Остальные ограничения по применению стекол в отдельных моделях см. в тетради продавца</t>
  </si>
  <si>
    <r>
      <t xml:space="preserve">Погонажный
</t>
    </r>
    <r>
      <rPr>
        <b/>
        <sz val="7"/>
        <color theme="1"/>
        <rFont val="Calibri"/>
        <family val="2"/>
        <charset val="204"/>
        <scheme val="minor"/>
      </rPr>
      <t>(с WL-наличником)</t>
    </r>
  </si>
  <si>
    <r>
      <t>Британия</t>
    </r>
    <r>
      <rPr>
        <b/>
        <vertAlign val="superscript"/>
        <sz val="10"/>
        <color theme="1"/>
        <rFont val="Calibri"/>
        <family val="2"/>
        <charset val="204"/>
        <scheme val="minor"/>
      </rPr>
      <t xml:space="preserve">1
</t>
    </r>
    <r>
      <rPr>
        <b/>
        <vertAlign val="superscript"/>
        <sz val="8"/>
        <color theme="1"/>
        <rFont val="Calibri"/>
        <family val="2"/>
        <charset val="204"/>
        <scheme val="minor"/>
      </rPr>
      <t>(с WL-наличником)</t>
    </r>
  </si>
  <si>
    <t>ДУБ (масло)</t>
  </si>
  <si>
    <t xml:space="preserve">ШПОН </t>
  </si>
  <si>
    <t>Дуб МАСЛО (на 10% выше дуба сделать)</t>
  </si>
  <si>
    <t>ДУБ МАСЛО</t>
  </si>
  <si>
    <t xml:space="preserve"> ДУБ МАСЛО
</t>
  </si>
  <si>
    <t xml:space="preserve">ДУБ МАСЛО
</t>
  </si>
  <si>
    <t xml:space="preserve">Для исключения коробления установка стабилизатора является обязательной опцией в следующих случаях:        </t>
  </si>
  <si>
    <t>3 ДЛЯ ИСКЛЮЧЕНИЯ КОРАБЛЕНИЯ</t>
  </si>
  <si>
    <t xml:space="preserve">3.1.  для полотен свыше 2300мм        </t>
  </si>
  <si>
    <t xml:space="preserve">3.2. для двусторонних дверных полотен, изготовленных с применением разных видов материалов вне зависимости от высоты полотна (эмаль/шпон, эмаль/ПВХ, ПВХ/шпон, стекло/шпон, стекло/ПВХ, стекло/эмаль)        </t>
  </si>
  <si>
    <t>3.3. для двусторонних дверных полотен, изготовленных с применением разных моделей вне зависимости от высоты полотна (например, Porte 39-00 /Elegance 1,2,3; Bergamo1 / Elegance 1,2,3 и т.д)</t>
  </si>
  <si>
    <t>4 ПРОЧАЯ ПРОДУКЦИЯ</t>
  </si>
  <si>
    <t>к Porte</t>
  </si>
  <si>
    <t>Старые цены от 11.08.23</t>
  </si>
  <si>
    <t>новые цены 01.12.2023</t>
  </si>
  <si>
    <t>Старые цены от11.08.23</t>
  </si>
  <si>
    <t>РРЦ текущего прайса от 01.12.23</t>
  </si>
  <si>
    <t>Белый Soft</t>
  </si>
  <si>
    <t>стоимость = ЦЕНА ПОЛОТНА  х 0,85</t>
  </si>
  <si>
    <t>стоимость = ЦЕНА ПОЛОТНА   х 0,4</t>
  </si>
  <si>
    <t>12*25*2050 мм</t>
  </si>
  <si>
    <t>Торцевой элемент для фрезерованной стеновой панели 450*450</t>
  </si>
  <si>
    <t>3. Накладки шириной до 900 и высотой до 2100мм являются стандартными, и считаются без применения дополнительных наценок за ширину . За высоту свыше 2100мм применяется наценка +10%, для ширины свыше 900мм применяется наценка +5%. Наценки складываются, если высота и ширина накладки нестандартные.</t>
  </si>
  <si>
    <t>РРЦ текущего прайса от 18.12.23</t>
  </si>
  <si>
    <t>Bruno1</t>
  </si>
  <si>
    <t>Bruno2</t>
  </si>
  <si>
    <t>Bruno3</t>
  </si>
  <si>
    <t>Buno4</t>
  </si>
  <si>
    <t xml:space="preserve">
600, 700,
800</t>
  </si>
  <si>
    <t>Комплекты продаются только из наличия на складе свободных остатков</t>
  </si>
  <si>
    <t>Высота полотен только 2 000 мм</t>
  </si>
  <si>
    <t>Покрытие - пвх "белый снег"</t>
  </si>
  <si>
    <t>Остекление не возможно, только ДГ</t>
  </si>
  <si>
    <t>Возможна ширина 900 мм с наценкой 10%</t>
  </si>
  <si>
    <t>В стоимость входит врезка на полотне под замок Morelli</t>
  </si>
  <si>
    <t>Полотно комплектуется торцевым Т-молдингом</t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</si>
  <si>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Fusion Bruno</t>
    </r>
  </si>
  <si>
    <t>Расширитель</t>
  </si>
  <si>
    <t>золото, шампань, бронза, медь</t>
  </si>
  <si>
    <r>
      <t>Алюминиевые двери</t>
    </r>
    <r>
      <rPr>
        <b/>
        <sz val="20"/>
        <rFont val="Calibri"/>
        <family val="2"/>
        <charset val="204"/>
        <scheme val="minor"/>
      </rPr>
      <t xml:space="preserve"> Frame</t>
    </r>
  </si>
  <si>
    <r>
      <rPr>
        <vertAlign val="superscript"/>
        <sz val="11"/>
        <rFont val="Calibri"/>
        <family val="2"/>
        <charset val="204"/>
        <scheme val="minor"/>
      </rPr>
      <t>2</t>
    </r>
    <r>
      <rPr>
        <sz val="11"/>
        <rFont val="Calibri"/>
        <family val="2"/>
        <charset val="204"/>
        <scheme val="minor"/>
      </rPr>
      <t>. Возможно изготовление алюминиевого молдинга в цвета: золото, шампань, бронза, медь. Наценка 1500 руб. за комплект</t>
    </r>
  </si>
  <si>
    <t>Профиль
(золото, шампань, бронза, медь)</t>
  </si>
  <si>
    <t>Золото, шампань, бронза, медь</t>
  </si>
  <si>
    <r>
      <rPr>
        <vertAlign val="superscript"/>
        <sz val="11"/>
        <rFont val="Calibri"/>
        <family val="2"/>
        <charset val="204"/>
        <scheme val="minor"/>
      </rPr>
      <t>4</t>
    </r>
    <r>
      <rPr>
        <sz val="11"/>
        <rFont val="Calibri"/>
        <family val="2"/>
        <charset val="204"/>
        <scheme val="minor"/>
      </rPr>
      <t>. Возможно изготовление алюминиевого молдинга в цвета: золото, шампань, бронза, медь. Наценка 1000 руб. за комплект</t>
    </r>
  </si>
  <si>
    <t>латунь</t>
  </si>
  <si>
    <t>6. Возможно изготовление алюминиевого молдинга в цвета: золото, шампань, бронза, медь. Наценка 1000 руб. за единицу</t>
  </si>
  <si>
    <r>
      <t>Жалюзийные двери</t>
    </r>
    <r>
      <rPr>
        <b/>
        <sz val="20"/>
        <rFont val="Calibri"/>
        <family val="2"/>
        <charset val="204"/>
      </rPr>
      <t xml:space="preserve"> Louver</t>
    </r>
  </si>
  <si>
    <t xml:space="preserve"> 3.4. устанавливается розничная цена на комплект стабилизаторов на 1 полотно в размере 2000 р. Стоимость стабилизатора в случае установки в качестве необязательной опции (по желанию клиента) составляет 3 000р.</t>
  </si>
  <si>
    <t>масло</t>
  </si>
  <si>
    <t>Дуб Кофе</t>
  </si>
  <si>
    <t>Дуб Шоколад</t>
  </si>
  <si>
    <t>Дуб Янтарь</t>
  </si>
  <si>
    <t>ДУБ масло (3)</t>
  </si>
  <si>
    <t>Исполнение в радиальном шпоне</t>
  </si>
  <si>
    <t>Зеркало "Бронза", "Графит"</t>
  </si>
  <si>
    <r>
      <rPr>
        <u/>
        <sz val="9"/>
        <rFont val="Calibri"/>
        <family val="2"/>
        <charset val="204"/>
        <scheme val="minor"/>
      </rPr>
      <t xml:space="preserve"> 1. При комплектации модели Vario11 зеркалом возможны следующие варианты:
Вариант2</t>
    </r>
    <r>
      <rPr>
        <sz val="9"/>
        <rFont val="Calibri"/>
        <family val="2"/>
        <charset val="204"/>
        <scheme val="minor"/>
      </rPr>
      <t xml:space="preserve">: сторона1 - зеркало/сторона2 -триплекс ярко-белый;
</t>
    </r>
    <r>
      <rPr>
        <u/>
        <sz val="9"/>
        <rFont val="Calibri"/>
        <family val="2"/>
        <charset val="204"/>
        <scheme val="minor"/>
      </rPr>
      <t>Вариант3</t>
    </r>
    <r>
      <rPr>
        <sz val="9"/>
        <rFont val="Calibri"/>
        <family val="2"/>
        <charset val="204"/>
        <scheme val="minor"/>
      </rPr>
      <t xml:space="preserve">: сторона1 - зеркало/сторона2 -зеркало
</t>
    </r>
    <r>
      <rPr>
        <u/>
        <sz val="9"/>
        <rFont val="Calibri"/>
        <family val="2"/>
        <charset val="204"/>
        <scheme val="minor"/>
      </rPr>
      <t>Во втором и третьем варианте необходимо применить доплату за вторую сторону.</t>
    </r>
  </si>
  <si>
    <t>2. Триплекс ярко-белый max размер до 2000мм</t>
  </si>
  <si>
    <t>Выведен триплекс ярко-белый из возможного остекления для перегородок</t>
  </si>
  <si>
    <t>Введены ограничения max размера триплекса ярко-белого в полотнах коллекции Standart</t>
  </si>
  <si>
    <t>Standart</t>
  </si>
  <si>
    <t>Современные перегородки</t>
  </si>
  <si>
    <t>*В остекление AmeliaArc по умолчанию входит пвсевдофацет. По желанию можно изготовить со стеклом без декора, прозрачное, СМ1, СМ2</t>
  </si>
  <si>
    <t>*** Rosso в покрытии орех исполняется только в каштановом тоне</t>
  </si>
  <si>
    <t xml:space="preserve">ОРЕХ, каштановый
</t>
  </si>
  <si>
    <t>Плинтусы</t>
  </si>
  <si>
    <t xml:space="preserve">ОРЕХ*
</t>
  </si>
  <si>
    <t>* Полотна с багетом "Britain" в покрытии ОРЕХ изготавливаются только в  каштановом тоне</t>
  </si>
  <si>
    <t>зеркало сатин "Серебро", "Графит", "Бронза"</t>
  </si>
  <si>
    <r>
      <rPr>
        <vertAlign val="superscript"/>
        <sz val="11"/>
        <rFont val="Calibri"/>
        <family val="2"/>
        <charset val="204"/>
        <scheme val="minor"/>
      </rPr>
      <t>4.</t>
    </r>
    <r>
      <rPr>
        <sz val="11"/>
        <rFont val="Calibri"/>
        <family val="2"/>
        <charset val="204"/>
        <scheme val="minor"/>
      </rPr>
      <t xml:space="preserve"> Полотно Porte 52-00 в покрытии ПВХ изготавливается с алюминеевой кромкой по периметру, кромка не входит в стоимость (см. раздел "алюм.погонаж")</t>
    </r>
  </si>
  <si>
    <r>
      <rPr>
        <vertAlign val="superscript"/>
        <sz val="11"/>
        <rFont val="Calibri"/>
        <family val="2"/>
        <charset val="204"/>
        <scheme val="minor"/>
      </rPr>
      <t>5.</t>
    </r>
    <r>
      <rPr>
        <sz val="11"/>
        <rFont val="Calibri"/>
        <family val="2"/>
        <charset val="204"/>
        <scheme val="minor"/>
      </rPr>
      <t xml:space="preserve"> Наценки на исполнение полотен с отличными друг от друга сторонами см. в разделе "Наценки"</t>
    </r>
  </si>
  <si>
    <t>редакция 1</t>
  </si>
  <si>
    <r>
      <t xml:space="preserve">Изменено название коллекции L`union на </t>
    </r>
    <r>
      <rPr>
        <b/>
        <sz val="11"/>
        <color theme="1"/>
        <rFont val="Calibri"/>
        <family val="2"/>
        <charset val="204"/>
        <scheme val="minor"/>
      </rPr>
      <t>Unit</t>
    </r>
  </si>
  <si>
    <t>серия 
Unit</t>
  </si>
  <si>
    <t>Unit Slot 10-111</t>
  </si>
  <si>
    <t>Unit Slot 10-122/123</t>
  </si>
  <si>
    <t>Серия Unit</t>
  </si>
  <si>
    <t>Плоские комбинированные (Unit), м2</t>
  </si>
  <si>
    <t>прайс от 28.09.2023</t>
  </si>
  <si>
    <t>Выведена из ассортимента колонна погонажная</t>
  </si>
  <si>
    <t>Выведен WL -наличник в эмали</t>
  </si>
  <si>
    <t>прайс от 05.10.2023</t>
  </si>
  <si>
    <t>Выведена наценка за исполнение Матовое 5Gl</t>
  </si>
  <si>
    <t>Исполнение  полотен Rino1, Rino2, Rino3, Rino4 в покрытии ПВХ Белый Soft</t>
  </si>
  <si>
    <t>Rino Soft'</t>
  </si>
  <si>
    <t>редакция 2</t>
  </si>
  <si>
    <t>прайс от 18.12.2023</t>
  </si>
  <si>
    <t>Повышение цен на 6%</t>
  </si>
  <si>
    <t>Изменена система наценок для накладок в нестандартном размере</t>
  </si>
  <si>
    <t>Фрамуги_накладки</t>
  </si>
  <si>
    <t>Введены новые цвета алюминиевого профиля</t>
  </si>
  <si>
    <t>Введены новые покрытия, дуб масло (для щитовых полотен, погонажа к ним, стеновых панелей, реек)</t>
  </si>
  <si>
    <t>редакция 3</t>
  </si>
  <si>
    <t>прайс от 16.02.2024</t>
  </si>
  <si>
    <t>Изменены наценки за габариты погонажных изделий</t>
  </si>
  <si>
    <t>Step Q</t>
  </si>
  <si>
    <t>Step RQ</t>
  </si>
  <si>
    <r>
      <t xml:space="preserve">Введены наличники </t>
    </r>
    <r>
      <rPr>
        <b/>
        <sz val="11"/>
        <color theme="1"/>
        <rFont val="Calibri"/>
        <family val="2"/>
        <charset val="204"/>
        <scheme val="minor"/>
      </rPr>
      <t xml:space="preserve">Step Q </t>
    </r>
    <r>
      <rPr>
        <sz val="11"/>
        <color theme="1"/>
        <rFont val="Calibri"/>
        <family val="2"/>
        <scheme val="minor"/>
      </rPr>
      <t xml:space="preserve">и </t>
    </r>
    <r>
      <rPr>
        <b/>
        <sz val="11"/>
        <color theme="1"/>
        <rFont val="Calibri"/>
        <family val="2"/>
        <charset val="204"/>
        <scheme val="minor"/>
      </rPr>
      <t>Step RQ</t>
    </r>
  </si>
  <si>
    <t xml:space="preserve">  ДУБ (масло)</t>
  </si>
  <si>
    <t xml:space="preserve">Введены новые  стандартные цвета эмали: облачный(NCS S 1502G), дымчатый(NCS S 2002-Y50R), галечный (NCS S 3500N), зелёный (NCS S 6010-G50Y), пихтовый (NCS S 7005-B80G), лиловый(NCS S 7005-R20B), коричневый(NCS S 7005-Y80R) </t>
  </si>
  <si>
    <t>Покрытия шпон, эмаль</t>
  </si>
  <si>
    <t>NCS S 1502G</t>
  </si>
  <si>
    <t>NCS S 2002-Y50R</t>
  </si>
  <si>
    <t>NCS S 3500N</t>
  </si>
  <si>
    <t>Эмаль Зелёная</t>
  </si>
  <si>
    <t>Эмаль  Лиловая</t>
  </si>
  <si>
    <t>Эмаль Коричневая</t>
  </si>
  <si>
    <t>NCS S 7005-Y80R</t>
  </si>
  <si>
    <t>NCS S 7005-R20B</t>
  </si>
  <si>
    <t>NCS S 7005-B80G</t>
  </si>
  <si>
    <t>NCS S 6010-G50Y</t>
  </si>
  <si>
    <t>Эмаль Дымчатая</t>
  </si>
  <si>
    <t>Эмаль  Галечная</t>
  </si>
  <si>
    <t>Эмаль Пихтовая</t>
  </si>
  <si>
    <t xml:space="preserve"> Эмаль Облачная</t>
  </si>
  <si>
    <t xml:space="preserve"> Эмаль  BRASH Облачная</t>
  </si>
  <si>
    <t>Эмаль  BRASH Дымчатая</t>
  </si>
  <si>
    <t>Эмаль   BRASH Галечная</t>
  </si>
  <si>
    <t>Эмаль  BRASH Зелёная</t>
  </si>
  <si>
    <t>Эмаль  BRASH Пихтовая</t>
  </si>
  <si>
    <t>Эмаль  BRASH Коричневая</t>
  </si>
  <si>
    <t>Эмаль   BRASH Лиловая</t>
  </si>
  <si>
    <t>Гладкая (16)</t>
  </si>
  <si>
    <t>Брашированная (16)</t>
  </si>
  <si>
    <t>Дарк Грей</t>
  </si>
  <si>
    <r>
      <t xml:space="preserve">Введено новое стекло для перегородок </t>
    </r>
    <r>
      <rPr>
        <b/>
        <sz val="11"/>
        <color theme="1"/>
        <rFont val="Calibri"/>
        <family val="2"/>
        <charset val="204"/>
        <scheme val="minor"/>
      </rPr>
      <t>Meta</t>
    </r>
  </si>
  <si>
    <t xml:space="preserve"> Современные перегородки</t>
  </si>
  <si>
    <r>
      <t xml:space="preserve">Введено новое стекло для алюминиевых дверей </t>
    </r>
    <r>
      <rPr>
        <b/>
        <sz val="11"/>
        <color theme="1"/>
        <rFont val="Calibri"/>
        <family val="2"/>
        <charset val="204"/>
        <scheme val="minor"/>
      </rPr>
      <t>Frame</t>
    </r>
  </si>
  <si>
    <t>Алюм. двери Frame</t>
  </si>
  <si>
    <r>
      <t xml:space="preserve">Введена новая модель полотна </t>
    </r>
    <r>
      <rPr>
        <b/>
        <i/>
        <sz val="11"/>
        <color theme="1"/>
        <rFont val="Calibri"/>
        <family val="2"/>
        <charset val="204"/>
        <scheme val="minor"/>
      </rPr>
      <t>Unit 07</t>
    </r>
  </si>
  <si>
    <r>
      <t xml:space="preserve">Введены  новые модели </t>
    </r>
    <r>
      <rPr>
        <b/>
        <i/>
        <sz val="11"/>
        <color theme="1"/>
        <rFont val="Calibri"/>
        <family val="2"/>
        <charset val="204"/>
        <scheme val="minor"/>
      </rPr>
      <t>Space 01</t>
    </r>
    <r>
      <rPr>
        <sz val="11"/>
        <color theme="1"/>
        <rFont val="Calibri"/>
        <family val="2"/>
        <charset val="204"/>
        <scheme val="minor"/>
      </rPr>
      <t xml:space="preserve"> и </t>
    </r>
    <r>
      <rPr>
        <b/>
        <i/>
        <sz val="11"/>
        <color theme="1"/>
        <rFont val="Calibri"/>
        <family val="2"/>
        <charset val="204"/>
        <scheme val="minor"/>
      </rPr>
      <t>Space 12</t>
    </r>
  </si>
  <si>
    <t>серия 
Space</t>
  </si>
  <si>
    <t>Серия Space</t>
  </si>
  <si>
    <r>
      <t xml:space="preserve">Коллекция </t>
    </r>
    <r>
      <rPr>
        <b/>
        <sz val="20"/>
        <color theme="1"/>
        <rFont val="Calibri"/>
        <family val="2"/>
        <charset val="204"/>
      </rPr>
      <t>Eclectica Stripe</t>
    </r>
  </si>
  <si>
    <t>1. Плинтусы</t>
  </si>
  <si>
    <r>
      <t>Алюминиевые перегородки</t>
    </r>
    <r>
      <rPr>
        <b/>
        <sz val="20"/>
        <rFont val="Calibri"/>
        <family val="2"/>
        <charset val="204"/>
      </rPr>
      <t xml:space="preserve"> Steel</t>
    </r>
  </si>
  <si>
    <r>
      <t xml:space="preserve">Алюминиевые перегородки </t>
    </r>
    <r>
      <rPr>
        <b/>
        <sz val="20"/>
        <rFont val="Calibri"/>
        <family val="2"/>
        <charset val="204"/>
      </rPr>
      <t>Meta</t>
    </r>
  </si>
  <si>
    <t>прайс от 19.04.2024</t>
  </si>
  <si>
    <t xml:space="preserve">2. Притворная планка для фрамуги </t>
  </si>
  <si>
    <t>1 м.</t>
  </si>
  <si>
    <t>2 м.</t>
  </si>
  <si>
    <t>3 м.</t>
  </si>
  <si>
    <t xml:space="preserve">Алюминиевая притворная планка для фрамуги </t>
  </si>
  <si>
    <t>Ссылка для расчета / стоимость</t>
  </si>
  <si>
    <r>
      <t xml:space="preserve">Введена притворная планка фрамуги для дверей </t>
    </r>
    <r>
      <rPr>
        <b/>
        <sz val="11"/>
        <color theme="1"/>
        <rFont val="Calibri"/>
        <family val="2"/>
        <charset val="204"/>
        <scheme val="minor"/>
      </rPr>
      <t>Frame</t>
    </r>
  </si>
  <si>
    <r>
      <t>стекло без декора прозрачное ( матирование с 1ой или 2х сторон)
(ц</t>
    </r>
    <r>
      <rPr>
        <sz val="9"/>
        <color theme="1"/>
        <rFont val="Calibri"/>
        <family val="2"/>
        <charset val="204"/>
        <scheme val="minor"/>
      </rPr>
      <t>вет: прозрачное, бронза)</t>
    </r>
  </si>
  <si>
    <t>амелия 8 с простым</t>
  </si>
  <si>
    <t>Классические прегородки</t>
  </si>
  <si>
    <r>
      <t xml:space="preserve">Добавлены цены на Перегородки </t>
    </r>
    <r>
      <rPr>
        <b/>
        <i/>
        <sz val="11"/>
        <color theme="1"/>
        <rFont val="Calibri"/>
        <family val="2"/>
        <charset val="204"/>
        <scheme val="minor"/>
      </rPr>
      <t>Grazia</t>
    </r>
    <r>
      <rPr>
        <sz val="11"/>
        <color theme="1"/>
        <rFont val="Calibri"/>
        <family val="2"/>
        <scheme val="minor"/>
      </rPr>
      <t xml:space="preserve"> со стеклом без декора</t>
    </r>
  </si>
  <si>
    <t>редакция 4</t>
  </si>
  <si>
    <t>Изменение цен на рекламную продукцию</t>
  </si>
  <si>
    <t>прайс от 25.04.2024</t>
  </si>
</sst>
</file>

<file path=xl/styles.xml><?xml version="1.0" encoding="utf-8"?>
<styleSheet xmlns="http://schemas.openxmlformats.org/spreadsheetml/2006/main">
  <numFmts count="23">
    <numFmt numFmtId="41" formatCode="_-* #,##0\ _₽_-;\-* #,##0\ _₽_-;_-* &quot;-&quot;\ _₽_-;_-@_-"/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#,##0&quot;р.&quot;;\-#,##0&quot;р.&quot;"/>
    <numFmt numFmtId="165" formatCode="_-* #,##0_р_._-;\-* #,##0_р_._-;_-* &quot;-&quot;_р_._-;_-@_-"/>
    <numFmt numFmtId="166" formatCode="_-* #,##0.00&quot;р.&quot;_-;\-* #,##0.00&quot;р.&quot;_-;_-* &quot;-&quot;??&quot;р.&quot;_-;_-@_-"/>
    <numFmt numFmtId="167" formatCode="_-* #,##0.00_р_._-;\-* #,##0.00_р_._-;_-* &quot;-&quot;??_р_._-;_-@_-"/>
    <numFmt numFmtId="168" formatCode="#,##0\ _₽"/>
    <numFmt numFmtId="169" formatCode="#,##0_ ;\-#,##0\ "/>
    <numFmt numFmtId="170" formatCode="_-* #,##0_р_._-;\-* #,##0_р_._-;_-* &quot;-&quot;??_р_._-;_-@_-"/>
    <numFmt numFmtId="171" formatCode="#,##0.00_ ;\-#,##0.00\ "/>
    <numFmt numFmtId="172" formatCode="_-* #,##0&quot;р.&quot;_-;\-* #,##0&quot;р.&quot;_-;_-* &quot;-&quot;??&quot;р.&quot;_-;_-@_-"/>
    <numFmt numFmtId="173" formatCode="_-* #,##0\ _₽_-;\-* #,##0\ _₽_-;_-* &quot;-&quot;??\ _₽_-;_-@_-"/>
    <numFmt numFmtId="174" formatCode="_-* #,##0.00\ _₽_-;\-* #,##0.00\ _₽_-;_-* &quot;-&quot;\ _₽_-;_-@_-"/>
    <numFmt numFmtId="175" formatCode="_-* #,##0.000\ _₽_-;\-* #,##0.000\ _₽_-;_-* &quot;-&quot;\ _₽_-;_-@_-"/>
    <numFmt numFmtId="176" formatCode="0.000"/>
    <numFmt numFmtId="177" formatCode="_-* #,##0[$р.-419]_-;\-* #,##0[$р.-419]_-;_-* &quot;-&quot;??[$р.-419]_-;_-@_-"/>
    <numFmt numFmtId="178" formatCode="#,##0;[Red]#,##0"/>
    <numFmt numFmtId="179" formatCode="_-* #,##0\ &quot;₽&quot;_-;\-* #,##0\ &quot;₽&quot;_-;_-* &quot;-&quot;??\ &quot;₽&quot;_-;_-@_-"/>
    <numFmt numFmtId="180" formatCode="[$-F800]dddd\,\ mmmm\ dd\,\ yyyy"/>
    <numFmt numFmtId="181" formatCode="0.0"/>
    <numFmt numFmtId="182" formatCode="_-* #,##0.0&quot;р.&quot;_-;\-* #,##0.0&quot;р.&quot;_-;_-* &quot;-&quot;?&quot;р.&quot;_-;_-@_-"/>
    <numFmt numFmtId="183" formatCode="#,##0\ &quot;₽&quot;"/>
  </numFmts>
  <fonts count="314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</font>
    <font>
      <sz val="10"/>
      <color theme="1"/>
      <name val="Calibri"/>
      <family val="2"/>
      <charset val="204"/>
    </font>
    <font>
      <sz val="10"/>
      <name val="Arial Cyr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u/>
      <sz val="11"/>
      <color theme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8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i/>
      <sz val="9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color rgb="FFFF000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sz val="22"/>
      <color rgb="FFFF0000"/>
      <name val="Calibri"/>
      <family val="2"/>
      <charset val="204"/>
      <scheme val="minor"/>
    </font>
    <font>
      <sz val="10"/>
      <name val="Arial Cyr"/>
    </font>
    <font>
      <b/>
      <i/>
      <sz val="18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i/>
      <sz val="9"/>
      <color theme="0" tint="-0.499984740745262"/>
      <name val="Calibri"/>
      <family val="2"/>
      <charset val="204"/>
      <scheme val="minor"/>
    </font>
    <font>
      <i/>
      <sz val="10"/>
      <name val="Calibri"/>
      <family val="2"/>
      <charset val="204"/>
      <scheme val="minor"/>
    </font>
    <font>
      <b/>
      <i/>
      <sz val="18"/>
      <name val="Arial Cyr"/>
      <charset val="204"/>
    </font>
    <font>
      <sz val="10"/>
      <color rgb="FFFF0000"/>
      <name val="Arial Cyr"/>
    </font>
    <font>
      <sz val="10"/>
      <color theme="3" tint="0.39997558519241921"/>
      <name val="Arial Cyr"/>
    </font>
    <font>
      <b/>
      <i/>
      <sz val="10"/>
      <name val="Arial Cyr"/>
      <charset val="204"/>
    </font>
    <font>
      <sz val="10"/>
      <name val="Times New Roman"/>
      <family val="1"/>
      <charset val="204"/>
    </font>
    <font>
      <sz val="10"/>
      <color rgb="FF7030A0"/>
      <name val="Arial Cyr"/>
    </font>
    <font>
      <b/>
      <sz val="24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vertAlign val="superscript"/>
      <sz val="10"/>
      <color theme="1"/>
      <name val="Calibri"/>
      <family val="2"/>
      <charset val="204"/>
      <scheme val="minor"/>
    </font>
    <font>
      <sz val="8"/>
      <color rgb="FF00B050"/>
      <name val="Arial Cyr"/>
    </font>
    <font>
      <b/>
      <sz val="16"/>
      <color theme="1"/>
      <name val="Calibri"/>
      <family val="2"/>
      <charset val="204"/>
      <scheme val="minor"/>
    </font>
    <font>
      <i/>
      <sz val="10"/>
      <color theme="0" tint="-0.49998474074526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sz val="10"/>
      <color theme="1" tint="4.9989318521683403E-2"/>
      <name val="Calibri"/>
      <family val="2"/>
      <charset val="204"/>
      <scheme val="minor"/>
    </font>
    <font>
      <b/>
      <i/>
      <sz val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6"/>
      <color theme="1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i/>
      <sz val="12"/>
      <name val="Calibri"/>
      <family val="2"/>
      <charset val="204"/>
      <scheme val="minor"/>
    </font>
    <font>
      <u/>
      <sz val="10"/>
      <color theme="10"/>
      <name val="Arial Cyr"/>
    </font>
    <font>
      <sz val="16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20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sz val="48"/>
      <color rgb="FFAE9675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sz val="10"/>
      <color theme="0" tint="-0.499984740745262"/>
      <name val="Calibri"/>
      <family val="2"/>
      <charset val="204"/>
      <scheme val="minor"/>
    </font>
    <font>
      <b/>
      <sz val="9"/>
      <color theme="0" tint="-0.499984740745262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b/>
      <i/>
      <sz val="11"/>
      <color rgb="FFFF0000"/>
      <name val="Calibri"/>
      <family val="2"/>
      <charset val="204"/>
      <scheme val="minor"/>
    </font>
    <font>
      <sz val="11"/>
      <color theme="0" tint="-0.34998626667073579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8"/>
      <name val="Calibri"/>
      <family val="2"/>
      <charset val="204"/>
      <scheme val="minor"/>
    </font>
    <font>
      <sz val="9"/>
      <color theme="1" tint="4.9989318521683403E-2"/>
      <name val="Calibri"/>
      <family val="2"/>
      <charset val="204"/>
      <scheme val="minor"/>
    </font>
    <font>
      <sz val="8"/>
      <name val="Arial Cyr"/>
    </font>
    <font>
      <sz val="10"/>
      <color rgb="FF7030A0"/>
      <name val="Calibri"/>
      <family val="2"/>
      <charset val="204"/>
      <scheme val="minor"/>
    </font>
    <font>
      <sz val="8"/>
      <color rgb="FF7030A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b/>
      <sz val="18"/>
      <name val="Calibri"/>
      <family val="2"/>
      <charset val="204"/>
      <scheme val="minor"/>
    </font>
    <font>
      <sz val="9"/>
      <name val="Arial Cyr"/>
    </font>
    <font>
      <i/>
      <sz val="8"/>
      <name val="Calibri"/>
      <family val="2"/>
      <charset val="204"/>
      <scheme val="minor"/>
    </font>
    <font>
      <sz val="11"/>
      <color indexed="8"/>
      <name val="宋体"/>
      <charset val="134"/>
    </font>
    <font>
      <sz val="11"/>
      <color indexed="9"/>
      <name val="Calibri"/>
      <family val="2"/>
      <charset val="204"/>
    </font>
    <font>
      <sz val="11"/>
      <color indexed="9"/>
      <name val="宋体"/>
      <charset val="13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2"/>
      <name val="宋体"/>
      <charset val="13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u/>
      <sz val="10"/>
      <color indexed="12"/>
      <name val="Arial Cyr"/>
      <family val="2"/>
      <charset val="204"/>
    </font>
    <font>
      <u/>
      <sz val="10"/>
      <color indexed="12"/>
      <name val="Arial"/>
      <family val="2"/>
      <charset val="204"/>
    </font>
    <font>
      <sz val="10"/>
      <name val="Arial"/>
      <family val="2"/>
      <charset val="177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u/>
      <sz val="11"/>
      <color theme="10"/>
      <name val="Calibri"/>
      <family val="2"/>
      <charset val="204"/>
    </font>
    <font>
      <b/>
      <u/>
      <sz val="14"/>
      <color theme="6" tint="-0.249977111117893"/>
      <name val="Calibri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i/>
      <sz val="12"/>
      <name val="Calibri"/>
      <family val="2"/>
      <charset val="204"/>
      <scheme val="minor"/>
    </font>
    <font>
      <b/>
      <sz val="10"/>
      <name val="Arial Cyr"/>
    </font>
    <font>
      <i/>
      <sz val="10"/>
      <name val="Arial Cyr"/>
      <charset val="204"/>
    </font>
    <font>
      <sz val="10"/>
      <color theme="1"/>
      <name val="Calibri"/>
      <family val="2"/>
      <scheme val="minor"/>
    </font>
    <font>
      <sz val="14"/>
      <name val="Arial Cyr"/>
    </font>
    <font>
      <i/>
      <sz val="10"/>
      <name val="Arial Cyr"/>
    </font>
    <font>
      <i/>
      <sz val="20"/>
      <color theme="1"/>
      <name val="Calibri"/>
      <family val="2"/>
      <charset val="204"/>
      <scheme val="minor"/>
    </font>
    <font>
      <i/>
      <vertAlign val="superscript"/>
      <sz val="20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u/>
      <sz val="11"/>
      <color theme="6" tint="-0.249977111117893"/>
      <name val="Calibri"/>
      <family val="2"/>
      <charset val="204"/>
    </font>
    <font>
      <u/>
      <sz val="11"/>
      <color theme="6" tint="-0.249977111117893"/>
      <name val="Calibri"/>
      <family val="2"/>
      <charset val="204"/>
    </font>
    <font>
      <b/>
      <u/>
      <sz val="12"/>
      <color theme="6" tint="-0.249977111117893"/>
      <name val="Calibri"/>
      <family val="2"/>
      <charset val="204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i/>
      <sz val="10"/>
      <color theme="6" tint="-0.499984740745262"/>
      <name val="Calibri"/>
      <family val="2"/>
      <charset val="204"/>
      <scheme val="minor"/>
    </font>
    <font>
      <sz val="8"/>
      <color theme="0" tint="-0.499984740745262"/>
      <name val="Calibri"/>
      <family val="2"/>
      <charset val="204"/>
      <scheme val="minor"/>
    </font>
    <font>
      <b/>
      <sz val="10"/>
      <color theme="0" tint="-0.499984740745262"/>
      <name val="Calibri"/>
      <family val="2"/>
      <charset val="204"/>
      <scheme val="minor"/>
    </font>
    <font>
      <i/>
      <sz val="8"/>
      <color theme="0" tint="-0.499984740745262"/>
      <name val="Calibri"/>
      <family val="2"/>
      <charset val="204"/>
      <scheme val="minor"/>
    </font>
    <font>
      <sz val="20"/>
      <name val="Arial Cyr"/>
    </font>
    <font>
      <i/>
      <sz val="11"/>
      <color theme="0" tint="-0.499984740745262"/>
      <name val="Calibri"/>
      <family val="2"/>
      <charset val="204"/>
      <scheme val="minor"/>
    </font>
    <font>
      <sz val="12"/>
      <color theme="4" tint="-0.249977111117893"/>
      <name val="Calibri"/>
      <family val="2"/>
      <charset val="204"/>
      <scheme val="minor"/>
    </font>
    <font>
      <sz val="12"/>
      <color rgb="FF00B050"/>
      <name val="Calibri"/>
      <family val="2"/>
      <charset val="204"/>
      <scheme val="minor"/>
    </font>
    <font>
      <b/>
      <u/>
      <sz val="10"/>
      <name val="Arial Cyr"/>
      <charset val="204"/>
    </font>
    <font>
      <sz val="9"/>
      <color theme="0" tint="-0.499984740745262"/>
      <name val="Calibri"/>
      <family val="2"/>
      <charset val="204"/>
      <scheme val="minor"/>
    </font>
    <font>
      <sz val="10"/>
      <color theme="6" tint="-0.249977111117893"/>
      <name val="Calibri"/>
      <family val="2"/>
      <charset val="204"/>
      <scheme val="minor"/>
    </font>
    <font>
      <i/>
      <sz val="9"/>
      <color theme="0" tint="-0.34998626667073579"/>
      <name val="Calibri"/>
      <family val="2"/>
      <charset val="204"/>
      <scheme val="minor"/>
    </font>
    <font>
      <i/>
      <sz val="10"/>
      <color theme="0" tint="-0.34998626667073579"/>
      <name val="Calibri"/>
      <family val="2"/>
      <charset val="204"/>
      <scheme val="minor"/>
    </font>
    <font>
      <sz val="11"/>
      <color theme="0" tint="-0.249977111117893"/>
      <name val="Calibri"/>
      <family val="2"/>
      <charset val="204"/>
      <scheme val="minor"/>
    </font>
    <font>
      <i/>
      <sz val="11"/>
      <color theme="0" tint="-0.249977111117893"/>
      <name val="Calibri"/>
      <family val="2"/>
      <charset val="204"/>
      <scheme val="minor"/>
    </font>
    <font>
      <sz val="10"/>
      <color theme="0" tint="-0.249977111117893"/>
      <name val="Calibri"/>
      <family val="2"/>
      <charset val="204"/>
      <scheme val="minor"/>
    </font>
    <font>
      <sz val="10"/>
      <color theme="3" tint="0.39997558519241921"/>
      <name val="Calibri"/>
      <family val="2"/>
      <charset val="204"/>
      <scheme val="minor"/>
    </font>
    <font>
      <b/>
      <sz val="11"/>
      <color theme="3" tint="0.39997558519241921"/>
      <name val="Calibri"/>
      <family val="2"/>
      <charset val="204"/>
      <scheme val="minor"/>
    </font>
    <font>
      <sz val="11"/>
      <color theme="3" tint="0.39997558519241921"/>
      <name val="Calibri"/>
      <family val="2"/>
      <charset val="204"/>
      <scheme val="minor"/>
    </font>
    <font>
      <sz val="11"/>
      <color theme="3" tint="0.39997558519241921"/>
      <name val="Calibri"/>
      <family val="2"/>
      <scheme val="minor"/>
    </font>
    <font>
      <sz val="12"/>
      <color theme="4"/>
      <name val="Calibri"/>
      <family val="2"/>
      <charset val="204"/>
      <scheme val="minor"/>
    </font>
    <font>
      <vertAlign val="superscript"/>
      <sz val="9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u/>
      <sz val="9"/>
      <name val="Calibri"/>
      <family val="2"/>
      <charset val="204"/>
      <scheme val="minor"/>
    </font>
    <font>
      <b/>
      <sz val="10"/>
      <color theme="0" tint="-0.249977111117893"/>
      <name val="Calibri"/>
      <family val="2"/>
      <charset val="204"/>
      <scheme val="minor"/>
    </font>
    <font>
      <i/>
      <sz val="8"/>
      <color theme="0" tint="-0.249977111117893"/>
      <name val="Calibri"/>
      <family val="2"/>
      <charset val="204"/>
      <scheme val="minor"/>
    </font>
    <font>
      <b/>
      <sz val="11"/>
      <color theme="0" tint="-0.249977111117893"/>
      <name val="Calibri"/>
      <family val="2"/>
      <charset val="204"/>
      <scheme val="minor"/>
    </font>
    <font>
      <sz val="8"/>
      <name val="Arial"/>
      <family val="2"/>
      <charset val="204"/>
    </font>
    <font>
      <u/>
      <sz val="10"/>
      <color theme="10"/>
      <name val="Arial Cyr"/>
      <charset val="204"/>
    </font>
    <font>
      <sz val="10"/>
      <name val="Arial Cyr"/>
      <charset val="204"/>
    </font>
    <font>
      <b/>
      <vertAlign val="superscript"/>
      <sz val="11"/>
      <name val="Calibri"/>
      <family val="2"/>
      <charset val="204"/>
      <scheme val="minor"/>
    </font>
    <font>
      <sz val="8"/>
      <name val="Arial"/>
      <family val="2"/>
      <charset val="1"/>
    </font>
    <font>
      <u/>
      <sz val="8"/>
      <color indexed="12"/>
      <name val="Arial"/>
      <family val="2"/>
      <charset val="1"/>
    </font>
    <font>
      <sz val="8"/>
      <color theme="1"/>
      <name val="Calibri"/>
      <family val="2"/>
      <scheme val="minor"/>
    </font>
    <font>
      <i/>
      <sz val="12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b/>
      <sz val="10"/>
      <color rgb="FF000000"/>
      <name val="Calibri"/>
      <family val="2"/>
      <charset val="204"/>
    </font>
    <font>
      <sz val="10"/>
      <color rgb="FF000000"/>
      <name val="Calibri"/>
      <family val="2"/>
      <charset val="204"/>
    </font>
    <font>
      <b/>
      <sz val="11"/>
      <name val="Calibri"/>
      <family val="2"/>
      <charset val="204"/>
    </font>
    <font>
      <sz val="10"/>
      <name val="Calibri"/>
      <family val="2"/>
      <charset val="204"/>
    </font>
    <font>
      <b/>
      <sz val="10"/>
      <name val="Calibri"/>
      <family val="2"/>
      <charset val="204"/>
    </font>
    <font>
      <sz val="9"/>
      <name val="Calibri"/>
      <family val="2"/>
      <charset val="204"/>
    </font>
    <font>
      <b/>
      <sz val="9"/>
      <name val="Calibri"/>
      <family val="2"/>
      <charset val="204"/>
    </font>
    <font>
      <sz val="11"/>
      <name val="Calibri"/>
      <family val="2"/>
      <charset val="204"/>
    </font>
    <font>
      <b/>
      <sz val="11"/>
      <color rgb="FF000000"/>
      <name val="Calibri"/>
      <family val="2"/>
      <charset val="204"/>
    </font>
    <font>
      <b/>
      <sz val="10"/>
      <name val="Arial"/>
      <family val="2"/>
      <charset val="204"/>
    </font>
    <font>
      <strike/>
      <sz val="10"/>
      <name val="Calibri"/>
      <family val="2"/>
      <charset val="204"/>
    </font>
    <font>
      <sz val="8"/>
      <color rgb="FF000000"/>
      <name val="Arial"/>
      <family val="2"/>
    </font>
    <font>
      <sz val="8"/>
      <color theme="1"/>
      <name val="Arial"/>
      <family val="2"/>
      <charset val="204"/>
    </font>
    <font>
      <b/>
      <i/>
      <sz val="11"/>
      <color rgb="FF000000"/>
      <name val="Calibri"/>
      <family val="2"/>
      <charset val="204"/>
    </font>
    <font>
      <sz val="8"/>
      <color rgb="FF000000"/>
      <name val="Arial"/>
      <family val="2"/>
      <charset val="204"/>
    </font>
    <font>
      <sz val="12"/>
      <name val="Calibri"/>
      <family val="2"/>
      <charset val="204"/>
    </font>
    <font>
      <sz val="11"/>
      <color rgb="FFFF0000"/>
      <name val="Calibri"/>
      <family val="2"/>
      <charset val="204"/>
    </font>
    <font>
      <sz val="10"/>
      <name val="Arial"/>
      <family val="2"/>
    </font>
    <font>
      <b/>
      <sz val="12"/>
      <name val="Calibri"/>
      <family val="2"/>
      <charset val="204"/>
    </font>
    <font>
      <sz val="8"/>
      <color rgb="FFFF0000"/>
      <name val="Arial"/>
      <family val="2"/>
      <charset val="204"/>
    </font>
    <font>
      <b/>
      <sz val="12"/>
      <color rgb="FF000000"/>
      <name val="Calibri"/>
      <family val="2"/>
      <charset val="204"/>
    </font>
    <font>
      <i/>
      <sz val="6"/>
      <color theme="1"/>
      <name val="Calibri"/>
      <family val="2"/>
      <charset val="204"/>
      <scheme val="minor"/>
    </font>
    <font>
      <sz val="11"/>
      <color theme="2" tint="-0.499984740745262"/>
      <name val="Calibri"/>
      <family val="2"/>
      <charset val="204"/>
      <scheme val="minor"/>
    </font>
    <font>
      <sz val="10"/>
      <color theme="2" tint="-0.499984740745262"/>
      <name val="Calibri"/>
      <family val="2"/>
      <charset val="204"/>
      <scheme val="minor"/>
    </font>
    <font>
      <sz val="8"/>
      <color theme="2" tint="-0.499984740745262"/>
      <name val="Calibri"/>
      <family val="2"/>
      <charset val="204"/>
      <scheme val="minor"/>
    </font>
    <font>
      <b/>
      <sz val="11"/>
      <color theme="2" tint="-0.499984740745262"/>
      <name val="Calibri"/>
      <family val="2"/>
      <charset val="204"/>
      <scheme val="minor"/>
    </font>
    <font>
      <i/>
      <sz val="6"/>
      <color theme="2" tint="-0.499984740745262"/>
      <name val="Calibri"/>
      <family val="2"/>
      <charset val="204"/>
      <scheme val="minor"/>
    </font>
    <font>
      <b/>
      <sz val="10"/>
      <color theme="2" tint="-0.499984740745262"/>
      <name val="Calibri"/>
      <family val="2"/>
      <charset val="204"/>
      <scheme val="minor"/>
    </font>
    <font>
      <b/>
      <sz val="10"/>
      <color theme="6" tint="-0.249977111117893"/>
      <name val="Calibri"/>
      <family val="2"/>
      <charset val="204"/>
      <scheme val="minor"/>
    </font>
    <font>
      <b/>
      <sz val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i/>
      <sz val="6"/>
      <color theme="1"/>
      <name val="Calibri"/>
      <family val="2"/>
      <charset val="204"/>
      <scheme val="minor"/>
    </font>
    <font>
      <b/>
      <sz val="10"/>
      <color indexed="8"/>
      <name val="Times New Roman"/>
      <family val="1"/>
      <charset val="204"/>
    </font>
    <font>
      <b/>
      <sz val="9"/>
      <name val="Arial Cyr"/>
    </font>
    <font>
      <vertAlign val="superscript"/>
      <sz val="9"/>
      <color theme="1"/>
      <name val="Calibri"/>
      <family val="2"/>
      <charset val="204"/>
      <scheme val="minor"/>
    </font>
    <font>
      <b/>
      <u/>
      <sz val="12"/>
      <name val="Calibri"/>
      <family val="2"/>
      <charset val="204"/>
      <scheme val="minor"/>
    </font>
    <font>
      <b/>
      <i/>
      <sz val="18"/>
      <color rgb="FFFF0000"/>
      <name val="Calibri"/>
      <family val="2"/>
      <charset val="204"/>
      <scheme val="minor"/>
    </font>
    <font>
      <sz val="8"/>
      <color theme="1"/>
      <name val="Montserrat"/>
      <family val="3"/>
    </font>
    <font>
      <i/>
      <sz val="8"/>
      <color theme="1"/>
      <name val="Montserrat"/>
      <family val="3"/>
    </font>
    <font>
      <b/>
      <sz val="11"/>
      <color rgb="FFFFFFFF"/>
      <name val="Montserrat"/>
      <family val="3"/>
    </font>
    <font>
      <sz val="8"/>
      <color rgb="FF000000"/>
      <name val="Montserrat"/>
      <family val="3"/>
    </font>
    <font>
      <sz val="9"/>
      <color rgb="FF000000"/>
      <name val="Montserrat"/>
      <family val="3"/>
    </font>
    <font>
      <b/>
      <sz val="9"/>
      <color rgb="FF000000"/>
      <name val="Montserrat"/>
      <family val="3"/>
    </font>
    <font>
      <b/>
      <sz val="9"/>
      <color rgb="FF4472C4"/>
      <name val="Montserrat"/>
      <family val="3"/>
    </font>
    <font>
      <b/>
      <sz val="9"/>
      <color rgb="FFFF0000"/>
      <name val="Montserrat"/>
      <family val="3"/>
    </font>
    <font>
      <b/>
      <sz val="9"/>
      <color theme="6" tint="-0.249977111117893"/>
      <name val="Montserrat"/>
      <family val="3"/>
    </font>
    <font>
      <sz val="18"/>
      <name val="Arial"/>
      <family val="2"/>
      <charset val="204"/>
    </font>
    <font>
      <sz val="10"/>
      <color rgb="FF000000"/>
      <name val="Montserrat"/>
      <family val="3"/>
    </font>
    <font>
      <sz val="11"/>
      <color theme="6" tint="-0.249977111117893"/>
      <name val="Calibri"/>
      <family val="2"/>
      <charset val="204"/>
      <scheme val="minor"/>
    </font>
    <font>
      <b/>
      <sz val="11"/>
      <color theme="6" tint="-0.249977111117893"/>
      <name val="Calibri"/>
      <family val="2"/>
      <charset val="204"/>
      <scheme val="minor"/>
    </font>
    <font>
      <sz val="11"/>
      <color rgb="FF000000"/>
      <name val="Montserrat"/>
      <family val="3"/>
    </font>
    <font>
      <b/>
      <sz val="9"/>
      <color rgb="FFC00000"/>
      <name val="Montserrat"/>
      <family val="3"/>
    </font>
    <font>
      <sz val="9"/>
      <color rgb="FF000000"/>
      <name val="Calibri"/>
      <family val="2"/>
      <charset val="204"/>
    </font>
    <font>
      <b/>
      <u/>
      <sz val="14"/>
      <name val="Calibri"/>
      <family val="2"/>
      <charset val="204"/>
    </font>
    <font>
      <sz val="12"/>
      <color theme="6" tint="0.79998168889431442"/>
      <name val="Calibri"/>
      <family val="2"/>
      <charset val="204"/>
      <scheme val="minor"/>
    </font>
    <font>
      <sz val="12"/>
      <color theme="0"/>
      <name val="Calibri"/>
      <family val="2"/>
      <charset val="204"/>
      <scheme val="minor"/>
    </font>
    <font>
      <b/>
      <u/>
      <sz val="14"/>
      <color theme="1"/>
      <name val="Calibri"/>
      <family val="2"/>
      <charset val="204"/>
    </font>
    <font>
      <b/>
      <u/>
      <sz val="11"/>
      <color theme="1"/>
      <name val="Calibri"/>
      <family val="2"/>
      <charset val="204"/>
    </font>
    <font>
      <sz val="10"/>
      <color theme="1"/>
      <name val="Arial Cyr"/>
    </font>
    <font>
      <b/>
      <i/>
      <sz val="18"/>
      <color theme="1"/>
      <name val="Calibri"/>
      <family val="2"/>
      <charset val="204"/>
      <scheme val="minor"/>
    </font>
    <font>
      <b/>
      <i/>
      <sz val="18"/>
      <color theme="1"/>
      <name val="Arial Cyr"/>
      <charset val="204"/>
    </font>
    <font>
      <b/>
      <sz val="24"/>
      <color theme="1"/>
      <name val="Calibri"/>
      <family val="2"/>
      <charset val="204"/>
      <scheme val="minor"/>
    </font>
    <font>
      <b/>
      <u/>
      <sz val="12"/>
      <color theme="1"/>
      <name val="Calibri"/>
      <family val="2"/>
      <charset val="204"/>
    </font>
    <font>
      <b/>
      <u/>
      <sz val="11"/>
      <name val="Calibri"/>
      <family val="2"/>
      <charset val="204"/>
    </font>
    <font>
      <sz val="11"/>
      <name val="Calibri"/>
      <family val="2"/>
      <scheme val="minor"/>
    </font>
    <font>
      <b/>
      <u/>
      <sz val="11"/>
      <name val="Calibri"/>
      <family val="2"/>
    </font>
    <font>
      <vertAlign val="superscript"/>
      <sz val="11"/>
      <name val="Calibri"/>
      <family val="2"/>
      <charset val="204"/>
      <scheme val="minor"/>
    </font>
    <font>
      <b/>
      <sz val="14"/>
      <color theme="1"/>
      <name val="Calibri"/>
      <family val="2"/>
      <charset val="204"/>
    </font>
    <font>
      <vertAlign val="superscript"/>
      <sz val="10"/>
      <name val="Calibri"/>
      <family val="2"/>
      <charset val="204"/>
      <scheme val="minor"/>
    </font>
    <font>
      <i/>
      <sz val="14"/>
      <color theme="1"/>
      <name val="Calibri"/>
      <family val="2"/>
      <charset val="204"/>
      <scheme val="minor"/>
    </font>
    <font>
      <b/>
      <i/>
      <sz val="20"/>
      <color theme="1"/>
      <name val="Calibri"/>
      <family val="2"/>
      <charset val="204"/>
      <scheme val="minor"/>
    </font>
    <font>
      <i/>
      <vertAlign val="superscript"/>
      <sz val="14"/>
      <color theme="1"/>
      <name val="Calibri"/>
      <family val="2"/>
      <charset val="204"/>
      <scheme val="minor"/>
    </font>
    <font>
      <b/>
      <sz val="20"/>
      <color theme="2" tint="-0.249977111117893"/>
      <name val="Calibri"/>
      <family val="2"/>
      <charset val="204"/>
      <scheme val="minor"/>
    </font>
    <font>
      <vertAlign val="superscript"/>
      <sz val="11"/>
      <color theme="1"/>
      <name val="Calibri"/>
      <family val="2"/>
      <charset val="204"/>
      <scheme val="minor"/>
    </font>
    <font>
      <sz val="11"/>
      <color theme="0" tint="-0.499984740745262"/>
      <name val="Calibri"/>
      <family val="2"/>
      <charset val="204"/>
      <scheme val="minor"/>
    </font>
    <font>
      <b/>
      <sz val="9"/>
      <color theme="0"/>
      <name val="Calibri"/>
      <family val="2"/>
      <charset val="204"/>
      <scheme val="minor"/>
    </font>
    <font>
      <i/>
      <sz val="11"/>
      <color rgb="FFFF0000"/>
      <name val="Calibri"/>
      <family val="2"/>
      <charset val="204"/>
      <scheme val="minor"/>
    </font>
    <font>
      <b/>
      <i/>
      <sz val="9"/>
      <name val="Calibri"/>
      <family val="2"/>
      <charset val="204"/>
      <scheme val="minor"/>
    </font>
    <font>
      <sz val="12"/>
      <color theme="0" tint="-0.34998626667073579"/>
      <name val="Calibri"/>
      <family val="2"/>
      <charset val="204"/>
      <scheme val="minor"/>
    </font>
    <font>
      <b/>
      <i/>
      <u/>
      <sz val="11"/>
      <color theme="0" tint="-0.499984740745262"/>
      <name val="Calibri"/>
      <family val="2"/>
      <charset val="204"/>
    </font>
    <font>
      <b/>
      <sz val="10"/>
      <name val="Arial Cyr"/>
      <charset val="204"/>
    </font>
    <font>
      <b/>
      <sz val="14"/>
      <color theme="3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b/>
      <sz val="10"/>
      <color theme="1" tint="4.9989318521683403E-2"/>
      <name val="Calibri"/>
      <family val="2"/>
      <charset val="204"/>
      <scheme val="minor"/>
    </font>
    <font>
      <sz val="11"/>
      <color rgb="FF0070C0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sz val="10"/>
      <color rgb="FF0070C0"/>
      <name val="Calibri"/>
      <family val="2"/>
      <charset val="204"/>
      <scheme val="minor"/>
    </font>
    <font>
      <b/>
      <sz val="11"/>
      <color rgb="FF0070C0"/>
      <name val="Calibri"/>
      <family val="2"/>
      <charset val="204"/>
      <scheme val="minor"/>
    </font>
    <font>
      <b/>
      <sz val="10"/>
      <color rgb="FF0070C0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9"/>
      <color rgb="FF0070C0"/>
      <name val="Calibri"/>
      <family val="2"/>
      <charset val="204"/>
      <scheme val="minor"/>
    </font>
    <font>
      <i/>
      <sz val="9"/>
      <color rgb="FF0070C0"/>
      <name val="Calibri"/>
      <family val="2"/>
      <charset val="204"/>
      <scheme val="minor"/>
    </font>
    <font>
      <sz val="10"/>
      <color rgb="FF0070C0"/>
      <name val="Arial Cyr"/>
    </font>
    <font>
      <sz val="11"/>
      <color theme="0" tint="-0.14999847407452621"/>
      <name val="Calibri"/>
      <family val="2"/>
      <charset val="204"/>
      <scheme val="minor"/>
    </font>
    <font>
      <i/>
      <sz val="11"/>
      <color rgb="FF0070C0"/>
      <name val="Calibri"/>
      <family val="2"/>
      <charset val="204"/>
      <scheme val="minor"/>
    </font>
    <font>
      <i/>
      <sz val="20"/>
      <color rgb="FF0070C0"/>
      <name val="Calibri"/>
      <family val="2"/>
      <charset val="204"/>
      <scheme val="minor"/>
    </font>
    <font>
      <i/>
      <vertAlign val="superscript"/>
      <sz val="20"/>
      <color rgb="FF0070C0"/>
      <name val="Calibri"/>
      <family val="2"/>
      <charset val="204"/>
      <scheme val="minor"/>
    </font>
    <font>
      <sz val="14"/>
      <color rgb="FF0070C0"/>
      <name val="Calibri"/>
      <family val="2"/>
      <charset val="204"/>
      <scheme val="minor"/>
    </font>
    <font>
      <sz val="14"/>
      <color rgb="FF0070C0"/>
      <name val="Arial Cyr"/>
    </font>
    <font>
      <sz val="9"/>
      <color theme="5"/>
      <name val="Montserrat"/>
      <family val="3"/>
    </font>
    <font>
      <sz val="8"/>
      <color theme="5"/>
      <name val="Montserrat"/>
      <family val="3"/>
    </font>
    <font>
      <b/>
      <sz val="11"/>
      <color theme="0" tint="-0.499984740745262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u/>
      <sz val="20"/>
      <color theme="10"/>
      <name val="Calibri"/>
      <family val="2"/>
      <charset val="204"/>
      <scheme val="minor"/>
    </font>
    <font>
      <sz val="20"/>
      <color rgb="FFFF0000"/>
      <name val="Calibri"/>
      <family val="2"/>
      <charset val="204"/>
      <scheme val="minor"/>
    </font>
    <font>
      <sz val="10"/>
      <color rgb="FFFF0000"/>
      <name val="Arial Cyr"/>
      <charset val="204"/>
    </font>
    <font>
      <sz val="12"/>
      <name val="Arial"/>
      <family val="2"/>
      <charset val="204"/>
    </font>
    <font>
      <u/>
      <sz val="10"/>
      <color theme="10"/>
      <name val="Calibri"/>
      <family val="2"/>
      <charset val="204"/>
    </font>
    <font>
      <b/>
      <sz val="14"/>
      <color theme="3" tint="0.39997558519241921"/>
      <name val="Calibri"/>
      <family val="2"/>
      <charset val="204"/>
      <scheme val="minor"/>
    </font>
    <font>
      <sz val="11"/>
      <color rgb="FF00B0F0"/>
      <name val="Calibri"/>
      <family val="2"/>
      <charset val="204"/>
      <scheme val="minor"/>
    </font>
    <font>
      <sz val="9"/>
      <color rgb="FFFF0000"/>
      <name val="Montserrat"/>
      <family val="3"/>
    </font>
    <font>
      <b/>
      <sz val="7"/>
      <color theme="1"/>
      <name val="Calibri"/>
      <family val="2"/>
      <charset val="204"/>
      <scheme val="minor"/>
    </font>
    <font>
      <b/>
      <vertAlign val="superscript"/>
      <sz val="8"/>
      <color theme="1"/>
      <name val="Calibri"/>
      <family val="2"/>
      <charset val="204"/>
      <scheme val="minor"/>
    </font>
    <font>
      <sz val="10"/>
      <color theme="0"/>
      <name val="Arial Cyr"/>
    </font>
    <font>
      <sz val="20"/>
      <name val="Calibri"/>
      <family val="2"/>
      <charset val="204"/>
    </font>
    <font>
      <b/>
      <sz val="20"/>
      <name val="Calibri"/>
      <family val="2"/>
      <charset val="204"/>
    </font>
    <font>
      <sz val="8"/>
      <color rgb="FFC00000"/>
      <name val="Calibri"/>
      <family val="2"/>
      <charset val="204"/>
      <scheme val="minor"/>
    </font>
    <font>
      <sz val="9"/>
      <color theme="3" tint="0.39997558519241921"/>
      <name val="Calibri"/>
      <family val="2"/>
      <charset val="204"/>
      <scheme val="minor"/>
    </font>
    <font>
      <sz val="8"/>
      <color theme="3" tint="0.39997558519241921"/>
      <name val="Calibri"/>
      <family val="2"/>
      <charset val="204"/>
      <scheme val="minor"/>
    </font>
    <font>
      <b/>
      <sz val="9"/>
      <color rgb="FFC00000"/>
      <name val="Calibri"/>
      <family val="2"/>
      <charset val="204"/>
      <scheme val="minor"/>
    </font>
    <font>
      <b/>
      <sz val="10"/>
      <color rgb="FFC00000"/>
      <name val="Calibri"/>
      <family val="2"/>
      <charset val="204"/>
      <scheme val="minor"/>
    </font>
    <font>
      <sz val="10"/>
      <color rgb="FFC00000"/>
      <name val="Calibri"/>
      <family val="2"/>
      <charset val="204"/>
      <scheme val="minor"/>
    </font>
    <font>
      <sz val="20"/>
      <color theme="1"/>
      <name val="Calibri"/>
      <family val="2"/>
      <charset val="204"/>
    </font>
    <font>
      <b/>
      <sz val="20"/>
      <color theme="1"/>
      <name val="Calibri"/>
      <family val="2"/>
      <charset val="204"/>
    </font>
  </fonts>
  <fills count="9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55"/>
        <bgColor indexed="23"/>
      </patternFill>
    </fill>
    <fill>
      <patternFill patternType="solid">
        <fgColor indexed="26"/>
        <bgColor indexed="9"/>
      </patternFill>
    </fill>
    <fill>
      <patternFill patternType="solid">
        <fgColor indexed="22"/>
        <bgColor indexed="31"/>
      </patternFill>
    </fill>
    <fill>
      <patternFill patternType="solid">
        <fgColor indexed="43"/>
        <bgColor indexed="26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C9C9C9"/>
        <bgColor rgb="FFB4C7E7"/>
      </patternFill>
    </fill>
    <fill>
      <patternFill patternType="solid">
        <fgColor rgb="FFFBE5D6"/>
        <bgColor rgb="FFFFF2CC"/>
      </patternFill>
    </fill>
    <fill>
      <patternFill patternType="solid">
        <fgColor rgb="FFFFF2CC"/>
        <bgColor rgb="FFFBE5D6"/>
      </patternFill>
    </fill>
    <fill>
      <patternFill patternType="solid">
        <fgColor rgb="FFFFD966"/>
        <bgColor rgb="FFFFFF99"/>
      </patternFill>
    </fill>
    <fill>
      <patternFill patternType="solid">
        <fgColor rgb="FFDEEBF7"/>
        <bgColor rgb="FFDAE3F3"/>
      </patternFill>
    </fill>
    <fill>
      <patternFill patternType="solid">
        <fgColor rgb="FF00B0F0"/>
        <bgColor rgb="FF33CCCC"/>
      </patternFill>
    </fill>
    <fill>
      <patternFill patternType="solid">
        <fgColor rgb="FFE2F0D9"/>
        <bgColor rgb="FFDEEBF7"/>
      </patternFill>
    </fill>
    <fill>
      <patternFill patternType="solid">
        <fgColor rgb="FFFFFF00"/>
        <bgColor rgb="FFFFFF00"/>
      </patternFill>
    </fill>
    <fill>
      <patternFill patternType="solid">
        <fgColor rgb="FFDAE3F3"/>
        <bgColor rgb="FFDEEBF7"/>
      </patternFill>
    </fill>
    <fill>
      <patternFill patternType="solid">
        <fgColor rgb="FFFFCCFF"/>
        <bgColor rgb="FFFBE5D6"/>
      </patternFill>
    </fill>
    <fill>
      <patternFill patternType="solid">
        <fgColor theme="5" tint="-0.249977111117893"/>
        <bgColor rgb="FFB4C7E7"/>
      </patternFill>
    </fill>
    <fill>
      <patternFill patternType="solid">
        <fgColor theme="5" tint="-0.249977111117893"/>
        <bgColor rgb="FFFFF2CC"/>
      </patternFill>
    </fill>
    <fill>
      <patternFill patternType="solid">
        <fgColor theme="5" tint="-0.249977111117893"/>
        <bgColor rgb="FFFBE5D6"/>
      </patternFill>
    </fill>
    <fill>
      <patternFill patternType="solid">
        <fgColor theme="7" tint="0.79998168889431442"/>
        <bgColor rgb="FFC9C9C9"/>
      </patternFill>
    </fill>
    <fill>
      <patternFill patternType="solid">
        <fgColor theme="7" tint="0.79998168889431442"/>
        <bgColor rgb="FFFFFF00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39997558519241921"/>
        <bgColor indexed="26"/>
      </patternFill>
    </fill>
    <fill>
      <patternFill patternType="solid">
        <fgColor rgb="FF497052"/>
        <bgColor indexed="64"/>
      </patternFill>
    </fill>
    <fill>
      <patternFill patternType="solid">
        <fgColor rgb="FFC5E0B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9D18E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-0.499984740745262"/>
        <bgColor indexed="64"/>
      </patternFill>
    </fill>
  </fills>
  <borders count="236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tted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dotted">
        <color auto="1"/>
      </bottom>
      <diagonal/>
    </border>
    <border>
      <left/>
      <right/>
      <top style="thin">
        <color auto="1"/>
      </top>
      <bottom style="dotted">
        <color auto="1"/>
      </bottom>
      <diagonal/>
    </border>
    <border>
      <left/>
      <right style="thin">
        <color auto="1"/>
      </right>
      <top style="dotted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tted">
        <color auto="1"/>
      </bottom>
      <diagonal/>
    </border>
    <border>
      <left style="thin">
        <color auto="1"/>
      </left>
      <right/>
      <top style="dotted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dotted">
        <color auto="1"/>
      </bottom>
      <diagonal/>
    </border>
    <border>
      <left/>
      <right/>
      <top style="dotted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dotted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dotted">
        <color auto="1"/>
      </bottom>
      <diagonal/>
    </border>
    <border>
      <left/>
      <right style="thin">
        <color auto="1"/>
      </right>
      <top/>
      <bottom style="dott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dotted">
        <color indexed="64"/>
      </bottom>
      <diagonal/>
    </border>
    <border>
      <left style="thin">
        <color auto="1"/>
      </left>
      <right/>
      <top style="dotted">
        <color auto="1"/>
      </top>
      <bottom style="dotted">
        <color indexed="64"/>
      </bottom>
      <diagonal/>
    </border>
    <border>
      <left/>
      <right style="thin">
        <color auto="1"/>
      </right>
      <top style="dotted">
        <color auto="1"/>
      </top>
      <bottom style="dotted">
        <color indexed="64"/>
      </bottom>
      <diagonal/>
    </border>
    <border>
      <left/>
      <right/>
      <top style="dotted">
        <color auto="1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/>
      <diagonal/>
    </border>
    <border>
      <left style="thin">
        <color auto="1"/>
      </left>
      <right/>
      <top style="thin">
        <color auto="1"/>
      </top>
      <bottom style="dotted">
        <color auto="1"/>
      </bottom>
      <diagonal/>
    </border>
    <border>
      <left/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/>
      <top style="dotted">
        <color indexed="64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thin">
        <color auto="1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/>
      <top style="medium">
        <color rgb="FFFFFFFF"/>
      </top>
      <bottom style="thick">
        <color rgb="FFFFFFFF"/>
      </bottom>
      <diagonal/>
    </border>
    <border>
      <left/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auto="1"/>
      </top>
      <bottom style="dotted">
        <color auto="1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otted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dotted">
        <color auto="1"/>
      </top>
      <bottom style="dotted">
        <color indexed="64"/>
      </bottom>
      <diagonal/>
    </border>
    <border>
      <left style="thin">
        <color auto="1"/>
      </left>
      <right style="medium">
        <color indexed="64"/>
      </right>
      <top style="dotted">
        <color auto="1"/>
      </top>
      <bottom style="dotted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dotted">
        <color auto="1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/>
      <right style="medium">
        <color indexed="64"/>
      </right>
      <top/>
      <bottom style="dotted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dotted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indexed="64"/>
      </top>
      <bottom style="dotted">
        <color auto="1"/>
      </bottom>
      <diagonal/>
    </border>
    <border>
      <left/>
      <right/>
      <top style="thin">
        <color indexed="64"/>
      </top>
      <bottom style="dotted">
        <color auto="1"/>
      </bottom>
      <diagonal/>
    </border>
    <border>
      <left/>
      <right style="thin">
        <color auto="1"/>
      </right>
      <top style="thin">
        <color indexed="64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dotted">
        <color auto="1"/>
      </bottom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auto="1"/>
      </left>
      <right/>
      <top style="hair">
        <color indexed="64"/>
      </top>
      <bottom style="hair">
        <color indexed="64"/>
      </bottom>
      <diagonal/>
    </border>
    <border>
      <left style="thin">
        <color auto="1"/>
      </left>
      <right/>
      <top style="hair">
        <color indexed="64"/>
      </top>
      <bottom style="thin">
        <color auto="1"/>
      </bottom>
      <diagonal/>
    </border>
    <border>
      <left/>
      <right style="hair">
        <color indexed="64"/>
      </right>
      <top/>
      <bottom/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 style="thin">
        <color auto="1"/>
      </left>
      <right style="hair">
        <color indexed="64"/>
      </right>
      <top/>
      <bottom/>
      <diagonal/>
    </border>
    <border>
      <left style="thin">
        <color auto="1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auto="1"/>
      </bottom>
      <diagonal/>
    </border>
    <border>
      <left style="hair">
        <color indexed="64"/>
      </left>
      <right style="thin">
        <color auto="1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dotted">
        <color auto="1"/>
      </top>
      <bottom style="double">
        <color indexed="64"/>
      </bottom>
      <diagonal/>
    </border>
    <border>
      <left/>
      <right style="thin">
        <color auto="1"/>
      </right>
      <top style="dotted">
        <color auto="1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tted">
        <color indexed="64"/>
      </left>
      <right/>
      <top style="thin">
        <color auto="1"/>
      </top>
      <bottom style="thin">
        <color indexed="64"/>
      </bottom>
      <diagonal/>
    </border>
    <border>
      <left/>
      <right style="dotted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auto="1"/>
      </right>
      <top/>
      <bottom style="double">
        <color indexed="64"/>
      </bottom>
      <diagonal/>
    </border>
  </borders>
  <cellStyleXfs count="327">
    <xf numFmtId="0" fontId="0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5" fillId="0" borderId="0"/>
    <xf numFmtId="43" fontId="6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2" fillId="0" borderId="0"/>
    <xf numFmtId="0" fontId="6" fillId="0" borderId="0"/>
    <xf numFmtId="0" fontId="5" fillId="0" borderId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3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2" fillId="0" borderId="0"/>
    <xf numFmtId="0" fontId="6" fillId="0" borderId="0"/>
    <xf numFmtId="0" fontId="64" fillId="0" borderId="0"/>
    <xf numFmtId="9" fontId="64" fillId="0" borderId="0" applyFont="0" applyFill="0" applyBorder="0" applyAlignment="0" applyProtection="0"/>
    <xf numFmtId="43" fontId="6" fillId="0" borderId="0" applyFont="0" applyFill="0" applyBorder="0" applyAlignment="0" applyProtection="0"/>
    <xf numFmtId="167" fontId="6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0" fillId="0" borderId="0" applyNumberFormat="0" applyFill="0" applyBorder="0" applyAlignment="0" applyProtection="0"/>
    <xf numFmtId="0" fontId="1" fillId="0" borderId="0"/>
    <xf numFmtId="0" fontId="2" fillId="0" borderId="0"/>
    <xf numFmtId="167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167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93" fillId="19" borderId="0" applyNumberFormat="0" applyBorder="0" applyAlignment="0" applyProtection="0"/>
    <xf numFmtId="0" fontId="93" fillId="20" borderId="0" applyNumberFormat="0" applyBorder="0" applyAlignment="0" applyProtection="0"/>
    <xf numFmtId="0" fontId="93" fillId="21" borderId="0" applyNumberFormat="0" applyBorder="0" applyAlignment="0" applyProtection="0"/>
    <xf numFmtId="0" fontId="93" fillId="22" borderId="0" applyNumberFormat="0" applyBorder="0" applyAlignment="0" applyProtection="0"/>
    <xf numFmtId="0" fontId="93" fillId="23" borderId="0" applyNumberFormat="0" applyBorder="0" applyAlignment="0" applyProtection="0"/>
    <xf numFmtId="0" fontId="93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16" borderId="0" applyNumberFormat="0" applyBorder="0" applyAlignment="0" applyProtection="0"/>
    <xf numFmtId="0" fontId="37" fillId="25" borderId="0" applyNumberFormat="0" applyBorder="0" applyAlignment="0" applyProtection="0"/>
    <xf numFmtId="0" fontId="37" fillId="28" borderId="0" applyNumberFormat="0" applyBorder="0" applyAlignment="0" applyProtection="0"/>
    <xf numFmtId="0" fontId="93" fillId="29" borderId="0" applyNumberFormat="0" applyBorder="0" applyAlignment="0" applyProtection="0"/>
    <xf numFmtId="0" fontId="93" fillId="30" borderId="0" applyNumberFormat="0" applyBorder="0" applyAlignment="0" applyProtection="0"/>
    <xf numFmtId="0" fontId="93" fillId="31" borderId="0" applyNumberFormat="0" applyBorder="0" applyAlignment="0" applyProtection="0"/>
    <xf numFmtId="0" fontId="93" fillId="22" borderId="0" applyNumberFormat="0" applyBorder="0" applyAlignment="0" applyProtection="0"/>
    <xf numFmtId="0" fontId="93" fillId="29" borderId="0" applyNumberFormat="0" applyBorder="0" applyAlignment="0" applyProtection="0"/>
    <xf numFmtId="0" fontId="93" fillId="32" borderId="0" applyNumberFormat="0" applyBorder="0" applyAlignment="0" applyProtection="0"/>
    <xf numFmtId="0" fontId="94" fillId="33" borderId="0" applyNumberFormat="0" applyBorder="0" applyAlignment="0" applyProtection="0"/>
    <xf numFmtId="0" fontId="94" fillId="26" borderId="0" applyNumberFormat="0" applyBorder="0" applyAlignment="0" applyProtection="0"/>
    <xf numFmtId="0" fontId="94" fillId="27" borderId="0" applyNumberFormat="0" applyBorder="0" applyAlignment="0" applyProtection="0"/>
    <xf numFmtId="0" fontId="94" fillId="34" borderId="0" applyNumberFormat="0" applyBorder="0" applyAlignment="0" applyProtection="0"/>
    <xf numFmtId="0" fontId="94" fillId="35" borderId="0" applyNumberFormat="0" applyBorder="0" applyAlignment="0" applyProtection="0"/>
    <xf numFmtId="0" fontId="94" fillId="36" borderId="0" applyNumberFormat="0" applyBorder="0" applyAlignment="0" applyProtection="0"/>
    <xf numFmtId="0" fontId="95" fillId="37" borderId="0" applyNumberFormat="0" applyBorder="0" applyAlignment="0" applyProtection="0"/>
    <xf numFmtId="0" fontId="95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8" borderId="0" applyNumberFormat="0" applyBorder="0" applyAlignment="0" applyProtection="0"/>
    <xf numFmtId="0" fontId="95" fillId="39" borderId="0" applyNumberFormat="0" applyBorder="0" applyAlignment="0" applyProtection="0"/>
    <xf numFmtId="0" fontId="95" fillId="40" borderId="0" applyNumberFormat="0" applyBorder="0" applyAlignment="0" applyProtection="0"/>
    <xf numFmtId="0" fontId="94" fillId="41" borderId="0" applyNumberFormat="0" applyBorder="0" applyAlignment="0" applyProtection="0"/>
    <xf numFmtId="0" fontId="94" fillId="42" borderId="0" applyNumberFormat="0" applyBorder="0" applyAlignment="0" applyProtection="0"/>
    <xf numFmtId="0" fontId="94" fillId="43" borderId="0" applyNumberFormat="0" applyBorder="0" applyAlignment="0" applyProtection="0"/>
    <xf numFmtId="0" fontId="94" fillId="34" borderId="0" applyNumberFormat="0" applyBorder="0" applyAlignment="0" applyProtection="0"/>
    <xf numFmtId="0" fontId="94" fillId="35" borderId="0" applyNumberFormat="0" applyBorder="0" applyAlignment="0" applyProtection="0"/>
    <xf numFmtId="0" fontId="94" fillId="44" borderId="0" applyNumberFormat="0" applyBorder="0" applyAlignment="0" applyProtection="0"/>
    <xf numFmtId="0" fontId="96" fillId="14" borderId="0" applyNumberFormat="0" applyBorder="0" applyAlignment="0" applyProtection="0"/>
    <xf numFmtId="0" fontId="97" fillId="45" borderId="51" applyNumberFormat="0" applyAlignment="0" applyProtection="0"/>
    <xf numFmtId="0" fontId="98" fillId="46" borderId="52" applyNumberFormat="0" applyAlignment="0" applyProtection="0"/>
    <xf numFmtId="0" fontId="99" fillId="0" borderId="0" applyNumberFormat="0" applyFill="0" applyBorder="0" applyAlignment="0" applyProtection="0"/>
    <xf numFmtId="0" fontId="100" fillId="15" borderId="0" applyNumberFormat="0" applyBorder="0" applyAlignment="0" applyProtection="0"/>
    <xf numFmtId="0" fontId="101" fillId="0" borderId="53" applyNumberFormat="0" applyFill="0" applyAlignment="0" applyProtection="0"/>
    <xf numFmtId="0" fontId="102" fillId="0" borderId="54" applyNumberFormat="0" applyFill="0" applyAlignment="0" applyProtection="0"/>
    <xf numFmtId="0" fontId="103" fillId="0" borderId="55" applyNumberFormat="0" applyFill="0" applyAlignment="0" applyProtection="0"/>
    <xf numFmtId="0" fontId="103" fillId="0" borderId="0" applyNumberFormat="0" applyFill="0" applyBorder="0" applyAlignment="0" applyProtection="0"/>
    <xf numFmtId="0" fontId="104" fillId="18" borderId="51" applyNumberFormat="0" applyAlignment="0" applyProtection="0"/>
    <xf numFmtId="0" fontId="105" fillId="0" borderId="56" applyNumberFormat="0" applyFill="0" applyAlignment="0" applyProtection="0"/>
    <xf numFmtId="0" fontId="106" fillId="47" borderId="0" applyNumberFormat="0" applyBorder="0" applyAlignment="0" applyProtection="0"/>
    <xf numFmtId="0" fontId="107" fillId="48" borderId="57" applyNumberFormat="0" applyFont="0" applyAlignment="0" applyProtection="0"/>
    <xf numFmtId="0" fontId="108" fillId="45" borderId="58" applyNumberFormat="0" applyAlignment="0" applyProtection="0"/>
    <xf numFmtId="0" fontId="109" fillId="0" borderId="0" applyNumberFormat="0" applyFill="0" applyBorder="0" applyAlignment="0" applyProtection="0"/>
    <xf numFmtId="0" fontId="110" fillId="0" borderId="59" applyNumberFormat="0" applyFill="0" applyAlignment="0" applyProtection="0"/>
    <xf numFmtId="0" fontId="111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3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/>
    <xf numFmtId="0" fontId="4" fillId="0" borderId="0"/>
    <xf numFmtId="0" fontId="114" fillId="0" borderId="0"/>
    <xf numFmtId="0" fontId="115" fillId="21" borderId="0" applyNumberFormat="0" applyBorder="0" applyAlignment="0" applyProtection="0"/>
    <xf numFmtId="0" fontId="115" fillId="15" borderId="0" applyNumberFormat="0" applyBorder="0" applyAlignment="0" applyProtection="0">
      <alignment vertical="center"/>
    </xf>
    <xf numFmtId="0" fontId="115" fillId="15" borderId="0" applyNumberFormat="0" applyBorder="0" applyAlignment="0" applyProtection="0">
      <alignment vertical="center"/>
    </xf>
    <xf numFmtId="0" fontId="116" fillId="20" borderId="0" applyNumberFormat="0" applyBorder="0" applyAlignment="0" applyProtection="0"/>
    <xf numFmtId="0" fontId="116" fillId="14" borderId="0" applyNumberFormat="0" applyBorder="0" applyAlignment="0" applyProtection="0">
      <alignment vertical="center"/>
    </xf>
    <xf numFmtId="0" fontId="116" fillId="14" borderId="0" applyNumberFormat="0" applyBorder="0" applyAlignment="0" applyProtection="0">
      <alignment vertical="center"/>
    </xf>
    <xf numFmtId="0" fontId="107" fillId="0" borderId="0">
      <alignment vertical="center"/>
    </xf>
    <xf numFmtId="0" fontId="95" fillId="49" borderId="0" applyNumberFormat="0" applyBorder="0" applyAlignment="0" applyProtection="0"/>
    <xf numFmtId="0" fontId="95" fillId="50" borderId="0" applyNumberFormat="0" applyBorder="0" applyAlignment="0" applyProtection="0"/>
    <xf numFmtId="0" fontId="95" fillId="51" borderId="0" applyNumberFormat="0" applyBorder="0" applyAlignment="0" applyProtection="0"/>
    <xf numFmtId="0" fontId="95" fillId="38" borderId="0" applyNumberFormat="0" applyBorder="0" applyAlignment="0" applyProtection="0"/>
    <xf numFmtId="0" fontId="95" fillId="39" borderId="0" applyNumberFormat="0" applyBorder="0" applyAlignment="0" applyProtection="0"/>
    <xf numFmtId="0" fontId="95" fillId="52" borderId="0" applyNumberFormat="0" applyBorder="0" applyAlignment="0" applyProtection="0"/>
    <xf numFmtId="0" fontId="117" fillId="0" borderId="0" applyNumberFormat="0" applyFill="0" applyBorder="0" applyAlignment="0" applyProtection="0"/>
    <xf numFmtId="0" fontId="118" fillId="0" borderId="53" applyNumberFormat="0" applyFill="0" applyAlignment="0" applyProtection="0"/>
    <xf numFmtId="0" fontId="119" fillId="0" borderId="54" applyNumberFormat="0" applyFill="0" applyAlignment="0" applyProtection="0"/>
    <xf numFmtId="0" fontId="120" fillId="0" borderId="55" applyNumberFormat="0" applyFill="0" applyAlignment="0" applyProtection="0"/>
    <xf numFmtId="0" fontId="120" fillId="0" borderId="0" applyNumberFormat="0" applyFill="0" applyBorder="0" applyAlignment="0" applyProtection="0"/>
    <xf numFmtId="0" fontId="121" fillId="53" borderId="52" applyNumberFormat="0" applyAlignment="0" applyProtection="0"/>
    <xf numFmtId="0" fontId="122" fillId="0" borderId="59" applyNumberFormat="0" applyFill="0" applyAlignment="0" applyProtection="0"/>
    <xf numFmtId="0" fontId="107" fillId="54" borderId="57" applyNumberFormat="0" applyAlignment="0" applyProtection="0"/>
    <xf numFmtId="0" fontId="12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5" fillId="55" borderId="51" applyNumberFormat="0" applyAlignment="0" applyProtection="0"/>
    <xf numFmtId="0" fontId="126" fillId="24" borderId="51" applyNumberFormat="0" applyAlignment="0" applyProtection="0"/>
    <xf numFmtId="0" fontId="127" fillId="55" borderId="58" applyNumberFormat="0" applyAlignment="0" applyProtection="0"/>
    <xf numFmtId="0" fontId="128" fillId="56" borderId="0" applyNumberFormat="0" applyBorder="0" applyAlignment="0" applyProtection="0"/>
    <xf numFmtId="0" fontId="129" fillId="0" borderId="56" applyNumberFormat="0" applyFill="0" applyAlignment="0" applyProtection="0"/>
    <xf numFmtId="0" fontId="130" fillId="0" borderId="0" applyNumberFormat="0" applyFill="0" applyBorder="0" applyAlignment="0" applyProtection="0">
      <alignment vertical="top"/>
      <protection locked="0"/>
    </xf>
    <xf numFmtId="166" fontId="1" fillId="0" borderId="0" applyFont="0" applyFill="0" applyBorder="0" applyAlignment="0" applyProtection="0"/>
    <xf numFmtId="0" fontId="1" fillId="0" borderId="0"/>
    <xf numFmtId="166" fontId="64" fillId="0" borderId="0" applyFont="0" applyFill="0" applyBorder="0" applyAlignment="0" applyProtection="0"/>
    <xf numFmtId="0" fontId="180" fillId="0" borderId="0"/>
    <xf numFmtId="0" fontId="181" fillId="0" borderId="0" applyNumberFormat="0" applyFill="0" applyBorder="0" applyAlignment="0" applyProtection="0">
      <alignment vertical="top"/>
      <protection locked="0"/>
    </xf>
    <xf numFmtId="0" fontId="182" fillId="0" borderId="0"/>
    <xf numFmtId="0" fontId="5" fillId="0" borderId="0"/>
    <xf numFmtId="0" fontId="184" fillId="0" borderId="0"/>
    <xf numFmtId="0" fontId="185" fillId="0" borderId="0" applyNumberFormat="0" applyFill="0" applyBorder="0" applyAlignment="0" applyProtection="0"/>
    <xf numFmtId="166" fontId="18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8" fillId="0" borderId="0"/>
    <xf numFmtId="0" fontId="188" fillId="0" borderId="0"/>
    <xf numFmtId="0" fontId="188" fillId="0" borderId="0"/>
    <xf numFmtId="0" fontId="206" fillId="0" borderId="0"/>
    <xf numFmtId="0" fontId="97" fillId="45" borderId="159" applyNumberFormat="0" applyAlignment="0" applyProtection="0"/>
    <xf numFmtId="0" fontId="97" fillId="45" borderId="159" applyNumberFormat="0" applyAlignment="0" applyProtection="0"/>
    <xf numFmtId="0" fontId="97" fillId="45" borderId="159" applyNumberFormat="0" applyAlignment="0" applyProtection="0"/>
    <xf numFmtId="0" fontId="104" fillId="18" borderId="159" applyNumberFormat="0" applyAlignment="0" applyProtection="0"/>
    <xf numFmtId="0" fontId="104" fillId="18" borderId="159" applyNumberFormat="0" applyAlignment="0" applyProtection="0"/>
    <xf numFmtId="0" fontId="104" fillId="18" borderId="159" applyNumberFormat="0" applyAlignment="0" applyProtection="0"/>
    <xf numFmtId="0" fontId="107" fillId="48" borderId="160" applyNumberFormat="0" applyFont="0" applyAlignment="0" applyProtection="0"/>
    <xf numFmtId="0" fontId="107" fillId="48" borderId="160" applyNumberFormat="0" applyFont="0" applyAlignment="0" applyProtection="0"/>
    <xf numFmtId="0" fontId="107" fillId="48" borderId="160" applyNumberFormat="0" applyFont="0" applyAlignment="0" applyProtection="0"/>
    <xf numFmtId="0" fontId="108" fillId="45" borderId="161" applyNumberFormat="0" applyAlignment="0" applyProtection="0"/>
    <xf numFmtId="0" fontId="108" fillId="45" borderId="161" applyNumberFormat="0" applyAlignment="0" applyProtection="0"/>
    <xf numFmtId="0" fontId="110" fillId="0" borderId="162" applyNumberFormat="0" applyFill="0" applyAlignment="0" applyProtection="0"/>
    <xf numFmtId="0" fontId="110" fillId="0" borderId="162" applyNumberFormat="0" applyFill="0" applyAlignment="0" applyProtection="0"/>
    <xf numFmtId="0" fontId="5" fillId="0" borderId="0"/>
    <xf numFmtId="0" fontId="122" fillId="0" borderId="162" applyNumberFormat="0" applyFill="0" applyAlignment="0" applyProtection="0"/>
    <xf numFmtId="0" fontId="122" fillId="0" borderId="162" applyNumberFormat="0" applyFill="0" applyAlignment="0" applyProtection="0"/>
    <xf numFmtId="0" fontId="107" fillId="54" borderId="160" applyNumberFormat="0" applyAlignment="0" applyProtection="0"/>
    <xf numFmtId="0" fontId="107" fillId="54" borderId="160" applyNumberFormat="0" applyAlignment="0" applyProtection="0"/>
    <xf numFmtId="0" fontId="107" fillId="54" borderId="160" applyNumberFormat="0" applyAlignment="0" applyProtection="0"/>
    <xf numFmtId="0" fontId="125" fillId="55" borderId="159" applyNumberFormat="0" applyAlignment="0" applyProtection="0"/>
    <xf numFmtId="0" fontId="125" fillId="55" borderId="159" applyNumberFormat="0" applyAlignment="0" applyProtection="0"/>
    <xf numFmtId="0" fontId="125" fillId="55" borderId="159" applyNumberFormat="0" applyAlignment="0" applyProtection="0"/>
    <xf numFmtId="0" fontId="126" fillId="24" borderId="159" applyNumberFormat="0" applyAlignment="0" applyProtection="0"/>
    <xf numFmtId="0" fontId="126" fillId="24" borderId="159" applyNumberFormat="0" applyAlignment="0" applyProtection="0"/>
    <xf numFmtId="0" fontId="126" fillId="24" borderId="159" applyNumberFormat="0" applyAlignment="0" applyProtection="0"/>
    <xf numFmtId="0" fontId="127" fillId="55" borderId="161" applyNumberFormat="0" applyAlignment="0" applyProtection="0"/>
    <xf numFmtId="0" fontId="127" fillId="55" borderId="161" applyNumberFormat="0" applyAlignment="0" applyProtection="0"/>
  </cellStyleXfs>
  <cellXfs count="5758">
    <xf numFmtId="0" fontId="0" fillId="0" borderId="0" xfId="0"/>
    <xf numFmtId="0" fontId="8" fillId="0" borderId="0" xfId="0" applyFont="1"/>
    <xf numFmtId="0" fontId="0" fillId="0" borderId="0" xfId="0" applyAlignment="1">
      <alignment horizontal="left"/>
    </xf>
    <xf numFmtId="0" fontId="0" fillId="0" borderId="2" xfId="0" applyFont="1" applyBorder="1"/>
    <xf numFmtId="0" fontId="19" fillId="0" borderId="0" xfId="1" applyFont="1" applyAlignment="1" applyProtection="1">
      <alignment horizontal="left"/>
      <protection hidden="1"/>
    </xf>
    <xf numFmtId="0" fontId="0" fillId="0" borderId="0" xfId="0" applyFont="1" applyAlignment="1">
      <alignment horizontal="left" indent="2"/>
    </xf>
    <xf numFmtId="0" fontId="0" fillId="0" borderId="0" xfId="0" applyFont="1" applyAlignment="1">
      <alignment horizontal="left"/>
    </xf>
    <xf numFmtId="0" fontId="0" fillId="0" borderId="0" xfId="0" applyFont="1" applyAlignment="1">
      <alignment vertical="center"/>
    </xf>
    <xf numFmtId="0" fontId="0" fillId="0" borderId="0" xfId="0" applyFont="1" applyAlignment="1">
      <alignment horizontal="left" vertical="center"/>
    </xf>
    <xf numFmtId="0" fontId="0" fillId="3" borderId="0" xfId="0" applyFont="1" applyFill="1"/>
    <xf numFmtId="0" fontId="0" fillId="0" borderId="0" xfId="0" applyAlignment="1"/>
    <xf numFmtId="0" fontId="11" fillId="0" borderId="0" xfId="0" applyFont="1"/>
    <xf numFmtId="0" fontId="11" fillId="0" borderId="4" xfId="0" applyFont="1" applyBorder="1"/>
    <xf numFmtId="0" fontId="17" fillId="3" borderId="11" xfId="0" applyFont="1" applyFill="1" applyBorder="1" applyAlignment="1">
      <alignment horizontal="left" vertical="center" wrapText="1" indent="1"/>
    </xf>
    <xf numFmtId="0" fontId="0" fillId="0" borderId="0" xfId="0" applyAlignment="1">
      <alignment horizontal="center"/>
    </xf>
    <xf numFmtId="0" fontId="0" fillId="0" borderId="0" xfId="0" applyFont="1" applyBorder="1"/>
    <xf numFmtId="0" fontId="12" fillId="0" borderId="0" xfId="0" applyFont="1"/>
    <xf numFmtId="0" fontId="12" fillId="0" borderId="0" xfId="0" applyFont="1" applyAlignment="1">
      <alignment vertical="center" wrapText="1"/>
    </xf>
    <xf numFmtId="0" fontId="0" fillId="0" borderId="0" xfId="0" applyFont="1" applyAlignment="1">
      <alignment vertical="center" wrapText="1"/>
    </xf>
    <xf numFmtId="0" fontId="8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/>
    <xf numFmtId="0" fontId="7" fillId="0" borderId="0" xfId="0" applyFont="1"/>
    <xf numFmtId="0" fontId="0" fillId="0" borderId="0" xfId="0" applyFont="1"/>
    <xf numFmtId="0" fontId="0" fillId="0" borderId="0" xfId="0" applyAlignment="1">
      <alignment vertical="center"/>
    </xf>
    <xf numFmtId="0" fontId="0" fillId="0" borderId="0" xfId="0" applyBorder="1"/>
    <xf numFmtId="0" fontId="19" fillId="0" borderId="0" xfId="1" applyFont="1" applyAlignment="1" applyProtection="1">
      <alignment horizontal="center"/>
      <protection hidden="1"/>
    </xf>
    <xf numFmtId="3" fontId="0" fillId="0" borderId="0" xfId="0" applyNumberFormat="1"/>
    <xf numFmtId="0" fontId="16" fillId="0" borderId="0" xfId="0" applyFont="1" applyBorder="1" applyAlignment="1">
      <alignment horizontal="center" vertical="center" wrapText="1"/>
    </xf>
    <xf numFmtId="168" fontId="15" fillId="0" borderId="0" xfId="0" applyNumberFormat="1" applyFont="1" applyFill="1" applyBorder="1" applyAlignment="1">
      <alignment horizontal="center" vertical="center"/>
    </xf>
    <xf numFmtId="0" fontId="17" fillId="6" borderId="11" xfId="0" applyFont="1" applyFill="1" applyBorder="1" applyAlignment="1">
      <alignment horizontal="left" vertical="center" wrapText="1" indent="1"/>
    </xf>
    <xf numFmtId="0" fontId="16" fillId="0" borderId="0" xfId="6" applyFont="1" applyFill="1" applyBorder="1" applyAlignment="1">
      <alignment horizontal="left" vertical="center"/>
    </xf>
    <xf numFmtId="0" fontId="16" fillId="0" borderId="0" xfId="6" applyFont="1" applyFill="1"/>
    <xf numFmtId="0" fontId="0" fillId="0" borderId="0" xfId="0" applyAlignment="1">
      <alignment wrapText="1"/>
    </xf>
    <xf numFmtId="0" fontId="5" fillId="0" borderId="0" xfId="6"/>
    <xf numFmtId="0" fontId="16" fillId="0" borderId="0" xfId="0" applyFont="1" applyBorder="1" applyAlignment="1">
      <alignment horizontal="left" vertical="center" wrapText="1" indent="1"/>
    </xf>
    <xf numFmtId="168" fontId="15" fillId="3" borderId="0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27" fillId="0" borderId="0" xfId="0" applyFont="1" applyAlignment="1">
      <alignment vertical="center"/>
    </xf>
    <xf numFmtId="0" fontId="27" fillId="0" borderId="0" xfId="0" applyFont="1" applyAlignment="1">
      <alignment vertical="center" wrapText="1"/>
    </xf>
    <xf numFmtId="0" fontId="26" fillId="0" borderId="0" xfId="6" applyFont="1" applyFill="1" applyBorder="1" applyAlignment="1">
      <alignment horizontal="left" vertical="center"/>
    </xf>
    <xf numFmtId="0" fontId="11" fillId="0" borderId="0" xfId="0" applyFont="1" applyAlignment="1">
      <alignment vertical="center"/>
    </xf>
    <xf numFmtId="0" fontId="25" fillId="0" borderId="0" xfId="6" applyFont="1" applyFill="1" applyBorder="1" applyAlignment="1">
      <alignment horizontal="left" vertical="center"/>
    </xf>
    <xf numFmtId="0" fontId="25" fillId="0" borderId="0" xfId="6" applyFont="1" applyFill="1" applyAlignment="1">
      <alignment vertical="center"/>
    </xf>
    <xf numFmtId="0" fontId="16" fillId="0" borderId="0" xfId="0" applyFont="1" applyBorder="1" applyAlignment="1">
      <alignment vertical="top" wrapText="1"/>
    </xf>
    <xf numFmtId="0" fontId="16" fillId="0" borderId="0" xfId="0" applyFont="1" applyBorder="1" applyAlignment="1">
      <alignment horizontal="left" vertical="top" wrapText="1" indent="5"/>
    </xf>
    <xf numFmtId="0" fontId="8" fillId="0" borderId="0" xfId="0" applyFont="1" applyBorder="1" applyAlignment="1">
      <alignment vertical="center"/>
    </xf>
    <xf numFmtId="0" fontId="16" fillId="6" borderId="10" xfId="0" applyFont="1" applyFill="1" applyBorder="1" applyAlignment="1">
      <alignment horizontal="center" vertical="center" wrapText="1"/>
    </xf>
    <xf numFmtId="0" fontId="29" fillId="0" borderId="0" xfId="6" applyFont="1" applyFill="1" applyBorder="1" applyAlignment="1">
      <alignment horizontal="left" vertical="center"/>
    </xf>
    <xf numFmtId="0" fontId="11" fillId="0" borderId="0" xfId="0" applyFont="1" applyBorder="1" applyAlignment="1">
      <alignment vertical="top" wrapText="1"/>
    </xf>
    <xf numFmtId="0" fontId="16" fillId="3" borderId="10" xfId="0" applyFont="1" applyFill="1" applyBorder="1" applyAlignment="1">
      <alignment horizontal="left" vertical="center" wrapText="1" indent="1"/>
    </xf>
    <xf numFmtId="0" fontId="7" fillId="3" borderId="6" xfId="0" applyFont="1" applyFill="1" applyBorder="1" applyAlignment="1">
      <alignment horizontal="center" vertical="center" wrapText="1"/>
    </xf>
    <xf numFmtId="0" fontId="25" fillId="0" borderId="0" xfId="6" applyFont="1" applyFill="1" applyBorder="1" applyAlignment="1">
      <alignment vertical="center" wrapText="1"/>
    </xf>
    <xf numFmtId="0" fontId="16" fillId="0" borderId="0" xfId="0" applyFont="1" applyBorder="1" applyAlignment="1">
      <alignment horizontal="left" vertical="center" wrapText="1"/>
    </xf>
    <xf numFmtId="0" fontId="8" fillId="3" borderId="0" xfId="0" applyFont="1" applyFill="1" applyAlignment="1">
      <alignment vertical="center"/>
    </xf>
    <xf numFmtId="0" fontId="12" fillId="3" borderId="12" xfId="0" applyFont="1" applyFill="1" applyBorder="1" applyAlignment="1">
      <alignment horizontal="center" vertical="center" wrapText="1"/>
    </xf>
    <xf numFmtId="0" fontId="25" fillId="0" borderId="0" xfId="6" applyFont="1" applyFill="1" applyBorder="1" applyAlignment="1">
      <alignment vertical="center"/>
    </xf>
    <xf numFmtId="0" fontId="21" fillId="0" borderId="0" xfId="0" applyFont="1"/>
    <xf numFmtId="0" fontId="21" fillId="0" borderId="0" xfId="0" applyFont="1" applyAlignment="1">
      <alignment horizontal="left" indent="5"/>
    </xf>
    <xf numFmtId="0" fontId="12" fillId="0" borderId="6" xfId="0" applyFont="1" applyFill="1" applyBorder="1" applyAlignment="1">
      <alignment horizontal="center" vertical="center" wrapText="1"/>
    </xf>
    <xf numFmtId="0" fontId="32" fillId="0" borderId="0" xfId="0" applyFont="1" applyAlignment="1">
      <alignment vertical="center"/>
    </xf>
    <xf numFmtId="0" fontId="11" fillId="0" borderId="0" xfId="0" applyFont="1" applyAlignment="1">
      <alignment horizontal="left"/>
    </xf>
    <xf numFmtId="0" fontId="11" fillId="0" borderId="2" xfId="0" applyFont="1" applyBorder="1"/>
    <xf numFmtId="0" fontId="11" fillId="3" borderId="0" xfId="0" applyFont="1" applyFill="1"/>
    <xf numFmtId="0" fontId="0" fillId="3" borderId="0" xfId="0" applyFill="1"/>
    <xf numFmtId="0" fontId="25" fillId="0" borderId="0" xfId="6" applyFont="1" applyFill="1" applyAlignment="1">
      <alignment horizontal="left" vertical="center" wrapText="1"/>
    </xf>
    <xf numFmtId="0" fontId="25" fillId="0" borderId="0" xfId="6" applyFont="1" applyFill="1" applyAlignment="1">
      <alignment vertical="center" wrapText="1"/>
    </xf>
    <xf numFmtId="0" fontId="29" fillId="0" borderId="0" xfId="6" applyFont="1" applyFill="1" applyAlignment="1">
      <alignment vertical="center"/>
    </xf>
    <xf numFmtId="0" fontId="0" fillId="0" borderId="0" xfId="0" applyFont="1" applyFill="1"/>
    <xf numFmtId="0" fontId="0" fillId="0" borderId="0" xfId="0" applyFill="1"/>
    <xf numFmtId="0" fontId="11" fillId="0" borderId="0" xfId="0" applyFont="1" applyFill="1"/>
    <xf numFmtId="0" fontId="41" fillId="0" borderId="0" xfId="0" applyFont="1" applyAlignment="1">
      <alignment horizontal="center" vertical="center"/>
    </xf>
    <xf numFmtId="0" fontId="21" fillId="3" borderId="0" xfId="0" applyFont="1" applyFill="1"/>
    <xf numFmtId="0" fontId="23" fillId="0" borderId="0" xfId="0" applyFont="1"/>
    <xf numFmtId="0" fontId="40" fillId="0" borderId="0" xfId="0" applyFont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0" fontId="43" fillId="0" borderId="0" xfId="46" applyFont="1"/>
    <xf numFmtId="0" fontId="43" fillId="0" borderId="0" xfId="46" applyFont="1" applyAlignment="1"/>
    <xf numFmtId="0" fontId="43" fillId="0" borderId="0" xfId="46" applyFont="1" applyAlignment="1">
      <alignment wrapText="1"/>
    </xf>
    <xf numFmtId="0" fontId="15" fillId="0" borderId="0" xfId="46" applyFont="1"/>
    <xf numFmtId="0" fontId="38" fillId="0" borderId="0" xfId="46" applyFont="1"/>
    <xf numFmtId="0" fontId="42" fillId="0" borderId="0" xfId="46"/>
    <xf numFmtId="0" fontId="42" fillId="4" borderId="0" xfId="46" applyFill="1"/>
    <xf numFmtId="0" fontId="42" fillId="0" borderId="0" xfId="46" applyAlignment="1">
      <alignment horizontal="center" vertical="center" wrapText="1"/>
    </xf>
    <xf numFmtId="0" fontId="50" fillId="0" borderId="0" xfId="46" applyFont="1"/>
    <xf numFmtId="0" fontId="42" fillId="0" borderId="0" xfId="46" applyFill="1"/>
    <xf numFmtId="0" fontId="53" fillId="0" borderId="0" xfId="46" applyFont="1" applyFill="1"/>
    <xf numFmtId="0" fontId="49" fillId="0" borderId="0" xfId="46" applyFont="1" applyFill="1"/>
    <xf numFmtId="0" fontId="42" fillId="0" borderId="0" xfId="46" applyFill="1" applyBorder="1"/>
    <xf numFmtId="0" fontId="54" fillId="0" borderId="0" xfId="1" applyFont="1" applyAlignment="1" applyProtection="1">
      <protection hidden="1"/>
    </xf>
    <xf numFmtId="0" fontId="55" fillId="0" borderId="0" xfId="1" applyFont="1" applyAlignment="1" applyProtection="1">
      <protection hidden="1"/>
    </xf>
    <xf numFmtId="0" fontId="57" fillId="0" borderId="0" xfId="46" applyFont="1" applyBorder="1" applyAlignment="1">
      <alignment horizontal="left" vertical="center" wrapText="1"/>
    </xf>
    <xf numFmtId="0" fontId="48" fillId="0" borderId="0" xfId="46" applyFont="1"/>
    <xf numFmtId="0" fontId="7" fillId="0" borderId="0" xfId="46" applyFont="1"/>
    <xf numFmtId="0" fontId="51" fillId="0" borderId="0" xfId="46" applyFont="1"/>
    <xf numFmtId="0" fontId="42" fillId="0" borderId="0" xfId="46" applyAlignment="1">
      <alignment vertical="center"/>
    </xf>
    <xf numFmtId="0" fontId="42" fillId="0" borderId="0" xfId="46" applyAlignment="1"/>
    <xf numFmtId="0" fontId="42" fillId="0" borderId="0" xfId="46" applyAlignment="1">
      <alignment horizontal="left"/>
    </xf>
    <xf numFmtId="0" fontId="42" fillId="0" borderId="0" xfId="46" applyFill="1" applyBorder="1" applyAlignment="1">
      <alignment horizontal="center"/>
    </xf>
    <xf numFmtId="0" fontId="11" fillId="0" borderId="0" xfId="46" applyFont="1" applyFill="1" applyBorder="1" applyAlignment="1">
      <alignment horizontal="center"/>
    </xf>
    <xf numFmtId="0" fontId="42" fillId="0" borderId="0" xfId="46" applyBorder="1" applyAlignment="1">
      <alignment horizontal="center"/>
    </xf>
    <xf numFmtId="0" fontId="0" fillId="0" borderId="0" xfId="0"/>
    <xf numFmtId="0" fontId="0" fillId="0" borderId="0" xfId="0" applyAlignment="1">
      <alignment horizontal="center" vertical="center"/>
    </xf>
    <xf numFmtId="0" fontId="14" fillId="0" borderId="6" xfId="0" applyFont="1" applyFill="1" applyBorder="1" applyAlignment="1">
      <alignment horizontal="center" vertical="center" wrapText="1"/>
    </xf>
    <xf numFmtId="0" fontId="48" fillId="0" borderId="0" xfId="46" applyFont="1" applyAlignment="1">
      <alignment horizontal="left" wrapText="1"/>
    </xf>
    <xf numFmtId="0" fontId="15" fillId="0" borderId="0" xfId="46" applyFont="1" applyFill="1"/>
    <xf numFmtId="0" fontId="15" fillId="0" borderId="0" xfId="46" applyFont="1" applyFill="1" applyBorder="1"/>
    <xf numFmtId="0" fontId="15" fillId="0" borderId="0" xfId="46" applyFont="1" applyBorder="1"/>
    <xf numFmtId="0" fontId="63" fillId="0" borderId="0" xfId="46" applyFont="1"/>
    <xf numFmtId="0" fontId="0" fillId="0" borderId="0" xfId="0" applyAlignment="1">
      <alignment horizontal="center" vertical="center" wrapText="1"/>
    </xf>
    <xf numFmtId="0" fontId="15" fillId="0" borderId="0" xfId="46" applyFont="1" applyFill="1" applyBorder="1" applyAlignment="1">
      <alignment horizontal="center"/>
    </xf>
    <xf numFmtId="0" fontId="15" fillId="0" borderId="0" xfId="46" applyFont="1" applyAlignment="1">
      <alignment vertical="center"/>
    </xf>
    <xf numFmtId="0" fontId="43" fillId="0" borderId="0" xfId="46" applyFont="1" applyAlignment="1">
      <alignment horizontal="left" wrapText="1"/>
    </xf>
    <xf numFmtId="0" fontId="6" fillId="0" borderId="0" xfId="17" applyAlignment="1">
      <alignment horizontal="left" vertical="center" indent="1"/>
    </xf>
    <xf numFmtId="0" fontId="11" fillId="0" borderId="4" xfId="17" applyFont="1" applyBorder="1" applyAlignment="1">
      <alignment horizontal="left" vertical="center" indent="1"/>
    </xf>
    <xf numFmtId="0" fontId="16" fillId="0" borderId="0" xfId="17" applyFont="1" applyAlignment="1">
      <alignment horizontal="left" vertical="center" indent="1"/>
    </xf>
    <xf numFmtId="0" fontId="12" fillId="0" borderId="0" xfId="17" applyFont="1" applyAlignment="1">
      <alignment horizontal="left" vertical="center" wrapText="1" indent="1"/>
    </xf>
    <xf numFmtId="0" fontId="6" fillId="0" borderId="0" xfId="17" applyFont="1" applyAlignment="1">
      <alignment horizontal="left" vertical="center" indent="1"/>
    </xf>
    <xf numFmtId="0" fontId="6" fillId="0" borderId="4" xfId="17" applyFont="1" applyBorder="1" applyAlignment="1">
      <alignment horizontal="left" vertical="center" indent="1"/>
    </xf>
    <xf numFmtId="0" fontId="6" fillId="0" borderId="29" xfId="17" applyFont="1" applyBorder="1" applyAlignment="1">
      <alignment horizontal="left" vertical="center" indent="1"/>
    </xf>
    <xf numFmtId="0" fontId="0" fillId="0" borderId="0" xfId="0"/>
    <xf numFmtId="0" fontId="18" fillId="0" borderId="6" xfId="46" applyFont="1" applyBorder="1" applyAlignment="1">
      <alignment horizontal="center" vertical="center" wrapText="1"/>
    </xf>
    <xf numFmtId="169" fontId="0" fillId="0" borderId="0" xfId="0" applyNumberFormat="1"/>
    <xf numFmtId="169" fontId="21" fillId="0" borderId="0" xfId="0" applyNumberFormat="1" applyFont="1"/>
    <xf numFmtId="169" fontId="0" fillId="0" borderId="0" xfId="0" applyNumberFormat="1" applyFont="1"/>
    <xf numFmtId="0" fontId="0" fillId="0" borderId="0" xfId="0"/>
    <xf numFmtId="0" fontId="0" fillId="0" borderId="0" xfId="0"/>
    <xf numFmtId="3" fontId="48" fillId="0" borderId="0" xfId="46" applyNumberFormat="1" applyFont="1" applyAlignment="1">
      <alignment horizontal="left" wrapText="1"/>
    </xf>
    <xf numFmtId="0" fontId="0" fillId="0" borderId="0" xfId="0"/>
    <xf numFmtId="0" fontId="64" fillId="0" borderId="0" xfId="60"/>
    <xf numFmtId="9" fontId="0" fillId="0" borderId="0" xfId="14" applyFont="1"/>
    <xf numFmtId="9" fontId="0" fillId="0" borderId="0" xfId="0" applyNumberFormat="1"/>
    <xf numFmtId="0" fontId="16" fillId="6" borderId="10" xfId="0" applyFont="1" applyFill="1" applyBorder="1" applyAlignment="1">
      <alignment horizontal="left" vertical="center" wrapText="1" indent="1"/>
    </xf>
    <xf numFmtId="0" fontId="0" fillId="0" borderId="0" xfId="0"/>
    <xf numFmtId="0" fontId="0" fillId="0" borderId="0" xfId="0" applyFont="1"/>
    <xf numFmtId="0" fontId="30" fillId="0" borderId="6" xfId="0" applyFont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Font="1"/>
    <xf numFmtId="0" fontId="16" fillId="3" borderId="26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66" fillId="0" borderId="12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34" fillId="0" borderId="0" xfId="0" applyFont="1"/>
    <xf numFmtId="0" fontId="16" fillId="0" borderId="6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left" vertical="center" wrapText="1"/>
    </xf>
    <xf numFmtId="0" fontId="0" fillId="0" borderId="0" xfId="0"/>
    <xf numFmtId="169" fontId="19" fillId="0" borderId="0" xfId="1" applyNumberFormat="1" applyFont="1" applyAlignment="1" applyProtection="1">
      <alignment horizontal="center"/>
      <protection hidden="1"/>
    </xf>
    <xf numFmtId="0" fontId="16" fillId="6" borderId="6" xfId="0" applyFont="1" applyFill="1" applyBorder="1" applyAlignment="1">
      <alignment horizontal="left" vertical="center" wrapText="1" indent="1"/>
    </xf>
    <xf numFmtId="0" fontId="7" fillId="0" borderId="7" xfId="0" applyFont="1" applyFill="1" applyBorder="1" applyAlignment="1">
      <alignment horizontal="center" vertical="center" wrapText="1"/>
    </xf>
    <xf numFmtId="0" fontId="16" fillId="6" borderId="13" xfId="0" applyFont="1" applyFill="1" applyBorder="1" applyAlignment="1">
      <alignment horizontal="left" vertical="center" wrapText="1" indent="1"/>
    </xf>
    <xf numFmtId="0" fontId="0" fillId="0" borderId="0" xfId="0"/>
    <xf numFmtId="0" fontId="0" fillId="0" borderId="0" xfId="0" applyFont="1"/>
    <xf numFmtId="0" fontId="38" fillId="0" borderId="0" xfId="69" applyFont="1" applyAlignment="1" applyProtection="1">
      <alignment vertical="center"/>
      <protection hidden="1"/>
    </xf>
    <xf numFmtId="0" fontId="15" fillId="0" borderId="0" xfId="69" applyFont="1" applyFill="1" applyAlignment="1" applyProtection="1">
      <alignment vertical="center"/>
      <protection hidden="1"/>
    </xf>
    <xf numFmtId="0" fontId="16" fillId="0" borderId="6" xfId="69" applyFont="1" applyFill="1" applyBorder="1" applyAlignment="1" applyProtection="1">
      <alignment horizontal="center" vertical="center" wrapText="1"/>
      <protection hidden="1"/>
    </xf>
    <xf numFmtId="0" fontId="15" fillId="0" borderId="0" xfId="69" applyFont="1" applyFill="1" applyAlignment="1" applyProtection="1">
      <alignment horizontal="center" vertical="center"/>
      <protection hidden="1"/>
    </xf>
    <xf numFmtId="0" fontId="15" fillId="0" borderId="0" xfId="69" applyFont="1" applyAlignment="1" applyProtection="1">
      <alignment vertical="center"/>
      <protection hidden="1"/>
    </xf>
    <xf numFmtId="3" fontId="11" fillId="0" borderId="0" xfId="0" applyNumberFormat="1" applyFont="1"/>
    <xf numFmtId="3" fontId="38" fillId="0" borderId="0" xfId="69" applyNumberFormat="1" applyFont="1" applyAlignment="1" applyProtection="1">
      <alignment vertical="center"/>
      <protection hidden="1"/>
    </xf>
    <xf numFmtId="3" fontId="15" fillId="0" borderId="0" xfId="69" applyNumberFormat="1" applyFont="1" applyFill="1" applyBorder="1" applyAlignment="1">
      <alignment horizontal="center" vertical="center" wrapText="1"/>
    </xf>
    <xf numFmtId="0" fontId="1" fillId="0" borderId="0" xfId="71"/>
    <xf numFmtId="0" fontId="15" fillId="0" borderId="0" xfId="71" applyFont="1" applyAlignment="1" applyProtection="1">
      <alignment vertical="center"/>
      <protection hidden="1"/>
    </xf>
    <xf numFmtId="0" fontId="5" fillId="0" borderId="0" xfId="71" applyFont="1" applyAlignment="1" applyProtection="1">
      <alignment vertical="center"/>
      <protection hidden="1"/>
    </xf>
    <xf numFmtId="0" fontId="5" fillId="0" borderId="0" xfId="71" applyFont="1" applyAlignment="1" applyProtection="1">
      <alignment vertical="center" wrapText="1"/>
      <protection hidden="1"/>
    </xf>
    <xf numFmtId="0" fontId="12" fillId="0" borderId="6" xfId="71" applyFont="1" applyBorder="1" applyAlignment="1">
      <alignment horizontal="center" vertical="center"/>
    </xf>
    <xf numFmtId="0" fontId="1" fillId="0" borderId="0" xfId="71" applyFont="1"/>
    <xf numFmtId="0" fontId="7" fillId="0" borderId="0" xfId="71" applyFont="1"/>
    <xf numFmtId="3" fontId="30" fillId="3" borderId="0" xfId="71" applyNumberFormat="1" applyFont="1" applyFill="1" applyBorder="1" applyAlignment="1">
      <alignment horizontal="center" vertical="center"/>
    </xf>
    <xf numFmtId="0" fontId="5" fillId="0" borderId="0" xfId="72" applyFont="1" applyFill="1" applyAlignment="1" applyProtection="1">
      <alignment vertical="center"/>
      <protection hidden="1"/>
    </xf>
    <xf numFmtId="0" fontId="1" fillId="0" borderId="0" xfId="0" applyFont="1"/>
    <xf numFmtId="0" fontId="1" fillId="0" borderId="0" xfId="74" applyFont="1"/>
    <xf numFmtId="0" fontId="1" fillId="0" borderId="0" xfId="74"/>
    <xf numFmtId="0" fontId="1" fillId="0" borderId="0" xfId="75" applyFont="1" applyAlignment="1">
      <alignment vertical="center"/>
    </xf>
    <xf numFmtId="0" fontId="16" fillId="0" borderId="0" xfId="75" applyFont="1" applyFill="1" applyBorder="1" applyAlignment="1">
      <alignment vertical="center" wrapText="1"/>
    </xf>
    <xf numFmtId="49" fontId="15" fillId="0" borderId="0" xfId="75" applyNumberFormat="1" applyFont="1" applyFill="1" applyBorder="1" applyAlignment="1">
      <alignment horizontal="center" vertical="center" wrapText="1"/>
    </xf>
    <xf numFmtId="3" fontId="15" fillId="0" borderId="0" xfId="75" applyNumberFormat="1" applyFont="1" applyFill="1" applyBorder="1" applyAlignment="1">
      <alignment horizontal="center" vertical="center" wrapText="1"/>
    </xf>
    <xf numFmtId="0" fontId="1" fillId="0" borderId="0" xfId="75" applyFont="1" applyFill="1"/>
    <xf numFmtId="0" fontId="1" fillId="0" borderId="0" xfId="74" applyFont="1" applyBorder="1"/>
    <xf numFmtId="0" fontId="42" fillId="0" borderId="0" xfId="46" applyBorder="1"/>
    <xf numFmtId="0" fontId="16" fillId="6" borderId="35" xfId="0" applyFont="1" applyFill="1" applyBorder="1" applyAlignment="1">
      <alignment horizontal="center" vertical="center" wrapText="1"/>
    </xf>
    <xf numFmtId="0" fontId="16" fillId="6" borderId="35" xfId="0" applyFont="1" applyFill="1" applyBorder="1" applyAlignment="1">
      <alignment horizontal="left" vertical="center" wrapText="1" indent="1"/>
    </xf>
    <xf numFmtId="0" fontId="16" fillId="0" borderId="10" xfId="0" applyFont="1" applyFill="1" applyBorder="1" applyAlignment="1">
      <alignment horizontal="left" vertical="center" wrapText="1" indent="1"/>
    </xf>
    <xf numFmtId="0" fontId="16" fillId="0" borderId="15" xfId="0" applyFont="1" applyFill="1" applyBorder="1" applyAlignment="1">
      <alignment horizontal="left" vertical="center" wrapText="1" indent="1"/>
    </xf>
    <xf numFmtId="0" fontId="16" fillId="3" borderId="10" xfId="0" applyFont="1" applyFill="1" applyBorder="1" applyAlignment="1">
      <alignment horizontal="center" vertical="center" wrapText="1"/>
    </xf>
    <xf numFmtId="169" fontId="0" fillId="0" borderId="0" xfId="0" applyNumberFormat="1" applyFill="1"/>
    <xf numFmtId="169" fontId="0" fillId="0" borderId="0" xfId="0" applyNumberFormat="1" applyFont="1" applyFill="1"/>
    <xf numFmtId="0" fontId="11" fillId="0" borderId="0" xfId="0" applyFont="1" applyFill="1" applyAlignment="1">
      <alignment horizontal="left"/>
    </xf>
    <xf numFmtId="0" fontId="16" fillId="0" borderId="35" xfId="0" applyFont="1" applyFill="1" applyBorder="1" applyAlignment="1">
      <alignment horizontal="center" vertical="center" wrapText="1"/>
    </xf>
    <xf numFmtId="1" fontId="0" fillId="0" borderId="0" xfId="0" applyNumberFormat="1" applyFont="1" applyBorder="1" applyAlignment="1">
      <alignment horizontal="center" vertical="center"/>
    </xf>
    <xf numFmtId="0" fontId="0" fillId="0" borderId="0" xfId="0"/>
    <xf numFmtId="0" fontId="16" fillId="0" borderId="35" xfId="0" applyFont="1" applyFill="1" applyBorder="1" applyAlignment="1">
      <alignment horizontal="left" vertical="center" wrapText="1" indent="1"/>
    </xf>
    <xf numFmtId="0" fontId="17" fillId="0" borderId="0" xfId="6" applyFont="1" applyFill="1" applyBorder="1" applyAlignment="1">
      <alignment horizontal="left" vertical="center"/>
    </xf>
    <xf numFmtId="0" fontId="16" fillId="0" borderId="0" xfId="0" applyFont="1" applyAlignment="1">
      <alignment vertical="center"/>
    </xf>
    <xf numFmtId="0" fontId="17" fillId="0" borderId="0" xfId="6" applyFont="1" applyFill="1" applyAlignment="1">
      <alignment vertical="center"/>
    </xf>
    <xf numFmtId="0" fontId="16" fillId="0" borderId="0" xfId="13" applyFont="1" applyFill="1" applyAlignment="1">
      <alignment vertical="center"/>
    </xf>
    <xf numFmtId="0" fontId="16" fillId="0" borderId="0" xfId="6" applyFont="1" applyFill="1" applyAlignment="1">
      <alignment vertical="center"/>
    </xf>
    <xf numFmtId="0" fontId="16" fillId="0" borderId="0" xfId="6" applyFont="1" applyFill="1" applyBorder="1" applyAlignment="1">
      <alignment vertical="top"/>
    </xf>
    <xf numFmtId="0" fontId="16" fillId="0" borderId="0" xfId="6" applyFont="1" applyFill="1" applyAlignment="1"/>
    <xf numFmtId="0" fontId="16" fillId="0" borderId="0" xfId="6" applyFont="1" applyFill="1" applyBorder="1" applyAlignment="1">
      <alignment vertical="center" wrapText="1"/>
    </xf>
    <xf numFmtId="0" fontId="16" fillId="0" borderId="0" xfId="6" applyFont="1" applyFill="1" applyBorder="1" applyAlignment="1">
      <alignment vertical="center"/>
    </xf>
    <xf numFmtId="0" fontId="6" fillId="0" borderId="4" xfId="17" applyBorder="1" applyAlignment="1">
      <alignment horizontal="left" vertical="center" indent="1"/>
    </xf>
    <xf numFmtId="0" fontId="6" fillId="0" borderId="0" xfId="17" applyBorder="1" applyAlignment="1">
      <alignment horizontal="left" vertical="center" indent="1"/>
    </xf>
    <xf numFmtId="0" fontId="6" fillId="0" borderId="0" xfId="17" applyFont="1" applyBorder="1" applyAlignment="1">
      <alignment horizontal="left" vertical="center" indent="1"/>
    </xf>
    <xf numFmtId="0" fontId="0" fillId="0" borderId="0" xfId="0"/>
    <xf numFmtId="0" fontId="0" fillId="0" borderId="0" xfId="0" applyAlignment="1">
      <alignment horizontal="right"/>
    </xf>
    <xf numFmtId="9" fontId="0" fillId="0" borderId="0" xfId="0" applyNumberFormat="1" applyAlignment="1">
      <alignment vertical="center" wrapText="1"/>
    </xf>
    <xf numFmtId="0" fontId="0" fillId="0" borderId="0" xfId="0"/>
    <xf numFmtId="0" fontId="67" fillId="0" borderId="0" xfId="0" applyFont="1" applyAlignment="1">
      <alignment horizontal="right"/>
    </xf>
    <xf numFmtId="0" fontId="60" fillId="0" borderId="0" xfId="46" applyFont="1"/>
    <xf numFmtId="0" fontId="67" fillId="0" borderId="0" xfId="0" applyFont="1"/>
    <xf numFmtId="0" fontId="65" fillId="0" borderId="0" xfId="0" applyFont="1" applyAlignment="1">
      <alignment horizontal="right"/>
    </xf>
    <xf numFmtId="0" fontId="70" fillId="0" borderId="0" xfId="46" applyFont="1"/>
    <xf numFmtId="0" fontId="65" fillId="0" borderId="0" xfId="0" applyFont="1"/>
    <xf numFmtId="0" fontId="71" fillId="0" borderId="0" xfId="0" applyFont="1"/>
    <xf numFmtId="0" fontId="73" fillId="0" borderId="0" xfId="46" applyFont="1" applyAlignment="1">
      <alignment vertical="center" wrapText="1"/>
    </xf>
    <xf numFmtId="0" fontId="73" fillId="0" borderId="0" xfId="46" applyFont="1" applyBorder="1" applyAlignment="1">
      <alignment vertical="center" wrapText="1"/>
    </xf>
    <xf numFmtId="0" fontId="72" fillId="0" borderId="0" xfId="0" applyFont="1"/>
    <xf numFmtId="0" fontId="72" fillId="0" borderId="0" xfId="0" applyFont="1" applyAlignment="1">
      <alignment horizontal="right" vertical="center" wrapText="1"/>
    </xf>
    <xf numFmtId="0" fontId="72" fillId="0" borderId="0" xfId="0" applyFont="1" applyAlignment="1">
      <alignment vertical="center" wrapText="1"/>
    </xf>
    <xf numFmtId="0" fontId="73" fillId="0" borderId="0" xfId="0" applyFont="1" applyFill="1" applyBorder="1" applyAlignment="1">
      <alignment vertical="center" wrapText="1"/>
    </xf>
    <xf numFmtId="0" fontId="73" fillId="0" borderId="0" xfId="0" applyFont="1" applyBorder="1" applyAlignment="1">
      <alignment vertical="center" wrapText="1"/>
    </xf>
    <xf numFmtId="0" fontId="73" fillId="0" borderId="0" xfId="0" applyFont="1" applyAlignment="1">
      <alignment horizontal="center" vertical="center" wrapText="1"/>
    </xf>
    <xf numFmtId="0" fontId="71" fillId="0" borderId="0" xfId="0" applyFont="1" applyAlignment="1">
      <alignment horizontal="right" vertical="center"/>
    </xf>
    <xf numFmtId="0" fontId="71" fillId="0" borderId="0" xfId="0" applyFont="1" applyAlignment="1">
      <alignment vertical="center"/>
    </xf>
    <xf numFmtId="0" fontId="72" fillId="0" borderId="0" xfId="0" applyFont="1" applyAlignment="1">
      <alignment vertical="center"/>
    </xf>
    <xf numFmtId="0" fontId="73" fillId="0" borderId="0" xfId="0" applyFont="1" applyAlignment="1">
      <alignment horizontal="center" vertical="center"/>
    </xf>
    <xf numFmtId="0" fontId="73" fillId="0" borderId="0" xfId="46" applyFont="1" applyAlignment="1">
      <alignment vertical="center"/>
    </xf>
    <xf numFmtId="0" fontId="73" fillId="0" borderId="0" xfId="46" applyFont="1" applyBorder="1" applyAlignment="1">
      <alignment vertical="center"/>
    </xf>
    <xf numFmtId="0" fontId="72" fillId="0" borderId="0" xfId="0" applyFont="1" applyBorder="1" applyAlignment="1">
      <alignment vertical="center"/>
    </xf>
    <xf numFmtId="0" fontId="72" fillId="0" borderId="4" xfId="79" applyFont="1" applyBorder="1" applyAlignment="1">
      <alignment vertical="center" wrapText="1"/>
    </xf>
    <xf numFmtId="0" fontId="73" fillId="0" borderId="4" xfId="0" applyFont="1" applyBorder="1" applyAlignment="1">
      <alignment vertical="center" wrapText="1"/>
    </xf>
    <xf numFmtId="0" fontId="72" fillId="0" borderId="38" xfId="79" applyFont="1" applyBorder="1" applyAlignment="1">
      <alignment vertical="center" wrapText="1"/>
    </xf>
    <xf numFmtId="0" fontId="73" fillId="0" borderId="38" xfId="0" applyFont="1" applyBorder="1" applyAlignment="1">
      <alignment vertical="center" wrapText="1"/>
    </xf>
    <xf numFmtId="0" fontId="73" fillId="0" borderId="38" xfId="0" applyFont="1" applyFill="1" applyBorder="1" applyAlignment="1">
      <alignment vertical="center" wrapText="1"/>
    </xf>
    <xf numFmtId="0" fontId="73" fillId="0" borderId="4" xfId="0" applyFont="1" applyFill="1" applyBorder="1" applyAlignment="1">
      <alignment vertical="center" wrapText="1"/>
    </xf>
    <xf numFmtId="0" fontId="73" fillId="0" borderId="4" xfId="79" applyFont="1" applyBorder="1" applyAlignment="1">
      <alignment vertical="center" wrapText="1"/>
    </xf>
    <xf numFmtId="168" fontId="0" fillId="0" borderId="2" xfId="0" applyNumberFormat="1" applyFont="1" applyBorder="1"/>
    <xf numFmtId="169" fontId="0" fillId="3" borderId="0" xfId="0" applyNumberFormat="1" applyFont="1" applyFill="1"/>
    <xf numFmtId="0" fontId="6" fillId="0" borderId="0" xfId="17" applyFont="1" applyFill="1" applyAlignment="1">
      <alignment horizontal="left" vertical="center" indent="1"/>
    </xf>
    <xf numFmtId="0" fontId="12" fillId="0" borderId="0" xfId="17" applyFont="1" applyFill="1" applyAlignment="1">
      <alignment horizontal="left" vertical="center" wrapText="1" indent="1"/>
    </xf>
    <xf numFmtId="0" fontId="0" fillId="0" borderId="0" xfId="0" applyBorder="1" applyAlignment="1"/>
    <xf numFmtId="0" fontId="0" fillId="0" borderId="0" xfId="0" applyFill="1" applyBorder="1"/>
    <xf numFmtId="0" fontId="16" fillId="0" borderId="0" xfId="46" applyFont="1" applyFill="1" applyBorder="1" applyAlignment="1">
      <alignment horizontal="left" vertical="center" wrapText="1" indent="1"/>
    </xf>
    <xf numFmtId="0" fontId="14" fillId="0" borderId="0" xfId="46" applyFont="1" applyFill="1" applyBorder="1" applyAlignment="1">
      <alignment horizontal="center" vertical="center" textRotation="90" wrapText="1"/>
    </xf>
    <xf numFmtId="0" fontId="15" fillId="0" borderId="0" xfId="69" applyFont="1" applyFill="1" applyBorder="1" applyAlignment="1" applyProtection="1">
      <alignment vertical="center"/>
      <protection hidden="1"/>
    </xf>
    <xf numFmtId="3" fontId="60" fillId="0" borderId="0" xfId="69" applyNumberFormat="1" applyFont="1" applyFill="1" applyBorder="1" applyAlignment="1">
      <alignment horizontal="center" vertical="center" wrapText="1"/>
    </xf>
    <xf numFmtId="0" fontId="14" fillId="0" borderId="0" xfId="46" applyFont="1" applyFill="1" applyBorder="1" applyAlignment="1">
      <alignment horizontal="center" vertical="center" textRotation="90"/>
    </xf>
    <xf numFmtId="0" fontId="60" fillId="0" borderId="0" xfId="0" applyFont="1" applyFill="1" applyBorder="1" applyAlignment="1">
      <alignment horizontal="center" vertical="center"/>
    </xf>
    <xf numFmtId="3" fontId="60" fillId="0" borderId="0" xfId="72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3" fontId="15" fillId="0" borderId="0" xfId="71" applyNumberFormat="1" applyFont="1" applyFill="1" applyBorder="1" applyAlignment="1">
      <alignment horizontal="center" vertical="center"/>
    </xf>
    <xf numFmtId="3" fontId="60" fillId="0" borderId="0" xfId="71" applyNumberFormat="1" applyFont="1" applyFill="1" applyBorder="1" applyAlignment="1">
      <alignment horizontal="center" vertical="center"/>
    </xf>
    <xf numFmtId="0" fontId="1" fillId="0" borderId="0" xfId="71" applyFont="1" applyFill="1"/>
    <xf numFmtId="0" fontId="0" fillId="0" borderId="0" xfId="0" applyBorder="1" applyAlignment="1">
      <alignment vertical="center"/>
    </xf>
    <xf numFmtId="0" fontId="16" fillId="0" borderId="0" xfId="17" applyFont="1" applyBorder="1" applyAlignment="1">
      <alignment vertical="center"/>
    </xf>
    <xf numFmtId="0" fontId="11" fillId="0" borderId="0" xfId="17" applyFont="1" applyBorder="1" applyAlignment="1">
      <alignment horizontal="left" vertical="center" indent="1"/>
    </xf>
    <xf numFmtId="0" fontId="12" fillId="0" borderId="0" xfId="17" applyFont="1" applyBorder="1" applyAlignment="1">
      <alignment vertical="center"/>
    </xf>
    <xf numFmtId="0" fontId="25" fillId="0" borderId="0" xfId="13" applyFont="1" applyFill="1" applyBorder="1" applyAlignment="1">
      <alignment vertical="center"/>
    </xf>
    <xf numFmtId="0" fontId="0" fillId="0" borderId="0" xfId="0" applyFont="1"/>
    <xf numFmtId="0" fontId="0" fillId="0" borderId="0" xfId="0"/>
    <xf numFmtId="0" fontId="11" fillId="0" borderId="0" xfId="0" applyFont="1" applyAlignment="1">
      <alignment horizontal="left" vertical="center" indent="2"/>
    </xf>
    <xf numFmtId="0" fontId="11" fillId="6" borderId="6" xfId="46" applyFont="1" applyFill="1" applyBorder="1" applyAlignment="1">
      <alignment horizontal="left" vertical="center" indent="1"/>
    </xf>
    <xf numFmtId="0" fontId="11" fillId="0" borderId="6" xfId="46" applyFont="1" applyBorder="1" applyAlignment="1">
      <alignment horizontal="left" vertical="center" indent="1"/>
    </xf>
    <xf numFmtId="0" fontId="61" fillId="0" borderId="0" xfId="0" applyFont="1" applyAlignment="1">
      <alignment horizontal="left" vertical="center" indent="1"/>
    </xf>
    <xf numFmtId="0" fontId="60" fillId="0" borderId="6" xfId="46" applyFont="1" applyBorder="1" applyAlignment="1">
      <alignment horizontal="center" vertical="center"/>
    </xf>
    <xf numFmtId="0" fontId="68" fillId="0" borderId="0" xfId="0" applyFont="1" applyAlignment="1">
      <alignment vertical="center"/>
    </xf>
    <xf numFmtId="0" fontId="17" fillId="0" borderId="11" xfId="0" applyFont="1" applyFill="1" applyBorder="1" applyAlignment="1">
      <alignment horizontal="left" vertical="center" wrapText="1" indent="1"/>
    </xf>
    <xf numFmtId="171" fontId="0" fillId="0" borderId="0" xfId="0" applyNumberFormat="1" applyFont="1" applyFill="1"/>
    <xf numFmtId="0" fontId="44" fillId="0" borderId="0" xfId="46" applyFont="1" applyAlignment="1">
      <alignment horizontal="left" indent="1"/>
    </xf>
    <xf numFmtId="0" fontId="16" fillId="6" borderId="12" xfId="0" applyFont="1" applyFill="1" applyBorder="1" applyAlignment="1">
      <alignment horizontal="left" vertical="center" wrapText="1" indent="1"/>
    </xf>
    <xf numFmtId="0" fontId="0" fillId="0" borderId="0" xfId="0"/>
    <xf numFmtId="171" fontId="19" fillId="0" borderId="0" xfId="1" applyNumberFormat="1" applyFont="1" applyAlignment="1" applyProtection="1">
      <alignment horizontal="center"/>
      <protection hidden="1"/>
    </xf>
    <xf numFmtId="0" fontId="17" fillId="3" borderId="0" xfId="46" applyFont="1" applyFill="1" applyBorder="1" applyAlignment="1">
      <alignment horizontal="left" vertical="center" wrapText="1" indent="1"/>
    </xf>
    <xf numFmtId="0" fontId="14" fillId="0" borderId="0" xfId="46" applyFont="1" applyFill="1" applyBorder="1" applyAlignment="1">
      <alignment vertical="center" wrapText="1"/>
    </xf>
    <xf numFmtId="0" fontId="16" fillId="6" borderId="13" xfId="0" applyFont="1" applyFill="1" applyBorder="1" applyAlignment="1">
      <alignment horizontal="center" vertical="center" wrapText="1"/>
    </xf>
    <xf numFmtId="0" fontId="16" fillId="6" borderId="13" xfId="0" applyFont="1" applyFill="1" applyBorder="1" applyAlignment="1">
      <alignment horizontal="left" vertical="center" wrapText="1" indent="1"/>
    </xf>
    <xf numFmtId="0" fontId="0" fillId="0" borderId="0" xfId="0" applyFont="1"/>
    <xf numFmtId="0" fontId="0" fillId="0" borderId="0" xfId="0"/>
    <xf numFmtId="0" fontId="16" fillId="0" borderId="0" xfId="0" applyFont="1" applyFill="1" applyAlignment="1">
      <alignment vertical="center"/>
    </xf>
    <xf numFmtId="0" fontId="1" fillId="0" borderId="0" xfId="74" applyAlignment="1">
      <alignment horizontal="left" vertical="center" indent="1"/>
    </xf>
    <xf numFmtId="0" fontId="0" fillId="0" borderId="0" xfId="0"/>
    <xf numFmtId="0" fontId="0" fillId="0" borderId="0" xfId="0" applyFont="1"/>
    <xf numFmtId="0" fontId="0" fillId="0" borderId="0" xfId="0"/>
    <xf numFmtId="0" fontId="0" fillId="0" borderId="0" xfId="0"/>
    <xf numFmtId="0" fontId="27" fillId="0" borderId="0" xfId="0" applyFont="1" applyAlignment="1">
      <alignment horizontal="left" vertical="center" wrapText="1"/>
    </xf>
    <xf numFmtId="0" fontId="0" fillId="0" borderId="0" xfId="0" applyFont="1"/>
    <xf numFmtId="0" fontId="0" fillId="0" borderId="0" xfId="0"/>
    <xf numFmtId="0" fontId="73" fillId="0" borderId="0" xfId="79" applyFont="1" applyBorder="1" applyAlignment="1">
      <alignment vertical="center" wrapText="1"/>
    </xf>
    <xf numFmtId="0" fontId="30" fillId="0" borderId="0" xfId="0" applyFont="1" applyFill="1" applyBorder="1" applyAlignment="1">
      <alignment vertical="center" wrapText="1"/>
    </xf>
    <xf numFmtId="0" fontId="30" fillId="3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top" wrapText="1"/>
    </xf>
    <xf numFmtId="0" fontId="11" fillId="0" borderId="0" xfId="0" applyFont="1" applyFill="1" applyBorder="1" applyAlignment="1">
      <alignment vertical="top" wrapText="1"/>
    </xf>
    <xf numFmtId="0" fontId="0" fillId="0" borderId="0" xfId="0"/>
    <xf numFmtId="0" fontId="21" fillId="0" borderId="0" xfId="0" applyFont="1" applyFill="1"/>
    <xf numFmtId="0" fontId="1" fillId="0" borderId="0" xfId="80" applyFont="1"/>
    <xf numFmtId="0" fontId="1" fillId="0" borderId="0" xfId="80" applyFont="1" applyAlignment="1">
      <alignment horizontal="center"/>
    </xf>
    <xf numFmtId="0" fontId="1" fillId="0" borderId="0" xfId="80" applyFont="1" applyBorder="1"/>
    <xf numFmtId="0" fontId="30" fillId="0" borderId="0" xfId="80" applyFont="1" applyFill="1" applyBorder="1" applyAlignment="1">
      <alignment horizontal="left" vertical="center" indent="1"/>
    </xf>
    <xf numFmtId="0" fontId="30" fillId="0" borderId="0" xfId="80" applyFont="1" applyFill="1" applyBorder="1" applyAlignment="1">
      <alignment horizontal="center" vertical="center"/>
    </xf>
    <xf numFmtId="0" fontId="0" fillId="0" borderId="0" xfId="0"/>
    <xf numFmtId="0" fontId="0" fillId="0" borderId="0" xfId="0" applyFont="1"/>
    <xf numFmtId="0" fontId="16" fillId="6" borderId="15" xfId="0" applyFont="1" applyFill="1" applyBorder="1" applyAlignment="1">
      <alignment horizontal="left" vertical="center" wrapText="1" indent="1"/>
    </xf>
    <xf numFmtId="0" fontId="16" fillId="3" borderId="15" xfId="0" applyFont="1" applyFill="1" applyBorder="1" applyAlignment="1">
      <alignment horizontal="left" vertical="center" wrapText="1" indent="1"/>
    </xf>
    <xf numFmtId="169" fontId="0" fillId="0" borderId="0" xfId="0" applyNumberFormat="1" applyBorder="1"/>
    <xf numFmtId="0" fontId="0" fillId="0" borderId="0" xfId="0" applyFont="1"/>
    <xf numFmtId="0" fontId="0" fillId="0" borderId="0" xfId="0"/>
    <xf numFmtId="0" fontId="16" fillId="6" borderId="15" xfId="0" applyFont="1" applyFill="1" applyBorder="1" applyAlignment="1">
      <alignment horizontal="left" vertical="center" wrapText="1" indent="1"/>
    </xf>
    <xf numFmtId="0" fontId="0" fillId="0" borderId="0" xfId="0"/>
    <xf numFmtId="0" fontId="0" fillId="0" borderId="0" xfId="0" applyFont="1"/>
    <xf numFmtId="3" fontId="60" fillId="0" borderId="0" xfId="69" applyNumberFormat="1" applyFont="1" applyFill="1" applyBorder="1" applyAlignment="1">
      <alignment vertical="center" wrapText="1"/>
    </xf>
    <xf numFmtId="0" fontId="0" fillId="0" borderId="0" xfId="0"/>
    <xf numFmtId="0" fontId="44" fillId="0" borderId="0" xfId="46" applyFont="1" applyBorder="1" applyAlignment="1">
      <alignment horizontal="left" vertical="top" wrapText="1" indent="1"/>
    </xf>
    <xf numFmtId="0" fontId="11" fillId="0" borderId="20" xfId="0" applyFont="1" applyBorder="1" applyAlignment="1">
      <alignment vertical="center" wrapText="1"/>
    </xf>
    <xf numFmtId="0" fontId="11" fillId="0" borderId="0" xfId="0" applyFont="1" applyFill="1" applyAlignment="1">
      <alignment horizontal="left" vertical="center" indent="2"/>
    </xf>
    <xf numFmtId="0" fontId="7" fillId="0" borderId="0" xfId="74" applyFont="1" applyAlignment="1">
      <alignment horizontal="left" vertical="center"/>
    </xf>
    <xf numFmtId="0" fontId="44" fillId="0" borderId="0" xfId="46" applyFont="1" applyFill="1" applyBorder="1" applyAlignment="1">
      <alignment vertical="top" wrapText="1"/>
    </xf>
    <xf numFmtId="0" fontId="1" fillId="0" borderId="0" xfId="74" applyFont="1" applyFill="1"/>
    <xf numFmtId="0" fontId="0" fillId="0" borderId="0" xfId="0"/>
    <xf numFmtId="0" fontId="11" fillId="0" borderId="0" xfId="13" applyFont="1" applyFill="1" applyAlignment="1">
      <alignment vertical="center"/>
    </xf>
    <xf numFmtId="0" fontId="0" fillId="0" borderId="0" xfId="0"/>
    <xf numFmtId="0" fontId="7" fillId="0" borderId="6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Font="1"/>
    <xf numFmtId="0" fontId="81" fillId="0" borderId="0" xfId="0" applyFont="1"/>
    <xf numFmtId="41" fontId="70" fillId="6" borderId="12" xfId="0" applyNumberFormat="1" applyFont="1" applyFill="1" applyBorder="1" applyAlignment="1">
      <alignment horizontal="center" vertical="center" wrapText="1"/>
    </xf>
    <xf numFmtId="41" fontId="60" fillId="6" borderId="35" xfId="0" applyNumberFormat="1" applyFont="1" applyFill="1" applyBorder="1" applyAlignment="1">
      <alignment horizontal="center" vertical="center" wrapText="1"/>
    </xf>
    <xf numFmtId="41" fontId="60" fillId="6" borderId="26" xfId="0" applyNumberFormat="1" applyFont="1" applyFill="1" applyBorder="1" applyAlignment="1">
      <alignment horizontal="center" vertical="center" wrapText="1"/>
    </xf>
    <xf numFmtId="41" fontId="78" fillId="6" borderId="13" xfId="0" applyNumberFormat="1" applyFont="1" applyFill="1" applyBorder="1" applyAlignment="1">
      <alignment horizontal="center" vertical="center" wrapText="1"/>
    </xf>
    <xf numFmtId="41" fontId="60" fillId="6" borderId="6" xfId="0" applyNumberFormat="1" applyFont="1" applyFill="1" applyBorder="1" applyAlignment="1">
      <alignment horizontal="center" vertical="center"/>
    </xf>
    <xf numFmtId="41" fontId="60" fillId="3" borderId="6" xfId="0" applyNumberFormat="1" applyFont="1" applyFill="1" applyBorder="1" applyAlignment="1">
      <alignment horizontal="center" vertical="center"/>
    </xf>
    <xf numFmtId="41" fontId="60" fillId="0" borderId="6" xfId="0" applyNumberFormat="1" applyFont="1" applyFill="1" applyBorder="1" applyAlignment="1">
      <alignment horizontal="center" vertical="center"/>
    </xf>
    <xf numFmtId="41" fontId="60" fillId="6" borderId="10" xfId="0" applyNumberFormat="1" applyFont="1" applyFill="1" applyBorder="1" applyAlignment="1">
      <alignment horizontal="center" vertical="center" wrapText="1"/>
    </xf>
    <xf numFmtId="41" fontId="60" fillId="6" borderId="6" xfId="0" applyNumberFormat="1" applyFont="1" applyFill="1" applyBorder="1" applyAlignment="1">
      <alignment horizontal="center" vertical="center" wrapText="1"/>
    </xf>
    <xf numFmtId="41" fontId="60" fillId="3" borderId="6" xfId="0" applyNumberFormat="1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0" fillId="0" borderId="0" xfId="0"/>
    <xf numFmtId="41" fontId="66" fillId="0" borderId="6" xfId="0" applyNumberFormat="1" applyFont="1" applyFill="1" applyBorder="1" applyAlignment="1">
      <alignment horizontal="center" vertical="center" wrapText="1"/>
    </xf>
    <xf numFmtId="41" fontId="78" fillId="0" borderId="13" xfId="0" applyNumberFormat="1" applyFont="1" applyFill="1" applyBorder="1" applyAlignment="1">
      <alignment horizontal="center" vertical="center" wrapText="1"/>
    </xf>
    <xf numFmtId="41" fontId="60" fillId="6" borderId="11" xfId="0" applyNumberFormat="1" applyFont="1" applyFill="1" applyBorder="1" applyAlignment="1">
      <alignment horizontal="center" vertical="center" wrapText="1"/>
    </xf>
    <xf numFmtId="41" fontId="60" fillId="6" borderId="6" xfId="71" applyNumberFormat="1" applyFont="1" applyFill="1" applyBorder="1" applyAlignment="1">
      <alignment horizontal="center" vertical="center"/>
    </xf>
    <xf numFmtId="41" fontId="60" fillId="0" borderId="6" xfId="71" applyNumberFormat="1" applyFont="1" applyFill="1" applyBorder="1" applyAlignment="1">
      <alignment horizontal="center" vertical="center"/>
    </xf>
    <xf numFmtId="41" fontId="60" fillId="0" borderId="0" xfId="71" applyNumberFormat="1" applyFont="1" applyFill="1" applyBorder="1" applyAlignment="1">
      <alignment horizontal="center" vertical="center"/>
    </xf>
    <xf numFmtId="41" fontId="30" fillId="3" borderId="0" xfId="71" applyNumberFormat="1" applyFont="1" applyFill="1" applyBorder="1" applyAlignment="1">
      <alignment horizontal="center" vertical="center"/>
    </xf>
    <xf numFmtId="0" fontId="0" fillId="0" borderId="0" xfId="0"/>
    <xf numFmtId="0" fontId="16" fillId="6" borderId="6" xfId="46" applyFont="1" applyFill="1" applyBorder="1" applyAlignment="1">
      <alignment horizontal="left" vertical="center" wrapText="1" indent="1"/>
    </xf>
    <xf numFmtId="0" fontId="17" fillId="6" borderId="6" xfId="0" applyFont="1" applyFill="1" applyBorder="1" applyAlignment="1">
      <alignment horizontal="left" vertical="center" wrapText="1" indent="1"/>
    </xf>
    <xf numFmtId="0" fontId="0" fillId="0" borderId="0" xfId="0" applyFont="1"/>
    <xf numFmtId="0" fontId="30" fillId="0" borderId="0" xfId="69" applyFont="1" applyAlignment="1" applyProtection="1">
      <alignment vertical="center"/>
      <protection hidden="1"/>
    </xf>
    <xf numFmtId="0" fontId="36" fillId="0" borderId="0" xfId="6" applyFont="1" applyFill="1" applyBorder="1" applyAlignment="1">
      <alignment horizontal="left" vertical="center"/>
    </xf>
    <xf numFmtId="0" fontId="6" fillId="0" borderId="0" xfId="17" applyFont="1" applyFill="1" applyBorder="1" applyAlignment="1">
      <alignment horizontal="left" vertical="center" indent="1"/>
    </xf>
    <xf numFmtId="41" fontId="60" fillId="6" borderId="12" xfId="0" applyNumberFormat="1" applyFont="1" applyFill="1" applyBorder="1" applyAlignment="1">
      <alignment horizontal="center" vertical="center" wrapText="1"/>
    </xf>
    <xf numFmtId="41" fontId="60" fillId="0" borderId="6" xfId="0" applyNumberFormat="1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left" vertical="center" wrapText="1" indent="1"/>
    </xf>
    <xf numFmtId="0" fontId="14" fillId="0" borderId="13" xfId="0" applyFont="1" applyFill="1" applyBorder="1" applyAlignment="1">
      <alignment horizontal="center" wrapText="1"/>
    </xf>
    <xf numFmtId="0" fontId="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81" fillId="0" borderId="0" xfId="0" applyFont="1"/>
    <xf numFmtId="0" fontId="21" fillId="0" borderId="0" xfId="0" applyFont="1"/>
    <xf numFmtId="169" fontId="21" fillId="0" borderId="0" xfId="0" applyNumberFormat="1" applyFont="1"/>
    <xf numFmtId="0" fontId="21" fillId="0" borderId="0" xfId="0" applyFont="1" applyAlignment="1">
      <alignment horizontal="center"/>
    </xf>
    <xf numFmtId="0" fontId="81" fillId="0" borderId="0" xfId="0" applyFont="1"/>
    <xf numFmtId="41" fontId="70" fillId="6" borderId="12" xfId="0" applyNumberFormat="1" applyFont="1" applyFill="1" applyBorder="1" applyAlignment="1">
      <alignment horizontal="center" vertical="center" wrapText="1"/>
    </xf>
    <xf numFmtId="41" fontId="60" fillId="6" borderId="35" xfId="0" applyNumberFormat="1" applyFont="1" applyFill="1" applyBorder="1" applyAlignment="1">
      <alignment horizontal="center" vertical="center" wrapText="1"/>
    </xf>
    <xf numFmtId="41" fontId="78" fillId="6" borderId="13" xfId="0" applyNumberFormat="1" applyFont="1" applyFill="1" applyBorder="1" applyAlignment="1">
      <alignment horizontal="center" vertical="center" wrapText="1"/>
    </xf>
    <xf numFmtId="41" fontId="70" fillId="3" borderId="10" xfId="0" applyNumberFormat="1" applyFont="1" applyFill="1" applyBorder="1" applyAlignment="1">
      <alignment horizontal="center" vertical="center" wrapText="1"/>
    </xf>
    <xf numFmtId="41" fontId="78" fillId="3" borderId="13" xfId="0" applyNumberFormat="1" applyFont="1" applyFill="1" applyBorder="1" applyAlignment="1">
      <alignment horizontal="center" vertical="center" wrapText="1"/>
    </xf>
    <xf numFmtId="41" fontId="60" fillId="6" borderId="6" xfId="0" applyNumberFormat="1" applyFont="1" applyFill="1" applyBorder="1" applyAlignment="1">
      <alignment horizontal="center" vertical="center"/>
    </xf>
    <xf numFmtId="41" fontId="60" fillId="3" borderId="6" xfId="0" applyNumberFormat="1" applyFont="1" applyFill="1" applyBorder="1" applyAlignment="1">
      <alignment horizontal="center" vertical="center"/>
    </xf>
    <xf numFmtId="41" fontId="60" fillId="0" borderId="6" xfId="0" applyNumberFormat="1" applyFont="1" applyFill="1" applyBorder="1" applyAlignment="1">
      <alignment horizontal="center" vertical="center"/>
    </xf>
    <xf numFmtId="41" fontId="60" fillId="6" borderId="10" xfId="0" applyNumberFormat="1" applyFont="1" applyFill="1" applyBorder="1" applyAlignment="1">
      <alignment horizontal="center" vertical="center" wrapText="1"/>
    </xf>
    <xf numFmtId="41" fontId="60" fillId="0" borderId="10" xfId="0" applyNumberFormat="1" applyFont="1" applyFill="1" applyBorder="1" applyAlignment="1">
      <alignment horizontal="center" vertical="center" wrapText="1"/>
    </xf>
    <xf numFmtId="41" fontId="60" fillId="0" borderId="35" xfId="0" applyNumberFormat="1" applyFont="1" applyFill="1" applyBorder="1" applyAlignment="1">
      <alignment horizontal="center" vertical="center" wrapText="1"/>
    </xf>
    <xf numFmtId="41" fontId="60" fillId="0" borderId="26" xfId="0" applyNumberFormat="1" applyFont="1" applyFill="1" applyBorder="1" applyAlignment="1">
      <alignment horizontal="center" vertical="center" wrapText="1"/>
    </xf>
    <xf numFmtId="41" fontId="70" fillId="0" borderId="12" xfId="0" applyNumberFormat="1" applyFont="1" applyFill="1" applyBorder="1" applyAlignment="1">
      <alignment horizontal="center" vertical="center" wrapText="1"/>
    </xf>
    <xf numFmtId="41" fontId="78" fillId="0" borderId="13" xfId="0" applyNumberFormat="1" applyFont="1" applyFill="1" applyBorder="1" applyAlignment="1">
      <alignment horizontal="center" vertical="center" wrapText="1"/>
    </xf>
    <xf numFmtId="0" fontId="82" fillId="0" borderId="0" xfId="0" applyFont="1"/>
    <xf numFmtId="41" fontId="70" fillId="0" borderId="10" xfId="0" applyNumberFormat="1" applyFont="1" applyFill="1" applyBorder="1" applyAlignment="1">
      <alignment horizontal="center" vertical="center" wrapText="1"/>
    </xf>
    <xf numFmtId="41" fontId="55" fillId="6" borderId="13" xfId="0" applyNumberFormat="1" applyFont="1" applyFill="1" applyBorder="1" applyAlignment="1">
      <alignment horizontal="center" vertical="center" wrapText="1"/>
    </xf>
    <xf numFmtId="41" fontId="60" fillId="6" borderId="11" xfId="0" applyNumberFormat="1" applyFont="1" applyFill="1" applyBorder="1" applyAlignment="1">
      <alignment horizontal="center" vertical="center" wrapText="1"/>
    </xf>
    <xf numFmtId="0" fontId="0" fillId="0" borderId="0" xfId="0"/>
    <xf numFmtId="0" fontId="16" fillId="6" borderId="12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/>
    <xf numFmtId="3" fontId="11" fillId="0" borderId="0" xfId="0" applyNumberFormat="1" applyFont="1" applyFill="1" applyBorder="1"/>
    <xf numFmtId="41" fontId="60" fillId="0" borderId="19" xfId="69" applyNumberFormat="1" applyFont="1" applyFill="1" applyBorder="1" applyAlignment="1">
      <alignment horizontal="center" vertical="center" wrapText="1"/>
    </xf>
    <xf numFmtId="0" fontId="11" fillId="0" borderId="0" xfId="0" applyFont="1" applyFill="1" applyBorder="1"/>
    <xf numFmtId="0" fontId="80" fillId="0" borderId="0" xfId="0" applyFont="1"/>
    <xf numFmtId="0" fontId="80" fillId="0" borderId="19" xfId="0" applyFont="1" applyBorder="1" applyAlignment="1">
      <alignment vertical="center" textRotation="90" wrapText="1"/>
    </xf>
    <xf numFmtId="0" fontId="80" fillId="0" borderId="0" xfId="0" applyFont="1" applyBorder="1" applyAlignment="1">
      <alignment vertical="center" textRotation="90" wrapText="1"/>
    </xf>
    <xf numFmtId="0" fontId="80" fillId="0" borderId="0" xfId="0" applyFont="1" applyAlignment="1">
      <alignment vertical="center"/>
    </xf>
    <xf numFmtId="0" fontId="16" fillId="0" borderId="0" xfId="0" applyFont="1" applyFill="1" applyBorder="1" applyAlignment="1">
      <alignment horizontal="left" vertical="center" wrapText="1" indent="1"/>
    </xf>
    <xf numFmtId="0" fontId="0" fillId="0" borderId="0" xfId="0"/>
    <xf numFmtId="0" fontId="14" fillId="6" borderId="6" xfId="46" applyFont="1" applyFill="1" applyBorder="1" applyAlignment="1">
      <alignment horizontal="center" vertical="center" textRotation="90"/>
    </xf>
    <xf numFmtId="0" fontId="14" fillId="0" borderId="0" xfId="0" applyFont="1" applyFill="1" applyBorder="1" applyAlignment="1">
      <alignment horizontal="center" vertical="center" textRotation="90" wrapText="1"/>
    </xf>
    <xf numFmtId="0" fontId="17" fillId="0" borderId="0" xfId="0" applyFont="1" applyFill="1" applyBorder="1" applyAlignment="1">
      <alignment horizontal="left" vertical="center" wrapText="1" indent="1"/>
    </xf>
    <xf numFmtId="169" fontId="78" fillId="0" borderId="0" xfId="0" applyNumberFormat="1" applyFont="1" applyFill="1" applyBorder="1" applyAlignment="1">
      <alignment horizontal="center" vertical="center" wrapText="1"/>
    </xf>
    <xf numFmtId="0" fontId="15" fillId="0" borderId="0" xfId="69" applyFont="1" applyBorder="1" applyAlignment="1" applyProtection="1">
      <alignment vertical="center"/>
      <protection hidden="1"/>
    </xf>
    <xf numFmtId="41" fontId="60" fillId="0" borderId="0" xfId="69" applyNumberFormat="1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/>
    <xf numFmtId="0" fontId="12" fillId="0" borderId="0" xfId="74" applyFont="1" applyBorder="1" applyAlignment="1">
      <alignment vertical="center"/>
    </xf>
    <xf numFmtId="9" fontId="0" fillId="0" borderId="0" xfId="112" applyFont="1"/>
    <xf numFmtId="0" fontId="25" fillId="0" borderId="0" xfId="46" applyFont="1"/>
    <xf numFmtId="0" fontId="85" fillId="0" borderId="0" xfId="46" applyFont="1"/>
    <xf numFmtId="0" fontId="16" fillId="0" borderId="6" xfId="46" applyFont="1" applyBorder="1" applyAlignment="1">
      <alignment horizontal="center" vertical="center" wrapText="1"/>
    </xf>
    <xf numFmtId="0" fontId="15" fillId="0" borderId="0" xfId="46" applyFont="1" applyAlignment="1">
      <alignment horizontal="center" vertical="center" wrapText="1"/>
    </xf>
    <xf numFmtId="0" fontId="53" fillId="0" borderId="0" xfId="46" applyFont="1"/>
    <xf numFmtId="0" fontId="87" fillId="0" borderId="0" xfId="46" applyFont="1" applyFill="1" applyBorder="1" applyAlignment="1">
      <alignment horizontal="left" vertical="top" wrapText="1"/>
    </xf>
    <xf numFmtId="0" fontId="0" fillId="0" borderId="0" xfId="0" applyAlignment="1">
      <alignment vertical="top"/>
    </xf>
    <xf numFmtId="3" fontId="47" fillId="0" borderId="0" xfId="46" applyNumberFormat="1" applyFont="1" applyFill="1" applyBorder="1" applyAlignment="1">
      <alignment horizontal="right"/>
    </xf>
    <xf numFmtId="0" fontId="8" fillId="0" borderId="2" xfId="0" applyFont="1" applyBorder="1" applyAlignment="1"/>
    <xf numFmtId="3" fontId="24" fillId="0" borderId="0" xfId="46" applyNumberFormat="1" applyFont="1" applyFill="1" applyBorder="1" applyAlignment="1">
      <alignment horizontal="right"/>
    </xf>
    <xf numFmtId="0" fontId="0" fillId="0" borderId="0" xfId="0" applyFont="1" applyBorder="1" applyAlignment="1"/>
    <xf numFmtId="0" fontId="1" fillId="0" borderId="0" xfId="129" applyFont="1" applyFill="1" applyBorder="1" applyAlignment="1">
      <alignment horizontal="center" vertical="center"/>
    </xf>
    <xf numFmtId="0" fontId="84" fillId="0" borderId="0" xfId="46" applyFont="1" applyFill="1" applyBorder="1" applyAlignment="1">
      <alignment horizontal="left" vertical="center"/>
    </xf>
    <xf numFmtId="0" fontId="16" fillId="0" borderId="0" xfId="0" applyFont="1" applyFill="1" applyBorder="1" applyAlignment="1">
      <alignment horizontal="center" vertical="top" wrapText="1"/>
    </xf>
    <xf numFmtId="0" fontId="44" fillId="0" borderId="0" xfId="46" applyFont="1" applyBorder="1" applyAlignment="1">
      <alignment horizontal="left" vertical="top" wrapText="1" indent="1"/>
    </xf>
    <xf numFmtId="0" fontId="7" fillId="0" borderId="6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vertical="center" wrapText="1"/>
    </xf>
    <xf numFmtId="0" fontId="0" fillId="0" borderId="0" xfId="0"/>
    <xf numFmtId="0" fontId="42" fillId="0" borderId="0" xfId="46" applyFill="1" applyAlignment="1">
      <alignment horizontal="center" vertical="center" wrapText="1"/>
    </xf>
    <xf numFmtId="0" fontId="50" fillId="0" borderId="0" xfId="46" applyFont="1" applyFill="1"/>
    <xf numFmtId="0" fontId="1" fillId="0" borderId="0" xfId="74" applyFill="1" applyAlignment="1">
      <alignment horizontal="left" vertical="center" indent="1"/>
    </xf>
    <xf numFmtId="3" fontId="30" fillId="0" borderId="0" xfId="0" applyNumberFormat="1" applyFont="1" applyFill="1" applyBorder="1" applyAlignment="1">
      <alignment horizontal="center" vertical="center" wrapText="1"/>
    </xf>
    <xf numFmtId="0" fontId="14" fillId="0" borderId="0" xfId="46" applyFont="1"/>
    <xf numFmtId="0" fontId="47" fillId="0" borderId="0" xfId="46" applyFont="1"/>
    <xf numFmtId="0" fontId="80" fillId="0" borderId="0" xfId="60" applyFont="1"/>
    <xf numFmtId="0" fontId="0" fillId="0" borderId="0" xfId="0"/>
    <xf numFmtId="0" fontId="16" fillId="6" borderId="6" xfId="0" applyFont="1" applyFill="1" applyBorder="1" applyAlignment="1">
      <alignment horizontal="left" vertical="center" wrapText="1"/>
    </xf>
    <xf numFmtId="0" fontId="0" fillId="0" borderId="0" xfId="0" applyFont="1"/>
    <xf numFmtId="49" fontId="11" fillId="0" borderId="0" xfId="72" applyNumberFormat="1" applyFont="1" applyFill="1" applyBorder="1" applyAlignment="1" applyProtection="1">
      <alignment vertical="center"/>
      <protection hidden="1"/>
    </xf>
    <xf numFmtId="0" fontId="18" fillId="0" borderId="0" xfId="72" applyFont="1" applyFill="1" applyBorder="1" applyAlignment="1" applyProtection="1">
      <alignment vertical="center" wrapText="1"/>
      <protection hidden="1"/>
    </xf>
    <xf numFmtId="0" fontId="89" fillId="0" borderId="0" xfId="1" applyFont="1" applyAlignment="1" applyProtection="1">
      <alignment horizontal="center"/>
      <protection hidden="1"/>
    </xf>
    <xf numFmtId="0" fontId="14" fillId="0" borderId="12" xfId="0" applyFont="1" applyFill="1" applyBorder="1" applyAlignment="1">
      <alignment horizontal="center" vertical="center" wrapText="1"/>
    </xf>
    <xf numFmtId="0" fontId="38" fillId="0" borderId="0" xfId="69" applyFont="1" applyFill="1" applyBorder="1" applyAlignment="1" applyProtection="1">
      <alignment vertical="center"/>
      <protection hidden="1"/>
    </xf>
    <xf numFmtId="0" fontId="18" fillId="0" borderId="0" xfId="72" applyFont="1" applyFill="1" applyBorder="1" applyAlignment="1" applyProtection="1">
      <alignment horizontal="center" vertical="center" wrapText="1"/>
      <protection hidden="1"/>
    </xf>
    <xf numFmtId="0" fontId="0" fillId="0" borderId="0" xfId="0"/>
    <xf numFmtId="0" fontId="0" fillId="0" borderId="0" xfId="0" applyFont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Border="1"/>
    <xf numFmtId="0" fontId="21" fillId="0" borderId="0" xfId="0" applyFont="1" applyFill="1" applyBorder="1"/>
    <xf numFmtId="0" fontId="7" fillId="0" borderId="0" xfId="0" applyFont="1" applyFill="1"/>
    <xf numFmtId="0" fontId="72" fillId="0" borderId="0" xfId="0" applyFont="1" applyBorder="1" applyAlignment="1">
      <alignment horizontal="right" vertical="center" wrapText="1"/>
    </xf>
    <xf numFmtId="41" fontId="60" fillId="6" borderId="6" xfId="69" applyNumberFormat="1" applyFont="1" applyFill="1" applyBorder="1" applyAlignment="1">
      <alignment horizontal="center" vertical="center" wrapText="1"/>
    </xf>
    <xf numFmtId="41" fontId="60" fillId="0" borderId="6" xfId="69" applyNumberFormat="1" applyFont="1" applyFill="1" applyBorder="1" applyAlignment="1">
      <alignment horizontal="center" vertical="center" wrapText="1"/>
    </xf>
    <xf numFmtId="0" fontId="44" fillId="0" borderId="0" xfId="46" applyFont="1" applyFill="1" applyBorder="1" applyAlignment="1">
      <alignment horizontal="left" vertical="top" wrapText="1" indent="1"/>
    </xf>
    <xf numFmtId="0" fontId="11" fillId="0" borderId="0" xfId="72" applyFont="1" applyFill="1" applyBorder="1" applyAlignment="1" applyProtection="1">
      <alignment horizontal="center" vertical="center"/>
      <protection hidden="1"/>
    </xf>
    <xf numFmtId="0" fontId="91" fillId="0" borderId="0" xfId="46" applyFont="1"/>
    <xf numFmtId="0" fontId="80" fillId="0" borderId="19" xfId="0" applyFont="1" applyBorder="1" applyAlignment="1">
      <alignment vertical="center" wrapText="1"/>
    </xf>
    <xf numFmtId="0" fontId="80" fillId="0" borderId="0" xfId="0" applyFont="1" applyBorder="1" applyAlignment="1">
      <alignment vertical="center" wrapText="1"/>
    </xf>
    <xf numFmtId="0" fontId="16" fillId="0" borderId="0" xfId="72" applyFont="1" applyFill="1" applyBorder="1" applyAlignment="1" applyProtection="1">
      <alignment wrapText="1"/>
      <protection hidden="1"/>
    </xf>
    <xf numFmtId="0" fontId="47" fillId="0" borderId="0" xfId="72" applyFont="1" applyFill="1" applyBorder="1" applyAlignment="1" applyProtection="1">
      <alignment wrapText="1"/>
      <protection hidden="1"/>
    </xf>
    <xf numFmtId="0" fontId="30" fillId="0" borderId="0" xfId="0" applyFont="1"/>
    <xf numFmtId="0" fontId="61" fillId="0" borderId="0" xfId="80" applyFont="1" applyBorder="1" applyAlignment="1">
      <alignment vertical="center"/>
    </xf>
    <xf numFmtId="167" fontId="80" fillId="0" borderId="0" xfId="118" applyFont="1"/>
    <xf numFmtId="0" fontId="1" fillId="0" borderId="0" xfId="80" applyFont="1" applyFill="1"/>
    <xf numFmtId="0" fontId="42" fillId="0" borderId="0" xfId="46" applyFont="1" applyFill="1"/>
    <xf numFmtId="0" fontId="42" fillId="0" borderId="0" xfId="46" applyFont="1"/>
    <xf numFmtId="0" fontId="38" fillId="0" borderId="0" xfId="46" applyFont="1" applyFill="1"/>
    <xf numFmtId="0" fontId="15" fillId="0" borderId="0" xfId="46" applyFont="1" applyFill="1" applyAlignment="1">
      <alignment vertical="center"/>
    </xf>
    <xf numFmtId="0" fontId="42" fillId="0" borderId="0" xfId="46" applyFill="1" applyAlignment="1">
      <alignment vertical="center"/>
    </xf>
    <xf numFmtId="0" fontId="11" fillId="0" borderId="0" xfId="80" applyFont="1" applyFill="1"/>
    <xf numFmtId="0" fontId="11" fillId="0" borderId="0" xfId="80" applyFont="1"/>
    <xf numFmtId="167" fontId="64" fillId="0" borderId="0" xfId="118" applyFont="1"/>
    <xf numFmtId="0" fontId="0" fillId="0" borderId="0" xfId="0"/>
    <xf numFmtId="0" fontId="16" fillId="3" borderId="1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/>
    <xf numFmtId="0" fontId="19" fillId="0" borderId="0" xfId="1" applyFont="1" applyBorder="1" applyAlignment="1" applyProtection="1">
      <alignment horizontal="center"/>
      <protection hidden="1"/>
    </xf>
    <xf numFmtId="0" fontId="131" fillId="0" borderId="0" xfId="284" applyFont="1" applyAlignment="1" applyProtection="1">
      <alignment horizontal="left"/>
      <protection hidden="1"/>
    </xf>
    <xf numFmtId="0" fontId="19" fillId="0" borderId="0" xfId="1" applyFont="1" applyBorder="1" applyAlignment="1" applyProtection="1">
      <alignment horizontal="left"/>
      <protection hidden="1"/>
    </xf>
    <xf numFmtId="41" fontId="83" fillId="0" borderId="0" xfId="69" applyNumberFormat="1" applyFont="1" applyFill="1" applyBorder="1" applyAlignment="1">
      <alignment horizontal="center" vertical="center" wrapText="1"/>
    </xf>
    <xf numFmtId="41" fontId="83" fillId="0" borderId="0" xfId="69" applyNumberFormat="1" applyFont="1" applyFill="1" applyBorder="1" applyAlignment="1">
      <alignment vertical="center" wrapText="1"/>
    </xf>
    <xf numFmtId="41" fontId="83" fillId="0" borderId="2" xfId="69" applyNumberFormat="1" applyFont="1" applyFill="1" applyBorder="1" applyAlignment="1">
      <alignment vertical="center" wrapText="1"/>
    </xf>
    <xf numFmtId="0" fontId="0" fillId="0" borderId="0" xfId="0"/>
    <xf numFmtId="0" fontId="0" fillId="0" borderId="0" xfId="0"/>
    <xf numFmtId="0" fontId="12" fillId="0" borderId="0" xfId="0" applyFont="1" applyAlignment="1">
      <alignment horizontal="center"/>
    </xf>
    <xf numFmtId="0" fontId="12" fillId="0" borderId="63" xfId="0" applyFont="1" applyBorder="1" applyAlignment="1">
      <alignment horizontal="center"/>
    </xf>
    <xf numFmtId="170" fontId="12" fillId="0" borderId="0" xfId="118" applyNumberFormat="1" applyFont="1" applyAlignment="1">
      <alignment horizontal="center"/>
    </xf>
    <xf numFmtId="0" fontId="12" fillId="0" borderId="0" xfId="0" applyFont="1" applyAlignment="1">
      <alignment horizontal="center" vertical="center"/>
    </xf>
    <xf numFmtId="0" fontId="0" fillId="0" borderId="63" xfId="0" applyBorder="1"/>
    <xf numFmtId="9" fontId="0" fillId="0" borderId="63" xfId="112" applyFont="1" applyBorder="1"/>
    <xf numFmtId="170" fontId="0" fillId="0" borderId="0" xfId="118" applyNumberFormat="1" applyFont="1"/>
    <xf numFmtId="0" fontId="0" fillId="0" borderId="0" xfId="0" applyAlignment="1">
      <alignment horizontal="right" vertical="center"/>
    </xf>
    <xf numFmtId="0" fontId="0" fillId="0" borderId="63" xfId="0" applyBorder="1" applyAlignment="1">
      <alignment horizontal="center" vertical="center"/>
    </xf>
    <xf numFmtId="0" fontId="7" fillId="0" borderId="63" xfId="0" applyFont="1" applyBorder="1" applyAlignment="1">
      <alignment horizontal="center" vertical="center" wrapText="1"/>
    </xf>
    <xf numFmtId="170" fontId="7" fillId="0" borderId="63" xfId="118" applyNumberFormat="1" applyFont="1" applyBorder="1" applyAlignment="1">
      <alignment horizontal="center" vertical="center" wrapText="1"/>
    </xf>
    <xf numFmtId="0" fontId="0" fillId="0" borderId="63" xfId="0" applyBorder="1" applyAlignment="1">
      <alignment vertical="center"/>
    </xf>
    <xf numFmtId="0" fontId="0" fillId="0" borderId="63" xfId="0" applyBorder="1" applyAlignment="1">
      <alignment horizontal="left" vertical="center"/>
    </xf>
    <xf numFmtId="0" fontId="0" fillId="0" borderId="63" xfId="0" applyBorder="1" applyAlignment="1">
      <alignment vertical="center" wrapText="1"/>
    </xf>
    <xf numFmtId="170" fontId="0" fillId="0" borderId="63" xfId="118" applyNumberFormat="1" applyFont="1" applyBorder="1" applyAlignment="1">
      <alignment horizontal="right" vertical="center" wrapText="1"/>
    </xf>
    <xf numFmtId="170" fontId="0" fillId="0" borderId="63" xfId="118" applyNumberFormat="1" applyFont="1" applyBorder="1" applyAlignment="1">
      <alignment horizontal="center" vertical="center"/>
    </xf>
    <xf numFmtId="9" fontId="0" fillId="0" borderId="63" xfId="0" applyNumberFormat="1" applyBorder="1" applyAlignment="1">
      <alignment horizontal="right"/>
    </xf>
    <xf numFmtId="9" fontId="0" fillId="0" borderId="63" xfId="0" applyNumberFormat="1" applyBorder="1" applyAlignment="1">
      <alignment horizontal="right" vertical="center"/>
    </xf>
    <xf numFmtId="0" fontId="11" fillId="0" borderId="63" xfId="0" applyFont="1" applyBorder="1" applyAlignment="1">
      <alignment vertical="center"/>
    </xf>
    <xf numFmtId="0" fontId="11" fillId="0" borderId="63" xfId="0" applyFont="1" applyBorder="1" applyAlignment="1">
      <alignment vertical="center" wrapText="1"/>
    </xf>
    <xf numFmtId="170" fontId="11" fillId="0" borderId="63" xfId="118" applyNumberFormat="1" applyFont="1" applyBorder="1" applyAlignment="1">
      <alignment horizontal="right" vertical="center" wrapText="1"/>
    </xf>
    <xf numFmtId="0" fontId="11" fillId="0" borderId="63" xfId="0" applyFont="1" applyBorder="1" applyAlignment="1">
      <alignment horizontal="center" vertical="center"/>
    </xf>
    <xf numFmtId="170" fontId="11" fillId="0" borderId="63" xfId="118" applyNumberFormat="1" applyFont="1" applyBorder="1" applyAlignment="1">
      <alignment horizontal="center" vertical="center"/>
    </xf>
    <xf numFmtId="9" fontId="11" fillId="0" borderId="63" xfId="0" applyNumberFormat="1" applyFont="1" applyBorder="1" applyAlignment="1">
      <alignment horizontal="right"/>
    </xf>
    <xf numFmtId="9" fontId="11" fillId="0" borderId="63" xfId="0" applyNumberFormat="1" applyFont="1" applyBorder="1" applyAlignment="1">
      <alignment horizontal="right" vertical="center"/>
    </xf>
    <xf numFmtId="0" fontId="11" fillId="0" borderId="63" xfId="0" applyFont="1" applyFill="1" applyBorder="1" applyAlignment="1">
      <alignment vertical="center" wrapText="1"/>
    </xf>
    <xf numFmtId="170" fontId="11" fillId="0" borderId="63" xfId="118" applyNumberFormat="1" applyFont="1" applyFill="1" applyBorder="1" applyAlignment="1">
      <alignment horizontal="right" vertical="center" wrapText="1"/>
    </xf>
    <xf numFmtId="0" fontId="11" fillId="0" borderId="63" xfId="0" applyFont="1" applyFill="1" applyBorder="1" applyAlignment="1">
      <alignment horizontal="center" vertical="center"/>
    </xf>
    <xf numFmtId="170" fontId="11" fillId="0" borderId="63" xfId="118" applyNumberFormat="1" applyFont="1" applyFill="1" applyBorder="1" applyAlignment="1">
      <alignment horizontal="center" vertical="center"/>
    </xf>
    <xf numFmtId="9" fontId="11" fillId="0" borderId="63" xfId="0" applyNumberFormat="1" applyFont="1" applyFill="1" applyBorder="1" applyAlignment="1">
      <alignment horizontal="right" vertical="center"/>
    </xf>
    <xf numFmtId="9" fontId="11" fillId="0" borderId="63" xfId="0" applyNumberFormat="1" applyFont="1" applyFill="1" applyBorder="1" applyAlignment="1">
      <alignment horizontal="right"/>
    </xf>
    <xf numFmtId="0" fontId="11" fillId="0" borderId="63" xfId="0" applyFont="1" applyBorder="1" applyAlignment="1">
      <alignment horizontal="left" vertical="center" wrapText="1"/>
    </xf>
    <xf numFmtId="170" fontId="11" fillId="0" borderId="0" xfId="118" applyNumberFormat="1" applyFont="1" applyAlignment="1">
      <alignment vertical="center" wrapText="1"/>
    </xf>
    <xf numFmtId="0" fontId="11" fillId="0" borderId="0" xfId="0" applyFont="1" applyAlignment="1">
      <alignment horizontal="right" vertical="center"/>
    </xf>
    <xf numFmtId="0" fontId="7" fillId="0" borderId="6" xfId="0" applyFont="1" applyFill="1" applyBorder="1" applyAlignment="1">
      <alignment horizontal="center" vertical="center" wrapText="1"/>
    </xf>
    <xf numFmtId="9" fontId="0" fillId="0" borderId="0" xfId="112" applyFont="1" applyBorder="1"/>
    <xf numFmtId="0" fontId="0" fillId="0" borderId="0" xfId="0" applyFont="1" applyBorder="1" applyAlignment="1">
      <alignment horizontal="left"/>
    </xf>
    <xf numFmtId="169" fontId="19" fillId="0" borderId="0" xfId="1" applyNumberFormat="1" applyFont="1" applyBorder="1" applyAlignment="1" applyProtection="1">
      <alignment horizontal="center"/>
      <protection hidden="1"/>
    </xf>
    <xf numFmtId="0" fontId="0" fillId="0" borderId="0" xfId="0" applyFont="1" applyBorder="1" applyAlignment="1">
      <alignment horizontal="left" vertical="center"/>
    </xf>
    <xf numFmtId="0" fontId="11" fillId="0" borderId="64" xfId="69" applyFont="1" applyFill="1" applyBorder="1" applyAlignment="1" applyProtection="1">
      <alignment horizontal="center"/>
      <protection hidden="1"/>
    </xf>
    <xf numFmtId="0" fontId="16" fillId="0" borderId="64" xfId="69" applyFont="1" applyFill="1" applyBorder="1" applyAlignment="1" applyProtection="1">
      <alignment horizontal="center" vertical="center" wrapText="1"/>
      <protection hidden="1"/>
    </xf>
    <xf numFmtId="41" fontId="70" fillId="6" borderId="6" xfId="69" applyNumberFormat="1" applyFont="1" applyFill="1" applyBorder="1" applyAlignment="1">
      <alignment horizontal="center" vertical="center" wrapText="1"/>
    </xf>
    <xf numFmtId="0" fontId="60" fillId="0" borderId="0" xfId="6" applyFont="1" applyFill="1" applyBorder="1" applyAlignment="1">
      <alignment horizontal="left" vertical="center"/>
    </xf>
    <xf numFmtId="0" fontId="60" fillId="0" borderId="0" xfId="0" applyFont="1" applyAlignment="1">
      <alignment vertical="center"/>
    </xf>
    <xf numFmtId="0" fontId="60" fillId="0" borderId="0" xfId="0" applyFont="1" applyFill="1" applyAlignment="1">
      <alignment vertical="center"/>
    </xf>
    <xf numFmtId="0" fontId="79" fillId="0" borderId="0" xfId="6" applyFont="1" applyFill="1" applyAlignment="1">
      <alignment vertical="center"/>
    </xf>
    <xf numFmtId="0" fontId="5" fillId="0" borderId="0" xfId="72" applyFont="1" applyFill="1" applyAlignment="1" applyProtection="1">
      <alignment horizontal="left" vertical="center"/>
      <protection hidden="1"/>
    </xf>
    <xf numFmtId="0" fontId="44" fillId="0" borderId="0" xfId="46" applyFont="1" applyBorder="1" applyAlignment="1">
      <alignment horizontal="left" vertical="center" wrapText="1"/>
    </xf>
    <xf numFmtId="0" fontId="42" fillId="0" borderId="0" xfId="46" applyAlignment="1">
      <alignment horizontal="left" vertical="center"/>
    </xf>
    <xf numFmtId="0" fontId="7" fillId="0" borderId="0" xfId="46" applyFont="1" applyBorder="1"/>
    <xf numFmtId="0" fontId="1" fillId="0" borderId="0" xfId="74" applyBorder="1"/>
    <xf numFmtId="0" fontId="44" fillId="0" borderId="0" xfId="46" applyFont="1" applyAlignment="1">
      <alignment horizontal="right" indent="1"/>
    </xf>
    <xf numFmtId="0" fontId="14" fillId="0" borderId="0" xfId="46" applyFont="1" applyFill="1" applyBorder="1" applyAlignment="1">
      <alignment horizontal="left" vertical="center" indent="1"/>
    </xf>
    <xf numFmtId="0" fontId="18" fillId="0" borderId="64" xfId="69" applyFont="1" applyFill="1" applyBorder="1" applyAlignment="1" applyProtection="1">
      <alignment horizontal="center" vertical="center" wrapText="1"/>
      <protection hidden="1"/>
    </xf>
    <xf numFmtId="0" fontId="11" fillId="0" borderId="64" xfId="0" applyFont="1" applyBorder="1" applyAlignment="1">
      <alignment vertical="center"/>
    </xf>
    <xf numFmtId="0" fontId="0" fillId="0" borderId="64" xfId="0" applyBorder="1" applyAlignment="1">
      <alignment horizontal="left" vertical="center"/>
    </xf>
    <xf numFmtId="0" fontId="11" fillId="0" borderId="64" xfId="0" applyFont="1" applyBorder="1" applyAlignment="1">
      <alignment vertical="center" wrapText="1"/>
    </xf>
    <xf numFmtId="170" fontId="11" fillId="0" borderId="64" xfId="118" applyNumberFormat="1" applyFont="1" applyBorder="1" applyAlignment="1">
      <alignment horizontal="right" vertical="center" wrapText="1"/>
    </xf>
    <xf numFmtId="0" fontId="11" fillId="0" borderId="64" xfId="0" applyFont="1" applyBorder="1" applyAlignment="1">
      <alignment horizontal="center" vertical="center"/>
    </xf>
    <xf numFmtId="170" fontId="11" fillId="0" borderId="64" xfId="118" applyNumberFormat="1" applyFont="1" applyBorder="1" applyAlignment="1">
      <alignment horizontal="center" vertical="center"/>
    </xf>
    <xf numFmtId="9" fontId="11" fillId="0" borderId="64" xfId="0" applyNumberFormat="1" applyFont="1" applyBorder="1" applyAlignment="1">
      <alignment horizontal="right"/>
    </xf>
    <xf numFmtId="0" fontId="63" fillId="0" borderId="0" xfId="46" applyFont="1" applyFill="1"/>
    <xf numFmtId="49" fontId="30" fillId="0" borderId="0" xfId="0" applyNumberFormat="1" applyFont="1" applyAlignment="1"/>
    <xf numFmtId="41" fontId="60" fillId="6" borderId="64" xfId="69" applyNumberFormat="1" applyFont="1" applyFill="1" applyBorder="1" applyAlignment="1">
      <alignment horizontal="center" vertical="center" wrapText="1"/>
    </xf>
    <xf numFmtId="41" fontId="60" fillId="0" borderId="64" xfId="69" applyNumberFormat="1" applyFont="1" applyFill="1" applyBorder="1" applyAlignment="1">
      <alignment horizontal="center" vertical="center" wrapText="1"/>
    </xf>
    <xf numFmtId="0" fontId="58" fillId="0" borderId="0" xfId="0" applyFont="1"/>
    <xf numFmtId="0" fontId="7" fillId="0" borderId="6" xfId="0" applyFont="1" applyFill="1" applyBorder="1" applyAlignment="1">
      <alignment horizontal="center" vertical="center" wrapText="1"/>
    </xf>
    <xf numFmtId="0" fontId="0" fillId="0" borderId="0" xfId="0"/>
    <xf numFmtId="41" fontId="0" fillId="0" borderId="0" xfId="0" applyNumberFormat="1" applyFill="1"/>
    <xf numFmtId="41" fontId="21" fillId="0" borderId="64" xfId="0" applyNumberFormat="1" applyFont="1" applyFill="1" applyBorder="1" applyAlignment="1">
      <alignment vertical="top"/>
    </xf>
    <xf numFmtId="0" fontId="0" fillId="0" borderId="64" xfId="0" applyBorder="1"/>
    <xf numFmtId="0" fontId="0" fillId="0" borderId="64" xfId="0" applyFill="1" applyBorder="1"/>
    <xf numFmtId="41" fontId="60" fillId="0" borderId="64" xfId="0" applyNumberFormat="1" applyFont="1" applyFill="1" applyBorder="1" applyAlignment="1">
      <alignment horizontal="center" vertical="center"/>
    </xf>
    <xf numFmtId="0" fontId="11" fillId="6" borderId="64" xfId="0" applyFont="1" applyFill="1" applyBorder="1"/>
    <xf numFmtId="41" fontId="60" fillId="6" borderId="64" xfId="0" applyNumberFormat="1" applyFont="1" applyFill="1" applyBorder="1" applyAlignment="1">
      <alignment horizontal="center" vertical="center"/>
    </xf>
    <xf numFmtId="0" fontId="21" fillId="6" borderId="64" xfId="0" applyFont="1" applyFill="1" applyBorder="1"/>
    <xf numFmtId="0" fontId="0" fillId="0" borderId="0" xfId="0" applyFont="1"/>
    <xf numFmtId="0" fontId="0" fillId="0" borderId="0" xfId="0"/>
    <xf numFmtId="41" fontId="60" fillId="6" borderId="6" xfId="69" applyNumberFormat="1" applyFont="1" applyFill="1" applyBorder="1" applyAlignment="1">
      <alignment horizontal="center" vertical="center" wrapText="1"/>
    </xf>
    <xf numFmtId="0" fontId="16" fillId="6" borderId="64" xfId="46" applyFont="1" applyFill="1" applyBorder="1" applyAlignment="1">
      <alignment horizontal="center" vertical="center" wrapText="1"/>
    </xf>
    <xf numFmtId="3" fontId="60" fillId="6" borderId="64" xfId="46" applyNumberFormat="1" applyFont="1" applyFill="1" applyBorder="1" applyAlignment="1">
      <alignment horizontal="center" vertical="center"/>
    </xf>
    <xf numFmtId="0" fontId="18" fillId="0" borderId="64" xfId="46" applyFont="1" applyBorder="1" applyAlignment="1">
      <alignment horizontal="center" vertical="center" wrapText="1"/>
    </xf>
    <xf numFmtId="0" fontId="16" fillId="0" borderId="64" xfId="46" applyFont="1" applyBorder="1" applyAlignment="1">
      <alignment horizontal="center" vertical="center" wrapText="1"/>
    </xf>
    <xf numFmtId="0" fontId="16" fillId="3" borderId="64" xfId="46" applyFont="1" applyFill="1" applyBorder="1" applyAlignment="1">
      <alignment horizontal="center" vertical="center" wrapText="1"/>
    </xf>
    <xf numFmtId="0" fontId="16" fillId="3" borderId="64" xfId="0" applyFont="1" applyFill="1" applyBorder="1" applyAlignment="1">
      <alignment horizontal="left" vertical="center" wrapText="1" indent="1"/>
    </xf>
    <xf numFmtId="41" fontId="11" fillId="6" borderId="64" xfId="0" applyNumberFormat="1" applyFont="1" applyFill="1" applyBorder="1"/>
    <xf numFmtId="0" fontId="16" fillId="6" borderId="64" xfId="46" applyFont="1" applyFill="1" applyBorder="1" applyAlignment="1">
      <alignment horizontal="left" vertical="center" wrapText="1" indent="1"/>
    </xf>
    <xf numFmtId="41" fontId="60" fillId="6" borderId="6" xfId="69" applyNumberFormat="1" applyFont="1" applyFill="1" applyBorder="1" applyAlignment="1">
      <alignment horizontal="center" vertical="center" wrapText="1"/>
    </xf>
    <xf numFmtId="0" fontId="16" fillId="3" borderId="64" xfId="46" applyFont="1" applyFill="1" applyBorder="1" applyAlignment="1">
      <alignment horizontal="left" vertical="center" wrapText="1" indent="1"/>
    </xf>
    <xf numFmtId="41" fontId="60" fillId="6" borderId="6" xfId="69" applyNumberFormat="1" applyFont="1" applyFill="1" applyBorder="1" applyAlignment="1">
      <alignment horizontal="center" vertical="center" wrapText="1"/>
    </xf>
    <xf numFmtId="41" fontId="70" fillId="0" borderId="6" xfId="69" applyNumberFormat="1" applyFont="1" applyFill="1" applyBorder="1" applyAlignment="1">
      <alignment horizontal="center" vertical="center" wrapText="1"/>
    </xf>
    <xf numFmtId="3" fontId="60" fillId="0" borderId="6" xfId="46" applyNumberFormat="1" applyFont="1" applyFill="1" applyBorder="1" applyAlignment="1">
      <alignment horizontal="center" vertical="center"/>
    </xf>
    <xf numFmtId="0" fontId="44" fillId="9" borderId="64" xfId="46" applyFont="1" applyFill="1" applyBorder="1" applyAlignment="1">
      <alignment horizontal="center" vertical="center"/>
    </xf>
    <xf numFmtId="0" fontId="15" fillId="6" borderId="64" xfId="80" applyFont="1" applyFill="1" applyBorder="1" applyAlignment="1">
      <alignment horizontal="left" vertical="center" indent="1"/>
    </xf>
    <xf numFmtId="0" fontId="15" fillId="0" borderId="64" xfId="80" applyFont="1" applyBorder="1" applyAlignment="1">
      <alignment horizontal="left" vertical="center" indent="1"/>
    </xf>
    <xf numFmtId="0" fontId="44" fillId="9" borderId="64" xfId="46" applyFont="1" applyFill="1" applyBorder="1" applyAlignment="1">
      <alignment horizontal="left" vertical="center"/>
    </xf>
    <xf numFmtId="0" fontId="30" fillId="6" borderId="64" xfId="80" applyFont="1" applyFill="1" applyBorder="1" applyAlignment="1">
      <alignment horizontal="left" vertical="center" indent="1"/>
    </xf>
    <xf numFmtId="0" fontId="30" fillId="0" borderId="64" xfId="80" applyFont="1" applyBorder="1" applyAlignment="1">
      <alignment horizontal="left" vertical="center" indent="1"/>
    </xf>
    <xf numFmtId="0" fontId="30" fillId="0" borderId="64" xfId="80" applyFont="1" applyFill="1" applyBorder="1" applyAlignment="1">
      <alignment horizontal="left" vertical="center" indent="1"/>
    </xf>
    <xf numFmtId="0" fontId="64" fillId="0" borderId="64" xfId="60" applyBorder="1"/>
    <xf numFmtId="0" fontId="34" fillId="0" borderId="0" xfId="60" applyFont="1"/>
    <xf numFmtId="0" fontId="34" fillId="0" borderId="0" xfId="60" applyFont="1" applyAlignment="1">
      <alignment vertical="center"/>
    </xf>
    <xf numFmtId="9" fontId="64" fillId="0" borderId="0" xfId="60" applyNumberFormat="1" applyAlignment="1">
      <alignment horizontal="left"/>
    </xf>
    <xf numFmtId="0" fontId="58" fillId="0" borderId="0" xfId="60" applyFont="1"/>
    <xf numFmtId="0" fontId="43" fillId="0" borderId="0" xfId="46" applyFont="1" applyFill="1" applyAlignment="1">
      <alignment wrapText="1"/>
    </xf>
    <xf numFmtId="0" fontId="64" fillId="0" borderId="0" xfId="60" applyBorder="1"/>
    <xf numFmtId="0" fontId="0" fillId="0" borderId="0" xfId="0"/>
    <xf numFmtId="0" fontId="0" fillId="0" borderId="0" xfId="0" applyFont="1"/>
    <xf numFmtId="0" fontId="0" fillId="0" borderId="0" xfId="0"/>
    <xf numFmtId="0" fontId="0" fillId="0" borderId="0" xfId="0" applyFont="1"/>
    <xf numFmtId="0" fontId="0" fillId="0" borderId="0" xfId="0"/>
    <xf numFmtId="0" fontId="16" fillId="6" borderId="68" xfId="0" applyFont="1" applyFill="1" applyBorder="1" applyAlignment="1">
      <alignment horizontal="left" vertical="center" wrapText="1" indent="1"/>
    </xf>
    <xf numFmtId="0" fontId="11" fillId="0" borderId="0" xfId="0" applyFont="1" applyBorder="1" applyAlignment="1">
      <alignment vertical="center"/>
    </xf>
    <xf numFmtId="41" fontId="11" fillId="0" borderId="64" xfId="0" applyNumberFormat="1" applyFont="1" applyFill="1" applyBorder="1" applyAlignment="1">
      <alignment vertical="top"/>
    </xf>
    <xf numFmtId="0" fontId="19" fillId="0" borderId="0" xfId="1" applyFont="1" applyFill="1" applyBorder="1" applyAlignment="1" applyProtection="1">
      <alignment horizontal="center"/>
      <protection hidden="1"/>
    </xf>
    <xf numFmtId="0" fontId="0" fillId="0" borderId="0" xfId="0" applyFill="1" applyBorder="1" applyAlignment="1">
      <alignment vertical="center"/>
    </xf>
    <xf numFmtId="0" fontId="1" fillId="0" borderId="0" xfId="74" applyFill="1" applyBorder="1"/>
    <xf numFmtId="0" fontId="7" fillId="0" borderId="0" xfId="0" applyFont="1" applyFill="1" applyBorder="1"/>
    <xf numFmtId="169" fontId="0" fillId="0" borderId="0" xfId="0" applyNumberFormat="1" applyFill="1" applyBorder="1"/>
    <xf numFmtId="41" fontId="55" fillId="0" borderId="13" xfId="0" applyNumberFormat="1" applyFont="1" applyFill="1" applyBorder="1" applyAlignment="1">
      <alignment horizontal="center" vertical="center" wrapText="1"/>
    </xf>
    <xf numFmtId="169" fontId="0" fillId="0" borderId="0" xfId="0" applyNumberFormat="1" applyFont="1" applyFill="1" applyBorder="1"/>
    <xf numFmtId="169" fontId="21" fillId="0" borderId="0" xfId="0" applyNumberFormat="1" applyFont="1" applyFill="1" applyBorder="1"/>
    <xf numFmtId="0" fontId="6" fillId="0" borderId="0" xfId="17" applyFill="1" applyBorder="1" applyAlignment="1">
      <alignment horizontal="left" vertical="center" indent="1"/>
    </xf>
    <xf numFmtId="0" fontId="11" fillId="0" borderId="64" xfId="0" applyFont="1" applyFill="1" applyBorder="1"/>
    <xf numFmtId="0" fontId="21" fillId="0" borderId="64" xfId="0" applyFont="1" applyFill="1" applyBorder="1"/>
    <xf numFmtId="41" fontId="11" fillId="0" borderId="64" xfId="0" applyNumberFormat="1" applyFont="1" applyFill="1" applyBorder="1"/>
    <xf numFmtId="41" fontId="0" fillId="0" borderId="0" xfId="0" applyNumberFormat="1" applyFill="1" applyBorder="1"/>
    <xf numFmtId="0" fontId="60" fillId="0" borderId="0" xfId="46" applyFont="1" applyAlignment="1"/>
    <xf numFmtId="0" fontId="60" fillId="0" borderId="0" xfId="46" applyFont="1" applyFill="1" applyAlignment="1"/>
    <xf numFmtId="173" fontId="71" fillId="0" borderId="64" xfId="77" applyNumberFormat="1" applyFont="1" applyBorder="1" applyAlignment="1">
      <alignment vertical="center"/>
    </xf>
    <xf numFmtId="0" fontId="139" fillId="0" borderId="0" xfId="46" applyFont="1"/>
    <xf numFmtId="0" fontId="140" fillId="6" borderId="64" xfId="74" applyFont="1" applyFill="1" applyBorder="1" applyAlignment="1">
      <alignment vertical="center"/>
    </xf>
    <xf numFmtId="0" fontId="142" fillId="0" borderId="0" xfId="74" applyFont="1"/>
    <xf numFmtId="0" fontId="12" fillId="0" borderId="0" xfId="0" applyFont="1" applyFill="1" applyBorder="1" applyAlignment="1">
      <alignment vertical="center"/>
    </xf>
    <xf numFmtId="0" fontId="27" fillId="0" borderId="0" xfId="0" applyFont="1" applyFill="1" applyBorder="1" applyAlignment="1">
      <alignment vertical="center"/>
    </xf>
    <xf numFmtId="0" fontId="0" fillId="0" borderId="0" xfId="0" applyFill="1" applyBorder="1" applyAlignment="1"/>
    <xf numFmtId="0" fontId="12" fillId="0" borderId="0" xfId="0" applyFont="1" applyFill="1" applyBorder="1" applyAlignment="1">
      <alignment vertical="center" wrapText="1"/>
    </xf>
    <xf numFmtId="0" fontId="0" fillId="0" borderId="0" xfId="0" applyFill="1" applyBorder="1" applyAlignment="1">
      <alignment wrapText="1"/>
    </xf>
    <xf numFmtId="0" fontId="73" fillId="0" borderId="29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horizontal="left" vertical="top" wrapText="1" indent="6"/>
    </xf>
    <xf numFmtId="0" fontId="0" fillId="0" borderId="0" xfId="0" applyFont="1" applyFill="1" applyBorder="1" applyAlignment="1">
      <alignment vertical="center" wrapText="1"/>
    </xf>
    <xf numFmtId="0" fontId="0" fillId="0" borderId="0" xfId="0" applyFill="1" applyBorder="1" applyAlignment="1">
      <alignment horizontal="left"/>
    </xf>
    <xf numFmtId="0" fontId="12" fillId="0" borderId="0" xfId="0" applyFont="1" applyFill="1" applyBorder="1"/>
    <xf numFmtId="0" fontId="15" fillId="0" borderId="0" xfId="46" applyFont="1" applyFill="1" applyBorder="1" applyAlignment="1">
      <alignment horizontal="center" vertical="center" wrapText="1"/>
    </xf>
    <xf numFmtId="41" fontId="78" fillId="0" borderId="16" xfId="0" applyNumberFormat="1" applyFont="1" applyFill="1" applyBorder="1" applyAlignment="1">
      <alignment horizontal="center" vertical="center" wrapText="1"/>
    </xf>
    <xf numFmtId="0" fontId="17" fillId="7" borderId="66" xfId="0" applyFont="1" applyFill="1" applyBorder="1" applyAlignment="1">
      <alignment vertical="center" wrapText="1"/>
    </xf>
    <xf numFmtId="0" fontId="19" fillId="0" borderId="0" xfId="1" applyFont="1" applyFill="1" applyBorder="1" applyAlignment="1" applyProtection="1">
      <protection hidden="1"/>
    </xf>
    <xf numFmtId="0" fontId="145" fillId="0" borderId="0" xfId="284" applyFont="1" applyAlignment="1" applyProtection="1">
      <alignment horizontal="left"/>
      <protection hidden="1"/>
    </xf>
    <xf numFmtId="0" fontId="144" fillId="0" borderId="0" xfId="284" applyFont="1" applyAlignment="1" applyProtection="1">
      <alignment horizontal="left"/>
      <protection hidden="1"/>
    </xf>
    <xf numFmtId="0" fontId="86" fillId="0" borderId="0" xfId="46" applyFont="1" applyFill="1" applyBorder="1"/>
    <xf numFmtId="0" fontId="53" fillId="0" borderId="0" xfId="46" applyFont="1" applyFill="1" applyBorder="1"/>
    <xf numFmtId="0" fontId="25" fillId="0" borderId="0" xfId="46" applyFont="1" applyFill="1" applyBorder="1"/>
    <xf numFmtId="0" fontId="85" fillId="0" borderId="0" xfId="46" applyFont="1" applyFill="1" applyBorder="1"/>
    <xf numFmtId="0" fontId="42" fillId="0" borderId="0" xfId="46" applyFill="1" applyBorder="1" applyAlignment="1">
      <alignment horizontal="center" vertical="center" wrapText="1"/>
    </xf>
    <xf numFmtId="0" fontId="42" fillId="0" borderId="0" xfId="46" applyFill="1" applyBorder="1" applyAlignment="1"/>
    <xf numFmtId="173" fontId="30" fillId="6" borderId="64" xfId="77" applyNumberFormat="1" applyFont="1" applyFill="1" applyBorder="1" applyAlignment="1">
      <alignment horizontal="center" vertical="center"/>
    </xf>
    <xf numFmtId="173" fontId="30" fillId="0" borderId="64" xfId="77" applyNumberFormat="1" applyFont="1" applyFill="1" applyBorder="1" applyAlignment="1">
      <alignment horizontal="center" vertical="center"/>
    </xf>
    <xf numFmtId="171" fontId="0" fillId="0" borderId="0" xfId="0" applyNumberFormat="1" applyFont="1" applyFill="1" applyBorder="1"/>
    <xf numFmtId="172" fontId="137" fillId="0" borderId="64" xfId="60" applyNumberFormat="1" applyFont="1" applyBorder="1"/>
    <xf numFmtId="0" fontId="0" fillId="0" borderId="0" xfId="0" applyFont="1"/>
    <xf numFmtId="0" fontId="7" fillId="0" borderId="0" xfId="74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72" fontId="137" fillId="0" borderId="64" xfId="60" applyNumberFormat="1" applyFont="1" applyBorder="1" applyAlignment="1">
      <alignment vertical="center"/>
    </xf>
    <xf numFmtId="41" fontId="60" fillId="6" borderId="64" xfId="75" applyNumberFormat="1" applyFont="1" applyFill="1" applyBorder="1" applyAlignment="1">
      <alignment horizontal="center" vertical="center" wrapText="1"/>
    </xf>
    <xf numFmtId="41" fontId="60" fillId="0" borderId="64" xfId="75" applyNumberFormat="1" applyFont="1" applyFill="1" applyBorder="1" applyAlignment="1">
      <alignment horizontal="center" vertical="center" wrapText="1"/>
    </xf>
    <xf numFmtId="0" fontId="44" fillId="0" borderId="0" xfId="46" applyFont="1" applyFill="1" applyBorder="1" applyAlignment="1">
      <alignment horizontal="left" vertical="center" wrapText="1"/>
    </xf>
    <xf numFmtId="0" fontId="1" fillId="0" borderId="0" xfId="74" applyFont="1" applyFill="1" applyBorder="1"/>
    <xf numFmtId="41" fontId="60" fillId="0" borderId="0" xfId="75" applyNumberFormat="1" applyFont="1" applyFill="1" applyBorder="1" applyAlignment="1">
      <alignment horizontal="center" vertical="center" wrapText="1"/>
    </xf>
    <xf numFmtId="41" fontId="60" fillId="0" borderId="0" xfId="75" applyNumberFormat="1" applyFont="1" applyFill="1" applyBorder="1" applyAlignment="1">
      <alignment horizontal="right" vertical="center" wrapText="1"/>
    </xf>
    <xf numFmtId="0" fontId="44" fillId="0" borderId="0" xfId="46" applyFont="1" applyBorder="1" applyAlignment="1">
      <alignment vertical="center" wrapText="1"/>
    </xf>
    <xf numFmtId="0" fontId="21" fillId="0" borderId="0" xfId="0" applyFont="1" applyFill="1" applyBorder="1" applyAlignment="1">
      <alignment vertical="center"/>
    </xf>
    <xf numFmtId="0" fontId="67" fillId="0" borderId="0" xfId="74" applyFont="1"/>
    <xf numFmtId="0" fontId="146" fillId="0" borderId="0" xfId="284" applyFont="1" applyAlignment="1" applyProtection="1">
      <alignment horizontal="left"/>
      <protection hidden="1"/>
    </xf>
    <xf numFmtId="0" fontId="64" fillId="0" borderId="0" xfId="60" applyAlignment="1">
      <alignment wrapText="1"/>
    </xf>
    <xf numFmtId="172" fontId="137" fillId="0" borderId="64" xfId="60" applyNumberFormat="1" applyFont="1" applyBorder="1" applyAlignment="1">
      <alignment vertical="center" wrapText="1"/>
    </xf>
    <xf numFmtId="0" fontId="64" fillId="0" borderId="0" xfId="60" applyAlignment="1">
      <alignment horizontal="left"/>
    </xf>
    <xf numFmtId="172" fontId="137" fillId="0" borderId="64" xfId="287" applyNumberFormat="1" applyFont="1" applyBorder="1" applyAlignment="1">
      <alignment horizontal="left" vertical="top" wrapText="1"/>
    </xf>
    <xf numFmtId="0" fontId="12" fillId="0" borderId="64" xfId="60" applyFont="1" applyBorder="1" applyAlignment="1">
      <alignment horizontal="left" vertical="center" wrapText="1"/>
    </xf>
    <xf numFmtId="0" fontId="18" fillId="6" borderId="64" xfId="80" applyFont="1" applyFill="1" applyBorder="1" applyAlignment="1">
      <alignment horizontal="left" vertical="center" indent="1"/>
    </xf>
    <xf numFmtId="173" fontId="31" fillId="6" borderId="64" xfId="77" applyNumberFormat="1" applyFont="1" applyFill="1" applyBorder="1" applyAlignment="1">
      <alignment horizontal="center" vertical="center"/>
    </xf>
    <xf numFmtId="0" fontId="135" fillId="0" borderId="0" xfId="46" applyFont="1" applyAlignment="1">
      <alignment vertical="center"/>
    </xf>
    <xf numFmtId="0" fontId="47" fillId="8" borderId="64" xfId="80" applyFont="1" applyFill="1" applyBorder="1" applyAlignment="1">
      <alignment horizontal="right" vertical="center" indent="1"/>
    </xf>
    <xf numFmtId="173" fontId="24" fillId="8" borderId="64" xfId="77" applyNumberFormat="1" applyFont="1" applyFill="1" applyBorder="1" applyAlignment="1">
      <alignment horizontal="center" vertical="center"/>
    </xf>
    <xf numFmtId="0" fontId="135" fillId="0" borderId="0" xfId="46" applyFont="1"/>
    <xf numFmtId="173" fontId="34" fillId="0" borderId="0" xfId="80" applyNumberFormat="1" applyFont="1"/>
    <xf numFmtId="0" fontId="34" fillId="0" borderId="0" xfId="80" applyFont="1"/>
    <xf numFmtId="0" fontId="7" fillId="0" borderId="0" xfId="80" applyFont="1"/>
    <xf numFmtId="0" fontId="7" fillId="0" borderId="0" xfId="60" applyFont="1"/>
    <xf numFmtId="0" fontId="147" fillId="0" borderId="0" xfId="60" applyFont="1"/>
    <xf numFmtId="0" fontId="148" fillId="0" borderId="0" xfId="60" applyFont="1"/>
    <xf numFmtId="0" fontId="147" fillId="0" borderId="0" xfId="60" applyFont="1" applyAlignment="1">
      <alignment horizontal="left" vertical="center"/>
    </xf>
    <xf numFmtId="0" fontId="66" fillId="0" borderId="0" xfId="60" applyFont="1" applyAlignment="1">
      <alignment horizontal="center"/>
    </xf>
    <xf numFmtId="0" fontId="147" fillId="0" borderId="64" xfId="60" applyFont="1" applyBorder="1" applyAlignment="1">
      <alignment horizontal="center" vertical="center"/>
    </xf>
    <xf numFmtId="0" fontId="150" fillId="0" borderId="64" xfId="60" applyFont="1" applyBorder="1" applyAlignment="1">
      <alignment vertical="center"/>
    </xf>
    <xf numFmtId="0" fontId="149" fillId="0" borderId="64" xfId="60" applyFont="1" applyBorder="1" applyAlignment="1">
      <alignment vertical="center"/>
    </xf>
    <xf numFmtId="0" fontId="148" fillId="0" borderId="64" xfId="60" applyFont="1" applyBorder="1"/>
    <xf numFmtId="0" fontId="35" fillId="0" borderId="0" xfId="60" applyFont="1" applyAlignment="1">
      <alignment horizontal="left" vertical="center"/>
    </xf>
    <xf numFmtId="0" fontId="151" fillId="6" borderId="70" xfId="0" applyFont="1" applyFill="1" applyBorder="1" applyAlignment="1">
      <alignment horizontal="center" vertical="center" wrapText="1"/>
    </xf>
    <xf numFmtId="0" fontId="152" fillId="6" borderId="70" xfId="0" applyFont="1" applyFill="1" applyBorder="1" applyAlignment="1">
      <alignment horizontal="center" vertical="center" wrapText="1"/>
    </xf>
    <xf numFmtId="0" fontId="151" fillId="0" borderId="70" xfId="0" applyFont="1" applyBorder="1" applyAlignment="1">
      <alignment horizontal="justify" vertical="center" wrapText="1"/>
    </xf>
    <xf numFmtId="0" fontId="152" fillId="0" borderId="70" xfId="0" applyFont="1" applyBorder="1" applyAlignment="1">
      <alignment horizontal="justify" vertical="center" wrapText="1"/>
    </xf>
    <xf numFmtId="0" fontId="151" fillId="0" borderId="70" xfId="0" applyFont="1" applyBorder="1" applyAlignment="1">
      <alignment horizontal="center" vertical="center" wrapText="1"/>
    </xf>
    <xf numFmtId="172" fontId="147" fillId="0" borderId="64" xfId="287" applyNumberFormat="1" applyFont="1" applyBorder="1" applyAlignment="1"/>
    <xf numFmtId="0" fontId="147" fillId="0" borderId="64" xfId="60" applyFont="1" applyBorder="1" applyAlignment="1">
      <alignment wrapText="1"/>
    </xf>
    <xf numFmtId="14" fontId="137" fillId="0" borderId="0" xfId="60" applyNumberFormat="1" applyFont="1" applyBorder="1" applyAlignment="1">
      <alignment vertical="center" wrapText="1"/>
    </xf>
    <xf numFmtId="0" fontId="44" fillId="0" borderId="0" xfId="46" applyFont="1" applyBorder="1" applyAlignment="1">
      <alignment horizontal="left" vertical="top" wrapText="1" indent="1"/>
    </xf>
    <xf numFmtId="0" fontId="34" fillId="0" borderId="64" xfId="60" applyFont="1" applyBorder="1" applyAlignment="1">
      <alignment vertical="center" wrapText="1"/>
    </xf>
    <xf numFmtId="0" fontId="147" fillId="0" borderId="64" xfId="60" applyFont="1" applyBorder="1"/>
    <xf numFmtId="0" fontId="34" fillId="0" borderId="64" xfId="60" applyFont="1" applyBorder="1" applyAlignment="1">
      <alignment horizontal="center" vertical="center"/>
    </xf>
    <xf numFmtId="0" fontId="38" fillId="0" borderId="0" xfId="69" applyFont="1" applyFill="1" applyAlignment="1" applyProtection="1">
      <alignment vertical="center"/>
      <protection hidden="1"/>
    </xf>
    <xf numFmtId="41" fontId="83" fillId="0" borderId="2" xfId="69" applyNumberFormat="1" applyFont="1" applyFill="1" applyBorder="1" applyAlignment="1">
      <alignment horizontal="center" vertical="center" wrapText="1"/>
    </xf>
    <xf numFmtId="41" fontId="78" fillId="0" borderId="13" xfId="0" applyNumberFormat="1" applyFont="1" applyFill="1" applyBorder="1" applyAlignment="1">
      <alignment horizontal="center" vertical="center" wrapText="1"/>
    </xf>
    <xf numFmtId="41" fontId="70" fillId="0" borderId="12" xfId="0" applyNumberFormat="1" applyFont="1" applyFill="1" applyBorder="1" applyAlignment="1">
      <alignment horizontal="center" vertical="center" wrapText="1"/>
    </xf>
    <xf numFmtId="0" fontId="0" fillId="0" borderId="0" xfId="0" applyFont="1"/>
    <xf numFmtId="41" fontId="11" fillId="0" borderId="0" xfId="0" applyNumberFormat="1" applyFont="1" applyFill="1" applyBorder="1" applyAlignment="1">
      <alignment vertical="top"/>
    </xf>
    <xf numFmtId="41" fontId="14" fillId="0" borderId="0" xfId="0" applyNumberFormat="1" applyFont="1" applyFill="1" applyBorder="1" applyAlignment="1">
      <alignment vertical="top"/>
    </xf>
    <xf numFmtId="0" fontId="147" fillId="0" borderId="64" xfId="60" applyFont="1" applyBorder="1" applyAlignment="1">
      <alignment vertical="top"/>
    </xf>
    <xf numFmtId="172" fontId="137" fillId="0" borderId="64" xfId="60" applyNumberFormat="1" applyFont="1" applyBorder="1" applyAlignment="1">
      <alignment horizontal="left" vertical="center" wrapText="1"/>
    </xf>
    <xf numFmtId="0" fontId="42" fillId="0" borderId="0" xfId="46" applyBorder="1" applyAlignment="1"/>
    <xf numFmtId="0" fontId="64" fillId="0" borderId="64" xfId="60" applyBorder="1" applyAlignment="1">
      <alignment horizontal="center" vertical="center"/>
    </xf>
    <xf numFmtId="0" fontId="64" fillId="0" borderId="64" xfId="60" applyBorder="1" applyAlignment="1">
      <alignment horizontal="left" wrapText="1"/>
    </xf>
    <xf numFmtId="0" fontId="0" fillId="0" borderId="0" xfId="0" applyFont="1"/>
    <xf numFmtId="41" fontId="60" fillId="6" borderId="6" xfId="69" applyNumberFormat="1" applyFont="1" applyFill="1" applyBorder="1" applyAlignment="1">
      <alignment horizontal="center" vertical="center" wrapText="1"/>
    </xf>
    <xf numFmtId="0" fontId="154" fillId="0" borderId="64" xfId="0" applyFont="1" applyBorder="1" applyAlignment="1" applyProtection="1">
      <alignment vertical="center" wrapText="1"/>
      <protection hidden="1"/>
    </xf>
    <xf numFmtId="9" fontId="76" fillId="2" borderId="64" xfId="14" applyFont="1" applyFill="1" applyBorder="1" applyAlignment="1" applyProtection="1">
      <alignment horizontal="right" vertical="center" wrapText="1"/>
      <protection hidden="1"/>
    </xf>
    <xf numFmtId="9" fontId="76" fillId="8" borderId="64" xfId="14" applyFont="1" applyFill="1" applyBorder="1" applyAlignment="1" applyProtection="1">
      <alignment horizontal="right" vertical="center" wrapText="1"/>
      <protection hidden="1"/>
    </xf>
    <xf numFmtId="169" fontId="156" fillId="8" borderId="64" xfId="0" applyNumberFormat="1" applyFont="1" applyFill="1" applyBorder="1" applyAlignment="1" applyProtection="1">
      <alignment horizontal="right" vertical="center" wrapText="1"/>
      <protection hidden="1"/>
    </xf>
    <xf numFmtId="9" fontId="0" fillId="0" borderId="0" xfId="14" applyFont="1" applyFill="1"/>
    <xf numFmtId="9" fontId="14" fillId="0" borderId="0" xfId="14" applyFont="1" applyFill="1" applyBorder="1" applyAlignment="1">
      <alignment vertical="top"/>
    </xf>
    <xf numFmtId="0" fontId="60" fillId="0" borderId="6" xfId="46" applyFont="1" applyBorder="1" applyAlignment="1">
      <alignment horizontal="center" vertical="center" wrapText="1"/>
    </xf>
    <xf numFmtId="9" fontId="11" fillId="6" borderId="6" xfId="46" applyNumberFormat="1" applyFont="1" applyFill="1" applyBorder="1" applyAlignment="1">
      <alignment horizontal="center" vertical="center"/>
    </xf>
    <xf numFmtId="9" fontId="11" fillId="0" borderId="6" xfId="46" applyNumberFormat="1" applyFont="1" applyBorder="1" applyAlignment="1">
      <alignment horizontal="center" vertical="center"/>
    </xf>
    <xf numFmtId="0" fontId="12" fillId="0" borderId="64" xfId="0" applyFont="1" applyFill="1" applyBorder="1" applyAlignment="1">
      <alignment horizontal="center" vertical="center" wrapText="1"/>
    </xf>
    <xf numFmtId="168" fontId="0" fillId="0" borderId="0" xfId="0" applyNumberFormat="1" applyFont="1" applyFill="1" applyBorder="1"/>
    <xf numFmtId="173" fontId="88" fillId="0" borderId="64" xfId="77" applyNumberFormat="1" applyFont="1" applyBorder="1" applyAlignment="1">
      <alignment vertical="center"/>
    </xf>
    <xf numFmtId="173" fontId="88" fillId="6" borderId="64" xfId="77" applyNumberFormat="1" applyFont="1" applyFill="1" applyBorder="1" applyAlignment="1">
      <alignment vertical="center"/>
    </xf>
    <xf numFmtId="0" fontId="157" fillId="0" borderId="0" xfId="46" applyFont="1"/>
    <xf numFmtId="0" fontId="0" fillId="0" borderId="0" xfId="0" applyFill="1" applyBorder="1" applyProtection="1">
      <protection locked="0" hidden="1"/>
    </xf>
    <xf numFmtId="9" fontId="0" fillId="0" borderId="0" xfId="14" applyFont="1" applyProtection="1">
      <protection locked="0"/>
    </xf>
    <xf numFmtId="0" fontId="0" fillId="0" borderId="0" xfId="0" applyFill="1" applyBorder="1" applyProtection="1">
      <protection locked="0"/>
    </xf>
    <xf numFmtId="0" fontId="0" fillId="0" borderId="0" xfId="0" applyProtection="1">
      <protection locked="0"/>
    </xf>
    <xf numFmtId="0" fontId="0" fillId="0" borderId="0" xfId="0" applyProtection="1">
      <protection locked="0" hidden="1"/>
    </xf>
    <xf numFmtId="0" fontId="0" fillId="0" borderId="64" xfId="0" applyBorder="1" applyAlignment="1" applyProtection="1">
      <alignment vertical="center"/>
      <protection locked="0" hidden="1"/>
    </xf>
    <xf numFmtId="0" fontId="7" fillId="0" borderId="64" xfId="0" applyFont="1" applyBorder="1" applyAlignment="1" applyProtection="1">
      <alignment horizontal="center" vertical="center" wrapText="1"/>
      <protection locked="0" hidden="1"/>
    </xf>
    <xf numFmtId="0" fontId="7" fillId="0" borderId="0" xfId="0" applyFont="1" applyProtection="1">
      <protection locked="0"/>
    </xf>
    <xf numFmtId="169" fontId="18" fillId="2" borderId="6" xfId="0" applyNumberFormat="1" applyFont="1" applyFill="1" applyBorder="1" applyAlignment="1" applyProtection="1">
      <alignment horizontal="left" vertical="center" wrapText="1"/>
      <protection locked="0" hidden="1"/>
    </xf>
    <xf numFmtId="9" fontId="18" fillId="2" borderId="6" xfId="0" applyNumberFormat="1" applyFont="1" applyFill="1" applyBorder="1" applyAlignment="1" applyProtection="1">
      <alignment horizontal="right" vertical="center" wrapText="1"/>
      <protection locked="0"/>
    </xf>
    <xf numFmtId="169" fontId="15" fillId="6" borderId="64" xfId="0" applyNumberFormat="1" applyFont="1" applyFill="1" applyBorder="1" applyAlignment="1" applyProtection="1">
      <alignment horizontal="right" vertical="center" wrapText="1"/>
      <protection locked="0" hidden="1"/>
    </xf>
    <xf numFmtId="9" fontId="18" fillId="6" borderId="6" xfId="0" applyNumberFormat="1" applyFont="1" applyFill="1" applyBorder="1" applyAlignment="1" applyProtection="1">
      <alignment horizontal="right" vertical="center" wrapText="1"/>
      <protection locked="0"/>
    </xf>
    <xf numFmtId="0" fontId="22" fillId="0" borderId="0" xfId="0" applyFont="1" applyFill="1" applyProtection="1">
      <protection locked="0"/>
    </xf>
    <xf numFmtId="169" fontId="92" fillId="0" borderId="64" xfId="0" applyNumberFormat="1" applyFont="1" applyFill="1" applyBorder="1" applyAlignment="1" applyProtection="1">
      <alignment horizontal="right" vertical="center" wrapText="1"/>
      <protection locked="0" hidden="1"/>
    </xf>
    <xf numFmtId="4" fontId="92" fillId="0" borderId="64" xfId="77" applyNumberFormat="1" applyFont="1" applyFill="1" applyBorder="1" applyAlignment="1" applyProtection="1">
      <alignment horizontal="right" vertical="center" wrapText="1"/>
      <protection locked="0" hidden="1"/>
    </xf>
    <xf numFmtId="9" fontId="18" fillId="6" borderId="64" xfId="0" applyNumberFormat="1" applyFont="1" applyFill="1" applyBorder="1" applyAlignment="1" applyProtection="1">
      <alignment horizontal="right" vertical="center" wrapText="1"/>
      <protection locked="0"/>
    </xf>
    <xf numFmtId="0" fontId="81" fillId="0" borderId="0" xfId="0" applyFont="1" applyProtection="1">
      <protection locked="0"/>
    </xf>
    <xf numFmtId="0" fontId="81" fillId="0" borderId="0" xfId="0" applyFont="1" applyProtection="1">
      <protection locked="0" hidden="1"/>
    </xf>
    <xf numFmtId="9" fontId="0" fillId="0" borderId="0" xfId="14" applyFont="1" applyAlignment="1" applyProtection="1">
      <alignment horizontal="center" wrapText="1"/>
      <protection locked="0"/>
    </xf>
    <xf numFmtId="0" fontId="0" fillId="0" borderId="0" xfId="0" applyAlignment="1" applyProtection="1">
      <alignment vertical="center"/>
      <protection locked="0"/>
    </xf>
    <xf numFmtId="9" fontId="155" fillId="2" borderId="6" xfId="0" applyNumberFormat="1" applyFont="1" applyFill="1" applyBorder="1" applyAlignment="1" applyProtection="1">
      <alignment horizontal="right" vertical="center" wrapText="1"/>
    </xf>
    <xf numFmtId="0" fontId="72" fillId="0" borderId="0" xfId="79" applyFont="1" applyBorder="1" applyAlignment="1">
      <alignment vertical="center" wrapText="1"/>
    </xf>
    <xf numFmtId="0" fontId="71" fillId="0" borderId="0" xfId="0" applyFont="1" applyBorder="1" applyAlignment="1">
      <alignment vertical="center"/>
    </xf>
    <xf numFmtId="0" fontId="0" fillId="6" borderId="64" xfId="0" applyFill="1" applyBorder="1"/>
    <xf numFmtId="0" fontId="16" fillId="0" borderId="64" xfId="6" applyFont="1" applyFill="1" applyBorder="1" applyAlignment="1">
      <alignment horizontal="left" vertical="center" wrapText="1" indent="1"/>
    </xf>
    <xf numFmtId="0" fontId="16" fillId="0" borderId="64" xfId="6" applyFont="1" applyFill="1" applyBorder="1" applyAlignment="1">
      <alignment horizontal="center" vertical="center" wrapText="1"/>
    </xf>
    <xf numFmtId="43" fontId="14" fillId="0" borderId="0" xfId="7" applyFont="1" applyFill="1" applyBorder="1" applyAlignment="1">
      <alignment vertical="top"/>
    </xf>
    <xf numFmtId="0" fontId="21" fillId="0" borderId="0" xfId="0" applyFont="1" applyFill="1" applyAlignment="1">
      <alignment horizontal="center"/>
    </xf>
    <xf numFmtId="0" fontId="0" fillId="0" borderId="0" xfId="0" applyFont="1" applyFill="1" applyAlignment="1">
      <alignment horizontal="center"/>
    </xf>
    <xf numFmtId="0" fontId="0" fillId="0" borderId="0" xfId="0" applyFont="1" applyFill="1" applyBorder="1" applyAlignment="1">
      <alignment horizontal="center"/>
    </xf>
    <xf numFmtId="43" fontId="42" fillId="0" borderId="0" xfId="7" applyFont="1" applyFill="1"/>
    <xf numFmtId="0" fontId="159" fillId="0" borderId="6" xfId="46" applyFont="1" applyBorder="1" applyAlignment="1">
      <alignment horizontal="center" vertical="center"/>
    </xf>
    <xf numFmtId="0" fontId="160" fillId="0" borderId="6" xfId="46" applyFont="1" applyBorder="1" applyAlignment="1">
      <alignment horizontal="center" vertical="center"/>
    </xf>
    <xf numFmtId="164" fontId="0" fillId="10" borderId="48" xfId="81" applyNumberFormat="1" applyFont="1" applyFill="1" applyBorder="1" applyAlignment="1" applyProtection="1">
      <alignment horizontal="right"/>
      <protection locked="0" hidden="1"/>
    </xf>
    <xf numFmtId="0" fontId="14" fillId="0" borderId="2" xfId="46" applyFont="1" applyBorder="1" applyAlignment="1">
      <alignment horizontal="left" vertical="center" indent="1"/>
    </xf>
    <xf numFmtId="3" fontId="76" fillId="5" borderId="64" xfId="7" applyNumberFormat="1" applyFont="1" applyFill="1" applyBorder="1" applyAlignment="1" applyProtection="1">
      <alignment vertical="center"/>
      <protection hidden="1"/>
    </xf>
    <xf numFmtId="3" fontId="76" fillId="62" borderId="64" xfId="69" applyNumberFormat="1" applyFont="1" applyFill="1" applyBorder="1" applyAlignment="1" applyProtection="1">
      <alignment vertical="center"/>
      <protection hidden="1"/>
    </xf>
    <xf numFmtId="3" fontId="15" fillId="5" borderId="64" xfId="69" applyNumberFormat="1" applyFont="1" applyFill="1" applyBorder="1" applyAlignment="1" applyProtection="1">
      <alignment vertical="center"/>
      <protection hidden="1"/>
    </xf>
    <xf numFmtId="3" fontId="15" fillId="58" borderId="64" xfId="69" applyNumberFormat="1" applyFont="1" applyFill="1" applyBorder="1" applyAlignment="1" applyProtection="1">
      <alignment vertical="center"/>
      <protection hidden="1"/>
    </xf>
    <xf numFmtId="3" fontId="76" fillId="61" borderId="64" xfId="69" applyNumberFormat="1" applyFont="1" applyFill="1" applyBorder="1" applyAlignment="1" applyProtection="1">
      <alignment vertical="center"/>
      <protection hidden="1"/>
    </xf>
    <xf numFmtId="3" fontId="15" fillId="61" borderId="64" xfId="69" applyNumberFormat="1" applyFont="1" applyFill="1" applyBorder="1" applyAlignment="1" applyProtection="1">
      <alignment vertical="center"/>
      <protection hidden="1"/>
    </xf>
    <xf numFmtId="3" fontId="76" fillId="57" borderId="64" xfId="69" applyNumberFormat="1" applyFont="1" applyFill="1" applyBorder="1" applyAlignment="1" applyProtection="1">
      <alignment vertical="center"/>
      <protection hidden="1"/>
    </xf>
    <xf numFmtId="3" fontId="15" fillId="57" borderId="64" xfId="69" applyNumberFormat="1" applyFont="1" applyFill="1" applyBorder="1" applyAlignment="1" applyProtection="1">
      <alignment vertical="center"/>
      <protection hidden="1"/>
    </xf>
    <xf numFmtId="3" fontId="76" fillId="6" borderId="64" xfId="69" applyNumberFormat="1" applyFont="1" applyFill="1" applyBorder="1" applyAlignment="1" applyProtection="1">
      <alignment vertical="center"/>
      <protection hidden="1"/>
    </xf>
    <xf numFmtId="3" fontId="15" fillId="6" borderId="64" xfId="69" applyNumberFormat="1" applyFont="1" applyFill="1" applyBorder="1" applyAlignment="1" applyProtection="1">
      <alignment vertical="center"/>
      <protection hidden="1"/>
    </xf>
    <xf numFmtId="3" fontId="15" fillId="0" borderId="0" xfId="69" applyNumberFormat="1" applyFont="1" applyFill="1" applyAlignment="1" applyProtection="1">
      <alignment vertical="center"/>
      <protection hidden="1"/>
    </xf>
    <xf numFmtId="3" fontId="18" fillId="0" borderId="65" xfId="46" applyNumberFormat="1" applyFont="1" applyFill="1" applyBorder="1" applyAlignment="1">
      <alignment horizontal="left" vertical="center" wrapText="1" indent="1"/>
    </xf>
    <xf numFmtId="3" fontId="39" fillId="5" borderId="6" xfId="69" applyNumberFormat="1" applyFont="1" applyFill="1" applyBorder="1" applyAlignment="1">
      <alignment horizontal="center" vertical="center" wrapText="1"/>
    </xf>
    <xf numFmtId="3" fontId="15" fillId="5" borderId="6" xfId="69" applyNumberFormat="1" applyFont="1" applyFill="1" applyBorder="1" applyAlignment="1">
      <alignment horizontal="center" vertical="center" wrapText="1"/>
    </xf>
    <xf numFmtId="3" fontId="76" fillId="6" borderId="65" xfId="69" applyNumberFormat="1" applyFont="1" applyFill="1" applyBorder="1" applyAlignment="1">
      <alignment vertical="center" wrapText="1"/>
    </xf>
    <xf numFmtId="3" fontId="15" fillId="6" borderId="65" xfId="69" applyNumberFormat="1" applyFont="1" applyFill="1" applyBorder="1" applyAlignment="1">
      <alignment vertical="center" wrapText="1"/>
    </xf>
    <xf numFmtId="3" fontId="76" fillId="5" borderId="64" xfId="69" applyNumberFormat="1" applyFont="1" applyFill="1" applyBorder="1" applyAlignment="1" applyProtection="1">
      <alignment vertical="center"/>
      <protection hidden="1"/>
    </xf>
    <xf numFmtId="3" fontId="39" fillId="5" borderId="64" xfId="69" applyNumberFormat="1" applyFont="1" applyFill="1" applyBorder="1" applyAlignment="1" applyProtection="1">
      <alignment vertical="center"/>
      <protection hidden="1"/>
    </xf>
    <xf numFmtId="3" fontId="76" fillId="5" borderId="6" xfId="69" applyNumberFormat="1" applyFont="1" applyFill="1" applyBorder="1" applyAlignment="1">
      <alignment horizontal="center" vertical="center" wrapText="1"/>
    </xf>
    <xf numFmtId="3" fontId="15" fillId="5" borderId="64" xfId="69" applyNumberFormat="1" applyFont="1" applyFill="1" applyBorder="1" applyAlignment="1">
      <alignment horizontal="center" vertical="center" wrapText="1"/>
    </xf>
    <xf numFmtId="3" fontId="76" fillId="58" borderId="64" xfId="69" applyNumberFormat="1" applyFont="1" applyFill="1" applyBorder="1" applyAlignment="1" applyProtection="1">
      <alignment vertical="center"/>
      <protection hidden="1"/>
    </xf>
    <xf numFmtId="3" fontId="39" fillId="6" borderId="13" xfId="118" applyNumberFormat="1" applyFont="1" applyFill="1" applyBorder="1" applyAlignment="1">
      <alignment horizontal="center" vertical="center" wrapText="1"/>
    </xf>
    <xf numFmtId="3" fontId="76" fillId="6" borderId="13" xfId="118" applyNumberFormat="1" applyFont="1" applyFill="1" applyBorder="1" applyAlignment="1">
      <alignment horizontal="center" vertical="center" wrapText="1"/>
    </xf>
    <xf numFmtId="3" fontId="39" fillId="61" borderId="64" xfId="69" applyNumberFormat="1" applyFont="1" applyFill="1" applyBorder="1" applyAlignment="1" applyProtection="1">
      <alignment vertical="center"/>
      <protection hidden="1"/>
    </xf>
    <xf numFmtId="3" fontId="39" fillId="62" borderId="64" xfId="69" applyNumberFormat="1" applyFont="1" applyFill="1" applyBorder="1" applyAlignment="1" applyProtection="1">
      <alignment vertical="center"/>
      <protection hidden="1"/>
    </xf>
    <xf numFmtId="3" fontId="18" fillId="0" borderId="66" xfId="46" applyNumberFormat="1" applyFont="1" applyFill="1" applyBorder="1" applyAlignment="1">
      <alignment horizontal="left" vertical="center" wrapText="1" indent="1"/>
    </xf>
    <xf numFmtId="3" fontId="30" fillId="6" borderId="13" xfId="118" applyNumberFormat="1" applyFont="1" applyFill="1" applyBorder="1" applyAlignment="1">
      <alignment horizontal="center" vertical="center" wrapText="1"/>
    </xf>
    <xf numFmtId="3" fontId="18" fillId="0" borderId="64" xfId="46" applyNumberFormat="1" applyFont="1" applyFill="1" applyBorder="1" applyAlignment="1">
      <alignment horizontal="left" vertical="center" wrapText="1" indent="1"/>
    </xf>
    <xf numFmtId="3" fontId="76" fillId="58" borderId="65" xfId="69" applyNumberFormat="1" applyFont="1" applyFill="1" applyBorder="1" applyAlignment="1">
      <alignment vertical="center" wrapText="1"/>
    </xf>
    <xf numFmtId="3" fontId="18" fillId="0" borderId="67" xfId="46" applyNumberFormat="1" applyFont="1" applyFill="1" applyBorder="1" applyAlignment="1">
      <alignment horizontal="left" vertical="center" wrapText="1" indent="1"/>
    </xf>
    <xf numFmtId="3" fontId="15" fillId="58" borderId="65" xfId="69" applyNumberFormat="1" applyFont="1" applyFill="1" applyBorder="1" applyAlignment="1">
      <alignment vertical="center" wrapText="1"/>
    </xf>
    <xf numFmtId="3" fontId="15" fillId="58" borderId="65" xfId="69" applyNumberFormat="1" applyFont="1" applyFill="1" applyBorder="1" applyAlignment="1">
      <alignment horizontal="center" vertical="center" wrapText="1"/>
    </xf>
    <xf numFmtId="9" fontId="76" fillId="5" borderId="6" xfId="14" applyFont="1" applyFill="1" applyBorder="1" applyAlignment="1">
      <alignment horizontal="center" vertical="center" wrapText="1"/>
    </xf>
    <xf numFmtId="9" fontId="76" fillId="6" borderId="65" xfId="14" applyFont="1" applyFill="1" applyBorder="1" applyAlignment="1">
      <alignment vertical="center" wrapText="1"/>
    </xf>
    <xf numFmtId="9" fontId="76" fillId="57" borderId="64" xfId="14" applyFont="1" applyFill="1" applyBorder="1" applyAlignment="1" applyProtection="1">
      <alignment vertical="center"/>
      <protection hidden="1"/>
    </xf>
    <xf numFmtId="9" fontId="76" fillId="58" borderId="65" xfId="14" applyFont="1" applyFill="1" applyBorder="1" applyAlignment="1">
      <alignment vertical="center" wrapText="1"/>
    </xf>
    <xf numFmtId="9" fontId="76" fillId="6" borderId="64" xfId="14" applyFont="1" applyFill="1" applyBorder="1" applyAlignment="1" applyProtection="1">
      <alignment vertical="center"/>
      <protection hidden="1"/>
    </xf>
    <xf numFmtId="9" fontId="76" fillId="5" borderId="64" xfId="14" applyFont="1" applyFill="1" applyBorder="1" applyAlignment="1" applyProtection="1">
      <alignment vertical="center"/>
      <protection hidden="1"/>
    </xf>
    <xf numFmtId="9" fontId="76" fillId="62" borderId="64" xfId="14" applyFont="1" applyFill="1" applyBorder="1" applyAlignment="1" applyProtection="1">
      <alignment vertical="center"/>
      <protection hidden="1"/>
    </xf>
    <xf numFmtId="9" fontId="15" fillId="0" borderId="0" xfId="14" applyFont="1" applyFill="1" applyAlignment="1" applyProtection="1">
      <alignment vertical="center"/>
      <protection hidden="1"/>
    </xf>
    <xf numFmtId="9" fontId="76" fillId="6" borderId="13" xfId="14" applyFont="1" applyFill="1" applyBorder="1" applyAlignment="1">
      <alignment horizontal="center" vertical="center" wrapText="1"/>
    </xf>
    <xf numFmtId="9" fontId="76" fillId="61" borderId="64" xfId="14" applyFont="1" applyFill="1" applyBorder="1" applyAlignment="1" applyProtection="1">
      <alignment vertical="center"/>
      <protection hidden="1"/>
    </xf>
    <xf numFmtId="9" fontId="76" fillId="58" borderId="64" xfId="14" applyFont="1" applyFill="1" applyBorder="1" applyAlignment="1" applyProtection="1">
      <alignment vertical="center"/>
      <protection hidden="1"/>
    </xf>
    <xf numFmtId="43" fontId="25" fillId="0" borderId="64" xfId="7" applyNumberFormat="1" applyFont="1" applyFill="1" applyBorder="1" applyAlignment="1">
      <alignment horizontal="left" vertical="center" wrapText="1" indent="1"/>
    </xf>
    <xf numFmtId="43" fontId="25" fillId="0" borderId="65" xfId="7" applyNumberFormat="1" applyFont="1" applyFill="1" applyBorder="1" applyAlignment="1">
      <alignment horizontal="left" vertical="center" wrapText="1" indent="1"/>
    </xf>
    <xf numFmtId="9" fontId="155" fillId="5" borderId="6" xfId="14" applyFont="1" applyFill="1" applyBorder="1" applyAlignment="1">
      <alignment horizontal="center" vertical="center" wrapText="1"/>
    </xf>
    <xf numFmtId="9" fontId="76" fillId="5" borderId="64" xfId="14" applyFont="1" applyFill="1" applyBorder="1" applyAlignment="1">
      <alignment horizontal="center" vertical="center" wrapText="1"/>
    </xf>
    <xf numFmtId="9" fontId="155" fillId="6" borderId="13" xfId="14" applyFont="1" applyFill="1" applyBorder="1" applyAlignment="1">
      <alignment horizontal="center" vertical="center" wrapText="1"/>
    </xf>
    <xf numFmtId="9" fontId="155" fillId="0" borderId="65" xfId="14" applyFont="1" applyFill="1" applyBorder="1" applyAlignment="1">
      <alignment horizontal="left" vertical="center" wrapText="1" indent="1"/>
    </xf>
    <xf numFmtId="9" fontId="155" fillId="61" borderId="64" xfId="14" applyFont="1" applyFill="1" applyBorder="1" applyAlignment="1" applyProtection="1">
      <alignment vertical="center"/>
      <protection hidden="1"/>
    </xf>
    <xf numFmtId="9" fontId="155" fillId="62" borderId="64" xfId="14" applyFont="1" applyFill="1" applyBorder="1" applyAlignment="1" applyProtection="1">
      <alignment vertical="center"/>
      <protection hidden="1"/>
    </xf>
    <xf numFmtId="9" fontId="155" fillId="0" borderId="66" xfId="14" applyFont="1" applyFill="1" applyBorder="1" applyAlignment="1">
      <alignment horizontal="left" vertical="center" wrapText="1" indent="1"/>
    </xf>
    <xf numFmtId="9" fontId="155" fillId="0" borderId="64" xfId="14" applyFont="1" applyFill="1" applyBorder="1" applyAlignment="1">
      <alignment horizontal="left" vertical="center" wrapText="1" indent="1"/>
    </xf>
    <xf numFmtId="9" fontId="155" fillId="0" borderId="67" xfId="14" applyFont="1" applyFill="1" applyBorder="1" applyAlignment="1">
      <alignment horizontal="left" vertical="center" wrapText="1" indent="1"/>
    </xf>
    <xf numFmtId="9" fontId="76" fillId="6" borderId="64" xfId="14" applyFont="1" applyFill="1" applyBorder="1" applyAlignment="1">
      <alignment horizontal="center" vertical="center" wrapText="1"/>
    </xf>
    <xf numFmtId="3" fontId="155" fillId="61" borderId="64" xfId="69" applyNumberFormat="1" applyFont="1" applyFill="1" applyBorder="1" applyAlignment="1" applyProtection="1">
      <alignment vertical="center"/>
      <protection hidden="1"/>
    </xf>
    <xf numFmtId="0" fontId="12" fillId="6" borderId="64" xfId="0" applyFont="1" applyFill="1" applyBorder="1" applyAlignment="1">
      <alignment horizontal="center" vertical="center" wrapText="1"/>
    </xf>
    <xf numFmtId="3" fontId="28" fillId="4" borderId="0" xfId="69" applyNumberFormat="1" applyFont="1" applyFill="1" applyBorder="1" applyAlignment="1">
      <alignment horizontal="left" vertical="center"/>
    </xf>
    <xf numFmtId="3" fontId="18" fillId="61" borderId="64" xfId="69" applyNumberFormat="1" applyFont="1" applyFill="1" applyBorder="1" applyAlignment="1" applyProtection="1">
      <alignment vertical="center"/>
      <protection hidden="1"/>
    </xf>
    <xf numFmtId="3" fontId="39" fillId="6" borderId="64" xfId="69" applyNumberFormat="1" applyFont="1" applyFill="1" applyBorder="1" applyAlignment="1" applyProtection="1">
      <alignment vertical="center"/>
      <protection hidden="1"/>
    </xf>
    <xf numFmtId="3" fontId="15" fillId="0" borderId="64" xfId="69" applyNumberFormat="1" applyFont="1" applyFill="1" applyBorder="1" applyAlignment="1" applyProtection="1">
      <alignment vertical="center"/>
      <protection hidden="1"/>
    </xf>
    <xf numFmtId="3" fontId="163" fillId="0" borderId="64" xfId="69" applyNumberFormat="1" applyFont="1" applyFill="1" applyBorder="1" applyAlignment="1" applyProtection="1">
      <alignment vertical="center"/>
      <protection hidden="1"/>
    </xf>
    <xf numFmtId="0" fontId="12" fillId="0" borderId="0" xfId="0" applyFont="1" applyAlignment="1"/>
    <xf numFmtId="0" fontId="12" fillId="8" borderId="64" xfId="0" applyFont="1" applyFill="1" applyBorder="1" applyAlignment="1">
      <alignment horizontal="center" vertical="center" wrapText="1"/>
    </xf>
    <xf numFmtId="0" fontId="12" fillId="6" borderId="67" xfId="0" applyFont="1" applyFill="1" applyBorder="1" applyAlignment="1">
      <alignment horizontal="center" vertical="center" wrapText="1"/>
    </xf>
    <xf numFmtId="0" fontId="12" fillId="58" borderId="64" xfId="0" applyFont="1" applyFill="1" applyBorder="1" applyAlignment="1">
      <alignment horizontal="center" vertical="center" wrapText="1"/>
    </xf>
    <xf numFmtId="0" fontId="12" fillId="60" borderId="64" xfId="0" applyFont="1" applyFill="1" applyBorder="1" applyAlignment="1">
      <alignment horizontal="center" vertical="center" wrapText="1"/>
    </xf>
    <xf numFmtId="0" fontId="12" fillId="0" borderId="64" xfId="0" applyFont="1" applyBorder="1" applyAlignment="1">
      <alignment horizontal="center"/>
    </xf>
    <xf numFmtId="0" fontId="12" fillId="0" borderId="64" xfId="0" applyFont="1" applyBorder="1" applyAlignment="1">
      <alignment horizontal="center" vertical="center" wrapText="1"/>
    </xf>
    <xf numFmtId="43" fontId="16" fillId="0" borderId="64" xfId="7" applyFont="1" applyFill="1" applyBorder="1" applyAlignment="1">
      <alignment horizontal="center" vertical="center" wrapText="1"/>
    </xf>
    <xf numFmtId="173" fontId="16" fillId="8" borderId="64" xfId="7" applyNumberFormat="1" applyFont="1" applyFill="1" applyBorder="1" applyAlignment="1">
      <alignment horizontal="left" vertical="center" wrapText="1" indent="1"/>
    </xf>
    <xf numFmtId="173" fontId="1" fillId="8" borderId="64" xfId="7" applyNumberFormat="1" applyFont="1" applyFill="1" applyBorder="1" applyAlignment="1">
      <alignment horizontal="left"/>
    </xf>
    <xf numFmtId="173" fontId="1" fillId="0" borderId="64" xfId="7" applyNumberFormat="1" applyFont="1" applyFill="1" applyBorder="1" applyAlignment="1">
      <alignment horizontal="left"/>
    </xf>
    <xf numFmtId="0" fontId="12" fillId="2" borderId="64" xfId="0" applyFont="1" applyFill="1" applyBorder="1" applyAlignment="1">
      <alignment horizontal="center" vertical="center" wrapText="1"/>
    </xf>
    <xf numFmtId="0" fontId="12" fillId="11" borderId="64" xfId="0" applyFont="1" applyFill="1" applyBorder="1" applyAlignment="1">
      <alignment horizontal="center" vertical="center" wrapText="1"/>
    </xf>
    <xf numFmtId="0" fontId="12" fillId="7" borderId="64" xfId="0" applyFont="1" applyFill="1" applyBorder="1" applyAlignment="1">
      <alignment horizontal="center" vertical="center" wrapText="1"/>
    </xf>
    <xf numFmtId="0" fontId="12" fillId="63" borderId="64" xfId="0" applyFont="1" applyFill="1" applyBorder="1" applyAlignment="1">
      <alignment horizontal="center" vertical="center" wrapText="1"/>
    </xf>
    <xf numFmtId="0" fontId="0" fillId="0" borderId="0" xfId="0" applyFont="1"/>
    <xf numFmtId="3" fontId="11" fillId="0" borderId="0" xfId="0" applyNumberFormat="1" applyFont="1" applyAlignment="1">
      <alignment horizontal="right"/>
    </xf>
    <xf numFmtId="0" fontId="30" fillId="0" borderId="0" xfId="0" applyFont="1" applyAlignment="1">
      <alignment horizontal="right" vertical="top"/>
    </xf>
    <xf numFmtId="0" fontId="16" fillId="6" borderId="64" xfId="46" applyFont="1" applyFill="1" applyBorder="1" applyAlignment="1">
      <alignment horizontal="left" vertical="center" wrapText="1" indent="1"/>
    </xf>
    <xf numFmtId="3" fontId="60" fillId="0" borderId="64" xfId="46" applyNumberFormat="1" applyFont="1" applyFill="1" applyBorder="1" applyAlignment="1">
      <alignment horizontal="center" vertical="center"/>
    </xf>
    <xf numFmtId="0" fontId="34" fillId="0" borderId="64" xfId="60" applyFont="1" applyBorder="1" applyAlignment="1">
      <alignment horizontal="left" wrapText="1"/>
    </xf>
    <xf numFmtId="0" fontId="34" fillId="0" borderId="64" xfId="60" applyFont="1" applyBorder="1"/>
    <xf numFmtId="0" fontId="147" fillId="0" borderId="12" xfId="60" applyFont="1" applyBorder="1"/>
    <xf numFmtId="0" fontId="64" fillId="0" borderId="12" xfId="60" applyBorder="1"/>
    <xf numFmtId="0" fontId="64" fillId="0" borderId="12" xfId="60" applyBorder="1" applyAlignment="1">
      <alignment horizontal="left" wrapText="1"/>
    </xf>
    <xf numFmtId="0" fontId="147" fillId="0" borderId="43" xfId="60" applyFont="1" applyBorder="1"/>
    <xf numFmtId="0" fontId="64" fillId="0" borderId="31" xfId="60" applyBorder="1"/>
    <xf numFmtId="0" fontId="153" fillId="0" borderId="28" xfId="60" applyFont="1" applyBorder="1"/>
    <xf numFmtId="0" fontId="64" fillId="0" borderId="28" xfId="60" applyBorder="1"/>
    <xf numFmtId="0" fontId="147" fillId="0" borderId="72" xfId="60" applyFont="1" applyBorder="1"/>
    <xf numFmtId="0" fontId="64" fillId="0" borderId="72" xfId="60" applyBorder="1"/>
    <xf numFmtId="0" fontId="34" fillId="0" borderId="72" xfId="60" applyFont="1" applyBorder="1" applyAlignment="1">
      <alignment horizontal="left" wrapText="1"/>
    </xf>
    <xf numFmtId="0" fontId="66" fillId="6" borderId="30" xfId="60" applyFont="1" applyFill="1" applyBorder="1" applyAlignment="1">
      <alignment horizontal="center" vertical="center" wrapText="1"/>
    </xf>
    <xf numFmtId="0" fontId="66" fillId="6" borderId="43" xfId="60" applyFont="1" applyFill="1" applyBorder="1" applyAlignment="1">
      <alignment horizontal="center" vertical="center" wrapText="1"/>
    </xf>
    <xf numFmtId="0" fontId="149" fillId="6" borderId="43" xfId="60" applyFont="1" applyFill="1" applyBorder="1" applyAlignment="1">
      <alignment horizontal="center" vertical="center" wrapText="1"/>
    </xf>
    <xf numFmtId="0" fontId="66" fillId="6" borderId="31" xfId="60" applyFont="1" applyFill="1" applyBorder="1" applyAlignment="1">
      <alignment horizontal="center" vertical="center" wrapText="1"/>
    </xf>
    <xf numFmtId="0" fontId="64" fillId="0" borderId="50" xfId="60" applyBorder="1"/>
    <xf numFmtId="0" fontId="153" fillId="6" borderId="28" xfId="60" applyFont="1" applyFill="1" applyBorder="1"/>
    <xf numFmtId="0" fontId="147" fillId="6" borderId="43" xfId="60" applyFont="1" applyFill="1" applyBorder="1" applyAlignment="1">
      <alignment vertical="center"/>
    </xf>
    <xf numFmtId="0" fontId="153" fillId="6" borderId="31" xfId="60" applyFont="1" applyFill="1" applyBorder="1"/>
    <xf numFmtId="0" fontId="147" fillId="6" borderId="64" xfId="60" applyFont="1" applyFill="1" applyBorder="1" applyAlignment="1">
      <alignment vertical="center"/>
    </xf>
    <xf numFmtId="0" fontId="147" fillId="6" borderId="72" xfId="60" applyFont="1" applyFill="1" applyBorder="1" applyAlignment="1">
      <alignment vertical="center"/>
    </xf>
    <xf numFmtId="0" fontId="34" fillId="6" borderId="72" xfId="60" applyFont="1" applyFill="1" applyBorder="1" applyAlignment="1">
      <alignment vertical="top" wrapText="1"/>
    </xf>
    <xf numFmtId="0" fontId="153" fillId="6" borderId="69" xfId="60" applyFont="1" applyFill="1" applyBorder="1"/>
    <xf numFmtId="9" fontId="7" fillId="0" borderId="0" xfId="0" applyNumberFormat="1" applyFont="1" applyProtection="1">
      <protection locked="0"/>
    </xf>
    <xf numFmtId="0" fontId="166" fillId="0" borderId="64" xfId="0" applyFont="1" applyBorder="1" applyAlignment="1" applyProtection="1">
      <alignment horizontal="center" vertical="center" wrapText="1"/>
      <protection locked="0" hidden="1"/>
    </xf>
    <xf numFmtId="9" fontId="168" fillId="2" borderId="6" xfId="0" applyNumberFormat="1" applyFont="1" applyFill="1" applyBorder="1" applyAlignment="1" applyProtection="1">
      <alignment horizontal="right" vertical="center" wrapText="1"/>
      <protection locked="0"/>
    </xf>
    <xf numFmtId="9" fontId="168" fillId="6" borderId="6" xfId="0" applyNumberFormat="1" applyFont="1" applyFill="1" applyBorder="1" applyAlignment="1" applyProtection="1">
      <alignment horizontal="right" vertical="center" wrapText="1"/>
      <protection locked="0"/>
    </xf>
    <xf numFmtId="0" fontId="147" fillId="0" borderId="13" xfId="60" applyFont="1" applyBorder="1"/>
    <xf numFmtId="0" fontId="34" fillId="0" borderId="13" xfId="60" applyFont="1" applyBorder="1" applyAlignment="1">
      <alignment horizontal="left" wrapText="1"/>
    </xf>
    <xf numFmtId="0" fontId="153" fillId="0" borderId="40" xfId="60" applyFont="1" applyBorder="1"/>
    <xf numFmtId="0" fontId="153" fillId="0" borderId="69" xfId="60" applyFont="1" applyBorder="1"/>
    <xf numFmtId="0" fontId="0" fillId="0" borderId="0" xfId="0" applyFont="1"/>
    <xf numFmtId="0" fontId="17" fillId="7" borderId="65" xfId="0" applyFont="1" applyFill="1" applyBorder="1" applyAlignment="1">
      <alignment vertical="center"/>
    </xf>
    <xf numFmtId="0" fontId="17" fillId="7" borderId="66" xfId="0" applyFont="1" applyFill="1" applyBorder="1" applyAlignment="1">
      <alignment vertical="center"/>
    </xf>
    <xf numFmtId="0" fontId="147" fillId="0" borderId="64" xfId="60" applyFont="1" applyBorder="1" applyAlignment="1">
      <alignment horizontal="center" vertical="center" wrapText="1"/>
    </xf>
    <xf numFmtId="0" fontId="147" fillId="0" borderId="44" xfId="60" applyFont="1" applyBorder="1" applyAlignment="1">
      <alignment horizontal="center" vertical="center" wrapText="1"/>
    </xf>
    <xf numFmtId="172" fontId="137" fillId="0" borderId="64" xfId="287" applyNumberFormat="1" applyFont="1" applyBorder="1" applyAlignment="1">
      <alignment horizontal="left"/>
    </xf>
    <xf numFmtId="0" fontId="147" fillId="0" borderId="64" xfId="60" applyFont="1" applyBorder="1" applyAlignment="1">
      <alignment horizontal="left" vertical="center" wrapText="1"/>
    </xf>
    <xf numFmtId="0" fontId="61" fillId="0" borderId="0" xfId="80" applyFont="1" applyBorder="1" applyAlignment="1">
      <alignment horizontal="center" vertical="center"/>
    </xf>
    <xf numFmtId="0" fontId="147" fillId="0" borderId="15" xfId="60" applyFont="1" applyBorder="1" applyAlignment="1">
      <alignment vertical="center"/>
    </xf>
    <xf numFmtId="0" fontId="34" fillId="0" borderId="15" xfId="60" applyFont="1" applyBorder="1" applyAlignment="1">
      <alignment horizontal="left" wrapText="1"/>
    </xf>
    <xf numFmtId="0" fontId="34" fillId="0" borderId="15" xfId="60" applyFont="1" applyBorder="1" applyAlignment="1">
      <alignment horizontal="left" vertical="top" wrapText="1"/>
    </xf>
    <xf numFmtId="0" fontId="153" fillId="0" borderId="45" xfId="60" applyFont="1" applyBorder="1"/>
    <xf numFmtId="0" fontId="14" fillId="9" borderId="64" xfId="46" applyFont="1" applyFill="1" applyBorder="1" applyAlignment="1">
      <alignment horizontal="center" vertical="center" wrapText="1"/>
    </xf>
    <xf numFmtId="167" fontId="14" fillId="9" borderId="64" xfId="118" applyFont="1" applyFill="1" applyBorder="1" applyAlignment="1">
      <alignment horizontal="center" vertical="center" wrapText="1"/>
    </xf>
    <xf numFmtId="0" fontId="169" fillId="0" borderId="0" xfId="46" applyFont="1" applyFill="1"/>
    <xf numFmtId="0" fontId="171" fillId="0" borderId="0" xfId="80" applyFont="1" applyFill="1"/>
    <xf numFmtId="0" fontId="171" fillId="0" borderId="0" xfId="80" applyFont="1"/>
    <xf numFmtId="0" fontId="136" fillId="0" borderId="0" xfId="46" applyFont="1" applyBorder="1" applyAlignment="1">
      <alignment vertical="top" wrapText="1"/>
    </xf>
    <xf numFmtId="0" fontId="12" fillId="8" borderId="64" xfId="0" applyFont="1" applyFill="1" applyBorder="1" applyAlignment="1">
      <alignment horizontal="center" vertical="center" wrapText="1"/>
    </xf>
    <xf numFmtId="0" fontId="12" fillId="8" borderId="64" xfId="0" applyFont="1" applyFill="1" applyBorder="1" applyAlignment="1">
      <alignment horizontal="center" vertical="center" wrapText="1"/>
    </xf>
    <xf numFmtId="0" fontId="14" fillId="0" borderId="0" xfId="46" applyFont="1" applyBorder="1" applyAlignment="1">
      <alignment horizontal="left" vertical="center" indent="1"/>
    </xf>
    <xf numFmtId="0" fontId="12" fillId="8" borderId="6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left" vertical="center" wrapText="1" indent="1"/>
    </xf>
    <xf numFmtId="0" fontId="30" fillId="0" borderId="64" xfId="0" applyFont="1" applyBorder="1" applyAlignment="1">
      <alignment horizontal="center" vertical="center" wrapText="1"/>
    </xf>
    <xf numFmtId="0" fontId="16" fillId="6" borderId="64" xfId="0" applyFont="1" applyFill="1" applyBorder="1" applyAlignment="1">
      <alignment horizontal="left" vertical="center" wrapText="1" indent="1"/>
    </xf>
    <xf numFmtId="0" fontId="0" fillId="0" borderId="0" xfId="0" applyBorder="1" applyAlignment="1">
      <alignment horizontal="center" vertical="center"/>
    </xf>
    <xf numFmtId="0" fontId="16" fillId="0" borderId="64" xfId="0" applyFont="1" applyFill="1" applyBorder="1" applyAlignment="1">
      <alignment horizontal="left" vertical="center" wrapText="1" indent="1"/>
    </xf>
    <xf numFmtId="0" fontId="7" fillId="0" borderId="64" xfId="0" applyFont="1" applyFill="1" applyBorder="1" applyAlignment="1">
      <alignment horizontal="center" vertical="center" wrapText="1"/>
    </xf>
    <xf numFmtId="41" fontId="60" fillId="6" borderId="64" xfId="0" applyNumberFormat="1" applyFont="1" applyFill="1" applyBorder="1" applyAlignment="1">
      <alignment horizontal="center" vertical="center" wrapText="1"/>
    </xf>
    <xf numFmtId="41" fontId="60" fillId="0" borderId="64" xfId="0" applyNumberFormat="1" applyFont="1" applyFill="1" applyBorder="1" applyAlignment="1">
      <alignment horizontal="center" vertical="center" wrapText="1"/>
    </xf>
    <xf numFmtId="0" fontId="17" fillId="7" borderId="0" xfId="0" applyFont="1" applyFill="1" applyBorder="1" applyAlignment="1">
      <alignment vertical="center"/>
    </xf>
    <xf numFmtId="0" fontId="0" fillId="0" borderId="0" xfId="0" applyFont="1" applyBorder="1" applyAlignment="1">
      <alignment horizontal="center"/>
    </xf>
    <xf numFmtId="0" fontId="0" fillId="0" borderId="0" xfId="0" applyBorder="1"/>
    <xf numFmtId="0" fontId="14" fillId="0" borderId="0" xfId="6" applyFont="1" applyFill="1" applyBorder="1" applyAlignment="1"/>
    <xf numFmtId="175" fontId="0" fillId="0" borderId="0" xfId="0" applyNumberFormat="1" applyFill="1" applyBorder="1"/>
    <xf numFmtId="174" fontId="0" fillId="0" borderId="0" xfId="0" applyNumberFormat="1" applyFill="1" applyBorder="1"/>
    <xf numFmtId="165" fontId="16" fillId="6" borderId="64" xfId="81" applyNumberFormat="1" applyFont="1" applyFill="1" applyBorder="1" applyAlignment="1">
      <alignment horizontal="left" vertical="center" wrapText="1" indent="1"/>
    </xf>
    <xf numFmtId="0" fontId="17" fillId="7" borderId="0" xfId="0" applyFont="1" applyFill="1" applyBorder="1" applyAlignment="1">
      <alignment horizontal="right" vertical="center"/>
    </xf>
    <xf numFmtId="0" fontId="16" fillId="0" borderId="64" xfId="0" applyFont="1" applyFill="1" applyBorder="1" applyAlignment="1">
      <alignment horizontal="left" vertical="center" wrapText="1"/>
    </xf>
    <xf numFmtId="14" fontId="0" fillId="0" borderId="0" xfId="0" applyNumberFormat="1" applyFont="1" applyBorder="1" applyAlignment="1">
      <alignment horizontal="center"/>
    </xf>
    <xf numFmtId="0" fontId="170" fillId="0" borderId="64" xfId="0" applyFont="1" applyFill="1" applyBorder="1" applyAlignment="1">
      <alignment horizontal="center" vertical="center" wrapText="1"/>
    </xf>
    <xf numFmtId="0" fontId="169" fillId="0" borderId="64" xfId="0" applyFont="1" applyFill="1" applyBorder="1" applyAlignment="1">
      <alignment horizontal="center" vertical="center" wrapText="1"/>
    </xf>
    <xf numFmtId="0" fontId="12" fillId="8" borderId="64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7" fillId="0" borderId="64" xfId="0" applyFont="1" applyFill="1" applyBorder="1" applyAlignment="1">
      <alignment horizontal="center" vertical="center" wrapText="1"/>
    </xf>
    <xf numFmtId="41" fontId="21" fillId="6" borderId="64" xfId="0" applyNumberFormat="1" applyFont="1" applyFill="1" applyBorder="1"/>
    <xf numFmtId="41" fontId="21" fillId="0" borderId="64" xfId="0" applyNumberFormat="1" applyFont="1" applyFill="1" applyBorder="1"/>
    <xf numFmtId="0" fontId="14" fillId="0" borderId="64" xfId="46" applyFont="1" applyBorder="1" applyAlignment="1">
      <alignment horizontal="left" vertical="center" indent="1"/>
    </xf>
    <xf numFmtId="39" fontId="0" fillId="0" borderId="64" xfId="81" applyNumberFormat="1" applyFont="1" applyBorder="1"/>
    <xf numFmtId="0" fontId="172" fillId="4" borderId="64" xfId="0" applyFont="1" applyFill="1" applyBorder="1"/>
    <xf numFmtId="0" fontId="0" fillId="0" borderId="64" xfId="0" applyBorder="1" applyAlignment="1">
      <alignment horizontal="left"/>
    </xf>
    <xf numFmtId="37" fontId="14" fillId="0" borderId="64" xfId="81" applyNumberFormat="1" applyFont="1" applyBorder="1" applyAlignment="1">
      <alignment horizontal="left" vertical="center" indent="1"/>
    </xf>
    <xf numFmtId="0" fontId="12" fillId="4" borderId="64" xfId="0" applyFont="1" applyFill="1" applyBorder="1" applyAlignment="1">
      <alignment horizontal="center" vertical="center" wrapText="1"/>
    </xf>
    <xf numFmtId="174" fontId="173" fillId="4" borderId="64" xfId="0" applyNumberFormat="1" applyFont="1" applyFill="1" applyBorder="1" applyAlignment="1">
      <alignment horizontal="center" vertical="center"/>
    </xf>
    <xf numFmtId="174" fontId="173" fillId="64" borderId="64" xfId="0" applyNumberFormat="1" applyFont="1" applyFill="1" applyBorder="1" applyAlignment="1">
      <alignment horizontal="center" vertical="center"/>
    </xf>
    <xf numFmtId="0" fontId="0" fillId="0" borderId="64" xfId="0" applyBorder="1" applyAlignment="1">
      <alignment horizontal="right"/>
    </xf>
    <xf numFmtId="2" fontId="0" fillId="0" borderId="64" xfId="0" applyNumberFormat="1" applyBorder="1"/>
    <xf numFmtId="0" fontId="12" fillId="64" borderId="64" xfId="0" applyFont="1" applyFill="1" applyBorder="1" applyAlignment="1">
      <alignment horizontal="center" vertical="center" wrapText="1"/>
    </xf>
    <xf numFmtId="14" fontId="16" fillId="0" borderId="64" xfId="46" applyNumberFormat="1" applyFont="1" applyBorder="1" applyAlignment="1">
      <alignment horizontal="left" vertical="center" indent="1"/>
    </xf>
    <xf numFmtId="174" fontId="173" fillId="58" borderId="64" xfId="0" applyNumberFormat="1" applyFont="1" applyFill="1" applyBorder="1" applyAlignment="1">
      <alignment horizontal="center" vertical="center"/>
    </xf>
    <xf numFmtId="0" fontId="24" fillId="0" borderId="0" xfId="0" applyFont="1"/>
    <xf numFmtId="174" fontId="173" fillId="60" borderId="64" xfId="0" applyNumberFormat="1" applyFont="1" applyFill="1" applyBorder="1" applyAlignment="1">
      <alignment horizontal="center" vertical="center"/>
    </xf>
    <xf numFmtId="0" fontId="30" fillId="0" borderId="64" xfId="0" applyFont="1" applyBorder="1" applyAlignment="1">
      <alignment vertical="center" wrapText="1"/>
    </xf>
    <xf numFmtId="170" fontId="16" fillId="0" borderId="64" xfId="63" applyNumberFormat="1" applyFont="1" applyFill="1" applyBorder="1" applyAlignment="1">
      <alignment horizontal="center" vertical="center" wrapText="1"/>
    </xf>
    <xf numFmtId="41" fontId="60" fillId="0" borderId="0" xfId="0" applyNumberFormat="1" applyFont="1" applyFill="1" applyBorder="1" applyAlignment="1">
      <alignment horizontal="center" vertical="center"/>
    </xf>
    <xf numFmtId="0" fontId="16" fillId="0" borderId="65" xfId="0" applyFont="1" applyFill="1" applyBorder="1" applyAlignment="1">
      <alignment vertical="center" wrapText="1"/>
    </xf>
    <xf numFmtId="41" fontId="60" fillId="8" borderId="64" xfId="0" applyNumberFormat="1" applyFont="1" applyFill="1" applyBorder="1" applyAlignment="1">
      <alignment horizontal="center" vertical="center" wrapText="1"/>
    </xf>
    <xf numFmtId="0" fontId="16" fillId="6" borderId="64" xfId="0" applyFont="1" applyFill="1" applyBorder="1" applyAlignment="1">
      <alignment vertical="center" wrapText="1"/>
    </xf>
    <xf numFmtId="0" fontId="12" fillId="0" borderId="0" xfId="0" applyFont="1" applyFill="1" applyAlignment="1"/>
    <xf numFmtId="0" fontId="16" fillId="0" borderId="64" xfId="0" applyFont="1" applyFill="1" applyBorder="1" applyAlignment="1">
      <alignment vertical="center" wrapText="1"/>
    </xf>
    <xf numFmtId="0" fontId="16" fillId="0" borderId="64" xfId="0" applyFont="1" applyFill="1" applyBorder="1" applyAlignment="1">
      <alignment horizontal="left" vertical="center"/>
    </xf>
    <xf numFmtId="0" fontId="16" fillId="0" borderId="64" xfId="6" applyFont="1" applyFill="1" applyBorder="1" applyAlignment="1">
      <alignment vertical="center" wrapText="1"/>
    </xf>
    <xf numFmtId="0" fontId="40" fillId="0" borderId="64" xfId="0" applyFont="1" applyBorder="1" applyAlignment="1">
      <alignment horizontal="center" vertical="center" wrapText="1"/>
    </xf>
    <xf numFmtId="41" fontId="79" fillId="0" borderId="64" xfId="0" applyNumberFormat="1" applyFont="1" applyFill="1" applyBorder="1" applyAlignment="1">
      <alignment horizontal="center" vertical="center"/>
    </xf>
    <xf numFmtId="0" fontId="40" fillId="0" borderId="0" xfId="0" applyFont="1" applyAlignment="1"/>
    <xf numFmtId="41" fontId="40" fillId="0" borderId="64" xfId="0" applyNumberFormat="1" applyFont="1" applyFill="1" applyBorder="1" applyAlignment="1">
      <alignment horizontal="center" vertical="center"/>
    </xf>
    <xf numFmtId="0" fontId="30" fillId="0" borderId="65" xfId="0" applyFont="1" applyBorder="1" applyAlignment="1">
      <alignment vertical="center" wrapText="1"/>
    </xf>
    <xf numFmtId="0" fontId="16" fillId="6" borderId="65" xfId="0" applyFont="1" applyFill="1" applyBorder="1" applyAlignment="1">
      <alignment vertical="center" wrapText="1"/>
    </xf>
    <xf numFmtId="0" fontId="12" fillId="0" borderId="65" xfId="0" applyFont="1" applyBorder="1" applyAlignment="1">
      <alignment vertical="center" wrapText="1"/>
    </xf>
    <xf numFmtId="0" fontId="38" fillId="60" borderId="65" xfId="0" applyFont="1" applyFill="1" applyBorder="1" applyAlignment="1">
      <alignment vertical="center" wrapText="1"/>
    </xf>
    <xf numFmtId="0" fontId="40" fillId="0" borderId="65" xfId="0" applyFont="1" applyFill="1" applyBorder="1" applyAlignment="1">
      <alignment vertical="center" wrapText="1"/>
    </xf>
    <xf numFmtId="0" fontId="17" fillId="6" borderId="65" xfId="6" applyFont="1" applyFill="1" applyBorder="1" applyAlignment="1">
      <alignment vertical="center" wrapText="1"/>
    </xf>
    <xf numFmtId="0" fontId="24" fillId="0" borderId="0" xfId="0" applyFont="1" applyBorder="1"/>
    <xf numFmtId="0" fontId="12" fillId="0" borderId="0" xfId="0" applyFont="1" applyBorder="1" applyAlignment="1">
      <alignment horizontal="right"/>
    </xf>
    <xf numFmtId="0" fontId="12" fillId="0" borderId="0" xfId="0" applyFont="1" applyBorder="1" applyAlignment="1">
      <alignment horizontal="right" vertical="center"/>
    </xf>
    <xf numFmtId="170" fontId="24" fillId="0" borderId="0" xfId="63" applyNumberFormat="1" applyFont="1" applyBorder="1" applyAlignment="1">
      <alignment vertical="center"/>
    </xf>
    <xf numFmtId="0" fontId="12" fillId="0" borderId="64" xfId="0" applyFont="1" applyBorder="1" applyAlignment="1"/>
    <xf numFmtId="0" fontId="40" fillId="0" borderId="64" xfId="0" applyFont="1" applyBorder="1" applyAlignment="1"/>
    <xf numFmtId="170" fontId="16" fillId="6" borderId="64" xfId="63" applyNumberFormat="1" applyFont="1" applyFill="1" applyBorder="1" applyAlignment="1">
      <alignment horizontal="center" vertical="center" wrapText="1"/>
    </xf>
    <xf numFmtId="0" fontId="0" fillId="58" borderId="64" xfId="0" applyFill="1" applyBorder="1"/>
    <xf numFmtId="14" fontId="16" fillId="58" borderId="64" xfId="46" applyNumberFormat="1" applyFont="1" applyFill="1" applyBorder="1" applyAlignment="1">
      <alignment horizontal="left" vertical="center" indent="1"/>
    </xf>
    <xf numFmtId="0" fontId="0" fillId="58" borderId="64" xfId="0" applyFill="1" applyBorder="1" applyAlignment="1">
      <alignment horizontal="right" vertical="center"/>
    </xf>
    <xf numFmtId="37" fontId="14" fillId="58" borderId="64" xfId="81" applyNumberFormat="1" applyFont="1" applyFill="1" applyBorder="1" applyAlignment="1">
      <alignment horizontal="left" vertical="center" indent="1"/>
    </xf>
    <xf numFmtId="170" fontId="0" fillId="58" borderId="64" xfId="63" applyNumberFormat="1" applyFont="1" applyFill="1" applyBorder="1" applyAlignment="1">
      <alignment horizontal="center" vertical="center"/>
    </xf>
    <xf numFmtId="170" fontId="172" fillId="58" borderId="64" xfId="63" applyNumberFormat="1" applyFont="1" applyFill="1" applyBorder="1" applyAlignment="1">
      <alignment horizontal="center" vertical="center"/>
    </xf>
    <xf numFmtId="0" fontId="172" fillId="58" borderId="64" xfId="0" applyFont="1" applyFill="1" applyBorder="1"/>
    <xf numFmtId="0" fontId="0" fillId="58" borderId="64" xfId="0" applyFill="1" applyBorder="1" applyAlignment="1">
      <alignment horizontal="left"/>
    </xf>
    <xf numFmtId="170" fontId="0" fillId="58" borderId="64" xfId="0" applyNumberFormat="1" applyFill="1" applyBorder="1"/>
    <xf numFmtId="0" fontId="172" fillId="62" borderId="64" xfId="0" applyFont="1" applyFill="1" applyBorder="1"/>
    <xf numFmtId="14" fontId="16" fillId="62" borderId="64" xfId="46" applyNumberFormat="1" applyFont="1" applyFill="1" applyBorder="1" applyAlignment="1">
      <alignment horizontal="left" vertical="center" indent="1"/>
    </xf>
    <xf numFmtId="0" fontId="0" fillId="62" borderId="64" xfId="0" applyFill="1" applyBorder="1" applyAlignment="1">
      <alignment horizontal="left"/>
    </xf>
    <xf numFmtId="170" fontId="0" fillId="62" borderId="64" xfId="0" applyNumberFormat="1" applyFill="1" applyBorder="1"/>
    <xf numFmtId="170" fontId="0" fillId="62" borderId="64" xfId="63" applyNumberFormat="1" applyFont="1" applyFill="1" applyBorder="1"/>
    <xf numFmtId="0" fontId="0" fillId="0" borderId="77" xfId="0" applyBorder="1" applyAlignment="1"/>
    <xf numFmtId="0" fontId="0" fillId="0" borderId="75" xfId="0" applyBorder="1" applyAlignment="1"/>
    <xf numFmtId="41" fontId="60" fillId="6" borderId="76" xfId="0" applyNumberFormat="1" applyFont="1" applyFill="1" applyBorder="1" applyAlignment="1">
      <alignment horizontal="center" vertical="center"/>
    </xf>
    <xf numFmtId="0" fontId="16" fillId="0" borderId="76" xfId="0" applyFont="1" applyFill="1" applyBorder="1" applyAlignment="1">
      <alignment horizontal="left" vertical="center" wrapText="1" indent="1"/>
    </xf>
    <xf numFmtId="0" fontId="16" fillId="0" borderId="76" xfId="0" applyFont="1" applyFill="1" applyBorder="1" applyAlignment="1">
      <alignment vertical="center" wrapText="1"/>
    </xf>
    <xf numFmtId="41" fontId="66" fillId="0" borderId="76" xfId="0" applyNumberFormat="1" applyFont="1" applyFill="1" applyBorder="1" applyAlignment="1">
      <alignment horizontal="center" vertical="center" wrapText="1"/>
    </xf>
    <xf numFmtId="0" fontId="7" fillId="0" borderId="64" xfId="0" applyFont="1" applyBorder="1" applyAlignment="1">
      <alignment horizontal="left"/>
    </xf>
    <xf numFmtId="0" fontId="16" fillId="6" borderId="76" xfId="6" applyFont="1" applyFill="1" applyBorder="1" applyAlignment="1">
      <alignment vertical="center" wrapText="1"/>
    </xf>
    <xf numFmtId="0" fontId="17" fillId="6" borderId="76" xfId="6" applyFont="1" applyFill="1" applyBorder="1" applyAlignment="1">
      <alignment vertical="center" wrapText="1"/>
    </xf>
    <xf numFmtId="0" fontId="16" fillId="0" borderId="75" xfId="0" applyFont="1" applyFill="1" applyBorder="1" applyAlignment="1">
      <alignment vertical="center" wrapText="1"/>
    </xf>
    <xf numFmtId="0" fontId="16" fillId="0" borderId="75" xfId="0" applyFont="1" applyFill="1" applyBorder="1" applyAlignment="1">
      <alignment horizontal="left" vertical="center" wrapText="1" indent="1"/>
    </xf>
    <xf numFmtId="0" fontId="17" fillId="3" borderId="76" xfId="6" applyFont="1" applyFill="1" applyBorder="1" applyAlignment="1">
      <alignment vertical="center" wrapText="1"/>
    </xf>
    <xf numFmtId="0" fontId="0" fillId="0" borderId="76" xfId="0" applyFill="1" applyBorder="1"/>
    <xf numFmtId="0" fontId="16" fillId="3" borderId="76" xfId="6" applyFont="1" applyFill="1" applyBorder="1" applyAlignment="1">
      <alignment vertical="center" wrapText="1"/>
    </xf>
    <xf numFmtId="0" fontId="16" fillId="6" borderId="76" xfId="0" applyFont="1" applyFill="1" applyBorder="1" applyAlignment="1">
      <alignment vertical="center" wrapText="1"/>
    </xf>
    <xf numFmtId="0" fontId="16" fillId="6" borderId="76" xfId="0" applyFont="1" applyFill="1" applyBorder="1" applyAlignment="1">
      <alignment horizontal="left" vertical="center" wrapText="1" indent="1"/>
    </xf>
    <xf numFmtId="37" fontId="14" fillId="0" borderId="76" xfId="81" applyNumberFormat="1" applyFont="1" applyBorder="1" applyAlignment="1">
      <alignment horizontal="left" vertical="center" indent="1"/>
    </xf>
    <xf numFmtId="0" fontId="0" fillId="0" borderId="76" xfId="0" applyBorder="1" applyAlignment="1">
      <alignment horizontal="left"/>
    </xf>
    <xf numFmtId="0" fontId="0" fillId="4" borderId="76" xfId="0" applyFill="1" applyBorder="1"/>
    <xf numFmtId="170" fontId="24" fillId="0" borderId="76" xfId="63" applyNumberFormat="1" applyFont="1" applyBorder="1"/>
    <xf numFmtId="0" fontId="40" fillId="8" borderId="64" xfId="0" applyFont="1" applyFill="1" applyBorder="1" applyAlignment="1">
      <alignment horizontal="center" vertical="center" wrapText="1"/>
    </xf>
    <xf numFmtId="174" fontId="79" fillId="58" borderId="64" xfId="0" applyNumberFormat="1" applyFont="1" applyFill="1" applyBorder="1" applyAlignment="1">
      <alignment horizontal="center" vertical="center"/>
    </xf>
    <xf numFmtId="0" fontId="16" fillId="0" borderId="64" xfId="0" applyFont="1" applyFill="1" applyBorder="1" applyAlignment="1">
      <alignment horizontal="left" vertical="center" wrapText="1"/>
    </xf>
    <xf numFmtId="41" fontId="60" fillId="6" borderId="64" xfId="0" applyNumberFormat="1" applyFont="1" applyFill="1" applyBorder="1" applyAlignment="1">
      <alignment horizontal="center" vertical="center" wrapText="1"/>
    </xf>
    <xf numFmtId="41" fontId="60" fillId="0" borderId="64" xfId="0" applyNumberFormat="1" applyFont="1" applyFill="1" applyBorder="1" applyAlignment="1">
      <alignment horizontal="center" vertical="center" wrapText="1"/>
    </xf>
    <xf numFmtId="170" fontId="0" fillId="0" borderId="0" xfId="0" applyNumberFormat="1" applyBorder="1"/>
    <xf numFmtId="170" fontId="24" fillId="0" borderId="0" xfId="0" applyNumberFormat="1" applyFont="1"/>
    <xf numFmtId="0" fontId="172" fillId="4" borderId="76" xfId="0" applyFont="1" applyFill="1" applyBorder="1"/>
    <xf numFmtId="170" fontId="0" fillId="0" borderId="76" xfId="63" applyNumberFormat="1" applyFont="1" applyBorder="1" applyAlignment="1">
      <alignment horizontal="center"/>
    </xf>
    <xf numFmtId="0" fontId="0" fillId="0" borderId="0" xfId="0" applyFont="1"/>
    <xf numFmtId="41" fontId="0" fillId="0" borderId="64" xfId="0" applyNumberFormat="1" applyFill="1" applyBorder="1"/>
    <xf numFmtId="0" fontId="16" fillId="6" borderId="13" xfId="0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19" xfId="0" applyBorder="1"/>
    <xf numFmtId="0" fontId="16" fillId="6" borderId="76" xfId="0" applyFont="1" applyFill="1" applyBorder="1" applyAlignment="1">
      <alignment horizontal="left" vertical="center" wrapText="1" indent="1"/>
    </xf>
    <xf numFmtId="0" fontId="30" fillId="0" borderId="6" xfId="0" applyFont="1" applyBorder="1" applyAlignment="1">
      <alignment horizontal="center" vertical="center" wrapText="1"/>
    </xf>
    <xf numFmtId="0" fontId="16" fillId="6" borderId="12" xfId="0" applyFont="1" applyFill="1" applyBorder="1" applyAlignment="1">
      <alignment horizontal="left" vertical="center" wrapText="1" indent="1"/>
    </xf>
    <xf numFmtId="0" fontId="16" fillId="6" borderId="13" xfId="0" applyFont="1" applyFill="1" applyBorder="1" applyAlignment="1">
      <alignment horizontal="left" vertical="center" wrapText="1" indent="1"/>
    </xf>
    <xf numFmtId="0" fontId="7" fillId="3" borderId="13" xfId="0" applyFont="1" applyFill="1" applyBorder="1" applyAlignment="1">
      <alignment horizontal="center" vertical="center" wrapText="1"/>
    </xf>
    <xf numFmtId="169" fontId="70" fillId="6" borderId="24" xfId="0" applyNumberFormat="1" applyFont="1" applyFill="1" applyBorder="1" applyAlignment="1">
      <alignment horizontal="center" vertical="center" wrapText="1"/>
    </xf>
    <xf numFmtId="41" fontId="60" fillId="3" borderId="26" xfId="0" applyNumberFormat="1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left" vertical="top" wrapText="1"/>
    </xf>
    <xf numFmtId="0" fontId="17" fillId="6" borderId="25" xfId="0" applyFont="1" applyFill="1" applyBorder="1" applyAlignment="1">
      <alignment horizontal="left" vertical="center" wrapText="1" indent="1"/>
    </xf>
    <xf numFmtId="0" fontId="17" fillId="0" borderId="25" xfId="0" applyFont="1" applyFill="1" applyBorder="1" applyAlignment="1">
      <alignment horizontal="left" vertical="center" wrapText="1" inden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 vertical="center" wrapText="1"/>
    </xf>
    <xf numFmtId="41" fontId="60" fillId="0" borderId="64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2" fillId="8" borderId="64" xfId="0" applyFont="1" applyFill="1" applyBorder="1" applyAlignment="1">
      <alignment horizontal="center" vertical="center" wrapText="1"/>
    </xf>
    <xf numFmtId="0" fontId="16" fillId="6" borderId="12" xfId="0" applyFont="1" applyFill="1" applyBorder="1" applyAlignment="1">
      <alignment horizontal="center" vertical="center" wrapText="1"/>
    </xf>
    <xf numFmtId="0" fontId="0" fillId="0" borderId="0" xfId="0" applyFont="1"/>
    <xf numFmtId="0" fontId="14" fillId="0" borderId="12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 wrapText="1"/>
    </xf>
    <xf numFmtId="0" fontId="16" fillId="0" borderId="6" xfId="0" applyFont="1" applyFill="1" applyBorder="1" applyAlignment="1">
      <alignment horizontal="center" vertical="center" wrapText="1"/>
    </xf>
    <xf numFmtId="0" fontId="31" fillId="6" borderId="6" xfId="0" applyFont="1" applyFill="1" applyBorder="1" applyAlignment="1">
      <alignment horizontal="center" vertical="center"/>
    </xf>
    <xf numFmtId="0" fontId="30" fillId="0" borderId="0" xfId="0" applyFont="1" applyFill="1" applyBorder="1"/>
    <xf numFmtId="0" fontId="12" fillId="6" borderId="8" xfId="0" applyFont="1" applyFill="1" applyBorder="1" applyAlignment="1">
      <alignment horizontal="center" vertical="center" wrapText="1"/>
    </xf>
    <xf numFmtId="0" fontId="12" fillId="6" borderId="8" xfId="76" applyFont="1" applyFill="1" applyBorder="1" applyAlignment="1">
      <alignment horizontal="center" vertical="center"/>
    </xf>
    <xf numFmtId="0" fontId="12" fillId="6" borderId="6" xfId="76" applyFont="1" applyFill="1" applyBorder="1" applyAlignment="1">
      <alignment horizontal="center" vertical="center"/>
    </xf>
    <xf numFmtId="0" fontId="12" fillId="6" borderId="7" xfId="76" applyFont="1" applyFill="1" applyBorder="1" applyAlignment="1">
      <alignment horizontal="center" vertical="center" wrapText="1"/>
    </xf>
    <xf numFmtId="0" fontId="12" fillId="6" borderId="6" xfId="76" applyFont="1" applyFill="1" applyBorder="1" applyAlignment="1">
      <alignment horizontal="center" vertical="center" wrapText="1"/>
    </xf>
    <xf numFmtId="0" fontId="36" fillId="0" borderId="0" xfId="0" applyFont="1" applyFill="1" applyBorder="1"/>
    <xf numFmtId="0" fontId="36" fillId="0" borderId="0" xfId="0" applyFont="1"/>
    <xf numFmtId="0" fontId="67" fillId="0" borderId="8" xfId="0" applyFont="1" applyFill="1" applyBorder="1" applyAlignment="1">
      <alignment horizontal="center" vertical="center" wrapText="1"/>
    </xf>
    <xf numFmtId="0" fontId="67" fillId="0" borderId="0" xfId="0" applyFont="1" applyFill="1" applyBorder="1"/>
    <xf numFmtId="0" fontId="31" fillId="0" borderId="6" xfId="0" applyFont="1" applyFill="1" applyBorder="1" applyAlignment="1">
      <alignment horizontal="center" vertical="center" wrapText="1"/>
    </xf>
    <xf numFmtId="0" fontId="31" fillId="3" borderId="7" xfId="0" applyFont="1" applyFill="1" applyBorder="1" applyAlignment="1">
      <alignment horizontal="center" vertical="center" wrapText="1"/>
    </xf>
    <xf numFmtId="0" fontId="31" fillId="3" borderId="6" xfId="0" applyFont="1" applyFill="1" applyBorder="1" applyAlignment="1">
      <alignment horizontal="center" vertical="center" wrapText="1"/>
    </xf>
    <xf numFmtId="41" fontId="70" fillId="6" borderId="12" xfId="0" applyNumberFormat="1" applyFont="1" applyFill="1" applyBorder="1" applyAlignment="1">
      <alignment horizontal="center" vertical="center" wrapText="1"/>
    </xf>
    <xf numFmtId="41" fontId="60" fillId="6" borderId="35" xfId="0" applyNumberFormat="1" applyFont="1" applyFill="1" applyBorder="1" applyAlignment="1">
      <alignment horizontal="center" vertical="center" wrapText="1"/>
    </xf>
    <xf numFmtId="41" fontId="78" fillId="6" borderId="13" xfId="0" applyNumberFormat="1" applyFont="1" applyFill="1" applyBorder="1" applyAlignment="1">
      <alignment horizontal="center" vertical="center" wrapText="1"/>
    </xf>
    <xf numFmtId="41" fontId="60" fillId="6" borderId="76" xfId="0" applyNumberFormat="1" applyFont="1" applyFill="1" applyBorder="1" applyAlignment="1">
      <alignment horizontal="center" vertical="center"/>
    </xf>
    <xf numFmtId="0" fontId="67" fillId="0" borderId="76" xfId="0" applyFont="1" applyFill="1" applyBorder="1" applyAlignment="1">
      <alignment horizontal="center" vertical="center" wrapText="1"/>
    </xf>
    <xf numFmtId="41" fontId="60" fillId="3" borderId="13" xfId="0" applyNumberFormat="1" applyFont="1" applyFill="1" applyBorder="1" applyAlignment="1">
      <alignment horizontal="center" vertical="center" wrapText="1"/>
    </xf>
    <xf numFmtId="0" fontId="12" fillId="6" borderId="13" xfId="76" applyFont="1" applyFill="1" applyBorder="1" applyAlignment="1">
      <alignment horizontal="center" vertical="center" wrapText="1"/>
    </xf>
    <xf numFmtId="41" fontId="60" fillId="6" borderId="76" xfId="0" applyNumberFormat="1" applyFont="1" applyFill="1" applyBorder="1" applyAlignment="1">
      <alignment horizontal="center" vertical="center" wrapText="1"/>
    </xf>
    <xf numFmtId="41" fontId="60" fillId="0" borderId="13" xfId="0" applyNumberFormat="1" applyFont="1" applyFill="1" applyBorder="1" applyAlignment="1">
      <alignment horizontal="center" vertical="center"/>
    </xf>
    <xf numFmtId="0" fontId="25" fillId="0" borderId="0" xfId="13" applyFont="1" applyFill="1" applyAlignment="1">
      <alignment vertical="center"/>
    </xf>
    <xf numFmtId="0" fontId="27" fillId="0" borderId="0" xfId="74" applyFont="1" applyAlignment="1">
      <alignment vertical="center"/>
    </xf>
    <xf numFmtId="0" fontId="175" fillId="0" borderId="0" xfId="6" applyFont="1" applyFill="1" applyBorder="1" applyAlignment="1">
      <alignment horizontal="left" vertical="center"/>
    </xf>
    <xf numFmtId="169" fontId="70" fillId="0" borderId="24" xfId="0" applyNumberFormat="1" applyFont="1" applyFill="1" applyBorder="1" applyAlignment="1">
      <alignment vertical="center" wrapText="1"/>
    </xf>
    <xf numFmtId="169" fontId="78" fillId="0" borderId="25" xfId="0" applyNumberFormat="1" applyFont="1" applyFill="1" applyBorder="1" applyAlignment="1">
      <alignment vertical="center" wrapText="1"/>
    </xf>
    <xf numFmtId="169" fontId="60" fillId="0" borderId="36" xfId="0" applyNumberFormat="1" applyFont="1" applyFill="1" applyBorder="1" applyAlignment="1">
      <alignment vertical="center" wrapText="1"/>
    </xf>
    <xf numFmtId="0" fontId="7" fillId="0" borderId="0" xfId="0" applyFont="1" applyFill="1" applyBorder="1" applyAlignment="1">
      <alignment horizontal="center" vertical="center" wrapText="1"/>
    </xf>
    <xf numFmtId="169" fontId="70" fillId="0" borderId="0" xfId="0" applyNumberFormat="1" applyFont="1" applyFill="1" applyBorder="1" applyAlignment="1">
      <alignment vertical="center" wrapText="1"/>
    </xf>
    <xf numFmtId="169" fontId="60" fillId="0" borderId="0" xfId="0" applyNumberFormat="1" applyFont="1" applyFill="1" applyBorder="1" applyAlignment="1">
      <alignment vertical="center" wrapText="1"/>
    </xf>
    <xf numFmtId="169" fontId="78" fillId="0" borderId="0" xfId="0" applyNumberFormat="1" applyFont="1" applyFill="1" applyBorder="1" applyAlignment="1">
      <alignment vertical="center" wrapText="1"/>
    </xf>
    <xf numFmtId="41" fontId="19" fillId="0" borderId="0" xfId="0" applyNumberFormat="1" applyFont="1" applyFill="1" applyBorder="1" applyAlignment="1">
      <alignment vertical="center" wrapText="1"/>
    </xf>
    <xf numFmtId="41" fontId="60" fillId="0" borderId="0" xfId="0" applyNumberFormat="1" applyFont="1" applyFill="1" applyBorder="1" applyAlignment="1">
      <alignment vertical="center" wrapText="1"/>
    </xf>
    <xf numFmtId="41" fontId="55" fillId="0" borderId="0" xfId="0" applyNumberFormat="1" applyFont="1" applyFill="1" applyBorder="1" applyAlignment="1">
      <alignment vertical="center" wrapText="1"/>
    </xf>
    <xf numFmtId="41" fontId="70" fillId="0" borderId="0" xfId="0" applyNumberFormat="1" applyFont="1" applyFill="1" applyBorder="1" applyAlignment="1">
      <alignment vertical="center" wrapText="1"/>
    </xf>
    <xf numFmtId="41" fontId="78" fillId="0" borderId="0" xfId="0" applyNumberFormat="1" applyFont="1" applyFill="1" applyBorder="1" applyAlignment="1">
      <alignment vertical="center" wrapText="1"/>
    </xf>
    <xf numFmtId="0" fontId="16" fillId="0" borderId="0" xfId="13" applyFont="1" applyFill="1" applyAlignment="1">
      <alignment vertical="top" wrapText="1"/>
    </xf>
    <xf numFmtId="41" fontId="60" fillId="0" borderId="76" xfId="0" applyNumberFormat="1" applyFont="1" applyFill="1" applyBorder="1" applyAlignment="1">
      <alignment horizontal="center" vertical="center" wrapText="1"/>
    </xf>
    <xf numFmtId="0" fontId="17" fillId="0" borderId="76" xfId="0" applyFont="1" applyFill="1" applyBorder="1" applyAlignment="1">
      <alignment horizontal="left" vertical="center" wrapText="1" indent="1"/>
    </xf>
    <xf numFmtId="0" fontId="16" fillId="0" borderId="76" xfId="0" applyFont="1" applyFill="1" applyBorder="1" applyAlignment="1">
      <alignment horizontal="center" vertical="center" wrapText="1"/>
    </xf>
    <xf numFmtId="0" fontId="0" fillId="0" borderId="19" xfId="0" applyFont="1" applyBorder="1" applyAlignment="1">
      <alignment horizontal="left" vertical="center"/>
    </xf>
    <xf numFmtId="0" fontId="8" fillId="0" borderId="2" xfId="0" applyFont="1" applyBorder="1" applyAlignment="1">
      <alignment vertical="center"/>
    </xf>
    <xf numFmtId="41" fontId="60" fillId="6" borderId="13" xfId="0" applyNumberFormat="1" applyFont="1" applyFill="1" applyBorder="1" applyAlignment="1">
      <alignment horizontal="center" vertical="center"/>
    </xf>
    <xf numFmtId="41" fontId="60" fillId="6" borderId="12" xfId="0" applyNumberFormat="1" applyFont="1" applyFill="1" applyBorder="1" applyAlignment="1">
      <alignment horizontal="center" vertical="center"/>
    </xf>
    <xf numFmtId="41" fontId="60" fillId="0" borderId="35" xfId="0" applyNumberFormat="1" applyFont="1" applyFill="1" applyBorder="1" applyAlignment="1">
      <alignment horizontal="center" vertical="center"/>
    </xf>
    <xf numFmtId="0" fontId="12" fillId="3" borderId="76" xfId="0" applyFont="1" applyFill="1" applyBorder="1" applyAlignment="1">
      <alignment horizontal="center" vertical="center" wrapText="1"/>
    </xf>
    <xf numFmtId="0" fontId="30" fillId="0" borderId="0" xfId="0" applyFont="1" applyBorder="1" applyAlignment="1">
      <alignment vertical="center" wrapText="1"/>
    </xf>
    <xf numFmtId="169" fontId="60" fillId="6" borderId="36" xfId="0" applyNumberFormat="1" applyFont="1" applyFill="1" applyBorder="1" applyAlignment="1">
      <alignment vertical="center" wrapText="1"/>
    </xf>
    <xf numFmtId="169" fontId="78" fillId="6" borderId="25" xfId="0" applyNumberFormat="1" applyFont="1" applyFill="1" applyBorder="1" applyAlignment="1">
      <alignment vertical="center" wrapText="1"/>
    </xf>
    <xf numFmtId="43" fontId="60" fillId="6" borderId="12" xfId="0" applyNumberFormat="1" applyFont="1" applyFill="1" applyBorder="1" applyAlignment="1">
      <alignment horizontal="center" vertical="center" wrapText="1"/>
    </xf>
    <xf numFmtId="43" fontId="60" fillId="0" borderId="78" xfId="0" applyNumberFormat="1" applyFont="1" applyFill="1" applyBorder="1" applyAlignment="1">
      <alignment horizontal="center" vertical="center" wrapText="1"/>
    </xf>
    <xf numFmtId="0" fontId="21" fillId="0" borderId="4" xfId="0" applyFont="1" applyBorder="1"/>
    <xf numFmtId="0" fontId="12" fillId="3" borderId="75" xfId="0" applyFont="1" applyFill="1" applyBorder="1" applyAlignment="1">
      <alignment horizontal="center" vertical="center" wrapText="1"/>
    </xf>
    <xf numFmtId="0" fontId="11" fillId="0" borderId="0" xfId="0" applyFont="1" applyBorder="1"/>
    <xf numFmtId="173" fontId="67" fillId="0" borderId="0" xfId="7" applyNumberFormat="1" applyFont="1" applyFill="1" applyBorder="1" applyAlignment="1">
      <alignment horizontal="center" vertical="center" wrapText="1"/>
    </xf>
    <xf numFmtId="0" fontId="67" fillId="0" borderId="0" xfId="0" applyFont="1" applyFill="1" applyBorder="1" applyAlignment="1">
      <alignment horizontal="center" vertical="center" wrapText="1"/>
    </xf>
    <xf numFmtId="0" fontId="61" fillId="0" borderId="0" xfId="80" applyFont="1" applyBorder="1" applyAlignment="1">
      <alignment horizontal="center" vertical="center"/>
    </xf>
    <xf numFmtId="0" fontId="17" fillId="7" borderId="74" xfId="0" applyFont="1" applyFill="1" applyBorder="1" applyAlignment="1">
      <alignment vertical="center" wrapText="1"/>
    </xf>
    <xf numFmtId="41" fontId="70" fillId="0" borderId="68" xfId="0" applyNumberFormat="1" applyFont="1" applyFill="1" applyBorder="1" applyAlignment="1">
      <alignment horizontal="center" vertical="center" wrapText="1"/>
    </xf>
    <xf numFmtId="41" fontId="60" fillId="0" borderId="76" xfId="0" applyNumberFormat="1" applyFont="1" applyFill="1" applyBorder="1" applyAlignment="1">
      <alignment horizontal="center" vertical="center"/>
    </xf>
    <xf numFmtId="41" fontId="70" fillId="6" borderId="0" xfId="0" applyNumberFormat="1" applyFont="1" applyFill="1" applyBorder="1" applyAlignment="1">
      <alignment horizontal="center" vertical="center" wrapText="1"/>
    </xf>
    <xf numFmtId="41" fontId="60" fillId="6" borderId="0" xfId="0" applyNumberFormat="1" applyFont="1" applyFill="1" applyBorder="1" applyAlignment="1">
      <alignment horizontal="center" vertical="center" wrapText="1"/>
    </xf>
    <xf numFmtId="41" fontId="78" fillId="6" borderId="0" xfId="0" applyNumberFormat="1" applyFont="1" applyFill="1" applyBorder="1" applyAlignment="1">
      <alignment horizontal="center" vertical="center" wrapText="1"/>
    </xf>
    <xf numFmtId="0" fontId="67" fillId="0" borderId="77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2" fillId="8" borderId="76" xfId="0" applyFont="1" applyFill="1" applyBorder="1" applyAlignment="1">
      <alignment horizontal="center" vertical="center" wrapText="1"/>
    </xf>
    <xf numFmtId="0" fontId="0" fillId="6" borderId="76" xfId="0" applyFill="1" applyBorder="1"/>
    <xf numFmtId="174" fontId="173" fillId="4" borderId="76" xfId="0" applyNumberFormat="1" applyFont="1" applyFill="1" applyBorder="1" applyAlignment="1">
      <alignment horizontal="center" vertical="center"/>
    </xf>
    <xf numFmtId="174" fontId="173" fillId="64" borderId="76" xfId="0" applyNumberFormat="1" applyFont="1" applyFill="1" applyBorder="1" applyAlignment="1">
      <alignment horizontal="center" vertical="center"/>
    </xf>
    <xf numFmtId="174" fontId="173" fillId="58" borderId="76" xfId="0" applyNumberFormat="1" applyFont="1" applyFill="1" applyBorder="1" applyAlignment="1">
      <alignment horizontal="center" vertical="center"/>
    </xf>
    <xf numFmtId="174" fontId="173" fillId="60" borderId="76" xfId="0" applyNumberFormat="1" applyFont="1" applyFill="1" applyBorder="1" applyAlignment="1">
      <alignment horizontal="center" vertical="center"/>
    </xf>
    <xf numFmtId="41" fontId="40" fillId="0" borderId="76" xfId="0" applyNumberFormat="1" applyFont="1" applyFill="1" applyBorder="1" applyAlignment="1">
      <alignment horizontal="center" vertical="center"/>
    </xf>
    <xf numFmtId="41" fontId="60" fillId="8" borderId="76" xfId="0" applyNumberFormat="1" applyFont="1" applyFill="1" applyBorder="1" applyAlignment="1">
      <alignment horizontal="center" vertical="center" wrapText="1"/>
    </xf>
    <xf numFmtId="0" fontId="11" fillId="6" borderId="76" xfId="0" applyFont="1" applyFill="1" applyBorder="1"/>
    <xf numFmtId="0" fontId="11" fillId="0" borderId="76" xfId="0" applyFont="1" applyFill="1" applyBorder="1"/>
    <xf numFmtId="41" fontId="70" fillId="0" borderId="13" xfId="0" applyNumberFormat="1" applyFont="1" applyFill="1" applyBorder="1" applyAlignment="1">
      <alignment horizontal="center" vertical="center" wrapText="1"/>
    </xf>
    <xf numFmtId="41" fontId="70" fillId="6" borderId="13" xfId="0" applyNumberFormat="1" applyFont="1" applyFill="1" applyBorder="1" applyAlignment="1">
      <alignment horizontal="center" vertical="center" wrapText="1"/>
    </xf>
    <xf numFmtId="169" fontId="21" fillId="0" borderId="4" xfId="0" applyNumberFormat="1" applyFont="1" applyBorder="1"/>
    <xf numFmtId="0" fontId="7" fillId="0" borderId="0" xfId="0" applyFont="1" applyAlignment="1">
      <alignment vertical="center"/>
    </xf>
    <xf numFmtId="0" fontId="16" fillId="0" borderId="79" xfId="0" applyFont="1" applyFill="1" applyBorder="1" applyAlignment="1">
      <alignment horizontal="left" vertical="center" wrapText="1" indent="1"/>
    </xf>
    <xf numFmtId="41" fontId="60" fillId="6" borderId="10" xfId="0" applyNumberFormat="1" applyFont="1" applyFill="1" applyBorder="1" applyAlignment="1">
      <alignment horizontal="center" vertical="center"/>
    </xf>
    <xf numFmtId="41" fontId="60" fillId="0" borderId="15" xfId="0" applyNumberFormat="1" applyFont="1" applyFill="1" applyBorder="1" applyAlignment="1">
      <alignment horizontal="center" vertical="center"/>
    </xf>
    <xf numFmtId="41" fontId="60" fillId="6" borderId="11" xfId="0" applyNumberFormat="1" applyFont="1" applyFill="1" applyBorder="1" applyAlignment="1">
      <alignment horizontal="center" vertical="center"/>
    </xf>
    <xf numFmtId="41" fontId="60" fillId="3" borderId="15" xfId="0" applyNumberFormat="1" applyFont="1" applyFill="1" applyBorder="1" applyAlignment="1">
      <alignment horizontal="center" vertical="center"/>
    </xf>
    <xf numFmtId="41" fontId="60" fillId="3" borderId="35" xfId="0" applyNumberFormat="1" applyFont="1" applyFill="1" applyBorder="1" applyAlignment="1">
      <alignment horizontal="center" vertical="center"/>
    </xf>
    <xf numFmtId="0" fontId="17" fillId="7" borderId="74" xfId="0" applyFont="1" applyFill="1" applyBorder="1" applyAlignment="1">
      <alignment vertical="center"/>
    </xf>
    <xf numFmtId="168" fontId="15" fillId="6" borderId="10" xfId="0" applyNumberFormat="1" applyFont="1" applyFill="1" applyBorder="1" applyAlignment="1">
      <alignment horizontal="center" vertical="center"/>
    </xf>
    <xf numFmtId="9" fontId="15" fillId="3" borderId="81" xfId="68" applyFont="1" applyFill="1" applyBorder="1" applyAlignment="1">
      <alignment horizontal="center" vertical="center"/>
    </xf>
    <xf numFmtId="9" fontId="15" fillId="6" borderId="25" xfId="68" applyFont="1" applyFill="1" applyBorder="1" applyAlignment="1">
      <alignment horizontal="center" vertical="center"/>
    </xf>
    <xf numFmtId="9" fontId="15" fillId="3" borderId="35" xfId="68" applyFont="1" applyFill="1" applyBorder="1" applyAlignment="1">
      <alignment horizontal="center" vertical="center"/>
    </xf>
    <xf numFmtId="9" fontId="15" fillId="3" borderId="15" xfId="68" applyFont="1" applyFill="1" applyBorder="1" applyAlignment="1">
      <alignment horizontal="center" vertical="center"/>
    </xf>
    <xf numFmtId="9" fontId="15" fillId="6" borderId="11" xfId="68" applyFont="1" applyFill="1" applyBorder="1" applyAlignment="1">
      <alignment horizontal="center" vertical="center"/>
    </xf>
    <xf numFmtId="9" fontId="15" fillId="6" borderId="13" xfId="68" applyFont="1" applyFill="1" applyBorder="1" applyAlignment="1">
      <alignment horizontal="center" vertical="center"/>
    </xf>
    <xf numFmtId="168" fontId="15" fillId="6" borderId="12" xfId="0" applyNumberFormat="1" applyFont="1" applyFill="1" applyBorder="1" applyAlignment="1">
      <alignment horizontal="center" vertical="center"/>
    </xf>
    <xf numFmtId="41" fontId="14" fillId="2" borderId="0" xfId="0" applyNumberFormat="1" applyFont="1" applyFill="1" applyBorder="1" applyAlignment="1">
      <alignment vertical="top"/>
    </xf>
    <xf numFmtId="41" fontId="60" fillId="6" borderId="68" xfId="0" applyNumberFormat="1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right" vertical="center"/>
    </xf>
    <xf numFmtId="0" fontId="73" fillId="0" borderId="4" xfId="0" applyFont="1" applyBorder="1" applyAlignment="1">
      <alignment horizontal="center" vertical="center" wrapText="1"/>
    </xf>
    <xf numFmtId="0" fontId="73" fillId="0" borderId="4" xfId="46" applyFont="1" applyBorder="1" applyAlignment="1">
      <alignment vertical="center" wrapText="1"/>
    </xf>
    <xf numFmtId="169" fontId="19" fillId="0" borderId="0" xfId="1" applyNumberFormat="1" applyFont="1" applyFill="1" applyAlignment="1" applyProtection="1">
      <alignment horizontal="center"/>
      <protection hidden="1"/>
    </xf>
    <xf numFmtId="9" fontId="168" fillId="8" borderId="64" xfId="14" applyFont="1" applyFill="1" applyBorder="1" applyAlignment="1" applyProtection="1">
      <alignment horizontal="right" vertical="center" wrapText="1"/>
      <protection hidden="1"/>
    </xf>
    <xf numFmtId="169" fontId="168" fillId="6" borderId="64" xfId="0" applyNumberFormat="1" applyFont="1" applyFill="1" applyBorder="1" applyAlignment="1" applyProtection="1">
      <alignment horizontal="right" vertical="center" wrapText="1"/>
      <protection locked="0" hidden="1"/>
    </xf>
    <xf numFmtId="4" fontId="177" fillId="6" borderId="6" xfId="77" applyNumberFormat="1" applyFont="1" applyFill="1" applyBorder="1" applyAlignment="1" applyProtection="1">
      <alignment horizontal="right" vertical="center" wrapText="1"/>
      <protection locked="0" hidden="1"/>
    </xf>
    <xf numFmtId="9" fontId="177" fillId="6" borderId="6" xfId="0" applyNumberFormat="1" applyFont="1" applyFill="1" applyBorder="1" applyAlignment="1" applyProtection="1">
      <alignment horizontal="right" vertical="center" wrapText="1"/>
      <protection locked="0"/>
    </xf>
    <xf numFmtId="0" fontId="166" fillId="0" borderId="0" xfId="0" applyFont="1" applyProtection="1">
      <protection locked="0"/>
    </xf>
    <xf numFmtId="0" fontId="178" fillId="0" borderId="0" xfId="0" applyFont="1" applyFill="1" applyProtection="1">
      <protection locked="0"/>
    </xf>
    <xf numFmtId="9" fontId="166" fillId="0" borderId="0" xfId="14" applyFont="1" applyProtection="1">
      <protection locked="0"/>
    </xf>
    <xf numFmtId="169" fontId="178" fillId="8" borderId="64" xfId="0" applyNumberFormat="1" applyFont="1" applyFill="1" applyBorder="1" applyAlignment="1" applyProtection="1">
      <alignment horizontal="right" vertical="center" wrapText="1"/>
      <protection hidden="1"/>
    </xf>
    <xf numFmtId="169" fontId="178" fillId="0" borderId="64" xfId="0" applyNumberFormat="1" applyFont="1" applyFill="1" applyBorder="1" applyAlignment="1" applyProtection="1">
      <alignment horizontal="right" vertical="center" wrapText="1"/>
      <protection locked="0" hidden="1"/>
    </xf>
    <xf numFmtId="4" fontId="178" fillId="0" borderId="64" xfId="77" applyNumberFormat="1" applyFont="1" applyFill="1" applyBorder="1" applyAlignment="1" applyProtection="1">
      <alignment horizontal="right" vertical="center" wrapText="1"/>
      <protection locked="0" hidden="1"/>
    </xf>
    <xf numFmtId="9" fontId="178" fillId="0" borderId="0" xfId="14" applyFont="1" applyFill="1" applyProtection="1">
      <protection locked="0"/>
    </xf>
    <xf numFmtId="0" fontId="179" fillId="0" borderId="0" xfId="0" applyFont="1" applyProtection="1">
      <protection locked="0"/>
    </xf>
    <xf numFmtId="9" fontId="168" fillId="2" borderId="64" xfId="14" applyFont="1" applyFill="1" applyBorder="1" applyAlignment="1" applyProtection="1">
      <alignment horizontal="right" vertical="center" wrapText="1"/>
      <protection hidden="1"/>
    </xf>
    <xf numFmtId="4" fontId="177" fillId="2" borderId="6" xfId="77" applyNumberFormat="1" applyFont="1" applyFill="1" applyBorder="1" applyAlignment="1" applyProtection="1">
      <alignment horizontal="right" vertical="center" wrapText="1"/>
      <protection locked="0" hidden="1"/>
    </xf>
    <xf numFmtId="9" fontId="177" fillId="2" borderId="6" xfId="0" applyNumberFormat="1" applyFont="1" applyFill="1" applyBorder="1" applyAlignment="1" applyProtection="1">
      <alignment horizontal="right" vertical="center" wrapText="1"/>
      <protection locked="0"/>
    </xf>
    <xf numFmtId="43" fontId="166" fillId="0" borderId="0" xfId="7" applyFont="1" applyProtection="1">
      <protection locked="0" hidden="1"/>
    </xf>
    <xf numFmtId="43" fontId="166" fillId="0" borderId="64" xfId="7" applyFont="1" applyBorder="1" applyAlignment="1" applyProtection="1">
      <alignment vertical="center"/>
      <protection locked="0" hidden="1"/>
    </xf>
    <xf numFmtId="4" fontId="177" fillId="6" borderId="64" xfId="77" applyNumberFormat="1" applyFont="1" applyFill="1" applyBorder="1" applyAlignment="1" applyProtection="1">
      <alignment horizontal="right" vertical="center" wrapText="1"/>
      <protection locked="0" hidden="1"/>
    </xf>
    <xf numFmtId="0" fontId="166" fillId="0" borderId="0" xfId="0" applyFont="1" applyFill="1" applyBorder="1" applyProtection="1">
      <protection locked="0"/>
    </xf>
    <xf numFmtId="0" fontId="166" fillId="0" borderId="64" xfId="0" applyFont="1" applyBorder="1" applyAlignment="1" applyProtection="1">
      <alignment horizontal="center" vertical="center"/>
      <protection locked="0"/>
    </xf>
    <xf numFmtId="3" fontId="39" fillId="4" borderId="6" xfId="69" applyNumberFormat="1" applyFont="1" applyFill="1" applyBorder="1" applyAlignment="1">
      <alignment horizontal="center" vertical="center" wrapText="1"/>
    </xf>
    <xf numFmtId="0" fontId="0" fillId="0" borderId="76" xfId="0" applyBorder="1"/>
    <xf numFmtId="0" fontId="0" fillId="0" borderId="0" xfId="0" applyBorder="1" applyAlignment="1">
      <alignment vertical="center" wrapText="1"/>
    </xf>
    <xf numFmtId="0" fontId="72" fillId="0" borderId="0" xfId="0" applyFont="1" applyBorder="1" applyAlignment="1">
      <alignment vertical="center" wrapText="1"/>
    </xf>
    <xf numFmtId="0" fontId="0" fillId="0" borderId="0" xfId="0" applyBorder="1" applyAlignment="1">
      <alignment horizontal="center"/>
    </xf>
    <xf numFmtId="2" fontId="0" fillId="0" borderId="76" xfId="0" applyNumberFormat="1" applyBorder="1"/>
    <xf numFmtId="0" fontId="25" fillId="0" borderId="6" xfId="69" applyFont="1" applyFill="1" applyBorder="1" applyAlignment="1" applyProtection="1">
      <alignment horizontal="center" vertical="center" wrapText="1"/>
      <protection hidden="1"/>
    </xf>
    <xf numFmtId="173" fontId="15" fillId="6" borderId="65" xfId="81" applyNumberFormat="1" applyFont="1" applyFill="1" applyBorder="1" applyAlignment="1">
      <alignment vertical="center"/>
    </xf>
    <xf numFmtId="173" fontId="15" fillId="0" borderId="65" xfId="7" applyNumberFormat="1" applyFont="1" applyFill="1" applyBorder="1" applyAlignment="1">
      <alignment vertical="center"/>
    </xf>
    <xf numFmtId="0" fontId="153" fillId="0" borderId="50" xfId="60" applyFont="1" applyBorder="1"/>
    <xf numFmtId="0" fontId="147" fillId="0" borderId="76" xfId="60" applyFont="1" applyBorder="1"/>
    <xf numFmtId="0" fontId="148" fillId="0" borderId="76" xfId="60" applyFont="1" applyBorder="1"/>
    <xf numFmtId="0" fontId="149" fillId="0" borderId="76" xfId="60" applyFont="1" applyBorder="1" applyAlignment="1">
      <alignment vertical="center"/>
    </xf>
    <xf numFmtId="0" fontId="153" fillId="0" borderId="90" xfId="60" applyFont="1" applyBorder="1"/>
    <xf numFmtId="3" fontId="39" fillId="59" borderId="6" xfId="69" applyNumberFormat="1" applyFont="1" applyFill="1" applyBorder="1" applyAlignment="1">
      <alignment horizontal="center" vertical="center" wrapText="1"/>
    </xf>
    <xf numFmtId="0" fontId="44" fillId="9" borderId="76" xfId="46" applyFont="1" applyFill="1" applyBorder="1" applyAlignment="1">
      <alignment horizontal="center" vertical="center"/>
    </xf>
    <xf numFmtId="0" fontId="44" fillId="9" borderId="75" xfId="46" applyFont="1" applyFill="1" applyBorder="1" applyAlignment="1">
      <alignment horizontal="center" vertical="center"/>
    </xf>
    <xf numFmtId="0" fontId="147" fillId="0" borderId="92" xfId="60" applyFont="1" applyBorder="1"/>
    <xf numFmtId="0" fontId="0" fillId="0" borderId="0" xfId="0" applyFont="1"/>
    <xf numFmtId="0" fontId="74" fillId="0" borderId="0" xfId="0" applyFont="1" applyAlignment="1">
      <alignment vertical="center"/>
    </xf>
    <xf numFmtId="0" fontId="24" fillId="0" borderId="0" xfId="80" applyFont="1" applyBorder="1" applyAlignment="1">
      <alignment vertical="top"/>
    </xf>
    <xf numFmtId="0" fontId="34" fillId="0" borderId="0" xfId="0" applyFont="1" applyAlignment="1">
      <alignment horizontal="center"/>
    </xf>
    <xf numFmtId="41" fontId="15" fillId="0" borderId="0" xfId="69" applyNumberFormat="1" applyFont="1" applyAlignment="1" applyProtection="1">
      <alignment vertical="center"/>
      <protection hidden="1"/>
    </xf>
    <xf numFmtId="0" fontId="66" fillId="0" borderId="98" xfId="0" applyFont="1" applyBorder="1" applyAlignment="1">
      <alignment vertical="center" wrapText="1"/>
    </xf>
    <xf numFmtId="0" fontId="147" fillId="0" borderId="14" xfId="60" applyFont="1" applyBorder="1"/>
    <xf numFmtId="0" fontId="147" fillId="0" borderId="75" xfId="60" applyFont="1" applyBorder="1"/>
    <xf numFmtId="0" fontId="148" fillId="0" borderId="75" xfId="60" applyFont="1" applyBorder="1"/>
    <xf numFmtId="0" fontId="149" fillId="0" borderId="75" xfId="60" applyFont="1" applyBorder="1" applyAlignment="1">
      <alignment vertical="center"/>
    </xf>
    <xf numFmtId="0" fontId="16" fillId="6" borderId="13" xfId="0" applyFont="1" applyFill="1" applyBorder="1" applyAlignment="1">
      <alignment horizontal="center" vertical="center" wrapText="1"/>
    </xf>
    <xf numFmtId="0" fontId="0" fillId="0" borderId="0" xfId="0" applyFont="1"/>
    <xf numFmtId="3" fontId="76" fillId="57" borderId="65" xfId="69" applyNumberFormat="1" applyFont="1" applyFill="1" applyBorder="1" applyAlignment="1" applyProtection="1">
      <alignment horizontal="center" vertical="center"/>
      <protection hidden="1"/>
    </xf>
    <xf numFmtId="3" fontId="76" fillId="57" borderId="77" xfId="69" applyNumberFormat="1" applyFont="1" applyFill="1" applyBorder="1" applyAlignment="1" applyProtection="1">
      <alignment horizontal="center" vertical="center"/>
      <protection hidden="1"/>
    </xf>
    <xf numFmtId="165" fontId="16" fillId="0" borderId="76" xfId="81" applyNumberFormat="1" applyFont="1" applyFill="1" applyBorder="1" applyAlignment="1">
      <alignment horizontal="left" vertical="center" wrapText="1" indent="1"/>
    </xf>
    <xf numFmtId="9" fontId="25" fillId="0" borderId="0" xfId="14" applyFont="1" applyFill="1" applyBorder="1" applyAlignment="1" applyProtection="1">
      <alignment horizontal="center" vertical="center" wrapText="1"/>
      <protection hidden="1"/>
    </xf>
    <xf numFmtId="0" fontId="7" fillId="0" borderId="76" xfId="74" applyFont="1" applyFill="1" applyBorder="1" applyAlignment="1">
      <alignment horizontal="center" vertical="center"/>
    </xf>
    <xf numFmtId="41" fontId="60" fillId="6" borderId="76" xfId="75" applyNumberFormat="1" applyFont="1" applyFill="1" applyBorder="1" applyAlignment="1">
      <alignment horizontal="center" vertical="center" wrapText="1"/>
    </xf>
    <xf numFmtId="41" fontId="60" fillId="0" borderId="76" xfId="75" applyNumberFormat="1" applyFont="1" applyFill="1" applyBorder="1" applyAlignment="1">
      <alignment horizontal="center" vertical="center" wrapText="1"/>
    </xf>
    <xf numFmtId="14" fontId="15" fillId="0" borderId="0" xfId="1" applyNumberFormat="1" applyFont="1" applyAlignment="1" applyProtection="1">
      <alignment horizontal="right"/>
      <protection hidden="1"/>
    </xf>
    <xf numFmtId="41" fontId="70" fillId="6" borderId="12" xfId="0" applyNumberFormat="1" applyFont="1" applyFill="1" applyBorder="1" applyAlignment="1">
      <alignment horizontal="center" vertical="center" wrapText="1"/>
    </xf>
    <xf numFmtId="41" fontId="60" fillId="6" borderId="35" xfId="0" applyNumberFormat="1" applyFont="1" applyFill="1" applyBorder="1" applyAlignment="1">
      <alignment horizontal="center" vertical="center" wrapText="1"/>
    </xf>
    <xf numFmtId="41" fontId="70" fillId="6" borderId="12" xfId="0" applyNumberFormat="1" applyFont="1" applyFill="1" applyBorder="1" applyAlignment="1">
      <alignment horizontal="center" vertical="center" wrapText="1"/>
    </xf>
    <xf numFmtId="0" fontId="18" fillId="0" borderId="64" xfId="69" applyFont="1" applyFill="1" applyBorder="1" applyAlignment="1" applyProtection="1">
      <alignment horizontal="center" vertical="center" wrapText="1"/>
      <protection hidden="1"/>
    </xf>
    <xf numFmtId="41" fontId="60" fillId="6" borderId="6" xfId="69" applyNumberFormat="1" applyFont="1" applyFill="1" applyBorder="1" applyAlignment="1">
      <alignment horizontal="center" vertical="center" wrapText="1"/>
    </xf>
    <xf numFmtId="41" fontId="60" fillId="0" borderId="77" xfId="71" applyNumberFormat="1" applyFont="1" applyFill="1" applyBorder="1" applyAlignment="1">
      <alignment horizontal="center" vertical="center"/>
    </xf>
    <xf numFmtId="0" fontId="65" fillId="0" borderId="76" xfId="0" applyFont="1" applyBorder="1"/>
    <xf numFmtId="9" fontId="65" fillId="0" borderId="76" xfId="0" applyNumberFormat="1" applyFont="1" applyBorder="1"/>
    <xf numFmtId="41" fontId="60" fillId="6" borderId="10" xfId="0" applyNumberFormat="1" applyFont="1" applyFill="1" applyBorder="1" applyAlignment="1">
      <alignment horizontal="center" vertical="center"/>
    </xf>
    <xf numFmtId="41" fontId="70" fillId="6" borderId="12" xfId="0" applyNumberFormat="1" applyFont="1" applyFill="1" applyBorder="1" applyAlignment="1">
      <alignment horizontal="center" vertical="center" wrapText="1"/>
    </xf>
    <xf numFmtId="14" fontId="70" fillId="0" borderId="0" xfId="1" applyNumberFormat="1" applyFont="1" applyAlignment="1" applyProtection="1">
      <alignment horizontal="right"/>
      <protection hidden="1"/>
    </xf>
    <xf numFmtId="0" fontId="44" fillId="0" borderId="2" xfId="46" applyFont="1" applyBorder="1" applyAlignment="1">
      <alignment vertical="top" wrapText="1"/>
    </xf>
    <xf numFmtId="0" fontId="44" fillId="0" borderId="0" xfId="46" applyFont="1" applyBorder="1" applyAlignment="1">
      <alignment vertical="top" wrapText="1"/>
    </xf>
    <xf numFmtId="0" fontId="44" fillId="0" borderId="2" xfId="46" applyFont="1" applyBorder="1" applyAlignment="1">
      <alignment vertical="top"/>
    </xf>
    <xf numFmtId="0" fontId="16" fillId="0" borderId="18" xfId="69" applyFont="1" applyFill="1" applyBorder="1" applyAlignment="1" applyProtection="1">
      <alignment wrapText="1"/>
      <protection hidden="1"/>
    </xf>
    <xf numFmtId="0" fontId="16" fillId="0" borderId="20" xfId="69" applyFont="1" applyFill="1" applyBorder="1" applyAlignment="1" applyProtection="1">
      <alignment wrapText="1"/>
      <protection hidden="1"/>
    </xf>
    <xf numFmtId="0" fontId="16" fillId="0" borderId="17" xfId="69" applyFont="1" applyFill="1" applyBorder="1" applyAlignment="1" applyProtection="1">
      <alignment wrapText="1"/>
      <protection hidden="1"/>
    </xf>
    <xf numFmtId="0" fontId="25" fillId="0" borderId="18" xfId="69" applyFont="1" applyFill="1" applyBorder="1" applyAlignment="1" applyProtection="1">
      <alignment vertical="top" wrapText="1"/>
      <protection hidden="1"/>
    </xf>
    <xf numFmtId="0" fontId="25" fillId="0" borderId="20" xfId="69" applyFont="1" applyFill="1" applyBorder="1" applyAlignment="1" applyProtection="1">
      <alignment vertical="top" wrapText="1"/>
      <protection hidden="1"/>
    </xf>
    <xf numFmtId="0" fontId="25" fillId="0" borderId="17" xfId="69" applyFont="1" applyFill="1" applyBorder="1" applyAlignment="1" applyProtection="1">
      <alignment vertical="top" wrapText="1"/>
      <protection hidden="1"/>
    </xf>
    <xf numFmtId="0" fontId="16" fillId="0" borderId="12" xfId="69" applyFont="1" applyFill="1" applyBorder="1" applyAlignment="1" applyProtection="1">
      <alignment wrapText="1"/>
      <protection hidden="1"/>
    </xf>
    <xf numFmtId="0" fontId="44" fillId="0" borderId="2" xfId="46" applyFont="1" applyFill="1" applyBorder="1" applyAlignment="1">
      <alignment vertical="top" wrapText="1"/>
    </xf>
    <xf numFmtId="0" fontId="44" fillId="0" borderId="2" xfId="46" applyFont="1" applyFill="1" applyBorder="1" applyAlignment="1">
      <alignment vertical="top"/>
    </xf>
    <xf numFmtId="0" fontId="14" fillId="7" borderId="74" xfId="6" applyFont="1" applyFill="1" applyBorder="1" applyAlignment="1">
      <alignment wrapText="1"/>
    </xf>
    <xf numFmtId="0" fontId="14" fillId="7" borderId="74" xfId="6" applyFont="1" applyFill="1" applyBorder="1" applyAlignment="1"/>
    <xf numFmtId="0" fontId="14" fillId="7" borderId="77" xfId="6" applyFont="1" applyFill="1" applyBorder="1" applyAlignment="1"/>
    <xf numFmtId="0" fontId="34" fillId="0" borderId="77" xfId="60" applyFont="1" applyBorder="1" applyAlignment="1">
      <alignment horizontal="left" vertical="top" wrapText="1"/>
    </xf>
    <xf numFmtId="0" fontId="34" fillId="0" borderId="74" xfId="60" applyFont="1" applyBorder="1" applyAlignment="1">
      <alignment horizontal="left" vertical="top" wrapText="1"/>
    </xf>
    <xf numFmtId="0" fontId="153" fillId="0" borderId="76" xfId="60" applyFont="1" applyBorder="1"/>
    <xf numFmtId="0" fontId="147" fillId="0" borderId="105" xfId="60" applyFont="1" applyBorder="1"/>
    <xf numFmtId="0" fontId="149" fillId="0" borderId="105" xfId="60" applyFont="1" applyBorder="1" applyAlignment="1">
      <alignment vertical="center"/>
    </xf>
    <xf numFmtId="0" fontId="42" fillId="0" borderId="0" xfId="46" applyAlignment="1">
      <alignment horizontal="right"/>
    </xf>
    <xf numFmtId="0" fontId="14" fillId="0" borderId="0" xfId="13" applyFont="1" applyFill="1" applyAlignment="1">
      <alignment vertical="center"/>
    </xf>
    <xf numFmtId="0" fontId="91" fillId="0" borderId="0" xfId="46" applyFont="1" applyAlignment="1">
      <alignment horizontal="right"/>
    </xf>
    <xf numFmtId="0" fontId="135" fillId="0" borderId="0" xfId="46" applyFont="1" applyAlignment="1">
      <alignment horizontal="right"/>
    </xf>
    <xf numFmtId="0" fontId="14" fillId="0" borderId="0" xfId="6" applyFont="1" applyFill="1" applyBorder="1" applyAlignment="1">
      <alignment horizontal="left" vertical="center"/>
    </xf>
    <xf numFmtId="0" fontId="0" fillId="0" borderId="0" xfId="0" applyFont="1"/>
    <xf numFmtId="0" fontId="44" fillId="0" borderId="0" xfId="46" applyFont="1" applyBorder="1" applyAlignment="1">
      <alignment horizontal="left" vertical="center" wrapText="1"/>
    </xf>
    <xf numFmtId="0" fontId="61" fillId="0" borderId="0" xfId="80" applyFont="1" applyBorder="1" applyAlignment="1">
      <alignment horizontal="center" vertical="center"/>
    </xf>
    <xf numFmtId="9" fontId="15" fillId="0" borderId="0" xfId="14" applyFont="1" applyAlignment="1" applyProtection="1">
      <alignment vertical="center"/>
      <protection hidden="1"/>
    </xf>
    <xf numFmtId="43" fontId="0" fillId="0" borderId="0" xfId="7" applyFont="1"/>
    <xf numFmtId="43" fontId="30" fillId="0" borderId="0" xfId="7" applyFont="1"/>
    <xf numFmtId="43" fontId="0" fillId="0" borderId="0" xfId="7" applyFont="1" applyBorder="1" applyAlignment="1">
      <alignment horizontal="center" vertical="center" wrapText="1"/>
    </xf>
    <xf numFmtId="9" fontId="42" fillId="0" borderId="0" xfId="14" applyFont="1" applyAlignment="1">
      <alignment horizontal="left" vertical="center"/>
    </xf>
    <xf numFmtId="0" fontId="136" fillId="0" borderId="20" xfId="46" applyFont="1" applyBorder="1" applyAlignment="1">
      <alignment vertical="top" wrapText="1"/>
    </xf>
    <xf numFmtId="0" fontId="14" fillId="9" borderId="76" xfId="46" applyFont="1" applyFill="1" applyBorder="1" applyAlignment="1">
      <alignment horizontal="center" vertical="center" wrapText="1"/>
    </xf>
    <xf numFmtId="0" fontId="136" fillId="0" borderId="20" xfId="46" applyFont="1" applyBorder="1" applyAlignment="1">
      <alignment vertical="top"/>
    </xf>
    <xf numFmtId="0" fontId="61" fillId="0" borderId="0" xfId="80" applyFont="1" applyBorder="1" applyAlignment="1">
      <alignment horizontal="right" vertical="center"/>
    </xf>
    <xf numFmtId="41" fontId="60" fillId="6" borderId="6" xfId="69" applyNumberFormat="1" applyFont="1" applyFill="1" applyBorder="1" applyAlignment="1">
      <alignment horizontal="center" vertical="center" wrapText="1"/>
    </xf>
    <xf numFmtId="41" fontId="83" fillId="6" borderId="77" xfId="69" applyNumberFormat="1" applyFont="1" applyFill="1" applyBorder="1" applyAlignment="1">
      <alignment vertical="center" wrapText="1"/>
    </xf>
    <xf numFmtId="172" fontId="0" fillId="0" borderId="0" xfId="285" applyNumberFormat="1" applyFont="1"/>
    <xf numFmtId="9" fontId="12" fillId="0" borderId="0" xfId="112" applyFont="1"/>
    <xf numFmtId="0" fontId="30" fillId="0" borderId="0" xfId="0" applyFont="1" applyAlignment="1">
      <alignment vertical="center"/>
    </xf>
    <xf numFmtId="0" fontId="30" fillId="0" borderId="77" xfId="0" applyFont="1" applyBorder="1" applyAlignment="1">
      <alignment vertical="center"/>
    </xf>
    <xf numFmtId="9" fontId="30" fillId="0" borderId="74" xfId="0" applyNumberFormat="1" applyFont="1" applyBorder="1" applyAlignment="1">
      <alignment vertical="center"/>
    </xf>
    <xf numFmtId="0" fontId="30" fillId="0" borderId="74" xfId="0" applyFont="1" applyBorder="1" applyAlignment="1">
      <alignment vertical="center"/>
    </xf>
    <xf numFmtId="0" fontId="30" fillId="0" borderId="75" xfId="0" applyFont="1" applyBorder="1" applyAlignment="1">
      <alignment vertical="center"/>
    </xf>
    <xf numFmtId="0" fontId="30" fillId="0" borderId="0" xfId="0" applyFont="1" applyBorder="1" applyAlignment="1">
      <alignment horizontal="center" vertical="center"/>
    </xf>
    <xf numFmtId="0" fontId="27" fillId="0" borderId="76" xfId="0" applyFont="1" applyBorder="1" applyAlignment="1">
      <alignment horizontal="center" vertical="center" wrapText="1"/>
    </xf>
    <xf numFmtId="9" fontId="12" fillId="0" borderId="76" xfId="112" applyFont="1" applyBorder="1" applyAlignment="1">
      <alignment horizontal="center" vertical="center" wrapText="1"/>
    </xf>
    <xf numFmtId="0" fontId="175" fillId="0" borderId="76" xfId="0" applyFont="1" applyBorder="1" applyAlignment="1">
      <alignment horizontal="center" vertical="center" wrapText="1"/>
    </xf>
    <xf numFmtId="0" fontId="30" fillId="0" borderId="76" xfId="0" applyFont="1" applyBorder="1"/>
    <xf numFmtId="172" fontId="0" fillId="0" borderId="76" xfId="285" applyNumberFormat="1" applyFont="1" applyBorder="1"/>
    <xf numFmtId="9" fontId="12" fillId="0" borderId="76" xfId="112" applyFont="1" applyBorder="1"/>
    <xf numFmtId="172" fontId="7" fillId="0" borderId="76" xfId="285" applyNumberFormat="1" applyFont="1" applyBorder="1"/>
    <xf numFmtId="9" fontId="0" fillId="0" borderId="76" xfId="112" applyFont="1" applyBorder="1"/>
    <xf numFmtId="172" fontId="12" fillId="0" borderId="76" xfId="285" applyNumberFormat="1" applyFont="1" applyBorder="1"/>
    <xf numFmtId="172" fontId="7" fillId="0" borderId="76" xfId="285" applyNumberFormat="1" applyFont="1" applyFill="1" applyBorder="1"/>
    <xf numFmtId="172" fontId="7" fillId="0" borderId="0" xfId="285" applyNumberFormat="1" applyFont="1"/>
    <xf numFmtId="0" fontId="163" fillId="0" borderId="76" xfId="0" applyFont="1" applyBorder="1"/>
    <xf numFmtId="0" fontId="30" fillId="0" borderId="0" xfId="0" applyFont="1" applyBorder="1"/>
    <xf numFmtId="172" fontId="7" fillId="0" borderId="0" xfId="285" applyNumberFormat="1" applyFont="1" applyBorder="1"/>
    <xf numFmtId="0" fontId="27" fillId="0" borderId="76" xfId="0" applyFont="1" applyBorder="1"/>
    <xf numFmtId="172" fontId="7" fillId="0" borderId="77" xfId="285" applyNumberFormat="1" applyFont="1" applyBorder="1"/>
    <xf numFmtId="172" fontId="0" fillId="0" borderId="75" xfId="285" applyNumberFormat="1" applyFont="1" applyBorder="1"/>
    <xf numFmtId="172" fontId="30" fillId="0" borderId="76" xfId="0" applyNumberFormat="1" applyFont="1" applyBorder="1"/>
    <xf numFmtId="0" fontId="163" fillId="0" borderId="76" xfId="0" applyFont="1" applyFill="1" applyBorder="1"/>
    <xf numFmtId="41" fontId="70" fillId="6" borderId="80" xfId="0" applyNumberFormat="1" applyFont="1" applyFill="1" applyBorder="1" applyAlignment="1">
      <alignment vertical="center" wrapText="1"/>
    </xf>
    <xf numFmtId="41" fontId="70" fillId="6" borderId="20" xfId="0" applyNumberFormat="1" applyFont="1" applyFill="1" applyBorder="1" applyAlignment="1">
      <alignment vertical="center" wrapText="1"/>
    </xf>
    <xf numFmtId="0" fontId="30" fillId="6" borderId="77" xfId="0" applyFont="1" applyFill="1" applyBorder="1" applyAlignment="1">
      <alignment vertical="center"/>
    </xf>
    <xf numFmtId="9" fontId="30" fillId="6" borderId="74" xfId="0" applyNumberFormat="1" applyFont="1" applyFill="1" applyBorder="1" applyAlignment="1">
      <alignment vertical="center"/>
    </xf>
    <xf numFmtId="0" fontId="30" fillId="6" borderId="75" xfId="0" applyFont="1" applyFill="1" applyBorder="1" applyAlignment="1">
      <alignment vertical="center"/>
    </xf>
    <xf numFmtId="0" fontId="27" fillId="6" borderId="76" xfId="0" applyFont="1" applyFill="1" applyBorder="1" applyAlignment="1">
      <alignment horizontal="center" vertical="center" wrapText="1"/>
    </xf>
    <xf numFmtId="172" fontId="12" fillId="6" borderId="76" xfId="285" applyNumberFormat="1" applyFont="1" applyFill="1" applyBorder="1"/>
    <xf numFmtId="172" fontId="0" fillId="6" borderId="76" xfId="285" applyNumberFormat="1" applyFont="1" applyFill="1" applyBorder="1"/>
    <xf numFmtId="9" fontId="0" fillId="6" borderId="76" xfId="112" applyFont="1" applyFill="1" applyBorder="1"/>
    <xf numFmtId="0" fontId="30" fillId="62" borderId="77" xfId="0" applyFont="1" applyFill="1" applyBorder="1" applyAlignment="1">
      <alignment vertical="center"/>
    </xf>
    <xf numFmtId="9" fontId="30" fillId="62" borderId="74" xfId="0" applyNumberFormat="1" applyFont="1" applyFill="1" applyBorder="1" applyAlignment="1">
      <alignment vertical="center"/>
    </xf>
    <xf numFmtId="0" fontId="27" fillId="62" borderId="76" xfId="0" applyFont="1" applyFill="1" applyBorder="1" applyAlignment="1">
      <alignment horizontal="center" vertical="center" wrapText="1"/>
    </xf>
    <xf numFmtId="0" fontId="0" fillId="62" borderId="76" xfId="0" applyFill="1" applyBorder="1"/>
    <xf numFmtId="172" fontId="12" fillId="62" borderId="76" xfId="285" applyNumberFormat="1" applyFont="1" applyFill="1" applyBorder="1"/>
    <xf numFmtId="172" fontId="0" fillId="62" borderId="76" xfId="285" applyNumberFormat="1" applyFont="1" applyFill="1" applyBorder="1"/>
    <xf numFmtId="9" fontId="0" fillId="62" borderId="76" xfId="112" applyFont="1" applyFill="1" applyBorder="1"/>
    <xf numFmtId="0" fontId="11" fillId="62" borderId="76" xfId="0" applyFont="1" applyFill="1" applyBorder="1"/>
    <xf numFmtId="172" fontId="0" fillId="0" borderId="0" xfId="0" applyNumberFormat="1"/>
    <xf numFmtId="172" fontId="1" fillId="0" borderId="0" xfId="285" applyNumberFormat="1" applyFont="1"/>
    <xf numFmtId="172" fontId="0" fillId="0" borderId="75" xfId="285" applyNumberFormat="1" applyFont="1" applyFill="1" applyBorder="1"/>
    <xf numFmtId="0" fontId="30" fillId="0" borderId="76" xfId="0" applyFont="1" applyFill="1" applyBorder="1"/>
    <xf numFmtId="9" fontId="7" fillId="0" borderId="0" xfId="112" applyFont="1"/>
    <xf numFmtId="9" fontId="30" fillId="0" borderId="76" xfId="0" applyNumberFormat="1" applyFont="1" applyBorder="1" applyAlignment="1">
      <alignment vertical="center"/>
    </xf>
    <xf numFmtId="178" fontId="52" fillId="0" borderId="76" xfId="0" applyNumberFormat="1" applyFont="1" applyFill="1" applyBorder="1" applyAlignment="1" applyProtection="1">
      <alignment horizontal="center" vertical="center" wrapText="1"/>
    </xf>
    <xf numFmtId="178" fontId="52" fillId="65" borderId="76" xfId="0" applyNumberFormat="1" applyFont="1" applyFill="1" applyBorder="1" applyAlignment="1" applyProtection="1">
      <alignment horizontal="center" vertical="center"/>
    </xf>
    <xf numFmtId="0" fontId="186" fillId="0" borderId="76" xfId="60" applyFont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right"/>
    </xf>
    <xf numFmtId="3" fontId="188" fillId="0" borderId="0" xfId="296" applyNumberFormat="1"/>
    <xf numFmtId="41" fontId="60" fillId="0" borderId="13" xfId="0" applyNumberFormat="1" applyFont="1" applyFill="1" applyBorder="1" applyAlignment="1">
      <alignment horizontal="center" vertical="center"/>
    </xf>
    <xf numFmtId="9" fontId="166" fillId="0" borderId="0" xfId="14" applyFont="1" applyProtection="1">
      <protection locked="0" hidden="1"/>
    </xf>
    <xf numFmtId="0" fontId="12" fillId="62" borderId="76" xfId="0" applyFont="1" applyFill="1" applyBorder="1"/>
    <xf numFmtId="0" fontId="30" fillId="62" borderId="75" xfId="0" applyFont="1" applyFill="1" applyBorder="1" applyAlignment="1">
      <alignment vertical="center"/>
    </xf>
    <xf numFmtId="0" fontId="30" fillId="0" borderId="77" xfId="0" applyFont="1" applyFill="1" applyBorder="1" applyAlignment="1">
      <alignment vertical="center"/>
    </xf>
    <xf numFmtId="9" fontId="30" fillId="0" borderId="74" xfId="0" applyNumberFormat="1" applyFont="1" applyFill="1" applyBorder="1" applyAlignment="1">
      <alignment vertical="center"/>
    </xf>
    <xf numFmtId="0" fontId="27" fillId="0" borderId="76" xfId="0" applyFont="1" applyBorder="1" applyAlignment="1">
      <alignment vertical="center" wrapText="1"/>
    </xf>
    <xf numFmtId="172" fontId="0" fillId="0" borderId="76" xfId="285" applyNumberFormat="1" applyFont="1" applyBorder="1" applyAlignment="1">
      <alignment vertical="center" wrapText="1"/>
    </xf>
    <xf numFmtId="172" fontId="12" fillId="6" borderId="76" xfId="285" applyNumberFormat="1" applyFont="1" applyFill="1" applyBorder="1" applyAlignment="1">
      <alignment vertical="center" wrapText="1"/>
    </xf>
    <xf numFmtId="172" fontId="0" fillId="6" borderId="76" xfId="285" applyNumberFormat="1" applyFont="1" applyFill="1" applyBorder="1" applyAlignment="1">
      <alignment vertical="center" wrapText="1"/>
    </xf>
    <xf numFmtId="9" fontId="0" fillId="6" borderId="76" xfId="112" applyFont="1" applyFill="1" applyBorder="1" applyAlignment="1">
      <alignment vertical="center" wrapText="1"/>
    </xf>
    <xf numFmtId="172" fontId="12" fillId="62" borderId="76" xfId="285" applyNumberFormat="1" applyFont="1" applyFill="1" applyBorder="1" applyAlignment="1">
      <alignment vertical="center" wrapText="1"/>
    </xf>
    <xf numFmtId="172" fontId="0" fillId="62" borderId="76" xfId="285" applyNumberFormat="1" applyFont="1" applyFill="1" applyBorder="1" applyAlignment="1">
      <alignment vertical="center" wrapText="1"/>
    </xf>
    <xf numFmtId="9" fontId="0" fillId="62" borderId="76" xfId="112" applyFont="1" applyFill="1" applyBorder="1" applyAlignment="1">
      <alignment vertical="center" wrapText="1"/>
    </xf>
    <xf numFmtId="172" fontId="7" fillId="0" borderId="76" xfId="285" applyNumberFormat="1" applyFont="1" applyBorder="1" applyAlignment="1">
      <alignment vertical="center" wrapText="1"/>
    </xf>
    <xf numFmtId="0" fontId="0" fillId="62" borderId="76" xfId="0" applyFill="1" applyBorder="1" applyAlignment="1">
      <alignment vertical="center" wrapText="1"/>
    </xf>
    <xf numFmtId="172" fontId="0" fillId="62" borderId="92" xfId="285" applyNumberFormat="1" applyFont="1" applyFill="1" applyBorder="1" applyAlignment="1">
      <alignment vertical="center" wrapText="1"/>
    </xf>
    <xf numFmtId="172" fontId="30" fillId="0" borderId="76" xfId="0" applyNumberFormat="1" applyFont="1" applyBorder="1" applyAlignment="1">
      <alignment vertical="center" wrapText="1"/>
    </xf>
    <xf numFmtId="0" fontId="210" fillId="0" borderId="0" xfId="0" applyFont="1" applyAlignment="1">
      <alignment vertical="center" wrapText="1"/>
    </xf>
    <xf numFmtId="0" fontId="210" fillId="0" borderId="76" xfId="0" applyFont="1" applyBorder="1" applyAlignment="1">
      <alignment horizontal="center" vertical="center" wrapText="1"/>
    </xf>
    <xf numFmtId="0" fontId="210" fillId="62" borderId="76" xfId="0" applyFont="1" applyFill="1" applyBorder="1" applyAlignment="1">
      <alignment horizontal="center" vertical="center" wrapText="1"/>
    </xf>
    <xf numFmtId="0" fontId="210" fillId="6" borderId="76" xfId="0" applyFont="1" applyFill="1" applyBorder="1" applyAlignment="1">
      <alignment horizontal="center" vertical="center" wrapText="1"/>
    </xf>
    <xf numFmtId="0" fontId="30" fillId="58" borderId="77" xfId="0" applyFont="1" applyFill="1" applyBorder="1" applyAlignment="1">
      <alignment vertical="center"/>
    </xf>
    <xf numFmtId="9" fontId="30" fillId="58" borderId="74" xfId="0" applyNumberFormat="1" applyFont="1" applyFill="1" applyBorder="1" applyAlignment="1">
      <alignment vertical="center"/>
    </xf>
    <xf numFmtId="0" fontId="30" fillId="58" borderId="75" xfId="0" applyFont="1" applyFill="1" applyBorder="1" applyAlignment="1">
      <alignment vertical="center"/>
    </xf>
    <xf numFmtId="0" fontId="27" fillId="58" borderId="76" xfId="0" applyFont="1" applyFill="1" applyBorder="1" applyAlignment="1">
      <alignment horizontal="center" vertical="center" wrapText="1"/>
    </xf>
    <xf numFmtId="0" fontId="0" fillId="58" borderId="76" xfId="0" applyFill="1" applyBorder="1"/>
    <xf numFmtId="172" fontId="12" fillId="58" borderId="76" xfId="285" applyNumberFormat="1" applyFont="1" applyFill="1" applyBorder="1"/>
    <xf numFmtId="172" fontId="0" fillId="58" borderId="76" xfId="285" applyNumberFormat="1" applyFont="1" applyFill="1" applyBorder="1"/>
    <xf numFmtId="9" fontId="0" fillId="58" borderId="76" xfId="112" applyFont="1" applyFill="1" applyBorder="1"/>
    <xf numFmtId="0" fontId="11" fillId="58" borderId="76" xfId="0" applyFont="1" applyFill="1" applyBorder="1"/>
    <xf numFmtId="0" fontId="210" fillId="58" borderId="76" xfId="0" applyFont="1" applyFill="1" applyBorder="1" applyAlignment="1">
      <alignment horizontal="center" vertical="center" wrapText="1"/>
    </xf>
    <xf numFmtId="0" fontId="0" fillId="58" borderId="76" xfId="0" applyFill="1" applyBorder="1" applyAlignment="1">
      <alignment vertical="center" wrapText="1"/>
    </xf>
    <xf numFmtId="172" fontId="12" fillId="58" borderId="76" xfId="285" applyNumberFormat="1" applyFont="1" applyFill="1" applyBorder="1" applyAlignment="1">
      <alignment vertical="center" wrapText="1"/>
    </xf>
    <xf numFmtId="172" fontId="0" fillId="58" borderId="76" xfId="285" applyNumberFormat="1" applyFont="1" applyFill="1" applyBorder="1" applyAlignment="1">
      <alignment vertical="center" wrapText="1"/>
    </xf>
    <xf numFmtId="9" fontId="0" fillId="58" borderId="76" xfId="112" applyFont="1" applyFill="1" applyBorder="1" applyAlignment="1">
      <alignment vertical="center" wrapText="1"/>
    </xf>
    <xf numFmtId="9" fontId="30" fillId="0" borderId="0" xfId="0" applyNumberFormat="1" applyFont="1" applyAlignment="1">
      <alignment vertical="center"/>
    </xf>
    <xf numFmtId="9" fontId="7" fillId="0" borderId="0" xfId="14" applyFont="1"/>
    <xf numFmtId="2" fontId="30" fillId="0" borderId="75" xfId="0" applyNumberFormat="1" applyFont="1" applyBorder="1" applyAlignment="1">
      <alignment vertical="center"/>
    </xf>
    <xf numFmtId="2" fontId="30" fillId="58" borderId="74" xfId="0" applyNumberFormat="1" applyFont="1" applyFill="1" applyBorder="1" applyAlignment="1">
      <alignment vertical="center"/>
    </xf>
    <xf numFmtId="2" fontId="30" fillId="6" borderId="74" xfId="0" applyNumberFormat="1" applyFont="1" applyFill="1" applyBorder="1" applyAlignment="1">
      <alignment vertical="center"/>
    </xf>
    <xf numFmtId="2" fontId="30" fillId="62" borderId="74" xfId="0" applyNumberFormat="1" applyFont="1" applyFill="1" applyBorder="1" applyAlignment="1">
      <alignment vertical="center"/>
    </xf>
    <xf numFmtId="43" fontId="30" fillId="0" borderId="74" xfId="7" applyFont="1" applyFill="1" applyBorder="1" applyAlignment="1">
      <alignment vertical="center"/>
    </xf>
    <xf numFmtId="43" fontId="30" fillId="58" borderId="74" xfId="7" applyFont="1" applyFill="1" applyBorder="1" applyAlignment="1">
      <alignment vertical="center"/>
    </xf>
    <xf numFmtId="43" fontId="30" fillId="6" borderId="74" xfId="7" applyFont="1" applyFill="1" applyBorder="1" applyAlignment="1">
      <alignment vertical="center"/>
    </xf>
    <xf numFmtId="43" fontId="30" fillId="62" borderId="74" xfId="7" applyFont="1" applyFill="1" applyBorder="1" applyAlignment="1">
      <alignment vertical="center"/>
    </xf>
    <xf numFmtId="0" fontId="27" fillId="62" borderId="76" xfId="0" applyFont="1" applyFill="1" applyBorder="1" applyAlignment="1">
      <alignment vertical="center" wrapText="1"/>
    </xf>
    <xf numFmtId="0" fontId="27" fillId="6" borderId="76" xfId="0" applyFont="1" applyFill="1" applyBorder="1" applyAlignment="1">
      <alignment vertical="center" wrapText="1"/>
    </xf>
    <xf numFmtId="0" fontId="27" fillId="58" borderId="76" xfId="0" applyFont="1" applyFill="1" applyBorder="1" applyAlignment="1">
      <alignment vertical="center" wrapText="1"/>
    </xf>
    <xf numFmtId="9" fontId="1" fillId="0" borderId="0" xfId="14" applyFont="1"/>
    <xf numFmtId="172" fontId="1" fillId="0" borderId="76" xfId="285" applyNumberFormat="1" applyFont="1" applyBorder="1"/>
    <xf numFmtId="172" fontId="1" fillId="0" borderId="76" xfId="285" applyNumberFormat="1" applyFont="1" applyFill="1" applyBorder="1"/>
    <xf numFmtId="172" fontId="1" fillId="0" borderId="0" xfId="285" applyNumberFormat="1" applyFont="1" applyBorder="1"/>
    <xf numFmtId="172" fontId="1" fillId="0" borderId="76" xfId="285" applyNumberFormat="1" applyFont="1" applyBorder="1" applyAlignment="1">
      <alignment vertical="center" wrapText="1"/>
    </xf>
    <xf numFmtId="0" fontId="34" fillId="12" borderId="76" xfId="0" applyFont="1" applyFill="1" applyBorder="1"/>
    <xf numFmtId="172" fontId="34" fillId="12" borderId="76" xfId="285" applyNumberFormat="1" applyFont="1" applyFill="1" applyBorder="1"/>
    <xf numFmtId="172" fontId="8" fillId="12" borderId="76" xfId="285" applyNumberFormat="1" applyFont="1" applyFill="1" applyBorder="1"/>
    <xf numFmtId="172" fontId="24" fillId="12" borderId="76" xfId="0" applyNumberFormat="1" applyFont="1" applyFill="1" applyBorder="1"/>
    <xf numFmtId="0" fontId="211" fillId="0" borderId="0" xfId="0" applyFont="1"/>
    <xf numFmtId="0" fontId="212" fillId="0" borderId="0" xfId="0" applyFont="1" applyAlignment="1">
      <alignment vertical="center"/>
    </xf>
    <xf numFmtId="0" fontId="213" fillId="0" borderId="0" xfId="0" applyFont="1" applyAlignment="1">
      <alignment vertical="center" wrapText="1"/>
    </xf>
    <xf numFmtId="0" fontId="211" fillId="0" borderId="0" xfId="0" applyFont="1" applyFill="1"/>
    <xf numFmtId="172" fontId="214" fillId="0" borderId="0" xfId="285" applyNumberFormat="1" applyFont="1"/>
    <xf numFmtId="172" fontId="211" fillId="0" borderId="0" xfId="0" applyNumberFormat="1" applyFont="1"/>
    <xf numFmtId="0" fontId="215" fillId="0" borderId="0" xfId="0" applyFont="1" applyAlignment="1">
      <alignment vertical="center" wrapText="1"/>
    </xf>
    <xf numFmtId="0" fontId="66" fillId="0" borderId="76" xfId="0" applyFont="1" applyBorder="1" applyAlignment="1">
      <alignment horizontal="center" vertical="center" wrapText="1"/>
    </xf>
    <xf numFmtId="172" fontId="27" fillId="0" borderId="0" xfId="285" applyNumberFormat="1" applyFont="1"/>
    <xf numFmtId="9" fontId="27" fillId="0" borderId="0" xfId="14" applyFont="1"/>
    <xf numFmtId="2" fontId="27" fillId="0" borderId="74" xfId="0" applyNumberFormat="1" applyFont="1" applyBorder="1" applyAlignment="1">
      <alignment vertical="center"/>
    </xf>
    <xf numFmtId="9" fontId="27" fillId="0" borderId="74" xfId="14" applyFont="1" applyBorder="1" applyAlignment="1">
      <alignment vertical="center"/>
    </xf>
    <xf numFmtId="172" fontId="27" fillId="0" borderId="76" xfId="285" applyNumberFormat="1" applyFont="1" applyBorder="1"/>
    <xf numFmtId="9" fontId="27" fillId="0" borderId="76" xfId="14" applyFont="1" applyBorder="1"/>
    <xf numFmtId="43" fontId="27" fillId="0" borderId="74" xfId="7" applyFont="1" applyFill="1" applyBorder="1" applyAlignment="1">
      <alignment vertical="center"/>
    </xf>
    <xf numFmtId="9" fontId="27" fillId="0" borderId="74" xfId="14" applyFont="1" applyFill="1" applyBorder="1" applyAlignment="1">
      <alignment vertical="center"/>
    </xf>
    <xf numFmtId="172" fontId="27" fillId="0" borderId="0" xfId="285" applyNumberFormat="1" applyFont="1" applyBorder="1"/>
    <xf numFmtId="9" fontId="27" fillId="0" borderId="0" xfId="14" applyFont="1" applyBorder="1"/>
    <xf numFmtId="172" fontId="22" fillId="12" borderId="76" xfId="285" applyNumberFormat="1" applyFont="1" applyFill="1" applyBorder="1"/>
    <xf numFmtId="9" fontId="22" fillId="12" borderId="76" xfId="14" applyFont="1" applyFill="1" applyBorder="1"/>
    <xf numFmtId="172" fontId="27" fillId="0" borderId="76" xfId="285" applyNumberFormat="1" applyFont="1" applyBorder="1" applyAlignment="1">
      <alignment vertical="center" wrapText="1"/>
    </xf>
    <xf numFmtId="9" fontId="27" fillId="0" borderId="76" xfId="14" applyFont="1" applyBorder="1" applyAlignment="1">
      <alignment vertical="center" wrapText="1"/>
    </xf>
    <xf numFmtId="172" fontId="0" fillId="4" borderId="76" xfId="285" applyNumberFormat="1" applyFont="1" applyFill="1" applyBorder="1" applyAlignment="1">
      <alignment vertical="center" wrapText="1"/>
    </xf>
    <xf numFmtId="0" fontId="27" fillId="58" borderId="76" xfId="0" applyFont="1" applyFill="1" applyBorder="1"/>
    <xf numFmtId="0" fontId="27" fillId="6" borderId="76" xfId="0" applyFont="1" applyFill="1" applyBorder="1"/>
    <xf numFmtId="0" fontId="27" fillId="62" borderId="76" xfId="0" applyFont="1" applyFill="1" applyBorder="1"/>
    <xf numFmtId="0" fontId="27" fillId="62" borderId="76" xfId="0" applyFont="1" applyFill="1" applyBorder="1" applyAlignment="1">
      <alignment vertical="top" wrapText="1"/>
    </xf>
    <xf numFmtId="172" fontId="7" fillId="58" borderId="76" xfId="285" applyNumberFormat="1" applyFont="1" applyFill="1" applyBorder="1"/>
    <xf numFmtId="172" fontId="7" fillId="6" borderId="76" xfId="285" applyNumberFormat="1" applyFont="1" applyFill="1" applyBorder="1"/>
    <xf numFmtId="172" fontId="7" fillId="62" borderId="76" xfId="285" applyNumberFormat="1" applyFont="1" applyFill="1" applyBorder="1"/>
    <xf numFmtId="0" fontId="31" fillId="0" borderId="0" xfId="0" applyFont="1" applyAlignment="1">
      <alignment vertical="center"/>
    </xf>
    <xf numFmtId="0" fontId="31" fillId="0" borderId="77" xfId="0" applyFont="1" applyBorder="1" applyAlignment="1">
      <alignment vertical="center" wrapText="1"/>
    </xf>
    <xf numFmtId="9" fontId="31" fillId="0" borderId="74" xfId="14" applyFont="1" applyBorder="1" applyAlignment="1">
      <alignment vertical="center" wrapText="1"/>
    </xf>
    <xf numFmtId="43" fontId="31" fillId="0" borderId="75" xfId="7" applyFont="1" applyBorder="1" applyAlignment="1">
      <alignment vertical="center" wrapText="1"/>
    </xf>
    <xf numFmtId="43" fontId="175" fillId="0" borderId="75" xfId="7" applyFont="1" applyBorder="1" applyAlignment="1">
      <alignment vertical="center" wrapText="1"/>
    </xf>
    <xf numFmtId="9" fontId="175" fillId="0" borderId="75" xfId="14" applyFont="1" applyBorder="1" applyAlignment="1">
      <alignment vertical="center" wrapText="1"/>
    </xf>
    <xf numFmtId="0" fontId="31" fillId="58" borderId="76" xfId="0" applyFont="1" applyFill="1" applyBorder="1" applyAlignment="1">
      <alignment vertical="center" wrapText="1"/>
    </xf>
    <xf numFmtId="9" fontId="31" fillId="58" borderId="76" xfId="0" applyNumberFormat="1" applyFont="1" applyFill="1" applyBorder="1" applyAlignment="1">
      <alignment vertical="center" wrapText="1"/>
    </xf>
    <xf numFmtId="43" fontId="31" fillId="58" borderId="76" xfId="7" applyFont="1" applyFill="1" applyBorder="1" applyAlignment="1">
      <alignment vertical="center" wrapText="1"/>
    </xf>
    <xf numFmtId="0" fontId="31" fillId="6" borderId="76" xfId="0" applyFont="1" applyFill="1" applyBorder="1" applyAlignment="1">
      <alignment vertical="center" wrapText="1"/>
    </xf>
    <xf numFmtId="9" fontId="31" fillId="6" borderId="76" xfId="0" applyNumberFormat="1" applyFont="1" applyFill="1" applyBorder="1" applyAlignment="1">
      <alignment vertical="center" wrapText="1"/>
    </xf>
    <xf numFmtId="43" fontId="31" fillId="6" borderId="76" xfId="7" applyFont="1" applyFill="1" applyBorder="1" applyAlignment="1">
      <alignment vertical="center" wrapText="1"/>
    </xf>
    <xf numFmtId="0" fontId="31" fillId="62" borderId="76" xfId="0" applyFont="1" applyFill="1" applyBorder="1" applyAlignment="1">
      <alignment vertical="center" wrapText="1"/>
    </xf>
    <xf numFmtId="9" fontId="31" fillId="62" borderId="76" xfId="0" applyNumberFormat="1" applyFont="1" applyFill="1" applyBorder="1" applyAlignment="1">
      <alignment vertical="center" wrapText="1"/>
    </xf>
    <xf numFmtId="43" fontId="31" fillId="62" borderId="76" xfId="7" applyFont="1" applyFill="1" applyBorder="1" applyAlignment="1">
      <alignment vertical="center" wrapText="1"/>
    </xf>
    <xf numFmtId="0" fontId="216" fillId="0" borderId="0" xfId="0" applyFont="1" applyAlignment="1">
      <alignment vertical="center"/>
    </xf>
    <xf numFmtId="0" fontId="214" fillId="0" borderId="0" xfId="0" applyFont="1"/>
    <xf numFmtId="172" fontId="7" fillId="0" borderId="92" xfId="285" applyNumberFormat="1" applyFont="1" applyBorder="1" applyAlignment="1">
      <alignment vertical="center" wrapText="1"/>
    </xf>
    <xf numFmtId="0" fontId="27" fillId="0" borderId="92" xfId="0" applyFont="1" applyBorder="1" applyAlignment="1">
      <alignment vertical="center" wrapText="1"/>
    </xf>
    <xf numFmtId="172" fontId="30" fillId="0" borderId="92" xfId="0" applyNumberFormat="1" applyFont="1" applyBorder="1" applyAlignment="1">
      <alignment vertical="center" wrapText="1"/>
    </xf>
    <xf numFmtId="172" fontId="1" fillId="0" borderId="92" xfId="285" applyNumberFormat="1" applyFont="1" applyBorder="1" applyAlignment="1">
      <alignment vertical="center" wrapText="1"/>
    </xf>
    <xf numFmtId="172" fontId="27" fillId="0" borderId="92" xfId="285" applyNumberFormat="1" applyFont="1" applyBorder="1" applyAlignment="1">
      <alignment vertical="center" wrapText="1"/>
    </xf>
    <xf numFmtId="9" fontId="27" fillId="0" borderId="92" xfId="14" applyFont="1" applyBorder="1" applyAlignment="1">
      <alignment vertical="center" wrapText="1"/>
    </xf>
    <xf numFmtId="0" fontId="27" fillId="58" borderId="92" xfId="0" applyFont="1" applyFill="1" applyBorder="1" applyAlignment="1">
      <alignment vertical="center" wrapText="1"/>
    </xf>
    <xf numFmtId="172" fontId="12" fillId="58" borderId="92" xfId="285" applyNumberFormat="1" applyFont="1" applyFill="1" applyBorder="1" applyAlignment="1">
      <alignment vertical="center" wrapText="1"/>
    </xf>
    <xf numFmtId="172" fontId="0" fillId="58" borderId="92" xfId="285" applyNumberFormat="1" applyFont="1" applyFill="1" applyBorder="1" applyAlignment="1">
      <alignment vertical="center" wrapText="1"/>
    </xf>
    <xf numFmtId="9" fontId="0" fillId="58" borderId="92" xfId="112" applyFont="1" applyFill="1" applyBorder="1" applyAlignment="1">
      <alignment vertical="center" wrapText="1"/>
    </xf>
    <xf numFmtId="0" fontId="27" fillId="6" borderId="92" xfId="0" applyFont="1" applyFill="1" applyBorder="1" applyAlignment="1">
      <alignment vertical="center" wrapText="1"/>
    </xf>
    <xf numFmtId="172" fontId="12" fillId="6" borderId="92" xfId="285" applyNumberFormat="1" applyFont="1" applyFill="1" applyBorder="1" applyAlignment="1">
      <alignment vertical="center" wrapText="1"/>
    </xf>
    <xf numFmtId="172" fontId="0" fillId="6" borderId="92" xfId="285" applyNumberFormat="1" applyFont="1" applyFill="1" applyBorder="1" applyAlignment="1">
      <alignment vertical="center" wrapText="1"/>
    </xf>
    <xf numFmtId="9" fontId="0" fillId="6" borderId="92" xfId="112" applyFont="1" applyFill="1" applyBorder="1" applyAlignment="1">
      <alignment vertical="center" wrapText="1"/>
    </xf>
    <xf numFmtId="0" fontId="27" fillId="62" borderId="92" xfId="0" applyFont="1" applyFill="1" applyBorder="1" applyAlignment="1">
      <alignment vertical="center" wrapText="1"/>
    </xf>
    <xf numFmtId="172" fontId="12" fillId="62" borderId="92" xfId="285" applyNumberFormat="1" applyFont="1" applyFill="1" applyBorder="1" applyAlignment="1">
      <alignment vertical="center" wrapText="1"/>
    </xf>
    <xf numFmtId="172" fontId="0" fillId="4" borderId="92" xfId="285" applyNumberFormat="1" applyFont="1" applyFill="1" applyBorder="1" applyAlignment="1">
      <alignment vertical="center" wrapText="1"/>
    </xf>
    <xf numFmtId="9" fontId="0" fillId="62" borderId="92" xfId="112" applyFont="1" applyFill="1" applyBorder="1" applyAlignment="1">
      <alignment vertical="center" wrapText="1"/>
    </xf>
    <xf numFmtId="0" fontId="27" fillId="0" borderId="39" xfId="0" applyFont="1" applyBorder="1" applyAlignment="1">
      <alignment vertical="center" wrapText="1"/>
    </xf>
    <xf numFmtId="172" fontId="30" fillId="0" borderId="39" xfId="0" applyNumberFormat="1" applyFont="1" applyBorder="1" applyAlignment="1">
      <alignment vertical="center" wrapText="1"/>
    </xf>
    <xf numFmtId="172" fontId="1" fillId="0" borderId="39" xfId="285" applyNumberFormat="1" applyFont="1" applyBorder="1" applyAlignment="1">
      <alignment vertical="center" wrapText="1"/>
    </xf>
    <xf numFmtId="172" fontId="7" fillId="0" borderId="39" xfId="285" applyNumberFormat="1" applyFont="1" applyBorder="1" applyAlignment="1">
      <alignment vertical="center" wrapText="1"/>
    </xf>
    <xf numFmtId="172" fontId="27" fillId="0" borderId="39" xfId="285" applyNumberFormat="1" applyFont="1" applyBorder="1" applyAlignment="1">
      <alignment vertical="center" wrapText="1"/>
    </xf>
    <xf numFmtId="9" fontId="27" fillId="0" borderId="39" xfId="14" applyFont="1" applyBorder="1" applyAlignment="1">
      <alignment vertical="center" wrapText="1"/>
    </xf>
    <xf numFmtId="0" fontId="27" fillId="58" borderId="39" xfId="0" applyFont="1" applyFill="1" applyBorder="1" applyAlignment="1">
      <alignment vertical="center" wrapText="1"/>
    </xf>
    <xf numFmtId="172" fontId="12" fillId="58" borderId="39" xfId="285" applyNumberFormat="1" applyFont="1" applyFill="1" applyBorder="1" applyAlignment="1">
      <alignment vertical="center" wrapText="1"/>
    </xf>
    <xf numFmtId="172" fontId="0" fillId="58" borderId="39" xfId="285" applyNumberFormat="1" applyFont="1" applyFill="1" applyBorder="1" applyAlignment="1">
      <alignment vertical="center" wrapText="1"/>
    </xf>
    <xf numFmtId="9" fontId="0" fillId="58" borderId="39" xfId="112" applyFont="1" applyFill="1" applyBorder="1" applyAlignment="1">
      <alignment vertical="center" wrapText="1"/>
    </xf>
    <xf numFmtId="0" fontId="27" fillId="6" borderId="39" xfId="0" applyFont="1" applyFill="1" applyBorder="1" applyAlignment="1">
      <alignment vertical="center" wrapText="1"/>
    </xf>
    <xf numFmtId="172" fontId="12" fillId="6" borderId="39" xfId="285" applyNumberFormat="1" applyFont="1" applyFill="1" applyBorder="1" applyAlignment="1">
      <alignment vertical="center" wrapText="1"/>
    </xf>
    <xf numFmtId="172" fontId="0" fillId="6" borderId="39" xfId="285" applyNumberFormat="1" applyFont="1" applyFill="1" applyBorder="1" applyAlignment="1">
      <alignment vertical="center" wrapText="1"/>
    </xf>
    <xf numFmtId="9" fontId="0" fillId="6" borderId="39" xfId="112" applyFont="1" applyFill="1" applyBorder="1" applyAlignment="1">
      <alignment vertical="center" wrapText="1"/>
    </xf>
    <xf numFmtId="0" fontId="27" fillId="62" borderId="39" xfId="0" applyFont="1" applyFill="1" applyBorder="1" applyAlignment="1">
      <alignment vertical="center" wrapText="1"/>
    </xf>
    <xf numFmtId="172" fontId="12" fillId="62" borderId="39" xfId="285" applyNumberFormat="1" applyFont="1" applyFill="1" applyBorder="1" applyAlignment="1">
      <alignment vertical="center" wrapText="1"/>
    </xf>
    <xf numFmtId="172" fontId="0" fillId="4" borderId="39" xfId="285" applyNumberFormat="1" applyFont="1" applyFill="1" applyBorder="1" applyAlignment="1">
      <alignment vertical="center" wrapText="1"/>
    </xf>
    <xf numFmtId="9" fontId="0" fillId="62" borderId="39" xfId="112" applyFont="1" applyFill="1" applyBorder="1" applyAlignment="1">
      <alignment vertical="center" wrapText="1"/>
    </xf>
    <xf numFmtId="172" fontId="0" fillId="62" borderId="39" xfId="285" applyNumberFormat="1" applyFont="1" applyFill="1" applyBorder="1" applyAlignment="1">
      <alignment vertical="center" wrapText="1"/>
    </xf>
    <xf numFmtId="0" fontId="217" fillId="0" borderId="76" xfId="0" applyFont="1" applyFill="1" applyBorder="1"/>
    <xf numFmtId="172" fontId="31" fillId="0" borderId="76" xfId="0" applyNumberFormat="1" applyFont="1" applyBorder="1"/>
    <xf numFmtId="172" fontId="175" fillId="0" borderId="76" xfId="285" applyNumberFormat="1" applyFont="1" applyBorder="1"/>
    <xf numFmtId="9" fontId="175" fillId="0" borderId="76" xfId="14" applyFont="1" applyBorder="1"/>
    <xf numFmtId="0" fontId="7" fillId="58" borderId="76" xfId="0" applyFont="1" applyFill="1" applyBorder="1"/>
    <xf numFmtId="172" fontId="36" fillId="58" borderId="76" xfId="285" applyNumberFormat="1" applyFont="1" applyFill="1" applyBorder="1"/>
    <xf numFmtId="9" fontId="7" fillId="58" borderId="76" xfId="112" applyFont="1" applyFill="1" applyBorder="1"/>
    <xf numFmtId="0" fontId="7" fillId="6" borderId="76" xfId="0" applyFont="1" applyFill="1" applyBorder="1"/>
    <xf numFmtId="172" fontId="36" fillId="6" borderId="76" xfId="285" applyNumberFormat="1" applyFont="1" applyFill="1" applyBorder="1"/>
    <xf numFmtId="9" fontId="7" fillId="6" borderId="76" xfId="112" applyFont="1" applyFill="1" applyBorder="1"/>
    <xf numFmtId="0" fontId="7" fillId="62" borderId="76" xfId="0" applyFont="1" applyFill="1" applyBorder="1"/>
    <xf numFmtId="172" fontId="36" fillId="62" borderId="76" xfId="285" applyNumberFormat="1" applyFont="1" applyFill="1" applyBorder="1"/>
    <xf numFmtId="9" fontId="7" fillId="62" borderId="76" xfId="112" applyFont="1" applyFill="1" applyBorder="1"/>
    <xf numFmtId="172" fontId="214" fillId="0" borderId="0" xfId="0" applyNumberFormat="1" applyFont="1"/>
    <xf numFmtId="0" fontId="31" fillId="0" borderId="76" xfId="0" applyFont="1" applyBorder="1"/>
    <xf numFmtId="172" fontId="211" fillId="0" borderId="0" xfId="0" applyNumberFormat="1" applyFont="1" applyFill="1"/>
    <xf numFmtId="173" fontId="0" fillId="0" borderId="76" xfId="7" applyNumberFormat="1" applyFont="1" applyBorder="1"/>
    <xf numFmtId="173" fontId="0" fillId="0" borderId="76" xfId="7" applyNumberFormat="1" applyFont="1" applyBorder="1" applyAlignment="1">
      <alignment vertical="center"/>
    </xf>
    <xf numFmtId="173" fontId="212" fillId="0" borderId="0" xfId="7" applyNumberFormat="1" applyFont="1" applyAlignment="1">
      <alignment vertical="center"/>
    </xf>
    <xf numFmtId="173" fontId="213" fillId="0" borderId="0" xfId="7" applyNumberFormat="1" applyFont="1" applyAlignment="1">
      <alignment vertical="center" wrapText="1"/>
    </xf>
    <xf numFmtId="173" fontId="216" fillId="0" borderId="0" xfId="7" applyNumberFormat="1" applyFont="1" applyAlignment="1">
      <alignment vertical="center"/>
    </xf>
    <xf numFmtId="173" fontId="215" fillId="0" borderId="0" xfId="7" applyNumberFormat="1" applyFont="1" applyAlignment="1">
      <alignment vertical="center" wrapText="1"/>
    </xf>
    <xf numFmtId="173" fontId="211" fillId="0" borderId="0" xfId="7" applyNumberFormat="1" applyFont="1" applyAlignment="1">
      <alignment vertical="center"/>
    </xf>
    <xf numFmtId="173" fontId="211" fillId="0" borderId="0" xfId="7" applyNumberFormat="1" applyFont="1" applyFill="1" applyAlignment="1">
      <alignment vertical="center"/>
    </xf>
    <xf numFmtId="173" fontId="214" fillId="0" borderId="0" xfId="7" applyNumberFormat="1" applyFont="1" applyAlignment="1">
      <alignment vertical="center"/>
    </xf>
    <xf numFmtId="0" fontId="211" fillId="0" borderId="0" xfId="0" applyFont="1" applyAlignment="1">
      <alignment vertical="center"/>
    </xf>
    <xf numFmtId="172" fontId="211" fillId="0" borderId="0" xfId="0" applyNumberFormat="1" applyFont="1" applyAlignment="1">
      <alignment vertical="center"/>
    </xf>
    <xf numFmtId="0" fontId="211" fillId="0" borderId="0" xfId="0" applyFont="1" applyFill="1" applyAlignment="1">
      <alignment vertical="center"/>
    </xf>
    <xf numFmtId="0" fontId="214" fillId="0" borderId="0" xfId="0" applyFont="1" applyAlignment="1">
      <alignment vertical="center"/>
    </xf>
    <xf numFmtId="9" fontId="23" fillId="0" borderId="0" xfId="0" applyNumberFormat="1" applyFont="1"/>
    <xf numFmtId="172" fontId="211" fillId="0" borderId="0" xfId="285" applyNumberFormat="1" applyFont="1" applyAlignment="1">
      <alignment vertical="center"/>
    </xf>
    <xf numFmtId="0" fontId="218" fillId="0" borderId="0" xfId="292" applyFont="1" applyBorder="1" applyAlignment="1">
      <alignment horizontal="left" vertical="center" wrapText="1"/>
    </xf>
    <xf numFmtId="0" fontId="0" fillId="87" borderId="0" xfId="0" applyFill="1"/>
    <xf numFmtId="0" fontId="218" fillId="87" borderId="109" xfId="292" applyFont="1" applyFill="1" applyBorder="1" applyAlignment="1">
      <alignment horizontal="left" vertical="center" wrapText="1"/>
    </xf>
    <xf numFmtId="172" fontId="0" fillId="87" borderId="76" xfId="285" applyNumberFormat="1" applyFont="1" applyFill="1" applyBorder="1" applyAlignment="1">
      <alignment vertical="center" wrapText="1"/>
    </xf>
    <xf numFmtId="178" fontId="219" fillId="88" borderId="111" xfId="292" applyNumberFormat="1" applyFont="1" applyFill="1" applyBorder="1" applyAlignment="1">
      <alignment horizontal="center" vertical="center"/>
    </xf>
    <xf numFmtId="165" fontId="220" fillId="87" borderId="6" xfId="292" applyNumberFormat="1" applyFont="1" applyFill="1" applyBorder="1" applyAlignment="1">
      <alignment horizontal="center" vertical="center" wrapText="1"/>
    </xf>
    <xf numFmtId="172" fontId="27" fillId="87" borderId="0" xfId="285" applyNumberFormat="1" applyFont="1" applyFill="1"/>
    <xf numFmtId="172" fontId="0" fillId="87" borderId="0" xfId="285" applyNumberFormat="1" applyFont="1" applyFill="1"/>
    <xf numFmtId="0" fontId="218" fillId="87" borderId="110" xfId="292" applyFont="1" applyFill="1" applyBorder="1" applyAlignment="1">
      <alignment horizontal="left" vertical="center" wrapText="1"/>
    </xf>
    <xf numFmtId="0" fontId="218" fillId="87" borderId="112" xfId="292" applyFont="1" applyFill="1" applyBorder="1" applyAlignment="1">
      <alignment vertical="center" wrapText="1"/>
    </xf>
    <xf numFmtId="0" fontId="67" fillId="0" borderId="0" xfId="0" applyFont="1" applyFill="1" applyBorder="1" applyAlignment="1">
      <alignment vertical="center"/>
    </xf>
    <xf numFmtId="0" fontId="221" fillId="0" borderId="76" xfId="0" applyFont="1" applyBorder="1" applyAlignment="1">
      <alignment horizontal="center" vertical="center" wrapText="1"/>
    </xf>
    <xf numFmtId="178" fontId="222" fillId="88" borderId="111" xfId="292" applyNumberFormat="1" applyFont="1" applyFill="1" applyBorder="1" applyAlignment="1">
      <alignment horizontal="center" vertical="center"/>
    </xf>
    <xf numFmtId="0" fontId="220" fillId="0" borderId="0" xfId="292" applyFont="1" applyBorder="1" applyAlignment="1">
      <alignment horizontal="left" vertical="center"/>
    </xf>
    <xf numFmtId="41" fontId="60" fillId="6" borderId="35" xfId="0" applyNumberFormat="1" applyFont="1" applyFill="1" applyBorder="1" applyAlignment="1">
      <alignment horizontal="center" vertical="center" wrapText="1"/>
    </xf>
    <xf numFmtId="41" fontId="78" fillId="6" borderId="13" xfId="0" applyNumberFormat="1" applyFont="1" applyFill="1" applyBorder="1" applyAlignment="1">
      <alignment horizontal="center" vertical="center" wrapText="1"/>
    </xf>
    <xf numFmtId="0" fontId="16" fillId="6" borderId="12" xfId="0" applyFont="1" applyFill="1" applyBorder="1" applyAlignment="1">
      <alignment horizontal="left" vertical="center" wrapText="1" indent="1"/>
    </xf>
    <xf numFmtId="3" fontId="189" fillId="0" borderId="76" xfId="296" applyNumberFormat="1" applyFont="1" applyBorder="1" applyAlignment="1">
      <alignment horizontal="center" vertical="center" wrapText="1"/>
    </xf>
    <xf numFmtId="3" fontId="188" fillId="0" borderId="0" xfId="297" applyNumberFormat="1" applyFont="1"/>
    <xf numFmtId="3" fontId="191" fillId="0" borderId="76" xfId="13" applyNumberFormat="1" applyFont="1" applyBorder="1" applyAlignment="1">
      <alignment vertical="center" wrapText="1"/>
    </xf>
    <xf numFmtId="3" fontId="193" fillId="0" borderId="76" xfId="298" applyNumberFormat="1" applyFont="1" applyBorder="1" applyAlignment="1">
      <alignment horizontal="left" vertical="center" indent="1"/>
    </xf>
    <xf numFmtId="3" fontId="193" fillId="0" borderId="76" xfId="298" applyNumberFormat="1" applyFont="1" applyFill="1" applyBorder="1" applyAlignment="1">
      <alignment horizontal="left" vertical="center" indent="1"/>
    </xf>
    <xf numFmtId="3" fontId="197" fillId="0" borderId="0" xfId="297" applyNumberFormat="1" applyFont="1"/>
    <xf numFmtId="3" fontId="192" fillId="0" borderId="76" xfId="298" applyNumberFormat="1" applyFont="1" applyBorder="1" applyAlignment="1">
      <alignment horizontal="left" vertical="center" indent="1"/>
    </xf>
    <xf numFmtId="3" fontId="192" fillId="0" borderId="76" xfId="298" applyNumberFormat="1" applyFont="1" applyFill="1" applyBorder="1" applyAlignment="1">
      <alignment horizontal="left" vertical="center" indent="1"/>
    </xf>
    <xf numFmtId="3" fontId="191" fillId="66" borderId="76" xfId="13" applyNumberFormat="1" applyFont="1" applyFill="1" applyBorder="1" applyAlignment="1">
      <alignment vertical="center" wrapText="1"/>
    </xf>
    <xf numFmtId="3" fontId="192" fillId="66" borderId="76" xfId="298" applyNumberFormat="1" applyFont="1" applyFill="1" applyBorder="1" applyAlignment="1">
      <alignment horizontal="left" vertical="center" indent="1"/>
    </xf>
    <xf numFmtId="3" fontId="193" fillId="6" borderId="76" xfId="298" applyNumberFormat="1" applyFont="1" applyFill="1" applyBorder="1" applyAlignment="1">
      <alignment horizontal="left" vertical="center" indent="1"/>
    </xf>
    <xf numFmtId="3" fontId="192" fillId="6" borderId="76" xfId="298" applyNumberFormat="1" applyFont="1" applyFill="1" applyBorder="1" applyAlignment="1">
      <alignment horizontal="left" vertical="center" indent="1"/>
    </xf>
    <xf numFmtId="3" fontId="192" fillId="67" borderId="76" xfId="298" applyNumberFormat="1" applyFont="1" applyFill="1" applyBorder="1" applyAlignment="1">
      <alignment horizontal="left" vertical="center" indent="1"/>
    </xf>
    <xf numFmtId="3" fontId="191" fillId="67" borderId="76" xfId="13" applyNumberFormat="1" applyFont="1" applyFill="1" applyBorder="1" applyAlignment="1">
      <alignment vertical="center" wrapText="1"/>
    </xf>
    <xf numFmtId="3" fontId="193" fillId="67" borderId="76" xfId="298" applyNumberFormat="1" applyFont="1" applyFill="1" applyBorder="1" applyAlignment="1">
      <alignment horizontal="left" vertical="center" indent="1"/>
    </xf>
    <xf numFmtId="3" fontId="193" fillId="12" borderId="76" xfId="298" applyNumberFormat="1" applyFont="1" applyFill="1" applyBorder="1" applyAlignment="1">
      <alignment horizontal="left" vertical="center" indent="1"/>
    </xf>
    <xf numFmtId="3" fontId="192" fillId="12" borderId="76" xfId="298" applyNumberFormat="1" applyFont="1" applyFill="1" applyBorder="1" applyAlignment="1">
      <alignment horizontal="left" vertical="center" indent="1"/>
    </xf>
    <xf numFmtId="3" fontId="191" fillId="67" borderId="95" xfId="13" applyNumberFormat="1" applyFont="1" applyFill="1" applyBorder="1" applyAlignment="1">
      <alignment vertical="center" wrapText="1"/>
    </xf>
    <xf numFmtId="3" fontId="192" fillId="67" borderId="95" xfId="298" applyNumberFormat="1" applyFont="1" applyFill="1" applyBorder="1" applyAlignment="1">
      <alignment horizontal="left" vertical="center" indent="1"/>
    </xf>
    <xf numFmtId="3" fontId="191" fillId="67" borderId="108" xfId="13" applyNumberFormat="1" applyFont="1" applyFill="1" applyBorder="1" applyAlignment="1">
      <alignment vertical="center" wrapText="1"/>
    </xf>
    <xf numFmtId="3" fontId="192" fillId="67" borderId="108" xfId="298" applyNumberFormat="1" applyFont="1" applyFill="1" applyBorder="1" applyAlignment="1">
      <alignment horizontal="left" vertical="center" indent="1"/>
    </xf>
    <xf numFmtId="3" fontId="191" fillId="69" borderId="76" xfId="13" applyNumberFormat="1" applyFont="1" applyFill="1" applyBorder="1" applyAlignment="1">
      <alignment vertical="center" wrapText="1"/>
    </xf>
    <xf numFmtId="3" fontId="193" fillId="69" borderId="76" xfId="298" applyNumberFormat="1" applyFont="1" applyFill="1" applyBorder="1" applyAlignment="1">
      <alignment horizontal="left" vertical="center" indent="1"/>
    </xf>
    <xf numFmtId="3" fontId="193" fillId="81" borderId="76" xfId="298" applyNumberFormat="1" applyFont="1" applyFill="1" applyBorder="1" applyAlignment="1">
      <alignment horizontal="left" vertical="center" indent="1"/>
    </xf>
    <xf numFmtId="3" fontId="192" fillId="69" borderId="76" xfId="298" applyNumberFormat="1" applyFont="1" applyFill="1" applyBorder="1" applyAlignment="1">
      <alignment horizontal="left" vertical="center" indent="1"/>
    </xf>
    <xf numFmtId="3" fontId="192" fillId="81" borderId="76" xfId="298" applyNumberFormat="1" applyFont="1" applyFill="1" applyBorder="1" applyAlignment="1">
      <alignment horizontal="left" vertical="center" indent="1"/>
    </xf>
    <xf numFmtId="3" fontId="192" fillId="81" borderId="12" xfId="298" applyNumberFormat="1" applyFont="1" applyFill="1" applyBorder="1" applyAlignment="1">
      <alignment horizontal="left" vertical="center" indent="1"/>
    </xf>
    <xf numFmtId="3" fontId="191" fillId="68" borderId="76" xfId="13" applyNumberFormat="1" applyFont="1" applyFill="1" applyBorder="1" applyAlignment="1">
      <alignment vertical="center" wrapText="1"/>
    </xf>
    <xf numFmtId="3" fontId="193" fillId="68" borderId="76" xfId="298" applyNumberFormat="1" applyFont="1" applyFill="1" applyBorder="1" applyAlignment="1">
      <alignment horizontal="left" vertical="center" indent="1"/>
    </xf>
    <xf numFmtId="3" fontId="193" fillId="4" borderId="76" xfId="298" applyNumberFormat="1" applyFont="1" applyFill="1" applyBorder="1" applyAlignment="1">
      <alignment horizontal="left" vertical="center" indent="1"/>
    </xf>
    <xf numFmtId="3" fontId="192" fillId="68" borderId="76" xfId="298" applyNumberFormat="1" applyFont="1" applyFill="1" applyBorder="1" applyAlignment="1">
      <alignment horizontal="left" vertical="center" indent="1"/>
    </xf>
    <xf numFmtId="3" fontId="192" fillId="4" borderId="76" xfId="298" applyNumberFormat="1" applyFont="1" applyFill="1" applyBorder="1" applyAlignment="1">
      <alignment horizontal="left" vertical="center" indent="1"/>
    </xf>
    <xf numFmtId="3" fontId="191" fillId="76" borderId="76" xfId="13" applyNumberFormat="1" applyFont="1" applyFill="1" applyBorder="1" applyAlignment="1">
      <alignment vertical="center" wrapText="1"/>
    </xf>
    <xf numFmtId="3" fontId="191" fillId="77" borderId="76" xfId="13" applyNumberFormat="1" applyFont="1" applyFill="1" applyBorder="1" applyAlignment="1">
      <alignment vertical="center" wrapText="1"/>
    </xf>
    <xf numFmtId="3" fontId="192" fillId="77" borderId="76" xfId="298" applyNumberFormat="1" applyFont="1" applyFill="1" applyBorder="1" applyAlignment="1">
      <alignment horizontal="left" vertical="center" indent="1"/>
    </xf>
    <xf numFmtId="3" fontId="199" fillId="77" borderId="76" xfId="298" applyNumberFormat="1" applyFont="1" applyFill="1" applyBorder="1" applyAlignment="1">
      <alignment horizontal="left" vertical="center" indent="1"/>
    </xf>
    <xf numFmtId="3" fontId="191" fillId="78" borderId="76" xfId="13" applyNumberFormat="1" applyFont="1" applyFill="1" applyBorder="1" applyAlignment="1">
      <alignment vertical="center" wrapText="1"/>
    </xf>
    <xf numFmtId="3" fontId="192" fillId="78" borderId="76" xfId="298" applyNumberFormat="1" applyFont="1" applyFill="1" applyBorder="1" applyAlignment="1">
      <alignment horizontal="left" vertical="center" indent="1"/>
    </xf>
    <xf numFmtId="3" fontId="191" fillId="70" borderId="76" xfId="13" applyNumberFormat="1" applyFont="1" applyFill="1" applyBorder="1" applyAlignment="1">
      <alignment vertical="center" wrapText="1"/>
    </xf>
    <xf numFmtId="3" fontId="194" fillId="70" borderId="76" xfId="13" applyNumberFormat="1" applyFont="1" applyFill="1" applyBorder="1" applyAlignment="1">
      <alignment horizontal="left" vertical="center" wrapText="1" indent="1"/>
    </xf>
    <xf numFmtId="3" fontId="189" fillId="70" borderId="76" xfId="296" applyNumberFormat="1" applyFont="1" applyFill="1" applyBorder="1" applyAlignment="1">
      <alignment horizontal="left" vertical="center" wrapText="1" indent="1"/>
    </xf>
    <xf numFmtId="3" fontId="190" fillId="70" borderId="76" xfId="296" applyNumberFormat="1" applyFont="1" applyFill="1" applyBorder="1" applyAlignment="1">
      <alignment horizontal="left" vertical="center" wrapText="1" indent="1"/>
    </xf>
    <xf numFmtId="3" fontId="188" fillId="70" borderId="0" xfId="297" applyNumberFormat="1" applyFill="1"/>
    <xf numFmtId="3" fontId="188" fillId="71" borderId="0" xfId="297" applyNumberFormat="1" applyFill="1"/>
    <xf numFmtId="3" fontId="191" fillId="72" borderId="76" xfId="13" applyNumberFormat="1" applyFont="1" applyFill="1" applyBorder="1" applyAlignment="1">
      <alignment vertical="center" wrapText="1"/>
    </xf>
    <xf numFmtId="3" fontId="195" fillId="72" borderId="76" xfId="13" applyNumberFormat="1" applyFont="1" applyFill="1" applyBorder="1" applyAlignment="1">
      <alignment horizontal="left" vertical="center" wrapText="1" indent="1"/>
    </xf>
    <xf numFmtId="3" fontId="189" fillId="72" borderId="76" xfId="296" applyNumberFormat="1" applyFont="1" applyFill="1" applyBorder="1" applyAlignment="1">
      <alignment horizontal="left" vertical="center" wrapText="1" indent="1"/>
    </xf>
    <xf numFmtId="3" fontId="194" fillId="72" borderId="76" xfId="13" applyNumberFormat="1" applyFont="1" applyFill="1" applyBorder="1" applyAlignment="1">
      <alignment horizontal="left" vertical="center" wrapText="1" indent="1"/>
    </xf>
    <xf numFmtId="3" fontId="188" fillId="72" borderId="0" xfId="297" applyNumberFormat="1" applyFill="1"/>
    <xf numFmtId="3" fontId="191" fillId="79" borderId="76" xfId="13" applyNumberFormat="1" applyFont="1" applyFill="1" applyBorder="1" applyAlignment="1">
      <alignment vertical="center" wrapText="1"/>
    </xf>
    <xf numFmtId="3" fontId="194" fillId="79" borderId="76" xfId="13" applyNumberFormat="1" applyFont="1" applyFill="1" applyBorder="1" applyAlignment="1">
      <alignment horizontal="left" vertical="center" wrapText="1" indent="1"/>
    </xf>
    <xf numFmtId="3" fontId="189" fillId="79" borderId="76" xfId="296" applyNumberFormat="1" applyFont="1" applyFill="1" applyBorder="1" applyAlignment="1">
      <alignment horizontal="left" vertical="center" wrapText="1" indent="1"/>
    </xf>
    <xf numFmtId="3" fontId="191" fillId="80" borderId="76" xfId="13" applyNumberFormat="1" applyFont="1" applyFill="1" applyBorder="1" applyAlignment="1">
      <alignment vertical="center" wrapText="1"/>
    </xf>
    <xf numFmtId="3" fontId="194" fillId="80" borderId="76" xfId="13" applyNumberFormat="1" applyFont="1" applyFill="1" applyBorder="1" applyAlignment="1">
      <alignment horizontal="left" vertical="center" wrapText="1" indent="1"/>
    </xf>
    <xf numFmtId="3" fontId="189" fillId="80" borderId="76" xfId="296" applyNumberFormat="1" applyFont="1" applyFill="1" applyBorder="1" applyAlignment="1">
      <alignment horizontal="left" vertical="center" wrapText="1" indent="1"/>
    </xf>
    <xf numFmtId="3" fontId="188" fillId="73" borderId="0" xfId="297" applyNumberFormat="1" applyFill="1"/>
    <xf numFmtId="3" fontId="191" fillId="74" borderId="76" xfId="13" applyNumberFormat="1" applyFont="1" applyFill="1" applyBorder="1" applyAlignment="1">
      <alignment vertical="center" wrapText="1"/>
    </xf>
    <xf numFmtId="3" fontId="195" fillId="74" borderId="76" xfId="13" applyNumberFormat="1" applyFont="1" applyFill="1" applyBorder="1" applyAlignment="1">
      <alignment horizontal="left" vertical="center" wrapText="1" indent="1"/>
    </xf>
    <xf numFmtId="3" fontId="189" fillId="74" borderId="76" xfId="296" applyNumberFormat="1" applyFont="1" applyFill="1" applyBorder="1" applyAlignment="1">
      <alignment horizontal="left" vertical="center" wrapText="1" indent="1"/>
    </xf>
    <xf numFmtId="3" fontId="194" fillId="74" borderId="76" xfId="13" applyNumberFormat="1" applyFont="1" applyFill="1" applyBorder="1" applyAlignment="1">
      <alignment horizontal="left" vertical="center" wrapText="1" indent="1"/>
    </xf>
    <xf numFmtId="3" fontId="190" fillId="74" borderId="76" xfId="296" applyNumberFormat="1" applyFont="1" applyFill="1" applyBorder="1" applyAlignment="1">
      <alignment horizontal="left" vertical="center" wrapText="1" indent="1"/>
    </xf>
    <xf numFmtId="3" fontId="195" fillId="79" borderId="76" xfId="13" applyNumberFormat="1" applyFont="1" applyFill="1" applyBorder="1" applyAlignment="1">
      <alignment horizontal="left" vertical="center" wrapText="1" indent="1"/>
    </xf>
    <xf numFmtId="3" fontId="195" fillId="67" borderId="76" xfId="13" applyNumberFormat="1" applyFont="1" applyFill="1" applyBorder="1" applyAlignment="1">
      <alignment horizontal="left" vertical="center" wrapText="1" indent="1"/>
    </xf>
    <xf numFmtId="3" fontId="189" fillId="67" borderId="76" xfId="296" applyNumberFormat="1" applyFont="1" applyFill="1" applyBorder="1" applyAlignment="1">
      <alignment horizontal="left" vertical="center" wrapText="1" indent="1"/>
    </xf>
    <xf numFmtId="3" fontId="190" fillId="67" borderId="76" xfId="296" applyNumberFormat="1" applyFont="1" applyFill="1" applyBorder="1" applyAlignment="1">
      <alignment horizontal="left" vertical="center" wrapText="1" indent="1"/>
    </xf>
    <xf numFmtId="3" fontId="191" fillId="75" borderId="76" xfId="13" applyNumberFormat="1" applyFont="1" applyFill="1" applyBorder="1" applyAlignment="1">
      <alignment vertical="center" wrapText="1"/>
    </xf>
    <xf numFmtId="3" fontId="195" fillId="75" borderId="76" xfId="13" applyNumberFormat="1" applyFont="1" applyFill="1" applyBorder="1" applyAlignment="1">
      <alignment horizontal="left" vertical="center" wrapText="1" indent="1"/>
    </xf>
    <xf numFmtId="3" fontId="189" fillId="75" borderId="76" xfId="296" applyNumberFormat="1" applyFont="1" applyFill="1" applyBorder="1" applyAlignment="1">
      <alignment horizontal="left" vertical="center" wrapText="1" indent="1"/>
    </xf>
    <xf numFmtId="3" fontId="190" fillId="75" borderId="76" xfId="296" applyNumberFormat="1" applyFont="1" applyFill="1" applyBorder="1" applyAlignment="1">
      <alignment horizontal="left" vertical="center" wrapText="1" indent="1"/>
    </xf>
    <xf numFmtId="3" fontId="195" fillId="71" borderId="76" xfId="13" applyNumberFormat="1" applyFont="1" applyFill="1" applyBorder="1" applyAlignment="1">
      <alignment horizontal="left" vertical="center" wrapText="1" indent="1"/>
    </xf>
    <xf numFmtId="3" fontId="5" fillId="0" borderId="0" xfId="6" applyNumberFormat="1"/>
    <xf numFmtId="3" fontId="206" fillId="0" borderId="0" xfId="299" applyNumberFormat="1"/>
    <xf numFmtId="3" fontId="197" fillId="0" borderId="76" xfId="296" applyNumberFormat="1" applyFont="1" applyFill="1" applyBorder="1"/>
    <xf numFmtId="3" fontId="191" fillId="0" borderId="76" xfId="13" applyNumberFormat="1" applyFont="1" applyFill="1" applyBorder="1" applyAlignment="1">
      <alignment vertical="center" wrapText="1"/>
    </xf>
    <xf numFmtId="3" fontId="197" fillId="0" borderId="0" xfId="296" applyNumberFormat="1" applyFont="1" applyFill="1" applyBorder="1"/>
    <xf numFmtId="3" fontId="188" fillId="0" borderId="76" xfId="296" applyNumberFormat="1" applyFill="1" applyBorder="1"/>
    <xf numFmtId="3" fontId="188" fillId="0" borderId="0" xfId="296" applyNumberFormat="1" applyFill="1" applyBorder="1"/>
    <xf numFmtId="3" fontId="191" fillId="6" borderId="76" xfId="13" applyNumberFormat="1" applyFont="1" applyFill="1" applyBorder="1" applyAlignment="1">
      <alignment vertical="center" wrapText="1"/>
    </xf>
    <xf numFmtId="3" fontId="191" fillId="12" borderId="76" xfId="13" applyNumberFormat="1" applyFont="1" applyFill="1" applyBorder="1" applyAlignment="1">
      <alignment vertical="center" wrapText="1"/>
    </xf>
    <xf numFmtId="3" fontId="191" fillId="81" borderId="76" xfId="13" applyNumberFormat="1" applyFont="1" applyFill="1" applyBorder="1" applyAlignment="1">
      <alignment vertical="center" wrapText="1"/>
    </xf>
    <xf numFmtId="3" fontId="191" fillId="81" borderId="12" xfId="13" applyNumberFormat="1" applyFont="1" applyFill="1" applyBorder="1" applyAlignment="1">
      <alignment vertical="center" wrapText="1"/>
    </xf>
    <xf numFmtId="3" fontId="191" fillId="4" borderId="76" xfId="13" applyNumberFormat="1" applyFont="1" applyFill="1" applyBorder="1" applyAlignment="1">
      <alignment vertical="center" wrapText="1"/>
    </xf>
    <xf numFmtId="3" fontId="191" fillId="82" borderId="92" xfId="13" applyNumberFormat="1" applyFont="1" applyFill="1" applyBorder="1" applyAlignment="1">
      <alignment vertical="center" wrapText="1"/>
    </xf>
    <xf numFmtId="3" fontId="195" fillId="82" borderId="92" xfId="13" applyNumberFormat="1" applyFont="1" applyFill="1" applyBorder="1" applyAlignment="1">
      <alignment horizontal="left" vertical="center" wrapText="1" indent="1"/>
    </xf>
    <xf numFmtId="3" fontId="194" fillId="82" borderId="92" xfId="13" applyNumberFormat="1" applyFont="1" applyFill="1" applyBorder="1" applyAlignment="1">
      <alignment horizontal="left" vertical="center" wrapText="1" indent="1"/>
    </xf>
    <xf numFmtId="3" fontId="189" fillId="82" borderId="92" xfId="296" applyNumberFormat="1" applyFont="1" applyFill="1" applyBorder="1" applyAlignment="1">
      <alignment horizontal="left" vertical="center" wrapText="1" indent="1"/>
    </xf>
    <xf numFmtId="3" fontId="190" fillId="82" borderId="92" xfId="296" applyNumberFormat="1" applyFont="1" applyFill="1" applyBorder="1" applyAlignment="1">
      <alignment horizontal="left" vertical="center" wrapText="1" indent="1"/>
    </xf>
    <xf numFmtId="3" fontId="192" fillId="82" borderId="92" xfId="298" applyNumberFormat="1" applyFont="1" applyFill="1" applyBorder="1" applyAlignment="1">
      <alignment horizontal="left" vertical="center" indent="1"/>
    </xf>
    <xf numFmtId="3" fontId="188" fillId="0" borderId="0" xfId="296" applyNumberFormat="1" applyFill="1"/>
    <xf numFmtId="3" fontId="188" fillId="0" borderId="92" xfId="296" applyNumberFormat="1" applyFill="1" applyBorder="1"/>
    <xf numFmtId="3" fontId="191" fillId="82" borderId="76" xfId="13" applyNumberFormat="1" applyFont="1" applyFill="1" applyBorder="1" applyAlignment="1">
      <alignment vertical="center" wrapText="1"/>
    </xf>
    <xf numFmtId="3" fontId="195" fillId="82" borderId="76" xfId="13" applyNumberFormat="1" applyFont="1" applyFill="1" applyBorder="1" applyAlignment="1">
      <alignment horizontal="left" vertical="center" wrapText="1" indent="1"/>
    </xf>
    <xf numFmtId="3" fontId="194" fillId="82" borderId="76" xfId="13" applyNumberFormat="1" applyFont="1" applyFill="1" applyBorder="1" applyAlignment="1">
      <alignment horizontal="left" vertical="center" wrapText="1" indent="1"/>
    </xf>
    <xf numFmtId="3" fontId="189" fillId="82" borderId="76" xfId="296" applyNumberFormat="1" applyFont="1" applyFill="1" applyBorder="1" applyAlignment="1">
      <alignment horizontal="left" vertical="center" wrapText="1" indent="1"/>
    </xf>
    <xf numFmtId="3" fontId="190" fillId="82" borderId="76" xfId="296" applyNumberFormat="1" applyFont="1" applyFill="1" applyBorder="1" applyAlignment="1">
      <alignment horizontal="left" vertical="center" wrapText="1" indent="1"/>
    </xf>
    <xf numFmtId="3" fontId="192" fillId="82" borderId="76" xfId="298" applyNumberFormat="1" applyFont="1" applyFill="1" applyBorder="1" applyAlignment="1">
      <alignment horizontal="left" vertical="center" indent="1"/>
    </xf>
    <xf numFmtId="3" fontId="191" fillId="61" borderId="76" xfId="13" applyNumberFormat="1" applyFont="1" applyFill="1" applyBorder="1" applyAlignment="1">
      <alignment vertical="center" wrapText="1"/>
    </xf>
    <xf numFmtId="3" fontId="195" fillId="61" borderId="76" xfId="13" applyNumberFormat="1" applyFont="1" applyFill="1" applyBorder="1" applyAlignment="1">
      <alignment horizontal="left" vertical="center" wrapText="1" indent="1"/>
    </xf>
    <xf numFmtId="3" fontId="189" fillId="61" borderId="76" xfId="296" applyNumberFormat="1" applyFont="1" applyFill="1" applyBorder="1" applyAlignment="1">
      <alignment horizontal="left" vertical="center" wrapText="1" indent="1"/>
    </xf>
    <xf numFmtId="3" fontId="194" fillId="61" borderId="76" xfId="13" applyNumberFormat="1" applyFont="1" applyFill="1" applyBorder="1" applyAlignment="1">
      <alignment horizontal="left" vertical="center" wrapText="1" indent="1"/>
    </xf>
    <xf numFmtId="3" fontId="192" fillId="61" borderId="76" xfId="298" applyNumberFormat="1" applyFont="1" applyFill="1" applyBorder="1" applyAlignment="1">
      <alignment horizontal="left" vertical="center" indent="1"/>
    </xf>
    <xf numFmtId="3" fontId="195" fillId="81" borderId="76" xfId="13" applyNumberFormat="1" applyFont="1" applyFill="1" applyBorder="1" applyAlignment="1">
      <alignment horizontal="left" vertical="center" wrapText="1" indent="1"/>
    </xf>
    <xf numFmtId="3" fontId="194" fillId="81" borderId="76" xfId="13" applyNumberFormat="1" applyFont="1" applyFill="1" applyBorder="1" applyAlignment="1">
      <alignment horizontal="left" vertical="center" wrapText="1" indent="1"/>
    </xf>
    <xf numFmtId="3" fontId="189" fillId="81" borderId="76" xfId="296" applyNumberFormat="1" applyFont="1" applyFill="1" applyBorder="1" applyAlignment="1">
      <alignment horizontal="left" vertical="center" wrapText="1" indent="1"/>
    </xf>
    <xf numFmtId="3" fontId="193" fillId="82" borderId="92" xfId="298" applyNumberFormat="1" applyFont="1" applyFill="1" applyBorder="1" applyAlignment="1">
      <alignment horizontal="left" vertical="center" indent="1"/>
    </xf>
    <xf numFmtId="3" fontId="197" fillId="0" borderId="0" xfId="296" applyNumberFormat="1" applyFont="1" applyFill="1"/>
    <xf numFmtId="3" fontId="197" fillId="0" borderId="92" xfId="296" applyNumberFormat="1" applyFont="1" applyFill="1" applyBorder="1"/>
    <xf numFmtId="3" fontId="193" fillId="61" borderId="76" xfId="298" applyNumberFormat="1" applyFont="1" applyFill="1" applyBorder="1" applyAlignment="1">
      <alignment horizontal="left" vertical="center" indent="1"/>
    </xf>
    <xf numFmtId="3" fontId="191" fillId="58" borderId="76" xfId="13" applyNumberFormat="1" applyFont="1" applyFill="1" applyBorder="1" applyAlignment="1">
      <alignment vertical="center" wrapText="1"/>
    </xf>
    <xf numFmtId="3" fontId="195" fillId="58" borderId="76" xfId="13" applyNumberFormat="1" applyFont="1" applyFill="1" applyBorder="1" applyAlignment="1">
      <alignment horizontal="left" vertical="center" wrapText="1" indent="1"/>
    </xf>
    <xf numFmtId="3" fontId="189" fillId="58" borderId="76" xfId="296" applyNumberFormat="1" applyFont="1" applyFill="1" applyBorder="1" applyAlignment="1">
      <alignment horizontal="left" vertical="center" wrapText="1" indent="1"/>
    </xf>
    <xf numFmtId="3" fontId="190" fillId="58" borderId="76" xfId="296" applyNumberFormat="1" applyFont="1" applyFill="1" applyBorder="1" applyAlignment="1">
      <alignment horizontal="left" vertical="center" wrapText="1" indent="1"/>
    </xf>
    <xf numFmtId="3" fontId="191" fillId="83" borderId="76" xfId="13" applyNumberFormat="1" applyFont="1" applyFill="1" applyBorder="1" applyAlignment="1">
      <alignment vertical="center" wrapText="1"/>
    </xf>
    <xf numFmtId="3" fontId="195" fillId="83" borderId="76" xfId="13" applyNumberFormat="1" applyFont="1" applyFill="1" applyBorder="1" applyAlignment="1">
      <alignment horizontal="left" vertical="center" wrapText="1" indent="1"/>
    </xf>
    <xf numFmtId="3" fontId="189" fillId="83" borderId="76" xfId="296" applyNumberFormat="1" applyFont="1" applyFill="1" applyBorder="1" applyAlignment="1">
      <alignment horizontal="left" vertical="center" wrapText="1" indent="1"/>
    </xf>
    <xf numFmtId="3" fontId="190" fillId="83" borderId="76" xfId="296" applyNumberFormat="1" applyFont="1" applyFill="1" applyBorder="1" applyAlignment="1">
      <alignment horizontal="left" vertical="center" wrapText="1" indent="1"/>
    </xf>
    <xf numFmtId="3" fontId="191" fillId="0" borderId="0" xfId="13" applyNumberFormat="1" applyFont="1" applyFill="1" applyBorder="1" applyAlignment="1">
      <alignment vertical="center" wrapText="1"/>
    </xf>
    <xf numFmtId="3" fontId="195" fillId="0" borderId="0" xfId="13" applyNumberFormat="1" applyFont="1" applyFill="1" applyBorder="1" applyAlignment="1">
      <alignment horizontal="left" vertical="center" wrapText="1" indent="1"/>
    </xf>
    <xf numFmtId="3" fontId="190" fillId="0" borderId="0" xfId="296" applyNumberFormat="1" applyFont="1" applyFill="1" applyBorder="1" applyAlignment="1">
      <alignment horizontal="left" vertical="center" wrapText="1"/>
    </xf>
    <xf numFmtId="3" fontId="191" fillId="0" borderId="0" xfId="13" applyNumberFormat="1" applyFont="1" applyBorder="1" applyAlignment="1">
      <alignment vertical="center" wrapText="1"/>
    </xf>
    <xf numFmtId="3" fontId="195" fillId="0" borderId="0" xfId="13" applyNumberFormat="1" applyFont="1" applyBorder="1" applyAlignment="1">
      <alignment horizontal="left" vertical="center" wrapText="1" indent="1"/>
    </xf>
    <xf numFmtId="3" fontId="190" fillId="0" borderId="0" xfId="296" applyNumberFormat="1" applyFont="1" applyBorder="1" applyAlignment="1">
      <alignment horizontal="left" vertical="center" wrapText="1"/>
    </xf>
    <xf numFmtId="3" fontId="194" fillId="0" borderId="0" xfId="296" applyNumberFormat="1" applyFont="1" applyBorder="1" applyAlignment="1">
      <alignment horizontal="center" vertical="center" wrapText="1"/>
    </xf>
    <xf numFmtId="3" fontId="196" fillId="0" borderId="0" xfId="296" applyNumberFormat="1" applyFont="1" applyBorder="1" applyAlignment="1">
      <alignment vertical="top" wrapText="1"/>
    </xf>
    <xf numFmtId="3" fontId="188" fillId="0" borderId="0" xfId="296" applyNumberFormat="1" applyFont="1"/>
    <xf numFmtId="3" fontId="202" fillId="0" borderId="0" xfId="296" applyNumberFormat="1" applyFont="1" applyAlignment="1">
      <alignment vertical="center"/>
    </xf>
    <xf numFmtId="3" fontId="205" fillId="0" borderId="0" xfId="296" applyNumberFormat="1" applyFont="1"/>
    <xf numFmtId="3" fontId="7" fillId="62" borderId="12" xfId="60" applyNumberFormat="1" applyFont="1" applyFill="1" applyBorder="1" applyAlignment="1">
      <alignment vertical="center"/>
    </xf>
    <xf numFmtId="3" fontId="7" fillId="62" borderId="12" xfId="60" applyNumberFormat="1" applyFont="1" applyFill="1" applyBorder="1" applyAlignment="1">
      <alignment vertical="center" wrapText="1"/>
    </xf>
    <xf numFmtId="3" fontId="200" fillId="0" borderId="12" xfId="60" applyNumberFormat="1" applyFont="1" applyFill="1" applyBorder="1" applyAlignment="1">
      <alignment horizontal="left" vertical="top" wrapText="1"/>
    </xf>
    <xf numFmtId="3" fontId="64" fillId="0" borderId="0" xfId="60" applyNumberFormat="1" applyFill="1"/>
    <xf numFmtId="3" fontId="7" fillId="0" borderId="0" xfId="60" applyNumberFormat="1" applyFont="1" applyBorder="1" applyAlignment="1">
      <alignment vertical="center"/>
    </xf>
    <xf numFmtId="3" fontId="7" fillId="8" borderId="12" xfId="60" applyNumberFormat="1" applyFont="1" applyFill="1" applyBorder="1" applyAlignment="1">
      <alignment vertical="center"/>
    </xf>
    <xf numFmtId="3" fontId="7" fillId="0" borderId="12" xfId="60" applyNumberFormat="1" applyFont="1" applyFill="1" applyBorder="1" applyAlignment="1">
      <alignment vertical="center"/>
    </xf>
    <xf numFmtId="3" fontId="64" fillId="0" borderId="0" xfId="60" applyNumberFormat="1"/>
    <xf numFmtId="3" fontId="7" fillId="60" borderId="76" xfId="60" applyNumberFormat="1" applyFont="1" applyFill="1" applyBorder="1"/>
    <xf numFmtId="3" fontId="7" fillId="0" borderId="0" xfId="60" applyNumberFormat="1" applyFont="1" applyFill="1"/>
    <xf numFmtId="3" fontId="7" fillId="0" borderId="76" xfId="81" applyNumberFormat="1" applyFont="1" applyFill="1" applyBorder="1"/>
    <xf numFmtId="3" fontId="64" fillId="60" borderId="76" xfId="60" applyNumberFormat="1" applyFill="1" applyBorder="1"/>
    <xf numFmtId="3" fontId="64" fillId="0" borderId="76" xfId="81" applyNumberFormat="1" applyFont="1" applyFill="1" applyBorder="1"/>
    <xf numFmtId="3" fontId="7" fillId="2" borderId="76" xfId="60" applyNumberFormat="1" applyFont="1" applyFill="1" applyBorder="1"/>
    <xf numFmtId="3" fontId="7" fillId="2" borderId="0" xfId="60" applyNumberFormat="1" applyFont="1" applyFill="1"/>
    <xf numFmtId="3" fontId="64" fillId="2" borderId="76" xfId="60" applyNumberFormat="1" applyFill="1" applyBorder="1"/>
    <xf numFmtId="3" fontId="64" fillId="2" borderId="0" xfId="60" applyNumberFormat="1" applyFill="1"/>
    <xf numFmtId="3" fontId="64" fillId="82" borderId="76" xfId="60" applyNumberFormat="1" applyFill="1" applyBorder="1"/>
    <xf numFmtId="3" fontId="64" fillId="82" borderId="0" xfId="60" applyNumberFormat="1" applyFill="1"/>
    <xf numFmtId="3" fontId="7" fillId="58" borderId="76" xfId="60" applyNumberFormat="1" applyFont="1" applyFill="1" applyBorder="1"/>
    <xf numFmtId="3" fontId="64" fillId="58" borderId="76" xfId="60" applyNumberFormat="1" applyFill="1" applyBorder="1"/>
    <xf numFmtId="3" fontId="64" fillId="0" borderId="15" xfId="81" applyNumberFormat="1" applyFont="1" applyFill="1" applyBorder="1"/>
    <xf numFmtId="3" fontId="64" fillId="0" borderId="76" xfId="60" applyNumberFormat="1" applyFill="1" applyBorder="1"/>
    <xf numFmtId="3" fontId="7" fillId="6" borderId="76" xfId="60" applyNumberFormat="1" applyFont="1" applyFill="1" applyBorder="1"/>
    <xf numFmtId="3" fontId="64" fillId="6" borderId="76" xfId="60" applyNumberFormat="1" applyFill="1" applyBorder="1"/>
    <xf numFmtId="3" fontId="64" fillId="6" borderId="76" xfId="81" applyNumberFormat="1" applyFont="1" applyFill="1" applyBorder="1"/>
    <xf numFmtId="3" fontId="64" fillId="84" borderId="76" xfId="60" applyNumberFormat="1" applyFill="1" applyBorder="1"/>
    <xf numFmtId="3" fontId="64" fillId="84" borderId="76" xfId="81" applyNumberFormat="1" applyFont="1" applyFill="1" applyBorder="1"/>
    <xf numFmtId="3" fontId="64" fillId="84" borderId="0" xfId="60" applyNumberFormat="1" applyFill="1"/>
    <xf numFmtId="3" fontId="64" fillId="6" borderId="0" xfId="60" applyNumberFormat="1" applyFill="1"/>
    <xf numFmtId="3" fontId="64" fillId="10" borderId="76" xfId="60" applyNumberFormat="1" applyFill="1" applyBorder="1"/>
    <xf numFmtId="3" fontId="64" fillId="10" borderId="0" xfId="60" applyNumberFormat="1" applyFill="1"/>
    <xf numFmtId="3" fontId="64" fillId="86" borderId="76" xfId="60" applyNumberFormat="1" applyFill="1" applyBorder="1"/>
    <xf numFmtId="3" fontId="64" fillId="85" borderId="76" xfId="60" applyNumberFormat="1" applyFill="1" applyBorder="1"/>
    <xf numFmtId="9" fontId="25" fillId="0" borderId="1" xfId="14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Alignment="1">
      <alignment horizontal="left" vertical="center" indent="2"/>
    </xf>
    <xf numFmtId="3" fontId="25" fillId="0" borderId="0" xfId="7" applyNumberFormat="1" applyFont="1"/>
    <xf numFmtId="3" fontId="83" fillId="0" borderId="0" xfId="46" applyNumberFormat="1" applyFont="1" applyAlignment="1">
      <alignment wrapText="1"/>
    </xf>
    <xf numFmtId="3" fontId="83" fillId="0" borderId="0" xfId="46" applyNumberFormat="1" applyFont="1"/>
    <xf numFmtId="3" fontId="15" fillId="0" borderId="0" xfId="69" applyNumberFormat="1" applyFont="1" applyFill="1" applyBorder="1" applyAlignment="1" applyProtection="1">
      <alignment vertical="center"/>
      <protection hidden="1"/>
    </xf>
    <xf numFmtId="3" fontId="25" fillId="0" borderId="76" xfId="14" applyNumberFormat="1" applyFont="1" applyBorder="1" applyAlignment="1">
      <alignment horizontal="left" vertical="center" wrapText="1" indent="1"/>
    </xf>
    <xf numFmtId="3" fontId="25" fillId="0" borderId="0" xfId="7" applyNumberFormat="1" applyFont="1" applyAlignment="1">
      <alignment wrapText="1"/>
    </xf>
    <xf numFmtId="3" fontId="43" fillId="0" borderId="0" xfId="46" applyNumberFormat="1" applyFont="1" applyAlignment="1">
      <alignment wrapText="1"/>
    </xf>
    <xf numFmtId="3" fontId="43" fillId="0" borderId="0" xfId="46" applyNumberFormat="1" applyFont="1"/>
    <xf numFmtId="3" fontId="32" fillId="0" borderId="0" xfId="46" applyNumberFormat="1" applyFont="1" applyAlignment="1">
      <alignment wrapText="1"/>
    </xf>
    <xf numFmtId="3" fontId="14" fillId="0" borderId="2" xfId="46" applyNumberFormat="1" applyFont="1" applyBorder="1" applyAlignment="1">
      <alignment horizontal="left" vertical="center" indent="1"/>
    </xf>
    <xf numFmtId="3" fontId="14" fillId="0" borderId="2" xfId="46" applyNumberFormat="1" applyFont="1" applyBorder="1" applyAlignment="1">
      <alignment horizontal="left" vertical="center" wrapText="1" indent="1"/>
    </xf>
    <xf numFmtId="3" fontId="15" fillId="0" borderId="0" xfId="46" applyNumberFormat="1" applyFont="1"/>
    <xf numFmtId="3" fontId="14" fillId="0" borderId="0" xfId="46" applyNumberFormat="1" applyFont="1" applyBorder="1" applyAlignment="1">
      <alignment horizontal="left" vertical="center" wrapText="1" indent="1"/>
    </xf>
    <xf numFmtId="3" fontId="38" fillId="0" borderId="0" xfId="46" applyNumberFormat="1" applyFont="1"/>
    <xf numFmtId="3" fontId="25" fillId="0" borderId="1" xfId="7" applyNumberFormat="1" applyFont="1" applyFill="1" applyBorder="1" applyAlignment="1" applyProtection="1">
      <alignment horizontal="center" vertical="center" wrapText="1"/>
      <protection hidden="1"/>
    </xf>
    <xf numFmtId="3" fontId="15" fillId="0" borderId="1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74" xfId="69" applyNumberFormat="1" applyFont="1" applyFill="1" applyBorder="1" applyAlignment="1" applyProtection="1">
      <alignment vertical="center" wrapText="1"/>
      <protection hidden="1"/>
    </xf>
    <xf numFmtId="3" fontId="18" fillId="5" borderId="77" xfId="69" applyNumberFormat="1" applyFont="1" applyFill="1" applyBorder="1" applyAlignment="1" applyProtection="1">
      <alignment vertical="center" wrapText="1"/>
      <protection hidden="1"/>
    </xf>
    <xf numFmtId="3" fontId="18" fillId="62" borderId="66" xfId="69" applyNumberFormat="1" applyFont="1" applyFill="1" applyBorder="1" applyAlignment="1" applyProtection="1">
      <alignment vertical="center" wrapText="1"/>
      <protection hidden="1"/>
    </xf>
    <xf numFmtId="3" fontId="18" fillId="62" borderId="65" xfId="69" applyNumberFormat="1" applyFont="1" applyFill="1" applyBorder="1" applyAlignment="1" applyProtection="1">
      <alignment vertical="center" wrapText="1"/>
      <protection hidden="1"/>
    </xf>
    <xf numFmtId="3" fontId="18" fillId="62" borderId="67" xfId="69" applyNumberFormat="1" applyFont="1" applyFill="1" applyBorder="1" applyAlignment="1" applyProtection="1">
      <alignment vertical="center" wrapText="1"/>
      <protection hidden="1"/>
    </xf>
    <xf numFmtId="3" fontId="25" fillId="0" borderId="1" xfId="7" applyNumberFormat="1" applyFont="1" applyFill="1" applyBorder="1" applyAlignment="1" applyProtection="1">
      <alignment horizontal="center" vertical="top" wrapText="1"/>
      <protection hidden="1"/>
    </xf>
    <xf numFmtId="3" fontId="15" fillId="0" borderId="1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74" xfId="69" applyNumberFormat="1" applyFont="1" applyFill="1" applyBorder="1" applyAlignment="1" applyProtection="1">
      <alignment vertical="top" wrapText="1"/>
      <protection hidden="1"/>
    </xf>
    <xf numFmtId="3" fontId="18" fillId="5" borderId="77" xfId="69" applyNumberFormat="1" applyFont="1" applyFill="1" applyBorder="1" applyAlignment="1" applyProtection="1">
      <alignment vertical="top" wrapText="1"/>
      <protection hidden="1"/>
    </xf>
    <xf numFmtId="3" fontId="18" fillId="5" borderId="75" xfId="69" applyNumberFormat="1" applyFont="1" applyFill="1" applyBorder="1" applyAlignment="1" applyProtection="1">
      <alignment vertical="top" wrapText="1"/>
      <protection hidden="1"/>
    </xf>
    <xf numFmtId="3" fontId="18" fillId="6" borderId="77" xfId="69" applyNumberFormat="1" applyFont="1" applyFill="1" applyBorder="1" applyAlignment="1" applyProtection="1">
      <alignment vertical="top" wrapText="1"/>
      <protection hidden="1"/>
    </xf>
    <xf numFmtId="3" fontId="18" fillId="6" borderId="74" xfId="69" applyNumberFormat="1" applyFont="1" applyFill="1" applyBorder="1" applyAlignment="1" applyProtection="1">
      <alignment vertical="top" wrapText="1"/>
      <protection hidden="1"/>
    </xf>
    <xf numFmtId="3" fontId="18" fillId="6" borderId="75" xfId="69" applyNumberFormat="1" applyFont="1" applyFill="1" applyBorder="1" applyAlignment="1" applyProtection="1">
      <alignment vertical="top" wrapText="1"/>
      <protection hidden="1"/>
    </xf>
    <xf numFmtId="3" fontId="18" fillId="57" borderId="77" xfId="69" applyNumberFormat="1" applyFont="1" applyFill="1" applyBorder="1" applyAlignment="1" applyProtection="1">
      <alignment vertical="top" wrapText="1"/>
      <protection hidden="1"/>
    </xf>
    <xf numFmtId="3" fontId="18" fillId="57" borderId="75" xfId="69" applyNumberFormat="1" applyFont="1" applyFill="1" applyBorder="1" applyAlignment="1" applyProtection="1">
      <alignment vertical="top" wrapText="1"/>
      <protection hidden="1"/>
    </xf>
    <xf numFmtId="3" fontId="15" fillId="0" borderId="0" xfId="69" applyNumberFormat="1" applyFont="1" applyFill="1" applyAlignment="1" applyProtection="1">
      <alignment horizontal="center" vertical="top" wrapText="1"/>
      <protection hidden="1"/>
    </xf>
    <xf numFmtId="3" fontId="18" fillId="5" borderId="12" xfId="69" applyNumberFormat="1" applyFont="1" applyFill="1" applyBorder="1" applyAlignment="1" applyProtection="1">
      <alignment horizontal="center" vertical="center" wrapText="1"/>
      <protection hidden="1"/>
    </xf>
    <xf numFmtId="3" fontId="18" fillId="6" borderId="65" xfId="69" applyNumberFormat="1" applyFont="1" applyFill="1" applyBorder="1" applyAlignment="1" applyProtection="1">
      <alignment horizontal="center" vertical="center" wrapText="1"/>
      <protection hidden="1"/>
    </xf>
    <xf numFmtId="3" fontId="18" fillId="58" borderId="65" xfId="69" applyNumberFormat="1" applyFont="1" applyFill="1" applyBorder="1" applyAlignment="1" applyProtection="1">
      <alignment horizontal="center" vertical="center" wrapText="1"/>
      <protection hidden="1"/>
    </xf>
    <xf numFmtId="3" fontId="18" fillId="57" borderId="64" xfId="69" applyNumberFormat="1" applyFont="1" applyFill="1" applyBorder="1" applyAlignment="1" applyProtection="1">
      <alignment horizontal="center" vertical="center" wrapText="1"/>
      <protection hidden="1"/>
    </xf>
    <xf numFmtId="3" fontId="25" fillId="5" borderId="64" xfId="69" applyNumberFormat="1" applyFont="1" applyFill="1" applyBorder="1" applyAlignment="1" applyProtection="1">
      <alignment vertical="center" wrapText="1"/>
      <protection hidden="1"/>
    </xf>
    <xf numFmtId="3" fontId="18" fillId="5" borderId="75" xfId="69" applyNumberFormat="1" applyFont="1" applyFill="1" applyBorder="1" applyAlignment="1" applyProtection="1">
      <alignment vertical="center" wrapText="1"/>
      <protection hidden="1"/>
    </xf>
    <xf numFmtId="3" fontId="18" fillId="5" borderId="6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64" xfId="69" applyNumberFormat="1" applyFont="1" applyFill="1" applyBorder="1" applyAlignment="1" applyProtection="1">
      <alignment horizontal="center" vertical="center" wrapText="1"/>
      <protection hidden="1"/>
    </xf>
    <xf numFmtId="3" fontId="18" fillId="6" borderId="65" xfId="69" applyNumberFormat="1" applyFont="1" applyFill="1" applyBorder="1" applyAlignment="1" applyProtection="1">
      <alignment vertical="center" wrapText="1"/>
      <protection hidden="1"/>
    </xf>
    <xf numFmtId="3" fontId="15" fillId="57" borderId="64" xfId="69" applyNumberFormat="1" applyFont="1" applyFill="1" applyBorder="1" applyAlignment="1" applyProtection="1">
      <alignment vertical="center" wrapText="1"/>
      <protection hidden="1"/>
    </xf>
    <xf numFmtId="3" fontId="18" fillId="61" borderId="64" xfId="69" applyNumberFormat="1" applyFont="1" applyFill="1" applyBorder="1" applyAlignment="1" applyProtection="1">
      <alignment vertical="center" wrapText="1"/>
      <protection hidden="1"/>
    </xf>
    <xf numFmtId="3" fontId="18" fillId="57" borderId="64" xfId="69" applyNumberFormat="1" applyFont="1" applyFill="1" applyBorder="1" applyAlignment="1" applyProtection="1">
      <alignment vertical="center" wrapText="1"/>
      <protection hidden="1"/>
    </xf>
    <xf numFmtId="3" fontId="31" fillId="62" borderId="64" xfId="71" applyNumberFormat="1" applyFont="1" applyFill="1" applyBorder="1" applyAlignment="1">
      <alignment horizontal="center" vertical="center" wrapText="1"/>
    </xf>
    <xf numFmtId="3" fontId="15" fillId="62" borderId="64" xfId="69" applyNumberFormat="1" applyFont="1" applyFill="1" applyBorder="1" applyAlignment="1" applyProtection="1">
      <alignment horizontal="center" vertical="center"/>
      <protection hidden="1"/>
    </xf>
    <xf numFmtId="3" fontId="15" fillId="62" borderId="64" xfId="69" applyNumberFormat="1" applyFont="1" applyFill="1" applyBorder="1" applyAlignment="1" applyProtection="1">
      <alignment vertical="center"/>
      <protection hidden="1"/>
    </xf>
    <xf numFmtId="3" fontId="15" fillId="6" borderId="64" xfId="69" applyNumberFormat="1" applyFont="1" applyFill="1" applyBorder="1" applyAlignment="1" applyProtection="1">
      <alignment vertical="center" wrapText="1"/>
      <protection hidden="1"/>
    </xf>
    <xf numFmtId="3" fontId="16" fillId="0" borderId="0" xfId="7" applyNumberFormat="1" applyFont="1" applyFill="1" applyBorder="1" applyAlignment="1" applyProtection="1">
      <alignment vertical="center" wrapText="1"/>
      <protection hidden="1"/>
    </xf>
    <xf numFmtId="3" fontId="16" fillId="5" borderId="12" xfId="69" applyNumberFormat="1" applyFont="1" applyFill="1" applyBorder="1" applyAlignment="1" applyProtection="1">
      <alignment vertical="center" wrapText="1"/>
      <protection hidden="1"/>
    </xf>
    <xf numFmtId="3" fontId="16" fillId="6" borderId="65" xfId="69" applyNumberFormat="1" applyFont="1" applyFill="1" applyBorder="1" applyAlignment="1" applyProtection="1">
      <alignment vertical="center" wrapText="1"/>
      <protection hidden="1"/>
    </xf>
    <xf numFmtId="3" fontId="16" fillId="58" borderId="65" xfId="69" applyNumberFormat="1" applyFont="1" applyFill="1" applyBorder="1" applyAlignment="1" applyProtection="1">
      <alignment vertical="center" wrapText="1"/>
      <protection hidden="1"/>
    </xf>
    <xf numFmtId="3" fontId="16" fillId="57" borderId="65" xfId="69" applyNumberFormat="1" applyFont="1" applyFill="1" applyBorder="1" applyAlignment="1" applyProtection="1">
      <alignment horizontal="center" vertical="center" wrapText="1"/>
      <protection hidden="1"/>
    </xf>
    <xf numFmtId="3" fontId="16" fillId="5" borderId="64" xfId="69" applyNumberFormat="1" applyFont="1" applyFill="1" applyBorder="1" applyAlignment="1" applyProtection="1">
      <alignment vertical="center"/>
      <protection hidden="1"/>
    </xf>
    <xf numFmtId="3" fontId="16" fillId="0" borderId="0" xfId="69" applyNumberFormat="1" applyFont="1" applyFill="1" applyBorder="1" applyAlignment="1" applyProtection="1">
      <alignment vertical="center" wrapText="1"/>
      <protection hidden="1"/>
    </xf>
    <xf numFmtId="3" fontId="16" fillId="5" borderId="64" xfId="69" applyNumberFormat="1" applyFont="1" applyFill="1" applyBorder="1" applyAlignment="1" applyProtection="1">
      <alignment vertical="center" wrapText="1"/>
      <protection hidden="1"/>
    </xf>
    <xf numFmtId="3" fontId="16" fillId="58" borderId="64" xfId="69" applyNumberFormat="1" applyFont="1" applyFill="1" applyBorder="1" applyAlignment="1" applyProtection="1">
      <alignment vertical="center"/>
      <protection hidden="1"/>
    </xf>
    <xf numFmtId="3" fontId="162" fillId="57" borderId="64" xfId="69" applyNumberFormat="1" applyFont="1" applyFill="1" applyBorder="1" applyAlignment="1" applyProtection="1">
      <alignment vertical="center" wrapText="1"/>
      <protection hidden="1"/>
    </xf>
    <xf numFmtId="3" fontId="162" fillId="57" borderId="64" xfId="69" applyNumberFormat="1" applyFont="1" applyFill="1" applyBorder="1" applyAlignment="1" applyProtection="1">
      <alignment vertical="center"/>
      <protection hidden="1"/>
    </xf>
    <xf numFmtId="3" fontId="16" fillId="57" borderId="64" xfId="69" applyNumberFormat="1" applyFont="1" applyFill="1" applyBorder="1" applyAlignment="1" applyProtection="1">
      <alignment vertical="center"/>
      <protection hidden="1"/>
    </xf>
    <xf numFmtId="3" fontId="16" fillId="5" borderId="13" xfId="69" applyNumberFormat="1" applyFont="1" applyFill="1" applyBorder="1" applyAlignment="1" applyProtection="1">
      <alignment vertical="center" wrapText="1"/>
      <protection hidden="1"/>
    </xf>
    <xf numFmtId="3" fontId="16" fillId="5" borderId="13" xfId="69" applyNumberFormat="1" applyFont="1" applyFill="1" applyBorder="1" applyAlignment="1" applyProtection="1">
      <alignment horizontal="center" vertical="center" wrapText="1"/>
      <protection hidden="1"/>
    </xf>
    <xf numFmtId="3" fontId="16" fillId="6" borderId="64" xfId="69" applyNumberFormat="1" applyFont="1" applyFill="1" applyBorder="1" applyAlignment="1" applyProtection="1">
      <alignment vertical="center"/>
      <protection hidden="1"/>
    </xf>
    <xf numFmtId="3" fontId="16" fillId="5" borderId="64" xfId="69" applyNumberFormat="1" applyFont="1" applyFill="1" applyBorder="1" applyAlignment="1" applyProtection="1">
      <alignment horizontal="center" vertical="center"/>
      <protection hidden="1"/>
    </xf>
    <xf numFmtId="3" fontId="12" fillId="6" borderId="64" xfId="0" applyNumberFormat="1" applyFont="1" applyFill="1" applyBorder="1" applyAlignment="1">
      <alignment horizontal="center" vertical="center" wrapText="1"/>
    </xf>
    <xf numFmtId="3" fontId="16" fillId="61" borderId="6" xfId="69" applyNumberFormat="1" applyFont="1" applyFill="1" applyBorder="1" applyAlignment="1" applyProtection="1">
      <alignment vertical="center" wrapText="1"/>
      <protection hidden="1"/>
    </xf>
    <xf numFmtId="3" fontId="16" fillId="61" borderId="64" xfId="69" applyNumberFormat="1" applyFont="1" applyFill="1" applyBorder="1" applyAlignment="1" applyProtection="1">
      <alignment vertical="center"/>
      <protection hidden="1"/>
    </xf>
    <xf numFmtId="3" fontId="12" fillId="62" borderId="64" xfId="71" applyNumberFormat="1" applyFont="1" applyFill="1" applyBorder="1" applyAlignment="1">
      <alignment vertical="center"/>
    </xf>
    <xf numFmtId="3" fontId="12" fillId="62" borderId="64" xfId="71" applyNumberFormat="1" applyFont="1" applyFill="1" applyBorder="1" applyAlignment="1">
      <alignment vertical="center" wrapText="1"/>
    </xf>
    <xf numFmtId="3" fontId="16" fillId="6" borderId="64" xfId="69" applyNumberFormat="1" applyFont="1" applyFill="1" applyBorder="1" applyAlignment="1" applyProtection="1">
      <alignment vertical="center" wrapText="1"/>
      <protection hidden="1"/>
    </xf>
    <xf numFmtId="3" fontId="16" fillId="0" borderId="0" xfId="69" applyNumberFormat="1" applyFont="1" applyFill="1" applyAlignment="1" applyProtection="1">
      <alignment vertical="center"/>
      <protection hidden="1"/>
    </xf>
    <xf numFmtId="3" fontId="39" fillId="12" borderId="12" xfId="69" applyNumberFormat="1" applyFont="1" applyFill="1" applyBorder="1" applyAlignment="1" applyProtection="1">
      <alignment horizontal="center" vertical="center" wrapText="1"/>
      <protection hidden="1"/>
    </xf>
    <xf numFmtId="3" fontId="76" fillId="12" borderId="12" xfId="69" applyNumberFormat="1" applyFont="1" applyFill="1" applyBorder="1" applyAlignment="1" applyProtection="1">
      <alignment horizontal="center" vertical="center" wrapText="1"/>
      <protection hidden="1"/>
    </xf>
    <xf numFmtId="3" fontId="15" fillId="12" borderId="64" xfId="69" applyNumberFormat="1" applyFont="1" applyFill="1" applyBorder="1" applyAlignment="1" applyProtection="1">
      <alignment vertical="center"/>
      <protection hidden="1"/>
    </xf>
    <xf numFmtId="3" fontId="15" fillId="0" borderId="0" xfId="69" applyNumberFormat="1" applyFont="1" applyFill="1" applyBorder="1" applyAlignment="1" applyProtection="1">
      <alignment horizontal="center" vertical="center" wrapText="1"/>
      <protection hidden="1"/>
    </xf>
    <xf numFmtId="3" fontId="76" fillId="12" borderId="64" xfId="69" applyNumberFormat="1" applyFont="1" applyFill="1" applyBorder="1" applyAlignment="1" applyProtection="1">
      <alignment vertical="center" wrapText="1"/>
      <protection hidden="1"/>
    </xf>
    <xf numFmtId="3" fontId="76" fillId="12" borderId="64" xfId="69" applyNumberFormat="1" applyFont="1" applyFill="1" applyBorder="1" applyAlignment="1" applyProtection="1">
      <alignment vertical="center"/>
      <protection hidden="1"/>
    </xf>
    <xf numFmtId="3" fontId="18" fillId="12" borderId="64" xfId="69" applyNumberFormat="1" applyFont="1" applyFill="1" applyBorder="1" applyAlignment="1" applyProtection="1">
      <alignment horizontal="center" vertical="center"/>
      <protection hidden="1"/>
    </xf>
    <xf numFmtId="3" fontId="155" fillId="12" borderId="64" xfId="69" applyNumberFormat="1" applyFont="1" applyFill="1" applyBorder="1" applyAlignment="1" applyProtection="1">
      <alignment vertical="center" wrapText="1"/>
      <protection hidden="1"/>
    </xf>
    <xf numFmtId="3" fontId="60" fillId="0" borderId="6" xfId="69" applyNumberFormat="1" applyFont="1" applyFill="1" applyBorder="1" applyAlignment="1">
      <alignment horizontal="center" vertical="center" wrapText="1"/>
    </xf>
    <xf numFmtId="3" fontId="17" fillId="0" borderId="65" xfId="46" applyNumberFormat="1" applyFont="1" applyFill="1" applyBorder="1" applyAlignment="1">
      <alignment horizontal="left" vertical="center" wrapText="1" indent="1"/>
    </xf>
    <xf numFmtId="3" fontId="25" fillId="0" borderId="65" xfId="7" applyNumberFormat="1" applyFont="1" applyFill="1" applyBorder="1" applyAlignment="1">
      <alignment horizontal="left" vertical="center" wrapText="1" indent="1"/>
    </xf>
    <xf numFmtId="3" fontId="17" fillId="0" borderId="8" xfId="46" applyNumberFormat="1" applyFont="1" applyFill="1" applyBorder="1" applyAlignment="1">
      <alignment horizontal="left" vertical="center" wrapText="1" indent="1"/>
    </xf>
    <xf numFmtId="3" fontId="17" fillId="0" borderId="6" xfId="46" applyNumberFormat="1" applyFont="1" applyFill="1" applyBorder="1" applyAlignment="1">
      <alignment horizontal="left" vertical="center" wrapText="1" indent="1"/>
    </xf>
    <xf numFmtId="3" fontId="25" fillId="0" borderId="64" xfId="7" applyNumberFormat="1" applyFont="1" applyFill="1" applyBorder="1" applyAlignment="1">
      <alignment horizontal="left" vertical="center" wrapText="1" indent="1"/>
    </xf>
    <xf numFmtId="3" fontId="15" fillId="0" borderId="76" xfId="46" applyNumberFormat="1" applyFont="1" applyBorder="1"/>
    <xf numFmtId="3" fontId="14" fillId="0" borderId="0" xfId="46" applyNumberFormat="1" applyFont="1" applyFill="1" applyBorder="1" applyAlignment="1">
      <alignment vertical="center" wrapText="1"/>
    </xf>
    <xf numFmtId="3" fontId="17" fillId="0" borderId="0" xfId="46" applyNumberFormat="1" applyFont="1" applyFill="1" applyBorder="1" applyAlignment="1">
      <alignment horizontal="left" vertical="center" wrapText="1" indent="1"/>
    </xf>
    <xf numFmtId="3" fontId="25" fillId="0" borderId="0" xfId="7" applyNumberFormat="1" applyFont="1" applyFill="1" applyBorder="1" applyAlignment="1">
      <alignment horizontal="left" vertical="center" wrapText="1" indent="1"/>
    </xf>
    <xf numFmtId="3" fontId="25" fillId="0" borderId="2" xfId="7" applyNumberFormat="1" applyFont="1" applyBorder="1" applyAlignment="1">
      <alignment horizontal="left" vertical="center" wrapText="1" indent="1"/>
    </xf>
    <xf numFmtId="3" fontId="11" fillId="0" borderId="2" xfId="46" applyNumberFormat="1" applyFont="1" applyBorder="1" applyAlignment="1">
      <alignment horizontal="left" vertical="center" wrapText="1" indent="1"/>
    </xf>
    <xf numFmtId="3" fontId="18" fillId="57" borderId="77" xfId="69" applyNumberFormat="1" applyFont="1" applyFill="1" applyBorder="1" applyAlignment="1" applyProtection="1">
      <alignment horizontal="center" vertical="center" wrapText="1"/>
      <protection hidden="1"/>
    </xf>
    <xf numFmtId="3" fontId="15" fillId="62" borderId="77" xfId="69" applyNumberFormat="1" applyFont="1" applyFill="1" applyBorder="1" applyAlignment="1" applyProtection="1">
      <alignment horizontal="center" vertical="center"/>
      <protection hidden="1"/>
    </xf>
    <xf numFmtId="3" fontId="16" fillId="57" borderId="77" xfId="69" applyNumberFormat="1" applyFont="1" applyFill="1" applyBorder="1" applyAlignment="1" applyProtection="1">
      <alignment horizontal="center" vertical="center" wrapText="1"/>
      <protection hidden="1"/>
    </xf>
    <xf numFmtId="3" fontId="12" fillId="62" borderId="77" xfId="71" applyNumberFormat="1" applyFont="1" applyFill="1" applyBorder="1" applyAlignment="1">
      <alignment vertical="center" wrapText="1"/>
    </xf>
    <xf numFmtId="3" fontId="25" fillId="0" borderId="0" xfId="7" applyNumberFormat="1" applyFont="1" applyFill="1" applyBorder="1" applyAlignment="1" applyProtection="1">
      <alignment horizontal="center" vertical="center" wrapText="1"/>
      <protection hidden="1"/>
    </xf>
    <xf numFmtId="3" fontId="18" fillId="12" borderId="12" xfId="69" applyNumberFormat="1" applyFont="1" applyFill="1" applyBorder="1" applyAlignment="1" applyProtection="1">
      <alignment horizontal="center" vertical="center" wrapText="1"/>
      <protection hidden="1"/>
    </xf>
    <xf numFmtId="3" fontId="18" fillId="12" borderId="65" xfId="69" applyNumberFormat="1" applyFont="1" applyFill="1" applyBorder="1" applyAlignment="1" applyProtection="1">
      <alignment vertical="center" wrapText="1"/>
      <protection hidden="1"/>
    </xf>
    <xf numFmtId="3" fontId="18" fillId="12" borderId="65" xfId="69" applyNumberFormat="1" applyFont="1" applyFill="1" applyBorder="1" applyAlignment="1" applyProtection="1">
      <alignment horizontal="center" vertical="center" wrapText="1"/>
      <protection hidden="1"/>
    </xf>
    <xf numFmtId="3" fontId="18" fillId="12" borderId="64" xfId="69" applyNumberFormat="1" applyFont="1" applyFill="1" applyBorder="1" applyAlignment="1" applyProtection="1">
      <alignment horizontal="center" vertical="center" wrapText="1"/>
      <protection hidden="1"/>
    </xf>
    <xf numFmtId="3" fontId="18" fillId="12" borderId="64" xfId="69" applyNumberFormat="1" applyFont="1" applyFill="1" applyBorder="1" applyAlignment="1" applyProtection="1">
      <alignment vertical="center" wrapText="1"/>
      <protection hidden="1"/>
    </xf>
    <xf numFmtId="3" fontId="17" fillId="3" borderId="2" xfId="46" applyNumberFormat="1" applyFont="1" applyFill="1" applyBorder="1" applyAlignment="1">
      <alignment horizontal="left" vertical="center" wrapText="1" indent="1"/>
    </xf>
    <xf numFmtId="3" fontId="15" fillId="0" borderId="0" xfId="46" applyNumberFormat="1" applyFont="1" applyBorder="1"/>
    <xf numFmtId="3" fontId="42" fillId="0" borderId="0" xfId="46" applyNumberFormat="1"/>
    <xf numFmtId="3" fontId="85" fillId="0" borderId="0" xfId="7" applyNumberFormat="1" applyFont="1"/>
    <xf numFmtId="9" fontId="25" fillId="0" borderId="65" xfId="14" applyFont="1" applyFill="1" applyBorder="1" applyAlignment="1">
      <alignment horizontal="left" vertical="center" wrapText="1" indent="1"/>
    </xf>
    <xf numFmtId="9" fontId="25" fillId="0" borderId="64" xfId="14" applyFont="1" applyFill="1" applyBorder="1" applyAlignment="1">
      <alignment horizontal="left" vertical="center" wrapText="1" indent="1"/>
    </xf>
    <xf numFmtId="3" fontId="39" fillId="12" borderId="115" xfId="69" applyNumberFormat="1" applyFont="1" applyFill="1" applyBorder="1" applyAlignment="1" applyProtection="1">
      <alignment horizontal="center" vertical="center" wrapText="1"/>
      <protection hidden="1"/>
    </xf>
    <xf numFmtId="3" fontId="18" fillId="12" borderId="115" xfId="69" applyNumberFormat="1" applyFont="1" applyFill="1" applyBorder="1" applyAlignment="1" applyProtection="1">
      <alignment horizontal="center" vertical="center" wrapText="1"/>
      <protection hidden="1"/>
    </xf>
    <xf numFmtId="3" fontId="18" fillId="12" borderId="114" xfId="69" applyNumberFormat="1" applyFont="1" applyFill="1" applyBorder="1" applyAlignment="1" applyProtection="1">
      <alignment vertical="center" wrapText="1"/>
      <protection hidden="1"/>
    </xf>
    <xf numFmtId="3" fontId="18" fillId="12" borderId="114" xfId="69" applyNumberFormat="1" applyFont="1" applyFill="1" applyBorder="1" applyAlignment="1" applyProtection="1">
      <alignment horizontal="center" vertical="center" wrapText="1"/>
      <protection hidden="1"/>
    </xf>
    <xf numFmtId="3" fontId="15" fillId="12" borderId="113" xfId="69" applyNumberFormat="1" applyFont="1" applyFill="1" applyBorder="1" applyAlignment="1" applyProtection="1">
      <alignment vertical="center"/>
      <protection hidden="1"/>
    </xf>
    <xf numFmtId="3" fontId="76" fillId="12" borderId="113" xfId="69" applyNumberFormat="1" applyFont="1" applyFill="1" applyBorder="1" applyAlignment="1" applyProtection="1">
      <alignment vertical="center" wrapText="1"/>
      <protection hidden="1"/>
    </xf>
    <xf numFmtId="3" fontId="18" fillId="12" borderId="113" xfId="69" applyNumberFormat="1" applyFont="1" applyFill="1" applyBorder="1" applyAlignment="1" applyProtection="1">
      <alignment horizontal="center" vertical="center" wrapText="1"/>
      <protection hidden="1"/>
    </xf>
    <xf numFmtId="3" fontId="76" fillId="12" borderId="113" xfId="69" applyNumberFormat="1" applyFont="1" applyFill="1" applyBorder="1" applyAlignment="1" applyProtection="1">
      <alignment vertical="center"/>
      <protection hidden="1"/>
    </xf>
    <xf numFmtId="3" fontId="18" fillId="12" borderId="113" xfId="69" applyNumberFormat="1" applyFont="1" applyFill="1" applyBorder="1" applyAlignment="1" applyProtection="1">
      <alignment horizontal="center" vertical="center"/>
      <protection hidden="1"/>
    </xf>
    <xf numFmtId="3" fontId="17" fillId="6" borderId="114" xfId="46" applyNumberFormat="1" applyFont="1" applyFill="1" applyBorder="1" applyAlignment="1">
      <alignment vertical="center" wrapText="1"/>
    </xf>
    <xf numFmtId="3" fontId="17" fillId="3" borderId="114" xfId="46" applyNumberFormat="1" applyFont="1" applyFill="1" applyBorder="1" applyAlignment="1">
      <alignment vertical="center" wrapText="1"/>
    </xf>
    <xf numFmtId="3" fontId="15" fillId="0" borderId="113" xfId="69" applyNumberFormat="1" applyFont="1" applyFill="1" applyBorder="1" applyAlignment="1" applyProtection="1">
      <alignment vertical="center"/>
      <protection hidden="1"/>
    </xf>
    <xf numFmtId="3" fontId="17" fillId="3" borderId="0" xfId="46" applyNumberFormat="1" applyFont="1" applyFill="1" applyBorder="1" applyAlignment="1">
      <alignment horizontal="left" vertical="center" wrapText="1" indent="1"/>
    </xf>
    <xf numFmtId="43" fontId="25" fillId="0" borderId="0" xfId="7" applyFont="1" applyFill="1" applyBorder="1" applyAlignment="1" applyProtection="1">
      <alignment horizontal="center" vertical="center" wrapText="1"/>
      <protection hidden="1"/>
    </xf>
    <xf numFmtId="43" fontId="39" fillId="12" borderId="12" xfId="7" applyFont="1" applyFill="1" applyBorder="1" applyAlignment="1" applyProtection="1">
      <alignment horizontal="center" vertical="center" wrapText="1"/>
      <protection hidden="1"/>
    </xf>
    <xf numFmtId="43" fontId="76" fillId="12" borderId="12" xfId="7" applyFont="1" applyFill="1" applyBorder="1" applyAlignment="1" applyProtection="1">
      <alignment horizontal="center" vertical="center" wrapText="1"/>
      <protection hidden="1"/>
    </xf>
    <xf numFmtId="43" fontId="76" fillId="12" borderId="65" xfId="7" applyFont="1" applyFill="1" applyBorder="1" applyAlignment="1" applyProtection="1">
      <alignment horizontal="center" vertical="center" wrapText="1"/>
      <protection hidden="1"/>
    </xf>
    <xf numFmtId="43" fontId="15" fillId="12" borderId="64" xfId="7" applyFont="1" applyFill="1" applyBorder="1" applyAlignment="1" applyProtection="1">
      <alignment vertical="center"/>
      <protection hidden="1"/>
    </xf>
    <xf numFmtId="43" fontId="15" fillId="0" borderId="0" xfId="7" applyFont="1" applyFill="1" applyBorder="1" applyAlignment="1" applyProtection="1">
      <alignment horizontal="center" vertical="center" wrapText="1"/>
      <protection hidden="1"/>
    </xf>
    <xf numFmtId="43" fontId="76" fillId="12" borderId="64" xfId="7" applyFont="1" applyFill="1" applyBorder="1" applyAlignment="1" applyProtection="1">
      <alignment vertical="center" wrapText="1"/>
      <protection hidden="1"/>
    </xf>
    <xf numFmtId="43" fontId="76" fillId="12" borderId="64" xfId="7" applyFont="1" applyFill="1" applyBorder="1" applyAlignment="1" applyProtection="1">
      <alignment vertical="center"/>
      <protection hidden="1"/>
    </xf>
    <xf numFmtId="43" fontId="18" fillId="12" borderId="64" xfId="7" applyFont="1" applyFill="1" applyBorder="1" applyAlignment="1" applyProtection="1">
      <alignment horizontal="center" vertical="center"/>
      <protection hidden="1"/>
    </xf>
    <xf numFmtId="43" fontId="154" fillId="12" borderId="64" xfId="7" applyFont="1" applyFill="1" applyBorder="1" applyAlignment="1" applyProtection="1">
      <alignment vertical="center" wrapText="1"/>
      <protection hidden="1"/>
    </xf>
    <xf numFmtId="43" fontId="155" fillId="12" borderId="64" xfId="7" applyFont="1" applyFill="1" applyBorder="1" applyAlignment="1" applyProtection="1">
      <alignment vertical="center" wrapText="1"/>
      <protection hidden="1"/>
    </xf>
    <xf numFmtId="43" fontId="15" fillId="0" borderId="0" xfId="7" applyFont="1" applyFill="1" applyAlignment="1" applyProtection="1">
      <alignment vertical="center"/>
      <protection hidden="1"/>
    </xf>
    <xf numFmtId="43" fontId="15" fillId="0" borderId="64" xfId="7" applyFont="1" applyFill="1" applyBorder="1" applyAlignment="1" applyProtection="1">
      <alignment vertical="center"/>
      <protection hidden="1"/>
    </xf>
    <xf numFmtId="43" fontId="163" fillId="0" borderId="64" xfId="7" applyFont="1" applyBorder="1" applyAlignment="1" applyProtection="1">
      <alignment vertical="center"/>
      <protection hidden="1"/>
    </xf>
    <xf numFmtId="9" fontId="60" fillId="0" borderId="6" xfId="14" applyFont="1" applyFill="1" applyBorder="1" applyAlignment="1">
      <alignment horizontal="center" vertical="center" wrapText="1"/>
    </xf>
    <xf numFmtId="9" fontId="17" fillId="0" borderId="65" xfId="14" applyFont="1" applyFill="1" applyBorder="1" applyAlignment="1">
      <alignment horizontal="left" vertical="center" wrapText="1" indent="1"/>
    </xf>
    <xf numFmtId="9" fontId="76" fillId="57" borderId="65" xfId="14" applyFont="1" applyFill="1" applyBorder="1" applyAlignment="1" applyProtection="1">
      <alignment horizontal="center" vertical="center"/>
      <protection hidden="1"/>
    </xf>
    <xf numFmtId="9" fontId="76" fillId="58" borderId="65" xfId="14" applyFont="1" applyFill="1" applyBorder="1" applyAlignment="1">
      <alignment horizontal="center" vertical="center" wrapText="1"/>
    </xf>
    <xf numFmtId="9" fontId="17" fillId="0" borderId="8" xfId="14" applyFont="1" applyFill="1" applyBorder="1" applyAlignment="1">
      <alignment horizontal="left" vertical="center" wrapText="1" indent="1"/>
    </xf>
    <xf numFmtId="9" fontId="17" fillId="0" borderId="6" xfId="14" applyFont="1" applyFill="1" applyBorder="1" applyAlignment="1">
      <alignment horizontal="left" vertical="center" wrapText="1" indent="1"/>
    </xf>
    <xf numFmtId="9" fontId="25" fillId="0" borderId="114" xfId="14" applyFont="1" applyFill="1" applyBorder="1" applyAlignment="1">
      <alignment horizontal="left" vertical="center" wrapText="1" indent="1"/>
    </xf>
    <xf numFmtId="3" fontId="25" fillId="0" borderId="0" xfId="7" applyNumberFormat="1" applyFont="1" applyFill="1" applyBorder="1" applyAlignment="1" applyProtection="1">
      <alignment horizontal="center" vertical="top" wrapText="1"/>
      <protection hidden="1"/>
    </xf>
    <xf numFmtId="3" fontId="18" fillId="0" borderId="114" xfId="46" applyNumberFormat="1" applyFont="1" applyFill="1" applyBorder="1" applyAlignment="1">
      <alignment horizontal="left" vertical="center" wrapText="1" indent="1"/>
    </xf>
    <xf numFmtId="3" fontId="18" fillId="5" borderId="114" xfId="69" applyNumberFormat="1" applyFont="1" applyFill="1" applyBorder="1" applyAlignment="1" applyProtection="1">
      <alignment vertical="center" wrapText="1"/>
      <protection hidden="1"/>
    </xf>
    <xf numFmtId="3" fontId="18" fillId="5" borderId="116" xfId="69" applyNumberFormat="1" applyFont="1" applyFill="1" applyBorder="1" applyAlignment="1" applyProtection="1">
      <alignment vertical="center" wrapText="1"/>
      <protection hidden="1"/>
    </xf>
    <xf numFmtId="3" fontId="18" fillId="5" borderId="114" xfId="69" applyNumberFormat="1" applyFont="1" applyFill="1" applyBorder="1" applyAlignment="1" applyProtection="1">
      <alignment vertical="top" wrapText="1"/>
      <protection hidden="1"/>
    </xf>
    <xf numFmtId="3" fontId="18" fillId="5" borderId="116" xfId="69" applyNumberFormat="1" applyFont="1" applyFill="1" applyBorder="1" applyAlignment="1" applyProtection="1">
      <alignment vertical="top" wrapText="1"/>
      <protection hidden="1"/>
    </xf>
    <xf numFmtId="3" fontId="18" fillId="5" borderId="118" xfId="69" applyNumberFormat="1" applyFont="1" applyFill="1" applyBorder="1" applyAlignment="1" applyProtection="1">
      <alignment vertical="top" wrapText="1"/>
      <protection hidden="1"/>
    </xf>
    <xf numFmtId="3" fontId="18" fillId="5" borderId="114" xfId="69" applyNumberFormat="1" applyFont="1" applyFill="1" applyBorder="1" applyAlignment="1" applyProtection="1">
      <alignment vertical="top"/>
      <protection hidden="1"/>
    </xf>
    <xf numFmtId="3" fontId="18" fillId="5" borderId="116" xfId="69" applyNumberFormat="1" applyFont="1" applyFill="1" applyBorder="1" applyAlignment="1" applyProtection="1">
      <alignment vertical="top"/>
      <protection hidden="1"/>
    </xf>
    <xf numFmtId="3" fontId="18" fillId="5" borderId="118" xfId="69" applyNumberFormat="1" applyFont="1" applyFill="1" applyBorder="1" applyAlignment="1" applyProtection="1">
      <alignment vertical="top"/>
      <protection hidden="1"/>
    </xf>
    <xf numFmtId="3" fontId="18" fillId="5" borderId="117" xfId="69" applyNumberFormat="1" applyFont="1" applyFill="1" applyBorder="1" applyAlignment="1" applyProtection="1">
      <alignment vertical="center" wrapText="1"/>
      <protection hidden="1"/>
    </xf>
    <xf numFmtId="3" fontId="18" fillId="5" borderId="20" xfId="69" applyNumberFormat="1" applyFont="1" applyFill="1" applyBorder="1" applyAlignment="1" applyProtection="1">
      <alignment vertical="center" wrapText="1"/>
      <protection hidden="1"/>
    </xf>
    <xf numFmtId="3" fontId="18" fillId="5" borderId="112" xfId="69" applyNumberFormat="1" applyFont="1" applyFill="1" applyBorder="1" applyAlignment="1" applyProtection="1">
      <alignment vertical="center" wrapText="1"/>
      <protection hidden="1"/>
    </xf>
    <xf numFmtId="9" fontId="14" fillId="0" borderId="0" xfId="14" applyFont="1" applyBorder="1" applyAlignment="1">
      <alignment horizontal="left" vertical="center" wrapText="1" indent="1"/>
    </xf>
    <xf numFmtId="3" fontId="18" fillId="12" borderId="92" xfId="69" applyNumberFormat="1" applyFont="1" applyFill="1" applyBorder="1" applyAlignment="1" applyProtection="1">
      <alignment horizontal="center" vertical="center"/>
      <protection hidden="1"/>
    </xf>
    <xf numFmtId="3" fontId="25" fillId="0" borderId="0" xfId="14" applyNumberFormat="1" applyFont="1" applyBorder="1" applyAlignment="1">
      <alignment horizontal="left" vertical="center" wrapText="1" indent="1"/>
    </xf>
    <xf numFmtId="3" fontId="39" fillId="5" borderId="113" xfId="69" applyNumberFormat="1" applyFont="1" applyFill="1" applyBorder="1" applyAlignment="1">
      <alignment horizontal="center" vertical="center" wrapText="1"/>
    </xf>
    <xf numFmtId="3" fontId="15" fillId="5" borderId="113" xfId="69" applyNumberFormat="1" applyFont="1" applyFill="1" applyBorder="1" applyAlignment="1">
      <alignment horizontal="center" vertical="center" wrapText="1"/>
    </xf>
    <xf numFmtId="3" fontId="76" fillId="6" borderId="114" xfId="69" applyNumberFormat="1" applyFont="1" applyFill="1" applyBorder="1" applyAlignment="1">
      <alignment vertical="center" wrapText="1"/>
    </xf>
    <xf numFmtId="3" fontId="15" fillId="6" borderId="114" xfId="69" applyNumberFormat="1" applyFont="1" applyFill="1" applyBorder="1" applyAlignment="1">
      <alignment vertical="center" wrapText="1"/>
    </xf>
    <xf numFmtId="3" fontId="15" fillId="58" borderId="114" xfId="69" applyNumberFormat="1" applyFont="1" applyFill="1" applyBorder="1" applyAlignment="1">
      <alignment vertical="center" wrapText="1"/>
    </xf>
    <xf numFmtId="3" fontId="76" fillId="57" borderId="114" xfId="69" applyNumberFormat="1" applyFont="1" applyFill="1" applyBorder="1" applyAlignment="1" applyProtection="1">
      <alignment horizontal="center" vertical="center"/>
      <protection hidden="1"/>
    </xf>
    <xf numFmtId="3" fontId="76" fillId="5" borderId="113" xfId="7" applyNumberFormat="1" applyFont="1" applyFill="1" applyBorder="1" applyAlignment="1" applyProtection="1">
      <alignment vertical="center"/>
      <protection hidden="1"/>
    </xf>
    <xf numFmtId="3" fontId="15" fillId="5" borderId="113" xfId="69" applyNumberFormat="1" applyFont="1" applyFill="1" applyBorder="1" applyAlignment="1" applyProtection="1">
      <alignment vertical="center"/>
      <protection hidden="1"/>
    </xf>
    <xf numFmtId="3" fontId="76" fillId="5" borderId="113" xfId="69" applyNumberFormat="1" applyFont="1" applyFill="1" applyBorder="1" applyAlignment="1" applyProtection="1">
      <alignment vertical="center"/>
      <protection hidden="1"/>
    </xf>
    <xf numFmtId="3" fontId="39" fillId="4" borderId="113" xfId="69" applyNumberFormat="1" applyFont="1" applyFill="1" applyBorder="1" applyAlignment="1">
      <alignment horizontal="center" vertical="center" wrapText="1"/>
    </xf>
    <xf numFmtId="3" fontId="76" fillId="5" borderId="113" xfId="69" applyNumberFormat="1" applyFont="1" applyFill="1" applyBorder="1" applyAlignment="1">
      <alignment horizontal="center" vertical="center" wrapText="1"/>
    </xf>
    <xf numFmtId="3" fontId="15" fillId="58" borderId="113" xfId="69" applyNumberFormat="1" applyFont="1" applyFill="1" applyBorder="1" applyAlignment="1" applyProtection="1">
      <alignment vertical="center"/>
      <protection hidden="1"/>
    </xf>
    <xf numFmtId="3" fontId="76" fillId="57" borderId="113" xfId="69" applyNumberFormat="1" applyFont="1" applyFill="1" applyBorder="1" applyAlignment="1" applyProtection="1">
      <alignment vertical="center"/>
      <protection hidden="1"/>
    </xf>
    <xf numFmtId="3" fontId="76" fillId="6" borderId="113" xfId="69" applyNumberFormat="1" applyFont="1" applyFill="1" applyBorder="1" applyAlignment="1" applyProtection="1">
      <alignment vertical="center"/>
      <protection hidden="1"/>
    </xf>
    <xf numFmtId="3" fontId="76" fillId="58" borderId="113" xfId="69" applyNumberFormat="1" applyFont="1" applyFill="1" applyBorder="1" applyAlignment="1" applyProtection="1">
      <alignment vertical="center"/>
      <protection hidden="1"/>
    </xf>
    <xf numFmtId="3" fontId="76" fillId="6" borderId="92" xfId="118" applyNumberFormat="1" applyFont="1" applyFill="1" applyBorder="1" applyAlignment="1">
      <alignment horizontal="center" vertical="center" wrapText="1"/>
    </xf>
    <xf numFmtId="3" fontId="15" fillId="6" borderId="113" xfId="69" applyNumberFormat="1" applyFont="1" applyFill="1" applyBorder="1" applyAlignment="1" applyProtection="1">
      <alignment vertical="center"/>
      <protection hidden="1"/>
    </xf>
    <xf numFmtId="3" fontId="39" fillId="61" borderId="113" xfId="69" applyNumberFormat="1" applyFont="1" applyFill="1" applyBorder="1" applyAlignment="1" applyProtection="1">
      <alignment vertical="center"/>
      <protection hidden="1"/>
    </xf>
    <xf numFmtId="3" fontId="76" fillId="61" borderId="113" xfId="69" applyNumberFormat="1" applyFont="1" applyFill="1" applyBorder="1" applyAlignment="1" applyProtection="1">
      <alignment vertical="center"/>
      <protection hidden="1"/>
    </xf>
    <xf numFmtId="3" fontId="155" fillId="61" borderId="113" xfId="69" applyNumberFormat="1" applyFont="1" applyFill="1" applyBorder="1" applyAlignment="1" applyProtection="1">
      <alignment vertical="center"/>
      <protection hidden="1"/>
    </xf>
    <xf numFmtId="3" fontId="18" fillId="61" borderId="113" xfId="69" applyNumberFormat="1" applyFont="1" applyFill="1" applyBorder="1" applyAlignment="1" applyProtection="1">
      <alignment vertical="center"/>
      <protection hidden="1"/>
    </xf>
    <xf numFmtId="3" fontId="15" fillId="61" borderId="113" xfId="69" applyNumberFormat="1" applyFont="1" applyFill="1" applyBorder="1" applyAlignment="1" applyProtection="1">
      <alignment vertical="center"/>
      <protection hidden="1"/>
    </xf>
    <xf numFmtId="3" fontId="76" fillId="62" borderId="113" xfId="69" applyNumberFormat="1" applyFont="1" applyFill="1" applyBorder="1" applyAlignment="1" applyProtection="1">
      <alignment vertical="center"/>
      <protection hidden="1"/>
    </xf>
    <xf numFmtId="3" fontId="39" fillId="62" borderId="113" xfId="69" applyNumberFormat="1" applyFont="1" applyFill="1" applyBorder="1" applyAlignment="1" applyProtection="1">
      <alignment vertical="center"/>
      <protection hidden="1"/>
    </xf>
    <xf numFmtId="3" fontId="18" fillId="0" borderId="116" xfId="46" applyNumberFormat="1" applyFont="1" applyFill="1" applyBorder="1" applyAlignment="1">
      <alignment horizontal="left" vertical="center" wrapText="1" indent="1"/>
    </xf>
    <xf numFmtId="3" fontId="163" fillId="0" borderId="113" xfId="69" applyNumberFormat="1" applyFont="1" applyFill="1" applyBorder="1" applyAlignment="1" applyProtection="1">
      <alignment vertical="center"/>
      <protection hidden="1"/>
    </xf>
    <xf numFmtId="3" fontId="39" fillId="5" borderId="113" xfId="69" applyNumberFormat="1" applyFont="1" applyFill="1" applyBorder="1" applyAlignment="1" applyProtection="1">
      <alignment vertical="center"/>
      <protection hidden="1"/>
    </xf>
    <xf numFmtId="172" fontId="11" fillId="0" borderId="76" xfId="285" applyNumberFormat="1" applyFont="1" applyBorder="1" applyAlignment="1">
      <alignment vertical="center" wrapText="1"/>
    </xf>
    <xf numFmtId="9" fontId="11" fillId="58" borderId="76" xfId="112" applyFont="1" applyFill="1" applyBorder="1"/>
    <xf numFmtId="172" fontId="24" fillId="12" borderId="116" xfId="0" applyNumberFormat="1" applyFont="1" applyFill="1" applyBorder="1"/>
    <xf numFmtId="0" fontId="27" fillId="58" borderId="113" xfId="0" applyFont="1" applyFill="1" applyBorder="1"/>
    <xf numFmtId="172" fontId="7" fillId="58" borderId="113" xfId="285" applyNumberFormat="1" applyFont="1" applyFill="1" applyBorder="1"/>
    <xf numFmtId="0" fontId="27" fillId="6" borderId="113" xfId="0" applyFont="1" applyFill="1" applyBorder="1"/>
    <xf numFmtId="172" fontId="7" fillId="6" borderId="113" xfId="285" applyNumberFormat="1" applyFont="1" applyFill="1" applyBorder="1"/>
    <xf numFmtId="0" fontId="12" fillId="62" borderId="113" xfId="0" applyFont="1" applyFill="1" applyBorder="1"/>
    <xf numFmtId="172" fontId="7" fillId="62" borderId="113" xfId="285" applyNumberFormat="1" applyFont="1" applyFill="1" applyBorder="1"/>
    <xf numFmtId="43" fontId="18" fillId="12" borderId="64" xfId="7" applyFont="1" applyFill="1" applyBorder="1" applyAlignment="1" applyProtection="1">
      <alignment horizontal="center" vertical="center" wrapText="1"/>
      <protection hidden="1"/>
    </xf>
    <xf numFmtId="3" fontId="15" fillId="0" borderId="113" xfId="46" applyNumberFormat="1" applyFont="1" applyBorder="1" applyAlignment="1">
      <alignment horizontal="center" vertical="center"/>
    </xf>
    <xf numFmtId="9" fontId="25" fillId="0" borderId="1" xfId="14" applyFont="1" applyFill="1" applyBorder="1" applyAlignment="1" applyProtection="1">
      <alignment horizontal="center" vertical="top" wrapText="1"/>
      <protection hidden="1"/>
    </xf>
    <xf numFmtId="9" fontId="16" fillId="0" borderId="0" xfId="14" applyFont="1" applyFill="1" applyBorder="1" applyAlignment="1" applyProtection="1">
      <alignment vertical="center" wrapText="1"/>
      <protection hidden="1"/>
    </xf>
    <xf numFmtId="172" fontId="0" fillId="58" borderId="76" xfId="0" applyNumberFormat="1" applyFill="1" applyBorder="1"/>
    <xf numFmtId="41" fontId="0" fillId="0" borderId="113" xfId="0" applyNumberFormat="1" applyFill="1" applyBorder="1"/>
    <xf numFmtId="0" fontId="0" fillId="0" borderId="113" xfId="0" applyFont="1" applyFill="1" applyBorder="1" applyAlignment="1">
      <alignment horizontal="center"/>
    </xf>
    <xf numFmtId="0" fontId="12" fillId="4" borderId="0" xfId="0" applyFont="1" applyFill="1" applyAlignment="1"/>
    <xf numFmtId="0" fontId="12" fillId="4" borderId="64" xfId="0" applyFont="1" applyFill="1" applyBorder="1" applyAlignment="1">
      <alignment horizontal="center"/>
    </xf>
    <xf numFmtId="0" fontId="75" fillId="4" borderId="64" xfId="0" applyFont="1" applyFill="1" applyBorder="1" applyAlignment="1">
      <alignment horizontal="center" vertical="center" wrapText="1"/>
    </xf>
    <xf numFmtId="0" fontId="12" fillId="4" borderId="67" xfId="0" applyFont="1" applyFill="1" applyBorder="1" applyAlignment="1">
      <alignment horizontal="center" vertical="center" wrapText="1"/>
    </xf>
    <xf numFmtId="0" fontId="12" fillId="4" borderId="0" xfId="0" applyFont="1" applyFill="1"/>
    <xf numFmtId="0" fontId="12" fillId="4" borderId="64" xfId="0" applyFont="1" applyFill="1" applyBorder="1"/>
    <xf numFmtId="176" fontId="12" fillId="4" borderId="64" xfId="0" applyNumberFormat="1" applyFont="1" applyFill="1" applyBorder="1" applyAlignment="1">
      <alignment horizontal="center" vertical="center" wrapText="1"/>
    </xf>
    <xf numFmtId="172" fontId="12" fillId="4" borderId="64" xfId="285" applyNumberFormat="1" applyFont="1" applyFill="1" applyBorder="1" applyAlignment="1">
      <alignment horizontal="center" vertical="center" wrapText="1"/>
    </xf>
    <xf numFmtId="172" fontId="16" fillId="4" borderId="64" xfId="285" applyNumberFormat="1" applyFont="1" applyFill="1" applyBorder="1" applyAlignment="1">
      <alignment horizontal="center" vertical="center" wrapText="1"/>
    </xf>
    <xf numFmtId="43" fontId="16" fillId="4" borderId="64" xfId="7" applyFont="1" applyFill="1" applyBorder="1" applyAlignment="1">
      <alignment horizontal="center" vertical="center" wrapText="1"/>
    </xf>
    <xf numFmtId="172" fontId="75" fillId="4" borderId="64" xfId="285" applyNumberFormat="1" applyFont="1" applyFill="1" applyBorder="1" applyAlignment="1">
      <alignment horizontal="center" vertical="center" wrapText="1"/>
    </xf>
    <xf numFmtId="9" fontId="40" fillId="4" borderId="64" xfId="14" applyFont="1" applyFill="1" applyBorder="1" applyAlignment="1">
      <alignment horizontal="center" vertical="center" wrapText="1"/>
    </xf>
    <xf numFmtId="173" fontId="75" fillId="4" borderId="64" xfId="7" applyNumberFormat="1" applyFont="1" applyFill="1" applyBorder="1" applyAlignment="1">
      <alignment horizontal="center" vertical="center" wrapText="1"/>
    </xf>
    <xf numFmtId="9" fontId="75" fillId="4" borderId="64" xfId="14" applyFont="1" applyFill="1" applyBorder="1" applyAlignment="1">
      <alignment horizontal="center" vertical="center" wrapText="1"/>
    </xf>
    <xf numFmtId="43" fontId="40" fillId="4" borderId="64" xfId="7" applyFont="1" applyFill="1" applyBorder="1" applyAlignment="1">
      <alignment horizontal="center" vertical="center" wrapText="1"/>
    </xf>
    <xf numFmtId="172" fontId="16" fillId="4" borderId="67" xfId="285" applyNumberFormat="1" applyFont="1" applyFill="1" applyBorder="1" applyAlignment="1">
      <alignment horizontal="center" vertical="center" wrapText="1"/>
    </xf>
    <xf numFmtId="0" fontId="0" fillId="4" borderId="0" xfId="0" applyFill="1"/>
    <xf numFmtId="173" fontId="1" fillId="4" borderId="64" xfId="7" applyNumberFormat="1" applyFont="1" applyFill="1" applyBorder="1" applyAlignment="1">
      <alignment horizontal="left"/>
    </xf>
    <xf numFmtId="173" fontId="16" fillId="4" borderId="64" xfId="7" applyNumberFormat="1" applyFont="1" applyFill="1" applyBorder="1" applyAlignment="1">
      <alignment horizontal="left" vertical="center" wrapText="1" indent="1"/>
    </xf>
    <xf numFmtId="0" fontId="16" fillId="4" borderId="64" xfId="6" applyFont="1" applyFill="1" applyBorder="1" applyAlignment="1">
      <alignment horizontal="center" vertical="center" wrapText="1"/>
    </xf>
    <xf numFmtId="9" fontId="36" fillId="4" borderId="64" xfId="0" applyNumberFormat="1" applyFont="1" applyFill="1" applyBorder="1" applyAlignment="1"/>
    <xf numFmtId="41" fontId="21" fillId="4" borderId="64" xfId="0" applyNumberFormat="1" applyFont="1" applyFill="1" applyBorder="1" applyAlignment="1">
      <alignment vertical="top"/>
    </xf>
    <xf numFmtId="41" fontId="11" fillId="4" borderId="64" xfId="0" applyNumberFormat="1" applyFont="1" applyFill="1" applyBorder="1" applyAlignment="1">
      <alignment vertical="top"/>
    </xf>
    <xf numFmtId="41" fontId="23" fillId="4" borderId="64" xfId="0" applyNumberFormat="1" applyFont="1" applyFill="1" applyBorder="1" applyAlignment="1">
      <alignment vertical="top"/>
    </xf>
    <xf numFmtId="0" fontId="16" fillId="4" borderId="64" xfId="6" applyFont="1" applyFill="1" applyBorder="1" applyAlignment="1">
      <alignment horizontal="left" vertical="center" wrapText="1" indent="1"/>
    </xf>
    <xf numFmtId="0" fontId="17" fillId="4" borderId="64" xfId="6" applyFont="1" applyFill="1" applyBorder="1" applyAlignment="1">
      <alignment horizontal="center" vertical="center" wrapText="1"/>
    </xf>
    <xf numFmtId="41" fontId="14" fillId="4" borderId="64" xfId="0" applyNumberFormat="1" applyFont="1" applyFill="1" applyBorder="1" applyAlignment="1">
      <alignment vertical="top"/>
    </xf>
    <xf numFmtId="0" fontId="7" fillId="4" borderId="0" xfId="0" applyFont="1" applyFill="1"/>
    <xf numFmtId="43" fontId="25" fillId="4" borderId="65" xfId="7" applyNumberFormat="1" applyFont="1" applyFill="1" applyBorder="1" applyAlignment="1">
      <alignment horizontal="left" vertical="center" wrapText="1" indent="1"/>
    </xf>
    <xf numFmtId="41" fontId="7" fillId="4" borderId="64" xfId="0" applyNumberFormat="1" applyFont="1" applyFill="1" applyBorder="1" applyAlignment="1">
      <alignment vertical="top"/>
    </xf>
    <xf numFmtId="41" fontId="7" fillId="4" borderId="0" xfId="0" applyNumberFormat="1" applyFont="1" applyFill="1"/>
    <xf numFmtId="43" fontId="25" fillId="4" borderId="64" xfId="7" applyNumberFormat="1" applyFont="1" applyFill="1" applyBorder="1" applyAlignment="1">
      <alignment horizontal="left" vertical="center" wrapText="1" indent="1"/>
    </xf>
    <xf numFmtId="3" fontId="14" fillId="4" borderId="2" xfId="46" applyNumberFormat="1" applyFont="1" applyFill="1" applyBorder="1" applyAlignment="1">
      <alignment horizontal="left" vertical="center" indent="1"/>
    </xf>
    <xf numFmtId="3" fontId="14" fillId="4" borderId="2" xfId="46" applyNumberFormat="1" applyFont="1" applyFill="1" applyBorder="1" applyAlignment="1">
      <alignment horizontal="left" vertical="center" wrapText="1" indent="1"/>
    </xf>
    <xf numFmtId="3" fontId="15" fillId="4" borderId="0" xfId="46" applyNumberFormat="1" applyFont="1" applyFill="1"/>
    <xf numFmtId="3" fontId="14" fillId="4" borderId="0" xfId="46" applyNumberFormat="1" applyFont="1" applyFill="1" applyBorder="1" applyAlignment="1">
      <alignment horizontal="left" vertical="center" wrapText="1" indent="1"/>
    </xf>
    <xf numFmtId="3" fontId="38" fillId="4" borderId="0" xfId="46" applyNumberFormat="1" applyFont="1" applyFill="1"/>
    <xf numFmtId="3" fontId="25" fillId="4" borderId="1" xfId="7" applyNumberFormat="1" applyFont="1" applyFill="1" applyBorder="1" applyAlignment="1" applyProtection="1">
      <alignment horizontal="center" vertical="center" wrapText="1"/>
      <protection hidden="1"/>
    </xf>
    <xf numFmtId="3" fontId="15" fillId="4" borderId="1" xfId="69" applyNumberFormat="1" applyFont="1" applyFill="1" applyBorder="1" applyAlignment="1" applyProtection="1">
      <alignment horizontal="center" vertical="center" wrapText="1"/>
      <protection hidden="1"/>
    </xf>
    <xf numFmtId="3" fontId="18" fillId="4" borderId="74" xfId="69" applyNumberFormat="1" applyFont="1" applyFill="1" applyBorder="1" applyAlignment="1" applyProtection="1">
      <alignment vertical="center" wrapText="1"/>
      <protection hidden="1"/>
    </xf>
    <xf numFmtId="3" fontId="18" fillId="4" borderId="77" xfId="69" applyNumberFormat="1" applyFont="1" applyFill="1" applyBorder="1" applyAlignment="1" applyProtection="1">
      <alignment vertical="center" wrapText="1"/>
      <protection hidden="1"/>
    </xf>
    <xf numFmtId="3" fontId="18" fillId="4" borderId="114" xfId="69" applyNumberFormat="1" applyFont="1" applyFill="1" applyBorder="1" applyAlignment="1" applyProtection="1">
      <alignment vertical="center" wrapText="1"/>
      <protection hidden="1"/>
    </xf>
    <xf numFmtId="3" fontId="18" fillId="4" borderId="66" xfId="69" applyNumberFormat="1" applyFont="1" applyFill="1" applyBorder="1" applyAlignment="1" applyProtection="1">
      <alignment vertical="center" wrapText="1"/>
      <protection hidden="1"/>
    </xf>
    <xf numFmtId="3" fontId="18" fillId="4" borderId="65" xfId="69" applyNumberFormat="1" applyFont="1" applyFill="1" applyBorder="1" applyAlignment="1" applyProtection="1">
      <alignment vertical="center" wrapText="1"/>
      <protection hidden="1"/>
    </xf>
    <xf numFmtId="3" fontId="18" fillId="4" borderId="67" xfId="69" applyNumberFormat="1" applyFont="1" applyFill="1" applyBorder="1" applyAlignment="1" applyProtection="1">
      <alignment vertical="center" wrapText="1"/>
      <protection hidden="1"/>
    </xf>
    <xf numFmtId="3" fontId="38" fillId="4" borderId="0" xfId="69" applyNumberFormat="1" applyFont="1" applyFill="1" applyAlignment="1" applyProtection="1">
      <alignment vertical="center"/>
      <protection hidden="1"/>
    </xf>
    <xf numFmtId="3" fontId="25" fillId="4" borderId="1" xfId="7" applyNumberFormat="1" applyFont="1" applyFill="1" applyBorder="1" applyAlignment="1" applyProtection="1">
      <alignment horizontal="center" vertical="top" wrapText="1"/>
      <protection hidden="1"/>
    </xf>
    <xf numFmtId="3" fontId="15" fillId="4" borderId="1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74" xfId="69" applyNumberFormat="1" applyFont="1" applyFill="1" applyBorder="1" applyAlignment="1" applyProtection="1">
      <alignment vertical="top" wrapText="1"/>
      <protection hidden="1"/>
    </xf>
    <xf numFmtId="3" fontId="18" fillId="4" borderId="77" xfId="69" applyNumberFormat="1" applyFont="1" applyFill="1" applyBorder="1" applyAlignment="1" applyProtection="1">
      <alignment vertical="top" wrapText="1"/>
      <protection hidden="1"/>
    </xf>
    <xf numFmtId="3" fontId="18" fillId="4" borderId="75" xfId="69" applyNumberFormat="1" applyFont="1" applyFill="1" applyBorder="1" applyAlignment="1" applyProtection="1">
      <alignment vertical="top" wrapText="1"/>
      <protection hidden="1"/>
    </xf>
    <xf numFmtId="3" fontId="18" fillId="4" borderId="114" xfId="69" applyNumberFormat="1" applyFont="1" applyFill="1" applyBorder="1" applyAlignment="1" applyProtection="1">
      <alignment vertical="top"/>
      <protection hidden="1"/>
    </xf>
    <xf numFmtId="3" fontId="15" fillId="4" borderId="0" xfId="69" applyNumberFormat="1" applyFont="1" applyFill="1" applyAlignment="1" applyProtection="1">
      <alignment horizontal="center" vertical="top" wrapText="1"/>
      <protection hidden="1"/>
    </xf>
    <xf numFmtId="3" fontId="18" fillId="4" borderId="12" xfId="69" applyNumberFormat="1" applyFont="1" applyFill="1" applyBorder="1" applyAlignment="1" applyProtection="1">
      <alignment horizontal="center" vertical="center" wrapText="1"/>
      <protection hidden="1"/>
    </xf>
    <xf numFmtId="3" fontId="25" fillId="4" borderId="64" xfId="69" applyNumberFormat="1" applyFont="1" applyFill="1" applyBorder="1" applyAlignment="1" applyProtection="1">
      <alignment vertical="center" wrapText="1"/>
      <protection hidden="1"/>
    </xf>
    <xf numFmtId="3" fontId="15" fillId="4" borderId="64" xfId="69" applyNumberFormat="1" applyFont="1" applyFill="1" applyBorder="1" applyAlignment="1" applyProtection="1">
      <alignment vertical="center"/>
      <protection hidden="1"/>
    </xf>
    <xf numFmtId="3" fontId="18" fillId="4" borderId="75" xfId="69" applyNumberFormat="1" applyFont="1" applyFill="1" applyBorder="1" applyAlignment="1" applyProtection="1">
      <alignment vertical="center" wrapText="1"/>
      <protection hidden="1"/>
    </xf>
    <xf numFmtId="3" fontId="18" fillId="4" borderId="6" xfId="69" applyNumberFormat="1" applyFont="1" applyFill="1" applyBorder="1" applyAlignment="1" applyProtection="1">
      <alignment horizontal="center" vertical="center" wrapText="1"/>
      <protection hidden="1"/>
    </xf>
    <xf numFmtId="3" fontId="15" fillId="4" borderId="64" xfId="69" applyNumberFormat="1" applyFont="1" applyFill="1" applyBorder="1" applyAlignment="1" applyProtection="1">
      <alignment vertical="center" wrapText="1"/>
      <protection hidden="1"/>
    </xf>
    <xf numFmtId="3" fontId="18" fillId="4" borderId="64" xfId="69" applyNumberFormat="1" applyFont="1" applyFill="1" applyBorder="1" applyAlignment="1" applyProtection="1">
      <alignment vertical="center" wrapText="1"/>
      <protection hidden="1"/>
    </xf>
    <xf numFmtId="3" fontId="31" fillId="4" borderId="64" xfId="71" applyNumberFormat="1" applyFont="1" applyFill="1" applyBorder="1" applyAlignment="1">
      <alignment horizontal="center" vertical="center" wrapText="1"/>
    </xf>
    <xf numFmtId="3" fontId="15" fillId="4" borderId="0" xfId="69" applyNumberFormat="1" applyFont="1" applyFill="1" applyAlignment="1" applyProtection="1">
      <alignment vertical="center"/>
      <protection hidden="1"/>
    </xf>
    <xf numFmtId="3" fontId="16" fillId="4" borderId="0" xfId="7" applyNumberFormat="1" applyFont="1" applyFill="1" applyBorder="1" applyAlignment="1" applyProtection="1">
      <alignment vertical="center" wrapText="1"/>
      <protection hidden="1"/>
    </xf>
    <xf numFmtId="3" fontId="16" fillId="4" borderId="12" xfId="69" applyNumberFormat="1" applyFont="1" applyFill="1" applyBorder="1" applyAlignment="1" applyProtection="1">
      <alignment vertical="center" wrapText="1"/>
      <protection hidden="1"/>
    </xf>
    <xf numFmtId="3" fontId="16" fillId="4" borderId="65" xfId="69" applyNumberFormat="1" applyFont="1" applyFill="1" applyBorder="1" applyAlignment="1" applyProtection="1">
      <alignment vertical="center" wrapText="1"/>
      <protection hidden="1"/>
    </xf>
    <xf numFmtId="3" fontId="16" fillId="4" borderId="65" xfId="69" applyNumberFormat="1" applyFont="1" applyFill="1" applyBorder="1" applyAlignment="1" applyProtection="1">
      <alignment horizontal="center" vertical="center" wrapText="1"/>
      <protection hidden="1"/>
    </xf>
    <xf numFmtId="3" fontId="16" fillId="4" borderId="64" xfId="69" applyNumberFormat="1" applyFont="1" applyFill="1" applyBorder="1" applyAlignment="1" applyProtection="1">
      <alignment vertical="center"/>
      <protection hidden="1"/>
    </xf>
    <xf numFmtId="3" fontId="16" fillId="4" borderId="0" xfId="69" applyNumberFormat="1" applyFont="1" applyFill="1" applyBorder="1" applyAlignment="1" applyProtection="1">
      <alignment vertical="center" wrapText="1"/>
      <protection hidden="1"/>
    </xf>
    <xf numFmtId="3" fontId="162" fillId="4" borderId="64" xfId="69" applyNumberFormat="1" applyFont="1" applyFill="1" applyBorder="1" applyAlignment="1" applyProtection="1">
      <alignment vertical="center" wrapText="1"/>
      <protection hidden="1"/>
    </xf>
    <xf numFmtId="3" fontId="162" fillId="4" borderId="64" xfId="69" applyNumberFormat="1" applyFont="1" applyFill="1" applyBorder="1" applyAlignment="1" applyProtection="1">
      <alignment vertical="center"/>
      <protection hidden="1"/>
    </xf>
    <xf numFmtId="3" fontId="16" fillId="4" borderId="13" xfId="69" applyNumberFormat="1" applyFont="1" applyFill="1" applyBorder="1" applyAlignment="1" applyProtection="1">
      <alignment vertical="center" wrapText="1"/>
      <protection hidden="1"/>
    </xf>
    <xf numFmtId="3" fontId="16" fillId="4" borderId="13" xfId="69" applyNumberFormat="1" applyFont="1" applyFill="1" applyBorder="1" applyAlignment="1" applyProtection="1">
      <alignment horizontal="center" vertical="center" wrapText="1"/>
      <protection hidden="1"/>
    </xf>
    <xf numFmtId="3" fontId="16" fillId="4" borderId="64" xfId="69" applyNumberFormat="1" applyFont="1" applyFill="1" applyBorder="1" applyAlignment="1" applyProtection="1">
      <alignment horizontal="center" vertical="center"/>
      <protection hidden="1"/>
    </xf>
    <xf numFmtId="3" fontId="12" fillId="4" borderId="64" xfId="0" applyNumberFormat="1" applyFont="1" applyFill="1" applyBorder="1" applyAlignment="1">
      <alignment horizontal="center" vertical="center" wrapText="1"/>
    </xf>
    <xf numFmtId="3" fontId="16" fillId="4" borderId="6" xfId="69" applyNumberFormat="1" applyFont="1" applyFill="1" applyBorder="1" applyAlignment="1" applyProtection="1">
      <alignment vertical="center" wrapText="1"/>
      <protection hidden="1"/>
    </xf>
    <xf numFmtId="3" fontId="12" fillId="4" borderId="64" xfId="71" applyNumberFormat="1" applyFont="1" applyFill="1" applyBorder="1" applyAlignment="1">
      <alignment vertical="center"/>
    </xf>
    <xf numFmtId="3" fontId="12" fillId="4" borderId="64" xfId="71" applyNumberFormat="1" applyFont="1" applyFill="1" applyBorder="1" applyAlignment="1">
      <alignment vertical="center" wrapText="1"/>
    </xf>
    <xf numFmtId="3" fontId="16" fillId="4" borderId="0" xfId="69" applyNumberFormat="1" applyFont="1" applyFill="1" applyAlignment="1" applyProtection="1">
      <alignment vertical="center"/>
      <protection hidden="1"/>
    </xf>
    <xf numFmtId="3" fontId="17" fillId="4" borderId="65" xfId="46" applyNumberFormat="1" applyFont="1" applyFill="1" applyBorder="1" applyAlignment="1">
      <alignment horizontal="left" vertical="center" wrapText="1" indent="1"/>
    </xf>
    <xf numFmtId="3" fontId="25" fillId="4" borderId="0" xfId="14" applyNumberFormat="1" applyFont="1" applyFill="1" applyBorder="1" applyAlignment="1" applyProtection="1">
      <alignment horizontal="center" vertical="center" wrapText="1"/>
      <protection hidden="1"/>
    </xf>
    <xf numFmtId="3" fontId="39" fillId="4" borderId="12" xfId="69" applyNumberFormat="1" applyFont="1" applyFill="1" applyBorder="1" applyAlignment="1" applyProtection="1">
      <alignment horizontal="center" vertical="center" wrapText="1"/>
      <protection hidden="1"/>
    </xf>
    <xf numFmtId="3" fontId="76" fillId="4" borderId="12" xfId="69" applyNumberFormat="1" applyFont="1" applyFill="1" applyBorder="1" applyAlignment="1" applyProtection="1">
      <alignment horizontal="center" vertical="center" wrapText="1"/>
      <protection hidden="1"/>
    </xf>
    <xf numFmtId="3" fontId="76" fillId="4" borderId="65" xfId="69" applyNumberFormat="1" applyFont="1" applyFill="1" applyBorder="1" applyAlignment="1" applyProtection="1">
      <alignment horizontal="center" vertical="center" wrapText="1"/>
      <protection hidden="1"/>
    </xf>
    <xf numFmtId="3" fontId="30" fillId="4" borderId="64" xfId="7" applyNumberFormat="1" applyFont="1" applyFill="1" applyBorder="1" applyAlignment="1" applyProtection="1">
      <alignment vertical="center"/>
      <protection hidden="1"/>
    </xf>
    <xf numFmtId="3" fontId="15" fillId="4" borderId="0" xfId="69" applyNumberFormat="1" applyFont="1" applyFill="1" applyBorder="1" applyAlignment="1" applyProtection="1">
      <alignment horizontal="center" vertical="center" wrapText="1"/>
      <protection hidden="1"/>
    </xf>
    <xf numFmtId="3" fontId="76" fillId="4" borderId="64" xfId="69" applyNumberFormat="1" applyFont="1" applyFill="1" applyBorder="1" applyAlignment="1" applyProtection="1">
      <alignment vertical="center" wrapText="1"/>
      <protection hidden="1"/>
    </xf>
    <xf numFmtId="3" fontId="76" fillId="4" borderId="64" xfId="69" applyNumberFormat="1" applyFont="1" applyFill="1" applyBorder="1" applyAlignment="1" applyProtection="1">
      <alignment vertical="center"/>
      <protection hidden="1"/>
    </xf>
    <xf numFmtId="3" fontId="154" fillId="4" borderId="64" xfId="69" applyNumberFormat="1" applyFont="1" applyFill="1" applyBorder="1" applyAlignment="1" applyProtection="1">
      <alignment vertical="center" wrapText="1"/>
      <protection hidden="1"/>
    </xf>
    <xf numFmtId="3" fontId="155" fillId="4" borderId="64" xfId="69" applyNumberFormat="1" applyFont="1" applyFill="1" applyBorder="1" applyAlignment="1" applyProtection="1">
      <alignment vertical="center" wrapText="1"/>
      <protection hidden="1"/>
    </xf>
    <xf numFmtId="3" fontId="163" fillId="4" borderId="64" xfId="69" applyNumberFormat="1" applyFont="1" applyFill="1" applyBorder="1" applyAlignment="1" applyProtection="1">
      <alignment vertical="center"/>
      <protection hidden="1"/>
    </xf>
    <xf numFmtId="3" fontId="39" fillId="4" borderId="115" xfId="69" applyNumberFormat="1" applyFont="1" applyFill="1" applyBorder="1" applyAlignment="1" applyProtection="1">
      <alignment horizontal="center" vertical="center" wrapText="1"/>
      <protection hidden="1"/>
    </xf>
    <xf numFmtId="3" fontId="76" fillId="4" borderId="115" xfId="69" applyNumberFormat="1" applyFont="1" applyFill="1" applyBorder="1" applyAlignment="1" applyProtection="1">
      <alignment horizontal="center" vertical="center" wrapText="1"/>
      <protection hidden="1"/>
    </xf>
    <xf numFmtId="3" fontId="76" fillId="4" borderId="117" xfId="69" applyNumberFormat="1" applyFont="1" applyFill="1" applyBorder="1" applyAlignment="1" applyProtection="1">
      <alignment horizontal="center" vertical="center" wrapText="1"/>
      <protection hidden="1"/>
    </xf>
    <xf numFmtId="3" fontId="76" fillId="4" borderId="114" xfId="69" applyNumberFormat="1" applyFont="1" applyFill="1" applyBorder="1" applyAlignment="1" applyProtection="1">
      <alignment horizontal="center" vertical="center" wrapText="1"/>
      <protection hidden="1"/>
    </xf>
    <xf numFmtId="3" fontId="76" fillId="4" borderId="113" xfId="69" applyNumberFormat="1" applyFont="1" applyFill="1" applyBorder="1" applyAlignment="1" applyProtection="1">
      <alignment vertical="center" wrapText="1"/>
      <protection hidden="1"/>
    </xf>
    <xf numFmtId="3" fontId="76" fillId="4" borderId="114" xfId="69" applyNumberFormat="1" applyFont="1" applyFill="1" applyBorder="1" applyAlignment="1" applyProtection="1">
      <alignment vertical="center" wrapText="1"/>
      <protection hidden="1"/>
    </xf>
    <xf numFmtId="3" fontId="76" fillId="4" borderId="113" xfId="69" applyNumberFormat="1" applyFont="1" applyFill="1" applyBorder="1" applyAlignment="1" applyProtection="1">
      <alignment vertical="center"/>
      <protection hidden="1"/>
    </xf>
    <xf numFmtId="3" fontId="18" fillId="4" borderId="113" xfId="69" applyNumberFormat="1" applyFont="1" applyFill="1" applyBorder="1" applyAlignment="1" applyProtection="1">
      <alignment horizontal="center" vertical="center"/>
      <protection hidden="1"/>
    </xf>
    <xf numFmtId="3" fontId="76" fillId="4" borderId="15" xfId="69" applyNumberFormat="1" applyFont="1" applyFill="1" applyBorder="1" applyAlignment="1" applyProtection="1">
      <alignment horizontal="center" vertical="center" wrapText="1"/>
      <protection hidden="1"/>
    </xf>
    <xf numFmtId="3" fontId="15" fillId="4" borderId="113" xfId="69" applyNumberFormat="1" applyFont="1" applyFill="1" applyBorder="1" applyAlignment="1" applyProtection="1">
      <alignment vertical="center"/>
      <protection hidden="1"/>
    </xf>
    <xf numFmtId="3" fontId="154" fillId="4" borderId="113" xfId="69" applyNumberFormat="1" applyFont="1" applyFill="1" applyBorder="1" applyAlignment="1" applyProtection="1">
      <alignment vertical="center" wrapText="1"/>
      <protection hidden="1"/>
    </xf>
    <xf numFmtId="3" fontId="155" fillId="4" borderId="113" xfId="69" applyNumberFormat="1" applyFont="1" applyFill="1" applyBorder="1" applyAlignment="1" applyProtection="1">
      <alignment vertical="center" wrapText="1"/>
      <protection hidden="1"/>
    </xf>
    <xf numFmtId="3" fontId="76" fillId="4" borderId="114" xfId="69" applyNumberFormat="1" applyFont="1" applyFill="1" applyBorder="1" applyAlignment="1" applyProtection="1">
      <alignment horizontal="left" vertical="center"/>
      <protection hidden="1"/>
    </xf>
    <xf numFmtId="3" fontId="76" fillId="4" borderId="116" xfId="69" applyNumberFormat="1" applyFont="1" applyFill="1" applyBorder="1" applyAlignment="1" applyProtection="1">
      <alignment horizontal="left" vertical="center"/>
      <protection hidden="1"/>
    </xf>
    <xf numFmtId="3" fontId="76" fillId="4" borderId="118" xfId="69" applyNumberFormat="1" applyFont="1" applyFill="1" applyBorder="1" applyAlignment="1" applyProtection="1">
      <alignment horizontal="left" vertical="center"/>
      <protection hidden="1"/>
    </xf>
    <xf numFmtId="3" fontId="163" fillId="4" borderId="113" xfId="69" applyNumberFormat="1" applyFont="1" applyFill="1" applyBorder="1" applyAlignment="1" applyProtection="1">
      <alignment vertical="center"/>
      <protection hidden="1"/>
    </xf>
    <xf numFmtId="3" fontId="67" fillId="4" borderId="6" xfId="69" applyNumberFormat="1" applyFont="1" applyFill="1" applyBorder="1" applyAlignment="1">
      <alignment horizontal="center" vertical="center" wrapText="1"/>
    </xf>
    <xf numFmtId="3" fontId="12" fillId="4" borderId="65" xfId="46" applyNumberFormat="1" applyFont="1" applyFill="1" applyBorder="1" applyAlignment="1">
      <alignment horizontal="left" vertical="center" wrapText="1" indent="1"/>
    </xf>
    <xf numFmtId="3" fontId="27" fillId="4" borderId="65" xfId="7" applyNumberFormat="1" applyFont="1" applyFill="1" applyBorder="1" applyAlignment="1">
      <alignment horizontal="left" vertical="center" wrapText="1" indent="1"/>
    </xf>
    <xf numFmtId="3" fontId="30" fillId="4" borderId="6" xfId="69" applyNumberFormat="1" applyFont="1" applyFill="1" applyBorder="1" applyAlignment="1">
      <alignment horizontal="center" vertical="center" wrapText="1"/>
    </xf>
    <xf numFmtId="3" fontId="30" fillId="4" borderId="65" xfId="69" applyNumberFormat="1" applyFont="1" applyFill="1" applyBorder="1" applyAlignment="1">
      <alignment vertical="center" wrapText="1"/>
    </xf>
    <xf numFmtId="3" fontId="30" fillId="4" borderId="65" xfId="69" applyNumberFormat="1" applyFont="1" applyFill="1" applyBorder="1" applyAlignment="1" applyProtection="1">
      <alignment horizontal="center" vertical="center"/>
      <protection hidden="1"/>
    </xf>
    <xf numFmtId="3" fontId="30" fillId="4" borderId="65" xfId="46" applyNumberFormat="1" applyFont="1" applyFill="1" applyBorder="1" applyAlignment="1">
      <alignment horizontal="left" vertical="center" wrapText="1" indent="1"/>
    </xf>
    <xf numFmtId="3" fontId="30" fillId="4" borderId="64" xfId="69" applyNumberFormat="1" applyFont="1" applyFill="1" applyBorder="1" applyAlignment="1">
      <alignment horizontal="center" vertical="center" wrapText="1"/>
    </xf>
    <xf numFmtId="3" fontId="30" fillId="4" borderId="64" xfId="69" applyNumberFormat="1" applyFont="1" applyFill="1" applyBorder="1" applyAlignment="1" applyProtection="1">
      <alignment vertical="center"/>
      <protection hidden="1"/>
    </xf>
    <xf numFmtId="3" fontId="30" fillId="4" borderId="13" xfId="118" applyNumberFormat="1" applyFont="1" applyFill="1" applyBorder="1" applyAlignment="1">
      <alignment horizontal="center" vertical="center" wrapText="1"/>
    </xf>
    <xf numFmtId="3" fontId="30" fillId="4" borderId="66" xfId="46" applyNumberFormat="1" applyFont="1" applyFill="1" applyBorder="1" applyAlignment="1">
      <alignment horizontal="left" vertical="center" wrapText="1" indent="1"/>
    </xf>
    <xf numFmtId="3" fontId="30" fillId="4" borderId="0" xfId="69" applyNumberFormat="1" applyFont="1" applyFill="1" applyAlignment="1" applyProtection="1">
      <alignment vertical="center"/>
      <protection hidden="1"/>
    </xf>
    <xf numFmtId="3" fontId="12" fillId="4" borderId="8" xfId="46" applyNumberFormat="1" applyFont="1" applyFill="1" applyBorder="1" applyAlignment="1">
      <alignment horizontal="left" vertical="center" wrapText="1" indent="1"/>
    </xf>
    <xf numFmtId="3" fontId="12" fillId="4" borderId="6" xfId="46" applyNumberFormat="1" applyFont="1" applyFill="1" applyBorder="1" applyAlignment="1">
      <alignment horizontal="left" vertical="center" wrapText="1" indent="1"/>
    </xf>
    <xf numFmtId="3" fontId="27" fillId="4" borderId="64" xfId="7" applyNumberFormat="1" applyFont="1" applyFill="1" applyBorder="1" applyAlignment="1">
      <alignment horizontal="left" vertical="center" wrapText="1" indent="1"/>
    </xf>
    <xf numFmtId="3" fontId="30" fillId="4" borderId="64" xfId="46" applyNumberFormat="1" applyFont="1" applyFill="1" applyBorder="1" applyAlignment="1">
      <alignment horizontal="left" vertical="center" wrapText="1" indent="1"/>
    </xf>
    <xf numFmtId="3" fontId="30" fillId="4" borderId="67" xfId="46" applyNumberFormat="1" applyFont="1" applyFill="1" applyBorder="1" applyAlignment="1">
      <alignment horizontal="left" vertical="center" wrapText="1" indent="1"/>
    </xf>
    <xf numFmtId="3" fontId="15" fillId="4" borderId="76" xfId="7" applyNumberFormat="1" applyFont="1" applyFill="1" applyBorder="1"/>
    <xf numFmtId="3" fontId="15" fillId="4" borderId="76" xfId="46" applyNumberFormat="1" applyFont="1" applyFill="1" applyBorder="1"/>
    <xf numFmtId="0" fontId="14" fillId="0" borderId="113" xfId="46" applyFont="1" applyBorder="1" applyAlignment="1">
      <alignment horizontal="left" vertical="center" indent="1"/>
    </xf>
    <xf numFmtId="39" fontId="0" fillId="0" borderId="113" xfId="81" applyNumberFormat="1" applyFont="1" applyBorder="1"/>
    <xf numFmtId="0" fontId="0" fillId="0" borderId="113" xfId="0" applyFont="1" applyBorder="1" applyAlignment="1">
      <alignment horizontal="center"/>
    </xf>
    <xf numFmtId="0" fontId="7" fillId="0" borderId="64" xfId="0" applyFont="1" applyBorder="1" applyAlignment="1">
      <alignment horizontal="center"/>
    </xf>
    <xf numFmtId="37" fontId="14" fillId="0" borderId="113" xfId="81" applyNumberFormat="1" applyFont="1" applyBorder="1" applyAlignment="1">
      <alignment horizontal="left" vertical="center" indent="1"/>
    </xf>
    <xf numFmtId="3" fontId="38" fillId="6" borderId="64" xfId="69" applyNumberFormat="1" applyFont="1" applyFill="1" applyBorder="1" applyAlignment="1" applyProtection="1">
      <alignment vertical="center"/>
      <protection hidden="1"/>
    </xf>
    <xf numFmtId="0" fontId="223" fillId="0" borderId="0" xfId="46" applyFont="1" applyAlignment="1">
      <alignment horizontal="right"/>
    </xf>
    <xf numFmtId="3" fontId="60" fillId="0" borderId="0" xfId="46" applyNumberFormat="1" applyFont="1" applyFill="1" applyBorder="1" applyAlignment="1">
      <alignment horizontal="center" vertical="center"/>
    </xf>
    <xf numFmtId="0" fontId="14" fillId="0" borderId="0" xfId="13" applyFont="1" applyFill="1" applyAlignment="1">
      <alignment vertical="center" wrapText="1"/>
    </xf>
    <xf numFmtId="0" fontId="23" fillId="0" borderId="0" xfId="13" applyFont="1" applyFill="1" applyAlignment="1">
      <alignment vertical="center"/>
    </xf>
    <xf numFmtId="0" fontId="147" fillId="0" borderId="76" xfId="60" applyFont="1" applyBorder="1" applyAlignment="1">
      <alignment vertical="center"/>
    </xf>
    <xf numFmtId="173" fontId="200" fillId="0" borderId="12" xfId="7" applyNumberFormat="1" applyFont="1" applyFill="1" applyBorder="1" applyAlignment="1">
      <alignment horizontal="left" vertical="top" wrapText="1"/>
    </xf>
    <xf numFmtId="173" fontId="203" fillId="0" borderId="76" xfId="7" applyNumberFormat="1" applyFont="1" applyBorder="1" applyAlignment="1">
      <alignment horizontal="left" vertical="top" wrapText="1"/>
    </xf>
    <xf numFmtId="173" fontId="203" fillId="0" borderId="76" xfId="7" applyNumberFormat="1" applyFont="1" applyFill="1" applyBorder="1" applyAlignment="1">
      <alignment horizontal="left" vertical="top" wrapText="1"/>
    </xf>
    <xf numFmtId="173" fontId="200" fillId="0" borderId="76" xfId="7" applyNumberFormat="1" applyFont="1" applyFill="1" applyBorder="1" applyAlignment="1">
      <alignment horizontal="left" vertical="top" wrapText="1"/>
    </xf>
    <xf numFmtId="173" fontId="200" fillId="0" borderId="18" xfId="7" applyNumberFormat="1" applyFont="1" applyFill="1" applyBorder="1" applyAlignment="1">
      <alignment horizontal="left" vertical="top" wrapText="1"/>
    </xf>
    <xf numFmtId="173" fontId="201" fillId="0" borderId="76" xfId="7" applyNumberFormat="1" applyFont="1" applyFill="1" applyBorder="1" applyAlignment="1">
      <alignment horizontal="left" vertical="top" wrapText="1"/>
    </xf>
    <xf numFmtId="173" fontId="64" fillId="0" borderId="0" xfId="7" applyNumberFormat="1" applyFont="1" applyFill="1"/>
    <xf numFmtId="173" fontId="7" fillId="60" borderId="76" xfId="7" applyNumberFormat="1" applyFont="1" applyFill="1" applyBorder="1"/>
    <xf numFmtId="173" fontId="1" fillId="60" borderId="76" xfId="7" applyNumberFormat="1" applyFont="1" applyFill="1" applyBorder="1"/>
    <xf numFmtId="173" fontId="7" fillId="60" borderId="77" xfId="7" applyNumberFormat="1" applyFont="1" applyFill="1" applyBorder="1"/>
    <xf numFmtId="173" fontId="7" fillId="60" borderId="0" xfId="7" applyNumberFormat="1" applyFont="1" applyFill="1"/>
    <xf numFmtId="173" fontId="7" fillId="0" borderId="0" xfId="7" applyNumberFormat="1" applyFont="1" applyFill="1"/>
    <xf numFmtId="173" fontId="64" fillId="60" borderId="76" xfId="7" applyNumberFormat="1" applyFont="1" applyFill="1" applyBorder="1"/>
    <xf numFmtId="173" fontId="64" fillId="60" borderId="77" xfId="7" applyNumberFormat="1" applyFont="1" applyFill="1" applyBorder="1"/>
    <xf numFmtId="173" fontId="64" fillId="60" borderId="0" xfId="7" applyNumberFormat="1" applyFont="1" applyFill="1"/>
    <xf numFmtId="173" fontId="7" fillId="2" borderId="76" xfId="7" applyNumberFormat="1" applyFont="1" applyFill="1" applyBorder="1"/>
    <xf numFmtId="173" fontId="7" fillId="2" borderId="77" xfId="7" applyNumberFormat="1" applyFont="1" applyFill="1" applyBorder="1"/>
    <xf numFmtId="173" fontId="7" fillId="2" borderId="0" xfId="7" applyNumberFormat="1" applyFont="1" applyFill="1"/>
    <xf numFmtId="173" fontId="64" fillId="2" borderId="76" xfId="7" applyNumberFormat="1" applyFont="1" applyFill="1" applyBorder="1"/>
    <xf numFmtId="173" fontId="64" fillId="2" borderId="77" xfId="7" applyNumberFormat="1" applyFont="1" applyFill="1" applyBorder="1"/>
    <xf numFmtId="173" fontId="64" fillId="2" borderId="0" xfId="7" applyNumberFormat="1" applyFont="1" applyFill="1"/>
    <xf numFmtId="173" fontId="64" fillId="82" borderId="76" xfId="7" applyNumberFormat="1" applyFont="1" applyFill="1" applyBorder="1"/>
    <xf numFmtId="173" fontId="64" fillId="82" borderId="77" xfId="7" applyNumberFormat="1" applyFont="1" applyFill="1" applyBorder="1"/>
    <xf numFmtId="173" fontId="64" fillId="82" borderId="0" xfId="7" applyNumberFormat="1" applyFont="1" applyFill="1"/>
    <xf numFmtId="173" fontId="7" fillId="58" borderId="76" xfId="7" applyNumberFormat="1" applyFont="1" applyFill="1" applyBorder="1"/>
    <xf numFmtId="173" fontId="7" fillId="58" borderId="77" xfId="7" applyNumberFormat="1" applyFont="1" applyFill="1" applyBorder="1"/>
    <xf numFmtId="173" fontId="7" fillId="58" borderId="0" xfId="7" applyNumberFormat="1" applyFont="1" applyFill="1"/>
    <xf numFmtId="173" fontId="64" fillId="58" borderId="76" xfId="7" applyNumberFormat="1" applyFont="1" applyFill="1" applyBorder="1"/>
    <xf numFmtId="173" fontId="64" fillId="58" borderId="77" xfId="7" applyNumberFormat="1" applyFont="1" applyFill="1" applyBorder="1"/>
    <xf numFmtId="173" fontId="64" fillId="58" borderId="0" xfId="7" applyNumberFormat="1" applyFont="1" applyFill="1"/>
    <xf numFmtId="173" fontId="1" fillId="58" borderId="76" xfId="7" applyNumberFormat="1" applyFont="1" applyFill="1" applyBorder="1"/>
    <xf numFmtId="173" fontId="64" fillId="0" borderId="76" xfId="7" applyNumberFormat="1" applyFont="1" applyFill="1" applyBorder="1"/>
    <xf numFmtId="173" fontId="64" fillId="0" borderId="77" xfId="7" applyNumberFormat="1" applyFont="1" applyFill="1" applyBorder="1"/>
    <xf numFmtId="173" fontId="7" fillId="6" borderId="76" xfId="7" applyNumberFormat="1" applyFont="1" applyFill="1" applyBorder="1"/>
    <xf numFmtId="173" fontId="7" fillId="6" borderId="77" xfId="7" applyNumberFormat="1" applyFont="1" applyFill="1" applyBorder="1"/>
    <xf numFmtId="173" fontId="7" fillId="6" borderId="0" xfId="7" applyNumberFormat="1" applyFont="1" applyFill="1"/>
    <xf numFmtId="173" fontId="64" fillId="6" borderId="76" xfId="7" applyNumberFormat="1" applyFont="1" applyFill="1" applyBorder="1"/>
    <xf numFmtId="173" fontId="64" fillId="6" borderId="77" xfId="7" applyNumberFormat="1" applyFont="1" applyFill="1" applyBorder="1"/>
    <xf numFmtId="173" fontId="64" fillId="6" borderId="0" xfId="7" applyNumberFormat="1" applyFont="1" applyFill="1"/>
    <xf numFmtId="173" fontId="1" fillId="6" borderId="76" xfId="7" applyNumberFormat="1" applyFont="1" applyFill="1" applyBorder="1"/>
    <xf numFmtId="173" fontId="64" fillId="84" borderId="76" xfId="7" applyNumberFormat="1" applyFont="1" applyFill="1" applyBorder="1"/>
    <xf numFmtId="173" fontId="64" fillId="84" borderId="77" xfId="7" applyNumberFormat="1" applyFont="1" applyFill="1" applyBorder="1"/>
    <xf numFmtId="173" fontId="64" fillId="84" borderId="0" xfId="7" applyNumberFormat="1" applyFont="1" applyFill="1"/>
    <xf numFmtId="173" fontId="64" fillId="10" borderId="76" xfId="7" applyNumberFormat="1" applyFont="1" applyFill="1" applyBorder="1"/>
    <xf numFmtId="173" fontId="64" fillId="10" borderId="0" xfId="7" applyNumberFormat="1" applyFont="1" applyFill="1"/>
    <xf numFmtId="173" fontId="64" fillId="86" borderId="76" xfId="7" applyNumberFormat="1" applyFont="1" applyFill="1" applyBorder="1"/>
    <xf numFmtId="173" fontId="64" fillId="86" borderId="0" xfId="7" applyNumberFormat="1" applyFont="1" applyFill="1"/>
    <xf numFmtId="173" fontId="64" fillId="85" borderId="76" xfId="7" applyNumberFormat="1" applyFont="1" applyFill="1" applyBorder="1"/>
    <xf numFmtId="173" fontId="64" fillId="85" borderId="77" xfId="7" applyNumberFormat="1" applyFont="1" applyFill="1" applyBorder="1"/>
    <xf numFmtId="173" fontId="64" fillId="85" borderId="0" xfId="7" applyNumberFormat="1" applyFont="1" applyFill="1"/>
    <xf numFmtId="173" fontId="190" fillId="0" borderId="76" xfId="7" applyNumberFormat="1" applyFont="1" applyBorder="1"/>
    <xf numFmtId="173" fontId="190" fillId="4" borderId="76" xfId="7" applyNumberFormat="1" applyFont="1" applyFill="1" applyBorder="1"/>
    <xf numFmtId="173" fontId="188" fillId="0" borderId="0" xfId="7" applyNumberFormat="1" applyFont="1" applyAlignment="1">
      <alignment vertical="center" wrapText="1"/>
    </xf>
    <xf numFmtId="173" fontId="188" fillId="0" borderId="0" xfId="7" applyNumberFormat="1" applyFont="1"/>
    <xf numFmtId="173" fontId="190" fillId="0" borderId="76" xfId="7" applyNumberFormat="1" applyFont="1" applyBorder="1" applyAlignment="1">
      <alignment vertical="center" wrapText="1"/>
    </xf>
    <xf numFmtId="173" fontId="190" fillId="4" borderId="76" xfId="7" applyNumberFormat="1" applyFont="1" applyFill="1" applyBorder="1" applyAlignment="1">
      <alignment vertical="center" wrapText="1"/>
    </xf>
    <xf numFmtId="173" fontId="188" fillId="0" borderId="76" xfId="7" applyNumberFormat="1" applyFont="1" applyBorder="1" applyAlignment="1">
      <alignment vertical="center" wrapText="1"/>
    </xf>
    <xf numFmtId="173" fontId="190" fillId="0" borderId="76" xfId="7" applyNumberFormat="1" applyFont="1" applyBorder="1" applyAlignment="1">
      <alignment horizontal="left" vertical="center" wrapText="1"/>
    </xf>
    <xf numFmtId="173" fontId="190" fillId="4" borderId="76" xfId="7" applyNumberFormat="1" applyFont="1" applyFill="1" applyBorder="1" applyAlignment="1">
      <alignment horizontal="left" vertical="center" wrapText="1"/>
    </xf>
    <xf numFmtId="173" fontId="188" fillId="0" borderId="76" xfId="7" applyNumberFormat="1" applyFont="1" applyBorder="1" applyAlignment="1">
      <alignment horizontal="left" vertical="center" wrapText="1"/>
    </xf>
    <xf numFmtId="173" fontId="188" fillId="4" borderId="0" xfId="7" applyNumberFormat="1" applyFont="1" applyFill="1"/>
    <xf numFmtId="173" fontId="188" fillId="0" borderId="92" xfId="7" applyNumberFormat="1" applyFont="1" applyBorder="1"/>
    <xf numFmtId="173" fontId="197" fillId="0" borderId="76" xfId="7" applyNumberFormat="1" applyFont="1" applyBorder="1"/>
    <xf numFmtId="173" fontId="197" fillId="4" borderId="76" xfId="7" applyNumberFormat="1" applyFont="1" applyFill="1" applyBorder="1"/>
    <xf numFmtId="173" fontId="198" fillId="0" borderId="98" xfId="7" applyNumberFormat="1" applyFont="1" applyBorder="1"/>
    <xf numFmtId="173" fontId="197" fillId="0" borderId="0" xfId="7" applyNumberFormat="1" applyFont="1"/>
    <xf numFmtId="173" fontId="188" fillId="0" borderId="76" xfId="7" applyNumberFormat="1" applyFont="1" applyBorder="1"/>
    <xf numFmtId="173" fontId="188" fillId="4" borderId="76" xfId="7" applyNumberFormat="1" applyFont="1" applyFill="1" applyBorder="1"/>
    <xf numFmtId="173" fontId="5" fillId="0" borderId="98" xfId="7" applyNumberFormat="1" applyFont="1" applyBorder="1"/>
    <xf numFmtId="173" fontId="197" fillId="0" borderId="92" xfId="7" applyNumberFormat="1" applyFont="1" applyBorder="1"/>
    <xf numFmtId="173" fontId="188" fillId="70" borderId="76" xfId="7" applyNumberFormat="1" applyFont="1" applyFill="1" applyBorder="1"/>
    <xf numFmtId="173" fontId="188" fillId="70" borderId="0" xfId="7" applyNumberFormat="1" applyFont="1" applyFill="1"/>
    <xf numFmtId="173" fontId="188" fillId="71" borderId="76" xfId="7" applyNumberFormat="1" applyFont="1" applyFill="1" applyBorder="1"/>
    <xf numFmtId="173" fontId="188" fillId="71" borderId="0" xfId="7" applyNumberFormat="1" applyFont="1" applyFill="1"/>
    <xf numFmtId="173" fontId="188" fillId="72" borderId="76" xfId="7" applyNumberFormat="1" applyFont="1" applyFill="1" applyBorder="1"/>
    <xf numFmtId="173" fontId="188" fillId="72" borderId="0" xfId="7" applyNumberFormat="1" applyFont="1" applyFill="1"/>
    <xf numFmtId="173" fontId="188" fillId="60" borderId="76" xfId="7" applyNumberFormat="1" applyFont="1" applyFill="1" applyBorder="1"/>
    <xf numFmtId="173" fontId="188" fillId="73" borderId="76" xfId="7" applyNumberFormat="1" applyFont="1" applyFill="1" applyBorder="1"/>
    <xf numFmtId="173" fontId="188" fillId="73" borderId="0" xfId="7" applyNumberFormat="1" applyFont="1" applyFill="1"/>
    <xf numFmtId="173" fontId="197" fillId="70" borderId="76" xfId="7" applyNumberFormat="1" applyFont="1" applyFill="1" applyBorder="1"/>
    <xf numFmtId="173" fontId="197" fillId="72" borderId="76" xfId="7" applyNumberFormat="1" applyFont="1" applyFill="1" applyBorder="1"/>
    <xf numFmtId="173" fontId="188" fillId="0" borderId="0" xfId="7" applyNumberFormat="1" applyFont="1" applyBorder="1"/>
    <xf numFmtId="173" fontId="206" fillId="0" borderId="0" xfId="7" applyNumberFormat="1" applyFont="1"/>
    <xf numFmtId="173" fontId="208" fillId="0" borderId="76" xfId="7" applyNumberFormat="1" applyFont="1" applyBorder="1" applyAlignment="1">
      <alignment horizontal="left" vertical="top" wrapText="1"/>
    </xf>
    <xf numFmtId="173" fontId="201" fillId="0" borderId="76" xfId="7" applyNumberFormat="1" applyFont="1" applyBorder="1" applyAlignment="1">
      <alignment horizontal="left" vertical="top" wrapText="1"/>
    </xf>
    <xf numFmtId="173" fontId="203" fillId="0" borderId="0" xfId="7" applyNumberFormat="1" applyFont="1" applyBorder="1" applyAlignment="1">
      <alignment horizontal="left" vertical="top" wrapText="1"/>
    </xf>
    <xf numFmtId="173" fontId="197" fillId="0" borderId="76" xfId="7" applyNumberFormat="1" applyFont="1" applyFill="1" applyBorder="1" applyAlignment="1">
      <alignment horizontal="center" vertical="center" wrapText="1"/>
    </xf>
    <xf numFmtId="173" fontId="191" fillId="0" borderId="76" xfId="7" applyNumberFormat="1" applyFont="1" applyFill="1" applyBorder="1" applyAlignment="1">
      <alignment horizontal="center" vertical="center" wrapText="1"/>
    </xf>
    <xf numFmtId="173" fontId="197" fillId="0" borderId="0" xfId="7" applyNumberFormat="1" applyFont="1" applyFill="1" applyBorder="1"/>
    <xf numFmtId="173" fontId="196" fillId="0" borderId="76" xfId="7" applyNumberFormat="1" applyFont="1" applyFill="1" applyBorder="1" applyAlignment="1">
      <alignment horizontal="center" vertical="center" wrapText="1"/>
    </xf>
    <xf numFmtId="173" fontId="188" fillId="0" borderId="0" xfId="7" applyNumberFormat="1" applyFont="1" applyFill="1" applyBorder="1"/>
    <xf numFmtId="173" fontId="197" fillId="6" borderId="76" xfId="7" applyNumberFormat="1" applyFont="1" applyFill="1" applyBorder="1" applyAlignment="1">
      <alignment horizontal="center" vertical="center" wrapText="1"/>
    </xf>
    <xf numFmtId="173" fontId="197" fillId="12" borderId="76" xfId="7" applyNumberFormat="1" applyFont="1" applyFill="1" applyBorder="1" applyAlignment="1">
      <alignment horizontal="center" vertical="center" wrapText="1"/>
    </xf>
    <xf numFmtId="173" fontId="197" fillId="81" borderId="76" xfId="7" applyNumberFormat="1" applyFont="1" applyFill="1" applyBorder="1" applyAlignment="1">
      <alignment horizontal="center" vertical="center" wrapText="1"/>
    </xf>
    <xf numFmtId="173" fontId="197" fillId="81" borderId="12" xfId="7" applyNumberFormat="1" applyFont="1" applyFill="1" applyBorder="1" applyAlignment="1">
      <alignment horizontal="center" vertical="center" wrapText="1"/>
    </xf>
    <xf numFmtId="173" fontId="191" fillId="4" borderId="76" xfId="7" applyNumberFormat="1" applyFont="1" applyFill="1" applyBorder="1" applyAlignment="1">
      <alignment horizontal="center" vertical="center" wrapText="1"/>
    </xf>
    <xf numFmtId="173" fontId="196" fillId="4" borderId="76" xfId="7" applyNumberFormat="1" applyFont="1" applyFill="1" applyBorder="1" applyAlignment="1">
      <alignment horizontal="center" vertical="center" wrapText="1"/>
    </xf>
    <xf numFmtId="173" fontId="197" fillId="82" borderId="76" xfId="7" applyNumberFormat="1" applyFont="1" applyFill="1" applyBorder="1" applyAlignment="1">
      <alignment horizontal="center" vertical="center" wrapText="1"/>
    </xf>
    <xf numFmtId="173" fontId="197" fillId="82" borderId="15" xfId="7" applyNumberFormat="1" applyFont="1" applyFill="1" applyBorder="1" applyAlignment="1">
      <alignment horizontal="center" vertical="center" wrapText="1"/>
    </xf>
    <xf numFmtId="173" fontId="197" fillId="82" borderId="1" xfId="7" applyNumberFormat="1" applyFont="1" applyFill="1" applyBorder="1" applyAlignment="1">
      <alignment horizontal="center" vertical="center" wrapText="1"/>
    </xf>
    <xf numFmtId="173" fontId="197" fillId="82" borderId="0" xfId="7" applyNumberFormat="1" applyFont="1" applyFill="1" applyBorder="1" applyAlignment="1">
      <alignment horizontal="center" vertical="center" wrapText="1"/>
    </xf>
    <xf numFmtId="173" fontId="188" fillId="82" borderId="15" xfId="7" applyNumberFormat="1" applyFont="1" applyFill="1" applyBorder="1"/>
    <xf numFmtId="173" fontId="188" fillId="82" borderId="92" xfId="7" applyNumberFormat="1" applyFont="1" applyFill="1" applyBorder="1"/>
    <xf numFmtId="173" fontId="204" fillId="82" borderId="92" xfId="7" applyNumberFormat="1" applyFont="1" applyFill="1" applyBorder="1" applyAlignment="1">
      <alignment horizontal="center" vertical="center" wrapText="1"/>
    </xf>
    <xf numFmtId="173" fontId="191" fillId="82" borderId="76" xfId="7" applyNumberFormat="1" applyFont="1" applyFill="1" applyBorder="1" applyAlignment="1">
      <alignment horizontal="center" vertical="center" wrapText="1"/>
    </xf>
    <xf numFmtId="173" fontId="188" fillId="82" borderId="0" xfId="7" applyNumberFormat="1" applyFont="1" applyFill="1" applyBorder="1"/>
    <xf numFmtId="173" fontId="188" fillId="0" borderId="0" xfId="7" applyNumberFormat="1" applyFont="1" applyFill="1"/>
    <xf numFmtId="173" fontId="197" fillId="82" borderId="12" xfId="7" applyNumberFormat="1" applyFont="1" applyFill="1" applyBorder="1" applyAlignment="1">
      <alignment horizontal="center" vertical="center" wrapText="1"/>
    </xf>
    <xf numFmtId="173" fontId="197" fillId="82" borderId="17" xfId="7" applyNumberFormat="1" applyFont="1" applyFill="1" applyBorder="1" applyAlignment="1">
      <alignment horizontal="center" vertical="center" wrapText="1"/>
    </xf>
    <xf numFmtId="173" fontId="197" fillId="82" borderId="20" xfId="7" applyNumberFormat="1" applyFont="1" applyFill="1" applyBorder="1" applyAlignment="1">
      <alignment horizontal="center" vertical="center" wrapText="1"/>
    </xf>
    <xf numFmtId="173" fontId="188" fillId="82" borderId="12" xfId="7" applyNumberFormat="1" applyFont="1" applyFill="1" applyBorder="1"/>
    <xf numFmtId="173" fontId="188" fillId="82" borderId="76" xfId="7" applyNumberFormat="1" applyFont="1" applyFill="1" applyBorder="1"/>
    <xf numFmtId="173" fontId="204" fillId="82" borderId="76" xfId="7" applyNumberFormat="1" applyFont="1" applyFill="1" applyBorder="1" applyAlignment="1">
      <alignment horizontal="center" vertical="center" wrapText="1"/>
    </xf>
    <xf numFmtId="173" fontId="197" fillId="61" borderId="76" xfId="7" applyNumberFormat="1" applyFont="1" applyFill="1" applyBorder="1" applyAlignment="1">
      <alignment horizontal="center" vertical="center" wrapText="1"/>
    </xf>
    <xf numFmtId="173" fontId="197" fillId="61" borderId="12" xfId="7" applyNumberFormat="1" applyFont="1" applyFill="1" applyBorder="1" applyAlignment="1">
      <alignment horizontal="center" vertical="center" wrapText="1"/>
    </xf>
    <xf numFmtId="173" fontId="197" fillId="61" borderId="17" xfId="7" applyNumberFormat="1" applyFont="1" applyFill="1" applyBorder="1" applyAlignment="1">
      <alignment horizontal="center" vertical="center" wrapText="1"/>
    </xf>
    <xf numFmtId="173" fontId="197" fillId="61" borderId="20" xfId="7" applyNumberFormat="1" applyFont="1" applyFill="1" applyBorder="1" applyAlignment="1">
      <alignment horizontal="center" vertical="center" wrapText="1"/>
    </xf>
    <xf numFmtId="173" fontId="188" fillId="61" borderId="12" xfId="7" applyNumberFormat="1" applyFont="1" applyFill="1" applyBorder="1"/>
    <xf numFmtId="173" fontId="188" fillId="61" borderId="76" xfId="7" applyNumberFormat="1" applyFont="1" applyFill="1" applyBorder="1"/>
    <xf numFmtId="173" fontId="204" fillId="61" borderId="76" xfId="7" applyNumberFormat="1" applyFont="1" applyFill="1" applyBorder="1" applyAlignment="1">
      <alignment horizontal="center" vertical="center" wrapText="1"/>
    </xf>
    <xf numFmtId="173" fontId="191" fillId="61" borderId="76" xfId="7" applyNumberFormat="1" applyFont="1" applyFill="1" applyBorder="1" applyAlignment="1">
      <alignment horizontal="center" vertical="center" wrapText="1"/>
    </xf>
    <xf numFmtId="173" fontId="188" fillId="61" borderId="0" xfId="7" applyNumberFormat="1" applyFont="1" applyFill="1" applyBorder="1"/>
    <xf numFmtId="173" fontId="197" fillId="81" borderId="17" xfId="7" applyNumberFormat="1" applyFont="1" applyFill="1" applyBorder="1" applyAlignment="1">
      <alignment horizontal="center" vertical="center" wrapText="1"/>
    </xf>
    <xf numFmtId="173" fontId="197" fillId="81" borderId="20" xfId="7" applyNumberFormat="1" applyFont="1" applyFill="1" applyBorder="1" applyAlignment="1">
      <alignment horizontal="center" vertical="center" wrapText="1"/>
    </xf>
    <xf numFmtId="173" fontId="188" fillId="81" borderId="12" xfId="7" applyNumberFormat="1" applyFont="1" applyFill="1" applyBorder="1"/>
    <xf numFmtId="173" fontId="188" fillId="81" borderId="76" xfId="7" applyNumberFormat="1" applyFont="1" applyFill="1" applyBorder="1"/>
    <xf numFmtId="173" fontId="204" fillId="81" borderId="76" xfId="7" applyNumberFormat="1" applyFont="1" applyFill="1" applyBorder="1" applyAlignment="1">
      <alignment horizontal="center" vertical="center" wrapText="1"/>
    </xf>
    <xf numFmtId="173" fontId="191" fillId="81" borderId="76" xfId="7" applyNumberFormat="1" applyFont="1" applyFill="1" applyBorder="1" applyAlignment="1">
      <alignment horizontal="center" vertical="center" wrapText="1"/>
    </xf>
    <xf numFmtId="173" fontId="188" fillId="81" borderId="0" xfId="7" applyNumberFormat="1" applyFont="1" applyFill="1" applyBorder="1"/>
    <xf numFmtId="173" fontId="207" fillId="82" borderId="76" xfId="7" applyNumberFormat="1" applyFont="1" applyFill="1" applyBorder="1" applyAlignment="1">
      <alignment horizontal="center" vertical="center" wrapText="1"/>
    </xf>
    <xf numFmtId="173" fontId="197" fillId="82" borderId="92" xfId="7" applyNumberFormat="1" applyFont="1" applyFill="1" applyBorder="1"/>
    <xf numFmtId="173" fontId="207" fillId="82" borderId="92" xfId="7" applyNumberFormat="1" applyFont="1" applyFill="1" applyBorder="1" applyAlignment="1">
      <alignment horizontal="center" vertical="center" wrapText="1"/>
    </xf>
    <xf numFmtId="173" fontId="197" fillId="82" borderId="0" xfId="7" applyNumberFormat="1" applyFont="1" applyFill="1" applyBorder="1"/>
    <xf numFmtId="173" fontId="197" fillId="0" borderId="0" xfId="7" applyNumberFormat="1" applyFont="1" applyFill="1"/>
    <xf numFmtId="173" fontId="207" fillId="61" borderId="76" xfId="7" applyNumberFormat="1" applyFont="1" applyFill="1" applyBorder="1" applyAlignment="1">
      <alignment horizontal="center" vertical="center" wrapText="1"/>
    </xf>
    <xf numFmtId="173" fontId="197" fillId="61" borderId="12" xfId="7" applyNumberFormat="1" applyFont="1" applyFill="1" applyBorder="1"/>
    <xf numFmtId="173" fontId="197" fillId="61" borderId="76" xfId="7" applyNumberFormat="1" applyFont="1" applyFill="1" applyBorder="1"/>
    <xf numFmtId="173" fontId="197" fillId="61" borderId="0" xfId="7" applyNumberFormat="1" applyFont="1" applyFill="1" applyBorder="1"/>
    <xf numFmtId="173" fontId="207" fillId="81" borderId="76" xfId="7" applyNumberFormat="1" applyFont="1" applyFill="1" applyBorder="1" applyAlignment="1">
      <alignment horizontal="center" vertical="center" wrapText="1"/>
    </xf>
    <xf numFmtId="173" fontId="197" fillId="81" borderId="12" xfId="7" applyNumberFormat="1" applyFont="1" applyFill="1" applyBorder="1"/>
    <xf numFmtId="173" fontId="197" fillId="81" borderId="76" xfId="7" applyNumberFormat="1" applyFont="1" applyFill="1" applyBorder="1"/>
    <xf numFmtId="173" fontId="197" fillId="81" borderId="0" xfId="7" applyNumberFormat="1" applyFont="1" applyFill="1" applyBorder="1"/>
    <xf numFmtId="173" fontId="197" fillId="58" borderId="76" xfId="7" applyNumberFormat="1" applyFont="1" applyFill="1" applyBorder="1" applyAlignment="1">
      <alignment horizontal="center" vertical="center" wrapText="1"/>
    </xf>
    <xf numFmtId="173" fontId="207" fillId="58" borderId="76" xfId="7" applyNumberFormat="1" applyFont="1" applyFill="1" applyBorder="1" applyAlignment="1">
      <alignment horizontal="center" vertical="center" wrapText="1"/>
    </xf>
    <xf numFmtId="173" fontId="207" fillId="58" borderId="12" xfId="7" applyNumberFormat="1" applyFont="1" applyFill="1" applyBorder="1" applyAlignment="1">
      <alignment horizontal="center" vertical="center" wrapText="1"/>
    </xf>
    <xf numFmtId="173" fontId="197" fillId="58" borderId="76" xfId="7" applyNumberFormat="1" applyFont="1" applyFill="1" applyBorder="1"/>
    <xf numFmtId="173" fontId="197" fillId="58" borderId="0" xfId="7" applyNumberFormat="1" applyFont="1" applyFill="1" applyBorder="1"/>
    <xf numFmtId="173" fontId="188" fillId="58" borderId="76" xfId="7" applyNumberFormat="1" applyFont="1" applyFill="1" applyBorder="1" applyAlignment="1">
      <alignment horizontal="center" vertical="center" wrapText="1"/>
    </xf>
    <xf numFmtId="173" fontId="188" fillId="58" borderId="0" xfId="7" applyNumberFormat="1" applyFont="1" applyFill="1" applyBorder="1"/>
    <xf numFmtId="173" fontId="197" fillId="83" borderId="76" xfId="7" applyNumberFormat="1" applyFont="1" applyFill="1" applyBorder="1" applyAlignment="1">
      <alignment horizontal="center" vertical="center" wrapText="1"/>
    </xf>
    <xf numFmtId="173" fontId="207" fillId="83" borderId="76" xfId="7" applyNumberFormat="1" applyFont="1" applyFill="1" applyBorder="1" applyAlignment="1">
      <alignment horizontal="center" vertical="center" wrapText="1"/>
    </xf>
    <xf numFmtId="173" fontId="197" fillId="83" borderId="76" xfId="7" applyNumberFormat="1" applyFont="1" applyFill="1" applyBorder="1"/>
    <xf numFmtId="173" fontId="207" fillId="83" borderId="12" xfId="7" applyNumberFormat="1" applyFont="1" applyFill="1" applyBorder="1" applyAlignment="1">
      <alignment horizontal="center" vertical="center" wrapText="1"/>
    </xf>
    <xf numFmtId="173" fontId="209" fillId="83" borderId="76" xfId="7" applyNumberFormat="1" applyFont="1" applyFill="1" applyBorder="1" applyAlignment="1">
      <alignment horizontal="center" vertical="center" wrapText="1"/>
    </xf>
    <xf numFmtId="173" fontId="197" fillId="83" borderId="77" xfId="7" applyNumberFormat="1" applyFont="1" applyFill="1" applyBorder="1"/>
    <xf numFmtId="173" fontId="207" fillId="83" borderId="0" xfId="7" applyNumberFormat="1" applyFont="1" applyFill="1" applyBorder="1" applyAlignment="1">
      <alignment horizontal="center" vertical="center" wrapText="1"/>
    </xf>
    <xf numFmtId="173" fontId="188" fillId="83" borderId="76" xfId="7" applyNumberFormat="1" applyFont="1" applyFill="1" applyBorder="1" applyAlignment="1">
      <alignment horizontal="center" vertical="center" wrapText="1"/>
    </xf>
    <xf numFmtId="173" fontId="204" fillId="83" borderId="0" xfId="7" applyNumberFormat="1" applyFont="1" applyFill="1" applyBorder="1" applyAlignment="1">
      <alignment horizontal="center" vertical="center" wrapText="1"/>
    </xf>
    <xf numFmtId="173" fontId="204" fillId="0" borderId="0" xfId="7" applyNumberFormat="1" applyFont="1" applyFill="1" applyBorder="1" applyAlignment="1">
      <alignment horizontal="center" vertical="center" wrapText="1"/>
    </xf>
    <xf numFmtId="173" fontId="204" fillId="0" borderId="0" xfId="7" applyNumberFormat="1" applyFont="1" applyBorder="1" applyAlignment="1">
      <alignment horizontal="center" vertical="center" wrapText="1"/>
    </xf>
    <xf numFmtId="173" fontId="5" fillId="0" borderId="0" xfId="7" applyNumberFormat="1" applyFont="1"/>
    <xf numFmtId="173" fontId="196" fillId="0" borderId="0" xfId="7" applyNumberFormat="1" applyFont="1" applyBorder="1" applyAlignment="1">
      <alignment vertical="top" wrapText="1"/>
    </xf>
    <xf numFmtId="173" fontId="196" fillId="0" borderId="0" xfId="7" applyNumberFormat="1" applyFont="1" applyBorder="1" applyAlignment="1">
      <alignment horizontal="left" vertical="top" wrapText="1" indent="2"/>
    </xf>
    <xf numFmtId="173" fontId="188" fillId="0" borderId="0" xfId="7" applyNumberFormat="1" applyFont="1" applyAlignment="1">
      <alignment horizontal="left"/>
    </xf>
    <xf numFmtId="0" fontId="0" fillId="0" borderId="0" xfId="0" applyFont="1"/>
    <xf numFmtId="0" fontId="44" fillId="0" borderId="0" xfId="46" applyFont="1" applyBorder="1" applyAlignment="1">
      <alignment horizontal="left" vertical="center" wrapText="1"/>
    </xf>
    <xf numFmtId="0" fontId="39" fillId="0" borderId="0" xfId="46" applyFont="1" applyAlignment="1">
      <alignment vertical="center"/>
    </xf>
    <xf numFmtId="0" fontId="30" fillId="0" borderId="76" xfId="46" applyFont="1" applyFill="1" applyBorder="1" applyAlignment="1">
      <alignment horizontal="center" vertical="center" wrapText="1"/>
    </xf>
    <xf numFmtId="0" fontId="15" fillId="6" borderId="76" xfId="46" applyFont="1" applyFill="1" applyBorder="1" applyAlignment="1">
      <alignment horizontal="center" vertical="center" wrapText="1"/>
    </xf>
    <xf numFmtId="41" fontId="60" fillId="6" borderId="76" xfId="46" applyNumberFormat="1" applyFont="1" applyFill="1" applyBorder="1" applyAlignment="1">
      <alignment horizontal="center" vertical="center" wrapText="1"/>
    </xf>
    <xf numFmtId="41" fontId="60" fillId="0" borderId="76" xfId="46" applyNumberFormat="1" applyFont="1" applyFill="1" applyBorder="1" applyAlignment="1">
      <alignment horizontal="center" vertical="center" wrapText="1"/>
    </xf>
    <xf numFmtId="9" fontId="15" fillId="6" borderId="76" xfId="46" applyNumberFormat="1" applyFont="1" applyFill="1" applyBorder="1" applyAlignment="1">
      <alignment horizontal="center" vertical="center" wrapText="1"/>
    </xf>
    <xf numFmtId="9" fontId="15" fillId="0" borderId="76" xfId="46" applyNumberFormat="1" applyFont="1" applyFill="1" applyBorder="1" applyAlignment="1">
      <alignment horizontal="center" vertical="center" wrapText="1"/>
    </xf>
    <xf numFmtId="0" fontId="15" fillId="6" borderId="77" xfId="46" applyFont="1" applyFill="1" applyBorder="1" applyAlignment="1">
      <alignment horizontal="center" vertical="center" wrapText="1"/>
    </xf>
    <xf numFmtId="0" fontId="30" fillId="0" borderId="90" xfId="46" applyFont="1" applyFill="1" applyBorder="1" applyAlignment="1">
      <alignment horizontal="center" vertical="center" wrapText="1"/>
    </xf>
    <xf numFmtId="41" fontId="60" fillId="6" borderId="90" xfId="46" applyNumberFormat="1" applyFont="1" applyFill="1" applyBorder="1" applyAlignment="1">
      <alignment horizontal="center" vertical="center" wrapText="1"/>
    </xf>
    <xf numFmtId="41" fontId="60" fillId="0" borderId="90" xfId="46" applyNumberFormat="1" applyFont="1" applyFill="1" applyBorder="1" applyAlignment="1">
      <alignment horizontal="center" vertical="center" wrapText="1"/>
    </xf>
    <xf numFmtId="41" fontId="60" fillId="0" borderId="72" xfId="46" applyNumberFormat="1" applyFont="1" applyFill="1" applyBorder="1" applyAlignment="1">
      <alignment horizontal="center" vertical="center" wrapText="1"/>
    </xf>
    <xf numFmtId="41" fontId="60" fillId="0" borderId="69" xfId="46" applyNumberFormat="1" applyFont="1" applyFill="1" applyBorder="1" applyAlignment="1">
      <alignment horizontal="center" vertical="center" wrapText="1"/>
    </xf>
    <xf numFmtId="9" fontId="43" fillId="0" borderId="0" xfId="46" applyNumberFormat="1" applyFont="1" applyAlignment="1">
      <alignment horizontal="left" wrapText="1"/>
    </xf>
    <xf numFmtId="0" fontId="0" fillId="0" borderId="0" xfId="0" applyFont="1"/>
    <xf numFmtId="0" fontId="46" fillId="0" borderId="7" xfId="69" applyFont="1" applyFill="1" applyBorder="1" applyAlignment="1" applyProtection="1">
      <alignment horizontal="center" wrapText="1"/>
      <protection hidden="1"/>
    </xf>
    <xf numFmtId="0" fontId="18" fillId="0" borderId="7" xfId="69" applyFont="1" applyFill="1" applyBorder="1" applyAlignment="1" applyProtection="1">
      <alignment horizontal="center" vertical="center" wrapText="1"/>
      <protection hidden="1"/>
    </xf>
    <xf numFmtId="0" fontId="16" fillId="0" borderId="7" xfId="69" applyFont="1" applyFill="1" applyBorder="1" applyAlignment="1" applyProtection="1">
      <alignment horizontal="center" vertical="center" wrapText="1"/>
      <protection hidden="1"/>
    </xf>
    <xf numFmtId="41" fontId="60" fillId="6" borderId="8" xfId="69" applyNumberFormat="1" applyFont="1" applyFill="1" applyBorder="1" applyAlignment="1">
      <alignment horizontal="center" vertical="center" wrapText="1"/>
    </xf>
    <xf numFmtId="41" fontId="60" fillId="0" borderId="8" xfId="69" applyNumberFormat="1" applyFont="1" applyFill="1" applyBorder="1" applyAlignment="1">
      <alignment horizontal="center" vertical="center" wrapText="1"/>
    </xf>
    <xf numFmtId="41" fontId="60" fillId="6" borderId="6" xfId="69" applyNumberFormat="1" applyFont="1" applyFill="1" applyBorder="1" applyAlignment="1">
      <alignment horizontal="center" vertical="center" wrapText="1"/>
    </xf>
    <xf numFmtId="49" fontId="15" fillId="0" borderId="7" xfId="69" applyNumberFormat="1" applyFont="1" applyFill="1" applyBorder="1" applyAlignment="1" applyProtection="1">
      <alignment horizontal="center" vertical="center"/>
      <protection hidden="1"/>
    </xf>
    <xf numFmtId="49" fontId="11" fillId="0" borderId="18" xfId="69" applyNumberFormat="1" applyFont="1" applyFill="1" applyBorder="1" applyAlignment="1" applyProtection="1">
      <alignment horizontal="center"/>
      <protection hidden="1"/>
    </xf>
    <xf numFmtId="0" fontId="44" fillId="0" borderId="0" xfId="46" applyFont="1" applyBorder="1" applyAlignment="1">
      <alignment horizontal="left" vertical="center" wrapText="1"/>
    </xf>
    <xf numFmtId="0" fontId="15" fillId="0" borderId="76" xfId="46" applyFont="1" applyFill="1" applyBorder="1" applyAlignment="1">
      <alignment horizontal="center" vertical="center" wrapText="1"/>
    </xf>
    <xf numFmtId="0" fontId="15" fillId="0" borderId="77" xfId="46" applyFont="1" applyFill="1" applyBorder="1" applyAlignment="1">
      <alignment horizontal="center" vertical="center" wrapText="1"/>
    </xf>
    <xf numFmtId="3" fontId="18" fillId="5" borderId="76" xfId="69" applyNumberFormat="1" applyFont="1" applyFill="1" applyBorder="1" applyAlignment="1" applyProtection="1">
      <alignment vertical="top" wrapText="1"/>
      <protection hidden="1"/>
    </xf>
    <xf numFmtId="0" fontId="226" fillId="0" borderId="0" xfId="46" applyFont="1" applyAlignment="1">
      <alignment wrapText="1"/>
    </xf>
    <xf numFmtId="0" fontId="226" fillId="0" borderId="0" xfId="46" applyFont="1" applyAlignment="1">
      <alignment horizontal="left" wrapText="1"/>
    </xf>
    <xf numFmtId="0" fontId="49" fillId="0" borderId="0" xfId="46" applyFont="1"/>
    <xf numFmtId="9" fontId="38" fillId="0" borderId="76" xfId="46" applyNumberFormat="1" applyFont="1" applyFill="1" applyBorder="1" applyAlignment="1">
      <alignment horizontal="center" vertical="center" wrapText="1"/>
    </xf>
    <xf numFmtId="9" fontId="38" fillId="6" borderId="76" xfId="46" applyNumberFormat="1" applyFont="1" applyFill="1" applyBorder="1" applyAlignment="1">
      <alignment horizontal="center" vertical="center" wrapText="1"/>
    </xf>
    <xf numFmtId="0" fontId="38" fillId="0" borderId="76" xfId="46" applyFont="1" applyBorder="1" applyAlignment="1">
      <alignment horizontal="center" vertical="center" wrapText="1"/>
    </xf>
    <xf numFmtId="0" fontId="15" fillId="0" borderId="120" xfId="46" applyFont="1" applyFill="1" applyBorder="1" applyAlignment="1">
      <alignment horizontal="center" vertical="center" wrapText="1"/>
    </xf>
    <xf numFmtId="41" fontId="60" fillId="6" borderId="120" xfId="46" applyNumberFormat="1" applyFont="1" applyFill="1" applyBorder="1" applyAlignment="1">
      <alignment horizontal="center" vertical="center" wrapText="1"/>
    </xf>
    <xf numFmtId="41" fontId="60" fillId="0" borderId="120" xfId="46" applyNumberFormat="1" applyFont="1" applyFill="1" applyBorder="1" applyAlignment="1">
      <alignment horizontal="center" vertical="center" wrapText="1"/>
    </xf>
    <xf numFmtId="41" fontId="60" fillId="0" borderId="121" xfId="46" applyNumberFormat="1" applyFont="1" applyFill="1" applyBorder="1" applyAlignment="1">
      <alignment horizontal="center" vertical="center" wrapText="1"/>
    </xf>
    <xf numFmtId="0" fontId="16" fillId="6" borderId="13" xfId="0" applyFont="1" applyFill="1" applyBorder="1" applyAlignment="1">
      <alignment horizontal="center" vertical="center" wrapText="1"/>
    </xf>
    <xf numFmtId="0" fontId="0" fillId="0" borderId="0" xfId="0" applyFont="1"/>
    <xf numFmtId="41" fontId="60" fillId="6" borderId="35" xfId="0" applyNumberFormat="1" applyFont="1" applyFill="1" applyBorder="1" applyAlignment="1">
      <alignment horizontal="center" vertical="center" wrapText="1"/>
    </xf>
    <xf numFmtId="41" fontId="78" fillId="6" borderId="13" xfId="0" applyNumberFormat="1" applyFont="1" applyFill="1" applyBorder="1" applyAlignment="1">
      <alignment horizontal="center" vertical="center" wrapText="1"/>
    </xf>
    <xf numFmtId="0" fontId="16" fillId="0" borderId="19" xfId="0" applyFont="1" applyFill="1" applyBorder="1" applyAlignment="1">
      <alignment horizontal="left" vertical="center" wrapText="1" indent="1"/>
    </xf>
    <xf numFmtId="169" fontId="70" fillId="6" borderId="25" xfId="0" applyNumberFormat="1" applyFont="1" applyFill="1" applyBorder="1" applyAlignment="1">
      <alignment horizontal="center" vertical="center" wrapText="1"/>
    </xf>
    <xf numFmtId="0" fontId="227" fillId="0" borderId="0" xfId="0" applyFont="1" applyAlignment="1">
      <alignment horizontal="center" vertical="center"/>
    </xf>
    <xf numFmtId="0" fontId="228" fillId="0" borderId="0" xfId="0" applyFont="1" applyAlignment="1">
      <alignment horizontal="center" vertical="center"/>
    </xf>
    <xf numFmtId="172" fontId="34" fillId="0" borderId="0" xfId="285" applyNumberFormat="1" applyFont="1"/>
    <xf numFmtId="0" fontId="229" fillId="89" borderId="125" xfId="0" applyFont="1" applyFill="1" applyBorder="1" applyAlignment="1">
      <alignment horizontal="center" vertical="center" wrapText="1" readingOrder="1"/>
    </xf>
    <xf numFmtId="0" fontId="230" fillId="89" borderId="126" xfId="0" applyFont="1" applyFill="1" applyBorder="1" applyAlignment="1">
      <alignment horizontal="left" vertical="center" wrapText="1" indent="1" readingOrder="1"/>
    </xf>
    <xf numFmtId="0" fontId="231" fillId="91" borderId="128" xfId="0" applyFont="1" applyFill="1" applyBorder="1" applyAlignment="1">
      <alignment horizontal="left" vertical="center" wrapText="1" readingOrder="1"/>
    </xf>
    <xf numFmtId="170" fontId="234" fillId="91" borderId="128" xfId="118" applyNumberFormat="1" applyFont="1" applyFill="1" applyBorder="1" applyAlignment="1">
      <alignment horizontal="center" vertical="center" wrapText="1" readingOrder="1"/>
    </xf>
    <xf numFmtId="3" fontId="233" fillId="91" borderId="128" xfId="0" applyNumberFormat="1" applyFont="1" applyFill="1" applyBorder="1" applyAlignment="1">
      <alignment horizontal="left" vertical="center" wrapText="1" readingOrder="1"/>
    </xf>
    <xf numFmtId="170" fontId="0" fillId="0" borderId="0" xfId="0" applyNumberFormat="1"/>
    <xf numFmtId="0" fontId="235" fillId="91" borderId="128" xfId="0" applyFont="1" applyFill="1" applyBorder="1" applyAlignment="1">
      <alignment horizontal="left" vertical="center" wrapText="1" readingOrder="1"/>
    </xf>
    <xf numFmtId="3" fontId="232" fillId="91" borderId="127" xfId="0" applyNumberFormat="1" applyFont="1" applyFill="1" applyBorder="1" applyAlignment="1">
      <alignment horizontal="left" vertical="center" wrapText="1" readingOrder="1"/>
    </xf>
    <xf numFmtId="0" fontId="231" fillId="91" borderId="127" xfId="0" applyFont="1" applyFill="1" applyBorder="1" applyAlignment="1">
      <alignment horizontal="left" vertical="center" wrapText="1" readingOrder="1"/>
    </xf>
    <xf numFmtId="3" fontId="233" fillId="91" borderId="127" xfId="0" applyNumberFormat="1" applyFont="1" applyFill="1" applyBorder="1" applyAlignment="1">
      <alignment horizontal="left" vertical="center" wrapText="1" readingOrder="1"/>
    </xf>
    <xf numFmtId="170" fontId="234" fillId="91" borderId="127" xfId="118" applyNumberFormat="1" applyFont="1" applyFill="1" applyBorder="1" applyAlignment="1">
      <alignment horizontal="center" vertical="center" wrapText="1" readingOrder="1"/>
    </xf>
    <xf numFmtId="0" fontId="231" fillId="91" borderId="128" xfId="0" applyFont="1" applyFill="1" applyBorder="1" applyAlignment="1">
      <alignment horizontal="center" vertical="center" wrapText="1" readingOrder="1"/>
    </xf>
    <xf numFmtId="0" fontId="236" fillId="91" borderId="128" xfId="0" applyFont="1" applyFill="1" applyBorder="1" applyAlignment="1">
      <alignment horizontal="center" vertical="top" wrapText="1"/>
    </xf>
    <xf numFmtId="0" fontId="236" fillId="91" borderId="128" xfId="0" applyFont="1" applyFill="1" applyBorder="1" applyAlignment="1">
      <alignment vertical="top" wrapText="1"/>
    </xf>
    <xf numFmtId="0" fontId="231" fillId="93" borderId="128" xfId="0" applyFont="1" applyFill="1" applyBorder="1" applyAlignment="1">
      <alignment horizontal="left" vertical="center" wrapText="1" readingOrder="1"/>
    </xf>
    <xf numFmtId="0" fontId="237" fillId="93" borderId="128" xfId="0" applyFont="1" applyFill="1" applyBorder="1" applyAlignment="1">
      <alignment horizontal="left" vertical="center" wrapText="1" readingOrder="1"/>
    </xf>
    <xf numFmtId="0" fontId="235" fillId="93" borderId="128" xfId="0" applyFont="1" applyFill="1" applyBorder="1" applyAlignment="1">
      <alignment horizontal="left" vertical="center" wrapText="1" readingOrder="1"/>
    </xf>
    <xf numFmtId="3" fontId="233" fillId="93" borderId="128" xfId="0" applyNumberFormat="1" applyFont="1" applyFill="1" applyBorder="1" applyAlignment="1">
      <alignment horizontal="left" vertical="center" wrapText="1" readingOrder="1"/>
    </xf>
    <xf numFmtId="0" fontId="236" fillId="93" borderId="128" xfId="0" applyFont="1" applyFill="1" applyBorder="1" applyAlignment="1">
      <alignment vertical="top" wrapText="1"/>
    </xf>
    <xf numFmtId="0" fontId="237" fillId="91" borderId="128" xfId="0" applyFont="1" applyFill="1" applyBorder="1" applyAlignment="1">
      <alignment horizontal="left" vertical="center" wrapText="1" readingOrder="1"/>
    </xf>
    <xf numFmtId="0" fontId="231" fillId="93" borderId="128" xfId="0" applyFont="1" applyFill="1" applyBorder="1" applyAlignment="1">
      <alignment horizontal="center" vertical="center" wrapText="1" readingOrder="1"/>
    </xf>
    <xf numFmtId="170" fontId="233" fillId="93" borderId="128" xfId="118" applyNumberFormat="1" applyFont="1" applyFill="1" applyBorder="1" applyAlignment="1">
      <alignment horizontal="center" vertical="center" wrapText="1" readingOrder="1"/>
    </xf>
    <xf numFmtId="170" fontId="234" fillId="93" borderId="128" xfId="118" applyNumberFormat="1" applyFont="1" applyFill="1" applyBorder="1" applyAlignment="1">
      <alignment horizontal="center" vertical="center" wrapText="1" readingOrder="1"/>
    </xf>
    <xf numFmtId="0" fontId="236" fillId="93" borderId="128" xfId="0" applyFont="1" applyFill="1" applyBorder="1" applyAlignment="1">
      <alignment horizontal="center" vertical="top" wrapText="1"/>
    </xf>
    <xf numFmtId="172" fontId="1" fillId="0" borderId="113" xfId="285" applyNumberFormat="1" applyFont="1" applyBorder="1" applyAlignment="1">
      <alignment vertical="center" wrapText="1"/>
    </xf>
    <xf numFmtId="172" fontId="1" fillId="0" borderId="113" xfId="285" applyNumberFormat="1" applyFont="1" applyFill="1" applyBorder="1"/>
    <xf numFmtId="172" fontId="7" fillId="0" borderId="113" xfId="285" applyNumberFormat="1" applyFont="1" applyBorder="1"/>
    <xf numFmtId="9" fontId="27" fillId="0" borderId="113" xfId="14" applyFont="1" applyBorder="1"/>
    <xf numFmtId="172" fontId="0" fillId="58" borderId="113" xfId="285" applyNumberFormat="1" applyFont="1" applyFill="1" applyBorder="1"/>
    <xf numFmtId="9" fontId="0" fillId="58" borderId="113" xfId="112" applyFont="1" applyFill="1" applyBorder="1"/>
    <xf numFmtId="0" fontId="0" fillId="6" borderId="113" xfId="0" applyFill="1" applyBorder="1"/>
    <xf numFmtId="9" fontId="0" fillId="6" borderId="113" xfId="112" applyFont="1" applyFill="1" applyBorder="1"/>
    <xf numFmtId="0" fontId="0" fillId="62" borderId="113" xfId="0" applyFill="1" applyBorder="1"/>
    <xf numFmtId="9" fontId="0" fillId="62" borderId="113" xfId="112" applyFont="1" applyFill="1" applyBorder="1"/>
    <xf numFmtId="172" fontId="1" fillId="0" borderId="113" xfId="285" applyNumberFormat="1" applyFont="1" applyBorder="1"/>
    <xf numFmtId="172" fontId="7" fillId="0" borderId="113" xfId="285" applyNumberFormat="1" applyFont="1" applyFill="1" applyBorder="1"/>
    <xf numFmtId="9" fontId="175" fillId="0" borderId="113" xfId="14" applyFont="1" applyBorder="1"/>
    <xf numFmtId="9" fontId="7" fillId="58" borderId="113" xfId="112" applyFont="1" applyFill="1" applyBorder="1"/>
    <xf numFmtId="0" fontId="7" fillId="6" borderId="113" xfId="0" applyFont="1" applyFill="1" applyBorder="1"/>
    <xf numFmtId="9" fontId="7" fillId="6" borderId="113" xfId="112" applyFont="1" applyFill="1" applyBorder="1"/>
    <xf numFmtId="0" fontId="7" fillId="62" borderId="113" xfId="0" applyFont="1" applyFill="1" applyBorder="1"/>
    <xf numFmtId="9" fontId="7" fillId="62" borderId="113" xfId="112" applyFont="1" applyFill="1" applyBorder="1"/>
    <xf numFmtId="0" fontId="11" fillId="6" borderId="113" xfId="0" applyFont="1" applyFill="1" applyBorder="1"/>
    <xf numFmtId="0" fontId="11" fillId="62" borderId="113" xfId="0" applyFont="1" applyFill="1" applyBorder="1"/>
    <xf numFmtId="0" fontId="230" fillId="92" borderId="129" xfId="0" applyFont="1" applyFill="1" applyBorder="1" applyAlignment="1">
      <alignment horizontal="center" vertical="center" textRotation="90" wrapText="1" readingOrder="1"/>
    </xf>
    <xf numFmtId="172" fontId="1" fillId="0" borderId="0" xfId="285" applyNumberFormat="1" applyFont="1" applyBorder="1" applyAlignment="1">
      <alignment vertical="center" wrapText="1"/>
    </xf>
    <xf numFmtId="9" fontId="175" fillId="0" borderId="0" xfId="14" applyFont="1" applyBorder="1"/>
    <xf numFmtId="0" fontId="7" fillId="58" borderId="0" xfId="0" applyFont="1" applyFill="1" applyBorder="1"/>
    <xf numFmtId="9" fontId="7" fillId="58" borderId="0" xfId="112" applyFont="1" applyFill="1" applyBorder="1"/>
    <xf numFmtId="0" fontId="7" fillId="6" borderId="0" xfId="0" applyFont="1" applyFill="1" applyBorder="1"/>
    <xf numFmtId="172" fontId="7" fillId="6" borderId="0" xfId="285" applyNumberFormat="1" applyFont="1" applyFill="1" applyBorder="1"/>
    <xf numFmtId="9" fontId="7" fillId="6" borderId="0" xfId="112" applyFont="1" applyFill="1" applyBorder="1"/>
    <xf numFmtId="0" fontId="7" fillId="62" borderId="0" xfId="0" applyFont="1" applyFill="1" applyBorder="1"/>
    <xf numFmtId="172" fontId="7" fillId="62" borderId="0" xfId="285" applyNumberFormat="1" applyFont="1" applyFill="1" applyBorder="1"/>
    <xf numFmtId="9" fontId="7" fillId="62" borderId="0" xfId="112" applyFont="1" applyFill="1" applyBorder="1"/>
    <xf numFmtId="9" fontId="11" fillId="58" borderId="113" xfId="112" applyFont="1" applyFill="1" applyBorder="1"/>
    <xf numFmtId="9" fontId="0" fillId="58" borderId="113" xfId="112" applyFont="1" applyFill="1" applyBorder="1" applyAlignment="1">
      <alignment vertical="center" wrapText="1"/>
    </xf>
    <xf numFmtId="0" fontId="31" fillId="58" borderId="113" xfId="0" applyFont="1" applyFill="1" applyBorder="1" applyAlignment="1">
      <alignment vertical="center" wrapText="1"/>
    </xf>
    <xf numFmtId="0" fontId="210" fillId="58" borderId="113" xfId="0" applyFont="1" applyFill="1" applyBorder="1" applyAlignment="1">
      <alignment horizontal="center" vertical="center" wrapText="1"/>
    </xf>
    <xf numFmtId="9" fontId="0" fillId="58" borderId="122" xfId="112" applyFont="1" applyFill="1" applyBorder="1" applyAlignment="1">
      <alignment vertical="center" wrapText="1"/>
    </xf>
    <xf numFmtId="179" fontId="34" fillId="0" borderId="0" xfId="81" applyNumberFormat="1" applyFont="1"/>
    <xf numFmtId="170" fontId="11" fillId="58" borderId="113" xfId="112" applyNumberFormat="1" applyFont="1" applyFill="1" applyBorder="1"/>
    <xf numFmtId="0" fontId="15" fillId="58" borderId="116" xfId="0" applyFont="1" applyFill="1" applyBorder="1" applyAlignment="1">
      <alignment vertical="center"/>
    </xf>
    <xf numFmtId="0" fontId="25" fillId="58" borderId="113" xfId="0" applyFont="1" applyFill="1" applyBorder="1" applyAlignment="1">
      <alignment horizontal="center" vertical="center" wrapText="1"/>
    </xf>
    <xf numFmtId="172" fontId="163" fillId="0" borderId="76" xfId="0" applyNumberFormat="1" applyFont="1" applyBorder="1"/>
    <xf numFmtId="172" fontId="238" fillId="0" borderId="76" xfId="285" applyNumberFormat="1" applyFont="1" applyBorder="1"/>
    <xf numFmtId="172" fontId="239" fillId="0" borderId="76" xfId="285" applyNumberFormat="1" applyFont="1" applyBorder="1"/>
    <xf numFmtId="0" fontId="236" fillId="89" borderId="123" xfId="0" applyFont="1" applyFill="1" applyBorder="1" applyAlignment="1">
      <alignment horizontal="center" vertical="center" wrapText="1"/>
    </xf>
    <xf numFmtId="0" fontId="236" fillId="89" borderId="126" xfId="0" applyFont="1" applyFill="1" applyBorder="1" applyAlignment="1">
      <alignment horizontal="right" vertical="center" wrapText="1" indent="1"/>
    </xf>
    <xf numFmtId="0" fontId="233" fillId="91" borderId="127" xfId="0" applyFont="1" applyFill="1" applyBorder="1" applyAlignment="1">
      <alignment horizontal="left" vertical="center" wrapText="1" readingOrder="1"/>
    </xf>
    <xf numFmtId="0" fontId="231" fillId="91" borderId="127" xfId="0" applyFont="1" applyFill="1" applyBorder="1" applyAlignment="1">
      <alignment horizontal="center" vertical="center" wrapText="1" readingOrder="1"/>
    </xf>
    <xf numFmtId="3" fontId="241" fillId="91" borderId="127" xfId="0" applyNumberFormat="1" applyFont="1" applyFill="1" applyBorder="1" applyAlignment="1">
      <alignment horizontal="left" vertical="center" wrapText="1" readingOrder="1"/>
    </xf>
    <xf numFmtId="3" fontId="232" fillId="91" borderId="128" xfId="0" applyNumberFormat="1" applyFont="1" applyFill="1" applyBorder="1" applyAlignment="1">
      <alignment horizontal="left" vertical="center" wrapText="1" readingOrder="1"/>
    </xf>
    <xf numFmtId="3" fontId="241" fillId="91" borderId="128" xfId="0" applyNumberFormat="1" applyFont="1" applyFill="1" applyBorder="1" applyAlignment="1">
      <alignment horizontal="left" vertical="center" wrapText="1" readingOrder="1"/>
    </xf>
    <xf numFmtId="3" fontId="232" fillId="93" borderId="128" xfId="0" applyNumberFormat="1" applyFont="1" applyFill="1" applyBorder="1" applyAlignment="1">
      <alignment horizontal="left" vertical="center" wrapText="1" readingOrder="1"/>
    </xf>
    <xf numFmtId="0" fontId="232" fillId="93" borderId="128" xfId="0" applyFont="1" applyFill="1" applyBorder="1" applyAlignment="1">
      <alignment horizontal="center" vertical="center" wrapText="1" readingOrder="1"/>
    </xf>
    <xf numFmtId="0" fontId="240" fillId="90" borderId="128" xfId="0" applyFont="1" applyFill="1" applyBorder="1" applyAlignment="1">
      <alignment horizontal="center" vertical="center" wrapText="1" readingOrder="1"/>
    </xf>
    <xf numFmtId="3" fontId="232" fillId="91" borderId="128" xfId="0" applyNumberFormat="1" applyFont="1" applyFill="1" applyBorder="1" applyAlignment="1">
      <alignment horizontal="left" vertical="center" wrapText="1" indent="1" readingOrder="1"/>
    </xf>
    <xf numFmtId="0" fontId="232" fillId="91" borderId="128" xfId="0" applyFont="1" applyFill="1" applyBorder="1" applyAlignment="1">
      <alignment horizontal="center" vertical="center" wrapText="1" readingOrder="1"/>
    </xf>
    <xf numFmtId="170" fontId="233" fillId="91" borderId="128" xfId="118" applyNumberFormat="1" applyFont="1" applyFill="1" applyBorder="1" applyAlignment="1">
      <alignment horizontal="center" vertical="center" wrapText="1" readingOrder="1"/>
    </xf>
    <xf numFmtId="0" fontId="242" fillId="93" borderId="128" xfId="0" applyFont="1" applyFill="1" applyBorder="1" applyAlignment="1">
      <alignment horizontal="center" vertical="center" wrapText="1" readingOrder="1"/>
    </xf>
    <xf numFmtId="3" fontId="241" fillId="93" borderId="128" xfId="0" applyNumberFormat="1" applyFont="1" applyFill="1" applyBorder="1" applyAlignment="1">
      <alignment horizontal="left" vertical="center" wrapText="1" readingOrder="1"/>
    </xf>
    <xf numFmtId="170" fontId="11" fillId="58" borderId="76" xfId="112" applyNumberFormat="1" applyFont="1" applyFill="1" applyBorder="1"/>
    <xf numFmtId="43" fontId="11" fillId="0" borderId="0" xfId="7" applyFont="1" applyFill="1" applyBorder="1" applyAlignment="1">
      <alignment vertical="top"/>
    </xf>
    <xf numFmtId="14" fontId="60" fillId="0" borderId="2" xfId="1" applyNumberFormat="1" applyFont="1" applyBorder="1" applyAlignment="1" applyProtection="1">
      <protection hidden="1"/>
    </xf>
    <xf numFmtId="0" fontId="0" fillId="0" borderId="0" xfId="0" applyFont="1"/>
    <xf numFmtId="41" fontId="60" fillId="6" borderId="35" xfId="0" applyNumberFormat="1" applyFont="1" applyFill="1" applyBorder="1" applyAlignment="1">
      <alignment horizontal="center" vertical="center" wrapText="1"/>
    </xf>
    <xf numFmtId="41" fontId="78" fillId="6" borderId="13" xfId="0" applyNumberFormat="1" applyFont="1" applyFill="1" applyBorder="1" applyAlignment="1">
      <alignment horizontal="center" vertical="center" wrapText="1"/>
    </xf>
    <xf numFmtId="41" fontId="60" fillId="6" borderId="10" xfId="0" applyNumberFormat="1" applyFont="1" applyFill="1" applyBorder="1" applyAlignment="1">
      <alignment horizontal="center" vertical="center"/>
    </xf>
    <xf numFmtId="0" fontId="243" fillId="0" borderId="0" xfId="284" applyFont="1" applyAlignment="1" applyProtection="1">
      <alignment horizontal="left"/>
      <protection hidden="1"/>
    </xf>
    <xf numFmtId="0" fontId="11" fillId="0" borderId="0" xfId="0" applyFont="1" applyFill="1" applyBorder="1" applyAlignment="1"/>
    <xf numFmtId="0" fontId="246" fillId="0" borderId="0" xfId="284" applyFont="1" applyAlignment="1" applyProtection="1">
      <alignment horizontal="left"/>
      <protection hidden="1"/>
    </xf>
    <xf numFmtId="0" fontId="88" fillId="0" borderId="0" xfId="1" applyFont="1" applyAlignment="1" applyProtection="1">
      <alignment horizontal="center"/>
      <protection hidden="1"/>
    </xf>
    <xf numFmtId="0" fontId="88" fillId="0" borderId="0" xfId="1" applyFont="1" applyAlignment="1" applyProtection="1">
      <alignment horizontal="left"/>
      <protection hidden="1"/>
    </xf>
    <xf numFmtId="14" fontId="30" fillId="0" borderId="0" xfId="1" applyNumberFormat="1" applyFont="1" applyAlignment="1" applyProtection="1">
      <alignment horizontal="right"/>
      <protection hidden="1"/>
    </xf>
    <xf numFmtId="0" fontId="247" fillId="0" borderId="0" xfId="284" applyFont="1" applyFill="1" applyAlignment="1" applyProtection="1">
      <alignment horizontal="left"/>
      <protection hidden="1"/>
    </xf>
    <xf numFmtId="0" fontId="88" fillId="0" borderId="0" xfId="1" applyFont="1" applyFill="1" applyBorder="1" applyAlignment="1" applyProtection="1">
      <protection hidden="1"/>
    </xf>
    <xf numFmtId="0" fontId="247" fillId="0" borderId="0" xfId="284" applyFont="1" applyAlignment="1" applyProtection="1">
      <alignment horizontal="left"/>
      <protection hidden="1"/>
    </xf>
    <xf numFmtId="0" fontId="248" fillId="0" borderId="0" xfId="46" applyFont="1"/>
    <xf numFmtId="0" fontId="30" fillId="0" borderId="0" xfId="46" applyFont="1"/>
    <xf numFmtId="0" fontId="249" fillId="0" borderId="0" xfId="46" applyFont="1" applyAlignment="1"/>
    <xf numFmtId="0" fontId="249" fillId="0" borderId="0" xfId="46" applyFont="1" applyAlignment="1">
      <alignment wrapText="1"/>
    </xf>
    <xf numFmtId="0" fontId="249" fillId="0" borderId="0" xfId="46" applyFont="1"/>
    <xf numFmtId="0" fontId="249" fillId="0" borderId="0" xfId="46" applyFont="1" applyFill="1" applyAlignment="1">
      <alignment wrapText="1"/>
    </xf>
    <xf numFmtId="0" fontId="88" fillId="0" borderId="0" xfId="1" applyFont="1" applyBorder="1" applyAlignment="1" applyProtection="1">
      <alignment horizontal="center"/>
      <protection hidden="1"/>
    </xf>
    <xf numFmtId="0" fontId="248" fillId="0" borderId="0" xfId="46" applyFont="1" applyFill="1" applyBorder="1"/>
    <xf numFmtId="0" fontId="250" fillId="0" borderId="0" xfId="46" applyFont="1" applyAlignment="1">
      <alignment horizontal="left" wrapText="1"/>
    </xf>
    <xf numFmtId="0" fontId="251" fillId="0" borderId="0" xfId="1" applyFont="1" applyAlignment="1" applyProtection="1">
      <protection hidden="1"/>
    </xf>
    <xf numFmtId="0" fontId="30" fillId="0" borderId="0" xfId="46" applyFont="1" applyFill="1" applyBorder="1"/>
    <xf numFmtId="0" fontId="252" fillId="0" borderId="0" xfId="284" applyFont="1" applyAlignment="1" applyProtection="1">
      <alignment horizontal="left"/>
      <protection hidden="1"/>
    </xf>
    <xf numFmtId="0" fontId="30" fillId="0" borderId="0" xfId="46" applyFont="1" applyFill="1" applyBorder="1" applyAlignment="1"/>
    <xf numFmtId="0" fontId="249" fillId="0" borderId="0" xfId="46" applyFont="1" applyAlignment="1">
      <alignment horizontal="left" wrapText="1"/>
    </xf>
    <xf numFmtId="0" fontId="64" fillId="0" borderId="0" xfId="60" applyFont="1"/>
    <xf numFmtId="0" fontId="248" fillId="0" borderId="0" xfId="46" applyFont="1" applyFill="1"/>
    <xf numFmtId="0" fontId="248" fillId="0" borderId="0" xfId="46" applyFont="1" applyAlignment="1">
      <alignment horizontal="left"/>
    </xf>
    <xf numFmtId="0" fontId="253" fillId="0" borderId="0" xfId="284" applyFont="1" applyAlignment="1" applyProtection="1">
      <alignment horizontal="left"/>
      <protection hidden="1"/>
    </xf>
    <xf numFmtId="0" fontId="16" fillId="0" borderId="0" xfId="60" applyFont="1"/>
    <xf numFmtId="0" fontId="16" fillId="0" borderId="0" xfId="60" applyFont="1" applyAlignment="1">
      <alignment horizontal="left" vertical="center"/>
    </xf>
    <xf numFmtId="0" fontId="11" fillId="0" borderId="0" xfId="60" applyFont="1"/>
    <xf numFmtId="0" fontId="254" fillId="0" borderId="0" xfId="60" applyFont="1"/>
    <xf numFmtId="0" fontId="255" fillId="0" borderId="0" xfId="284" applyFont="1" applyAlignment="1" applyProtection="1">
      <alignment horizontal="left"/>
      <protection hidden="1"/>
    </xf>
    <xf numFmtId="0" fontId="17" fillId="6" borderId="75" xfId="46" applyFont="1" applyFill="1" applyBorder="1" applyAlignment="1">
      <alignment horizontal="center" vertical="center" wrapText="1"/>
    </xf>
    <xf numFmtId="0" fontId="44" fillId="0" borderId="0" xfId="46" applyFont="1" applyBorder="1" applyAlignment="1">
      <alignment horizontal="left" vertical="top" wrapText="1" indent="1"/>
    </xf>
    <xf numFmtId="0" fontId="246" fillId="0" borderId="0" xfId="284" applyFont="1" applyFill="1" applyAlignment="1" applyProtection="1">
      <alignment horizontal="left"/>
      <protection hidden="1"/>
    </xf>
    <xf numFmtId="9" fontId="17" fillId="0" borderId="74" xfId="46" applyNumberFormat="1" applyFont="1" applyFill="1" applyBorder="1" applyAlignment="1">
      <alignment horizontal="center" vertical="center" wrapText="1"/>
    </xf>
    <xf numFmtId="9" fontId="17" fillId="6" borderId="74" xfId="46" applyNumberFormat="1" applyFont="1" applyFill="1" applyBorder="1" applyAlignment="1">
      <alignment horizontal="center" vertical="center" wrapText="1"/>
    </xf>
    <xf numFmtId="41" fontId="60" fillId="6" borderId="6" xfId="69" applyNumberFormat="1" applyFont="1" applyFill="1" applyBorder="1" applyAlignment="1">
      <alignment horizontal="center" vertical="center" wrapText="1"/>
    </xf>
    <xf numFmtId="0" fontId="44" fillId="0" borderId="0" xfId="46" applyFont="1" applyAlignment="1">
      <alignment horizontal="left" vertical="center" indent="1"/>
    </xf>
    <xf numFmtId="0" fontId="16" fillId="0" borderId="76" xfId="69" applyFont="1" applyFill="1" applyBorder="1" applyAlignment="1" applyProtection="1">
      <alignment horizontal="center" vertical="center" wrapText="1"/>
      <protection hidden="1"/>
    </xf>
    <xf numFmtId="41" fontId="60" fillId="0" borderId="76" xfId="69" applyNumberFormat="1" applyFont="1" applyFill="1" applyBorder="1" applyAlignment="1">
      <alignment horizontal="center" vertical="center" wrapText="1"/>
    </xf>
    <xf numFmtId="49" fontId="15" fillId="0" borderId="76" xfId="69" applyNumberFormat="1" applyFont="1" applyFill="1" applyBorder="1" applyAlignment="1" applyProtection="1">
      <alignment horizontal="center" vertical="center"/>
      <protection hidden="1"/>
    </xf>
    <xf numFmtId="0" fontId="46" fillId="0" borderId="76" xfId="69" applyFont="1" applyFill="1" applyBorder="1" applyAlignment="1" applyProtection="1">
      <alignment horizontal="center" wrapText="1"/>
      <protection hidden="1"/>
    </xf>
    <xf numFmtId="0" fontId="47" fillId="0" borderId="76" xfId="69" applyFont="1" applyBorder="1" applyAlignment="1" applyProtection="1">
      <alignment vertical="center" wrapText="1"/>
      <protection hidden="1"/>
    </xf>
    <xf numFmtId="37" fontId="60" fillId="6" borderId="76" xfId="69" applyNumberFormat="1" applyFont="1" applyFill="1" applyBorder="1" applyAlignment="1">
      <alignment horizontal="center" vertical="center" wrapText="1"/>
    </xf>
    <xf numFmtId="37" fontId="60" fillId="0" borderId="76" xfId="69" applyNumberFormat="1" applyFont="1" applyFill="1" applyBorder="1" applyAlignment="1">
      <alignment horizontal="center" vertical="center" wrapText="1"/>
    </xf>
    <xf numFmtId="3" fontId="15" fillId="0" borderId="119" xfId="46" applyNumberFormat="1" applyFont="1" applyBorder="1" applyAlignment="1">
      <alignment horizontal="center" vertical="center"/>
    </xf>
    <xf numFmtId="43" fontId="15" fillId="0" borderId="76" xfId="7" applyFont="1" applyBorder="1"/>
    <xf numFmtId="0" fontId="257" fillId="0" borderId="0" xfId="284" applyFont="1" applyAlignment="1" applyProtection="1">
      <alignment horizontal="left"/>
      <protection hidden="1"/>
    </xf>
    <xf numFmtId="0" fontId="33" fillId="0" borderId="0" xfId="0" applyFont="1"/>
    <xf numFmtId="0" fontId="16" fillId="6" borderId="13" xfId="0" applyFont="1" applyFill="1" applyBorder="1" applyAlignment="1">
      <alignment horizontal="center" vertical="center" wrapText="1"/>
    </xf>
    <xf numFmtId="0" fontId="0" fillId="0" borderId="0" xfId="0" applyFont="1"/>
    <xf numFmtId="0" fontId="16" fillId="0" borderId="0" xfId="0" applyFont="1" applyBorder="1" applyAlignment="1">
      <alignment horizontal="left" vertical="center" wrapText="1" indent="1"/>
    </xf>
    <xf numFmtId="41" fontId="60" fillId="0" borderId="10" xfId="0" applyNumberFormat="1" applyFont="1" applyFill="1" applyBorder="1" applyAlignment="1">
      <alignment horizontal="center" vertical="center"/>
    </xf>
    <xf numFmtId="41" fontId="60" fillId="6" borderId="35" xfId="0" applyNumberFormat="1" applyFont="1" applyFill="1" applyBorder="1" applyAlignment="1">
      <alignment horizontal="center" vertical="center" wrapText="1"/>
    </xf>
    <xf numFmtId="41" fontId="78" fillId="6" borderId="13" xfId="0" applyNumberFormat="1" applyFont="1" applyFill="1" applyBorder="1" applyAlignment="1">
      <alignment horizontal="center" vertical="center" wrapText="1"/>
    </xf>
    <xf numFmtId="41" fontId="60" fillId="3" borderId="26" xfId="0" applyNumberFormat="1" applyFont="1" applyFill="1" applyBorder="1" applyAlignment="1">
      <alignment horizontal="center" vertical="center" wrapText="1"/>
    </xf>
    <xf numFmtId="0" fontId="7" fillId="0" borderId="77" xfId="0" applyFont="1" applyFill="1" applyBorder="1" applyAlignment="1">
      <alignment horizontal="center" vertical="center" wrapText="1"/>
    </xf>
    <xf numFmtId="0" fontId="0" fillId="0" borderId="0" xfId="0" applyFont="1"/>
    <xf numFmtId="0" fontId="16" fillId="0" borderId="15" xfId="0" applyFont="1" applyFill="1" applyBorder="1" applyAlignment="1">
      <alignment horizontal="center" vertical="center" wrapText="1"/>
    </xf>
    <xf numFmtId="0" fontId="16" fillId="3" borderId="12" xfId="0" applyFont="1" applyFill="1" applyBorder="1" applyAlignment="1">
      <alignment horizontal="left" vertical="center" wrapText="1" indent="1"/>
    </xf>
    <xf numFmtId="0" fontId="16" fillId="6" borderId="76" xfId="0" applyFont="1" applyFill="1" applyBorder="1" applyAlignment="1">
      <alignment horizontal="left" vertical="center" wrapText="1" indent="1"/>
    </xf>
    <xf numFmtId="0" fontId="16" fillId="6" borderId="19" xfId="0" applyFont="1" applyFill="1" applyBorder="1" applyAlignment="1">
      <alignment horizontal="left" vertical="center" wrapText="1" indent="1"/>
    </xf>
    <xf numFmtId="0" fontId="7" fillId="3" borderId="13" xfId="0" applyFont="1" applyFill="1" applyBorder="1" applyAlignment="1">
      <alignment horizontal="center" vertical="center" wrapText="1"/>
    </xf>
    <xf numFmtId="41" fontId="60" fillId="6" borderId="78" xfId="0" applyNumberFormat="1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left" vertical="center" wrapText="1" indent="1"/>
    </xf>
    <xf numFmtId="0" fontId="16" fillId="0" borderId="19" xfId="0" applyFont="1" applyFill="1" applyBorder="1" applyAlignment="1">
      <alignment horizontal="left" vertical="center" wrapText="1" indent="1"/>
    </xf>
    <xf numFmtId="0" fontId="7" fillId="0" borderId="12" xfId="0" applyFont="1" applyFill="1" applyBorder="1" applyAlignment="1">
      <alignment horizontal="center" vertical="center" wrapText="1"/>
    </xf>
    <xf numFmtId="0" fontId="30" fillId="0" borderId="77" xfId="0" applyFont="1" applyFill="1" applyBorder="1" applyAlignment="1">
      <alignment horizontal="center" vertical="center" wrapText="1"/>
    </xf>
    <xf numFmtId="41" fontId="60" fillId="6" borderId="37" xfId="0" applyNumberFormat="1" applyFont="1" applyFill="1" applyBorder="1" applyAlignment="1">
      <alignment horizontal="center" vertical="center" wrapText="1"/>
    </xf>
    <xf numFmtId="41" fontId="60" fillId="0" borderId="36" xfId="0" applyNumberFormat="1" applyFont="1" applyFill="1" applyBorder="1" applyAlignment="1">
      <alignment horizontal="center" vertical="center" wrapText="1"/>
    </xf>
    <xf numFmtId="0" fontId="17" fillId="6" borderId="16" xfId="0" applyFont="1" applyFill="1" applyBorder="1" applyAlignment="1">
      <alignment horizontal="left" vertical="center" wrapText="1" indent="1"/>
    </xf>
    <xf numFmtId="0" fontId="7" fillId="0" borderId="76" xfId="0" applyFont="1" applyFill="1" applyBorder="1" applyAlignment="1">
      <alignment horizontal="center" vertical="center" wrapText="1"/>
    </xf>
    <xf numFmtId="0" fontId="16" fillId="0" borderId="76" xfId="0" applyFont="1" applyFill="1" applyBorder="1" applyAlignment="1">
      <alignment horizontal="left" vertical="center" wrapText="1" indent="1"/>
    </xf>
    <xf numFmtId="169" fontId="78" fillId="0" borderId="25" xfId="0" applyNumberFormat="1" applyFont="1" applyFill="1" applyBorder="1" applyAlignment="1">
      <alignment horizontal="center" vertical="center" wrapText="1"/>
    </xf>
    <xf numFmtId="169" fontId="70" fillId="6" borderId="79" xfId="0" applyNumberFormat="1" applyFont="1" applyFill="1" applyBorder="1" applyAlignment="1">
      <alignment horizontal="center" vertical="center" wrapText="1"/>
    </xf>
    <xf numFmtId="169" fontId="70" fillId="6" borderId="36" xfId="0" applyNumberFormat="1" applyFont="1" applyFill="1" applyBorder="1" applyAlignment="1">
      <alignment horizontal="center" vertical="center" wrapText="1"/>
    </xf>
    <xf numFmtId="169" fontId="78" fillId="6" borderId="25" xfId="0" applyNumberFormat="1" applyFont="1" applyFill="1" applyBorder="1" applyAlignment="1">
      <alignment horizontal="center" vertical="center" wrapText="1"/>
    </xf>
    <xf numFmtId="169" fontId="60" fillId="6" borderId="36" xfId="0" applyNumberFormat="1" applyFont="1" applyFill="1" applyBorder="1" applyAlignment="1">
      <alignment horizontal="center" vertical="center" wrapText="1"/>
    </xf>
    <xf numFmtId="169" fontId="70" fillId="0" borderId="79" xfId="0" applyNumberFormat="1" applyFont="1" applyFill="1" applyBorder="1" applyAlignment="1">
      <alignment horizontal="center" vertical="center" wrapText="1"/>
    </xf>
    <xf numFmtId="169" fontId="60" fillId="0" borderId="36" xfId="0" applyNumberFormat="1" applyFont="1" applyFill="1" applyBorder="1" applyAlignment="1">
      <alignment horizontal="center" vertical="center" wrapText="1"/>
    </xf>
    <xf numFmtId="169" fontId="70" fillId="0" borderId="25" xfId="0" applyNumberFormat="1" applyFont="1" applyFill="1" applyBorder="1" applyAlignment="1">
      <alignment horizontal="center" vertical="center" wrapText="1"/>
    </xf>
    <xf numFmtId="41" fontId="60" fillId="6" borderId="6" xfId="69" applyNumberFormat="1" applyFont="1" applyFill="1" applyBorder="1" applyAlignment="1">
      <alignment horizontal="center" vertical="center" wrapText="1"/>
    </xf>
    <xf numFmtId="49" fontId="11" fillId="0" borderId="6" xfId="72" applyNumberFormat="1" applyFont="1" applyFill="1" applyBorder="1" applyAlignment="1" applyProtection="1">
      <alignment horizontal="center" vertical="center"/>
      <protection hidden="1"/>
    </xf>
    <xf numFmtId="0" fontId="11" fillId="0" borderId="6" xfId="72" applyFont="1" applyFill="1" applyBorder="1" applyAlignment="1" applyProtection="1">
      <alignment horizontal="center" vertical="center"/>
      <protection hidden="1"/>
    </xf>
    <xf numFmtId="0" fontId="59" fillId="0" borderId="6" xfId="72" applyFont="1" applyFill="1" applyBorder="1" applyAlignment="1" applyProtection="1">
      <alignment horizontal="center" wrapText="1"/>
      <protection hidden="1"/>
    </xf>
    <xf numFmtId="0" fontId="158" fillId="0" borderId="65" xfId="72" applyFont="1" applyFill="1" applyBorder="1" applyAlignment="1" applyProtection="1">
      <alignment horizontal="center"/>
      <protection hidden="1"/>
    </xf>
    <xf numFmtId="49" fontId="11" fillId="0" borderId="8" xfId="72" applyNumberFormat="1" applyFont="1" applyFill="1" applyBorder="1" applyAlignment="1" applyProtection="1">
      <alignment horizontal="center" vertical="center" wrapText="1"/>
      <protection hidden="1"/>
    </xf>
    <xf numFmtId="0" fontId="16" fillId="0" borderId="6" xfId="72" applyFont="1" applyFill="1" applyBorder="1" applyAlignment="1" applyProtection="1">
      <alignment horizontal="center" wrapText="1"/>
      <protection hidden="1"/>
    </xf>
    <xf numFmtId="0" fontId="165" fillId="0" borderId="6" xfId="72" applyFont="1" applyFill="1" applyBorder="1" applyAlignment="1" applyProtection="1">
      <alignment horizontal="center" wrapText="1"/>
      <protection hidden="1"/>
    </xf>
    <xf numFmtId="0" fontId="60" fillId="0" borderId="0" xfId="6" applyFont="1" applyFill="1" applyBorder="1" applyAlignment="1">
      <alignment horizontal="left" vertical="top" wrapText="1"/>
    </xf>
    <xf numFmtId="41" fontId="60" fillId="0" borderId="64" xfId="69" applyNumberFormat="1" applyFont="1" applyFill="1" applyBorder="1" applyAlignment="1">
      <alignment horizontal="center" vertical="center" wrapText="1"/>
    </xf>
    <xf numFmtId="0" fontId="14" fillId="7" borderId="74" xfId="6" applyFont="1" applyFill="1" applyBorder="1" applyAlignment="1">
      <alignment vertical="center" wrapText="1"/>
    </xf>
    <xf numFmtId="41" fontId="60" fillId="0" borderId="0" xfId="0" applyNumberFormat="1" applyFont="1" applyFill="1" applyBorder="1" applyAlignment="1">
      <alignment horizontal="center" vertical="center" wrapText="1"/>
    </xf>
    <xf numFmtId="41" fontId="60" fillId="0" borderId="119" xfId="0" applyNumberFormat="1" applyFont="1" applyFill="1" applyBorder="1" applyAlignment="1">
      <alignment horizontal="center" vertical="center" wrapText="1"/>
    </xf>
    <xf numFmtId="0" fontId="16" fillId="3" borderId="0" xfId="6" applyFont="1" applyFill="1" applyBorder="1" applyAlignment="1">
      <alignment horizontal="left" vertical="center" wrapText="1" indent="1"/>
    </xf>
    <xf numFmtId="0" fontId="7" fillId="3" borderId="77" xfId="0" applyFont="1" applyFill="1" applyBorder="1" applyAlignment="1">
      <alignment vertical="center" wrapText="1"/>
    </xf>
    <xf numFmtId="0" fontId="30" fillId="0" borderId="77" xfId="0" applyFont="1" applyFill="1" applyBorder="1" applyAlignment="1">
      <alignment vertical="center" wrapText="1"/>
    </xf>
    <xf numFmtId="41" fontId="60" fillId="6" borderId="36" xfId="0" applyNumberFormat="1" applyFont="1" applyFill="1" applyBorder="1" applyAlignment="1">
      <alignment vertical="center" wrapText="1"/>
    </xf>
    <xf numFmtId="41" fontId="78" fillId="6" borderId="25" xfId="0" applyNumberFormat="1" applyFont="1" applyFill="1" applyBorder="1" applyAlignment="1">
      <alignment vertical="center" wrapText="1"/>
    </xf>
    <xf numFmtId="0" fontId="14" fillId="0" borderId="0" xfId="6" applyFont="1" applyFill="1" applyAlignment="1">
      <alignment vertical="center"/>
    </xf>
    <xf numFmtId="0" fontId="30" fillId="8" borderId="12" xfId="0" applyFont="1" applyFill="1" applyBorder="1" applyAlignment="1">
      <alignment horizontal="center" vertical="center" wrapText="1"/>
    </xf>
    <xf numFmtId="0" fontId="7" fillId="8" borderId="12" xfId="0" applyFont="1" applyFill="1" applyBorder="1" applyAlignment="1">
      <alignment horizontal="center" vertical="center" wrapText="1"/>
    </xf>
    <xf numFmtId="0" fontId="34" fillId="8" borderId="15" xfId="0" applyFont="1" applyFill="1" applyBorder="1" applyAlignment="1">
      <alignment horizontal="center" vertical="center" wrapText="1"/>
    </xf>
    <xf numFmtId="0" fontId="30" fillId="0" borderId="119" xfId="0" applyFont="1" applyBorder="1" applyAlignment="1">
      <alignment horizontal="center" vertical="center" wrapText="1"/>
    </xf>
    <xf numFmtId="0" fontId="30" fillId="0" borderId="68" xfId="0" applyFont="1" applyBorder="1" applyAlignment="1">
      <alignment horizontal="center" vertical="center" wrapText="1"/>
    </xf>
    <xf numFmtId="0" fontId="30" fillId="0" borderId="35" xfId="0" applyFont="1" applyBorder="1" applyAlignment="1">
      <alignment horizontal="center" vertical="center" wrapText="1"/>
    </xf>
    <xf numFmtId="168" fontId="15" fillId="6" borderId="68" xfId="0" applyNumberFormat="1" applyFont="1" applyFill="1" applyBorder="1" applyAlignment="1">
      <alignment horizontal="center" vertical="center"/>
    </xf>
    <xf numFmtId="0" fontId="16" fillId="0" borderId="12" xfId="0" applyFont="1" applyFill="1" applyBorder="1" applyAlignment="1">
      <alignment horizontal="left" vertical="center" wrapText="1" indent="1"/>
    </xf>
    <xf numFmtId="0" fontId="7" fillId="8" borderId="12" xfId="0" applyFont="1" applyFill="1" applyBorder="1" applyAlignment="1">
      <alignment horizontal="center" vertical="top" wrapText="1"/>
    </xf>
    <xf numFmtId="9" fontId="15" fillId="6" borderId="68" xfId="68" applyFont="1" applyFill="1" applyBorder="1" applyAlignment="1">
      <alignment horizontal="center" vertical="center"/>
    </xf>
    <xf numFmtId="9" fontId="15" fillId="6" borderId="119" xfId="68" applyFont="1" applyFill="1" applyBorder="1" applyAlignment="1">
      <alignment horizontal="center" vertical="center"/>
    </xf>
    <xf numFmtId="9" fontId="15" fillId="0" borderId="35" xfId="68" applyFont="1" applyFill="1" applyBorder="1" applyAlignment="1">
      <alignment horizontal="center" vertical="center"/>
    </xf>
    <xf numFmtId="0" fontId="16" fillId="6" borderId="79" xfId="0" applyFont="1" applyFill="1" applyBorder="1" applyAlignment="1">
      <alignment horizontal="left" vertical="center" wrapText="1" indent="1"/>
    </xf>
    <xf numFmtId="41" fontId="55" fillId="0" borderId="15" xfId="0" applyNumberFormat="1" applyFont="1" applyFill="1" applyBorder="1" applyAlignment="1">
      <alignment horizontal="center" vertical="center" wrapText="1"/>
    </xf>
    <xf numFmtId="9" fontId="15" fillId="6" borderId="35" xfId="68" applyFont="1" applyFill="1" applyBorder="1" applyAlignment="1">
      <alignment horizontal="center" vertical="center"/>
    </xf>
    <xf numFmtId="0" fontId="61" fillId="0" borderId="0" xfId="80" applyFont="1" applyBorder="1" applyAlignment="1">
      <alignment horizontal="center" vertical="center"/>
    </xf>
    <xf numFmtId="0" fontId="17" fillId="7" borderId="77" xfId="0" applyFont="1" applyFill="1" applyBorder="1" applyAlignment="1">
      <alignment vertical="center"/>
    </xf>
    <xf numFmtId="169" fontId="70" fillId="0" borderId="79" xfId="0" applyNumberFormat="1" applyFont="1" applyFill="1" applyBorder="1" applyAlignment="1">
      <alignment vertical="center" wrapText="1"/>
    </xf>
    <xf numFmtId="168" fontId="204" fillId="6" borderId="119" xfId="0" applyNumberFormat="1" applyFont="1" applyFill="1" applyBorder="1" applyAlignment="1">
      <alignment horizontal="center" vertical="center"/>
    </xf>
    <xf numFmtId="168" fontId="204" fillId="0" borderId="119" xfId="0" applyNumberFormat="1" applyFont="1" applyFill="1" applyBorder="1" applyAlignment="1">
      <alignment horizontal="center" vertical="center"/>
    </xf>
    <xf numFmtId="168" fontId="204" fillId="6" borderId="68" xfId="0" applyNumberFormat="1" applyFont="1" applyFill="1" applyBorder="1" applyAlignment="1">
      <alignment horizontal="center" vertical="center"/>
    </xf>
    <xf numFmtId="168" fontId="60" fillId="0" borderId="119" xfId="0" applyNumberFormat="1" applyFont="1" applyFill="1" applyBorder="1" applyAlignment="1">
      <alignment horizontal="center" vertical="center"/>
    </xf>
    <xf numFmtId="168" fontId="60" fillId="0" borderId="35" xfId="0" applyNumberFormat="1" applyFont="1" applyFill="1" applyBorder="1" applyAlignment="1">
      <alignment horizontal="center" vertical="center"/>
    </xf>
    <xf numFmtId="168" fontId="204" fillId="0" borderId="35" xfId="0" applyNumberFormat="1" applyFont="1" applyFill="1" applyBorder="1" applyAlignment="1">
      <alignment horizontal="center" vertical="center"/>
    </xf>
    <xf numFmtId="168" fontId="204" fillId="6" borderId="35" xfId="0" applyNumberFormat="1" applyFont="1" applyFill="1" applyBorder="1" applyAlignment="1">
      <alignment horizontal="center" vertical="center"/>
    </xf>
    <xf numFmtId="168" fontId="60" fillId="6" borderId="68" xfId="0" applyNumberFormat="1" applyFont="1" applyFill="1" applyBorder="1" applyAlignment="1">
      <alignment horizontal="center" vertical="center"/>
    </xf>
    <xf numFmtId="41" fontId="60" fillId="6" borderId="35" xfId="0" applyNumberFormat="1" applyFont="1" applyFill="1" applyBorder="1" applyAlignment="1">
      <alignment horizontal="center" vertical="center"/>
    </xf>
    <xf numFmtId="168" fontId="60" fillId="6" borderId="35" xfId="0" applyNumberFormat="1" applyFont="1" applyFill="1" applyBorder="1" applyAlignment="1">
      <alignment horizontal="center" vertical="center"/>
    </xf>
    <xf numFmtId="169" fontId="55" fillId="6" borderId="25" xfId="0" applyNumberFormat="1" applyFont="1" applyFill="1" applyBorder="1" applyAlignment="1">
      <alignment horizontal="center" vertical="center" wrapText="1"/>
    </xf>
    <xf numFmtId="169" fontId="55" fillId="0" borderId="25" xfId="0" applyNumberFormat="1" applyFont="1" applyFill="1" applyBorder="1" applyAlignment="1">
      <alignment horizontal="center" vertical="center" wrapText="1"/>
    </xf>
    <xf numFmtId="41" fontId="60" fillId="0" borderId="68" xfId="0" applyNumberFormat="1" applyFont="1" applyFill="1" applyBorder="1" applyAlignment="1">
      <alignment horizontal="center" vertical="center" wrapText="1"/>
    </xf>
    <xf numFmtId="0" fontId="14" fillId="7" borderId="77" xfId="6" applyFont="1" applyFill="1" applyBorder="1" applyAlignment="1">
      <alignment wrapText="1"/>
    </xf>
    <xf numFmtId="169" fontId="60" fillId="0" borderId="35" xfId="0" applyNumberFormat="1" applyFont="1" applyFill="1" applyBorder="1" applyAlignment="1">
      <alignment horizontal="center" vertical="center" wrapText="1"/>
    </xf>
    <xf numFmtId="169" fontId="15" fillId="0" borderId="26" xfId="0" applyNumberFormat="1" applyFont="1" applyFill="1" applyBorder="1" applyAlignment="1">
      <alignment horizontal="center" vertical="center" wrapText="1"/>
    </xf>
    <xf numFmtId="0" fontId="7" fillId="8" borderId="7" xfId="0" applyFont="1" applyFill="1" applyBorder="1" applyAlignment="1">
      <alignment horizontal="center" vertical="center" wrapText="1"/>
    </xf>
    <xf numFmtId="0" fontId="7" fillId="8" borderId="6" xfId="0" applyFont="1" applyFill="1" applyBorder="1" applyAlignment="1">
      <alignment horizontal="center" vertical="center" wrapText="1"/>
    </xf>
    <xf numFmtId="0" fontId="7" fillId="8" borderId="66" xfId="0" applyFont="1" applyFill="1" applyBorder="1" applyAlignment="1">
      <alignment horizontal="center" vertical="center" wrapText="1"/>
    </xf>
    <xf numFmtId="0" fontId="12" fillId="8" borderId="66" xfId="0" applyFont="1" applyFill="1" applyBorder="1" applyAlignment="1">
      <alignment horizontal="center" vertical="center" wrapText="1"/>
    </xf>
    <xf numFmtId="0" fontId="14" fillId="8" borderId="7" xfId="0" applyFont="1" applyFill="1" applyBorder="1" applyAlignment="1">
      <alignment horizontal="center" vertical="center" wrapText="1"/>
    </xf>
    <xf numFmtId="0" fontId="14" fillId="8" borderId="6" xfId="0" applyFont="1" applyFill="1" applyBorder="1" applyAlignment="1">
      <alignment horizontal="center" vertical="center" wrapText="1"/>
    </xf>
    <xf numFmtId="0" fontId="7" fillId="8" borderId="77" xfId="0" applyFont="1" applyFill="1" applyBorder="1" applyAlignment="1">
      <alignment horizontal="center" vertical="center" wrapText="1"/>
    </xf>
    <xf numFmtId="0" fontId="30" fillId="8" borderId="77" xfId="0" applyFont="1" applyFill="1" applyBorder="1" applyAlignment="1">
      <alignment horizontal="center" vertical="center" wrapText="1"/>
    </xf>
    <xf numFmtId="0" fontId="7" fillId="8" borderId="12" xfId="0" applyFont="1" applyFill="1" applyBorder="1" applyAlignment="1">
      <alignment horizontal="center" wrapText="1"/>
    </xf>
    <xf numFmtId="0" fontId="7" fillId="8" borderId="13" xfId="0" applyFont="1" applyFill="1" applyBorder="1" applyAlignment="1">
      <alignment horizontal="center" vertical="center" wrapText="1"/>
    </xf>
    <xf numFmtId="0" fontId="66" fillId="8" borderId="63" xfId="0" applyFont="1" applyFill="1" applyBorder="1" applyAlignment="1">
      <alignment horizontal="center" vertical="center" wrapText="1"/>
    </xf>
    <xf numFmtId="0" fontId="30" fillId="8" borderId="76" xfId="0" applyFont="1" applyFill="1" applyBorder="1" applyAlignment="1">
      <alignment horizontal="center" vertical="center" wrapText="1"/>
    </xf>
    <xf numFmtId="0" fontId="7" fillId="8" borderId="76" xfId="0" applyFont="1" applyFill="1" applyBorder="1" applyAlignment="1">
      <alignment horizontal="center" vertical="center" wrapText="1"/>
    </xf>
    <xf numFmtId="169" fontId="70" fillId="0" borderId="24" xfId="0" applyNumberFormat="1" applyFont="1" applyFill="1" applyBorder="1" applyAlignment="1">
      <alignment horizontal="center" vertical="center" wrapText="1"/>
    </xf>
    <xf numFmtId="169" fontId="70" fillId="0" borderId="10" xfId="0" applyNumberFormat="1" applyFont="1" applyFill="1" applyBorder="1" applyAlignment="1">
      <alignment horizontal="center" vertical="center" wrapText="1"/>
    </xf>
    <xf numFmtId="169" fontId="70" fillId="0" borderId="11" xfId="0" applyNumberFormat="1" applyFont="1" applyFill="1" applyBorder="1" applyAlignment="1">
      <alignment horizontal="center" vertical="center" wrapText="1"/>
    </xf>
    <xf numFmtId="0" fontId="16" fillId="3" borderId="76" xfId="0" applyFont="1" applyFill="1" applyBorder="1" applyAlignment="1">
      <alignment horizontal="left" vertical="center" wrapText="1" indent="1"/>
    </xf>
    <xf numFmtId="0" fontId="16" fillId="0" borderId="68" xfId="0" applyFont="1" applyFill="1" applyBorder="1" applyAlignment="1">
      <alignment horizontal="left" vertical="center" wrapText="1" indent="1"/>
    </xf>
    <xf numFmtId="0" fontId="30" fillId="8" borderId="67" xfId="0" applyFont="1" applyFill="1" applyBorder="1" applyAlignment="1">
      <alignment horizontal="center" vertical="center" wrapText="1"/>
    </xf>
    <xf numFmtId="0" fontId="30" fillId="8" borderId="64" xfId="0" applyFont="1" applyFill="1" applyBorder="1" applyAlignment="1">
      <alignment horizontal="center" vertical="center" wrapText="1"/>
    </xf>
    <xf numFmtId="0" fontId="7" fillId="8" borderId="64" xfId="0" applyFont="1" applyFill="1" applyBorder="1" applyAlignment="1">
      <alignment horizontal="center" vertical="center" wrapText="1"/>
    </xf>
    <xf numFmtId="0" fontId="14" fillId="7" borderId="75" xfId="6" applyFont="1" applyFill="1" applyBorder="1" applyAlignment="1">
      <alignment wrapText="1"/>
    </xf>
    <xf numFmtId="0" fontId="30" fillId="8" borderId="6" xfId="0" applyFont="1" applyFill="1" applyBorder="1" applyAlignment="1">
      <alignment horizontal="center" vertical="center" wrapText="1"/>
    </xf>
    <xf numFmtId="0" fontId="66" fillId="8" borderId="6" xfId="0" applyFont="1" applyFill="1" applyBorder="1" applyAlignment="1">
      <alignment horizontal="center" vertical="center" wrapText="1"/>
    </xf>
    <xf numFmtId="41" fontId="55" fillId="0" borderId="119" xfId="0" applyNumberFormat="1" applyFont="1" applyFill="1" applyBorder="1" applyAlignment="1">
      <alignment horizontal="center" vertical="center" wrapText="1"/>
    </xf>
    <xf numFmtId="0" fontId="12" fillId="8" borderId="12" xfId="0" applyFont="1" applyFill="1" applyBorder="1" applyAlignment="1">
      <alignment horizontal="center" vertical="center" wrapText="1"/>
    </xf>
    <xf numFmtId="0" fontId="12" fillId="8" borderId="75" xfId="0" applyFont="1" applyFill="1" applyBorder="1" applyAlignment="1">
      <alignment horizontal="center" vertical="center" wrapText="1"/>
    </xf>
    <xf numFmtId="0" fontId="16" fillId="8" borderId="12" xfId="0" applyFont="1" applyFill="1" applyBorder="1" applyAlignment="1">
      <alignment horizontal="center" vertical="center" wrapText="1"/>
    </xf>
    <xf numFmtId="41" fontId="70" fillId="0" borderId="35" xfId="0" applyNumberFormat="1" applyFont="1" applyFill="1" applyBorder="1" applyAlignment="1">
      <alignment horizontal="center" vertical="center" wrapText="1"/>
    </xf>
    <xf numFmtId="41" fontId="70" fillId="6" borderId="35" xfId="0" applyNumberFormat="1" applyFont="1" applyFill="1" applyBorder="1" applyAlignment="1">
      <alignment horizontal="center" vertical="center" wrapText="1"/>
    </xf>
    <xf numFmtId="0" fontId="0" fillId="6" borderId="35" xfId="0" applyFont="1" applyFill="1" applyBorder="1"/>
    <xf numFmtId="41" fontId="70" fillId="6" borderId="37" xfId="0" applyNumberFormat="1" applyFont="1" applyFill="1" applyBorder="1" applyAlignment="1">
      <alignment horizontal="center" vertical="center" wrapText="1"/>
    </xf>
    <xf numFmtId="41" fontId="90" fillId="6" borderId="11" xfId="0" applyNumberFormat="1" applyFont="1" applyFill="1" applyBorder="1" applyAlignment="1">
      <alignment horizontal="center" vertical="center" wrapText="1"/>
    </xf>
    <xf numFmtId="0" fontId="0" fillId="6" borderId="11" xfId="0" applyFont="1" applyFill="1" applyBorder="1"/>
    <xf numFmtId="41" fontId="90" fillId="6" borderId="23" xfId="0" applyNumberFormat="1" applyFont="1" applyFill="1" applyBorder="1" applyAlignment="1">
      <alignment horizontal="center" vertical="center" wrapText="1"/>
    </xf>
    <xf numFmtId="41" fontId="83" fillId="0" borderId="11" xfId="0" applyNumberFormat="1" applyFont="1" applyFill="1" applyBorder="1" applyAlignment="1">
      <alignment horizontal="center" vertical="center" wrapText="1"/>
    </xf>
    <xf numFmtId="41" fontId="83" fillId="6" borderId="11" xfId="0" applyNumberFormat="1" applyFont="1" applyFill="1" applyBorder="1" applyAlignment="1">
      <alignment horizontal="center" vertical="center" wrapText="1"/>
    </xf>
    <xf numFmtId="0" fontId="80" fillId="0" borderId="19" xfId="0" applyFont="1" applyBorder="1" applyAlignment="1">
      <alignment vertical="center" textRotation="90"/>
    </xf>
    <xf numFmtId="0" fontId="16" fillId="0" borderId="78" xfId="0" applyFont="1" applyFill="1" applyBorder="1" applyAlignment="1">
      <alignment horizontal="left" vertical="center" wrapText="1" indent="1"/>
    </xf>
    <xf numFmtId="168" fontId="204" fillId="6" borderId="12" xfId="0" applyNumberFormat="1" applyFont="1" applyFill="1" applyBorder="1" applyAlignment="1">
      <alignment horizontal="center" vertical="center"/>
    </xf>
    <xf numFmtId="41" fontId="19" fillId="0" borderId="68" xfId="0" applyNumberFormat="1" applyFont="1" applyFill="1" applyBorder="1" applyAlignment="1">
      <alignment horizontal="center" vertical="center" wrapText="1"/>
    </xf>
    <xf numFmtId="0" fontId="17" fillId="0" borderId="119" xfId="0" applyFont="1" applyFill="1" applyBorder="1" applyAlignment="1">
      <alignment horizontal="left" vertical="center" wrapText="1" indent="1"/>
    </xf>
    <xf numFmtId="41" fontId="19" fillId="0" borderId="35" xfId="0" applyNumberFormat="1" applyFont="1" applyFill="1" applyBorder="1" applyAlignment="1">
      <alignment horizontal="center" vertical="center" wrapText="1"/>
    </xf>
    <xf numFmtId="41" fontId="55" fillId="6" borderId="11" xfId="0" applyNumberFormat="1" applyFont="1" applyFill="1" applyBorder="1" applyAlignment="1">
      <alignment horizontal="center" vertical="center" wrapText="1"/>
    </xf>
    <xf numFmtId="41" fontId="55" fillId="0" borderId="11" xfId="0" applyNumberFormat="1" applyFont="1" applyFill="1" applyBorder="1" applyAlignment="1">
      <alignment horizontal="center" vertical="center" wrapText="1"/>
    </xf>
    <xf numFmtId="0" fontId="16" fillId="3" borderId="35" xfId="0" applyFont="1" applyFill="1" applyBorder="1" applyAlignment="1">
      <alignment horizontal="left" vertical="center" wrapText="1" indent="1"/>
    </xf>
    <xf numFmtId="0" fontId="16" fillId="3" borderId="35" xfId="0" applyFont="1" applyFill="1" applyBorder="1" applyAlignment="1">
      <alignment horizontal="center" vertical="center" wrapText="1"/>
    </xf>
    <xf numFmtId="41" fontId="60" fillId="3" borderId="35" xfId="0" applyNumberFormat="1" applyFont="1" applyFill="1" applyBorder="1" applyAlignment="1">
      <alignment horizontal="center" vertical="center" wrapText="1"/>
    </xf>
    <xf numFmtId="0" fontId="66" fillId="8" borderId="76" xfId="0" applyFont="1" applyFill="1" applyBorder="1" applyAlignment="1">
      <alignment horizontal="center" vertical="center" wrapText="1"/>
    </xf>
    <xf numFmtId="0" fontId="31" fillId="8" borderId="141" xfId="0" applyFont="1" applyFill="1" applyBorder="1" applyAlignment="1">
      <alignment horizontal="center" vertical="center" wrapText="1"/>
    </xf>
    <xf numFmtId="41" fontId="70" fillId="0" borderId="44" xfId="0" applyNumberFormat="1" applyFont="1" applyFill="1" applyBorder="1" applyAlignment="1">
      <alignment horizontal="center" vertical="center" wrapText="1"/>
    </xf>
    <xf numFmtId="41" fontId="70" fillId="0" borderId="45" xfId="0" applyNumberFormat="1" applyFont="1" applyFill="1" applyBorder="1" applyAlignment="1">
      <alignment horizontal="center" vertical="center" wrapText="1"/>
    </xf>
    <xf numFmtId="41" fontId="60" fillId="0" borderId="142" xfId="0" applyNumberFormat="1" applyFont="1" applyFill="1" applyBorder="1" applyAlignment="1">
      <alignment horizontal="center" vertical="center" wrapText="1"/>
    </xf>
    <xf numFmtId="41" fontId="60" fillId="0" borderId="143" xfId="0" applyNumberFormat="1" applyFont="1" applyFill="1" applyBorder="1" applyAlignment="1">
      <alignment horizontal="center" vertical="center" wrapText="1"/>
    </xf>
    <xf numFmtId="41" fontId="78" fillId="0" borderId="144" xfId="0" applyNumberFormat="1" applyFont="1" applyFill="1" applyBorder="1" applyAlignment="1">
      <alignment horizontal="center" vertical="center" wrapText="1"/>
    </xf>
    <xf numFmtId="41" fontId="78" fillId="0" borderId="145" xfId="0" applyNumberFormat="1" applyFont="1" applyFill="1" applyBorder="1" applyAlignment="1">
      <alignment horizontal="center" vertical="center" wrapText="1"/>
    </xf>
    <xf numFmtId="0" fontId="16" fillId="0" borderId="33" xfId="0" applyFont="1" applyFill="1" applyBorder="1" applyAlignment="1">
      <alignment horizontal="left" vertical="center" wrapText="1" indent="1"/>
    </xf>
    <xf numFmtId="173" fontId="60" fillId="0" borderId="35" xfId="0" applyNumberFormat="1" applyFont="1" applyFill="1" applyBorder="1" applyAlignment="1">
      <alignment horizontal="center" vertical="center" wrapText="1"/>
    </xf>
    <xf numFmtId="0" fontId="17" fillId="6" borderId="76" xfId="46" applyFont="1" applyFill="1" applyBorder="1" applyAlignment="1">
      <alignment horizontal="left" vertical="center" wrapText="1" indent="1"/>
    </xf>
    <xf numFmtId="0" fontId="17" fillId="0" borderId="76" xfId="46" applyFont="1" applyFill="1" applyBorder="1" applyAlignment="1">
      <alignment horizontal="left" vertical="center" wrapText="1" indent="1"/>
    </xf>
    <xf numFmtId="0" fontId="14" fillId="6" borderId="76" xfId="46" applyFont="1" applyFill="1" applyBorder="1" applyAlignment="1">
      <alignment horizontal="center" vertical="center" textRotation="90" wrapText="1"/>
    </xf>
    <xf numFmtId="41" fontId="83" fillId="0" borderId="77" xfId="69" applyNumberFormat="1" applyFont="1" applyFill="1" applyBorder="1" applyAlignment="1">
      <alignment vertical="center" wrapText="1"/>
    </xf>
    <xf numFmtId="41" fontId="70" fillId="0" borderId="79" xfId="0" applyNumberFormat="1" applyFont="1" applyFill="1" applyBorder="1" applyAlignment="1">
      <alignment vertical="center" wrapText="1"/>
    </xf>
    <xf numFmtId="41" fontId="60" fillId="0" borderId="36" xfId="0" applyNumberFormat="1" applyFont="1" applyFill="1" applyBorder="1" applyAlignment="1">
      <alignment vertical="center" wrapText="1"/>
    </xf>
    <xf numFmtId="41" fontId="78" fillId="0" borderId="25" xfId="0" applyNumberFormat="1" applyFont="1" applyFill="1" applyBorder="1" applyAlignment="1">
      <alignment vertical="center" wrapText="1"/>
    </xf>
    <xf numFmtId="41" fontId="70" fillId="0" borderId="68" xfId="0" applyNumberFormat="1" applyFont="1" applyFill="1" applyBorder="1" applyAlignment="1">
      <alignment vertical="center" wrapText="1"/>
    </xf>
    <xf numFmtId="0" fontId="44" fillId="7" borderId="66" xfId="0" applyFont="1" applyFill="1" applyBorder="1" applyAlignment="1">
      <alignment vertical="center" wrapText="1"/>
    </xf>
    <xf numFmtId="168" fontId="16" fillId="0" borderId="77" xfId="0" applyNumberFormat="1" applyFont="1" applyFill="1" applyBorder="1" applyAlignment="1">
      <alignment vertical="center" wrapText="1"/>
    </xf>
    <xf numFmtId="0" fontId="260" fillId="6" borderId="76" xfId="74" applyFont="1" applyFill="1" applyBorder="1" applyAlignment="1">
      <alignment horizontal="center" vertical="center"/>
    </xf>
    <xf numFmtId="0" fontId="60" fillId="0" borderId="0" xfId="6" applyFont="1" applyFill="1" applyBorder="1" applyAlignment="1">
      <alignment vertical="center" wrapText="1"/>
    </xf>
    <xf numFmtId="0" fontId="14" fillId="7" borderId="65" xfId="0" applyFont="1" applyFill="1" applyBorder="1" applyAlignment="1">
      <alignment horizontal="left" vertical="center"/>
    </xf>
    <xf numFmtId="0" fontId="14" fillId="7" borderId="66" xfId="0" applyFont="1" applyFill="1" applyBorder="1" applyAlignment="1">
      <alignment horizontal="left" vertical="center"/>
    </xf>
    <xf numFmtId="168" fontId="60" fillId="0" borderId="77" xfId="0" applyNumberFormat="1" applyFont="1" applyFill="1" applyBorder="1" applyAlignment="1">
      <alignment horizontal="center" vertical="center" wrapText="1"/>
    </xf>
    <xf numFmtId="168" fontId="44" fillId="0" borderId="77" xfId="0" applyNumberFormat="1" applyFont="1" applyFill="1" applyBorder="1" applyAlignment="1">
      <alignment horizontal="center" vertical="center" wrapText="1"/>
    </xf>
    <xf numFmtId="168" fontId="17" fillId="0" borderId="76" xfId="0" applyNumberFormat="1" applyFont="1" applyFill="1" applyBorder="1" applyAlignment="1">
      <alignment vertical="center" wrapText="1"/>
    </xf>
    <xf numFmtId="179" fontId="42" fillId="0" borderId="0" xfId="81" applyNumberFormat="1" applyFont="1" applyFill="1"/>
    <xf numFmtId="173" fontId="135" fillId="0" borderId="0" xfId="46" applyNumberFormat="1" applyFont="1" applyAlignment="1">
      <alignment vertical="center"/>
    </xf>
    <xf numFmtId="0" fontId="14" fillId="9" borderId="113" xfId="46" applyFont="1" applyFill="1" applyBorder="1" applyAlignment="1">
      <alignment horizontal="center" vertical="center" wrapText="1"/>
    </xf>
    <xf numFmtId="0" fontId="14" fillId="8" borderId="113" xfId="80" applyFont="1" applyFill="1" applyBorder="1" applyAlignment="1">
      <alignment horizontal="left" indent="1"/>
    </xf>
    <xf numFmtId="0" fontId="15" fillId="8" borderId="113" xfId="80" applyFont="1" applyFill="1" applyBorder="1" applyAlignment="1">
      <alignment horizontal="left" vertical="center"/>
    </xf>
    <xf numFmtId="0" fontId="60" fillId="8" borderId="113" xfId="80" applyFont="1" applyFill="1" applyBorder="1" applyAlignment="1">
      <alignment horizontal="left" vertical="center" indent="1"/>
    </xf>
    <xf numFmtId="0" fontId="15" fillId="8" borderId="113" xfId="80" applyFont="1" applyFill="1" applyBorder="1" applyAlignment="1">
      <alignment horizontal="left" vertical="center" indent="2"/>
    </xf>
    <xf numFmtId="167" fontId="15" fillId="8" borderId="113" xfId="118" applyFont="1" applyFill="1" applyBorder="1" applyAlignment="1">
      <alignment horizontal="center" vertical="center"/>
    </xf>
    <xf numFmtId="0" fontId="15" fillId="8" borderId="113" xfId="80" applyFont="1" applyFill="1" applyBorder="1" applyAlignment="1">
      <alignment horizontal="left" vertical="center" indent="1"/>
    </xf>
    <xf numFmtId="0" fontId="18" fillId="8" borderId="113" xfId="80" applyFont="1" applyFill="1" applyBorder="1" applyAlignment="1">
      <alignment horizontal="left" indent="1"/>
    </xf>
    <xf numFmtId="0" fontId="15" fillId="8" borderId="113" xfId="80" applyFont="1" applyFill="1" applyBorder="1" applyAlignment="1">
      <alignment horizontal="center" vertical="center"/>
    </xf>
    <xf numFmtId="0" fontId="14" fillId="6" borderId="113" xfId="80" applyFont="1" applyFill="1" applyBorder="1" applyAlignment="1">
      <alignment horizontal="left" indent="1"/>
    </xf>
    <xf numFmtId="0" fontId="15" fillId="6" borderId="113" xfId="80" applyFont="1" applyFill="1" applyBorder="1" applyAlignment="1">
      <alignment horizontal="left" vertical="center"/>
    </xf>
    <xf numFmtId="0" fontId="60" fillId="6" borderId="113" xfId="80" applyFont="1" applyFill="1" applyBorder="1" applyAlignment="1">
      <alignment horizontal="left" vertical="center" indent="1"/>
    </xf>
    <xf numFmtId="0" fontId="15" fillId="6" borderId="113" xfId="80" applyFont="1" applyFill="1" applyBorder="1" applyAlignment="1">
      <alignment horizontal="left" vertical="center" indent="2"/>
    </xf>
    <xf numFmtId="167" fontId="15" fillId="6" borderId="113" xfId="118" applyFont="1" applyFill="1" applyBorder="1" applyAlignment="1">
      <alignment horizontal="center" vertical="center"/>
    </xf>
    <xf numFmtId="0" fontId="15" fillId="6" borderId="113" xfId="80" applyFont="1" applyFill="1" applyBorder="1" applyAlignment="1">
      <alignment horizontal="left" vertical="center" indent="1"/>
    </xf>
    <xf numFmtId="0" fontId="18" fillId="6" borderId="113" xfId="80" applyFont="1" applyFill="1" applyBorder="1" applyAlignment="1">
      <alignment horizontal="left" indent="1"/>
    </xf>
    <xf numFmtId="0" fontId="15" fillId="6" borderId="113" xfId="80" applyFont="1" applyFill="1" applyBorder="1" applyAlignment="1">
      <alignment horizontal="center" vertical="center"/>
    </xf>
    <xf numFmtId="0" fontId="14" fillId="58" borderId="113" xfId="80" applyFont="1" applyFill="1" applyBorder="1" applyAlignment="1">
      <alignment horizontal="left" indent="1"/>
    </xf>
    <xf numFmtId="0" fontId="15" fillId="58" borderId="113" xfId="80" applyFont="1" applyFill="1" applyBorder="1" applyAlignment="1">
      <alignment horizontal="left" vertical="center"/>
    </xf>
    <xf numFmtId="0" fontId="15" fillId="58" borderId="113" xfId="80" applyFont="1" applyFill="1" applyBorder="1" applyAlignment="1">
      <alignment horizontal="center" vertical="center"/>
    </xf>
    <xf numFmtId="0" fontId="60" fillId="58" borderId="113" xfId="80" applyFont="1" applyFill="1" applyBorder="1" applyAlignment="1">
      <alignment horizontal="left" vertical="center" indent="1"/>
    </xf>
    <xf numFmtId="0" fontId="15" fillId="58" borderId="113" xfId="80" applyFont="1" applyFill="1" applyBorder="1" applyAlignment="1">
      <alignment horizontal="left" vertical="center" indent="2"/>
    </xf>
    <xf numFmtId="167" fontId="15" fillId="58" borderId="113" xfId="118" applyFont="1" applyFill="1" applyBorder="1" applyAlignment="1">
      <alignment horizontal="center" vertical="center"/>
    </xf>
    <xf numFmtId="0" fontId="15" fillId="58" borderId="113" xfId="80" applyFont="1" applyFill="1" applyBorder="1" applyAlignment="1">
      <alignment horizontal="left" vertical="center" indent="1"/>
    </xf>
    <xf numFmtId="0" fontId="18" fillId="58" borderId="113" xfId="80" applyFont="1" applyFill="1" applyBorder="1" applyAlignment="1">
      <alignment horizontal="left" indent="1"/>
    </xf>
    <xf numFmtId="0" fontId="164" fillId="0" borderId="76" xfId="69" applyFont="1" applyFill="1" applyBorder="1" applyAlignment="1" applyProtection="1">
      <alignment horizontal="center" wrapText="1"/>
      <protection hidden="1"/>
    </xf>
    <xf numFmtId="180" fontId="262" fillId="0" borderId="0" xfId="46" applyNumberFormat="1" applyFont="1" applyAlignment="1">
      <alignment horizontal="left" vertical="center"/>
    </xf>
    <xf numFmtId="0" fontId="67" fillId="6" borderId="18" xfId="74" applyFont="1" applyFill="1" applyBorder="1" applyAlignment="1">
      <alignment vertical="center" wrapText="1"/>
    </xf>
    <xf numFmtId="0" fontId="67" fillId="6" borderId="17" xfId="74" applyFont="1" applyFill="1" applyBorder="1" applyAlignment="1">
      <alignment vertical="center" wrapText="1"/>
    </xf>
    <xf numFmtId="0" fontId="16" fillId="0" borderId="64" xfId="6" applyFont="1" applyFill="1" applyBorder="1" applyAlignment="1">
      <alignment horizontal="left" vertical="center" wrapText="1" indent="1"/>
    </xf>
    <xf numFmtId="0" fontId="12" fillId="8" borderId="64" xfId="0" applyFont="1" applyFill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169" fontId="60" fillId="0" borderId="36" xfId="0" applyNumberFormat="1" applyFont="1" applyFill="1" applyBorder="1" applyAlignment="1">
      <alignment horizontal="center" vertical="center" wrapText="1"/>
    </xf>
    <xf numFmtId="0" fontId="12" fillId="4" borderId="114" xfId="0" applyFont="1" applyFill="1" applyBorder="1" applyAlignment="1">
      <alignment vertical="center" wrapText="1"/>
    </xf>
    <xf numFmtId="0" fontId="12" fillId="4" borderId="113" xfId="0" applyFont="1" applyFill="1" applyBorder="1" applyAlignment="1">
      <alignment horizontal="center" vertical="center" wrapText="1"/>
    </xf>
    <xf numFmtId="172" fontId="16" fillId="4" borderId="113" xfId="285" applyNumberFormat="1" applyFont="1" applyFill="1" applyBorder="1" applyAlignment="1">
      <alignment horizontal="center" vertical="center" wrapText="1"/>
    </xf>
    <xf numFmtId="41" fontId="11" fillId="4" borderId="113" xfId="0" applyNumberFormat="1" applyFont="1" applyFill="1" applyBorder="1" applyAlignment="1">
      <alignment vertical="top"/>
    </xf>
    <xf numFmtId="0" fontId="12" fillId="6" borderId="113" xfId="0" applyFont="1" applyFill="1" applyBorder="1" applyAlignment="1">
      <alignment horizontal="center" vertical="center" wrapText="1"/>
    </xf>
    <xf numFmtId="9" fontId="36" fillId="4" borderId="113" xfId="0" applyNumberFormat="1" applyFont="1" applyFill="1" applyBorder="1" applyAlignment="1"/>
    <xf numFmtId="0" fontId="12" fillId="0" borderId="115" xfId="0" applyFont="1" applyBorder="1" applyAlignment="1">
      <alignment horizontal="center" vertical="center" wrapText="1"/>
    </xf>
    <xf numFmtId="0" fontId="12" fillId="0" borderId="113" xfId="0" applyFont="1" applyBorder="1" applyAlignment="1">
      <alignment horizontal="center"/>
    </xf>
    <xf numFmtId="0" fontId="16" fillId="0" borderId="113" xfId="6" applyFont="1" applyFill="1" applyBorder="1" applyAlignment="1">
      <alignment horizontal="center" vertical="center" wrapText="1"/>
    </xf>
    <xf numFmtId="43" fontId="16" fillId="4" borderId="113" xfId="7" applyFont="1" applyFill="1" applyBorder="1" applyAlignment="1">
      <alignment horizontal="center" vertical="center" wrapText="1"/>
    </xf>
    <xf numFmtId="41" fontId="23" fillId="4" borderId="113" xfId="0" applyNumberFormat="1" applyFont="1" applyFill="1" applyBorder="1" applyAlignment="1">
      <alignment vertical="top"/>
    </xf>
    <xf numFmtId="41" fontId="14" fillId="4" borderId="113" xfId="0" applyNumberFormat="1" applyFont="1" applyFill="1" applyBorder="1" applyAlignment="1">
      <alignment vertical="top"/>
    </xf>
    <xf numFmtId="0" fontId="40" fillId="6" borderId="64" xfId="0" applyFont="1" applyFill="1" applyBorder="1" applyAlignment="1">
      <alignment horizontal="center" vertical="center" wrapText="1"/>
    </xf>
    <xf numFmtId="0" fontId="40" fillId="6" borderId="113" xfId="0" applyFont="1" applyFill="1" applyBorder="1" applyAlignment="1">
      <alignment horizontal="center" vertical="center" wrapText="1"/>
    </xf>
    <xf numFmtId="0" fontId="12" fillId="8" borderId="113" xfId="0" applyFont="1" applyFill="1" applyBorder="1" applyAlignment="1">
      <alignment horizontal="center" vertical="center" wrapText="1"/>
    </xf>
    <xf numFmtId="0" fontId="12" fillId="60" borderId="113" xfId="0" applyFont="1" applyFill="1" applyBorder="1" applyAlignment="1">
      <alignment horizontal="center" vertical="center" wrapText="1"/>
    </xf>
    <xf numFmtId="0" fontId="12" fillId="58" borderId="113" xfId="0" applyFont="1" applyFill="1" applyBorder="1" applyAlignment="1">
      <alignment horizontal="center" vertical="center" wrapText="1"/>
    </xf>
    <xf numFmtId="43" fontId="16" fillId="0" borderId="113" xfId="7" applyFont="1" applyFill="1" applyBorder="1" applyAlignment="1">
      <alignment horizontal="center" vertical="center" wrapText="1"/>
    </xf>
    <xf numFmtId="43" fontId="40" fillId="4" borderId="113" xfId="7" applyFont="1" applyFill="1" applyBorder="1" applyAlignment="1">
      <alignment horizontal="center" vertical="center" wrapText="1"/>
    </xf>
    <xf numFmtId="0" fontId="16" fillId="0" borderId="113" xfId="6" applyFont="1" applyFill="1" applyBorder="1" applyAlignment="1">
      <alignment horizontal="left" vertical="center" wrapText="1" indent="1"/>
    </xf>
    <xf numFmtId="173" fontId="1" fillId="4" borderId="113" xfId="7" applyNumberFormat="1" applyFont="1" applyFill="1" applyBorder="1" applyAlignment="1">
      <alignment horizontal="left"/>
    </xf>
    <xf numFmtId="0" fontId="16" fillId="4" borderId="113" xfId="6" applyFont="1" applyFill="1" applyBorder="1" applyAlignment="1">
      <alignment horizontal="left" vertical="center" wrapText="1" indent="1"/>
    </xf>
    <xf numFmtId="0" fontId="17" fillId="4" borderId="114" xfId="6" applyFont="1" applyFill="1" applyBorder="1" applyAlignment="1">
      <alignment horizontal="center" vertical="center" wrapText="1"/>
    </xf>
    <xf numFmtId="41" fontId="21" fillId="4" borderId="113" xfId="0" applyNumberFormat="1" applyFont="1" applyFill="1" applyBorder="1" applyAlignment="1">
      <alignment vertical="top"/>
    </xf>
    <xf numFmtId="41" fontId="23" fillId="0" borderId="64" xfId="0" applyNumberFormat="1" applyFont="1" applyFill="1" applyBorder="1" applyAlignment="1">
      <alignment vertical="top"/>
    </xf>
    <xf numFmtId="41" fontId="14" fillId="0" borderId="64" xfId="0" applyNumberFormat="1" applyFont="1" applyFill="1" applyBorder="1" applyAlignment="1">
      <alignment vertical="top"/>
    </xf>
    <xf numFmtId="41" fontId="23" fillId="0" borderId="113" xfId="0" applyNumberFormat="1" applyFont="1" applyFill="1" applyBorder="1" applyAlignment="1">
      <alignment vertical="top"/>
    </xf>
    <xf numFmtId="41" fontId="11" fillId="0" borderId="113" xfId="0" applyNumberFormat="1" applyFont="1" applyFill="1" applyBorder="1" applyAlignment="1">
      <alignment vertical="top"/>
    </xf>
    <xf numFmtId="173" fontId="16" fillId="0" borderId="64" xfId="7" applyNumberFormat="1" applyFont="1" applyFill="1" applyBorder="1" applyAlignment="1">
      <alignment horizontal="left" vertical="center" wrapText="1" indent="1"/>
    </xf>
    <xf numFmtId="9" fontId="12" fillId="0" borderId="64" xfId="0" applyNumberFormat="1" applyFont="1" applyFill="1" applyBorder="1" applyAlignment="1"/>
    <xf numFmtId="41" fontId="21" fillId="0" borderId="113" xfId="0" applyNumberFormat="1" applyFont="1" applyFill="1" applyBorder="1" applyAlignment="1">
      <alignment vertical="top"/>
    </xf>
    <xf numFmtId="0" fontId="16" fillId="0" borderId="114" xfId="6" applyFont="1" applyFill="1" applyBorder="1" applyAlignment="1">
      <alignment horizontal="center" vertical="center" wrapText="1"/>
    </xf>
    <xf numFmtId="9" fontId="12" fillId="0" borderId="113" xfId="0" applyNumberFormat="1" applyFont="1" applyFill="1" applyBorder="1" applyAlignment="1"/>
    <xf numFmtId="41" fontId="0" fillId="0" borderId="0" xfId="0" applyNumberFormat="1" applyFont="1" applyFill="1"/>
    <xf numFmtId="41" fontId="0" fillId="0" borderId="64" xfId="0" applyNumberFormat="1" applyFont="1" applyFill="1" applyBorder="1" applyAlignment="1">
      <alignment vertical="top"/>
    </xf>
    <xf numFmtId="0" fontId="0" fillId="94" borderId="0" xfId="0" applyFill="1"/>
    <xf numFmtId="0" fontId="12" fillId="6" borderId="118" xfId="0" applyFont="1" applyFill="1" applyBorder="1" applyAlignment="1">
      <alignment horizontal="center" vertical="center" wrapText="1"/>
    </xf>
    <xf numFmtId="0" fontId="75" fillId="8" borderId="113" xfId="0" applyFont="1" applyFill="1" applyBorder="1" applyAlignment="1">
      <alignment horizontal="center" vertical="center" wrapText="1"/>
    </xf>
    <xf numFmtId="0" fontId="12" fillId="2" borderId="113" xfId="0" applyFont="1" applyFill="1" applyBorder="1" applyAlignment="1">
      <alignment horizontal="center" vertical="center" wrapText="1"/>
    </xf>
    <xf numFmtId="9" fontId="12" fillId="8" borderId="113" xfId="0" applyNumberFormat="1" applyFont="1" applyFill="1" applyBorder="1" applyAlignment="1">
      <alignment horizontal="center" vertical="center" wrapText="1"/>
    </xf>
    <xf numFmtId="172" fontId="12" fillId="4" borderId="113" xfId="285" applyNumberFormat="1" applyFont="1" applyFill="1" applyBorder="1" applyAlignment="1">
      <alignment horizontal="center" vertical="center" wrapText="1"/>
    </xf>
    <xf numFmtId="9" fontId="65" fillId="0" borderId="0" xfId="0" applyNumberFormat="1" applyFont="1" applyBorder="1"/>
    <xf numFmtId="0" fontId="12" fillId="4" borderId="115" xfId="0" applyFont="1" applyFill="1" applyBorder="1" applyAlignment="1">
      <alignment horizontal="center"/>
    </xf>
    <xf numFmtId="0" fontId="12" fillId="4" borderId="119" xfId="0" applyFont="1" applyFill="1" applyBorder="1" applyAlignment="1">
      <alignment horizontal="center"/>
    </xf>
    <xf numFmtId="0" fontId="16" fillId="4" borderId="113" xfId="6" applyFont="1" applyFill="1" applyBorder="1" applyAlignment="1">
      <alignment horizontal="center" vertical="center" wrapText="1"/>
    </xf>
    <xf numFmtId="0" fontId="17" fillId="4" borderId="113" xfId="6" applyFont="1" applyFill="1" applyBorder="1" applyAlignment="1">
      <alignment horizontal="center" vertical="center" wrapText="1"/>
    </xf>
    <xf numFmtId="43" fontId="25" fillId="4" borderId="113" xfId="7" applyNumberFormat="1" applyFont="1" applyFill="1" applyBorder="1" applyAlignment="1">
      <alignment horizontal="left" vertical="center" wrapText="1" indent="1"/>
    </xf>
    <xf numFmtId="43" fontId="25" fillId="4" borderId="114" xfId="7" applyNumberFormat="1" applyFont="1" applyFill="1" applyBorder="1" applyAlignment="1">
      <alignment horizontal="left" vertical="center" wrapText="1" indent="1"/>
    </xf>
    <xf numFmtId="0" fontId="12" fillId="0" borderId="115" xfId="0" applyFont="1" applyBorder="1" applyAlignment="1">
      <alignment horizontal="center"/>
    </xf>
    <xf numFmtId="43" fontId="25" fillId="0" borderId="113" xfId="7" applyNumberFormat="1" applyFont="1" applyFill="1" applyBorder="1" applyAlignment="1">
      <alignment horizontal="left" vertical="center" wrapText="1" indent="1"/>
    </xf>
    <xf numFmtId="43" fontId="25" fillId="0" borderId="114" xfId="7" applyNumberFormat="1" applyFont="1" applyFill="1" applyBorder="1" applyAlignment="1">
      <alignment horizontal="left" vertical="center" wrapText="1" indent="1"/>
    </xf>
    <xf numFmtId="0" fontId="65" fillId="0" borderId="0" xfId="0" applyFont="1" applyBorder="1"/>
    <xf numFmtId="169" fontId="70" fillId="6" borderId="150" xfId="0" applyNumberFormat="1" applyFont="1" applyFill="1" applyBorder="1" applyAlignment="1">
      <alignment horizontal="center" vertical="center" wrapText="1"/>
    </xf>
    <xf numFmtId="169" fontId="70" fillId="0" borderId="150" xfId="0" applyNumberFormat="1" applyFont="1" applyFill="1" applyBorder="1" applyAlignment="1">
      <alignment horizontal="center" vertical="center" wrapText="1"/>
    </xf>
    <xf numFmtId="0" fontId="14" fillId="8" borderId="118" xfId="0" applyFont="1" applyFill="1" applyBorder="1" applyAlignment="1">
      <alignment horizontal="center" vertical="center" wrapText="1"/>
    </xf>
    <xf numFmtId="168" fontId="204" fillId="6" borderId="151" xfId="0" applyNumberFormat="1" applyFont="1" applyFill="1" applyBorder="1" applyAlignment="1">
      <alignment horizontal="center" vertical="center"/>
    </xf>
    <xf numFmtId="0" fontId="67" fillId="0" borderId="114" xfId="0" applyFont="1" applyFill="1" applyBorder="1" applyAlignment="1">
      <alignment horizontal="center" vertical="center" wrapText="1"/>
    </xf>
    <xf numFmtId="0" fontId="17" fillId="7" borderId="116" xfId="0" applyFont="1" applyFill="1" applyBorder="1" applyAlignment="1">
      <alignment vertical="center"/>
    </xf>
    <xf numFmtId="0" fontId="0" fillId="0" borderId="0" xfId="0" applyFont="1"/>
    <xf numFmtId="0" fontId="16" fillId="6" borderId="79" xfId="0" applyFont="1" applyFill="1" applyBorder="1" applyAlignment="1">
      <alignment horizontal="left" vertical="center" wrapText="1" indent="1"/>
    </xf>
    <xf numFmtId="0" fontId="16" fillId="6" borderId="12" xfId="0" applyFont="1" applyFill="1" applyBorder="1" applyAlignment="1">
      <alignment horizontal="left" vertical="center" wrapText="1" indent="1"/>
    </xf>
    <xf numFmtId="0" fontId="16" fillId="0" borderId="19" xfId="0" applyFont="1" applyFill="1" applyBorder="1" applyAlignment="1">
      <alignment horizontal="left" vertical="center" wrapText="1" indent="1"/>
    </xf>
    <xf numFmtId="0" fontId="16" fillId="6" borderId="19" xfId="0" applyFont="1" applyFill="1" applyBorder="1" applyAlignment="1">
      <alignment horizontal="left" vertical="center" wrapText="1" indent="1"/>
    </xf>
    <xf numFmtId="169" fontId="60" fillId="0" borderId="36" xfId="0" applyNumberFormat="1" applyFont="1" applyFill="1" applyBorder="1" applyAlignment="1">
      <alignment horizontal="center" vertical="center" wrapText="1"/>
    </xf>
    <xf numFmtId="169" fontId="70" fillId="0" borderId="79" xfId="0" applyNumberFormat="1" applyFont="1" applyFill="1" applyBorder="1" applyAlignment="1">
      <alignment horizontal="center" vertical="center" wrapText="1"/>
    </xf>
    <xf numFmtId="169" fontId="70" fillId="6" borderId="79" xfId="0" applyNumberFormat="1" applyFont="1" applyFill="1" applyBorder="1" applyAlignment="1">
      <alignment horizontal="center" vertical="center" wrapText="1"/>
    </xf>
    <xf numFmtId="169" fontId="60" fillId="6" borderId="36" xfId="0" applyNumberFormat="1" applyFont="1" applyFill="1" applyBorder="1" applyAlignment="1">
      <alignment horizontal="center" vertical="center" wrapText="1"/>
    </xf>
    <xf numFmtId="41" fontId="60" fillId="0" borderId="35" xfId="0" applyNumberFormat="1" applyFont="1" applyFill="1" applyBorder="1" applyAlignment="1">
      <alignment horizontal="center" vertical="center" wrapText="1"/>
    </xf>
    <xf numFmtId="0" fontId="30" fillId="8" borderId="6" xfId="0" applyFont="1" applyFill="1" applyBorder="1" applyAlignment="1">
      <alignment horizontal="center" vertical="center" wrapText="1"/>
    </xf>
    <xf numFmtId="41" fontId="60" fillId="6" borderId="79" xfId="0" applyNumberFormat="1" applyFont="1" applyFill="1" applyBorder="1" applyAlignment="1">
      <alignment horizontal="center" vertical="center" wrapText="1"/>
    </xf>
    <xf numFmtId="41" fontId="60" fillId="0" borderId="36" xfId="0" applyNumberFormat="1" applyFont="1" applyFill="1" applyBorder="1" applyAlignment="1">
      <alignment horizontal="center" vertical="center" wrapText="1"/>
    </xf>
    <xf numFmtId="3" fontId="18" fillId="57" borderId="77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64" xfId="69" applyNumberFormat="1" applyFont="1" applyFill="1" applyBorder="1" applyAlignment="1" applyProtection="1">
      <alignment horizontal="center" vertical="center" wrapText="1"/>
      <protection hidden="1"/>
    </xf>
    <xf numFmtId="3" fontId="18" fillId="57" borderId="64" xfId="69" applyNumberFormat="1" applyFont="1" applyFill="1" applyBorder="1" applyAlignment="1" applyProtection="1">
      <alignment horizontal="center" vertical="center" wrapText="1"/>
      <protection hidden="1"/>
    </xf>
    <xf numFmtId="0" fontId="12" fillId="8" borderId="64" xfId="0" applyFont="1" applyFill="1" applyBorder="1" applyAlignment="1">
      <alignment horizontal="center" vertical="center" wrapText="1"/>
    </xf>
    <xf numFmtId="0" fontId="0" fillId="0" borderId="0" xfId="0" applyFont="1"/>
    <xf numFmtId="41" fontId="60" fillId="0" borderId="35" xfId="0" applyNumberFormat="1" applyFont="1" applyFill="1" applyBorder="1" applyAlignment="1">
      <alignment horizontal="center" vertical="center" wrapText="1"/>
    </xf>
    <xf numFmtId="41" fontId="60" fillId="0" borderId="37" xfId="0" applyNumberFormat="1" applyFont="1" applyFill="1" applyBorder="1" applyAlignment="1">
      <alignment horizontal="center" vertical="center" wrapText="1"/>
    </xf>
    <xf numFmtId="0" fontId="18" fillId="0" borderId="16" xfId="69" applyFont="1" applyFill="1" applyBorder="1" applyAlignment="1" applyProtection="1">
      <alignment horizontal="center" vertical="center" wrapText="1"/>
      <protection hidden="1"/>
    </xf>
    <xf numFmtId="3" fontId="18" fillId="5" borderId="17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14" xfId="69" applyNumberFormat="1" applyFont="1" applyFill="1" applyBorder="1" applyAlignment="1" applyProtection="1">
      <alignment horizontal="center" vertical="top" wrapText="1"/>
      <protection hidden="1"/>
    </xf>
    <xf numFmtId="3" fontId="15" fillId="0" borderId="77" xfId="69" applyNumberFormat="1" applyFont="1" applyFill="1" applyBorder="1" applyAlignment="1" applyProtection="1">
      <alignment horizontal="left" vertical="center" wrapText="1"/>
      <protection hidden="1"/>
    </xf>
    <xf numFmtId="3" fontId="15" fillId="0" borderId="75" xfId="69" applyNumberFormat="1" applyFont="1" applyFill="1" applyBorder="1" applyAlignment="1" applyProtection="1">
      <alignment horizontal="left" vertical="center" wrapText="1"/>
      <protection hidden="1"/>
    </xf>
    <xf numFmtId="41" fontId="15" fillId="0" borderId="0" xfId="46" applyNumberFormat="1" applyFont="1"/>
    <xf numFmtId="41" fontId="11" fillId="0" borderId="2" xfId="0" applyNumberFormat="1" applyFont="1" applyBorder="1"/>
    <xf numFmtId="41" fontId="67" fillId="6" borderId="35" xfId="0" applyNumberFormat="1" applyFont="1" applyFill="1" applyBorder="1" applyAlignment="1">
      <alignment horizontal="center" vertical="center" wrapText="1"/>
    </xf>
    <xf numFmtId="0" fontId="16" fillId="3" borderId="113" xfId="0" applyFont="1" applyFill="1" applyBorder="1" applyAlignment="1">
      <alignment horizontal="left" vertical="center" wrapText="1" indent="1"/>
    </xf>
    <xf numFmtId="41" fontId="60" fillId="6" borderId="35" xfId="0" applyNumberFormat="1" applyFont="1" applyFill="1" applyBorder="1" applyAlignment="1">
      <alignment vertical="center" wrapText="1"/>
    </xf>
    <xf numFmtId="0" fontId="7" fillId="3" borderId="77" xfId="0" applyFont="1" applyFill="1" applyBorder="1" applyAlignment="1">
      <alignment horizontal="center" vertical="center" wrapText="1"/>
    </xf>
    <xf numFmtId="0" fontId="31" fillId="8" borderId="153" xfId="0" applyFont="1" applyFill="1" applyBorder="1" applyAlignment="1">
      <alignment horizontal="center" vertical="center" wrapText="1"/>
    </xf>
    <xf numFmtId="41" fontId="60" fillId="6" borderId="142" xfId="0" applyNumberFormat="1" applyFont="1" applyFill="1" applyBorder="1" applyAlignment="1">
      <alignment horizontal="center" vertical="center" wrapText="1"/>
    </xf>
    <xf numFmtId="41" fontId="60" fillId="6" borderId="154" xfId="0" applyNumberFormat="1" applyFont="1" applyFill="1" applyBorder="1" applyAlignment="1">
      <alignment horizontal="center" vertical="center" wrapText="1"/>
    </xf>
    <xf numFmtId="41" fontId="70" fillId="6" borderId="146" xfId="0" applyNumberFormat="1" applyFont="1" applyFill="1" applyBorder="1" applyAlignment="1">
      <alignment horizontal="center" vertical="center" wrapText="1"/>
    </xf>
    <xf numFmtId="41" fontId="70" fillId="6" borderId="152" xfId="0" applyNumberFormat="1" applyFont="1" applyFill="1" applyBorder="1" applyAlignment="1">
      <alignment horizontal="center" vertical="center" wrapText="1"/>
    </xf>
    <xf numFmtId="41" fontId="78" fillId="0" borderId="42" xfId="0" applyNumberFormat="1" applyFont="1" applyFill="1" applyBorder="1" applyAlignment="1">
      <alignment horizontal="center" vertical="center" wrapText="1"/>
    </xf>
    <xf numFmtId="41" fontId="78" fillId="0" borderId="147" xfId="0" applyNumberFormat="1" applyFont="1" applyFill="1" applyBorder="1" applyAlignment="1">
      <alignment horizontal="center" vertical="center" wrapText="1"/>
    </xf>
    <xf numFmtId="41" fontId="78" fillId="6" borderId="155" xfId="0" applyNumberFormat="1" applyFont="1" applyFill="1" applyBorder="1" applyAlignment="1">
      <alignment horizontal="center" vertical="center" wrapText="1"/>
    </xf>
    <xf numFmtId="41" fontId="78" fillId="6" borderId="156" xfId="0" applyNumberFormat="1" applyFont="1" applyFill="1" applyBorder="1" applyAlignment="1">
      <alignment horizontal="center" vertical="center" wrapText="1"/>
    </xf>
    <xf numFmtId="41" fontId="78" fillId="6" borderId="157" xfId="0" applyNumberFormat="1" applyFont="1" applyFill="1" applyBorder="1" applyAlignment="1">
      <alignment horizontal="center" vertical="center" wrapText="1"/>
    </xf>
    <xf numFmtId="0" fontId="12" fillId="0" borderId="113" xfId="0" applyFont="1" applyFill="1" applyBorder="1" applyAlignment="1">
      <alignment horizontal="center"/>
    </xf>
    <xf numFmtId="41" fontId="7" fillId="0" borderId="64" xfId="0" applyNumberFormat="1" applyFont="1" applyFill="1" applyBorder="1" applyAlignment="1">
      <alignment vertical="top"/>
    </xf>
    <xf numFmtId="41" fontId="67" fillId="0" borderId="35" xfId="0" applyNumberFormat="1" applyFont="1" applyFill="1" applyBorder="1" applyAlignment="1">
      <alignment horizontal="center" vertical="center" wrapText="1"/>
    </xf>
    <xf numFmtId="3" fontId="25" fillId="0" borderId="0" xfId="7" applyNumberFormat="1" applyFont="1" applyFill="1" applyBorder="1" applyAlignment="1">
      <alignment horizontal="center" vertical="center" wrapText="1"/>
    </xf>
    <xf numFmtId="3" fontId="25" fillId="0" borderId="2" xfId="7" applyNumberFormat="1" applyFont="1" applyFill="1" applyBorder="1" applyAlignment="1">
      <alignment horizontal="center" vertical="center" wrapText="1"/>
    </xf>
    <xf numFmtId="3" fontId="25" fillId="0" borderId="1" xfId="7" applyNumberFormat="1" applyFont="1" applyFill="1" applyBorder="1" applyAlignment="1">
      <alignment horizontal="center" vertical="center" wrapText="1"/>
    </xf>
    <xf numFmtId="3" fontId="15" fillId="0" borderId="114" xfId="69" applyNumberFormat="1" applyFont="1" applyFill="1" applyBorder="1" applyAlignment="1" applyProtection="1">
      <alignment vertical="center"/>
      <protection hidden="1"/>
    </xf>
    <xf numFmtId="3" fontId="15" fillId="0" borderId="116" xfId="69" applyNumberFormat="1" applyFont="1" applyFill="1" applyBorder="1" applyAlignment="1" applyProtection="1">
      <alignment vertical="center"/>
      <protection hidden="1"/>
    </xf>
    <xf numFmtId="3" fontId="18" fillId="4" borderId="116" xfId="69" applyNumberFormat="1" applyFont="1" applyFill="1" applyBorder="1" applyAlignment="1" applyProtection="1">
      <alignment vertical="center" wrapText="1"/>
      <protection hidden="1"/>
    </xf>
    <xf numFmtId="3" fontId="18" fillId="4" borderId="116" xfId="69" applyNumberFormat="1" applyFont="1" applyFill="1" applyBorder="1" applyAlignment="1" applyProtection="1">
      <alignment vertical="top" wrapText="1"/>
      <protection hidden="1"/>
    </xf>
    <xf numFmtId="3" fontId="18" fillId="4" borderId="118" xfId="69" applyNumberFormat="1" applyFont="1" applyFill="1" applyBorder="1" applyAlignment="1" applyProtection="1">
      <alignment vertical="center" wrapText="1"/>
      <protection hidden="1"/>
    </xf>
    <xf numFmtId="3" fontId="16" fillId="4" borderId="113" xfId="69" applyNumberFormat="1" applyFont="1" applyFill="1" applyBorder="1" applyAlignment="1" applyProtection="1">
      <alignment vertical="center" wrapText="1"/>
      <protection hidden="1"/>
    </xf>
    <xf numFmtId="3" fontId="30" fillId="4" borderId="113" xfId="69" applyNumberFormat="1" applyFont="1" applyFill="1" applyBorder="1" applyAlignment="1">
      <alignment horizontal="center" vertical="center" wrapText="1"/>
    </xf>
    <xf numFmtId="3" fontId="18" fillId="5" borderId="118" xfId="69" applyNumberFormat="1" applyFont="1" applyFill="1" applyBorder="1" applyAlignment="1" applyProtection="1">
      <alignment vertical="center" wrapText="1"/>
      <protection hidden="1"/>
    </xf>
    <xf numFmtId="3" fontId="16" fillId="5" borderId="113" xfId="69" applyNumberFormat="1" applyFont="1" applyFill="1" applyBorder="1" applyAlignment="1" applyProtection="1">
      <alignment vertical="center" wrapText="1"/>
      <protection hidden="1"/>
    </xf>
    <xf numFmtId="3" fontId="15" fillId="0" borderId="113" xfId="46" applyNumberFormat="1" applyFont="1" applyBorder="1"/>
    <xf numFmtId="9" fontId="76" fillId="5" borderId="113" xfId="14" applyFont="1" applyFill="1" applyBorder="1" applyAlignment="1">
      <alignment horizontal="center" vertical="center" wrapText="1"/>
    </xf>
    <xf numFmtId="3" fontId="39" fillId="5" borderId="118" xfId="69" applyNumberFormat="1" applyFont="1" applyFill="1" applyBorder="1" applyAlignment="1" applyProtection="1">
      <alignment vertical="center" wrapText="1"/>
      <protection hidden="1"/>
    </xf>
    <xf numFmtId="3" fontId="18" fillId="81" borderId="118" xfId="69" applyNumberFormat="1" applyFont="1" applyFill="1" applyBorder="1" applyAlignment="1" applyProtection="1">
      <alignment vertical="center" wrapText="1"/>
      <protection hidden="1"/>
    </xf>
    <xf numFmtId="3" fontId="16" fillId="81" borderId="113" xfId="69" applyNumberFormat="1" applyFont="1" applyFill="1" applyBorder="1" applyAlignment="1" applyProtection="1">
      <alignment vertical="center" wrapText="1"/>
      <protection hidden="1"/>
    </xf>
    <xf numFmtId="43" fontId="76" fillId="81" borderId="12" xfId="7" applyFont="1" applyFill="1" applyBorder="1" applyAlignment="1" applyProtection="1">
      <alignment horizontal="center" vertical="center" wrapText="1"/>
      <protection hidden="1"/>
    </xf>
    <xf numFmtId="3" fontId="76" fillId="81" borderId="113" xfId="69" applyNumberFormat="1" applyFont="1" applyFill="1" applyBorder="1" applyAlignment="1">
      <alignment horizontal="center" vertical="center" wrapText="1"/>
    </xf>
    <xf numFmtId="3" fontId="15" fillId="81" borderId="113" xfId="46" applyNumberFormat="1" applyFont="1" applyFill="1" applyBorder="1"/>
    <xf numFmtId="41" fontId="11" fillId="0" borderId="0" xfId="0" applyNumberFormat="1" applyFont="1" applyAlignment="1">
      <alignment horizontal="left"/>
    </xf>
    <xf numFmtId="0" fontId="0" fillId="0" borderId="4" xfId="0" applyFill="1" applyBorder="1"/>
    <xf numFmtId="41" fontId="0" fillId="0" borderId="0" xfId="0" applyNumberFormat="1"/>
    <xf numFmtId="41" fontId="60" fillId="0" borderId="87" xfId="0" applyNumberFormat="1" applyFont="1" applyFill="1" applyBorder="1" applyAlignment="1">
      <alignment horizontal="center" vertical="center" wrapText="1"/>
    </xf>
    <xf numFmtId="41" fontId="60" fillId="6" borderId="17" xfId="0" applyNumberFormat="1" applyFont="1" applyFill="1" applyBorder="1" applyAlignment="1">
      <alignment horizontal="center" vertical="center" wrapText="1"/>
    </xf>
    <xf numFmtId="41" fontId="60" fillId="6" borderId="34" xfId="0" applyNumberFormat="1" applyFont="1" applyFill="1" applyBorder="1" applyAlignment="1">
      <alignment horizontal="center" vertical="center" wrapText="1"/>
    </xf>
    <xf numFmtId="0" fontId="16" fillId="6" borderId="151" xfId="0" applyFont="1" applyFill="1" applyBorder="1" applyAlignment="1">
      <alignment horizontal="center" vertical="center" wrapText="1"/>
    </xf>
    <xf numFmtId="0" fontId="16" fillId="6" borderId="119" xfId="0" applyFont="1" applyFill="1" applyBorder="1" applyAlignment="1">
      <alignment horizontal="center" vertical="center" wrapText="1"/>
    </xf>
    <xf numFmtId="41" fontId="79" fillId="6" borderId="10" xfId="0" applyNumberFormat="1" applyFont="1" applyFill="1" applyBorder="1" applyAlignment="1">
      <alignment horizontal="center" vertical="center" wrapText="1"/>
    </xf>
    <xf numFmtId="41" fontId="79" fillId="0" borderId="35" xfId="0" applyNumberFormat="1" applyFont="1" applyFill="1" applyBorder="1" applyAlignment="1">
      <alignment horizontal="center" vertical="center" wrapText="1"/>
    </xf>
    <xf numFmtId="0" fontId="23" fillId="7" borderId="74" xfId="6" applyFont="1" applyFill="1" applyBorder="1" applyAlignment="1">
      <alignment vertical="center" wrapText="1"/>
    </xf>
    <xf numFmtId="41" fontId="60" fillId="3" borderId="11" xfId="0" applyNumberFormat="1" applyFont="1" applyFill="1" applyBorder="1" applyAlignment="1">
      <alignment horizontal="center" vertical="center" wrapText="1"/>
    </xf>
    <xf numFmtId="3" fontId="30" fillId="5" borderId="64" xfId="69" applyNumberFormat="1" applyFont="1" applyFill="1" applyBorder="1" applyAlignment="1" applyProtection="1">
      <alignment vertical="center"/>
      <protection hidden="1"/>
    </xf>
    <xf numFmtId="3" fontId="30" fillId="5" borderId="64" xfId="7" applyNumberFormat="1" applyFont="1" applyFill="1" applyBorder="1" applyAlignment="1" applyProtection="1">
      <alignment vertical="center"/>
      <protection hidden="1"/>
    </xf>
    <xf numFmtId="3" fontId="18" fillId="81" borderId="12" xfId="69" applyNumberFormat="1" applyFont="1" applyFill="1" applyBorder="1" applyAlignment="1" applyProtection="1">
      <alignment horizontal="center" vertical="center" wrapText="1"/>
      <protection hidden="1"/>
    </xf>
    <xf numFmtId="3" fontId="25" fillId="81" borderId="64" xfId="69" applyNumberFormat="1" applyFont="1" applyFill="1" applyBorder="1" applyAlignment="1" applyProtection="1">
      <alignment vertical="center" wrapText="1"/>
      <protection hidden="1"/>
    </xf>
    <xf numFmtId="3" fontId="15" fillId="81" borderId="64" xfId="69" applyNumberFormat="1" applyFont="1" applyFill="1" applyBorder="1" applyAlignment="1" applyProtection="1">
      <alignment vertical="center"/>
      <protection hidden="1"/>
    </xf>
    <xf numFmtId="3" fontId="60" fillId="0" borderId="76" xfId="69" applyNumberFormat="1" applyFont="1" applyFill="1" applyBorder="1" applyAlignment="1">
      <alignment horizontal="center" vertical="center" wrapText="1"/>
    </xf>
    <xf numFmtId="3" fontId="17" fillId="0" borderId="76" xfId="46" applyNumberFormat="1" applyFont="1" applyFill="1" applyBorder="1" applyAlignment="1">
      <alignment horizontal="left" vertical="center" wrapText="1" indent="1"/>
    </xf>
    <xf numFmtId="3" fontId="39" fillId="5" borderId="76" xfId="69" applyNumberFormat="1" applyFont="1" applyFill="1" applyBorder="1" applyAlignment="1">
      <alignment horizontal="center" vertical="center" wrapText="1"/>
    </xf>
    <xf numFmtId="3" fontId="76" fillId="5" borderId="76" xfId="69" applyNumberFormat="1" applyFont="1" applyFill="1" applyBorder="1" applyAlignment="1">
      <alignment horizontal="center" vertical="center" wrapText="1"/>
    </xf>
    <xf numFmtId="3" fontId="76" fillId="6" borderId="77" xfId="69" applyNumberFormat="1" applyFont="1" applyFill="1" applyBorder="1" applyAlignment="1">
      <alignment vertical="center" wrapText="1"/>
    </xf>
    <xf numFmtId="3" fontId="76" fillId="58" borderId="77" xfId="69" applyNumberFormat="1" applyFont="1" applyFill="1" applyBorder="1" applyAlignment="1">
      <alignment vertical="center" wrapText="1"/>
    </xf>
    <xf numFmtId="3" fontId="15" fillId="5" borderId="76" xfId="69" applyNumberFormat="1" applyFont="1" applyFill="1" applyBorder="1" applyAlignment="1" applyProtection="1">
      <alignment vertical="center"/>
      <protection hidden="1"/>
    </xf>
    <xf numFmtId="3" fontId="18" fillId="0" borderId="76" xfId="46" applyNumberFormat="1" applyFont="1" applyFill="1" applyBorder="1" applyAlignment="1">
      <alignment horizontal="left" vertical="center" wrapText="1" indent="1"/>
    </xf>
    <xf numFmtId="3" fontId="76" fillId="57" borderId="76" xfId="69" applyNumberFormat="1" applyFont="1" applyFill="1" applyBorder="1" applyAlignment="1" applyProtection="1">
      <alignment vertical="center"/>
      <protection hidden="1"/>
    </xf>
    <xf numFmtId="3" fontId="76" fillId="6" borderId="76" xfId="69" applyNumberFormat="1" applyFont="1" applyFill="1" applyBorder="1" applyAlignment="1" applyProtection="1">
      <alignment vertical="center"/>
      <protection hidden="1"/>
    </xf>
    <xf numFmtId="3" fontId="76" fillId="58" borderId="76" xfId="69" applyNumberFormat="1" applyFont="1" applyFill="1" applyBorder="1" applyAlignment="1" applyProtection="1">
      <alignment vertical="center"/>
      <protection hidden="1"/>
    </xf>
    <xf numFmtId="3" fontId="18" fillId="0" borderId="75" xfId="46" applyNumberFormat="1" applyFont="1" applyFill="1" applyBorder="1" applyAlignment="1">
      <alignment horizontal="left" vertical="center" wrapText="1" indent="1"/>
    </xf>
    <xf numFmtId="3" fontId="38" fillId="6" borderId="76" xfId="69" applyNumberFormat="1" applyFont="1" applyFill="1" applyBorder="1" applyAlignment="1" applyProtection="1">
      <alignment vertical="center"/>
      <protection hidden="1"/>
    </xf>
    <xf numFmtId="3" fontId="163" fillId="0" borderId="0" xfId="69" applyNumberFormat="1" applyFont="1" applyFill="1" applyBorder="1" applyAlignment="1" applyProtection="1">
      <alignment vertical="center"/>
      <protection hidden="1"/>
    </xf>
    <xf numFmtId="3" fontId="38" fillId="5" borderId="6" xfId="69" applyNumberFormat="1" applyFont="1" applyFill="1" applyBorder="1" applyAlignment="1">
      <alignment horizontal="center" vertical="center" wrapText="1"/>
    </xf>
    <xf numFmtId="3" fontId="30" fillId="5" borderId="6" xfId="69" applyNumberFormat="1" applyFont="1" applyFill="1" applyBorder="1" applyAlignment="1">
      <alignment horizontal="center" vertical="center" wrapText="1"/>
    </xf>
    <xf numFmtId="3" fontId="39" fillId="6" borderId="65" xfId="69" applyNumberFormat="1" applyFont="1" applyFill="1" applyBorder="1" applyAlignment="1">
      <alignment vertical="center" wrapText="1"/>
    </xf>
    <xf numFmtId="3" fontId="16" fillId="4" borderId="77" xfId="69" applyNumberFormat="1" applyFont="1" applyFill="1" applyBorder="1" applyAlignment="1" applyProtection="1">
      <alignment vertical="center" wrapText="1"/>
      <protection hidden="1"/>
    </xf>
    <xf numFmtId="3" fontId="76" fillId="4" borderId="12" xfId="69" applyNumberFormat="1" applyFont="1" applyFill="1" applyBorder="1" applyAlignment="1" applyProtection="1">
      <alignment vertical="center" wrapText="1"/>
      <protection hidden="1"/>
    </xf>
    <xf numFmtId="3" fontId="76" fillId="4" borderId="18" xfId="69" applyNumberFormat="1" applyFont="1" applyFill="1" applyBorder="1" applyAlignment="1" applyProtection="1">
      <alignment vertical="center" wrapText="1"/>
      <protection hidden="1"/>
    </xf>
    <xf numFmtId="3" fontId="30" fillId="4" borderId="77" xfId="69" applyNumberFormat="1" applyFont="1" applyFill="1" applyBorder="1" applyAlignment="1">
      <alignment vertical="center" wrapText="1"/>
    </xf>
    <xf numFmtId="3" fontId="18" fillId="6" borderId="77" xfId="69" applyNumberFormat="1" applyFont="1" applyFill="1" applyBorder="1" applyAlignment="1" applyProtection="1">
      <alignment vertical="center" wrapText="1"/>
      <protection hidden="1"/>
    </xf>
    <xf numFmtId="3" fontId="16" fillId="6" borderId="77" xfId="69" applyNumberFormat="1" applyFont="1" applyFill="1" applyBorder="1" applyAlignment="1" applyProtection="1">
      <alignment vertical="center" wrapText="1"/>
      <protection hidden="1"/>
    </xf>
    <xf numFmtId="43" fontId="76" fillId="12" borderId="12" xfId="7" applyFont="1" applyFill="1" applyBorder="1" applyAlignment="1" applyProtection="1">
      <alignment vertical="center" wrapText="1"/>
      <protection hidden="1"/>
    </xf>
    <xf numFmtId="3" fontId="76" fillId="5" borderId="77" xfId="69" applyNumberFormat="1" applyFont="1" applyFill="1" applyBorder="1" applyAlignment="1">
      <alignment horizontal="center" vertical="center" wrapText="1"/>
    </xf>
    <xf numFmtId="3" fontId="39" fillId="6" borderId="77" xfId="69" applyNumberFormat="1" applyFont="1" applyFill="1" applyBorder="1" applyAlignment="1">
      <alignment vertical="center" wrapText="1"/>
    </xf>
    <xf numFmtId="3" fontId="18" fillId="12" borderId="76" xfId="69" applyNumberFormat="1" applyFont="1" applyFill="1" applyBorder="1" applyAlignment="1" applyProtection="1">
      <alignment vertical="center" wrapText="1"/>
      <protection hidden="1"/>
    </xf>
    <xf numFmtId="3" fontId="18" fillId="12" borderId="77" xfId="69" applyNumberFormat="1" applyFont="1" applyFill="1" applyBorder="1" applyAlignment="1" applyProtection="1">
      <alignment vertical="center" wrapText="1"/>
      <protection hidden="1"/>
    </xf>
    <xf numFmtId="9" fontId="76" fillId="6" borderId="77" xfId="14" applyFont="1" applyFill="1" applyBorder="1" applyAlignment="1">
      <alignment vertical="center" wrapText="1"/>
    </xf>
    <xf numFmtId="3" fontId="76" fillId="12" borderId="12" xfId="69" applyNumberFormat="1" applyFont="1" applyFill="1" applyBorder="1" applyAlignment="1" applyProtection="1">
      <alignment vertical="center" wrapText="1"/>
      <protection hidden="1"/>
    </xf>
    <xf numFmtId="3" fontId="16" fillId="4" borderId="76" xfId="69" applyNumberFormat="1" applyFont="1" applyFill="1" applyBorder="1" applyAlignment="1" applyProtection="1">
      <alignment vertical="center"/>
      <protection hidden="1"/>
    </xf>
    <xf numFmtId="3" fontId="30" fillId="4" borderId="76" xfId="69" applyNumberFormat="1" applyFont="1" applyFill="1" applyBorder="1" applyAlignment="1">
      <alignment horizontal="center" vertical="center" wrapText="1"/>
    </xf>
    <xf numFmtId="3" fontId="30" fillId="4" borderId="77" xfId="69" applyNumberFormat="1" applyFont="1" applyFill="1" applyBorder="1" applyAlignment="1">
      <alignment horizontal="center" vertical="center" wrapText="1"/>
    </xf>
    <xf numFmtId="3" fontId="18" fillId="5" borderId="119" xfId="69" applyNumberFormat="1" applyFont="1" applyFill="1" applyBorder="1" applyAlignment="1" applyProtection="1">
      <alignment vertical="top" wrapText="1"/>
      <protection hidden="1"/>
    </xf>
    <xf numFmtId="3" fontId="16" fillId="5" borderId="76" xfId="69" applyNumberFormat="1" applyFont="1" applyFill="1" applyBorder="1" applyAlignment="1" applyProtection="1">
      <alignment vertical="center"/>
      <protection hidden="1"/>
    </xf>
    <xf numFmtId="3" fontId="30" fillId="5" borderId="76" xfId="69" applyNumberFormat="1" applyFont="1" applyFill="1" applyBorder="1" applyAlignment="1">
      <alignment horizontal="center" vertical="center" wrapText="1"/>
    </xf>
    <xf numFmtId="3" fontId="18" fillId="12" borderId="76" xfId="69" applyNumberFormat="1" applyFont="1" applyFill="1" applyBorder="1" applyAlignment="1" applyProtection="1">
      <alignment horizontal="center" vertical="center"/>
      <protection hidden="1"/>
    </xf>
    <xf numFmtId="9" fontId="76" fillId="5" borderId="76" xfId="14" applyFont="1" applyFill="1" applyBorder="1" applyAlignment="1">
      <alignment horizontal="center" vertical="center" wrapText="1"/>
    </xf>
    <xf numFmtId="9" fontId="76" fillId="5" borderId="77" xfId="14" applyFont="1" applyFill="1" applyBorder="1" applyAlignment="1">
      <alignment horizontal="center" vertical="center" wrapText="1"/>
    </xf>
    <xf numFmtId="3" fontId="30" fillId="58" borderId="64" xfId="69" applyNumberFormat="1" applyFont="1" applyFill="1" applyBorder="1" applyAlignment="1" applyProtection="1">
      <alignment vertical="center"/>
      <protection hidden="1"/>
    </xf>
    <xf numFmtId="41" fontId="60" fillId="6" borderId="6" xfId="69" applyNumberFormat="1" applyFont="1" applyFill="1" applyBorder="1" applyAlignment="1">
      <alignment horizontal="right" vertical="center" wrapText="1"/>
    </xf>
    <xf numFmtId="9" fontId="15" fillId="0" borderId="76" xfId="14" applyFont="1" applyBorder="1"/>
    <xf numFmtId="0" fontId="0" fillId="6" borderId="64" xfId="0" applyFont="1" applyFill="1" applyBorder="1"/>
    <xf numFmtId="0" fontId="0" fillId="0" borderId="64" xfId="0" applyFont="1" applyFill="1" applyBorder="1"/>
    <xf numFmtId="41" fontId="0" fillId="6" borderId="64" xfId="0" applyNumberFormat="1" applyFont="1" applyFill="1" applyBorder="1"/>
    <xf numFmtId="41" fontId="0" fillId="0" borderId="64" xfId="0" applyNumberFormat="1" applyFont="1" applyFill="1" applyBorder="1"/>
    <xf numFmtId="174" fontId="67" fillId="4" borderId="64" xfId="0" applyNumberFormat="1" applyFont="1" applyFill="1" applyBorder="1" applyAlignment="1">
      <alignment horizontal="center" vertical="center"/>
    </xf>
    <xf numFmtId="41" fontId="67" fillId="0" borderId="64" xfId="0" applyNumberFormat="1" applyFont="1" applyFill="1" applyBorder="1" applyAlignment="1">
      <alignment horizontal="center" vertical="center"/>
    </xf>
    <xf numFmtId="174" fontId="67" fillId="64" borderId="64" xfId="0" applyNumberFormat="1" applyFont="1" applyFill="1" applyBorder="1" applyAlignment="1">
      <alignment horizontal="center" vertical="center"/>
    </xf>
    <xf numFmtId="41" fontId="67" fillId="6" borderId="64" xfId="0" applyNumberFormat="1" applyFont="1" applyFill="1" applyBorder="1" applyAlignment="1">
      <alignment horizontal="center" vertical="center"/>
    </xf>
    <xf numFmtId="174" fontId="67" fillId="58" borderId="64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174" fontId="67" fillId="60" borderId="64" xfId="0" applyNumberFormat="1" applyFont="1" applyFill="1" applyBorder="1" applyAlignment="1">
      <alignment horizontal="center" vertical="center"/>
    </xf>
    <xf numFmtId="41" fontId="12" fillId="0" borderId="64" xfId="0" applyNumberFormat="1" applyFont="1" applyFill="1" applyBorder="1" applyAlignment="1">
      <alignment horizontal="center" vertical="center"/>
    </xf>
    <xf numFmtId="41" fontId="67" fillId="6" borderId="64" xfId="0" applyNumberFormat="1" applyFont="1" applyFill="1" applyBorder="1" applyAlignment="1">
      <alignment horizontal="center" vertical="center" wrapText="1"/>
    </xf>
    <xf numFmtId="41" fontId="67" fillId="8" borderId="64" xfId="0" applyNumberFormat="1" applyFont="1" applyFill="1" applyBorder="1" applyAlignment="1">
      <alignment horizontal="center" vertical="center" wrapText="1"/>
    </xf>
    <xf numFmtId="41" fontId="67" fillId="6" borderId="76" xfId="0" applyNumberFormat="1" applyFont="1" applyFill="1" applyBorder="1" applyAlignment="1">
      <alignment horizontal="center" vertical="center"/>
    </xf>
    <xf numFmtId="41" fontId="67" fillId="0" borderId="75" xfId="0" applyNumberFormat="1" applyFont="1" applyFill="1" applyBorder="1" applyAlignment="1">
      <alignment horizontal="center" vertical="center"/>
    </xf>
    <xf numFmtId="41" fontId="67" fillId="0" borderId="0" xfId="0" applyNumberFormat="1" applyFont="1" applyFill="1" applyBorder="1" applyAlignment="1">
      <alignment horizontal="center" vertical="center"/>
    </xf>
    <xf numFmtId="41" fontId="60" fillId="6" borderId="76" xfId="69" applyNumberFormat="1" applyFont="1" applyFill="1" applyBorder="1" applyAlignment="1">
      <alignment horizontal="right" vertical="center" wrapText="1"/>
    </xf>
    <xf numFmtId="41" fontId="60" fillId="0" borderId="76" xfId="69" applyNumberFormat="1" applyFont="1" applyFill="1" applyBorder="1" applyAlignment="1">
      <alignment horizontal="right" vertical="center" wrapText="1"/>
    </xf>
    <xf numFmtId="3" fontId="38" fillId="5" borderId="77" xfId="69" applyNumberFormat="1" applyFont="1" applyFill="1" applyBorder="1" applyAlignment="1">
      <alignment horizontal="center" vertical="center" wrapText="1"/>
    </xf>
    <xf numFmtId="3" fontId="18" fillId="12" borderId="76" xfId="69" applyNumberFormat="1" applyFont="1" applyFill="1" applyBorder="1" applyAlignment="1" applyProtection="1">
      <alignment horizontal="center" vertical="center" wrapText="1"/>
      <protection hidden="1"/>
    </xf>
    <xf numFmtId="0" fontId="18" fillId="0" borderId="119" xfId="69" applyFont="1" applyFill="1" applyBorder="1" applyAlignment="1" applyProtection="1">
      <alignment horizontal="center" vertical="center" wrapText="1"/>
      <protection hidden="1"/>
    </xf>
    <xf numFmtId="0" fontId="134" fillId="0" borderId="76" xfId="69" applyFont="1" applyFill="1" applyBorder="1" applyAlignment="1" applyProtection="1">
      <alignment vertical="center" wrapText="1"/>
      <protection hidden="1"/>
    </xf>
    <xf numFmtId="41" fontId="7" fillId="0" borderId="113" xfId="0" applyNumberFormat="1" applyFont="1" applyFill="1" applyBorder="1"/>
    <xf numFmtId="3" fontId="15" fillId="12" borderId="76" xfId="69" applyNumberFormat="1" applyFont="1" applyFill="1" applyBorder="1" applyAlignment="1" applyProtection="1">
      <alignment vertical="center"/>
      <protection hidden="1"/>
    </xf>
    <xf numFmtId="3" fontId="76" fillId="12" borderId="76" xfId="69" applyNumberFormat="1" applyFont="1" applyFill="1" applyBorder="1" applyAlignment="1" applyProtection="1">
      <alignment vertical="center" wrapText="1"/>
      <protection hidden="1"/>
    </xf>
    <xf numFmtId="3" fontId="76" fillId="12" borderId="76" xfId="69" applyNumberFormat="1" applyFont="1" applyFill="1" applyBorder="1" applyAlignment="1" applyProtection="1">
      <alignment vertical="center"/>
      <protection hidden="1"/>
    </xf>
    <xf numFmtId="3" fontId="18" fillId="12" borderId="119" xfId="69" applyNumberFormat="1" applyFont="1" applyFill="1" applyBorder="1" applyAlignment="1" applyProtection="1">
      <alignment horizontal="center" vertical="center"/>
      <protection hidden="1"/>
    </xf>
    <xf numFmtId="3" fontId="60" fillId="0" borderId="74" xfId="69" applyNumberFormat="1" applyFont="1" applyFill="1" applyBorder="1" applyAlignment="1">
      <alignment horizontal="left" vertical="center" wrapText="1"/>
    </xf>
    <xf numFmtId="3" fontId="60" fillId="0" borderId="118" xfId="69" applyNumberFormat="1" applyFont="1" applyFill="1" applyBorder="1" applyAlignment="1">
      <alignment vertical="center" wrapText="1"/>
    </xf>
    <xf numFmtId="9" fontId="38" fillId="5" borderId="64" xfId="14" applyFont="1" applyFill="1" applyBorder="1" applyAlignment="1" applyProtection="1">
      <alignment vertical="center"/>
      <protection hidden="1"/>
    </xf>
    <xf numFmtId="9" fontId="76" fillId="5" borderId="64" xfId="14" applyFont="1" applyFill="1" applyBorder="1" applyAlignment="1" applyProtection="1">
      <alignment horizontal="center" vertical="center"/>
      <protection hidden="1"/>
    </xf>
    <xf numFmtId="0" fontId="16" fillId="0" borderId="15" xfId="0" applyFont="1" applyFill="1" applyBorder="1" applyAlignment="1">
      <alignment horizontal="left" vertical="center" wrapText="1" indent="1"/>
    </xf>
    <xf numFmtId="41" fontId="60" fillId="0" borderId="35" xfId="0" applyNumberFormat="1" applyFont="1" applyFill="1" applyBorder="1" applyAlignment="1">
      <alignment horizontal="center" vertical="center" wrapText="1"/>
    </xf>
    <xf numFmtId="41" fontId="60" fillId="0" borderId="35" xfId="0" applyNumberFormat="1" applyFont="1" applyFill="1" applyBorder="1" applyAlignment="1">
      <alignment horizontal="center" vertical="center" wrapText="1"/>
    </xf>
    <xf numFmtId="0" fontId="0" fillId="0" borderId="19" xfId="0" applyBorder="1"/>
    <xf numFmtId="0" fontId="0" fillId="0" borderId="16" xfId="0" applyBorder="1"/>
    <xf numFmtId="0" fontId="34" fillId="0" borderId="76" xfId="0" applyFont="1" applyBorder="1" applyAlignment="1">
      <alignment horizontal="center" vertical="center"/>
    </xf>
    <xf numFmtId="0" fontId="34" fillId="0" borderId="76" xfId="0" applyFont="1" applyBorder="1" applyAlignment="1">
      <alignment horizontal="center" vertical="center" wrapText="1"/>
    </xf>
    <xf numFmtId="0" fontId="34" fillId="0" borderId="0" xfId="0" applyFont="1" applyBorder="1" applyAlignment="1">
      <alignment horizontal="center" vertical="center" wrapText="1"/>
    </xf>
    <xf numFmtId="0" fontId="34" fillId="4" borderId="76" xfId="0" applyFont="1" applyFill="1" applyBorder="1" applyAlignment="1">
      <alignment horizontal="center" vertical="center"/>
    </xf>
    <xf numFmtId="0" fontId="34" fillId="4" borderId="76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181" fontId="0" fillId="0" borderId="76" xfId="0" applyNumberFormat="1" applyBorder="1"/>
    <xf numFmtId="172" fontId="0" fillId="0" borderId="0" xfId="285" applyNumberFormat="1" applyFont="1" applyBorder="1"/>
    <xf numFmtId="172" fontId="0" fillId="4" borderId="76" xfId="285" applyNumberFormat="1" applyFont="1" applyFill="1" applyBorder="1"/>
    <xf numFmtId="172" fontId="7" fillId="4" borderId="76" xfId="285" applyNumberFormat="1" applyFont="1" applyFill="1" applyBorder="1"/>
    <xf numFmtId="172" fontId="14" fillId="4" borderId="76" xfId="285" applyNumberFormat="1" applyFont="1" applyFill="1" applyBorder="1"/>
    <xf numFmtId="0" fontId="0" fillId="0" borderId="122" xfId="0" applyBorder="1"/>
    <xf numFmtId="2" fontId="0" fillId="0" borderId="122" xfId="0" applyNumberFormat="1" applyBorder="1"/>
    <xf numFmtId="181" fontId="0" fillId="0" borderId="122" xfId="0" applyNumberFormat="1" applyBorder="1"/>
    <xf numFmtId="172" fontId="0" fillId="0" borderId="122" xfId="285" applyNumberFormat="1" applyFont="1" applyBorder="1"/>
    <xf numFmtId="172" fontId="0" fillId="4" borderId="122" xfId="285" applyNumberFormat="1" applyFont="1" applyFill="1" applyBorder="1"/>
    <xf numFmtId="0" fontId="0" fillId="0" borderId="119" xfId="0" applyBorder="1"/>
    <xf numFmtId="2" fontId="0" fillId="0" borderId="119" xfId="0" applyNumberFormat="1" applyBorder="1"/>
    <xf numFmtId="181" fontId="0" fillId="0" borderId="119" xfId="0" applyNumberFormat="1" applyBorder="1"/>
    <xf numFmtId="172" fontId="0" fillId="0" borderId="119" xfId="285" applyNumberFormat="1" applyFont="1" applyBorder="1"/>
    <xf numFmtId="172" fontId="0" fillId="4" borderId="119" xfId="285" applyNumberFormat="1" applyFont="1" applyFill="1" applyBorder="1"/>
    <xf numFmtId="172" fontId="0" fillId="0" borderId="12" xfId="285" applyNumberFormat="1" applyFont="1" applyBorder="1"/>
    <xf numFmtId="0" fontId="0" fillId="0" borderId="119" xfId="0" applyBorder="1" applyAlignment="1">
      <alignment vertical="center" wrapText="1"/>
    </xf>
    <xf numFmtId="0" fontId="0" fillId="0" borderId="76" xfId="0" applyBorder="1" applyAlignment="1">
      <alignment vertical="center" wrapText="1"/>
    </xf>
    <xf numFmtId="172" fontId="82" fillId="0" borderId="76" xfId="285" applyNumberFormat="1" applyFont="1" applyBorder="1"/>
    <xf numFmtId="0" fontId="34" fillId="0" borderId="0" xfId="0" applyFont="1" applyAlignment="1">
      <alignment horizontal="center" vertical="center"/>
    </xf>
    <xf numFmtId="172" fontId="11" fillId="0" borderId="76" xfId="285" applyNumberFormat="1" applyFont="1" applyBorder="1"/>
    <xf numFmtId="0" fontId="7" fillId="0" borderId="76" xfId="0" applyFont="1" applyBorder="1"/>
    <xf numFmtId="182" fontId="0" fillId="0" borderId="0" xfId="0" applyNumberFormat="1"/>
    <xf numFmtId="172" fontId="0" fillId="0" borderId="15" xfId="285" applyNumberFormat="1" applyFont="1" applyFill="1" applyBorder="1"/>
    <xf numFmtId="172" fontId="0" fillId="0" borderId="0" xfId="285" applyNumberFormat="1" applyFont="1" applyFill="1" applyBorder="1"/>
    <xf numFmtId="0" fontId="0" fillId="0" borderId="0" xfId="0" applyFill="1" applyBorder="1" applyAlignment="1">
      <alignment vertical="center" wrapText="1"/>
    </xf>
    <xf numFmtId="0" fontId="0" fillId="0" borderId="163" xfId="0" applyBorder="1"/>
    <xf numFmtId="0" fontId="0" fillId="0" borderId="165" xfId="0" applyBorder="1"/>
    <xf numFmtId="0" fontId="0" fillId="0" borderId="166" xfId="0" applyBorder="1"/>
    <xf numFmtId="41" fontId="0" fillId="0" borderId="0" xfId="0" applyNumberFormat="1" applyFont="1" applyFill="1" applyBorder="1"/>
    <xf numFmtId="0" fontId="17" fillId="6" borderId="12" xfId="46" applyFont="1" applyFill="1" applyBorder="1" applyAlignment="1">
      <alignment horizontal="left" wrapText="1" indent="1"/>
    </xf>
    <xf numFmtId="0" fontId="0" fillId="0" borderId="0" xfId="0" applyFont="1"/>
    <xf numFmtId="0" fontId="14" fillId="6" borderId="12" xfId="46" applyFont="1" applyFill="1" applyBorder="1" applyAlignment="1">
      <alignment horizontal="center" vertical="center" textRotation="90"/>
    </xf>
    <xf numFmtId="0" fontId="17" fillId="6" borderId="12" xfId="46" applyFont="1" applyFill="1" applyBorder="1" applyAlignment="1">
      <alignment horizontal="left" vertical="center" wrapText="1" indent="1"/>
    </xf>
    <xf numFmtId="41" fontId="60" fillId="0" borderId="35" xfId="0" applyNumberFormat="1" applyFont="1" applyFill="1" applyBorder="1" applyAlignment="1">
      <alignment horizontal="center" vertical="center" wrapText="1"/>
    </xf>
    <xf numFmtId="0" fontId="16" fillId="6" borderId="12" xfId="46" applyFont="1" applyFill="1" applyBorder="1" applyAlignment="1">
      <alignment horizontal="left" vertical="center" wrapText="1" indent="1"/>
    </xf>
    <xf numFmtId="0" fontId="17" fillId="0" borderId="12" xfId="46" applyFont="1" applyFill="1" applyBorder="1" applyAlignment="1">
      <alignment horizontal="left" wrapText="1" indent="1"/>
    </xf>
    <xf numFmtId="0" fontId="15" fillId="0" borderId="0" xfId="46" applyFont="1" applyFill="1" applyBorder="1" applyAlignment="1">
      <alignment horizontal="center" vertical="center" wrapText="1"/>
    </xf>
    <xf numFmtId="173" fontId="16" fillId="0" borderId="15" xfId="7" applyNumberFormat="1" applyFont="1" applyFill="1" applyBorder="1" applyAlignment="1">
      <alignment horizontal="left" vertical="center" wrapText="1" indent="1"/>
    </xf>
    <xf numFmtId="0" fontId="0" fillId="0" borderId="167" xfId="0" applyBorder="1"/>
    <xf numFmtId="172" fontId="0" fillId="0" borderId="167" xfId="285" applyNumberFormat="1" applyFont="1" applyBorder="1"/>
    <xf numFmtId="9" fontId="15" fillId="3" borderId="0" xfId="68" applyFont="1" applyFill="1" applyBorder="1" applyAlignment="1">
      <alignment horizontal="center" vertical="center"/>
    </xf>
    <xf numFmtId="0" fontId="16" fillId="6" borderId="13" xfId="0" applyFont="1" applyFill="1" applyBorder="1" applyAlignment="1">
      <alignment horizontal="center" vertical="center" wrapText="1"/>
    </xf>
    <xf numFmtId="0" fontId="0" fillId="0" borderId="0" xfId="0" applyFont="1"/>
    <xf numFmtId="41" fontId="60" fillId="0" borderId="36" xfId="0" applyNumberFormat="1" applyFont="1" applyFill="1" applyBorder="1" applyAlignment="1">
      <alignment horizontal="center" vertical="center" wrapText="1"/>
    </xf>
    <xf numFmtId="41" fontId="60" fillId="0" borderId="35" xfId="0" applyNumberFormat="1" applyFont="1" applyFill="1" applyBorder="1" applyAlignment="1">
      <alignment horizontal="center" vertical="center" wrapText="1"/>
    </xf>
    <xf numFmtId="0" fontId="14" fillId="0" borderId="12" xfId="0" applyFont="1" applyFill="1" applyBorder="1" applyAlignment="1">
      <alignment horizontal="center" vertical="center" wrapText="1"/>
    </xf>
    <xf numFmtId="4" fontId="25" fillId="0" borderId="65" xfId="7" applyNumberFormat="1" applyFont="1" applyFill="1" applyBorder="1" applyAlignment="1">
      <alignment horizontal="left" vertical="center" wrapText="1" indent="1"/>
    </xf>
    <xf numFmtId="3" fontId="31" fillId="59" borderId="6" xfId="69" applyNumberFormat="1" applyFont="1" applyFill="1" applyBorder="1" applyAlignment="1">
      <alignment horizontal="center" vertical="center" wrapText="1"/>
    </xf>
    <xf numFmtId="3" fontId="30" fillId="62" borderId="64" xfId="69" applyNumberFormat="1" applyFont="1" applyFill="1" applyBorder="1" applyAlignment="1" applyProtection="1">
      <alignment vertical="center"/>
      <protection hidden="1"/>
    </xf>
    <xf numFmtId="41" fontId="244" fillId="6" borderId="6" xfId="71" applyNumberFormat="1" applyFont="1" applyFill="1" applyBorder="1" applyAlignment="1">
      <alignment horizontal="center" vertical="center"/>
    </xf>
    <xf numFmtId="3" fontId="17" fillId="6" borderId="64" xfId="69" applyNumberFormat="1" applyFont="1" applyFill="1" applyBorder="1" applyAlignment="1" applyProtection="1">
      <alignment vertical="center" wrapText="1"/>
      <protection hidden="1"/>
    </xf>
    <xf numFmtId="43" fontId="15" fillId="0" borderId="167" xfId="7" applyFont="1" applyFill="1" applyBorder="1" applyAlignment="1" applyProtection="1">
      <alignment vertical="center"/>
      <protection hidden="1"/>
    </xf>
    <xf numFmtId="3" fontId="15" fillId="0" borderId="167" xfId="69" applyNumberFormat="1" applyFont="1" applyFill="1" applyBorder="1" applyAlignment="1" applyProtection="1">
      <alignment vertical="center"/>
      <protection hidden="1"/>
    </xf>
    <xf numFmtId="3" fontId="163" fillId="0" borderId="167" xfId="69" applyNumberFormat="1" applyFont="1" applyFill="1" applyBorder="1" applyAlignment="1" applyProtection="1">
      <alignment vertical="center"/>
      <protection hidden="1"/>
    </xf>
    <xf numFmtId="4" fontId="15" fillId="0" borderId="0" xfId="69" applyNumberFormat="1" applyFont="1" applyFill="1" applyAlignment="1" applyProtection="1">
      <alignment vertical="center"/>
      <protection hidden="1"/>
    </xf>
    <xf numFmtId="3" fontId="163" fillId="0" borderId="119" xfId="69" applyNumberFormat="1" applyFont="1" applyFill="1" applyBorder="1" applyAlignment="1" applyProtection="1">
      <alignment vertical="center"/>
      <protection hidden="1"/>
    </xf>
    <xf numFmtId="43" fontId="163" fillId="0" borderId="167" xfId="7" applyFont="1" applyBorder="1" applyAlignment="1" applyProtection="1">
      <alignment vertical="center"/>
      <protection hidden="1"/>
    </xf>
    <xf numFmtId="3" fontId="17" fillId="0" borderId="165" xfId="46" applyNumberFormat="1" applyFont="1" applyFill="1" applyBorder="1" applyAlignment="1">
      <alignment horizontal="left" vertical="center" wrapText="1" indent="1"/>
    </xf>
    <xf numFmtId="3" fontId="39" fillId="5" borderId="167" xfId="69" applyNumberFormat="1" applyFont="1" applyFill="1" applyBorder="1" applyAlignment="1">
      <alignment horizontal="center" vertical="center" wrapText="1"/>
    </xf>
    <xf numFmtId="3" fontId="15" fillId="5" borderId="167" xfId="69" applyNumberFormat="1" applyFont="1" applyFill="1" applyBorder="1" applyAlignment="1">
      <alignment horizontal="center" vertical="center" wrapText="1"/>
    </xf>
    <xf numFmtId="3" fontId="76" fillId="6" borderId="165" xfId="69" applyNumberFormat="1" applyFont="1" applyFill="1" applyBorder="1" applyAlignment="1">
      <alignment vertical="center" wrapText="1"/>
    </xf>
    <xf numFmtId="3" fontId="15" fillId="6" borderId="165" xfId="69" applyNumberFormat="1" applyFont="1" applyFill="1" applyBorder="1" applyAlignment="1">
      <alignment vertical="center" wrapText="1"/>
    </xf>
    <xf numFmtId="3" fontId="15" fillId="58" borderId="165" xfId="69" applyNumberFormat="1" applyFont="1" applyFill="1" applyBorder="1" applyAlignment="1">
      <alignment vertical="center" wrapText="1"/>
    </xf>
    <xf numFmtId="3" fontId="76" fillId="57" borderId="165" xfId="69" applyNumberFormat="1" applyFont="1" applyFill="1" applyBorder="1" applyAlignment="1" applyProtection="1">
      <alignment horizontal="center" vertical="center"/>
      <protection hidden="1"/>
    </xf>
    <xf numFmtId="3" fontId="15" fillId="5" borderId="167" xfId="69" applyNumberFormat="1" applyFont="1" applyFill="1" applyBorder="1" applyAlignment="1" applyProtection="1">
      <alignment vertical="center"/>
      <protection hidden="1"/>
    </xf>
    <xf numFmtId="3" fontId="76" fillId="5" borderId="167" xfId="69" applyNumberFormat="1" applyFont="1" applyFill="1" applyBorder="1" applyAlignment="1" applyProtection="1">
      <alignment vertical="center"/>
      <protection hidden="1"/>
    </xf>
    <xf numFmtId="3" fontId="18" fillId="0" borderId="165" xfId="46" applyNumberFormat="1" applyFont="1" applyFill="1" applyBorder="1" applyAlignment="1">
      <alignment horizontal="left" vertical="center" wrapText="1" indent="1"/>
    </xf>
    <xf numFmtId="3" fontId="76" fillId="5" borderId="167" xfId="69" applyNumberFormat="1" applyFont="1" applyFill="1" applyBorder="1" applyAlignment="1">
      <alignment horizontal="center" vertical="center" wrapText="1"/>
    </xf>
    <xf numFmtId="3" fontId="15" fillId="58" borderId="167" xfId="69" applyNumberFormat="1" applyFont="1" applyFill="1" applyBorder="1" applyAlignment="1" applyProtection="1">
      <alignment vertical="center"/>
      <protection hidden="1"/>
    </xf>
    <xf numFmtId="3" fontId="76" fillId="57" borderId="167" xfId="69" applyNumberFormat="1" applyFont="1" applyFill="1" applyBorder="1" applyAlignment="1" applyProtection="1">
      <alignment vertical="center"/>
      <protection hidden="1"/>
    </xf>
    <xf numFmtId="3" fontId="31" fillId="59" borderId="167" xfId="69" applyNumberFormat="1" applyFont="1" applyFill="1" applyBorder="1" applyAlignment="1">
      <alignment horizontal="center" vertical="center" wrapText="1"/>
    </xf>
    <xf numFmtId="3" fontId="15" fillId="6" borderId="119" xfId="69" applyNumberFormat="1" applyFont="1" applyFill="1" applyBorder="1" applyAlignment="1" applyProtection="1">
      <alignment vertical="center"/>
      <protection hidden="1"/>
    </xf>
    <xf numFmtId="3" fontId="155" fillId="61" borderId="167" xfId="69" applyNumberFormat="1" applyFont="1" applyFill="1" applyBorder="1" applyAlignment="1" applyProtection="1">
      <alignment vertical="center"/>
      <protection hidden="1"/>
    </xf>
    <xf numFmtId="3" fontId="76" fillId="61" borderId="167" xfId="69" applyNumberFormat="1" applyFont="1" applyFill="1" applyBorder="1" applyAlignment="1" applyProtection="1">
      <alignment vertical="center"/>
      <protection hidden="1"/>
    </xf>
    <xf numFmtId="3" fontId="30" fillId="62" borderId="167" xfId="69" applyNumberFormat="1" applyFont="1" applyFill="1" applyBorder="1" applyAlignment="1" applyProtection="1">
      <alignment vertical="center"/>
      <protection hidden="1"/>
    </xf>
    <xf numFmtId="3" fontId="76" fillId="62" borderId="167" xfId="69" applyNumberFormat="1" applyFont="1" applyFill="1" applyBorder="1" applyAlignment="1" applyProtection="1">
      <alignment vertical="center"/>
      <protection hidden="1"/>
    </xf>
    <xf numFmtId="3" fontId="18" fillId="0" borderId="169" xfId="46" applyNumberFormat="1" applyFont="1" applyFill="1" applyBorder="1" applyAlignment="1">
      <alignment horizontal="left" vertical="center" wrapText="1" indent="1"/>
    </xf>
    <xf numFmtId="3" fontId="38" fillId="6" borderId="167" xfId="69" applyNumberFormat="1" applyFont="1" applyFill="1" applyBorder="1" applyAlignment="1" applyProtection="1">
      <alignment vertical="center"/>
      <protection hidden="1"/>
    </xf>
    <xf numFmtId="3" fontId="15" fillId="6" borderId="167" xfId="69" applyNumberFormat="1" applyFont="1" applyFill="1" applyBorder="1" applyAlignment="1" applyProtection="1">
      <alignment vertical="center"/>
      <protection hidden="1"/>
    </xf>
    <xf numFmtId="3" fontId="76" fillId="5" borderId="165" xfId="69" applyNumberFormat="1" applyFont="1" applyFill="1" applyBorder="1" applyAlignment="1">
      <alignment horizontal="center" vertical="center" wrapText="1"/>
    </xf>
    <xf numFmtId="3" fontId="15" fillId="58" borderId="165" xfId="69" applyNumberFormat="1" applyFont="1" applyFill="1" applyBorder="1" applyAlignment="1" applyProtection="1">
      <alignment vertical="center"/>
      <protection hidden="1"/>
    </xf>
    <xf numFmtId="41" fontId="67" fillId="6" borderId="64" xfId="75" applyNumberFormat="1" applyFont="1" applyFill="1" applyBorder="1" applyAlignment="1">
      <alignment horizontal="center" vertical="center" wrapText="1"/>
    </xf>
    <xf numFmtId="41" fontId="67" fillId="0" borderId="64" xfId="75" applyNumberFormat="1" applyFont="1" applyFill="1" applyBorder="1" applyAlignment="1">
      <alignment horizontal="center" vertical="center" wrapText="1"/>
    </xf>
    <xf numFmtId="0" fontId="34" fillId="4" borderId="167" xfId="0" applyFont="1" applyFill="1" applyBorder="1" applyAlignment="1">
      <alignment horizontal="center" vertical="center"/>
    </xf>
    <xf numFmtId="0" fontId="7" fillId="4" borderId="167" xfId="0" applyFont="1" applyFill="1" applyBorder="1"/>
    <xf numFmtId="0" fontId="0" fillId="4" borderId="167" xfId="0" applyFill="1" applyBorder="1"/>
    <xf numFmtId="172" fontId="0" fillId="4" borderId="167" xfId="285" applyNumberFormat="1" applyFont="1" applyFill="1" applyBorder="1"/>
    <xf numFmtId="0" fontId="0" fillId="0" borderId="167" xfId="0" applyFill="1" applyBorder="1"/>
    <xf numFmtId="0" fontId="17" fillId="3" borderId="20" xfId="46" applyFont="1" applyFill="1" applyBorder="1" applyAlignment="1">
      <alignment horizontal="left" vertical="center" wrapText="1" indent="1"/>
    </xf>
    <xf numFmtId="41" fontId="60" fillId="0" borderId="20" xfId="71" applyNumberFormat="1" applyFont="1" applyFill="1" applyBorder="1" applyAlignment="1">
      <alignment horizontal="center" vertical="center"/>
    </xf>
    <xf numFmtId="41" fontId="60" fillId="6" borderId="167" xfId="69" applyNumberFormat="1" applyFont="1" applyFill="1" applyBorder="1" applyAlignment="1">
      <alignment horizontal="center" vertical="center" wrapText="1"/>
    </xf>
    <xf numFmtId="41" fontId="60" fillId="6" borderId="167" xfId="69" applyNumberFormat="1" applyFont="1" applyFill="1" applyBorder="1" applyAlignment="1">
      <alignment horizontal="right" vertical="center" wrapText="1"/>
    </xf>
    <xf numFmtId="41" fontId="60" fillId="0" borderId="167" xfId="69" applyNumberFormat="1" applyFont="1" applyFill="1" applyBorder="1" applyAlignment="1">
      <alignment horizontal="center" vertical="center" wrapText="1"/>
    </xf>
    <xf numFmtId="41" fontId="60" fillId="0" borderId="167" xfId="69" applyNumberFormat="1" applyFont="1" applyFill="1" applyBorder="1" applyAlignment="1">
      <alignment horizontal="right" vertical="center" wrapText="1"/>
    </xf>
    <xf numFmtId="9" fontId="0" fillId="0" borderId="0" xfId="14" applyFont="1" applyAlignment="1">
      <alignment horizontal="center"/>
    </xf>
    <xf numFmtId="0" fontId="15" fillId="0" borderId="19" xfId="46" applyFont="1" applyBorder="1" applyAlignment="1">
      <alignment horizontal="center" vertical="center" wrapText="1"/>
    </xf>
    <xf numFmtId="0" fontId="15" fillId="0" borderId="1" xfId="46" applyFont="1" applyBorder="1" applyAlignment="1">
      <alignment horizontal="center" vertical="center" wrapText="1"/>
    </xf>
    <xf numFmtId="0" fontId="42" fillId="0" borderId="167" xfId="46" applyBorder="1"/>
    <xf numFmtId="0" fontId="42" fillId="0" borderId="167" xfId="46" applyBorder="1" applyAlignment="1">
      <alignment wrapText="1"/>
    </xf>
    <xf numFmtId="0" fontId="15" fillId="0" borderId="167" xfId="46" applyFont="1" applyBorder="1" applyAlignment="1">
      <alignment horizontal="center" vertical="center" wrapText="1"/>
    </xf>
    <xf numFmtId="0" fontId="14" fillId="6" borderId="167" xfId="46" applyFont="1" applyFill="1" applyBorder="1" applyAlignment="1">
      <alignment horizontal="center" vertical="center" textRotation="90" wrapText="1"/>
    </xf>
    <xf numFmtId="0" fontId="16" fillId="6" borderId="167" xfId="46" applyFont="1" applyFill="1" applyBorder="1" applyAlignment="1">
      <alignment horizontal="center" vertical="center" wrapText="1"/>
    </xf>
    <xf numFmtId="168" fontId="60" fillId="6" borderId="167" xfId="46" applyNumberFormat="1" applyFont="1" applyFill="1" applyBorder="1" applyAlignment="1">
      <alignment horizontal="center" vertical="center"/>
    </xf>
    <xf numFmtId="41" fontId="42" fillId="0" borderId="0" xfId="46" applyNumberFormat="1"/>
    <xf numFmtId="14" fontId="264" fillId="0" borderId="0" xfId="0" applyNumberFormat="1" applyFont="1" applyBorder="1" applyAlignment="1">
      <alignment horizontal="center"/>
    </xf>
    <xf numFmtId="165" fontId="162" fillId="6" borderId="64" xfId="81" applyNumberFormat="1" applyFont="1" applyFill="1" applyBorder="1" applyAlignment="1">
      <alignment horizontal="left" vertical="center" wrapText="1" indent="1"/>
    </xf>
    <xf numFmtId="165" fontId="162" fillId="0" borderId="76" xfId="81" applyNumberFormat="1" applyFont="1" applyFill="1" applyBorder="1" applyAlignment="1">
      <alignment horizontal="left" vertical="center" wrapText="1" indent="1"/>
    </xf>
    <xf numFmtId="165" fontId="16" fillId="6" borderId="119" xfId="81" applyNumberFormat="1" applyFont="1" applyFill="1" applyBorder="1" applyAlignment="1">
      <alignment horizontal="left" vertical="center" wrapText="1" indent="1"/>
    </xf>
    <xf numFmtId="165" fontId="162" fillId="6" borderId="119" xfId="81" applyNumberFormat="1" applyFont="1" applyFill="1" applyBorder="1" applyAlignment="1">
      <alignment horizontal="left" vertical="center" wrapText="1" indent="1"/>
    </xf>
    <xf numFmtId="165" fontId="16" fillId="6" borderId="43" xfId="81" applyNumberFormat="1" applyFont="1" applyFill="1" applyBorder="1" applyAlignment="1">
      <alignment horizontal="left" vertical="center" wrapText="1" indent="1"/>
    </xf>
    <xf numFmtId="165" fontId="162" fillId="6" borderId="43" xfId="81" applyNumberFormat="1" applyFont="1" applyFill="1" applyBorder="1" applyAlignment="1">
      <alignment horizontal="left" vertical="center" wrapText="1" indent="1"/>
    </xf>
    <xf numFmtId="165" fontId="162" fillId="6" borderId="31" xfId="81" applyNumberFormat="1" applyFont="1" applyFill="1" applyBorder="1" applyAlignment="1">
      <alignment horizontal="left" vertical="center" wrapText="1" indent="1"/>
    </xf>
    <xf numFmtId="165" fontId="16" fillId="0" borderId="167" xfId="81" applyNumberFormat="1" applyFont="1" applyFill="1" applyBorder="1" applyAlignment="1">
      <alignment horizontal="left" vertical="center" wrapText="1" indent="1"/>
    </xf>
    <xf numFmtId="165" fontId="162" fillId="0" borderId="167" xfId="81" applyNumberFormat="1" applyFont="1" applyFill="1" applyBorder="1" applyAlignment="1">
      <alignment horizontal="left" vertical="center" wrapText="1" indent="1"/>
    </xf>
    <xf numFmtId="165" fontId="162" fillId="0" borderId="171" xfId="81" applyNumberFormat="1" applyFont="1" applyFill="1" applyBorder="1" applyAlignment="1">
      <alignment horizontal="left" vertical="center" wrapText="1" indent="1"/>
    </xf>
    <xf numFmtId="165" fontId="16" fillId="6" borderId="167" xfId="81" applyNumberFormat="1" applyFont="1" applyFill="1" applyBorder="1" applyAlignment="1">
      <alignment horizontal="left" vertical="center" wrapText="1" indent="1"/>
    </xf>
    <xf numFmtId="165" fontId="162" fillId="6" borderId="167" xfId="81" applyNumberFormat="1" applyFont="1" applyFill="1" applyBorder="1" applyAlignment="1">
      <alignment horizontal="left" vertical="center" wrapText="1" indent="1"/>
    </xf>
    <xf numFmtId="165" fontId="162" fillId="6" borderId="171" xfId="81" applyNumberFormat="1" applyFont="1" applyFill="1" applyBorder="1" applyAlignment="1">
      <alignment horizontal="left" vertical="center" wrapText="1" indent="1"/>
    </xf>
    <xf numFmtId="165" fontId="16" fillId="0" borderId="173" xfId="81" applyNumberFormat="1" applyFont="1" applyFill="1" applyBorder="1" applyAlignment="1">
      <alignment horizontal="left" vertical="center" wrapText="1" indent="1"/>
    </xf>
    <xf numFmtId="165" fontId="162" fillId="0" borderId="173" xfId="81" applyNumberFormat="1" applyFont="1" applyFill="1" applyBorder="1" applyAlignment="1">
      <alignment horizontal="left" vertical="center" wrapText="1" indent="1"/>
    </xf>
    <xf numFmtId="165" fontId="162" fillId="0" borderId="174" xfId="81" applyNumberFormat="1" applyFont="1" applyFill="1" applyBorder="1" applyAlignment="1">
      <alignment horizontal="left" vertical="center" wrapText="1" indent="1"/>
    </xf>
    <xf numFmtId="0" fontId="16" fillId="0" borderId="167" xfId="72" applyFont="1" applyFill="1" applyBorder="1" applyAlignment="1" applyProtection="1">
      <alignment horizontal="center" vertical="center" wrapText="1"/>
      <protection hidden="1"/>
    </xf>
    <xf numFmtId="41" fontId="83" fillId="6" borderId="167" xfId="69" applyNumberFormat="1" applyFont="1" applyFill="1" applyBorder="1" applyAlignment="1">
      <alignment vertical="center" wrapText="1"/>
    </xf>
    <xf numFmtId="41" fontId="83" fillId="3" borderId="167" xfId="69" applyNumberFormat="1" applyFont="1" applyFill="1" applyBorder="1" applyAlignment="1">
      <alignment vertical="center" wrapText="1"/>
    </xf>
    <xf numFmtId="172" fontId="21" fillId="0" borderId="0" xfId="0" applyNumberFormat="1" applyFont="1"/>
    <xf numFmtId="14" fontId="0" fillId="0" borderId="0" xfId="0" applyNumberFormat="1" applyFont="1"/>
    <xf numFmtId="167" fontId="0" fillId="0" borderId="0" xfId="118" applyFont="1"/>
    <xf numFmtId="0" fontId="34" fillId="0" borderId="167" xfId="0" applyFont="1" applyBorder="1" applyAlignment="1">
      <alignment horizontal="center" vertical="center"/>
    </xf>
    <xf numFmtId="0" fontId="0" fillId="0" borderId="167" xfId="0" applyFont="1" applyBorder="1"/>
    <xf numFmtId="14" fontId="0" fillId="0" borderId="0" xfId="0" applyNumberFormat="1"/>
    <xf numFmtId="0" fontId="7" fillId="0" borderId="0" xfId="0" applyFont="1" applyFill="1" applyBorder="1" applyAlignment="1">
      <alignment vertical="center" wrapText="1"/>
    </xf>
    <xf numFmtId="168" fontId="38" fillId="0" borderId="0" xfId="0" applyNumberFormat="1" applyFont="1" applyFill="1" applyBorder="1" applyAlignment="1">
      <alignment horizontal="center" vertical="center"/>
    </xf>
    <xf numFmtId="172" fontId="0" fillId="0" borderId="15" xfId="285" applyNumberFormat="1" applyFont="1" applyBorder="1"/>
    <xf numFmtId="0" fontId="0" fillId="0" borderId="167" xfId="0" applyBorder="1" applyAlignment="1">
      <alignment vertical="center" wrapText="1"/>
    </xf>
    <xf numFmtId="41" fontId="60" fillId="0" borderId="167" xfId="0" applyNumberFormat="1" applyFont="1" applyFill="1" applyBorder="1" applyAlignment="1">
      <alignment horizontal="center" vertical="center"/>
    </xf>
    <xf numFmtId="41" fontId="60" fillId="6" borderId="167" xfId="0" applyNumberFormat="1" applyFont="1" applyFill="1" applyBorder="1" applyAlignment="1">
      <alignment horizontal="center" vertical="center"/>
    </xf>
    <xf numFmtId="41" fontId="67" fillId="0" borderId="167" xfId="0" applyNumberFormat="1" applyFont="1" applyFill="1" applyBorder="1" applyAlignment="1">
      <alignment horizontal="center" vertical="center"/>
    </xf>
    <xf numFmtId="41" fontId="67" fillId="6" borderId="167" xfId="0" applyNumberFormat="1" applyFont="1" applyFill="1" applyBorder="1" applyAlignment="1">
      <alignment horizontal="center" vertical="center"/>
    </xf>
    <xf numFmtId="41" fontId="60" fillId="0" borderId="168" xfId="0" applyNumberFormat="1" applyFont="1" applyFill="1" applyBorder="1" applyAlignment="1">
      <alignment horizontal="center" vertical="center"/>
    </xf>
    <xf numFmtId="41" fontId="60" fillId="6" borderId="178" xfId="0" applyNumberFormat="1" applyFont="1" applyFill="1" applyBorder="1" applyAlignment="1">
      <alignment horizontal="center" vertical="center" wrapText="1"/>
    </xf>
    <xf numFmtId="41" fontId="67" fillId="6" borderId="178" xfId="0" applyNumberFormat="1" applyFont="1" applyFill="1" applyBorder="1" applyAlignment="1">
      <alignment horizontal="center" vertical="center" wrapText="1"/>
    </xf>
    <xf numFmtId="41" fontId="67" fillId="0" borderId="119" xfId="0" applyNumberFormat="1" applyFont="1" applyFill="1" applyBorder="1" applyAlignment="1">
      <alignment horizontal="center" vertical="center" wrapText="1"/>
    </xf>
    <xf numFmtId="41" fontId="60" fillId="3" borderId="119" xfId="0" applyNumberFormat="1" applyFont="1" applyFill="1" applyBorder="1" applyAlignment="1">
      <alignment horizontal="center" vertical="center" wrapText="1"/>
    </xf>
    <xf numFmtId="41" fontId="67" fillId="3" borderId="119" xfId="0" applyNumberFormat="1" applyFont="1" applyFill="1" applyBorder="1" applyAlignment="1">
      <alignment horizontal="center" vertical="center" wrapText="1"/>
    </xf>
    <xf numFmtId="41" fontId="60" fillId="0" borderId="13" xfId="0" applyNumberFormat="1" applyFont="1" applyFill="1" applyBorder="1" applyAlignment="1">
      <alignment horizontal="center" vertical="center" wrapText="1"/>
    </xf>
    <xf numFmtId="0" fontId="14" fillId="8" borderId="76" xfId="0" applyFont="1" applyFill="1" applyBorder="1" applyAlignment="1">
      <alignment horizontal="center" vertical="center" wrapText="1"/>
    </xf>
    <xf numFmtId="0" fontId="14" fillId="0" borderId="77" xfId="0" applyFont="1" applyFill="1" applyBorder="1" applyAlignment="1">
      <alignment horizontal="center" vertical="center" wrapText="1"/>
    </xf>
    <xf numFmtId="41" fontId="60" fillId="0" borderId="178" xfId="0" applyNumberFormat="1" applyFont="1" applyFill="1" applyBorder="1" applyAlignment="1">
      <alignment horizontal="center" vertical="center" wrapText="1"/>
    </xf>
    <xf numFmtId="41" fontId="60" fillId="3" borderId="6" xfId="0" applyNumberFormat="1" applyFont="1" applyFill="1" applyBorder="1" applyAlignment="1">
      <alignment horizontal="right" vertical="center"/>
    </xf>
    <xf numFmtId="41" fontId="60" fillId="6" borderId="178" xfId="0" applyNumberFormat="1" applyFont="1" applyFill="1" applyBorder="1" applyAlignment="1">
      <alignment horizontal="center" vertical="center"/>
    </xf>
    <xf numFmtId="41" fontId="60" fillId="3" borderId="11" xfId="0" applyNumberFormat="1" applyFont="1" applyFill="1" applyBorder="1" applyAlignment="1">
      <alignment horizontal="center" vertical="center"/>
    </xf>
    <xf numFmtId="41" fontId="60" fillId="3" borderId="16" xfId="0" applyNumberFormat="1" applyFont="1" applyFill="1" applyBorder="1" applyAlignment="1">
      <alignment horizontal="center" vertical="center"/>
    </xf>
    <xf numFmtId="41" fontId="60" fillId="3" borderId="119" xfId="0" applyNumberFormat="1" applyFont="1" applyFill="1" applyBorder="1" applyAlignment="1">
      <alignment horizontal="center" vertical="center"/>
    </xf>
    <xf numFmtId="41" fontId="79" fillId="3" borderId="6" xfId="0" applyNumberFormat="1" applyFont="1" applyFill="1" applyBorder="1" applyAlignment="1">
      <alignment horizontal="center" vertical="center"/>
    </xf>
    <xf numFmtId="41" fontId="79" fillId="6" borderId="6" xfId="0" applyNumberFormat="1" applyFont="1" applyFill="1" applyBorder="1" applyAlignment="1">
      <alignment horizontal="center" vertical="center"/>
    </xf>
    <xf numFmtId="41" fontId="79" fillId="0" borderId="6" xfId="0" applyNumberFormat="1" applyFont="1" applyFill="1" applyBorder="1" applyAlignment="1">
      <alignment horizontal="center" vertical="center"/>
    </xf>
    <xf numFmtId="0" fontId="16" fillId="0" borderId="19" xfId="0" applyFont="1" applyFill="1" applyBorder="1" applyAlignment="1">
      <alignment horizontal="left" vertical="center" wrapText="1" indent="1"/>
    </xf>
    <xf numFmtId="0" fontId="16" fillId="0" borderId="0" xfId="0" applyFont="1" applyFill="1" applyBorder="1" applyAlignment="1">
      <alignment horizontal="left" vertical="center" wrapText="1" indent="1"/>
    </xf>
    <xf numFmtId="0" fontId="27" fillId="4" borderId="76" xfId="0" applyFont="1" applyFill="1" applyBorder="1" applyAlignment="1">
      <alignment horizontal="center"/>
    </xf>
    <xf numFmtId="0" fontId="12" fillId="8" borderId="64" xfId="0" applyFont="1" applyFill="1" applyBorder="1" applyAlignment="1">
      <alignment horizontal="center" vertical="center" wrapText="1"/>
    </xf>
    <xf numFmtId="3" fontId="18" fillId="6" borderId="74" xfId="69" applyNumberFormat="1" applyFont="1" applyFill="1" applyBorder="1" applyAlignment="1" applyProtection="1">
      <alignment horizontal="center" vertical="top" wrapText="1"/>
      <protection hidden="1"/>
    </xf>
    <xf numFmtId="0" fontId="14" fillId="0" borderId="76" xfId="46" applyFont="1" applyFill="1" applyBorder="1" applyAlignment="1">
      <alignment horizontal="center" vertical="center"/>
    </xf>
    <xf numFmtId="0" fontId="15" fillId="0" borderId="0" xfId="46" applyFont="1" applyFill="1" applyBorder="1" applyAlignment="1">
      <alignment horizontal="center" vertical="center" wrapText="1"/>
    </xf>
    <xf numFmtId="0" fontId="34" fillId="4" borderId="167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left" vertical="center" indent="1"/>
    </xf>
    <xf numFmtId="0" fontId="0" fillId="0" borderId="76" xfId="0" applyFont="1" applyBorder="1" applyAlignment="1">
      <alignment horizontal="center"/>
    </xf>
    <xf numFmtId="0" fontId="18" fillId="0" borderId="65" xfId="69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Fill="1" applyBorder="1" applyAlignment="1">
      <alignment horizontal="left" vertical="center" wrapText="1" indent="1"/>
    </xf>
    <xf numFmtId="169" fontId="60" fillId="0" borderId="36" xfId="0" applyNumberFormat="1" applyFont="1" applyFill="1" applyBorder="1" applyAlignment="1">
      <alignment horizontal="center" vertical="center" wrapText="1"/>
    </xf>
    <xf numFmtId="0" fontId="17" fillId="6" borderId="6" xfId="0" applyFont="1" applyFill="1" applyBorder="1" applyAlignment="1">
      <alignment horizontal="left" vertical="center" wrapText="1" indent="1"/>
    </xf>
    <xf numFmtId="0" fontId="18" fillId="0" borderId="12" xfId="69" applyFont="1" applyFill="1" applyBorder="1" applyAlignment="1" applyProtection="1">
      <alignment horizontal="center" vertical="center" wrapText="1"/>
      <protection hidden="1"/>
    </xf>
    <xf numFmtId="0" fontId="18" fillId="0" borderId="76" xfId="69" applyFont="1" applyFill="1" applyBorder="1" applyAlignment="1" applyProtection="1">
      <alignment horizontal="center" vertical="center" wrapText="1"/>
      <protection hidden="1"/>
    </xf>
    <xf numFmtId="0" fontId="18" fillId="0" borderId="8" xfId="69" applyFont="1" applyFill="1" applyBorder="1" applyAlignment="1" applyProtection="1">
      <alignment horizontal="center" vertical="center" wrapText="1"/>
      <protection hidden="1"/>
    </xf>
    <xf numFmtId="41" fontId="60" fillId="6" borderId="76" xfId="69" applyNumberFormat="1" applyFont="1" applyFill="1" applyBorder="1" applyAlignment="1">
      <alignment horizontal="center" vertical="center" wrapText="1"/>
    </xf>
    <xf numFmtId="0" fontId="0" fillId="0" borderId="0" xfId="0" applyFont="1"/>
    <xf numFmtId="41" fontId="60" fillId="6" borderId="64" xfId="69" applyNumberFormat="1" applyFont="1" applyFill="1" applyBorder="1" applyAlignment="1">
      <alignment horizontal="center" vertical="center" wrapText="1"/>
    </xf>
    <xf numFmtId="0" fontId="44" fillId="0" borderId="0" xfId="46" applyFont="1" applyAlignment="1">
      <alignment horizontal="left"/>
    </xf>
    <xf numFmtId="0" fontId="265" fillId="7" borderId="66" xfId="0" applyFont="1" applyFill="1" applyBorder="1" applyAlignment="1">
      <alignment vertical="center"/>
    </xf>
    <xf numFmtId="41" fontId="67" fillId="0" borderId="6" xfId="0" applyNumberFormat="1" applyFont="1" applyFill="1" applyBorder="1" applyAlignment="1">
      <alignment horizontal="center" vertical="center"/>
    </xf>
    <xf numFmtId="41" fontId="67" fillId="3" borderId="6" xfId="0" applyNumberFormat="1" applyFont="1" applyFill="1" applyBorder="1" applyAlignment="1">
      <alignment horizontal="center" vertical="center"/>
    </xf>
    <xf numFmtId="41" fontId="67" fillId="6" borderId="6" xfId="0" applyNumberFormat="1" applyFont="1" applyFill="1" applyBorder="1" applyAlignment="1">
      <alignment horizontal="center" vertical="center"/>
    </xf>
    <xf numFmtId="3" fontId="60" fillId="6" borderId="77" xfId="46" applyNumberFormat="1" applyFont="1" applyFill="1" applyBorder="1" applyAlignment="1">
      <alignment horizontal="center" vertical="center"/>
    </xf>
    <xf numFmtId="3" fontId="60" fillId="0" borderId="77" xfId="46" applyNumberFormat="1" applyFont="1" applyFill="1" applyBorder="1" applyAlignment="1">
      <alignment horizontal="center" vertical="center"/>
    </xf>
    <xf numFmtId="0" fontId="18" fillId="0" borderId="0" xfId="46" applyFont="1" applyFill="1" applyBorder="1" applyAlignment="1">
      <alignment vertical="center" wrapText="1"/>
    </xf>
    <xf numFmtId="0" fontId="15" fillId="0" borderId="76" xfId="46" applyFont="1" applyBorder="1" applyAlignment="1">
      <alignment horizontal="center" vertical="center" wrapText="1"/>
    </xf>
    <xf numFmtId="3" fontId="60" fillId="6" borderId="76" xfId="46" applyNumberFormat="1" applyFont="1" applyFill="1" applyBorder="1" applyAlignment="1">
      <alignment horizontal="center" vertical="center"/>
    </xf>
    <xf numFmtId="3" fontId="60" fillId="0" borderId="76" xfId="46" applyNumberFormat="1" applyFont="1" applyFill="1" applyBorder="1" applyAlignment="1">
      <alignment horizontal="center" vertical="center"/>
    </xf>
    <xf numFmtId="0" fontId="18" fillId="0" borderId="76" xfId="46" applyFont="1" applyBorder="1" applyAlignment="1">
      <alignment horizontal="center" vertical="center" wrapText="1"/>
    </xf>
    <xf numFmtId="4" fontId="60" fillId="0" borderId="0" xfId="46" applyNumberFormat="1" applyFont="1" applyFill="1" applyBorder="1" applyAlignment="1">
      <alignment horizontal="center" vertical="center"/>
    </xf>
    <xf numFmtId="3" fontId="0" fillId="0" borderId="0" xfId="0" applyNumberFormat="1" applyBorder="1" applyAlignment="1"/>
    <xf numFmtId="0" fontId="14" fillId="0" borderId="0" xfId="46" applyFont="1" applyFill="1" applyBorder="1" applyAlignment="1">
      <alignment vertical="center"/>
    </xf>
    <xf numFmtId="0" fontId="18" fillId="0" borderId="0" xfId="46" applyFont="1" applyBorder="1" applyAlignment="1">
      <alignment horizontal="center" vertical="center" wrapText="1"/>
    </xf>
    <xf numFmtId="0" fontId="16" fillId="0" borderId="0" xfId="46" applyFont="1" applyBorder="1" applyAlignment="1">
      <alignment horizontal="center" vertical="center" wrapText="1"/>
    </xf>
    <xf numFmtId="0" fontId="17" fillId="0" borderId="0" xfId="46" applyFont="1" applyBorder="1" applyAlignment="1">
      <alignment vertical="center" wrapText="1"/>
    </xf>
    <xf numFmtId="0" fontId="16" fillId="0" borderId="76" xfId="46" applyFont="1" applyBorder="1" applyAlignment="1">
      <alignment horizontal="center" vertical="center" wrapText="1"/>
    </xf>
    <xf numFmtId="0" fontId="17" fillId="0" borderId="76" xfId="46" applyFont="1" applyBorder="1" applyAlignment="1">
      <alignment horizontal="center" vertical="center" wrapText="1"/>
    </xf>
    <xf numFmtId="0" fontId="14" fillId="0" borderId="77" xfId="46" applyFont="1" applyBorder="1" applyAlignment="1">
      <alignment horizontal="center" vertical="center"/>
    </xf>
    <xf numFmtId="3" fontId="18" fillId="4" borderId="76" xfId="69" applyNumberFormat="1" applyFont="1" applyFill="1" applyBorder="1" applyAlignment="1" applyProtection="1">
      <alignment horizontal="center" vertical="top" wrapText="1"/>
      <protection hidden="1"/>
    </xf>
    <xf numFmtId="3" fontId="15" fillId="4" borderId="76" xfId="69" applyNumberFormat="1" applyFont="1" applyFill="1" applyBorder="1" applyAlignment="1" applyProtection="1">
      <alignment vertical="center" wrapText="1"/>
      <protection hidden="1"/>
    </xf>
    <xf numFmtId="3" fontId="15" fillId="4" borderId="12" xfId="69" applyNumberFormat="1" applyFont="1" applyFill="1" applyBorder="1" applyAlignment="1" applyProtection="1">
      <alignment vertical="center"/>
      <protection hidden="1"/>
    </xf>
    <xf numFmtId="3" fontId="30" fillId="4" borderId="76" xfId="69" applyNumberFormat="1" applyFont="1" applyFill="1" applyBorder="1" applyAlignment="1" applyProtection="1">
      <alignment vertical="center"/>
      <protection hidden="1"/>
    </xf>
    <xf numFmtId="3" fontId="18" fillId="6" borderId="76" xfId="69" applyNumberFormat="1" applyFont="1" applyFill="1" applyBorder="1" applyAlignment="1" applyProtection="1">
      <alignment horizontal="center" vertical="top" wrapText="1"/>
      <protection hidden="1"/>
    </xf>
    <xf numFmtId="3" fontId="15" fillId="6" borderId="76" xfId="69" applyNumberFormat="1" applyFont="1" applyFill="1" applyBorder="1" applyAlignment="1" applyProtection="1">
      <alignment vertical="center" wrapText="1"/>
      <protection hidden="1"/>
    </xf>
    <xf numFmtId="3" fontId="17" fillId="6" borderId="76" xfId="69" applyNumberFormat="1" applyFont="1" applyFill="1" applyBorder="1" applyAlignment="1" applyProtection="1">
      <alignment vertical="center" wrapText="1"/>
      <protection hidden="1"/>
    </xf>
    <xf numFmtId="43" fontId="15" fillId="12" borderId="12" xfId="7" applyFont="1" applyFill="1" applyBorder="1" applyAlignment="1" applyProtection="1">
      <alignment vertical="center"/>
      <protection hidden="1"/>
    </xf>
    <xf numFmtId="3" fontId="15" fillId="6" borderId="76" xfId="69" applyNumberFormat="1" applyFont="1" applyFill="1" applyBorder="1" applyAlignment="1" applyProtection="1">
      <alignment vertical="center"/>
      <protection hidden="1"/>
    </xf>
    <xf numFmtId="3" fontId="16" fillId="6" borderId="76" xfId="69" applyNumberFormat="1" applyFont="1" applyFill="1" applyBorder="1" applyAlignment="1" applyProtection="1">
      <alignment vertical="center" wrapText="1"/>
      <protection hidden="1"/>
    </xf>
    <xf numFmtId="9" fontId="76" fillId="6" borderId="76" xfId="14" applyFont="1" applyFill="1" applyBorder="1" applyAlignment="1" applyProtection="1">
      <alignment vertical="center"/>
      <protection hidden="1"/>
    </xf>
    <xf numFmtId="3" fontId="15" fillId="12" borderId="12" xfId="69" applyNumberFormat="1" applyFont="1" applyFill="1" applyBorder="1" applyAlignment="1" applyProtection="1">
      <alignment vertical="center"/>
      <protection hidden="1"/>
    </xf>
    <xf numFmtId="3" fontId="39" fillId="6" borderId="76" xfId="69" applyNumberFormat="1" applyFont="1" applyFill="1" applyBorder="1" applyAlignment="1" applyProtection="1">
      <alignment vertical="center"/>
      <protection hidden="1"/>
    </xf>
    <xf numFmtId="3" fontId="163" fillId="4" borderId="76" xfId="69" applyNumberFormat="1" applyFont="1" applyFill="1" applyBorder="1" applyAlignment="1" applyProtection="1">
      <alignment vertical="center"/>
      <protection hidden="1"/>
    </xf>
    <xf numFmtId="3" fontId="38" fillId="0" borderId="76" xfId="69" applyNumberFormat="1" applyFont="1" applyBorder="1" applyAlignment="1" applyProtection="1">
      <alignment horizontal="center" vertical="center"/>
      <protection hidden="1"/>
    </xf>
    <xf numFmtId="43" fontId="163" fillId="0" borderId="76" xfId="7" applyFont="1" applyBorder="1" applyAlignment="1" applyProtection="1">
      <alignment vertical="center"/>
      <protection hidden="1"/>
    </xf>
    <xf numFmtId="3" fontId="163" fillId="0" borderId="76" xfId="69" applyNumberFormat="1" applyFont="1" applyFill="1" applyBorder="1" applyAlignment="1" applyProtection="1">
      <alignment vertical="center"/>
      <protection hidden="1"/>
    </xf>
    <xf numFmtId="41" fontId="11" fillId="0" borderId="0" xfId="0" applyNumberFormat="1" applyFont="1" applyFill="1" applyBorder="1"/>
    <xf numFmtId="41" fontId="67" fillId="6" borderId="76" xfId="75" applyNumberFormat="1" applyFont="1" applyFill="1" applyBorder="1" applyAlignment="1">
      <alignment horizontal="center" vertical="center" wrapText="1"/>
    </xf>
    <xf numFmtId="0" fontId="0" fillId="0" borderId="76" xfId="0" applyFont="1" applyFill="1" applyBorder="1"/>
    <xf numFmtId="0" fontId="266" fillId="0" borderId="0" xfId="0" applyFont="1" applyBorder="1" applyAlignment="1">
      <alignment horizontal="center" vertical="center"/>
    </xf>
    <xf numFmtId="0" fontId="21" fillId="5" borderId="0" xfId="0" applyFont="1" applyFill="1" applyBorder="1"/>
    <xf numFmtId="172" fontId="21" fillId="5" borderId="0" xfId="285" applyNumberFormat="1" applyFont="1" applyFill="1" applyBorder="1"/>
    <xf numFmtId="0" fontId="23" fillId="0" borderId="0" xfId="0" applyFont="1" applyFill="1" applyBorder="1"/>
    <xf numFmtId="172" fontId="23" fillId="0" borderId="0" xfId="285" applyNumberFormat="1" applyFont="1" applyFill="1" applyBorder="1"/>
    <xf numFmtId="0" fontId="23" fillId="5" borderId="0" xfId="0" applyFont="1" applyFill="1" applyBorder="1"/>
    <xf numFmtId="172" fontId="23" fillId="5" borderId="0" xfId="285" applyNumberFormat="1" applyFont="1" applyFill="1" applyBorder="1"/>
    <xf numFmtId="172" fontId="21" fillId="0" borderId="0" xfId="285" applyNumberFormat="1" applyFont="1" applyFill="1" applyBorder="1"/>
    <xf numFmtId="0" fontId="0" fillId="8" borderId="76" xfId="0" applyFill="1" applyBorder="1" applyAlignment="1">
      <alignment horizontal="center" vertical="center"/>
    </xf>
    <xf numFmtId="0" fontId="16" fillId="8" borderId="76" xfId="0" applyFont="1" applyFill="1" applyBorder="1" applyAlignment="1">
      <alignment horizontal="left" vertical="center" wrapText="1" indent="1"/>
    </xf>
    <xf numFmtId="0" fontId="16" fillId="6" borderId="175" xfId="0" applyFont="1" applyFill="1" applyBorder="1" applyAlignment="1">
      <alignment horizontal="left" vertical="center" wrapText="1" indent="1"/>
    </xf>
    <xf numFmtId="9" fontId="15" fillId="6" borderId="178" xfId="68" applyFont="1" applyFill="1" applyBorder="1" applyAlignment="1">
      <alignment horizontal="center" vertical="center"/>
    </xf>
    <xf numFmtId="9" fontId="15" fillId="0" borderId="15" xfId="68" applyFont="1" applyFill="1" applyBorder="1" applyAlignment="1">
      <alignment horizontal="center" vertical="center"/>
    </xf>
    <xf numFmtId="0" fontId="16" fillId="6" borderId="83" xfId="0" applyFont="1" applyFill="1" applyBorder="1" applyAlignment="1">
      <alignment horizontal="left" vertical="center" wrapText="1" indent="1"/>
    </xf>
    <xf numFmtId="0" fontId="16" fillId="0" borderId="179" xfId="0" applyFont="1" applyFill="1" applyBorder="1" applyAlignment="1">
      <alignment horizontal="left" vertical="center" wrapText="1" indent="1"/>
    </xf>
    <xf numFmtId="9" fontId="15" fillId="0" borderId="26" xfId="68" applyFont="1" applyFill="1" applyBorder="1" applyAlignment="1">
      <alignment horizontal="center" vertical="center"/>
    </xf>
    <xf numFmtId="0" fontId="16" fillId="0" borderId="83" xfId="0" applyFont="1" applyFill="1" applyBorder="1" applyAlignment="1">
      <alignment horizontal="left" vertical="center" wrapText="1" indent="1"/>
    </xf>
    <xf numFmtId="0" fontId="0" fillId="0" borderId="34" xfId="0" applyFill="1" applyBorder="1"/>
    <xf numFmtId="0" fontId="16" fillId="0" borderId="180" xfId="0" applyFont="1" applyFill="1" applyBorder="1" applyAlignment="1">
      <alignment horizontal="left" vertical="center" wrapText="1" indent="1"/>
    </xf>
    <xf numFmtId="0" fontId="0" fillId="0" borderId="26" xfId="0" applyFill="1" applyBorder="1"/>
    <xf numFmtId="0" fontId="23" fillId="0" borderId="0" xfId="46" applyFont="1" applyFill="1"/>
    <xf numFmtId="9" fontId="15" fillId="0" borderId="0" xfId="68" applyFont="1" applyFill="1" applyBorder="1" applyAlignment="1">
      <alignment horizontal="center" vertical="center"/>
    </xf>
    <xf numFmtId="9" fontId="0" fillId="94" borderId="0" xfId="14" applyFont="1" applyFill="1"/>
    <xf numFmtId="41" fontId="0" fillId="94" borderId="0" xfId="0" applyNumberFormat="1" applyFill="1"/>
    <xf numFmtId="41" fontId="166" fillId="0" borderId="113" xfId="0" applyNumberFormat="1" applyFont="1" applyFill="1" applyBorder="1" applyAlignment="1">
      <alignment vertical="top"/>
    </xf>
    <xf numFmtId="0" fontId="40" fillId="0" borderId="0" xfId="6" applyFont="1" applyFill="1" applyAlignment="1">
      <alignment vertical="center"/>
    </xf>
    <xf numFmtId="3" fontId="16" fillId="94" borderId="12" xfId="69" applyNumberFormat="1" applyFont="1" applyFill="1" applyBorder="1" applyAlignment="1" applyProtection="1">
      <alignment vertical="center" wrapText="1"/>
      <protection hidden="1"/>
    </xf>
    <xf numFmtId="3" fontId="30" fillId="6" borderId="65" xfId="69" applyNumberFormat="1" applyFont="1" applyFill="1" applyBorder="1" applyAlignment="1">
      <alignment vertical="center" wrapText="1"/>
    </xf>
    <xf numFmtId="3" fontId="16" fillId="94" borderId="65" xfId="69" applyNumberFormat="1" applyFont="1" applyFill="1" applyBorder="1" applyAlignment="1" applyProtection="1">
      <alignment vertical="center" wrapText="1"/>
      <protection hidden="1"/>
    </xf>
    <xf numFmtId="3" fontId="16" fillId="94" borderId="64" xfId="69" applyNumberFormat="1" applyFont="1" applyFill="1" applyBorder="1" applyAlignment="1" applyProtection="1">
      <alignment vertical="center"/>
      <protection hidden="1"/>
    </xf>
    <xf numFmtId="3" fontId="16" fillId="94" borderId="64" xfId="69" applyNumberFormat="1" applyFont="1" applyFill="1" applyBorder="1" applyAlignment="1" applyProtection="1">
      <alignment vertical="center" wrapText="1"/>
      <protection hidden="1"/>
    </xf>
    <xf numFmtId="3" fontId="30" fillId="81" borderId="113" xfId="69" applyNumberFormat="1" applyFont="1" applyFill="1" applyBorder="1" applyAlignment="1">
      <alignment horizontal="center" vertical="center" wrapText="1"/>
    </xf>
    <xf numFmtId="3" fontId="30" fillId="81" borderId="6" xfId="69" applyNumberFormat="1" applyFont="1" applyFill="1" applyBorder="1" applyAlignment="1">
      <alignment horizontal="center" vertical="center" wrapText="1"/>
    </xf>
    <xf numFmtId="3" fontId="30" fillId="6" borderId="77" xfId="69" applyNumberFormat="1" applyFont="1" applyFill="1" applyBorder="1" applyAlignment="1">
      <alignment vertical="center" wrapText="1"/>
    </xf>
    <xf numFmtId="3" fontId="16" fillId="94" borderId="77" xfId="69" applyNumberFormat="1" applyFont="1" applyFill="1" applyBorder="1" applyAlignment="1" applyProtection="1">
      <alignment vertical="center" wrapText="1"/>
      <protection hidden="1"/>
    </xf>
    <xf numFmtId="3" fontId="16" fillId="94" borderId="13" xfId="69" applyNumberFormat="1" applyFont="1" applyFill="1" applyBorder="1" applyAlignment="1" applyProtection="1">
      <alignment horizontal="center" vertical="center" wrapText="1"/>
      <protection hidden="1"/>
    </xf>
    <xf numFmtId="3" fontId="16" fillId="94" borderId="113" xfId="69" applyNumberFormat="1" applyFont="1" applyFill="1" applyBorder="1" applyAlignment="1" applyProtection="1">
      <alignment vertical="center" wrapText="1"/>
      <protection hidden="1"/>
    </xf>
    <xf numFmtId="3" fontId="30" fillId="58" borderId="65" xfId="69" applyNumberFormat="1" applyFont="1" applyFill="1" applyBorder="1" applyAlignment="1">
      <alignment vertical="center" wrapText="1"/>
    </xf>
    <xf numFmtId="3" fontId="16" fillId="94" borderId="76" xfId="69" applyNumberFormat="1" applyFont="1" applyFill="1" applyBorder="1" applyAlignment="1" applyProtection="1">
      <alignment vertical="center"/>
      <protection hidden="1"/>
    </xf>
    <xf numFmtId="3" fontId="16" fillId="94" borderId="13" xfId="69" applyNumberFormat="1" applyFont="1" applyFill="1" applyBorder="1" applyAlignment="1" applyProtection="1">
      <alignment vertical="center" wrapText="1"/>
      <protection hidden="1"/>
    </xf>
    <xf numFmtId="3" fontId="16" fillId="94" borderId="0" xfId="69" applyNumberFormat="1" applyFont="1" applyFill="1" applyBorder="1" applyAlignment="1" applyProtection="1">
      <alignment vertical="center" wrapText="1"/>
      <protection hidden="1"/>
    </xf>
    <xf numFmtId="0" fontId="42" fillId="0" borderId="0" xfId="46" applyAlignment="1">
      <alignment horizontal="center"/>
    </xf>
    <xf numFmtId="0" fontId="44" fillId="0" borderId="0" xfId="46" applyFont="1" applyAlignment="1">
      <alignment horizontal="left"/>
    </xf>
    <xf numFmtId="3" fontId="30" fillId="0" borderId="76" xfId="46" applyNumberFormat="1" applyFont="1" applyBorder="1"/>
    <xf numFmtId="3" fontId="12" fillId="94" borderId="64" xfId="0" applyNumberFormat="1" applyFont="1" applyFill="1" applyBorder="1" applyAlignment="1">
      <alignment horizontal="center" vertical="center" wrapText="1"/>
    </xf>
    <xf numFmtId="3" fontId="12" fillId="94" borderId="64" xfId="71" applyNumberFormat="1" applyFont="1" applyFill="1" applyBorder="1" applyAlignment="1">
      <alignment vertical="center"/>
    </xf>
    <xf numFmtId="3" fontId="12" fillId="94" borderId="64" xfId="71" applyNumberFormat="1" applyFont="1" applyFill="1" applyBorder="1" applyAlignment="1">
      <alignment vertical="center" wrapText="1"/>
    </xf>
    <xf numFmtId="3" fontId="31" fillId="61" borderId="64" xfId="69" applyNumberFormat="1" applyFont="1" applyFill="1" applyBorder="1" applyAlignment="1" applyProtection="1">
      <alignment vertical="center"/>
      <protection hidden="1"/>
    </xf>
    <xf numFmtId="3" fontId="30" fillId="61" borderId="64" xfId="69" applyNumberFormat="1" applyFont="1" applyFill="1" applyBorder="1" applyAlignment="1" applyProtection="1">
      <alignment vertical="center"/>
      <protection hidden="1"/>
    </xf>
    <xf numFmtId="3" fontId="16" fillId="94" borderId="6" xfId="69" applyNumberFormat="1" applyFont="1" applyFill="1" applyBorder="1" applyAlignment="1" applyProtection="1">
      <alignment vertical="center" wrapText="1"/>
      <protection hidden="1"/>
    </xf>
    <xf numFmtId="3" fontId="12" fillId="94" borderId="64" xfId="69" applyNumberFormat="1" applyFont="1" applyFill="1" applyBorder="1" applyAlignment="1" applyProtection="1">
      <alignment vertical="center"/>
      <protection hidden="1"/>
    </xf>
    <xf numFmtId="0" fontId="16" fillId="0" borderId="6" xfId="69" applyNumberFormat="1" applyFont="1" applyFill="1" applyBorder="1" applyAlignment="1" applyProtection="1">
      <alignment horizontal="center" vertical="center" wrapText="1"/>
      <protection hidden="1"/>
    </xf>
    <xf numFmtId="0" fontId="16" fillId="0" borderId="76" xfId="69" applyFont="1" applyFill="1" applyBorder="1" applyAlignment="1" applyProtection="1">
      <alignment vertical="center" wrapText="1"/>
      <protection hidden="1"/>
    </xf>
    <xf numFmtId="41" fontId="83" fillId="6" borderId="74" xfId="69" applyNumberFormat="1" applyFont="1" applyFill="1" applyBorder="1" applyAlignment="1">
      <alignment vertical="center" wrapText="1"/>
    </xf>
    <xf numFmtId="41" fontId="83" fillId="0" borderId="74" xfId="69" applyNumberFormat="1" applyFont="1" applyFill="1" applyBorder="1" applyAlignment="1">
      <alignment vertical="center" wrapText="1"/>
    </xf>
    <xf numFmtId="0" fontId="158" fillId="0" borderId="76" xfId="72" applyFont="1" applyFill="1" applyBorder="1" applyAlignment="1" applyProtection="1">
      <alignment horizontal="center"/>
      <protection hidden="1"/>
    </xf>
    <xf numFmtId="41" fontId="83" fillId="6" borderId="76" xfId="69" applyNumberFormat="1" applyFont="1" applyFill="1" applyBorder="1" applyAlignment="1">
      <alignment vertical="center" wrapText="1"/>
    </xf>
    <xf numFmtId="41" fontId="83" fillId="0" borderId="76" xfId="69" applyNumberFormat="1" applyFont="1" applyFill="1" applyBorder="1" applyAlignment="1">
      <alignment vertical="center" wrapText="1"/>
    </xf>
    <xf numFmtId="3" fontId="16" fillId="94" borderId="64" xfId="69" applyNumberFormat="1" applyFont="1" applyFill="1" applyBorder="1" applyAlignment="1" applyProtection="1">
      <alignment horizontal="center" vertical="center"/>
      <protection hidden="1"/>
    </xf>
    <xf numFmtId="0" fontId="8" fillId="0" borderId="0" xfId="0" applyFont="1" applyAlignment="1">
      <alignment horizontal="left" vertical="center" indent="1"/>
    </xf>
    <xf numFmtId="9" fontId="60" fillId="0" borderId="20" xfId="14" applyFont="1" applyFill="1" applyBorder="1" applyAlignment="1">
      <alignment horizontal="center" vertical="center"/>
    </xf>
    <xf numFmtId="0" fontId="88" fillId="0" borderId="76" xfId="74" applyFont="1" applyBorder="1" applyAlignment="1">
      <alignment horizontal="center" vertical="center"/>
    </xf>
    <xf numFmtId="173" fontId="88" fillId="0" borderId="76" xfId="77" applyNumberFormat="1" applyFont="1" applyBorder="1" applyAlignment="1">
      <alignment vertical="center"/>
    </xf>
    <xf numFmtId="0" fontId="138" fillId="0" borderId="64" xfId="46" applyFont="1" applyBorder="1" applyAlignment="1">
      <alignment wrapText="1"/>
    </xf>
    <xf numFmtId="0" fontId="138" fillId="0" borderId="76" xfId="46" applyFont="1" applyBorder="1" applyAlignment="1">
      <alignment wrapText="1"/>
    </xf>
    <xf numFmtId="0" fontId="138" fillId="6" borderId="64" xfId="46" applyFont="1" applyFill="1" applyBorder="1" applyAlignment="1">
      <alignment wrapText="1"/>
    </xf>
    <xf numFmtId="41" fontId="67" fillId="0" borderId="76" xfId="75" applyNumberFormat="1" applyFont="1" applyFill="1" applyBorder="1" applyAlignment="1">
      <alignment horizontal="center" vertical="center" wrapText="1"/>
    </xf>
    <xf numFmtId="0" fontId="91" fillId="0" borderId="0" xfId="46" applyFont="1" applyFill="1"/>
    <xf numFmtId="41" fontId="245" fillId="0" borderId="35" xfId="0" applyNumberFormat="1" applyFont="1" applyFill="1" applyBorder="1" applyAlignment="1">
      <alignment horizontal="center" vertical="center"/>
    </xf>
    <xf numFmtId="41" fontId="67" fillId="0" borderId="35" xfId="0" applyNumberFormat="1" applyFont="1" applyFill="1" applyBorder="1" applyAlignment="1">
      <alignment horizontal="center" vertical="center"/>
    </xf>
    <xf numFmtId="0" fontId="0" fillId="0" borderId="181" xfId="0" applyFill="1" applyBorder="1"/>
    <xf numFmtId="0" fontId="75" fillId="7" borderId="65" xfId="0" applyFont="1" applyFill="1" applyBorder="1" applyAlignment="1">
      <alignment vertical="center"/>
    </xf>
    <xf numFmtId="0" fontId="75" fillId="7" borderId="66" xfId="0" applyFont="1" applyFill="1" applyBorder="1" applyAlignment="1">
      <alignment vertical="center"/>
    </xf>
    <xf numFmtId="0" fontId="75" fillId="7" borderId="74" xfId="0" applyFont="1" applyFill="1" applyBorder="1" applyAlignment="1">
      <alignment vertical="center"/>
    </xf>
    <xf numFmtId="9" fontId="38" fillId="6" borderId="68" xfId="68" applyFont="1" applyFill="1" applyBorder="1" applyAlignment="1">
      <alignment horizontal="center" vertical="center"/>
    </xf>
    <xf numFmtId="9" fontId="38" fillId="6" borderId="35" xfId="68" applyFont="1" applyFill="1" applyBorder="1" applyAlignment="1">
      <alignment horizontal="center" vertical="center"/>
    </xf>
    <xf numFmtId="9" fontId="38" fillId="6" borderId="119" xfId="68" applyFont="1" applyFill="1" applyBorder="1" applyAlignment="1">
      <alignment horizontal="center" vertical="center"/>
    </xf>
    <xf numFmtId="9" fontId="38" fillId="0" borderId="35" xfId="68" applyFont="1" applyFill="1" applyBorder="1" applyAlignment="1">
      <alignment horizontal="center" vertical="center"/>
    </xf>
    <xf numFmtId="9" fontId="15" fillId="3" borderId="37" xfId="68" applyFont="1" applyFill="1" applyBorder="1" applyAlignment="1">
      <alignment horizontal="center" vertical="center"/>
    </xf>
    <xf numFmtId="0" fontId="11" fillId="0" borderId="4" xfId="0" applyFont="1" applyFill="1" applyBorder="1"/>
    <xf numFmtId="41" fontId="60" fillId="6" borderId="178" xfId="0" applyNumberFormat="1" applyFont="1" applyFill="1" applyBorder="1" applyAlignment="1">
      <alignment horizontal="right" vertical="center" wrapText="1"/>
    </xf>
    <xf numFmtId="41" fontId="60" fillId="3" borderId="119" xfId="0" applyNumberFormat="1" applyFont="1" applyFill="1" applyBorder="1" applyAlignment="1">
      <alignment horizontal="right" vertical="center" wrapText="1"/>
    </xf>
    <xf numFmtId="0" fontId="16" fillId="6" borderId="64" xfId="0" applyFont="1" applyFill="1" applyBorder="1" applyAlignment="1">
      <alignment horizontal="right" vertical="center" wrapText="1"/>
    </xf>
    <xf numFmtId="0" fontId="42" fillId="6" borderId="0" xfId="46" applyFill="1"/>
    <xf numFmtId="0" fontId="17" fillId="0" borderId="76" xfId="46" applyFont="1" applyFill="1" applyBorder="1" applyAlignment="1">
      <alignment vertical="center" wrapText="1"/>
    </xf>
    <xf numFmtId="0" fontId="159" fillId="6" borderId="76" xfId="46" applyFont="1" applyFill="1" applyBorder="1" applyAlignment="1">
      <alignment horizontal="center" vertical="center" wrapText="1"/>
    </xf>
    <xf numFmtId="9" fontId="159" fillId="6" borderId="76" xfId="46" applyNumberFormat="1" applyFont="1" applyFill="1" applyBorder="1" applyAlignment="1">
      <alignment horizontal="center" vertical="center" wrapText="1"/>
    </xf>
    <xf numFmtId="0" fontId="160" fillId="6" borderId="76" xfId="46" applyFont="1" applyFill="1" applyBorder="1" applyAlignment="1">
      <alignment horizontal="center" vertical="center" wrapText="1"/>
    </xf>
    <xf numFmtId="9" fontId="159" fillId="0" borderId="76" xfId="46" applyNumberFormat="1" applyFont="1" applyFill="1" applyBorder="1" applyAlignment="1">
      <alignment horizontal="center" vertical="center" wrapText="1"/>
    </xf>
    <xf numFmtId="0" fontId="160" fillId="0" borderId="76" xfId="46" applyFont="1" applyFill="1" applyBorder="1" applyAlignment="1">
      <alignment horizontal="center" vertical="center" wrapText="1"/>
    </xf>
    <xf numFmtId="0" fontId="159" fillId="3" borderId="76" xfId="46" applyFont="1" applyFill="1" applyBorder="1" applyAlignment="1">
      <alignment horizontal="center" vertical="center" wrapText="1"/>
    </xf>
    <xf numFmtId="9" fontId="159" fillId="3" borderId="76" xfId="46" applyNumberFormat="1" applyFont="1" applyFill="1" applyBorder="1" applyAlignment="1">
      <alignment horizontal="center" vertical="center" wrapText="1"/>
    </xf>
    <xf numFmtId="0" fontId="160" fillId="3" borderId="76" xfId="46" applyFont="1" applyFill="1" applyBorder="1" applyAlignment="1">
      <alignment horizontal="center" vertical="center" wrapText="1"/>
    </xf>
    <xf numFmtId="0" fontId="268" fillId="0" borderId="76" xfId="46" applyFont="1" applyFill="1" applyBorder="1" applyAlignment="1">
      <alignment horizontal="center" vertical="center" wrapText="1"/>
    </xf>
    <xf numFmtId="0" fontId="268" fillId="3" borderId="76" xfId="46" applyFont="1" applyFill="1" applyBorder="1" applyAlignment="1">
      <alignment horizontal="center" vertical="center" wrapText="1"/>
    </xf>
    <xf numFmtId="0" fontId="268" fillId="6" borderId="76" xfId="46" applyFont="1" applyFill="1" applyBorder="1" applyAlignment="1">
      <alignment horizontal="center" vertical="center" wrapText="1"/>
    </xf>
    <xf numFmtId="0" fontId="160" fillId="6" borderId="75" xfId="46" applyFont="1" applyFill="1" applyBorder="1" applyAlignment="1">
      <alignment horizontal="center"/>
    </xf>
    <xf numFmtId="0" fontId="160" fillId="3" borderId="75" xfId="46" applyFont="1" applyFill="1" applyBorder="1" applyAlignment="1">
      <alignment horizontal="center"/>
    </xf>
    <xf numFmtId="9" fontId="160" fillId="3" borderId="75" xfId="46" applyNumberFormat="1" applyFont="1" applyFill="1" applyBorder="1" applyAlignment="1">
      <alignment horizontal="center"/>
    </xf>
    <xf numFmtId="0" fontId="159" fillId="0" borderId="12" xfId="46" applyFont="1" applyBorder="1" applyAlignment="1">
      <alignment horizontal="center" vertical="center" wrapText="1"/>
    </xf>
    <xf numFmtId="0" fontId="160" fillId="0" borderId="12" xfId="46" applyFont="1" applyBorder="1" applyAlignment="1">
      <alignment horizontal="center" vertical="center" wrapText="1"/>
    </xf>
    <xf numFmtId="0" fontId="160" fillId="3" borderId="119" xfId="46" applyFont="1" applyFill="1" applyBorder="1" applyAlignment="1">
      <alignment horizontal="center" vertical="center" wrapText="1"/>
    </xf>
    <xf numFmtId="0" fontId="159" fillId="6" borderId="43" xfId="46" applyFont="1" applyFill="1" applyBorder="1" applyAlignment="1">
      <alignment horizontal="center" vertical="center" wrapText="1"/>
    </xf>
    <xf numFmtId="9" fontId="159" fillId="6" borderId="43" xfId="46" applyNumberFormat="1" applyFont="1" applyFill="1" applyBorder="1" applyAlignment="1">
      <alignment horizontal="center" vertical="center" wrapText="1"/>
    </xf>
    <xf numFmtId="0" fontId="160" fillId="6" borderId="43" xfId="46" applyFont="1" applyFill="1" applyBorder="1" applyAlignment="1">
      <alignment horizontal="center" vertical="center" wrapText="1"/>
    </xf>
    <xf numFmtId="9" fontId="160" fillId="6" borderId="31" xfId="46" applyNumberFormat="1" applyFont="1" applyFill="1" applyBorder="1" applyAlignment="1">
      <alignment horizontal="center" vertical="center" wrapText="1"/>
    </xf>
    <xf numFmtId="9" fontId="160" fillId="0" borderId="153" xfId="46" applyNumberFormat="1" applyFont="1" applyFill="1" applyBorder="1" applyAlignment="1">
      <alignment horizontal="center" vertical="center" wrapText="1"/>
    </xf>
    <xf numFmtId="9" fontId="160" fillId="3" borderId="153" xfId="46" applyNumberFormat="1" applyFont="1" applyFill="1" applyBorder="1" applyAlignment="1">
      <alignment horizontal="center" vertical="center" wrapText="1"/>
    </xf>
    <xf numFmtId="9" fontId="160" fillId="6" borderId="153" xfId="46" applyNumberFormat="1" applyFont="1" applyFill="1" applyBorder="1" applyAlignment="1">
      <alignment horizontal="center" vertical="center" wrapText="1"/>
    </xf>
    <xf numFmtId="0" fontId="160" fillId="6" borderId="173" xfId="46" applyFont="1" applyFill="1" applyBorder="1" applyAlignment="1">
      <alignment horizontal="center" vertical="center" wrapText="1"/>
    </xf>
    <xf numFmtId="9" fontId="160" fillId="6" borderId="174" xfId="46" applyNumberFormat="1" applyFont="1" applyFill="1" applyBorder="1" applyAlignment="1">
      <alignment horizontal="center" vertical="center" wrapText="1"/>
    </xf>
    <xf numFmtId="9" fontId="268" fillId="3" borderId="76" xfId="46" applyNumberFormat="1" applyFont="1" applyFill="1" applyBorder="1" applyAlignment="1">
      <alignment horizontal="center" vertical="center" wrapText="1"/>
    </xf>
    <xf numFmtId="9" fontId="268" fillId="3" borderId="153" xfId="46" applyNumberFormat="1" applyFont="1" applyFill="1" applyBorder="1" applyAlignment="1">
      <alignment horizontal="center" vertical="center" wrapText="1"/>
    </xf>
    <xf numFmtId="9" fontId="160" fillId="0" borderId="75" xfId="46" applyNumberFormat="1" applyFont="1" applyFill="1" applyBorder="1" applyAlignment="1">
      <alignment horizontal="center"/>
    </xf>
    <xf numFmtId="0" fontId="160" fillId="3" borderId="12" xfId="46" applyFont="1" applyFill="1" applyBorder="1" applyAlignment="1">
      <alignment horizontal="center" vertical="center" wrapText="1"/>
    </xf>
    <xf numFmtId="0" fontId="159" fillId="3" borderId="43" xfId="46" applyFont="1" applyFill="1" applyBorder="1" applyAlignment="1">
      <alignment horizontal="center" vertical="center" wrapText="1"/>
    </xf>
    <xf numFmtId="0" fontId="160" fillId="3" borderId="43" xfId="46" applyFont="1" applyFill="1" applyBorder="1" applyAlignment="1">
      <alignment horizontal="center" vertical="center" wrapText="1"/>
    </xf>
    <xf numFmtId="9" fontId="160" fillId="3" borderId="31" xfId="46" applyNumberFormat="1" applyFont="1" applyFill="1" applyBorder="1" applyAlignment="1">
      <alignment horizontal="center" vertical="center" wrapText="1"/>
    </xf>
    <xf numFmtId="9" fontId="160" fillId="3" borderId="145" xfId="46" applyNumberFormat="1" applyFont="1" applyFill="1" applyBorder="1" applyAlignment="1">
      <alignment horizontal="center" vertical="center" wrapText="1"/>
    </xf>
    <xf numFmtId="0" fontId="159" fillId="3" borderId="173" xfId="46" applyFont="1" applyFill="1" applyBorder="1" applyAlignment="1">
      <alignment horizontal="center" vertical="center" wrapText="1"/>
    </xf>
    <xf numFmtId="0" fontId="159" fillId="6" borderId="12" xfId="46" applyFont="1" applyFill="1" applyBorder="1" applyAlignment="1">
      <alignment horizontal="center" vertical="center" wrapText="1"/>
    </xf>
    <xf numFmtId="0" fontId="159" fillId="6" borderId="119" xfId="46" applyFont="1" applyFill="1" applyBorder="1" applyAlignment="1">
      <alignment horizontal="center" vertical="center" wrapText="1"/>
    </xf>
    <xf numFmtId="9" fontId="159" fillId="6" borderId="12" xfId="46" applyNumberFormat="1" applyFont="1" applyFill="1" applyBorder="1" applyAlignment="1">
      <alignment horizontal="center" vertical="center" wrapText="1"/>
    </xf>
    <xf numFmtId="0" fontId="160" fillId="6" borderId="12" xfId="46" applyFont="1" applyFill="1" applyBorder="1" applyAlignment="1">
      <alignment horizontal="center" vertical="center" wrapText="1"/>
    </xf>
    <xf numFmtId="9" fontId="160" fillId="6" borderId="50" xfId="46" applyNumberFormat="1" applyFont="1" applyFill="1" applyBorder="1" applyAlignment="1">
      <alignment horizontal="center" vertical="center" wrapText="1"/>
    </xf>
    <xf numFmtId="9" fontId="159" fillId="6" borderId="119" xfId="46" applyNumberFormat="1" applyFont="1" applyFill="1" applyBorder="1" applyAlignment="1">
      <alignment horizontal="center" vertical="center" wrapText="1"/>
    </xf>
    <xf numFmtId="0" fontId="160" fillId="6" borderId="119" xfId="46" applyFont="1" applyFill="1" applyBorder="1" applyAlignment="1">
      <alignment horizontal="center" vertical="center" wrapText="1"/>
    </xf>
    <xf numFmtId="9" fontId="160" fillId="6" borderId="145" xfId="46" applyNumberFormat="1" applyFont="1" applyFill="1" applyBorder="1" applyAlignment="1">
      <alignment horizontal="center" vertical="center" wrapText="1"/>
    </xf>
    <xf numFmtId="9" fontId="160" fillId="3" borderId="50" xfId="46" applyNumberFormat="1" applyFont="1" applyFill="1" applyBorder="1" applyAlignment="1">
      <alignment horizontal="center" vertical="center" wrapText="1"/>
    </xf>
    <xf numFmtId="9" fontId="159" fillId="0" borderId="119" xfId="46" applyNumberFormat="1" applyFont="1" applyFill="1" applyBorder="1" applyAlignment="1">
      <alignment horizontal="center" vertical="center" wrapText="1"/>
    </xf>
    <xf numFmtId="0" fontId="159" fillId="0" borderId="173" xfId="46" applyFont="1" applyFill="1" applyBorder="1" applyAlignment="1">
      <alignment horizontal="center" vertical="center" wrapText="1"/>
    </xf>
    <xf numFmtId="9" fontId="159" fillId="0" borderId="173" xfId="46" applyNumberFormat="1" applyFont="1" applyFill="1" applyBorder="1" applyAlignment="1">
      <alignment horizontal="center" vertical="center" wrapText="1"/>
    </xf>
    <xf numFmtId="0" fontId="160" fillId="0" borderId="173" xfId="46" applyFont="1" applyFill="1" applyBorder="1" applyAlignment="1">
      <alignment horizontal="center" vertical="center" wrapText="1"/>
    </xf>
    <xf numFmtId="9" fontId="160" fillId="0" borderId="174" xfId="46" applyNumberFormat="1" applyFont="1" applyFill="1" applyBorder="1" applyAlignment="1">
      <alignment horizontal="center" vertical="center" wrapText="1"/>
    </xf>
    <xf numFmtId="9" fontId="159" fillId="0" borderId="95" xfId="46" applyNumberFormat="1" applyFont="1" applyFill="1" applyBorder="1" applyAlignment="1">
      <alignment horizontal="center" vertical="center" wrapText="1"/>
    </xf>
    <xf numFmtId="0" fontId="68" fillId="0" borderId="0" xfId="46" applyFont="1" applyAlignment="1">
      <alignment horizontal="left"/>
    </xf>
    <xf numFmtId="0" fontId="159" fillId="6" borderId="30" xfId="46" applyFont="1" applyFill="1" applyBorder="1" applyAlignment="1">
      <alignment horizontal="center" vertical="center" wrapText="1"/>
    </xf>
    <xf numFmtId="0" fontId="159" fillId="0" borderId="170" xfId="46" applyFont="1" applyFill="1" applyBorder="1" applyAlignment="1">
      <alignment horizontal="center" vertical="center" wrapText="1"/>
    </xf>
    <xf numFmtId="9" fontId="160" fillId="0" borderId="171" xfId="46" applyNumberFormat="1" applyFont="1" applyFill="1" applyBorder="1" applyAlignment="1">
      <alignment horizontal="center" vertical="center" wrapText="1"/>
    </xf>
    <xf numFmtId="0" fontId="159" fillId="6" borderId="170" xfId="46" applyFont="1" applyFill="1" applyBorder="1" applyAlignment="1">
      <alignment horizontal="center" vertical="center" wrapText="1"/>
    </xf>
    <xf numFmtId="0" fontId="159" fillId="0" borderId="172" xfId="46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14" fillId="0" borderId="0" xfId="0" applyFont="1" applyAlignment="1">
      <alignment horizontal="left" vertical="center" indent="2"/>
    </xf>
    <xf numFmtId="0" fontId="31" fillId="0" borderId="8" xfId="71" applyFont="1" applyFill="1" applyBorder="1" applyAlignment="1">
      <alignment horizontal="center" vertical="center" wrapText="1"/>
    </xf>
    <xf numFmtId="0" fontId="31" fillId="0" borderId="6" xfId="71" applyFont="1" applyFill="1" applyBorder="1" applyAlignment="1">
      <alignment horizontal="center" vertical="center" wrapText="1"/>
    </xf>
    <xf numFmtId="0" fontId="31" fillId="0" borderId="6" xfId="71" applyFont="1" applyFill="1" applyBorder="1" applyAlignment="1">
      <alignment horizontal="left" vertical="top" indent="1"/>
    </xf>
    <xf numFmtId="0" fontId="31" fillId="0" borderId="6" xfId="71" applyFont="1" applyFill="1" applyBorder="1" applyAlignment="1">
      <alignment horizontal="left" vertical="top" wrapText="1" indent="1"/>
    </xf>
    <xf numFmtId="0" fontId="12" fillId="0" borderId="7" xfId="71" applyFont="1" applyFill="1" applyBorder="1" applyAlignment="1">
      <alignment horizontal="center" vertical="center"/>
    </xf>
    <xf numFmtId="0" fontId="12" fillId="0" borderId="6" xfId="71" applyFont="1" applyFill="1" applyBorder="1" applyAlignment="1">
      <alignment horizontal="center" vertical="center"/>
    </xf>
    <xf numFmtId="0" fontId="12" fillId="0" borderId="8" xfId="71" applyFont="1" applyFill="1" applyBorder="1" applyAlignment="1">
      <alignment horizontal="center" vertical="center"/>
    </xf>
    <xf numFmtId="0" fontId="12" fillId="0" borderId="65" xfId="71" applyFont="1" applyFill="1" applyBorder="1" applyAlignment="1">
      <alignment horizontal="center" vertical="center" wrapText="1"/>
    </xf>
    <xf numFmtId="9" fontId="15" fillId="3" borderId="11" xfId="68" applyFont="1" applyFill="1" applyBorder="1" applyAlignment="1">
      <alignment horizontal="center" vertical="center"/>
    </xf>
    <xf numFmtId="0" fontId="16" fillId="0" borderId="0" xfId="6" applyFont="1" applyFill="1" applyBorder="1" applyAlignment="1">
      <alignment horizontal="left" vertical="center" wrapText="1" indent="1"/>
    </xf>
    <xf numFmtId="43" fontId="80" fillId="0" borderId="0" xfId="7" applyFont="1" applyBorder="1" applyAlignment="1">
      <alignment horizontal="center" vertical="center" textRotation="90" wrapText="1"/>
    </xf>
    <xf numFmtId="0" fontId="160" fillId="0" borderId="0" xfId="46" applyFont="1" applyFill="1" applyBorder="1" applyAlignment="1">
      <alignment vertical="center" wrapText="1"/>
    </xf>
    <xf numFmtId="0" fontId="160" fillId="0" borderId="0" xfId="46" applyFont="1" applyFill="1" applyBorder="1" applyAlignment="1">
      <alignment horizontal="center"/>
    </xf>
    <xf numFmtId="9" fontId="160" fillId="0" borderId="0" xfId="46" applyNumberFormat="1" applyFont="1" applyFill="1" applyBorder="1" applyAlignment="1">
      <alignment horizontal="center"/>
    </xf>
    <xf numFmtId="0" fontId="16" fillId="0" borderId="76" xfId="0" applyFont="1" applyFill="1" applyBorder="1" applyAlignment="1">
      <alignment horizontal="left" vertical="center" wrapText="1" indent="1"/>
    </xf>
    <xf numFmtId="169" fontId="60" fillId="0" borderId="36" xfId="0" applyNumberFormat="1" applyFont="1" applyFill="1" applyBorder="1" applyAlignment="1">
      <alignment horizontal="center" vertical="center" wrapText="1"/>
    </xf>
    <xf numFmtId="169" fontId="78" fillId="0" borderId="25" xfId="0" applyNumberFormat="1" applyFont="1" applyFill="1" applyBorder="1" applyAlignment="1">
      <alignment horizontal="center" vertical="center" wrapText="1"/>
    </xf>
    <xf numFmtId="169" fontId="70" fillId="0" borderId="79" xfId="0" applyNumberFormat="1" applyFont="1" applyFill="1" applyBorder="1" applyAlignment="1">
      <alignment horizontal="center" vertical="center" wrapText="1"/>
    </xf>
    <xf numFmtId="169" fontId="70" fillId="6" borderId="79" xfId="0" applyNumberFormat="1" applyFont="1" applyFill="1" applyBorder="1" applyAlignment="1">
      <alignment horizontal="center" vertical="center" wrapText="1"/>
    </xf>
    <xf numFmtId="169" fontId="60" fillId="6" borderId="36" xfId="0" applyNumberFormat="1" applyFont="1" applyFill="1" applyBorder="1" applyAlignment="1">
      <alignment horizontal="center" vertical="center" wrapText="1"/>
    </xf>
    <xf numFmtId="41" fontId="60" fillId="0" borderId="35" xfId="0" applyNumberFormat="1" applyFont="1" applyFill="1" applyBorder="1" applyAlignment="1">
      <alignment horizontal="center" vertical="center" wrapText="1"/>
    </xf>
    <xf numFmtId="41" fontId="60" fillId="6" borderId="119" xfId="0" applyNumberFormat="1" applyFont="1" applyFill="1" applyBorder="1" applyAlignment="1">
      <alignment horizontal="center" vertical="center"/>
    </xf>
    <xf numFmtId="41" fontId="60" fillId="0" borderId="178" xfId="0" applyNumberFormat="1" applyFont="1" applyFill="1" applyBorder="1" applyAlignment="1">
      <alignment horizontal="center" vertical="center"/>
    </xf>
    <xf numFmtId="0" fontId="17" fillId="0" borderId="76" xfId="0" applyFont="1" applyFill="1" applyBorder="1" applyAlignment="1">
      <alignment horizontal="left" vertical="center" wrapText="1" indent="1"/>
    </xf>
    <xf numFmtId="0" fontId="16" fillId="6" borderId="76" xfId="0" applyFont="1" applyFill="1" applyBorder="1" applyAlignment="1">
      <alignment horizontal="left" vertical="center" wrapText="1" indent="1"/>
    </xf>
    <xf numFmtId="0" fontId="17" fillId="6" borderId="76" xfId="0" applyFont="1" applyFill="1" applyBorder="1" applyAlignment="1">
      <alignment horizontal="left" vertical="center" wrapText="1" indent="1"/>
    </xf>
    <xf numFmtId="0" fontId="0" fillId="0" borderId="0" xfId="0" applyFont="1"/>
    <xf numFmtId="9" fontId="11" fillId="0" borderId="43" xfId="46" applyNumberFormat="1" applyFont="1" applyBorder="1" applyAlignment="1">
      <alignment horizontal="center" vertical="center"/>
    </xf>
    <xf numFmtId="0" fontId="11" fillId="0" borderId="31" xfId="46" applyFont="1" applyBorder="1" applyAlignment="1">
      <alignment horizontal="left" vertical="center" indent="1"/>
    </xf>
    <xf numFmtId="9" fontId="11" fillId="6" borderId="167" xfId="46" applyNumberFormat="1" applyFont="1" applyFill="1" applyBorder="1" applyAlignment="1">
      <alignment horizontal="center" vertical="center"/>
    </xf>
    <xf numFmtId="0" fontId="11" fillId="6" borderId="171" xfId="46" applyFont="1" applyFill="1" applyBorder="1" applyAlignment="1">
      <alignment horizontal="left" vertical="center" indent="1"/>
    </xf>
    <xf numFmtId="9" fontId="11" fillId="0" borderId="167" xfId="46" applyNumberFormat="1" applyFont="1" applyBorder="1" applyAlignment="1">
      <alignment horizontal="center" vertical="center"/>
    </xf>
    <xf numFmtId="0" fontId="11" fillId="0" borderId="171" xfId="46" applyFont="1" applyBorder="1" applyAlignment="1">
      <alignment horizontal="left" vertical="center" indent="1"/>
    </xf>
    <xf numFmtId="9" fontId="11" fillId="6" borderId="173" xfId="46" applyNumberFormat="1" applyFont="1" applyFill="1" applyBorder="1" applyAlignment="1">
      <alignment horizontal="center" vertical="center"/>
    </xf>
    <xf numFmtId="0" fontId="11" fillId="6" borderId="174" xfId="46" applyFont="1" applyFill="1" applyBorder="1" applyAlignment="1">
      <alignment horizontal="left" vertical="center" indent="1"/>
    </xf>
    <xf numFmtId="0" fontId="147" fillId="0" borderId="167" xfId="60" applyFont="1" applyBorder="1"/>
    <xf numFmtId="0" fontId="64" fillId="0" borderId="167" xfId="60" applyBorder="1"/>
    <xf numFmtId="0" fontId="34" fillId="0" borderId="167" xfId="60" applyFont="1" applyBorder="1"/>
    <xf numFmtId="0" fontId="269" fillId="0" borderId="167" xfId="284" applyFont="1" applyBorder="1" applyAlignment="1" applyProtection="1"/>
    <xf numFmtId="9" fontId="159" fillId="0" borderId="167" xfId="46" applyNumberFormat="1" applyFont="1" applyFill="1" applyBorder="1" applyAlignment="1">
      <alignment horizontal="center" vertical="center" wrapText="1"/>
    </xf>
    <xf numFmtId="0" fontId="160" fillId="0" borderId="167" xfId="46" applyFont="1" applyFill="1" applyBorder="1" applyAlignment="1">
      <alignment horizontal="center" vertical="center" wrapText="1"/>
    </xf>
    <xf numFmtId="0" fontId="18" fillId="0" borderId="0" xfId="46" applyFont="1" applyAlignment="1">
      <alignment horizontal="left" vertical="center" indent="1"/>
    </xf>
    <xf numFmtId="9" fontId="159" fillId="6" borderId="167" xfId="46" applyNumberFormat="1" applyFont="1" applyFill="1" applyBorder="1" applyAlignment="1">
      <alignment horizontal="center" vertical="center" wrapText="1"/>
    </xf>
    <xf numFmtId="0" fontId="160" fillId="6" borderId="167" xfId="46" applyFont="1" applyFill="1" applyBorder="1" applyAlignment="1">
      <alignment horizontal="center" vertical="center" wrapText="1"/>
    </xf>
    <xf numFmtId="41" fontId="245" fillId="6" borderId="10" xfId="0" applyNumberFormat="1" applyFont="1" applyFill="1" applyBorder="1" applyAlignment="1">
      <alignment horizontal="center" vertical="center"/>
    </xf>
    <xf numFmtId="0" fontId="34" fillId="4" borderId="0" xfId="0" applyFont="1" applyFill="1" applyBorder="1" applyAlignment="1">
      <alignment horizontal="center" vertical="center" wrapText="1"/>
    </xf>
    <xf numFmtId="0" fontId="160" fillId="0" borderId="18" xfId="46" applyFont="1" applyBorder="1" applyAlignment="1">
      <alignment horizontal="center" vertical="center" wrapText="1"/>
    </xf>
    <xf numFmtId="9" fontId="160" fillId="6" borderId="186" xfId="46" applyNumberFormat="1" applyFont="1" applyFill="1" applyBorder="1" applyAlignment="1">
      <alignment horizontal="center" vertical="center" wrapText="1"/>
    </xf>
    <xf numFmtId="9" fontId="160" fillId="0" borderId="165" xfId="46" applyNumberFormat="1" applyFont="1" applyFill="1" applyBorder="1" applyAlignment="1">
      <alignment horizontal="center" vertical="center" wrapText="1"/>
    </xf>
    <xf numFmtId="9" fontId="160" fillId="6" borderId="165" xfId="46" applyNumberFormat="1" applyFont="1" applyFill="1" applyBorder="1" applyAlignment="1">
      <alignment horizontal="center" vertical="center" wrapText="1"/>
    </xf>
    <xf numFmtId="9" fontId="160" fillId="3" borderId="165" xfId="46" applyNumberFormat="1" applyFont="1" applyFill="1" applyBorder="1" applyAlignment="1">
      <alignment horizontal="center" vertical="center" wrapText="1"/>
    </xf>
    <xf numFmtId="9" fontId="160" fillId="0" borderId="188" xfId="46" applyNumberFormat="1" applyFont="1" applyFill="1" applyBorder="1" applyAlignment="1">
      <alignment horizontal="center" vertical="center" wrapText="1"/>
    </xf>
    <xf numFmtId="0" fontId="159" fillId="0" borderId="167" xfId="46" applyFont="1" applyFill="1" applyBorder="1" applyAlignment="1">
      <alignment horizontal="center" vertical="center" wrapText="1"/>
    </xf>
    <xf numFmtId="0" fontId="159" fillId="6" borderId="167" xfId="46" applyFont="1" applyFill="1" applyBorder="1" applyAlignment="1">
      <alignment horizontal="center" vertical="center" wrapText="1"/>
    </xf>
    <xf numFmtId="0" fontId="34" fillId="0" borderId="190" xfId="0" applyFont="1" applyBorder="1" applyAlignment="1">
      <alignment horizontal="center"/>
    </xf>
    <xf numFmtId="0" fontId="34" fillId="0" borderId="191" xfId="0" applyFont="1" applyBorder="1" applyAlignment="1">
      <alignment horizontal="center"/>
    </xf>
    <xf numFmtId="0" fontId="34" fillId="0" borderId="192" xfId="0" applyFont="1" applyBorder="1" applyAlignment="1">
      <alignment horizontal="center"/>
    </xf>
    <xf numFmtId="0" fontId="0" fillId="0" borderId="193" xfId="0" applyBorder="1" applyAlignment="1">
      <alignment horizontal="right" vertical="center"/>
    </xf>
    <xf numFmtId="0" fontId="0" fillId="0" borderId="196" xfId="0" applyBorder="1" applyAlignment="1">
      <alignment horizontal="right" vertical="center"/>
    </xf>
    <xf numFmtId="0" fontId="0" fillId="0" borderId="198" xfId="0" applyBorder="1" applyAlignment="1">
      <alignment horizontal="right" vertical="center"/>
    </xf>
    <xf numFmtId="0" fontId="0" fillId="0" borderId="196" xfId="0" applyFill="1" applyBorder="1" applyAlignment="1">
      <alignment horizontal="right" vertical="center"/>
    </xf>
    <xf numFmtId="0" fontId="66" fillId="0" borderId="194" xfId="0" applyFont="1" applyBorder="1" applyAlignment="1">
      <alignment vertical="center" wrapText="1"/>
    </xf>
    <xf numFmtId="0" fontId="66" fillId="0" borderId="197" xfId="0" applyFont="1" applyBorder="1" applyAlignment="1">
      <alignment vertical="center" wrapText="1"/>
    </xf>
    <xf numFmtId="0" fontId="0" fillId="0" borderId="190" xfId="0" applyBorder="1" applyAlignment="1">
      <alignment horizontal="right" vertical="center"/>
    </xf>
    <xf numFmtId="0" fontId="66" fillId="0" borderId="191" xfId="0" applyFont="1" applyBorder="1" applyAlignment="1">
      <alignment vertical="center"/>
    </xf>
    <xf numFmtId="177" fontId="0" fillId="0" borderId="0" xfId="81" applyNumberFormat="1" applyFont="1" applyBorder="1"/>
    <xf numFmtId="177" fontId="67" fillId="0" borderId="194" xfId="81" applyNumberFormat="1" applyFont="1" applyBorder="1"/>
    <xf numFmtId="177" fontId="67" fillId="0" borderId="197" xfId="81" applyNumberFormat="1" applyFont="1" applyBorder="1"/>
    <xf numFmtId="177" fontId="67" fillId="0" borderId="98" xfId="81" applyNumberFormat="1" applyFont="1" applyBorder="1"/>
    <xf numFmtId="177" fontId="67" fillId="0" borderId="191" xfId="81" applyNumberFormat="1" applyFont="1" applyBorder="1"/>
    <xf numFmtId="0" fontId="0" fillId="0" borderId="203" xfId="0" applyBorder="1"/>
    <xf numFmtId="177" fontId="7" fillId="0" borderId="195" xfId="81" applyNumberFormat="1" applyFont="1" applyBorder="1"/>
    <xf numFmtId="177" fontId="7" fillId="0" borderId="202" xfId="81" applyNumberFormat="1" applyFont="1" applyBorder="1"/>
    <xf numFmtId="177" fontId="7" fillId="0" borderId="199" xfId="81" applyNumberFormat="1" applyFont="1" applyBorder="1"/>
    <xf numFmtId="177" fontId="7" fillId="0" borderId="192" xfId="81" applyNumberFormat="1" applyFont="1" applyBorder="1"/>
    <xf numFmtId="0" fontId="66" fillId="0" borderId="197" xfId="0" applyFont="1" applyFill="1" applyBorder="1" applyAlignment="1">
      <alignment vertical="center"/>
    </xf>
    <xf numFmtId="177" fontId="60" fillId="0" borderId="197" xfId="81" applyNumberFormat="1" applyFont="1" applyFill="1" applyBorder="1"/>
    <xf numFmtId="177" fontId="7" fillId="0" borderId="202" xfId="81" applyNumberFormat="1" applyFont="1" applyFill="1" applyBorder="1"/>
    <xf numFmtId="0" fontId="0" fillId="0" borderId="193" xfId="0" applyFill="1" applyBorder="1" applyAlignment="1">
      <alignment horizontal="right" vertical="center"/>
    </xf>
    <xf numFmtId="0" fontId="66" fillId="0" borderId="194" xfId="0" applyFont="1" applyFill="1" applyBorder="1" applyAlignment="1">
      <alignment vertical="center"/>
    </xf>
    <xf numFmtId="177" fontId="60" fillId="0" borderId="194" xfId="81" applyNumberFormat="1" applyFont="1" applyFill="1" applyBorder="1"/>
    <xf numFmtId="177" fontId="7" fillId="0" borderId="195" xfId="81" applyNumberFormat="1" applyFont="1" applyFill="1" applyBorder="1"/>
    <xf numFmtId="0" fontId="66" fillId="0" borderId="0" xfId="0" applyFont="1" applyFill="1" applyAlignment="1">
      <alignment vertical="center"/>
    </xf>
    <xf numFmtId="177" fontId="67" fillId="0" borderId="194" xfId="81" applyNumberFormat="1" applyFont="1" applyFill="1" applyBorder="1"/>
    <xf numFmtId="0" fontId="270" fillId="0" borderId="0" xfId="46" applyFont="1"/>
    <xf numFmtId="9" fontId="160" fillId="0" borderId="167" xfId="46" applyNumberFormat="1" applyFont="1" applyFill="1" applyBorder="1" applyAlignment="1">
      <alignment horizontal="center" vertical="center" wrapText="1"/>
    </xf>
    <xf numFmtId="9" fontId="42" fillId="0" borderId="0" xfId="46" applyNumberFormat="1"/>
    <xf numFmtId="0" fontId="67" fillId="0" borderId="167" xfId="74" applyFont="1" applyFill="1" applyBorder="1" applyAlignment="1">
      <alignment horizontal="center" vertical="center" wrapText="1"/>
    </xf>
    <xf numFmtId="0" fontId="20" fillId="0" borderId="167" xfId="0" applyFont="1" applyBorder="1" applyAlignment="1">
      <alignment horizontal="center" vertical="center"/>
    </xf>
    <xf numFmtId="0" fontId="67" fillId="6" borderId="167" xfId="74" applyFont="1" applyFill="1" applyBorder="1" applyAlignment="1">
      <alignment horizontal="center" vertical="center" wrapText="1"/>
    </xf>
    <xf numFmtId="0" fontId="61" fillId="0" borderId="0" xfId="0" applyFont="1" applyAlignment="1">
      <alignment horizontal="left" indent="1"/>
    </xf>
    <xf numFmtId="9" fontId="42" fillId="0" borderId="0" xfId="14" applyFont="1"/>
    <xf numFmtId="9" fontId="160" fillId="0" borderId="43" xfId="46" applyNumberFormat="1" applyFont="1" applyFill="1" applyBorder="1" applyAlignment="1">
      <alignment horizontal="center" vertical="center" wrapText="1"/>
    </xf>
    <xf numFmtId="9" fontId="160" fillId="0" borderId="31" xfId="46" applyNumberFormat="1" applyFont="1" applyFill="1" applyBorder="1" applyAlignment="1">
      <alignment horizontal="center" vertical="center" wrapText="1"/>
    </xf>
    <xf numFmtId="9" fontId="160" fillId="0" borderId="173" xfId="46" applyNumberFormat="1" applyFont="1" applyFill="1" applyBorder="1" applyAlignment="1">
      <alignment horizontal="center" vertical="center" wrapText="1"/>
    </xf>
    <xf numFmtId="9" fontId="160" fillId="0" borderId="119" xfId="46" applyNumberFormat="1" applyFont="1" applyFill="1" applyBorder="1" applyAlignment="1">
      <alignment horizontal="center" vertical="center" wrapText="1"/>
    </xf>
    <xf numFmtId="0" fontId="160" fillId="0" borderId="165" xfId="46" applyFont="1" applyBorder="1" applyAlignment="1">
      <alignment horizontal="center" vertical="center" wrapText="1"/>
    </xf>
    <xf numFmtId="9" fontId="51" fillId="0" borderId="0" xfId="14" applyFont="1"/>
    <xf numFmtId="9" fontId="51" fillId="0" borderId="0" xfId="46" applyNumberFormat="1" applyFont="1"/>
    <xf numFmtId="0" fontId="159" fillId="0" borderId="167" xfId="46" applyFont="1" applyBorder="1" applyAlignment="1">
      <alignment horizontal="center" vertical="center"/>
    </xf>
    <xf numFmtId="9" fontId="160" fillId="0" borderId="15" xfId="46" applyNumberFormat="1" applyFont="1" applyFill="1" applyBorder="1" applyAlignment="1">
      <alignment horizontal="center" vertical="center" wrapText="1"/>
    </xf>
    <xf numFmtId="9" fontId="160" fillId="0" borderId="45" xfId="46" applyNumberFormat="1" applyFont="1" applyFill="1" applyBorder="1" applyAlignment="1">
      <alignment horizontal="center" vertical="center" wrapText="1"/>
    </xf>
    <xf numFmtId="0" fontId="160" fillId="0" borderId="173" xfId="46" applyFont="1" applyBorder="1" applyAlignment="1">
      <alignment vertical="center" wrapText="1"/>
    </xf>
    <xf numFmtId="0" fontId="271" fillId="0" borderId="0" xfId="46" applyFont="1" applyAlignment="1">
      <alignment horizontal="left" vertical="center" indent="1"/>
    </xf>
    <xf numFmtId="41" fontId="21" fillId="5" borderId="0" xfId="0" applyNumberFormat="1" applyFont="1" applyFill="1" applyBorder="1"/>
    <xf numFmtId="0" fontId="44" fillId="0" borderId="0" xfId="46" applyFont="1" applyBorder="1" applyAlignment="1">
      <alignment vertical="top"/>
    </xf>
    <xf numFmtId="0" fontId="272" fillId="0" borderId="0" xfId="46" applyFont="1" applyBorder="1" applyAlignment="1">
      <alignment vertical="top"/>
    </xf>
    <xf numFmtId="0" fontId="16" fillId="0" borderId="119" xfId="72" applyFont="1" applyFill="1" applyBorder="1" applyAlignment="1" applyProtection="1">
      <alignment horizontal="center" vertical="center" wrapText="1"/>
      <protection hidden="1"/>
    </xf>
    <xf numFmtId="0" fontId="44" fillId="0" borderId="0" xfId="46" applyFont="1" applyBorder="1" applyAlignment="1"/>
    <xf numFmtId="41" fontId="83" fillId="6" borderId="119" xfId="69" applyNumberFormat="1" applyFont="1" applyFill="1" applyBorder="1" applyAlignment="1">
      <alignment vertical="center" wrapText="1"/>
    </xf>
    <xf numFmtId="0" fontId="11" fillId="0" borderId="167" xfId="0" applyFont="1" applyBorder="1"/>
    <xf numFmtId="0" fontId="15" fillId="0" borderId="167" xfId="46" applyFont="1" applyBorder="1"/>
    <xf numFmtId="0" fontId="272" fillId="0" borderId="0" xfId="46" applyFont="1" applyBorder="1" applyAlignment="1"/>
    <xf numFmtId="0" fontId="7" fillId="8" borderId="168" xfId="0" applyFont="1" applyFill="1" applyBorder="1" applyAlignment="1">
      <alignment horizontal="center" vertical="center" wrapText="1"/>
    </xf>
    <xf numFmtId="0" fontId="11" fillId="7" borderId="0" xfId="0" applyFont="1" applyFill="1" applyBorder="1"/>
    <xf numFmtId="0" fontId="21" fillId="7" borderId="0" xfId="0" applyFont="1" applyFill="1" applyBorder="1"/>
    <xf numFmtId="0" fontId="11" fillId="0" borderId="204" xfId="0" applyFont="1" applyFill="1" applyBorder="1"/>
    <xf numFmtId="0" fontId="7" fillId="8" borderId="163" xfId="0" applyFont="1" applyFill="1" applyBorder="1" applyAlignment="1">
      <alignment horizontal="center" vertical="center" wrapText="1"/>
    </xf>
    <xf numFmtId="0" fontId="14" fillId="8" borderId="0" xfId="0" applyFont="1" applyFill="1" applyBorder="1" applyAlignment="1">
      <alignment horizontal="center" vertical="center" wrapText="1"/>
    </xf>
    <xf numFmtId="0" fontId="17" fillId="7" borderId="2" xfId="0" applyFont="1" applyFill="1" applyBorder="1" applyAlignment="1">
      <alignment vertical="center" wrapText="1"/>
    </xf>
    <xf numFmtId="0" fontId="0" fillId="0" borderId="209" xfId="0" applyFont="1" applyFill="1" applyBorder="1"/>
    <xf numFmtId="0" fontId="14" fillId="8" borderId="165" xfId="0" applyFont="1" applyFill="1" applyBorder="1" applyAlignment="1">
      <alignment horizontal="center" vertical="center" wrapText="1"/>
    </xf>
    <xf numFmtId="41" fontId="60" fillId="6" borderId="163" xfId="0" applyNumberFormat="1" applyFont="1" applyFill="1" applyBorder="1" applyAlignment="1">
      <alignment horizontal="center" vertical="center"/>
    </xf>
    <xf numFmtId="41" fontId="60" fillId="0" borderId="208" xfId="0" applyNumberFormat="1" applyFont="1" applyFill="1" applyBorder="1" applyAlignment="1">
      <alignment horizontal="center" vertical="center"/>
    </xf>
    <xf numFmtId="168" fontId="15" fillId="6" borderId="206" xfId="0" applyNumberFormat="1" applyFont="1" applyFill="1" applyBorder="1" applyAlignment="1">
      <alignment horizontal="center" vertical="center"/>
    </xf>
    <xf numFmtId="9" fontId="15" fillId="3" borderId="207" xfId="68" applyFont="1" applyFill="1" applyBorder="1" applyAlignment="1">
      <alignment horizontal="center" vertical="center"/>
    </xf>
    <xf numFmtId="9" fontId="15" fillId="6" borderId="16" xfId="68" applyFont="1" applyFill="1" applyBorder="1" applyAlignment="1">
      <alignment horizontal="center" vertical="center"/>
    </xf>
    <xf numFmtId="0" fontId="12" fillId="6" borderId="165" xfId="0" applyFont="1" applyFill="1" applyBorder="1" applyAlignment="1">
      <alignment horizontal="center" vertical="center" wrapText="1"/>
    </xf>
    <xf numFmtId="41" fontId="11" fillId="0" borderId="165" xfId="0" applyNumberFormat="1" applyFont="1" applyFill="1" applyBorder="1" applyAlignment="1">
      <alignment vertical="top"/>
    </xf>
    <xf numFmtId="0" fontId="12" fillId="8" borderId="168" xfId="0" applyFont="1" applyFill="1" applyBorder="1" applyAlignment="1">
      <alignment horizontal="center" vertical="center" wrapText="1"/>
    </xf>
    <xf numFmtId="0" fontId="0" fillId="0" borderId="1" xfId="0" applyFont="1" applyFill="1" applyBorder="1"/>
    <xf numFmtId="0" fontId="12" fillId="0" borderId="167" xfId="0" applyFont="1" applyBorder="1" applyAlignment="1"/>
    <xf numFmtId="0" fontId="0" fillId="0" borderId="167" xfId="0" applyFont="1" applyFill="1" applyBorder="1"/>
    <xf numFmtId="0" fontId="16" fillId="8" borderId="167" xfId="0" applyFont="1" applyFill="1" applyBorder="1" applyAlignment="1">
      <alignment horizontal="center" vertical="center" wrapText="1"/>
    </xf>
    <xf numFmtId="0" fontId="75" fillId="7" borderId="169" xfId="0" applyFont="1" applyFill="1" applyBorder="1" applyAlignment="1">
      <alignment vertical="center"/>
    </xf>
    <xf numFmtId="9" fontId="38" fillId="6" borderId="178" xfId="68" applyFont="1" applyFill="1" applyBorder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17" fillId="7" borderId="2" xfId="0" applyFont="1" applyFill="1" applyBorder="1" applyAlignment="1">
      <alignment vertical="center"/>
    </xf>
    <xf numFmtId="0" fontId="11" fillId="8" borderId="167" xfId="0" applyFont="1" applyFill="1" applyBorder="1" applyAlignment="1">
      <alignment horizontal="center" vertical="center" wrapText="1"/>
    </xf>
    <xf numFmtId="41" fontId="60" fillId="0" borderId="119" xfId="0" applyNumberFormat="1" applyFont="1" applyFill="1" applyBorder="1" applyAlignment="1">
      <alignment horizontal="center" vertical="center"/>
    </xf>
    <xf numFmtId="41" fontId="60" fillId="6" borderId="205" xfId="0" applyNumberFormat="1" applyFont="1" applyFill="1" applyBorder="1" applyAlignment="1">
      <alignment horizontal="center" vertical="center"/>
    </xf>
    <xf numFmtId="169" fontId="70" fillId="6" borderId="178" xfId="0" applyNumberFormat="1" applyFont="1" applyFill="1" applyBorder="1" applyAlignment="1">
      <alignment horizontal="center" vertical="center" wrapText="1"/>
    </xf>
    <xf numFmtId="169" fontId="60" fillId="6" borderId="35" xfId="0" applyNumberFormat="1" applyFont="1" applyFill="1" applyBorder="1" applyAlignment="1">
      <alignment horizontal="center" vertical="center" wrapText="1"/>
    </xf>
    <xf numFmtId="169" fontId="55" fillId="6" borderId="11" xfId="0" applyNumberFormat="1" applyFont="1" applyFill="1" applyBorder="1" applyAlignment="1">
      <alignment horizontal="center" vertical="center" wrapText="1"/>
    </xf>
    <xf numFmtId="169" fontId="70" fillId="0" borderId="178" xfId="0" applyNumberFormat="1" applyFont="1" applyFill="1" applyBorder="1" applyAlignment="1">
      <alignment horizontal="center" vertical="center" wrapText="1"/>
    </xf>
    <xf numFmtId="169" fontId="78" fillId="0" borderId="11" xfId="0" applyNumberFormat="1" applyFont="1" applyFill="1" applyBorder="1" applyAlignment="1">
      <alignment horizontal="center" vertical="center" wrapText="1"/>
    </xf>
    <xf numFmtId="0" fontId="0" fillId="3" borderId="0" xfId="0" applyFill="1" applyBorder="1"/>
    <xf numFmtId="0" fontId="7" fillId="3" borderId="0" xfId="0" applyFont="1" applyFill="1" applyBorder="1"/>
    <xf numFmtId="0" fontId="7" fillId="3" borderId="0" xfId="0" applyFont="1" applyFill="1" applyBorder="1" applyAlignment="1">
      <alignment horizontal="center"/>
    </xf>
    <xf numFmtId="49" fontId="7" fillId="3" borderId="0" xfId="0" applyNumberFormat="1" applyFont="1" applyFill="1" applyAlignment="1">
      <alignment horizontal="center"/>
    </xf>
    <xf numFmtId="0" fontId="0" fillId="3" borderId="0" xfId="0" applyFill="1" applyBorder="1" applyAlignment="1">
      <alignment horizontal="left"/>
    </xf>
    <xf numFmtId="0" fontId="7" fillId="3" borderId="0" xfId="0" applyFont="1" applyFill="1" applyBorder="1" applyAlignment="1">
      <alignment horizontal="left"/>
    </xf>
    <xf numFmtId="49" fontId="7" fillId="3" borderId="0" xfId="0" applyNumberFormat="1" applyFont="1" applyFill="1" applyAlignment="1">
      <alignment horizontal="left"/>
    </xf>
    <xf numFmtId="49" fontId="7" fillId="3" borderId="0" xfId="0" applyNumberFormat="1" applyFont="1" applyFill="1" applyBorder="1" applyAlignment="1">
      <alignment horizontal="center"/>
    </xf>
    <xf numFmtId="0" fontId="16" fillId="3" borderId="0" xfId="6" applyFont="1" applyFill="1" applyBorder="1"/>
    <xf numFmtId="0" fontId="11" fillId="3" borderId="0" xfId="0" applyFont="1" applyFill="1" applyBorder="1"/>
    <xf numFmtId="0" fontId="0" fillId="3" borderId="0" xfId="0" applyFill="1" applyAlignment="1">
      <alignment horizontal="left"/>
    </xf>
    <xf numFmtId="0" fontId="7" fillId="3" borderId="0" xfId="0" applyFont="1" applyFill="1" applyAlignment="1">
      <alignment horizontal="right"/>
    </xf>
    <xf numFmtId="0" fontId="7" fillId="3" borderId="0" xfId="0" applyFont="1" applyFill="1" applyAlignment="1">
      <alignment horizontal="left"/>
    </xf>
    <xf numFmtId="0" fontId="73" fillId="0" borderId="169" xfId="0" applyFont="1" applyBorder="1" applyAlignment="1">
      <alignment horizontal="center" vertical="center" wrapText="1"/>
    </xf>
    <xf numFmtId="0" fontId="143" fillId="0" borderId="169" xfId="0" applyFont="1" applyBorder="1" applyAlignment="1">
      <alignment vertical="center"/>
    </xf>
    <xf numFmtId="0" fontId="0" fillId="0" borderId="169" xfId="0" applyBorder="1"/>
    <xf numFmtId="0" fontId="65" fillId="0" borderId="169" xfId="0" applyFont="1" applyBorder="1"/>
    <xf numFmtId="0" fontId="65" fillId="0" borderId="169" xfId="0" applyFont="1" applyBorder="1" applyAlignment="1">
      <alignment horizontal="right"/>
    </xf>
    <xf numFmtId="0" fontId="65" fillId="0" borderId="166" xfId="0" applyFont="1" applyBorder="1"/>
    <xf numFmtId="173" fontId="67" fillId="3" borderId="0" xfId="7" applyNumberFormat="1" applyFont="1" applyFill="1" applyBorder="1" applyAlignment="1">
      <alignment horizontal="center" vertical="center" wrapText="1"/>
    </xf>
    <xf numFmtId="0" fontId="67" fillId="3" borderId="0" xfId="0" applyFont="1" applyFill="1"/>
    <xf numFmtId="0" fontId="67" fillId="3" borderId="0" xfId="0" applyFont="1" applyFill="1" applyBorder="1" applyAlignment="1">
      <alignment horizontal="center" vertical="center" wrapText="1"/>
    </xf>
    <xf numFmtId="0" fontId="44" fillId="0" borderId="168" xfId="46" applyFont="1" applyBorder="1" applyAlignment="1">
      <alignment horizontal="center" vertical="center"/>
    </xf>
    <xf numFmtId="41" fontId="79" fillId="3" borderId="167" xfId="0" applyNumberFormat="1" applyFont="1" applyFill="1" applyBorder="1" applyAlignment="1">
      <alignment horizontal="center" vertical="center"/>
    </xf>
    <xf numFmtId="9" fontId="11" fillId="0" borderId="119" xfId="46" applyNumberFormat="1" applyFont="1" applyBorder="1" applyAlignment="1">
      <alignment horizontal="center" vertical="center"/>
    </xf>
    <xf numFmtId="0" fontId="11" fillId="0" borderId="145" xfId="46" applyFont="1" applyBorder="1" applyAlignment="1">
      <alignment horizontal="left" vertical="center" indent="1"/>
    </xf>
    <xf numFmtId="0" fontId="44" fillId="0" borderId="168" xfId="46" applyFont="1" applyBorder="1" applyAlignment="1">
      <alignment horizontal="center" vertical="center" wrapText="1"/>
    </xf>
    <xf numFmtId="9" fontId="11" fillId="6" borderId="43" xfId="46" applyNumberFormat="1" applyFont="1" applyFill="1" applyBorder="1" applyAlignment="1">
      <alignment horizontal="center" vertical="center"/>
    </xf>
    <xf numFmtId="0" fontId="11" fillId="6" borderId="31" xfId="46" applyFont="1" applyFill="1" applyBorder="1" applyAlignment="1">
      <alignment horizontal="left" vertical="center" indent="1"/>
    </xf>
    <xf numFmtId="0" fontId="42" fillId="3" borderId="0" xfId="46" applyFill="1"/>
    <xf numFmtId="0" fontId="1" fillId="3" borderId="0" xfId="74" applyFont="1" applyFill="1" applyAlignment="1">
      <alignment horizontal="left" vertical="center" indent="1"/>
    </xf>
    <xf numFmtId="0" fontId="7" fillId="8" borderId="167" xfId="0" applyFont="1" applyFill="1" applyBorder="1" applyAlignment="1">
      <alignment horizontal="center" vertical="center" wrapText="1"/>
    </xf>
    <xf numFmtId="0" fontId="30" fillId="8" borderId="77" xfId="0" applyFont="1" applyFill="1" applyBorder="1" applyAlignment="1">
      <alignment horizontal="center" vertical="center" wrapText="1"/>
    </xf>
    <xf numFmtId="169" fontId="60" fillId="0" borderId="36" xfId="0" applyNumberFormat="1" applyFont="1" applyFill="1" applyBorder="1" applyAlignment="1">
      <alignment horizontal="center" vertical="center" wrapText="1"/>
    </xf>
    <xf numFmtId="0" fontId="16" fillId="0" borderId="76" xfId="0" applyFont="1" applyFill="1" applyBorder="1" applyAlignment="1">
      <alignment horizontal="left" vertical="center" wrapText="1" indent="1"/>
    </xf>
    <xf numFmtId="169" fontId="60" fillId="0" borderId="36" xfId="0" applyNumberFormat="1" applyFont="1" applyFill="1" applyBorder="1" applyAlignment="1">
      <alignment horizontal="center" vertical="center" wrapText="1"/>
    </xf>
    <xf numFmtId="169" fontId="70" fillId="0" borderId="79" xfId="0" applyNumberFormat="1" applyFont="1" applyFill="1" applyBorder="1" applyAlignment="1">
      <alignment horizontal="center" vertical="center" wrapText="1"/>
    </xf>
    <xf numFmtId="169" fontId="70" fillId="6" borderId="79" xfId="0" applyNumberFormat="1" applyFont="1" applyFill="1" applyBorder="1" applyAlignment="1">
      <alignment horizontal="center" vertical="center" wrapText="1"/>
    </xf>
    <xf numFmtId="169" fontId="60" fillId="6" borderId="36" xfId="0" applyNumberFormat="1" applyFont="1" applyFill="1" applyBorder="1" applyAlignment="1">
      <alignment horizontal="center" vertical="center" wrapText="1"/>
    </xf>
    <xf numFmtId="41" fontId="60" fillId="0" borderId="35" xfId="0" applyNumberFormat="1" applyFont="1" applyFill="1" applyBorder="1" applyAlignment="1">
      <alignment horizontal="center" vertical="center" wrapText="1"/>
    </xf>
    <xf numFmtId="0" fontId="17" fillId="0" borderId="76" xfId="0" applyFont="1" applyFill="1" applyBorder="1" applyAlignment="1">
      <alignment horizontal="left" vertical="center" wrapText="1" indent="1"/>
    </xf>
    <xf numFmtId="0" fontId="16" fillId="6" borderId="76" xfId="0" applyFont="1" applyFill="1" applyBorder="1" applyAlignment="1">
      <alignment horizontal="left" vertical="center" wrapText="1" indent="1"/>
    </xf>
    <xf numFmtId="0" fontId="17" fillId="6" borderId="76" xfId="0" applyFont="1" applyFill="1" applyBorder="1" applyAlignment="1">
      <alignment horizontal="left" vertical="center" wrapText="1" indent="1"/>
    </xf>
    <xf numFmtId="0" fontId="0" fillId="8" borderId="15" xfId="0" applyFill="1" applyBorder="1" applyAlignment="1">
      <alignment horizontal="center" vertical="center" wrapText="1"/>
    </xf>
    <xf numFmtId="169" fontId="70" fillId="6" borderId="175" xfId="0" applyNumberFormat="1" applyFont="1" applyFill="1" applyBorder="1" applyAlignment="1">
      <alignment horizontal="center" vertical="center" wrapText="1"/>
    </xf>
    <xf numFmtId="169" fontId="70" fillId="0" borderId="175" xfId="0" applyNumberFormat="1" applyFont="1" applyFill="1" applyBorder="1" applyAlignment="1">
      <alignment horizontal="center" vertical="center" wrapText="1"/>
    </xf>
    <xf numFmtId="0" fontId="14" fillId="8" borderId="12" xfId="0" applyFont="1" applyFill="1" applyBorder="1" applyAlignment="1">
      <alignment horizontal="center" vertical="center" wrapText="1"/>
    </xf>
    <xf numFmtId="0" fontId="11" fillId="8" borderId="119" xfId="0" applyFont="1" applyFill="1" applyBorder="1" applyAlignment="1">
      <alignment horizontal="center" vertical="center" wrapText="1"/>
    </xf>
    <xf numFmtId="0" fontId="14" fillId="8" borderId="167" xfId="0" applyFont="1" applyFill="1" applyBorder="1" applyAlignment="1">
      <alignment horizontal="center" vertical="center" wrapText="1"/>
    </xf>
    <xf numFmtId="0" fontId="34" fillId="0" borderId="167" xfId="60" applyFont="1" applyBorder="1" applyAlignment="1">
      <alignment horizontal="left"/>
    </xf>
    <xf numFmtId="0" fontId="269" fillId="0" borderId="167" xfId="284" applyFont="1" applyBorder="1" applyAlignment="1" applyProtection="1">
      <alignment vertical="center"/>
    </xf>
    <xf numFmtId="169" fontId="70" fillId="6" borderId="79" xfId="0" applyNumberFormat="1" applyFont="1" applyFill="1" applyBorder="1" applyAlignment="1">
      <alignment horizontal="center" vertical="center" wrapText="1"/>
    </xf>
    <xf numFmtId="41" fontId="60" fillId="6" borderId="76" xfId="69" applyNumberFormat="1" applyFont="1" applyFill="1" applyBorder="1" applyAlignment="1">
      <alignment horizontal="center" vertical="center" wrapText="1"/>
    </xf>
    <xf numFmtId="41" fontId="60" fillId="0" borderId="76" xfId="69" applyNumberFormat="1" applyFont="1" applyFill="1" applyBorder="1" applyAlignment="1">
      <alignment horizontal="center" vertical="center" wrapText="1"/>
    </xf>
    <xf numFmtId="41" fontId="60" fillId="0" borderId="64" xfId="69" applyNumberFormat="1" applyFont="1" applyFill="1" applyBorder="1" applyAlignment="1">
      <alignment horizontal="center" vertical="center" wrapText="1"/>
    </xf>
    <xf numFmtId="41" fontId="60" fillId="6" borderId="64" xfId="69" applyNumberFormat="1" applyFont="1" applyFill="1" applyBorder="1" applyAlignment="1">
      <alignment horizontal="center" vertical="center" wrapText="1"/>
    </xf>
    <xf numFmtId="0" fontId="7" fillId="0" borderId="167" xfId="60" applyFont="1" applyFill="1" applyBorder="1" applyAlignment="1">
      <alignment horizontal="left"/>
    </xf>
    <xf numFmtId="0" fontId="269" fillId="0" borderId="167" xfId="284" applyFont="1" applyBorder="1" applyAlignment="1" applyProtection="1">
      <alignment horizontal="left" vertical="center"/>
    </xf>
    <xf numFmtId="173" fontId="42" fillId="0" borderId="0" xfId="46" applyNumberFormat="1"/>
    <xf numFmtId="0" fontId="16" fillId="6" borderId="167" xfId="0" applyFont="1" applyFill="1" applyBorder="1" applyAlignment="1">
      <alignment horizontal="left" vertical="center" wrapText="1" indent="1"/>
    </xf>
    <xf numFmtId="173" fontId="15" fillId="6" borderId="165" xfId="81" applyNumberFormat="1" applyFont="1" applyFill="1" applyBorder="1" applyAlignment="1">
      <alignment vertical="center"/>
    </xf>
    <xf numFmtId="0" fontId="12" fillId="0" borderId="0" xfId="6" applyFont="1" applyFill="1" applyBorder="1" applyAlignment="1">
      <alignment horizontal="left" vertical="center"/>
    </xf>
    <xf numFmtId="41" fontId="67" fillId="0" borderId="26" xfId="0" applyNumberFormat="1" applyFont="1" applyFill="1" applyBorder="1" applyAlignment="1">
      <alignment horizontal="center" vertical="center" wrapText="1"/>
    </xf>
    <xf numFmtId="41" fontId="60" fillId="0" borderId="167" xfId="0" applyNumberFormat="1" applyFont="1" applyFill="1" applyBorder="1" applyAlignment="1">
      <alignment horizontal="center" vertical="center" wrapText="1"/>
    </xf>
    <xf numFmtId="0" fontId="0" fillId="0" borderId="212" xfId="0" applyBorder="1" applyAlignment="1">
      <alignment horizontal="center"/>
    </xf>
    <xf numFmtId="0" fontId="0" fillId="0" borderId="205" xfId="0" applyBorder="1" applyAlignment="1">
      <alignment horizontal="center"/>
    </xf>
    <xf numFmtId="0" fontId="0" fillId="0" borderId="205" xfId="0" applyFont="1" applyBorder="1"/>
    <xf numFmtId="0" fontId="7" fillId="0" borderId="0" xfId="0" applyFont="1" applyBorder="1"/>
    <xf numFmtId="41" fontId="245" fillId="0" borderId="0" xfId="0" applyNumberFormat="1" applyFont="1" applyFill="1" applyBorder="1" applyAlignment="1">
      <alignment horizontal="center" vertical="center" wrapText="1"/>
    </xf>
    <xf numFmtId="0" fontId="14" fillId="0" borderId="14" xfId="72" applyFont="1" applyFill="1" applyBorder="1" applyAlignment="1" applyProtection="1">
      <alignment vertical="center" wrapText="1"/>
      <protection hidden="1"/>
    </xf>
    <xf numFmtId="0" fontId="18" fillId="0" borderId="167" xfId="72" applyFont="1" applyFill="1" applyBorder="1" applyAlignment="1" applyProtection="1">
      <alignment vertical="center" wrapText="1"/>
      <protection hidden="1"/>
    </xf>
    <xf numFmtId="9" fontId="0" fillId="0" borderId="191" xfId="0" applyNumberFormat="1" applyBorder="1"/>
    <xf numFmtId="0" fontId="14" fillId="0" borderId="20" xfId="72" applyFont="1" applyFill="1" applyBorder="1" applyAlignment="1" applyProtection="1">
      <alignment vertical="center" wrapText="1"/>
      <protection hidden="1"/>
    </xf>
    <xf numFmtId="0" fontId="14" fillId="0" borderId="0" xfId="72" applyFont="1" applyFill="1" applyBorder="1" applyAlignment="1" applyProtection="1">
      <alignment vertical="center" wrapText="1"/>
      <protection hidden="1"/>
    </xf>
    <xf numFmtId="3" fontId="23" fillId="0" borderId="2" xfId="46" applyNumberFormat="1" applyFont="1" applyBorder="1" applyAlignment="1">
      <alignment horizontal="left" vertical="center" wrapText="1" indent="1"/>
    </xf>
    <xf numFmtId="3" fontId="16" fillId="0" borderId="167" xfId="69" applyNumberFormat="1" applyFont="1" applyFill="1" applyBorder="1" applyAlignment="1" applyProtection="1">
      <alignment vertical="center" wrapText="1"/>
      <protection hidden="1"/>
    </xf>
    <xf numFmtId="43" fontId="15" fillId="0" borderId="167" xfId="7" applyFont="1" applyFill="1" applyBorder="1" applyAlignment="1" applyProtection="1">
      <alignment horizontal="center" vertical="center" wrapText="1"/>
      <protection hidden="1"/>
    </xf>
    <xf numFmtId="0" fontId="48" fillId="3" borderId="0" xfId="46" applyFont="1" applyFill="1" applyAlignment="1">
      <alignment horizontal="left" wrapText="1"/>
    </xf>
    <xf numFmtId="0" fontId="54" fillId="3" borderId="0" xfId="1" applyFont="1" applyFill="1" applyAlignment="1" applyProtection="1">
      <protection hidden="1"/>
    </xf>
    <xf numFmtId="0" fontId="1" fillId="3" borderId="0" xfId="71" applyFill="1"/>
    <xf numFmtId="0" fontId="5" fillId="3" borderId="0" xfId="71" applyFont="1" applyFill="1" applyAlignment="1" applyProtection="1">
      <alignment vertical="center"/>
      <protection hidden="1"/>
    </xf>
    <xf numFmtId="0" fontId="5" fillId="3" borderId="0" xfId="71" applyFont="1" applyFill="1" applyAlignment="1" applyProtection="1">
      <alignment vertical="center" wrapText="1"/>
      <protection hidden="1"/>
    </xf>
    <xf numFmtId="0" fontId="1" fillId="3" borderId="0" xfId="71" applyFont="1" applyFill="1"/>
    <xf numFmtId="3" fontId="15" fillId="3" borderId="0" xfId="71" applyNumberFormat="1" applyFont="1" applyFill="1" applyBorder="1" applyAlignment="1">
      <alignment horizontal="center" vertical="center"/>
    </xf>
    <xf numFmtId="0" fontId="7" fillId="3" borderId="0" xfId="71" applyFont="1" applyFill="1"/>
    <xf numFmtId="41" fontId="67" fillId="6" borderId="6" xfId="71" applyNumberFormat="1" applyFont="1" applyFill="1" applyBorder="1" applyAlignment="1">
      <alignment horizontal="center" vertical="center"/>
    </xf>
    <xf numFmtId="41" fontId="67" fillId="0" borderId="6" xfId="71" applyNumberFormat="1" applyFont="1" applyFill="1" applyBorder="1" applyAlignment="1">
      <alignment horizontal="center" vertical="center"/>
    </xf>
    <xf numFmtId="169" fontId="60" fillId="6" borderId="36" xfId="0" applyNumberFormat="1" applyFont="1" applyFill="1" applyBorder="1" applyAlignment="1">
      <alignment horizontal="center" vertical="center" wrapText="1"/>
    </xf>
    <xf numFmtId="0" fontId="14" fillId="0" borderId="169" xfId="13" applyFont="1" applyFill="1" applyBorder="1" applyAlignment="1">
      <alignment horizontal="left" vertical="center"/>
    </xf>
    <xf numFmtId="9" fontId="0" fillId="0" borderId="0" xfId="0" applyNumberFormat="1" applyBorder="1"/>
    <xf numFmtId="0" fontId="14" fillId="0" borderId="16" xfId="13" applyFont="1" applyFill="1" applyBorder="1" applyAlignment="1">
      <alignment horizontal="left" vertical="center"/>
    </xf>
    <xf numFmtId="9" fontId="44" fillId="0" borderId="2" xfId="46" applyNumberFormat="1" applyFont="1" applyFill="1" applyBorder="1"/>
    <xf numFmtId="0" fontId="68" fillId="0" borderId="2" xfId="13" applyFont="1" applyFill="1" applyBorder="1" applyAlignment="1">
      <alignment horizontal="left" vertical="center"/>
    </xf>
    <xf numFmtId="0" fontId="68" fillId="0" borderId="14" xfId="13" applyFont="1" applyFill="1" applyBorder="1" applyAlignment="1">
      <alignment horizontal="left" vertical="center"/>
    </xf>
    <xf numFmtId="9" fontId="0" fillId="0" borderId="167" xfId="0" applyNumberFormat="1" applyBorder="1"/>
    <xf numFmtId="0" fontId="16" fillId="0" borderId="19" xfId="0" applyFont="1" applyFill="1" applyBorder="1" applyAlignment="1">
      <alignment horizontal="left" vertical="center" wrapText="1" indent="1"/>
    </xf>
    <xf numFmtId="41" fontId="60" fillId="0" borderId="37" xfId="0" applyNumberFormat="1" applyFont="1" applyFill="1" applyBorder="1" applyAlignment="1">
      <alignment horizontal="center" vertical="center" wrapText="1"/>
    </xf>
    <xf numFmtId="41" fontId="60" fillId="0" borderId="35" xfId="0" applyNumberFormat="1" applyFont="1" applyFill="1" applyBorder="1" applyAlignment="1">
      <alignment horizontal="center" vertical="center" wrapText="1"/>
    </xf>
    <xf numFmtId="0" fontId="34" fillId="0" borderId="0" xfId="0" applyFont="1" applyBorder="1" applyAlignment="1">
      <alignment horizontal="center"/>
    </xf>
    <xf numFmtId="0" fontId="34" fillId="0" borderId="0" xfId="0" applyFont="1" applyBorder="1" applyAlignment="1">
      <alignment horizontal="right" wrapText="1"/>
    </xf>
    <xf numFmtId="0" fontId="187" fillId="0" borderId="74" xfId="0" applyFont="1" applyBorder="1"/>
    <xf numFmtId="0" fontId="67" fillId="0" borderId="75" xfId="0" applyFont="1" applyBorder="1"/>
    <xf numFmtId="0" fontId="1" fillId="0" borderId="0" xfId="0" applyFont="1" applyFill="1"/>
    <xf numFmtId="0" fontId="20" fillId="0" borderId="0" xfId="46" applyFont="1" applyBorder="1" applyAlignment="1">
      <alignment vertical="top"/>
    </xf>
    <xf numFmtId="0" fontId="64" fillId="0" borderId="167" xfId="60" applyBorder="1" applyAlignment="1">
      <alignment horizontal="left"/>
    </xf>
    <xf numFmtId="9" fontId="38" fillId="6" borderId="15" xfId="68" applyFont="1" applyFill="1" applyBorder="1" applyAlignment="1">
      <alignment horizontal="center" vertical="center"/>
    </xf>
    <xf numFmtId="41" fontId="245" fillId="0" borderId="0" xfId="0" applyNumberFormat="1" applyFont="1" applyFill="1" applyBorder="1" applyAlignment="1">
      <alignment horizontal="center" vertical="center"/>
    </xf>
    <xf numFmtId="0" fontId="14" fillId="6" borderId="167" xfId="80" applyFont="1" applyFill="1" applyBorder="1" applyAlignment="1">
      <alignment horizontal="left" indent="1"/>
    </xf>
    <xf numFmtId="0" fontId="15" fillId="6" borderId="167" xfId="80" applyFont="1" applyFill="1" applyBorder="1" applyAlignment="1">
      <alignment horizontal="left" vertical="center"/>
    </xf>
    <xf numFmtId="0" fontId="60" fillId="6" borderId="167" xfId="80" applyFont="1" applyFill="1" applyBorder="1" applyAlignment="1">
      <alignment horizontal="left" vertical="center" indent="1"/>
    </xf>
    <xf numFmtId="0" fontId="15" fillId="6" borderId="167" xfId="80" applyFont="1" applyFill="1" applyBorder="1" applyAlignment="1">
      <alignment horizontal="left" vertical="center" indent="2"/>
    </xf>
    <xf numFmtId="167" fontId="15" fillId="6" borderId="167" xfId="118" applyFont="1" applyFill="1" applyBorder="1" applyAlignment="1">
      <alignment horizontal="center" vertical="center"/>
    </xf>
    <xf numFmtId="0" fontId="15" fillId="6" borderId="167" xfId="80" applyFont="1" applyFill="1" applyBorder="1" applyAlignment="1">
      <alignment horizontal="left" vertical="center" indent="1"/>
    </xf>
    <xf numFmtId="0" fontId="18" fillId="6" borderId="167" xfId="80" applyFont="1" applyFill="1" applyBorder="1" applyAlignment="1">
      <alignment horizontal="left" indent="1"/>
    </xf>
    <xf numFmtId="0" fontId="15" fillId="6" borderId="167" xfId="80" applyFont="1" applyFill="1" applyBorder="1" applyAlignment="1">
      <alignment horizontal="center" vertical="center"/>
    </xf>
    <xf numFmtId="0" fontId="147" fillId="0" borderId="167" xfId="60" applyFont="1" applyBorder="1" applyAlignment="1">
      <alignment horizontal="left" vertical="center" wrapText="1"/>
    </xf>
    <xf numFmtId="0" fontId="34" fillId="0" borderId="167" xfId="0" applyFont="1" applyBorder="1" applyAlignment="1">
      <alignment horizontal="center"/>
    </xf>
    <xf numFmtId="9" fontId="44" fillId="0" borderId="167" xfId="46" applyNumberFormat="1" applyFont="1" applyFill="1" applyBorder="1"/>
    <xf numFmtId="9" fontId="11" fillId="0" borderId="167" xfId="13" applyNumberFormat="1" applyFont="1" applyFill="1" applyBorder="1" applyAlignment="1">
      <alignment vertical="center"/>
    </xf>
    <xf numFmtId="183" fontId="11" fillId="0" borderId="167" xfId="13" applyNumberFormat="1" applyFont="1" applyFill="1" applyBorder="1" applyAlignment="1">
      <alignment vertical="center"/>
    </xf>
    <xf numFmtId="43" fontId="15" fillId="0" borderId="166" xfId="7" applyFont="1" applyFill="1" applyBorder="1" applyAlignment="1" applyProtection="1">
      <alignment vertical="center"/>
      <protection hidden="1"/>
    </xf>
    <xf numFmtId="3" fontId="15" fillId="0" borderId="166" xfId="69" applyNumberFormat="1" applyFont="1" applyFill="1" applyBorder="1" applyAlignment="1" applyProtection="1">
      <alignment vertical="center"/>
      <protection hidden="1"/>
    </xf>
    <xf numFmtId="3" fontId="15" fillId="0" borderId="215" xfId="69" applyNumberFormat="1" applyFont="1" applyFill="1" applyBorder="1" applyAlignment="1" applyProtection="1">
      <alignment vertical="center" wrapText="1"/>
      <protection hidden="1"/>
    </xf>
    <xf numFmtId="3" fontId="16" fillId="0" borderId="215" xfId="69" applyNumberFormat="1" applyFont="1" applyFill="1" applyBorder="1" applyAlignment="1" applyProtection="1">
      <alignment vertical="center"/>
      <protection hidden="1"/>
    </xf>
    <xf numFmtId="43" fontId="15" fillId="0" borderId="215" xfId="7" applyFont="1" applyFill="1" applyBorder="1" applyAlignment="1" applyProtection="1">
      <alignment vertical="center"/>
      <protection hidden="1"/>
    </xf>
    <xf numFmtId="3" fontId="15" fillId="0" borderId="215" xfId="69" applyNumberFormat="1" applyFont="1" applyFill="1" applyBorder="1" applyAlignment="1" applyProtection="1">
      <alignment vertical="center"/>
      <protection hidden="1"/>
    </xf>
    <xf numFmtId="3" fontId="15" fillId="0" borderId="215" xfId="46" applyNumberFormat="1" applyFont="1" applyBorder="1"/>
    <xf numFmtId="0" fontId="164" fillId="0" borderId="16" xfId="69" applyFont="1" applyFill="1" applyBorder="1" applyAlignment="1" applyProtection="1">
      <alignment horizontal="center" wrapText="1"/>
      <protection hidden="1"/>
    </xf>
    <xf numFmtId="0" fontId="64" fillId="0" borderId="166" xfId="60" applyBorder="1" applyAlignment="1">
      <alignment wrapText="1"/>
    </xf>
    <xf numFmtId="0" fontId="64" fillId="0" borderId="165" xfId="60" applyBorder="1" applyAlignment="1">
      <alignment vertical="center" wrapText="1"/>
    </xf>
    <xf numFmtId="0" fontId="147" fillId="0" borderId="167" xfId="60" applyFont="1" applyBorder="1" applyAlignment="1">
      <alignment vertical="center"/>
    </xf>
    <xf numFmtId="0" fontId="130" fillId="0" borderId="167" xfId="284" applyBorder="1" applyAlignment="1" applyProtection="1"/>
    <xf numFmtId="0" fontId="30" fillId="0" borderId="0" xfId="46" applyFont="1" applyAlignment="1">
      <alignment wrapText="1"/>
    </xf>
    <xf numFmtId="0" fontId="18" fillId="0" borderId="0" xfId="46" applyFont="1"/>
    <xf numFmtId="41" fontId="0" fillId="0" borderId="0" xfId="0" applyNumberFormat="1" applyFont="1" applyBorder="1"/>
    <xf numFmtId="0" fontId="17" fillId="0" borderId="12" xfId="6" applyFont="1" applyFill="1" applyBorder="1" applyAlignment="1">
      <alignment horizontal="left" vertical="center" wrapText="1"/>
    </xf>
    <xf numFmtId="0" fontId="16" fillId="0" borderId="167" xfId="46" applyFont="1" applyFill="1" applyBorder="1" applyAlignment="1">
      <alignment horizontal="left" vertical="center" wrapText="1" indent="1"/>
    </xf>
    <xf numFmtId="0" fontId="15" fillId="0" borderId="18" xfId="46" applyFont="1" applyBorder="1" applyAlignment="1">
      <alignment horizontal="center" vertical="center" wrapText="1"/>
    </xf>
    <xf numFmtId="3" fontId="18" fillId="57" borderId="64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64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17" xfId="69" applyNumberFormat="1" applyFont="1" applyFill="1" applyBorder="1" applyAlignment="1" applyProtection="1">
      <alignment horizontal="center" vertical="top" wrapText="1"/>
      <protection hidden="1"/>
    </xf>
    <xf numFmtId="0" fontId="0" fillId="0" borderId="0" xfId="0" applyFont="1"/>
    <xf numFmtId="14" fontId="274" fillId="0" borderId="0" xfId="0" applyNumberFormat="1" applyFont="1"/>
    <xf numFmtId="0" fontId="274" fillId="0" borderId="0" xfId="0" applyFont="1" applyBorder="1" applyAlignment="1"/>
    <xf numFmtId="0" fontId="274" fillId="0" borderId="0" xfId="0" applyFont="1" applyAlignment="1"/>
    <xf numFmtId="41" fontId="274" fillId="0" borderId="0" xfId="0" applyNumberFormat="1" applyFont="1"/>
    <xf numFmtId="3" fontId="275" fillId="0" borderId="77" xfId="46" applyNumberFormat="1" applyFont="1" applyFill="1" applyBorder="1" applyAlignment="1">
      <alignment horizontal="center" vertical="center"/>
    </xf>
    <xf numFmtId="3" fontId="274" fillId="0" borderId="0" xfId="0" applyNumberFormat="1" applyFont="1" applyBorder="1" applyAlignment="1"/>
    <xf numFmtId="9" fontId="274" fillId="0" borderId="0" xfId="112" applyFont="1"/>
    <xf numFmtId="4" fontId="275" fillId="0" borderId="0" xfId="46" applyNumberFormat="1" applyFont="1" applyFill="1" applyBorder="1" applyAlignment="1">
      <alignment horizontal="center" vertical="center"/>
    </xf>
    <xf numFmtId="0" fontId="274" fillId="0" borderId="0" xfId="0" applyFont="1"/>
    <xf numFmtId="0" fontId="276" fillId="0" borderId="18" xfId="46" applyFont="1" applyBorder="1" applyAlignment="1">
      <alignment horizontal="center" vertical="center" wrapText="1"/>
    </xf>
    <xf numFmtId="0" fontId="276" fillId="0" borderId="76" xfId="46" applyFont="1" applyBorder="1" applyAlignment="1">
      <alignment horizontal="center" vertical="center" wrapText="1"/>
    </xf>
    <xf numFmtId="0" fontId="276" fillId="0" borderId="19" xfId="46" applyFont="1" applyBorder="1" applyAlignment="1">
      <alignment horizontal="center" vertical="center" wrapText="1"/>
    </xf>
    <xf numFmtId="0" fontId="276" fillId="0" borderId="1" xfId="46" applyFont="1" applyBorder="1" applyAlignment="1">
      <alignment horizontal="center" vertical="center" wrapText="1"/>
    </xf>
    <xf numFmtId="0" fontId="279" fillId="6" borderId="12" xfId="46" applyFont="1" applyFill="1" applyBorder="1" applyAlignment="1">
      <alignment horizontal="left" wrapText="1" indent="1"/>
    </xf>
    <xf numFmtId="3" fontId="275" fillId="6" borderId="77" xfId="46" applyNumberFormat="1" applyFont="1" applyFill="1" applyBorder="1" applyAlignment="1">
      <alignment horizontal="center" vertical="center"/>
    </xf>
    <xf numFmtId="3" fontId="275" fillId="6" borderId="76" xfId="46" applyNumberFormat="1" applyFont="1" applyFill="1" applyBorder="1" applyAlignment="1">
      <alignment horizontal="center" vertical="center"/>
    </xf>
    <xf numFmtId="0" fontId="279" fillId="0" borderId="12" xfId="46" applyFont="1" applyFill="1" applyBorder="1" applyAlignment="1">
      <alignment horizontal="left" wrapText="1" indent="1"/>
    </xf>
    <xf numFmtId="3" fontId="275" fillId="0" borderId="76" xfId="46" applyNumberFormat="1" applyFont="1" applyFill="1" applyBorder="1" applyAlignment="1">
      <alignment horizontal="center" vertical="center"/>
    </xf>
    <xf numFmtId="0" fontId="277" fillId="6" borderId="12" xfId="46" applyFont="1" applyFill="1" applyBorder="1" applyAlignment="1">
      <alignment horizontal="center" vertical="center" textRotation="90"/>
    </xf>
    <xf numFmtId="0" fontId="279" fillId="6" borderId="12" xfId="46" applyFont="1" applyFill="1" applyBorder="1" applyAlignment="1">
      <alignment horizontal="left" vertical="center" wrapText="1" indent="1"/>
    </xf>
    <xf numFmtId="0" fontId="279" fillId="0" borderId="12" xfId="6" applyFont="1" applyFill="1" applyBorder="1" applyAlignment="1">
      <alignment horizontal="left" vertical="center" wrapText="1"/>
    </xf>
    <xf numFmtId="0" fontId="280" fillId="6" borderId="12" xfId="46" applyFont="1" applyFill="1" applyBorder="1" applyAlignment="1">
      <alignment horizontal="left" vertical="center" wrapText="1" indent="1"/>
    </xf>
    <xf numFmtId="0" fontId="280" fillId="0" borderId="167" xfId="46" applyFont="1" applyFill="1" applyBorder="1" applyAlignment="1">
      <alignment horizontal="left" vertical="center" wrapText="1" indent="1"/>
    </xf>
    <xf numFmtId="0" fontId="277" fillId="0" borderId="76" xfId="46" applyFont="1" applyFill="1" applyBorder="1" applyAlignment="1">
      <alignment horizontal="center" vertical="center"/>
    </xf>
    <xf numFmtId="0" fontId="278" fillId="0" borderId="76" xfId="46" applyFont="1" applyBorder="1" applyAlignment="1">
      <alignment horizontal="center" vertical="center" wrapText="1"/>
    </xf>
    <xf numFmtId="0" fontId="280" fillId="0" borderId="76" xfId="46" applyFont="1" applyBorder="1" applyAlignment="1">
      <alignment horizontal="center" vertical="center" wrapText="1"/>
    </xf>
    <xf numFmtId="0" fontId="276" fillId="0" borderId="167" xfId="46" applyFont="1" applyBorder="1" applyAlignment="1">
      <alignment horizontal="center" vertical="center" wrapText="1"/>
    </xf>
    <xf numFmtId="0" fontId="279" fillId="0" borderId="76" xfId="46" applyFont="1" applyBorder="1" applyAlignment="1">
      <alignment horizontal="center" vertical="center" wrapText="1"/>
    </xf>
    <xf numFmtId="0" fontId="282" fillId="0" borderId="167" xfId="46" applyFont="1" applyBorder="1"/>
    <xf numFmtId="0" fontId="282" fillId="0" borderId="167" xfId="46" applyFont="1" applyBorder="1" applyAlignment="1">
      <alignment wrapText="1"/>
    </xf>
    <xf numFmtId="0" fontId="274" fillId="0" borderId="0" xfId="0" applyFont="1" applyFill="1" applyAlignment="1"/>
    <xf numFmtId="173" fontId="1" fillId="0" borderId="0" xfId="7" applyNumberFormat="1" applyFont="1" applyFill="1" applyBorder="1" applyAlignment="1">
      <alignment horizontal="left"/>
    </xf>
    <xf numFmtId="173" fontId="16" fillId="0" borderId="0" xfId="7" applyNumberFormat="1" applyFont="1" applyFill="1" applyBorder="1" applyAlignment="1">
      <alignment horizontal="left" vertical="center" wrapText="1" indent="1"/>
    </xf>
    <xf numFmtId="0" fontId="277" fillId="0" borderId="2" xfId="46" applyFont="1" applyBorder="1" applyAlignment="1">
      <alignment horizontal="left" vertical="center" indent="1"/>
    </xf>
    <xf numFmtId="0" fontId="274" fillId="0" borderId="0" xfId="0" applyFont="1" applyFill="1"/>
    <xf numFmtId="43" fontId="16" fillId="0" borderId="0" xfId="7" applyFont="1" applyFill="1" applyBorder="1" applyAlignment="1">
      <alignment horizontal="center" vertical="center" wrapText="1"/>
    </xf>
    <xf numFmtId="9" fontId="12" fillId="0" borderId="0" xfId="0" applyNumberFormat="1" applyFont="1" applyFill="1" applyBorder="1" applyAlignment="1"/>
    <xf numFmtId="41" fontId="21" fillId="0" borderId="0" xfId="0" applyNumberFormat="1" applyFont="1" applyFill="1" applyBorder="1" applyAlignment="1">
      <alignment vertical="top"/>
    </xf>
    <xf numFmtId="41" fontId="0" fillId="0" borderId="0" xfId="0" applyNumberFormat="1" applyFont="1" applyFill="1" applyBorder="1" applyAlignment="1">
      <alignment vertical="top"/>
    </xf>
    <xf numFmtId="9" fontId="23" fillId="0" borderId="64" xfId="14" applyFont="1" applyFill="1" applyBorder="1" applyAlignment="1">
      <alignment vertical="top"/>
    </xf>
    <xf numFmtId="0" fontId="0" fillId="0" borderId="167" xfId="0" applyFont="1" applyBorder="1" applyAlignment="1">
      <alignment horizontal="center"/>
    </xf>
    <xf numFmtId="0" fontId="231" fillId="12" borderId="167" xfId="0" applyFont="1" applyFill="1" applyBorder="1" applyAlignment="1">
      <alignment horizontal="left" vertical="center" wrapText="1" readingOrder="1"/>
    </xf>
    <xf numFmtId="0" fontId="231" fillId="93" borderId="167" xfId="0" applyFont="1" applyFill="1" applyBorder="1" applyAlignment="1">
      <alignment horizontal="left" vertical="center" wrapText="1" readingOrder="1"/>
    </xf>
    <xf numFmtId="0" fontId="231" fillId="91" borderId="167" xfId="0" applyFont="1" applyFill="1" applyBorder="1" applyAlignment="1">
      <alignment horizontal="left" vertical="center" wrapText="1" readingOrder="1"/>
    </xf>
    <xf numFmtId="3" fontId="0" fillId="0" borderId="167" xfId="0" applyNumberFormat="1" applyFill="1" applyBorder="1"/>
    <xf numFmtId="3" fontId="0" fillId="0" borderId="167" xfId="0" applyNumberFormat="1" applyBorder="1"/>
    <xf numFmtId="0" fontId="7" fillId="0" borderId="167" xfId="0" applyFont="1" applyFill="1" applyBorder="1"/>
    <xf numFmtId="41" fontId="283" fillId="0" borderId="64" xfId="0" applyNumberFormat="1" applyFont="1" applyFill="1" applyBorder="1" applyAlignment="1">
      <alignment vertical="top"/>
    </xf>
    <xf numFmtId="41" fontId="23" fillId="0" borderId="165" xfId="0" applyNumberFormat="1" applyFont="1" applyFill="1" applyBorder="1" applyAlignment="1">
      <alignment vertical="top"/>
    </xf>
    <xf numFmtId="0" fontId="274" fillId="0" borderId="0" xfId="0" applyFont="1" applyFill="1" applyBorder="1"/>
    <xf numFmtId="0" fontId="274" fillId="0" borderId="167" xfId="0" applyFont="1" applyFill="1" applyBorder="1"/>
    <xf numFmtId="0" fontId="274" fillId="0" borderId="76" xfId="0" applyFont="1" applyFill="1" applyBorder="1"/>
    <xf numFmtId="9" fontId="274" fillId="0" borderId="76" xfId="14" applyFont="1" applyFill="1" applyBorder="1"/>
    <xf numFmtId="0" fontId="280" fillId="6" borderId="64" xfId="0" applyFont="1" applyFill="1" applyBorder="1" applyAlignment="1">
      <alignment horizontal="center" vertical="center" wrapText="1"/>
    </xf>
    <xf numFmtId="0" fontId="274" fillId="6" borderId="64" xfId="0" applyFont="1" applyFill="1" applyBorder="1"/>
    <xf numFmtId="0" fontId="274" fillId="0" borderId="64" xfId="0" applyFont="1" applyFill="1" applyBorder="1"/>
    <xf numFmtId="41" fontId="274" fillId="6" borderId="64" xfId="0" applyNumberFormat="1" applyFont="1" applyFill="1" applyBorder="1"/>
    <xf numFmtId="41" fontId="274" fillId="0" borderId="64" xfId="0" applyNumberFormat="1" applyFont="1" applyFill="1" applyBorder="1"/>
    <xf numFmtId="2" fontId="274" fillId="0" borderId="0" xfId="0" applyNumberFormat="1" applyFont="1" applyFill="1" applyBorder="1" applyAlignment="1">
      <alignment horizontal="center"/>
    </xf>
    <xf numFmtId="0" fontId="12" fillId="2" borderId="165" xfId="0" applyFont="1" applyFill="1" applyBorder="1" applyAlignment="1">
      <alignment horizontal="center" vertical="center" wrapText="1"/>
    </xf>
    <xf numFmtId="41" fontId="60" fillId="6" borderId="165" xfId="0" applyNumberFormat="1" applyFont="1" applyFill="1" applyBorder="1" applyAlignment="1">
      <alignment horizontal="center" vertical="center"/>
    </xf>
    <xf numFmtId="41" fontId="60" fillId="0" borderId="165" xfId="0" applyNumberFormat="1" applyFont="1" applyFill="1" applyBorder="1" applyAlignment="1">
      <alignment horizontal="center" vertical="center"/>
    </xf>
    <xf numFmtId="0" fontId="280" fillId="6" borderId="166" xfId="0" applyFont="1" applyFill="1" applyBorder="1" applyAlignment="1">
      <alignment horizontal="center" vertical="center" wrapText="1"/>
    </xf>
    <xf numFmtId="0" fontId="274" fillId="6" borderId="166" xfId="0" applyFont="1" applyFill="1" applyBorder="1"/>
    <xf numFmtId="0" fontId="274" fillId="0" borderId="166" xfId="0" applyFont="1" applyFill="1" applyBorder="1"/>
    <xf numFmtId="41" fontId="274" fillId="6" borderId="166" xfId="0" applyNumberFormat="1" applyFont="1" applyFill="1" applyBorder="1"/>
    <xf numFmtId="41" fontId="274" fillId="0" borderId="166" xfId="0" applyNumberFormat="1" applyFont="1" applyFill="1" applyBorder="1"/>
    <xf numFmtId="0" fontId="280" fillId="2" borderId="0" xfId="0" applyFont="1" applyFill="1" applyBorder="1" applyAlignment="1">
      <alignment horizontal="center" vertical="center" wrapText="1"/>
    </xf>
    <xf numFmtId="0" fontId="280" fillId="6" borderId="0" xfId="0" applyFont="1" applyFill="1" applyBorder="1" applyAlignment="1">
      <alignment horizontal="center" vertical="center" wrapText="1"/>
    </xf>
    <xf numFmtId="41" fontId="275" fillId="6" borderId="0" xfId="0" applyNumberFormat="1" applyFont="1" applyFill="1" applyBorder="1" applyAlignment="1">
      <alignment horizontal="center" vertical="center"/>
    </xf>
    <xf numFmtId="0" fontId="274" fillId="6" borderId="0" xfId="0" applyFont="1" applyFill="1" applyBorder="1"/>
    <xf numFmtId="41" fontId="275" fillId="0" borderId="0" xfId="0" applyNumberFormat="1" applyFont="1" applyFill="1" applyBorder="1" applyAlignment="1">
      <alignment horizontal="center" vertical="center"/>
    </xf>
    <xf numFmtId="41" fontId="274" fillId="6" borderId="0" xfId="0" applyNumberFormat="1" applyFont="1" applyFill="1" applyBorder="1"/>
    <xf numFmtId="41" fontId="274" fillId="0" borderId="0" xfId="0" applyNumberFormat="1" applyFont="1" applyFill="1" applyBorder="1"/>
    <xf numFmtId="9" fontId="0" fillId="0" borderId="167" xfId="14" applyFont="1" applyBorder="1"/>
    <xf numFmtId="167" fontId="274" fillId="0" borderId="0" xfId="118" applyFont="1"/>
    <xf numFmtId="0" fontId="284" fillId="0" borderId="167" xfId="0" applyFont="1" applyBorder="1" applyAlignment="1">
      <alignment horizontal="center" vertical="center"/>
    </xf>
    <xf numFmtId="0" fontId="274" fillId="0" borderId="167" xfId="0" applyFont="1" applyBorder="1"/>
    <xf numFmtId="172" fontId="274" fillId="0" borderId="167" xfId="285" applyNumberFormat="1" applyFont="1" applyBorder="1"/>
    <xf numFmtId="3" fontId="277" fillId="0" borderId="2" xfId="46" applyNumberFormat="1" applyFont="1" applyBorder="1" applyAlignment="1">
      <alignment horizontal="left" vertical="center" indent="1"/>
    </xf>
    <xf numFmtId="3" fontId="277" fillId="0" borderId="2" xfId="46" applyNumberFormat="1" applyFont="1" applyBorder="1" applyAlignment="1">
      <alignment horizontal="left" vertical="center" wrapText="1" indent="1"/>
    </xf>
    <xf numFmtId="3" fontId="276" fillId="0" borderId="0" xfId="46" applyNumberFormat="1" applyFont="1"/>
    <xf numFmtId="43" fontId="39" fillId="84" borderId="12" xfId="7" applyFont="1" applyFill="1" applyBorder="1" applyAlignment="1" applyProtection="1">
      <alignment horizontal="center" vertical="center" wrapText="1"/>
      <protection hidden="1"/>
    </xf>
    <xf numFmtId="9" fontId="60" fillId="0" borderId="77" xfId="14" applyFont="1" applyFill="1" applyBorder="1" applyAlignment="1">
      <alignment horizontal="center" vertical="center"/>
    </xf>
    <xf numFmtId="9" fontId="67" fillId="0" borderId="77" xfId="14" applyFont="1" applyFill="1" applyBorder="1" applyAlignment="1">
      <alignment horizontal="center" vertical="center"/>
    </xf>
    <xf numFmtId="3" fontId="0" fillId="0" borderId="0" xfId="0" applyNumberFormat="1" applyFont="1"/>
    <xf numFmtId="9" fontId="42" fillId="0" borderId="0" xfId="14" applyFont="1" applyFill="1"/>
    <xf numFmtId="0" fontId="285" fillId="6" borderId="64" xfId="74" applyFont="1" applyFill="1" applyBorder="1" applyAlignment="1">
      <alignment vertical="center"/>
    </xf>
    <xf numFmtId="0" fontId="288" fillId="0" borderId="64" xfId="46" applyFont="1" applyBorder="1" applyAlignment="1">
      <alignment wrapText="1"/>
    </xf>
    <xf numFmtId="173" fontId="287" fillId="0" borderId="64" xfId="77" applyNumberFormat="1" applyFont="1" applyBorder="1" applyAlignment="1">
      <alignment vertical="center"/>
    </xf>
    <xf numFmtId="0" fontId="287" fillId="0" borderId="76" xfId="74" applyFont="1" applyBorder="1" applyAlignment="1">
      <alignment horizontal="center" vertical="center"/>
    </xf>
    <xf numFmtId="0" fontId="288" fillId="0" borderId="76" xfId="46" applyFont="1" applyBorder="1" applyAlignment="1">
      <alignment wrapText="1"/>
    </xf>
    <xf numFmtId="173" fontId="287" fillId="0" borderId="76" xfId="77" applyNumberFormat="1" applyFont="1" applyBorder="1" applyAlignment="1">
      <alignment vertical="center"/>
    </xf>
    <xf numFmtId="0" fontId="288" fillId="6" borderId="64" xfId="46" applyFont="1" applyFill="1" applyBorder="1" applyAlignment="1">
      <alignment wrapText="1"/>
    </xf>
    <xf numFmtId="173" fontId="287" fillId="6" borderId="64" xfId="77" applyNumberFormat="1" applyFont="1" applyFill="1" applyBorder="1" applyAlignment="1">
      <alignment vertical="center"/>
    </xf>
    <xf numFmtId="9" fontId="88" fillId="0" borderId="64" xfId="14" applyFont="1" applyBorder="1" applyAlignment="1">
      <alignment vertical="center"/>
    </xf>
    <xf numFmtId="168" fontId="280" fillId="0" borderId="77" xfId="0" applyNumberFormat="1" applyFont="1" applyFill="1" applyBorder="1" applyAlignment="1">
      <alignment vertical="center" wrapText="1"/>
    </xf>
    <xf numFmtId="9" fontId="15" fillId="0" borderId="166" xfId="14" applyFont="1" applyFill="1" applyBorder="1" applyAlignment="1" applyProtection="1">
      <alignment vertical="center"/>
      <protection hidden="1"/>
    </xf>
    <xf numFmtId="9" fontId="15" fillId="0" borderId="17" xfId="14" applyFont="1" applyFill="1" applyBorder="1" applyAlignment="1" applyProtection="1">
      <alignment vertical="center"/>
      <protection hidden="1"/>
    </xf>
    <xf numFmtId="9" fontId="15" fillId="0" borderId="0" xfId="14" applyFont="1" applyFill="1" applyBorder="1" applyAlignment="1" applyProtection="1">
      <alignment vertical="center"/>
      <protection hidden="1"/>
    </xf>
    <xf numFmtId="3" fontId="60" fillId="0" borderId="20" xfId="69" applyNumberFormat="1" applyFont="1" applyFill="1" applyBorder="1" applyAlignment="1">
      <alignment vertical="center" wrapText="1"/>
    </xf>
    <xf numFmtId="3" fontId="60" fillId="0" borderId="16" xfId="69" applyNumberFormat="1" applyFont="1" applyFill="1" applyBorder="1" applyAlignment="1">
      <alignment vertical="center" wrapText="1"/>
    </xf>
    <xf numFmtId="3" fontId="60" fillId="0" borderId="2" xfId="69" applyNumberFormat="1" applyFont="1" applyFill="1" applyBorder="1" applyAlignment="1">
      <alignment vertical="center" wrapText="1"/>
    </xf>
    <xf numFmtId="0" fontId="14" fillId="0" borderId="76" xfId="46" applyFont="1" applyFill="1" applyBorder="1" applyAlignment="1">
      <alignment horizontal="center" vertical="center" textRotation="90" wrapText="1"/>
    </xf>
    <xf numFmtId="0" fontId="28" fillId="0" borderId="119" xfId="69" applyFont="1" applyFill="1" applyBorder="1" applyAlignment="1" applyProtection="1">
      <alignment horizontal="center"/>
      <protection hidden="1"/>
    </xf>
    <xf numFmtId="0" fontId="0" fillId="0" borderId="0" xfId="0" applyFont="1"/>
    <xf numFmtId="0" fontId="16" fillId="0" borderId="0" xfId="0" applyFont="1" applyFill="1" applyBorder="1" applyAlignment="1">
      <alignment horizontal="center" vertical="center" wrapText="1"/>
    </xf>
    <xf numFmtId="0" fontId="7" fillId="8" borderId="135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left" vertical="center" wrapText="1" indent="1"/>
    </xf>
    <xf numFmtId="3" fontId="15" fillId="0" borderId="0" xfId="46" applyNumberFormat="1" applyFont="1" applyBorder="1" applyAlignment="1">
      <alignment horizontal="center" vertical="center"/>
    </xf>
    <xf numFmtId="3" fontId="15" fillId="0" borderId="0" xfId="46" applyNumberFormat="1" applyFont="1" applyBorder="1" applyAlignment="1">
      <alignment vertical="center"/>
    </xf>
    <xf numFmtId="0" fontId="231" fillId="91" borderId="0" xfId="0" applyFont="1" applyFill="1" applyBorder="1" applyAlignment="1">
      <alignment horizontal="left" vertical="center" wrapText="1" readingOrder="1"/>
    </xf>
    <xf numFmtId="0" fontId="231" fillId="95" borderId="128" xfId="0" applyFont="1" applyFill="1" applyBorder="1" applyAlignment="1">
      <alignment horizontal="left" vertical="center" wrapText="1" readingOrder="1"/>
    </xf>
    <xf numFmtId="0" fontId="289" fillId="91" borderId="128" xfId="0" applyFont="1" applyFill="1" applyBorder="1" applyAlignment="1">
      <alignment horizontal="left" vertical="center" wrapText="1" readingOrder="1"/>
    </xf>
    <xf numFmtId="0" fontId="231" fillId="0" borderId="128" xfId="0" applyFont="1" applyFill="1" applyBorder="1" applyAlignment="1">
      <alignment horizontal="left" vertical="center" wrapText="1" readingOrder="1"/>
    </xf>
    <xf numFmtId="0" fontId="230" fillId="91" borderId="128" xfId="0" applyFont="1" applyFill="1" applyBorder="1" applyAlignment="1">
      <alignment horizontal="left" vertical="center" wrapText="1" readingOrder="1"/>
    </xf>
    <xf numFmtId="0" fontId="230" fillId="91" borderId="0" xfId="0" applyFont="1" applyFill="1" applyBorder="1" applyAlignment="1">
      <alignment horizontal="left" vertical="center" wrapText="1" readingOrder="1"/>
    </xf>
    <xf numFmtId="0" fontId="230" fillId="95" borderId="128" xfId="0" applyFont="1" applyFill="1" applyBorder="1" applyAlignment="1">
      <alignment horizontal="left" vertical="center" wrapText="1" readingOrder="1"/>
    </xf>
    <xf numFmtId="0" fontId="290" fillId="91" borderId="128" xfId="0" applyFont="1" applyFill="1" applyBorder="1" applyAlignment="1">
      <alignment horizontal="left" vertical="center" wrapText="1" readingOrder="1"/>
    </xf>
    <xf numFmtId="0" fontId="18" fillId="0" borderId="167" xfId="69" applyFont="1" applyFill="1" applyBorder="1" applyAlignment="1" applyProtection="1">
      <alignment horizontal="center" vertical="center" wrapText="1"/>
      <protection hidden="1"/>
    </xf>
    <xf numFmtId="0" fontId="16" fillId="0" borderId="167" xfId="69" applyFont="1" applyFill="1" applyBorder="1" applyAlignment="1" applyProtection="1">
      <alignment horizontal="center" vertical="center" wrapText="1"/>
      <protection hidden="1"/>
    </xf>
    <xf numFmtId="0" fontId="28" fillId="0" borderId="16" xfId="69" applyFont="1" applyFill="1" applyBorder="1" applyAlignment="1" applyProtection="1">
      <alignment horizontal="center"/>
      <protection hidden="1"/>
    </xf>
    <xf numFmtId="0" fontId="28" fillId="0" borderId="167" xfId="69" applyFont="1" applyFill="1" applyBorder="1" applyAlignment="1" applyProtection="1">
      <alignment horizontal="center"/>
      <protection hidden="1"/>
    </xf>
    <xf numFmtId="3" fontId="15" fillId="94" borderId="0" xfId="46" applyNumberFormat="1" applyFont="1" applyFill="1"/>
    <xf numFmtId="3" fontId="39" fillId="94" borderId="6" xfId="69" applyNumberFormat="1" applyFont="1" applyFill="1" applyBorder="1" applyAlignment="1">
      <alignment horizontal="center" vertical="center" wrapText="1"/>
    </xf>
    <xf numFmtId="0" fontId="40" fillId="0" borderId="113" xfId="6" applyFont="1" applyFill="1" applyBorder="1" applyAlignment="1">
      <alignment horizontal="center" vertical="center" wrapText="1"/>
    </xf>
    <xf numFmtId="0" fontId="40" fillId="0" borderId="64" xfId="6" applyFont="1" applyFill="1" applyBorder="1" applyAlignment="1">
      <alignment horizontal="center" vertical="center" wrapText="1"/>
    </xf>
    <xf numFmtId="3" fontId="60" fillId="0" borderId="167" xfId="69" applyNumberFormat="1" applyFont="1" applyFill="1" applyBorder="1" applyAlignment="1">
      <alignment vertical="center" wrapText="1"/>
    </xf>
    <xf numFmtId="3" fontId="38" fillId="58" borderId="64" xfId="69" applyNumberFormat="1" applyFont="1" applyFill="1" applyBorder="1" applyAlignment="1" applyProtection="1">
      <alignment vertical="center"/>
      <protection hidden="1"/>
    </xf>
    <xf numFmtId="3" fontId="39" fillId="0" borderId="64" xfId="46" applyNumberFormat="1" applyFont="1" applyFill="1" applyBorder="1" applyAlignment="1">
      <alignment horizontal="left" vertical="center" wrapText="1" indent="1"/>
    </xf>
    <xf numFmtId="3" fontId="38" fillId="6" borderId="13" xfId="118" applyNumberFormat="1" applyFont="1" applyFill="1" applyBorder="1" applyAlignment="1">
      <alignment horizontal="center" vertical="center" wrapText="1"/>
    </xf>
    <xf numFmtId="3" fontId="38" fillId="61" borderId="64" xfId="69" applyNumberFormat="1" applyFont="1" applyFill="1" applyBorder="1" applyAlignment="1" applyProtection="1">
      <alignment vertical="center"/>
      <protection hidden="1"/>
    </xf>
    <xf numFmtId="0" fontId="88" fillId="0" borderId="0" xfId="0" applyFont="1"/>
    <xf numFmtId="0" fontId="88" fillId="0" borderId="0" xfId="0" applyFont="1" applyAlignment="1">
      <alignment horizontal="center"/>
    </xf>
    <xf numFmtId="9" fontId="14" fillId="94" borderId="0" xfId="14" applyFont="1" applyFill="1" applyBorder="1" applyAlignment="1">
      <alignment vertical="top"/>
    </xf>
    <xf numFmtId="41" fontId="14" fillId="94" borderId="0" xfId="0" applyNumberFormat="1" applyFont="1" applyFill="1" applyBorder="1" applyAlignment="1">
      <alignment vertical="top"/>
    </xf>
    <xf numFmtId="0" fontId="0" fillId="94" borderId="0" xfId="0" applyFill="1" applyBorder="1"/>
    <xf numFmtId="43" fontId="14" fillId="94" borderId="0" xfId="7" applyFont="1" applyFill="1" applyBorder="1" applyAlignment="1">
      <alignment vertical="top"/>
    </xf>
    <xf numFmtId="41" fontId="11" fillId="94" borderId="0" xfId="0" applyNumberFormat="1" applyFont="1" applyFill="1" applyBorder="1" applyAlignment="1">
      <alignment vertical="top"/>
    </xf>
    <xf numFmtId="3" fontId="38" fillId="62" borderId="64" xfId="69" applyNumberFormat="1" applyFont="1" applyFill="1" applyBorder="1" applyAlignment="1" applyProtection="1">
      <alignment vertical="center"/>
      <protection hidden="1"/>
    </xf>
    <xf numFmtId="2" fontId="15" fillId="0" borderId="0" xfId="69" applyNumberFormat="1" applyFont="1" applyFill="1" applyAlignment="1" applyProtection="1">
      <alignment vertical="center"/>
      <protection hidden="1"/>
    </xf>
    <xf numFmtId="9" fontId="1" fillId="0" borderId="0" xfId="14" applyFont="1" applyAlignment="1">
      <alignment vertical="center"/>
    </xf>
    <xf numFmtId="0" fontId="14" fillId="0" borderId="165" xfId="72" applyFont="1" applyFill="1" applyBorder="1" applyAlignment="1" applyProtection="1">
      <alignment vertical="center" wrapText="1"/>
      <protection hidden="1"/>
    </xf>
    <xf numFmtId="41" fontId="60" fillId="0" borderId="165" xfId="69" applyNumberFormat="1" applyFont="1" applyFill="1" applyBorder="1" applyAlignment="1">
      <alignment horizontal="center" vertical="center" wrapText="1"/>
    </xf>
    <xf numFmtId="41" fontId="67" fillId="0" borderId="0" xfId="75" applyNumberFormat="1" applyFont="1" applyFill="1" applyBorder="1" applyAlignment="1">
      <alignment horizontal="center" vertical="center" wrapText="1"/>
    </xf>
    <xf numFmtId="3" fontId="31" fillId="0" borderId="64" xfId="46" applyNumberFormat="1" applyFont="1" applyFill="1" applyBorder="1" applyAlignment="1">
      <alignment horizontal="left" vertical="center" wrapText="1" indent="1"/>
    </xf>
    <xf numFmtId="169" fontId="70" fillId="6" borderId="89" xfId="0" applyNumberFormat="1" applyFont="1" applyFill="1" applyBorder="1" applyAlignment="1">
      <alignment vertical="center" wrapText="1"/>
    </xf>
    <xf numFmtId="169" fontId="70" fillId="6" borderId="134" xfId="0" applyNumberFormat="1" applyFont="1" applyFill="1" applyBorder="1" applyAlignment="1">
      <alignment vertical="center" wrapText="1"/>
    </xf>
    <xf numFmtId="169" fontId="70" fillId="6" borderId="85" xfId="0" applyNumberFormat="1" applyFont="1" applyFill="1" applyBorder="1" applyAlignment="1">
      <alignment vertical="center" wrapText="1"/>
    </xf>
    <xf numFmtId="169" fontId="60" fillId="6" borderId="87" xfId="0" applyNumberFormat="1" applyFont="1" applyFill="1" applyBorder="1" applyAlignment="1">
      <alignment vertical="center" wrapText="1"/>
    </xf>
    <xf numFmtId="169" fontId="60" fillId="6" borderId="133" xfId="0" applyNumberFormat="1" applyFont="1" applyFill="1" applyBorder="1" applyAlignment="1">
      <alignment vertical="center" wrapText="1"/>
    </xf>
    <xf numFmtId="169" fontId="60" fillId="6" borderId="83" xfId="0" applyNumberFormat="1" applyFont="1" applyFill="1" applyBorder="1" applyAlignment="1">
      <alignment vertical="center" wrapText="1"/>
    </xf>
    <xf numFmtId="169" fontId="78" fillId="6" borderId="88" xfId="0" applyNumberFormat="1" applyFont="1" applyFill="1" applyBorder="1" applyAlignment="1">
      <alignment vertical="center" wrapText="1"/>
    </xf>
    <xf numFmtId="169" fontId="78" fillId="6" borderId="139" xfId="0" applyNumberFormat="1" applyFont="1" applyFill="1" applyBorder="1" applyAlignment="1">
      <alignment vertical="center" wrapText="1"/>
    </xf>
    <xf numFmtId="169" fontId="78" fillId="6" borderId="84" xfId="0" applyNumberFormat="1" applyFont="1" applyFill="1" applyBorder="1" applyAlignment="1">
      <alignment vertical="center" wrapText="1"/>
    </xf>
    <xf numFmtId="169" fontId="70" fillId="0" borderId="89" xfId="0" applyNumberFormat="1" applyFont="1" applyFill="1" applyBorder="1" applyAlignment="1">
      <alignment vertical="center" wrapText="1"/>
    </xf>
    <xf numFmtId="169" fontId="70" fillId="0" borderId="134" xfId="0" applyNumberFormat="1" applyFont="1" applyFill="1" applyBorder="1" applyAlignment="1">
      <alignment vertical="center" wrapText="1"/>
    </xf>
    <xf numFmtId="169" fontId="70" fillId="0" borderId="85" xfId="0" applyNumberFormat="1" applyFont="1" applyFill="1" applyBorder="1" applyAlignment="1">
      <alignment vertical="center" wrapText="1"/>
    </xf>
    <xf numFmtId="169" fontId="60" fillId="0" borderId="87" xfId="0" applyNumberFormat="1" applyFont="1" applyFill="1" applyBorder="1" applyAlignment="1">
      <alignment vertical="center" wrapText="1"/>
    </xf>
    <xf numFmtId="169" fontId="60" fillId="0" borderId="133" xfId="0" applyNumberFormat="1" applyFont="1" applyFill="1" applyBorder="1" applyAlignment="1">
      <alignment vertical="center" wrapText="1"/>
    </xf>
    <xf numFmtId="169" fontId="60" fillId="0" borderId="83" xfId="0" applyNumberFormat="1" applyFont="1" applyFill="1" applyBorder="1" applyAlignment="1">
      <alignment vertical="center" wrapText="1"/>
    </xf>
    <xf numFmtId="169" fontId="78" fillId="0" borderId="88" xfId="0" applyNumberFormat="1" applyFont="1" applyFill="1" applyBorder="1" applyAlignment="1">
      <alignment vertical="center" wrapText="1"/>
    </xf>
    <xf numFmtId="169" fontId="78" fillId="0" borderId="139" xfId="0" applyNumberFormat="1" applyFont="1" applyFill="1" applyBorder="1" applyAlignment="1">
      <alignment vertical="center" wrapText="1"/>
    </xf>
    <xf numFmtId="169" fontId="78" fillId="0" borderId="84" xfId="0" applyNumberFormat="1" applyFont="1" applyFill="1" applyBorder="1" applyAlignment="1">
      <alignment vertical="center" wrapText="1"/>
    </xf>
    <xf numFmtId="0" fontId="7" fillId="8" borderId="136" xfId="0" applyFont="1" applyFill="1" applyBorder="1" applyAlignment="1">
      <alignment vertical="center" wrapText="1"/>
    </xf>
    <xf numFmtId="0" fontId="7" fillId="8" borderId="137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horizontal="left" vertical="top" wrapText="1" indent="1"/>
    </xf>
    <xf numFmtId="41" fontId="78" fillId="0" borderId="0" xfId="0" applyNumberFormat="1" applyFont="1" applyFill="1" applyBorder="1" applyAlignment="1">
      <alignment horizontal="center" vertical="center" wrapText="1"/>
    </xf>
    <xf numFmtId="0" fontId="44" fillId="9" borderId="18" xfId="46" applyFont="1" applyFill="1" applyBorder="1" applyAlignment="1">
      <alignment horizontal="center" vertical="center"/>
    </xf>
    <xf numFmtId="0" fontId="44" fillId="9" borderId="17" xfId="46" applyFont="1" applyFill="1" applyBorder="1" applyAlignment="1">
      <alignment horizontal="center" vertical="center"/>
    </xf>
    <xf numFmtId="0" fontId="16" fillId="6" borderId="12" xfId="0" applyFont="1" applyFill="1" applyBorder="1" applyAlignment="1">
      <alignment horizontal="center" vertical="center" wrapText="1"/>
    </xf>
    <xf numFmtId="0" fontId="16" fillId="6" borderId="13" xfId="0" applyFont="1" applyFill="1" applyBorder="1" applyAlignment="1">
      <alignment horizontal="center" vertical="center" wrapText="1"/>
    </xf>
    <xf numFmtId="0" fontId="16" fillId="6" borderId="119" xfId="0" applyFont="1" applyFill="1" applyBorder="1" applyAlignment="1">
      <alignment horizontal="center" vertical="center" wrapText="1"/>
    </xf>
    <xf numFmtId="0" fontId="16" fillId="6" borderId="18" xfId="0" applyFont="1" applyFill="1" applyBorder="1" applyAlignment="1">
      <alignment horizontal="left" vertical="center" wrapText="1"/>
    </xf>
    <xf numFmtId="0" fontId="16" fillId="6" borderId="20" xfId="0" applyFont="1" applyFill="1" applyBorder="1" applyAlignment="1">
      <alignment horizontal="left" vertical="center" wrapText="1"/>
    </xf>
    <xf numFmtId="0" fontId="16" fillId="6" borderId="17" xfId="0" applyFont="1" applyFill="1" applyBorder="1" applyAlignment="1">
      <alignment horizontal="left" vertical="center" wrapText="1"/>
    </xf>
    <xf numFmtId="0" fontId="16" fillId="6" borderId="16" xfId="0" applyFont="1" applyFill="1" applyBorder="1" applyAlignment="1">
      <alignment horizontal="left" vertical="center" wrapText="1"/>
    </xf>
    <xf numFmtId="0" fontId="16" fillId="6" borderId="2" xfId="0" applyFont="1" applyFill="1" applyBorder="1" applyAlignment="1">
      <alignment horizontal="left" vertical="center" wrapText="1"/>
    </xf>
    <xf numFmtId="0" fontId="16" fillId="6" borderId="14" xfId="0" applyFont="1" applyFill="1" applyBorder="1" applyAlignment="1">
      <alignment horizontal="left" vertical="center" wrapText="1"/>
    </xf>
    <xf numFmtId="0" fontId="0" fillId="0" borderId="0" xfId="0" applyFont="1"/>
    <xf numFmtId="0" fontId="30" fillId="8" borderId="12" xfId="0" applyFont="1" applyFill="1" applyBorder="1" applyAlignment="1">
      <alignment horizontal="center" vertical="center" wrapText="1"/>
    </xf>
    <xf numFmtId="0" fontId="16" fillId="6" borderId="12" xfId="0" applyFont="1" applyFill="1" applyBorder="1" applyAlignment="1">
      <alignment horizontal="left" vertical="center" wrapText="1" indent="1"/>
    </xf>
    <xf numFmtId="0" fontId="16" fillId="0" borderId="35" xfId="0" applyFont="1" applyFill="1" applyBorder="1" applyAlignment="1">
      <alignment horizontal="left" vertical="center" wrapText="1" indent="1"/>
    </xf>
    <xf numFmtId="0" fontId="7" fillId="8" borderId="76" xfId="0" applyFont="1" applyFill="1" applyBorder="1" applyAlignment="1">
      <alignment horizontal="center" vertical="center" wrapText="1"/>
    </xf>
    <xf numFmtId="0" fontId="7" fillId="8" borderId="18" xfId="0" applyFont="1" applyFill="1" applyBorder="1" applyAlignment="1">
      <alignment horizontal="center" vertical="center" wrapText="1"/>
    </xf>
    <xf numFmtId="0" fontId="7" fillId="8" borderId="77" xfId="0" applyFont="1" applyFill="1" applyBorder="1" applyAlignment="1">
      <alignment horizontal="center" vertical="center" wrapText="1"/>
    </xf>
    <xf numFmtId="41" fontId="60" fillId="0" borderId="36" xfId="0" applyNumberFormat="1" applyFont="1" applyFill="1" applyBorder="1" applyAlignment="1">
      <alignment horizontal="center" vertical="center" wrapText="1"/>
    </xf>
    <xf numFmtId="0" fontId="16" fillId="6" borderId="20" xfId="0" applyFont="1" applyFill="1" applyBorder="1" applyAlignment="1">
      <alignment horizontal="left" vertical="center" wrapText="1" indent="1"/>
    </xf>
    <xf numFmtId="0" fontId="16" fillId="6" borderId="0" xfId="0" applyFont="1" applyFill="1" applyBorder="1" applyAlignment="1">
      <alignment horizontal="left" vertical="center" wrapText="1" indent="1"/>
    </xf>
    <xf numFmtId="41" fontId="60" fillId="0" borderId="35" xfId="0" applyNumberFormat="1" applyFont="1" applyFill="1" applyBorder="1" applyAlignment="1">
      <alignment horizontal="center" vertical="center" wrapText="1"/>
    </xf>
    <xf numFmtId="0" fontId="30" fillId="8" borderId="6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77" xfId="0" applyFont="1" applyFill="1" applyBorder="1" applyAlignment="1">
      <alignment horizontal="center" vertical="center" wrapText="1"/>
    </xf>
    <xf numFmtId="0" fontId="71" fillId="0" borderId="216" xfId="0" applyFont="1" applyBorder="1" applyAlignment="1">
      <alignment vertical="center" wrapText="1"/>
    </xf>
    <xf numFmtId="0" fontId="293" fillId="0" borderId="1" xfId="3" applyFont="1" applyBorder="1" applyAlignment="1">
      <alignment vertical="center" wrapText="1"/>
    </xf>
    <xf numFmtId="0" fontId="71" fillId="0" borderId="0" xfId="0" applyFont="1" applyAlignment="1">
      <alignment vertical="center" wrapText="1"/>
    </xf>
    <xf numFmtId="0" fontId="71" fillId="0" borderId="0" xfId="0" applyFont="1" applyAlignment="1">
      <alignment horizontal="right"/>
    </xf>
    <xf numFmtId="0" fontId="292" fillId="0" borderId="1" xfId="3" applyFont="1" applyBorder="1" applyAlignment="1">
      <alignment vertical="center" wrapText="1"/>
    </xf>
    <xf numFmtId="0" fontId="293" fillId="0" borderId="0" xfId="3" applyFont="1" applyBorder="1" applyAlignment="1">
      <alignment vertical="center" wrapText="1"/>
    </xf>
    <xf numFmtId="0" fontId="71" fillId="0" borderId="1" xfId="3" applyFont="1" applyBorder="1" applyAlignment="1">
      <alignment vertical="center" wrapText="1"/>
    </xf>
    <xf numFmtId="0" fontId="71" fillId="0" borderId="0" xfId="3" applyFont="1" applyBorder="1" applyAlignment="1">
      <alignment vertical="center" wrapText="1"/>
    </xf>
    <xf numFmtId="0" fontId="71" fillId="0" borderId="0" xfId="0" applyFont="1" applyBorder="1" applyAlignment="1">
      <alignment vertical="center" wrapText="1"/>
    </xf>
    <xf numFmtId="0" fontId="71" fillId="0" borderId="0" xfId="0" applyFont="1" applyBorder="1" applyAlignment="1">
      <alignment horizontal="right" vertical="center"/>
    </xf>
    <xf numFmtId="0" fontId="73" fillId="0" borderId="0" xfId="0" applyFont="1" applyBorder="1" applyAlignment="1">
      <alignment horizontal="center" vertical="center" wrapText="1"/>
    </xf>
    <xf numFmtId="0" fontId="294" fillId="0" borderId="38" xfId="79" applyFont="1" applyBorder="1" applyAlignment="1">
      <alignment vertical="center" wrapText="1"/>
    </xf>
    <xf numFmtId="9" fontId="0" fillId="0" borderId="0" xfId="0" applyNumberFormat="1" applyBorder="1" applyAlignment="1">
      <alignment vertical="center" wrapText="1"/>
    </xf>
    <xf numFmtId="0" fontId="71" fillId="0" borderId="0" xfId="0" applyFont="1" applyBorder="1" applyAlignment="1">
      <alignment horizontal="right"/>
    </xf>
    <xf numFmtId="0" fontId="292" fillId="0" borderId="0" xfId="3" applyFont="1" applyBorder="1" applyAlignment="1">
      <alignment vertical="center" wrapText="1"/>
    </xf>
    <xf numFmtId="0" fontId="73" fillId="0" borderId="0" xfId="0" applyFont="1" applyBorder="1" applyAlignment="1">
      <alignment horizontal="center" vertical="center"/>
    </xf>
    <xf numFmtId="0" fontId="17" fillId="0" borderId="17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7" fillId="0" borderId="14" xfId="0" applyFont="1" applyFill="1" applyBorder="1" applyAlignment="1">
      <alignment horizontal="center" vertical="center" wrapText="1"/>
    </xf>
    <xf numFmtId="0" fontId="16" fillId="6" borderId="119" xfId="0" applyFont="1" applyFill="1" applyBorder="1" applyAlignment="1">
      <alignment horizontal="left" vertical="center" wrapText="1" indent="1"/>
    </xf>
    <xf numFmtId="41" fontId="60" fillId="6" borderId="119" xfId="0" applyNumberFormat="1" applyFont="1" applyFill="1" applyBorder="1" applyAlignment="1">
      <alignment horizontal="center" vertical="center" wrapText="1"/>
    </xf>
    <xf numFmtId="41" fontId="60" fillId="3" borderId="0" xfId="0" applyNumberFormat="1" applyFont="1" applyFill="1" applyBorder="1" applyAlignment="1">
      <alignment horizontal="right" vertical="center"/>
    </xf>
    <xf numFmtId="0" fontId="147" fillId="0" borderId="76" xfId="60" applyFont="1" applyBorder="1" applyAlignment="1">
      <alignment horizontal="left" vertical="center"/>
    </xf>
    <xf numFmtId="0" fontId="64" fillId="0" borderId="76" xfId="60" applyBorder="1" applyAlignment="1">
      <alignment horizontal="left"/>
    </xf>
    <xf numFmtId="0" fontId="64" fillId="0" borderId="76" xfId="60" applyBorder="1"/>
    <xf numFmtId="0" fontId="130" fillId="0" borderId="76" xfId="284" applyBorder="1" applyAlignment="1" applyProtection="1"/>
    <xf numFmtId="0" fontId="91" fillId="0" borderId="0" xfId="46" applyFont="1" applyFill="1" applyAlignment="1">
      <alignment wrapText="1"/>
    </xf>
    <xf numFmtId="0" fontId="60" fillId="0" borderId="0" xfId="46" applyFont="1" applyFill="1"/>
    <xf numFmtId="0" fontId="43" fillId="0" borderId="0" xfId="46" applyFont="1" applyFill="1"/>
    <xf numFmtId="9" fontId="44" fillId="0" borderId="76" xfId="46" applyNumberFormat="1" applyFont="1" applyFill="1" applyBorder="1" applyAlignment="1">
      <alignment horizontal="right"/>
    </xf>
    <xf numFmtId="0" fontId="17" fillId="0" borderId="0" xfId="46" applyFont="1" applyFill="1" applyBorder="1" applyAlignment="1">
      <alignment horizontal="center" vertical="center" wrapText="1"/>
    </xf>
    <xf numFmtId="41" fontId="83" fillId="3" borderId="0" xfId="69" applyNumberFormat="1" applyFont="1" applyFill="1" applyBorder="1" applyAlignment="1">
      <alignment vertical="center" wrapText="1"/>
    </xf>
    <xf numFmtId="0" fontId="295" fillId="0" borderId="0" xfId="46" applyFont="1" applyAlignment="1"/>
    <xf numFmtId="0" fontId="136" fillId="0" borderId="0" xfId="46" applyFont="1"/>
    <xf numFmtId="0" fontId="15" fillId="0" borderId="76" xfId="46" applyFont="1" applyBorder="1"/>
    <xf numFmtId="0" fontId="17" fillId="0" borderId="76" xfId="46" applyFont="1" applyFill="1" applyBorder="1" applyAlignment="1">
      <alignment horizontal="center" vertical="center" wrapText="1"/>
    </xf>
    <xf numFmtId="41" fontId="83" fillId="6" borderId="119" xfId="69" applyNumberFormat="1" applyFont="1" applyFill="1" applyBorder="1" applyAlignment="1">
      <alignment horizontal="center" vertical="center" wrapText="1"/>
    </xf>
    <xf numFmtId="0" fontId="274" fillId="0" borderId="0" xfId="0" applyFont="1" applyBorder="1"/>
    <xf numFmtId="172" fontId="274" fillId="0" borderId="0" xfId="285" applyNumberFormat="1" applyFont="1" applyBorder="1"/>
    <xf numFmtId="9" fontId="0" fillId="0" borderId="0" xfId="14" applyFont="1" applyBorder="1"/>
    <xf numFmtId="0" fontId="296" fillId="0" borderId="0" xfId="0" applyFont="1" applyBorder="1"/>
    <xf numFmtId="2" fontId="5" fillId="0" borderId="0" xfId="0" applyNumberFormat="1" applyFont="1" applyBorder="1" applyProtection="1">
      <protection locked="0"/>
    </xf>
    <xf numFmtId="9" fontId="274" fillId="0" borderId="0" xfId="14" applyFont="1" applyBorder="1"/>
    <xf numFmtId="0" fontId="0" fillId="7" borderId="0" xfId="0" applyFill="1" applyBorder="1"/>
    <xf numFmtId="172" fontId="274" fillId="7" borderId="0" xfId="285" applyNumberFormat="1" applyFont="1" applyFill="1" applyBorder="1"/>
    <xf numFmtId="0" fontId="12" fillId="0" borderId="12" xfId="0" applyFont="1" applyBorder="1" applyAlignment="1">
      <alignment horizontal="center" vertical="center" wrapText="1"/>
    </xf>
    <xf numFmtId="0" fontId="16" fillId="0" borderId="64" xfId="6" applyFont="1" applyFill="1" applyBorder="1" applyAlignment="1">
      <alignment horizontal="left" vertical="center" wrapText="1" indent="1"/>
    </xf>
    <xf numFmtId="0" fontId="12" fillId="8" borderId="6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3" fontId="18" fillId="4" borderId="64" xfId="69" applyNumberFormat="1" applyFont="1" applyFill="1" applyBorder="1" applyAlignment="1" applyProtection="1">
      <alignment horizontal="center" vertical="center" wrapText="1"/>
      <protection hidden="1"/>
    </xf>
    <xf numFmtId="3" fontId="16" fillId="4" borderId="64" xfId="69" applyNumberFormat="1" applyFont="1" applyFill="1" applyBorder="1" applyAlignment="1" applyProtection="1">
      <alignment vertical="center" wrapText="1"/>
      <protection hidden="1"/>
    </xf>
    <xf numFmtId="3" fontId="18" fillId="4" borderId="64" xfId="69" applyNumberFormat="1" applyFont="1" applyFill="1" applyBorder="1" applyAlignment="1" applyProtection="1">
      <alignment horizontal="center" vertical="center"/>
      <protection hidden="1"/>
    </xf>
    <xf numFmtId="3" fontId="18" fillId="4" borderId="65" xfId="69" applyNumberFormat="1" applyFont="1" applyFill="1" applyBorder="1" applyAlignment="1" applyProtection="1">
      <alignment horizontal="center" vertical="center" wrapText="1"/>
      <protection hidden="1"/>
    </xf>
    <xf numFmtId="3" fontId="15" fillId="4" borderId="64" xfId="69" applyNumberFormat="1" applyFont="1" applyFill="1" applyBorder="1" applyAlignment="1" applyProtection="1">
      <alignment horizontal="center" vertical="center"/>
      <protection hidden="1"/>
    </xf>
    <xf numFmtId="3" fontId="18" fillId="4" borderId="17" xfId="69" applyNumberFormat="1" applyFont="1" applyFill="1" applyBorder="1" applyAlignment="1" applyProtection="1">
      <alignment horizontal="center" vertical="top" wrapText="1"/>
      <protection hidden="1"/>
    </xf>
    <xf numFmtId="173" fontId="0" fillId="0" borderId="76" xfId="7" applyNumberFormat="1" applyFont="1" applyFill="1" applyBorder="1"/>
    <xf numFmtId="173" fontId="88" fillId="0" borderId="76" xfId="7" applyNumberFormat="1" applyFont="1" applyFill="1" applyBorder="1"/>
    <xf numFmtId="9" fontId="0" fillId="0" borderId="167" xfId="0" applyNumberFormat="1" applyFont="1" applyBorder="1" applyAlignment="1">
      <alignment horizontal="center"/>
    </xf>
    <xf numFmtId="0" fontId="40" fillId="0" borderId="64" xfId="6" applyFont="1" applyFill="1" applyBorder="1" applyAlignment="1">
      <alignment horizontal="left" vertical="center" wrapText="1" indent="1"/>
    </xf>
    <xf numFmtId="0" fontId="23" fillId="0" borderId="64" xfId="14" applyNumberFormat="1" applyFont="1" applyFill="1" applyBorder="1" applyAlignment="1">
      <alignment vertical="top"/>
    </xf>
    <xf numFmtId="173" fontId="0" fillId="0" borderId="0" xfId="7" applyNumberFormat="1" applyFont="1" applyFill="1"/>
    <xf numFmtId="173" fontId="89" fillId="0" borderId="0" xfId="7" applyNumberFormat="1" applyFont="1" applyFill="1"/>
    <xf numFmtId="173" fontId="21" fillId="0" borderId="0" xfId="7" applyNumberFormat="1" applyFont="1" applyFill="1"/>
    <xf numFmtId="3" fontId="18" fillId="4" borderId="117" xfId="69" applyNumberFormat="1" applyFont="1" applyFill="1" applyBorder="1" applyAlignment="1" applyProtection="1">
      <alignment vertical="center" wrapText="1"/>
      <protection hidden="1"/>
    </xf>
    <xf numFmtId="3" fontId="18" fillId="4" borderId="20" xfId="69" applyNumberFormat="1" applyFont="1" applyFill="1" applyBorder="1" applyAlignment="1" applyProtection="1">
      <alignment vertical="center" wrapText="1"/>
      <protection hidden="1"/>
    </xf>
    <xf numFmtId="3" fontId="18" fillId="4" borderId="112" xfId="69" applyNumberFormat="1" applyFont="1" applyFill="1" applyBorder="1" applyAlignment="1" applyProtection="1">
      <alignment vertical="center" wrapText="1"/>
      <protection hidden="1"/>
    </xf>
    <xf numFmtId="3" fontId="18" fillId="4" borderId="114" xfId="69" applyNumberFormat="1" applyFont="1" applyFill="1" applyBorder="1" applyAlignment="1" applyProtection="1">
      <alignment vertical="top" wrapText="1"/>
      <protection hidden="1"/>
    </xf>
    <xf numFmtId="3" fontId="18" fillId="4" borderId="118" xfId="69" applyNumberFormat="1" applyFont="1" applyFill="1" applyBorder="1" applyAlignment="1" applyProtection="1">
      <alignment vertical="top" wrapText="1"/>
      <protection hidden="1"/>
    </xf>
    <xf numFmtId="3" fontId="18" fillId="4" borderId="116" xfId="69" applyNumberFormat="1" applyFont="1" applyFill="1" applyBorder="1" applyAlignment="1" applyProtection="1">
      <alignment vertical="top"/>
      <protection hidden="1"/>
    </xf>
    <xf numFmtId="3" fontId="18" fillId="4" borderId="118" xfId="69" applyNumberFormat="1" applyFont="1" applyFill="1" applyBorder="1" applyAlignment="1" applyProtection="1">
      <alignment vertical="top"/>
      <protection hidden="1"/>
    </xf>
    <xf numFmtId="3" fontId="39" fillId="4" borderId="118" xfId="69" applyNumberFormat="1" applyFont="1" applyFill="1" applyBorder="1" applyAlignment="1" applyProtection="1">
      <alignment vertical="center" wrapText="1"/>
      <protection hidden="1"/>
    </xf>
    <xf numFmtId="3" fontId="18" fillId="4" borderId="76" xfId="69" applyNumberFormat="1" applyFont="1" applyFill="1" applyBorder="1" applyAlignment="1" applyProtection="1">
      <alignment vertical="top" wrapText="1"/>
      <protection hidden="1"/>
    </xf>
    <xf numFmtId="3" fontId="18" fillId="4" borderId="119" xfId="69" applyNumberFormat="1" applyFont="1" applyFill="1" applyBorder="1" applyAlignment="1" applyProtection="1">
      <alignment vertical="top" wrapText="1"/>
      <protection hidden="1"/>
    </xf>
    <xf numFmtId="3" fontId="15" fillId="4" borderId="215" xfId="69" applyNumberFormat="1" applyFont="1" applyFill="1" applyBorder="1" applyAlignment="1" applyProtection="1">
      <alignment vertical="center" wrapText="1"/>
      <protection hidden="1"/>
    </xf>
    <xf numFmtId="2" fontId="15" fillId="4" borderId="0" xfId="69" applyNumberFormat="1" applyFont="1" applyFill="1" applyAlignment="1" applyProtection="1">
      <alignment vertical="center"/>
      <protection hidden="1"/>
    </xf>
    <xf numFmtId="4" fontId="15" fillId="4" borderId="0" xfId="69" applyNumberFormat="1" applyFont="1" applyFill="1" applyAlignment="1" applyProtection="1">
      <alignment vertical="center"/>
      <protection hidden="1"/>
    </xf>
    <xf numFmtId="3" fontId="16" fillId="4" borderId="167" xfId="69" applyNumberFormat="1" applyFont="1" applyFill="1" applyBorder="1" applyAlignment="1" applyProtection="1">
      <alignment vertical="center" wrapText="1"/>
      <protection hidden="1"/>
    </xf>
    <xf numFmtId="3" fontId="12" fillId="4" borderId="64" xfId="69" applyNumberFormat="1" applyFont="1" applyFill="1" applyBorder="1" applyAlignment="1" applyProtection="1">
      <alignment vertical="center"/>
      <protection hidden="1"/>
    </xf>
    <xf numFmtId="3" fontId="17" fillId="4" borderId="64" xfId="69" applyNumberFormat="1" applyFont="1" applyFill="1" applyBorder="1" applyAlignment="1" applyProtection="1">
      <alignment vertical="center" wrapText="1"/>
      <protection hidden="1"/>
    </xf>
    <xf numFmtId="3" fontId="17" fillId="4" borderId="76" xfId="69" applyNumberFormat="1" applyFont="1" applyFill="1" applyBorder="1" applyAlignment="1" applyProtection="1">
      <alignment vertical="center" wrapText="1"/>
      <protection hidden="1"/>
    </xf>
    <xf numFmtId="3" fontId="16" fillId="4" borderId="215" xfId="69" applyNumberFormat="1" applyFont="1" applyFill="1" applyBorder="1" applyAlignment="1" applyProtection="1">
      <alignment vertical="center"/>
      <protection hidden="1"/>
    </xf>
    <xf numFmtId="9" fontId="15" fillId="0" borderId="0" xfId="14" applyFont="1" applyBorder="1" applyAlignment="1">
      <alignment vertical="center"/>
    </xf>
    <xf numFmtId="9" fontId="15" fillId="0" borderId="0" xfId="14" applyFont="1"/>
    <xf numFmtId="0" fontId="34" fillId="0" borderId="0" xfId="0" applyFont="1" applyAlignment="1">
      <alignment vertical="center"/>
    </xf>
    <xf numFmtId="168" fontId="16" fillId="4" borderId="76" xfId="0" applyNumberFormat="1" applyFont="1" applyFill="1" applyBorder="1" applyAlignment="1">
      <alignment vertical="center" wrapText="1"/>
    </xf>
    <xf numFmtId="0" fontId="34" fillId="0" borderId="0" xfId="0" applyFont="1" applyFill="1" applyAlignment="1">
      <alignment vertical="center"/>
    </xf>
    <xf numFmtId="0" fontId="34" fillId="0" borderId="0" xfId="0" applyFont="1" applyFill="1" applyAlignment="1">
      <alignment horizontal="center" vertical="center"/>
    </xf>
    <xf numFmtId="172" fontId="0" fillId="0" borderId="76" xfId="285" applyNumberFormat="1" applyFont="1" applyFill="1" applyBorder="1"/>
    <xf numFmtId="0" fontId="16" fillId="6" borderId="76" xfId="46" applyFont="1" applyFill="1" applyBorder="1" applyAlignment="1">
      <alignment horizontal="center" vertical="top" wrapText="1"/>
    </xf>
    <xf numFmtId="0" fontId="16" fillId="0" borderId="76" xfId="46" applyFont="1" applyFill="1" applyBorder="1" applyAlignment="1">
      <alignment horizontal="center" vertical="top" wrapText="1"/>
    </xf>
    <xf numFmtId="168" fontId="16" fillId="8" borderId="76" xfId="0" applyNumberFormat="1" applyFont="1" applyFill="1" applyBorder="1" applyAlignment="1">
      <alignment vertical="center" wrapText="1"/>
    </xf>
    <xf numFmtId="9" fontId="21" fillId="0" borderId="0" xfId="112" applyFont="1"/>
    <xf numFmtId="3" fontId="60" fillId="6" borderId="170" xfId="46" applyNumberFormat="1" applyFont="1" applyFill="1" applyBorder="1" applyAlignment="1">
      <alignment horizontal="center" vertical="center"/>
    </xf>
    <xf numFmtId="3" fontId="60" fillId="6" borderId="172" xfId="46" applyNumberFormat="1" applyFont="1" applyFill="1" applyBorder="1" applyAlignment="1">
      <alignment horizontal="center" vertical="center"/>
    </xf>
    <xf numFmtId="3" fontId="60" fillId="0" borderId="173" xfId="46" applyNumberFormat="1" applyFont="1" applyFill="1" applyBorder="1" applyAlignment="1">
      <alignment horizontal="center" vertical="center"/>
    </xf>
    <xf numFmtId="3" fontId="60" fillId="6" borderId="173" xfId="46" applyNumberFormat="1" applyFont="1" applyFill="1" applyBorder="1" applyAlignment="1">
      <alignment horizontal="center" vertical="center"/>
    </xf>
    <xf numFmtId="0" fontId="16" fillId="6" borderId="170" xfId="46" applyFont="1" applyFill="1" applyBorder="1" applyAlignment="1">
      <alignment horizontal="center" vertical="top" wrapText="1"/>
    </xf>
    <xf numFmtId="9" fontId="0" fillId="0" borderId="76" xfId="112" applyFont="1" applyFill="1" applyBorder="1"/>
    <xf numFmtId="0" fontId="14" fillId="6" borderId="170" xfId="46" applyFont="1" applyFill="1" applyBorder="1" applyAlignment="1">
      <alignment horizontal="center" vertical="center"/>
    </xf>
    <xf numFmtId="0" fontId="16" fillId="6" borderId="170" xfId="46" applyFont="1" applyFill="1" applyBorder="1" applyAlignment="1">
      <alignment horizontal="center" vertical="center" wrapText="1"/>
    </xf>
    <xf numFmtId="9" fontId="0" fillId="6" borderId="170" xfId="112" applyFont="1" applyFill="1" applyBorder="1"/>
    <xf numFmtId="9" fontId="15" fillId="6" borderId="206" xfId="14" applyFont="1" applyFill="1" applyBorder="1" applyAlignment="1">
      <alignment horizontal="center" vertical="center"/>
    </xf>
    <xf numFmtId="0" fontId="0" fillId="0" borderId="0" xfId="74" applyFont="1"/>
    <xf numFmtId="41" fontId="14" fillId="0" borderId="0" xfId="14" applyNumberFormat="1" applyFont="1" applyFill="1" applyBorder="1" applyAlignment="1">
      <alignment vertical="top"/>
    </xf>
    <xf numFmtId="41" fontId="0" fillId="3" borderId="0" xfId="0" applyNumberFormat="1" applyFont="1" applyFill="1"/>
    <xf numFmtId="0" fontId="16" fillId="0" borderId="19" xfId="0" applyFont="1" applyFill="1" applyBorder="1" applyAlignment="1">
      <alignment horizontal="left" vertical="center" wrapText="1" indent="1"/>
    </xf>
    <xf numFmtId="0" fontId="16" fillId="0" borderId="1" xfId="0" applyFont="1" applyFill="1" applyBorder="1" applyAlignment="1">
      <alignment horizontal="left" vertical="center" wrapText="1" indent="1"/>
    </xf>
    <xf numFmtId="41" fontId="60" fillId="0" borderId="35" xfId="0" applyNumberFormat="1" applyFont="1" applyFill="1" applyBorder="1" applyAlignment="1">
      <alignment horizontal="center" vertical="center" wrapText="1"/>
    </xf>
    <xf numFmtId="0" fontId="147" fillId="0" borderId="12" xfId="60" applyFont="1" applyBorder="1" applyAlignment="1">
      <alignment horizontal="left" vertical="center"/>
    </xf>
    <xf numFmtId="0" fontId="64" fillId="0" borderId="12" xfId="60" applyBorder="1" applyAlignment="1">
      <alignment horizontal="left"/>
    </xf>
    <xf numFmtId="0" fontId="130" fillId="0" borderId="12" xfId="284" applyBorder="1" applyAlignment="1" applyProtection="1"/>
    <xf numFmtId="0" fontId="64" fillId="0" borderId="76" xfId="60" applyBorder="1" applyAlignment="1">
      <alignment horizontal="left"/>
    </xf>
    <xf numFmtId="41" fontId="12" fillId="0" borderId="0" xfId="0" applyNumberFormat="1" applyFont="1" applyFill="1" applyBorder="1" applyAlignment="1">
      <alignment vertical="center" wrapText="1"/>
    </xf>
    <xf numFmtId="0" fontId="16" fillId="0" borderId="81" xfId="0" applyFont="1" applyFill="1" applyBorder="1" applyAlignment="1">
      <alignment horizontal="left" vertical="center" wrapText="1" indent="1"/>
    </xf>
    <xf numFmtId="0" fontId="16" fillId="0" borderId="29" xfId="0" applyFont="1" applyFill="1" applyBorder="1" applyAlignment="1">
      <alignment horizontal="left" vertical="center" wrapText="1" indent="1"/>
    </xf>
    <xf numFmtId="41" fontId="60" fillId="0" borderId="78" xfId="0" applyNumberFormat="1" applyFont="1" applyFill="1" applyBorder="1" applyAlignment="1">
      <alignment horizontal="center" vertical="center" wrapText="1"/>
    </xf>
    <xf numFmtId="168" fontId="204" fillId="0" borderId="78" xfId="0" applyNumberFormat="1" applyFont="1" applyFill="1" applyBorder="1" applyAlignment="1">
      <alignment horizontal="center" vertical="center"/>
    </xf>
    <xf numFmtId="168" fontId="204" fillId="0" borderId="68" xfId="0" applyNumberFormat="1" applyFont="1" applyFill="1" applyBorder="1" applyAlignment="1">
      <alignment horizontal="center" vertical="center"/>
    </xf>
    <xf numFmtId="0" fontId="14" fillId="8" borderId="76" xfId="0" applyFont="1" applyFill="1" applyBorder="1" applyAlignment="1">
      <alignment horizontal="center" vertical="center" wrapText="1"/>
    </xf>
    <xf numFmtId="0" fontId="17" fillId="7" borderId="2" xfId="0" applyFont="1" applyFill="1" applyBorder="1" applyAlignment="1">
      <alignment horizontal="left" vertical="center" wrapText="1"/>
    </xf>
    <xf numFmtId="0" fontId="0" fillId="0" borderId="0" xfId="0" applyFont="1"/>
    <xf numFmtId="0" fontId="14" fillId="8" borderId="76" xfId="0" applyFont="1" applyFill="1" applyBorder="1" applyAlignment="1">
      <alignment vertical="center" wrapText="1"/>
    </xf>
    <xf numFmtId="0" fontId="12" fillId="0" borderId="76" xfId="0" applyFont="1" applyBorder="1" applyAlignment="1"/>
    <xf numFmtId="41" fontId="0" fillId="0" borderId="76" xfId="0" applyNumberFormat="1" applyFont="1" applyFill="1" applyBorder="1"/>
    <xf numFmtId="168" fontId="16" fillId="0" borderId="0" xfId="0" applyNumberFormat="1" applyFont="1" applyFill="1" applyBorder="1" applyAlignment="1">
      <alignment vertical="center" wrapText="1"/>
    </xf>
    <xf numFmtId="9" fontId="21" fillId="0" borderId="0" xfId="112" applyFont="1" applyFill="1"/>
    <xf numFmtId="0" fontId="32" fillId="0" borderId="0" xfId="76" applyFont="1" applyAlignment="1">
      <alignment horizontal="left" vertical="center" indent="1"/>
    </xf>
    <xf numFmtId="9" fontId="21" fillId="0" borderId="0" xfId="112" applyFont="1" applyFill="1" applyBorder="1"/>
    <xf numFmtId="9" fontId="21" fillId="0" borderId="2" xfId="112" applyFont="1" applyFill="1" applyBorder="1"/>
    <xf numFmtId="9" fontId="0" fillId="0" borderId="0" xfId="112" applyFont="1" applyFill="1"/>
    <xf numFmtId="0" fontId="0" fillId="0" borderId="217" xfId="0" applyBorder="1"/>
    <xf numFmtId="9" fontId="0" fillId="0" borderId="218" xfId="112" applyFont="1" applyBorder="1"/>
    <xf numFmtId="9" fontId="21" fillId="0" borderId="217" xfId="112" applyFont="1" applyFill="1" applyBorder="1"/>
    <xf numFmtId="168" fontId="16" fillId="0" borderId="2" xfId="0" applyNumberFormat="1" applyFont="1" applyFill="1" applyBorder="1" applyAlignment="1">
      <alignment vertical="center" wrapText="1"/>
    </xf>
    <xf numFmtId="168" fontId="16" fillId="0" borderId="217" xfId="0" applyNumberFormat="1" applyFont="1" applyFill="1" applyBorder="1" applyAlignment="1">
      <alignment vertical="center" wrapText="1"/>
    </xf>
    <xf numFmtId="0" fontId="42" fillId="0" borderId="209" xfId="46" applyFill="1" applyBorder="1"/>
    <xf numFmtId="168" fontId="16" fillId="6" borderId="217" xfId="0" applyNumberFormat="1" applyFont="1" applyFill="1" applyBorder="1" applyAlignment="1">
      <alignment vertical="center" wrapText="1"/>
    </xf>
    <xf numFmtId="9" fontId="21" fillId="6" borderId="217" xfId="112" applyFont="1" applyFill="1" applyBorder="1"/>
    <xf numFmtId="168" fontId="297" fillId="0" borderId="219" xfId="284" applyNumberFormat="1" applyFont="1" applyFill="1" applyBorder="1" applyAlignment="1" applyProtection="1">
      <alignment vertical="center" wrapText="1"/>
    </xf>
    <xf numFmtId="168" fontId="17" fillId="7" borderId="2" xfId="0" applyNumberFormat="1" applyFont="1" applyFill="1" applyBorder="1" applyAlignment="1">
      <alignment horizontal="left" vertical="center" wrapText="1"/>
    </xf>
    <xf numFmtId="9" fontId="23" fillId="7" borderId="2" xfId="112" applyFont="1" applyFill="1" applyBorder="1" applyAlignment="1">
      <alignment horizontal="left"/>
    </xf>
    <xf numFmtId="3" fontId="44" fillId="7" borderId="14" xfId="46" applyNumberFormat="1" applyFont="1" applyFill="1" applyBorder="1" applyAlignment="1">
      <alignment horizontal="left" vertical="center"/>
    </xf>
    <xf numFmtId="9" fontId="21" fillId="0" borderId="221" xfId="112" applyFont="1" applyFill="1" applyBorder="1"/>
    <xf numFmtId="0" fontId="42" fillId="0" borderId="20" xfId="46" applyFill="1" applyBorder="1"/>
    <xf numFmtId="0" fontId="63" fillId="0" borderId="190" xfId="76" applyFont="1" applyBorder="1" applyAlignment="1">
      <alignment horizontal="center" vertical="center"/>
    </xf>
    <xf numFmtId="0" fontId="63" fillId="0" borderId="0" xfId="76" applyFont="1" applyBorder="1" applyAlignment="1">
      <alignment vertical="center"/>
    </xf>
    <xf numFmtId="0" fontId="63" fillId="0" borderId="76" xfId="76" applyFont="1" applyBorder="1" applyAlignment="1">
      <alignment horizontal="center" vertical="center"/>
    </xf>
    <xf numFmtId="168" fontId="16" fillId="0" borderId="76" xfId="0" applyNumberFormat="1" applyFont="1" applyFill="1" applyBorder="1" applyAlignment="1">
      <alignment horizontal="left" vertical="center" wrapText="1"/>
    </xf>
    <xf numFmtId="168" fontId="16" fillId="0" borderId="195" xfId="0" applyNumberFormat="1" applyFont="1" applyFill="1" applyBorder="1" applyAlignment="1">
      <alignment vertical="center" wrapText="1"/>
    </xf>
    <xf numFmtId="168" fontId="16" fillId="6" borderId="225" xfId="0" applyNumberFormat="1" applyFont="1" applyFill="1" applyBorder="1" applyAlignment="1">
      <alignment vertical="center" wrapText="1"/>
    </xf>
    <xf numFmtId="168" fontId="16" fillId="0" borderId="202" xfId="0" applyNumberFormat="1" applyFont="1" applyFill="1" applyBorder="1" applyAlignment="1">
      <alignment vertical="center" wrapText="1"/>
    </xf>
    <xf numFmtId="0" fontId="42" fillId="0" borderId="217" xfId="46" applyFill="1" applyBorder="1"/>
    <xf numFmtId="0" fontId="63" fillId="0" borderId="0" xfId="0" applyFont="1" applyAlignment="1">
      <alignment vertical="center"/>
    </xf>
    <xf numFmtId="0" fontId="15" fillId="0" borderId="0" xfId="6" applyFont="1" applyFill="1" applyBorder="1" applyAlignment="1">
      <alignment horizontal="left" vertical="center"/>
    </xf>
    <xf numFmtId="0" fontId="32" fillId="0" borderId="0" xfId="76" applyFont="1" applyAlignment="1">
      <alignment vertical="center"/>
    </xf>
    <xf numFmtId="0" fontId="63" fillId="0" borderId="74" xfId="76" applyFont="1" applyBorder="1" applyAlignment="1">
      <alignment horizontal="center" vertical="center"/>
    </xf>
    <xf numFmtId="168" fontId="16" fillId="0" borderId="75" xfId="0" applyNumberFormat="1" applyFont="1" applyFill="1" applyBorder="1" applyAlignment="1">
      <alignment horizontal="left" vertical="center" wrapText="1"/>
    </xf>
    <xf numFmtId="168" fontId="16" fillId="0" borderId="194" xfId="0" applyNumberFormat="1" applyFont="1" applyFill="1" applyBorder="1" applyAlignment="1">
      <alignment horizontal="left" vertical="center" wrapText="1"/>
    </xf>
    <xf numFmtId="168" fontId="16" fillId="6" borderId="226" xfId="0" applyNumberFormat="1" applyFont="1" applyFill="1" applyBorder="1" applyAlignment="1">
      <alignment horizontal="left" vertical="center" wrapText="1"/>
    </xf>
    <xf numFmtId="168" fontId="16" fillId="0" borderId="200" xfId="0" applyNumberFormat="1" applyFont="1" applyFill="1" applyBorder="1" applyAlignment="1">
      <alignment horizontal="left" vertical="center" wrapText="1"/>
    </xf>
    <xf numFmtId="0" fontId="42" fillId="0" borderId="203" xfId="46" applyFill="1" applyBorder="1"/>
    <xf numFmtId="0" fontId="16" fillId="3" borderId="76" xfId="46" applyFont="1" applyFill="1" applyBorder="1" applyAlignment="1">
      <alignment horizontal="center" vertical="top" wrapText="1"/>
    </xf>
    <xf numFmtId="9" fontId="34" fillId="3" borderId="76" xfId="112" applyFont="1" applyFill="1" applyBorder="1" applyAlignment="1">
      <alignment horizontal="center"/>
    </xf>
    <xf numFmtId="3" fontId="60" fillId="6" borderId="205" xfId="46" applyNumberFormat="1" applyFont="1" applyFill="1" applyBorder="1" applyAlignment="1">
      <alignment horizontal="center" vertical="center"/>
    </xf>
    <xf numFmtId="3" fontId="60" fillId="6" borderId="102" xfId="46" applyNumberFormat="1" applyFont="1" applyFill="1" applyBorder="1" applyAlignment="1">
      <alignment horizontal="center" vertical="center"/>
    </xf>
    <xf numFmtId="3" fontId="18" fillId="57" borderId="64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64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17" xfId="69" applyNumberFormat="1" applyFont="1" applyFill="1" applyBorder="1" applyAlignment="1" applyProtection="1">
      <alignment horizontal="center" vertical="top" wrapText="1"/>
      <protection hidden="1"/>
    </xf>
    <xf numFmtId="0" fontId="16" fillId="0" borderId="64" xfId="6" applyFont="1" applyFill="1" applyBorder="1" applyAlignment="1">
      <alignment horizontal="left" vertical="center" wrapText="1" indent="1"/>
    </xf>
    <xf numFmtId="0" fontId="12" fillId="8" borderId="64" xfId="0" applyFont="1" applyFill="1" applyBorder="1" applyAlignment="1">
      <alignment horizontal="center" vertical="center" wrapText="1"/>
    </xf>
    <xf numFmtId="173" fontId="30" fillId="0" borderId="0" xfId="7" applyNumberFormat="1" applyFont="1" applyFill="1"/>
    <xf numFmtId="173" fontId="38" fillId="0" borderId="0" xfId="7" applyNumberFormat="1" applyFont="1" applyFill="1"/>
    <xf numFmtId="0" fontId="30" fillId="0" borderId="0" xfId="0" applyFont="1" applyFill="1"/>
    <xf numFmtId="173" fontId="30" fillId="0" borderId="76" xfId="7" applyNumberFormat="1" applyFont="1" applyFill="1" applyBorder="1"/>
    <xf numFmtId="173" fontId="38" fillId="0" borderId="76" xfId="7" applyNumberFormat="1" applyFont="1" applyFill="1" applyBorder="1"/>
    <xf numFmtId="9" fontId="23" fillId="0" borderId="0" xfId="14" applyFont="1" applyFill="1" applyBorder="1" applyAlignment="1">
      <alignment vertical="top"/>
    </xf>
    <xf numFmtId="41" fontId="23" fillId="0" borderId="0" xfId="0" applyNumberFormat="1" applyFont="1" applyFill="1" applyBorder="1" applyAlignment="1">
      <alignment vertical="top"/>
    </xf>
    <xf numFmtId="0" fontId="23" fillId="0" borderId="2" xfId="46" applyFont="1" applyBorder="1" applyAlignment="1">
      <alignment horizontal="left" vertical="center" indent="1"/>
    </xf>
    <xf numFmtId="9" fontId="170" fillId="0" borderId="0" xfId="14" applyFont="1" applyFill="1" applyBorder="1" applyAlignment="1">
      <alignment vertical="top"/>
    </xf>
    <xf numFmtId="41" fontId="170" fillId="0" borderId="0" xfId="0" applyNumberFormat="1" applyFont="1" applyFill="1" applyBorder="1" applyAlignment="1">
      <alignment vertical="top"/>
    </xf>
    <xf numFmtId="174" fontId="298" fillId="0" borderId="0" xfId="0" applyNumberFormat="1" applyFont="1" applyFill="1" applyBorder="1" applyAlignment="1">
      <alignment vertical="top"/>
    </xf>
    <xf numFmtId="0" fontId="0" fillId="0" borderId="0" xfId="0" applyFill="1" applyBorder="1" applyAlignment="1">
      <alignment horizontal="center" vertical="center" textRotation="90"/>
    </xf>
    <xf numFmtId="41" fontId="7" fillId="0" borderId="0" xfId="0" applyNumberFormat="1" applyFont="1" applyFill="1" applyBorder="1"/>
    <xf numFmtId="41" fontId="23" fillId="0" borderId="0" xfId="0" applyNumberFormat="1" applyFont="1" applyFill="1" applyBorder="1"/>
    <xf numFmtId="0" fontId="171" fillId="0" borderId="0" xfId="0" applyFont="1" applyFill="1"/>
    <xf numFmtId="41" fontId="23" fillId="0" borderId="113" xfId="0" applyNumberFormat="1" applyFont="1" applyFill="1" applyBorder="1"/>
    <xf numFmtId="41" fontId="21" fillId="0" borderId="113" xfId="0" applyNumberFormat="1" applyFont="1" applyFill="1" applyBorder="1"/>
    <xf numFmtId="0" fontId="299" fillId="0" borderId="0" xfId="0" applyFont="1" applyFill="1" applyAlignment="1">
      <alignment horizontal="center"/>
    </xf>
    <xf numFmtId="3" fontId="15" fillId="0" borderId="0" xfId="46" applyNumberFormat="1" applyFont="1" applyFill="1" applyBorder="1"/>
    <xf numFmtId="3" fontId="15" fillId="81" borderId="0" xfId="46" applyNumberFormat="1" applyFont="1" applyFill="1" applyBorder="1"/>
    <xf numFmtId="3" fontId="15" fillId="0" borderId="168" xfId="46" applyNumberFormat="1" applyFont="1" applyBorder="1"/>
    <xf numFmtId="3" fontId="15" fillId="81" borderId="168" xfId="46" applyNumberFormat="1" applyFont="1" applyFill="1" applyBorder="1"/>
    <xf numFmtId="41" fontId="60" fillId="0" borderId="168" xfId="69" applyNumberFormat="1" applyFont="1" applyFill="1" applyBorder="1" applyAlignment="1">
      <alignment horizontal="center" vertical="center" wrapText="1"/>
    </xf>
    <xf numFmtId="3" fontId="17" fillId="3" borderId="0" xfId="46" applyNumberFormat="1" applyFont="1" applyFill="1" applyBorder="1" applyAlignment="1">
      <alignment horizontal="left" vertical="center" wrapText="1"/>
    </xf>
    <xf numFmtId="3" fontId="17" fillId="0" borderId="0" xfId="46" applyNumberFormat="1" applyFont="1" applyFill="1" applyBorder="1" applyAlignment="1">
      <alignment horizontal="left" vertical="center" wrapText="1"/>
    </xf>
    <xf numFmtId="3" fontId="38" fillId="0" borderId="0" xfId="46" applyNumberFormat="1" applyFont="1" applyBorder="1"/>
    <xf numFmtId="9" fontId="287" fillId="0" borderId="0" xfId="14" applyFont="1" applyBorder="1" applyAlignment="1">
      <alignment vertical="center"/>
    </xf>
    <xf numFmtId="3" fontId="274" fillId="0" borderId="0" xfId="46" applyNumberFormat="1" applyFont="1" applyFill="1" applyBorder="1" applyAlignment="1">
      <alignment vertical="center"/>
    </xf>
    <xf numFmtId="9" fontId="38" fillId="0" borderId="0" xfId="14" applyFont="1" applyBorder="1" applyAlignment="1">
      <alignment vertical="center"/>
    </xf>
    <xf numFmtId="9" fontId="21" fillId="0" borderId="0" xfId="14" applyFont="1" applyBorder="1" applyAlignment="1">
      <alignment vertical="center"/>
    </xf>
    <xf numFmtId="9" fontId="39" fillId="5" borderId="6" xfId="14" applyFont="1" applyFill="1" applyBorder="1" applyAlignment="1">
      <alignment horizontal="center" vertical="center" wrapText="1"/>
    </xf>
    <xf numFmtId="9" fontId="30" fillId="6" borderId="65" xfId="14" applyFont="1" applyFill="1" applyBorder="1" applyAlignment="1">
      <alignment vertical="center" wrapText="1"/>
    </xf>
    <xf numFmtId="41" fontId="21" fillId="0" borderId="0" xfId="0" applyNumberFormat="1" applyFont="1" applyFill="1" applyBorder="1"/>
    <xf numFmtId="41" fontId="0" fillId="0" borderId="0" xfId="0" applyNumberFormat="1" applyFont="1" applyFill="1" applyBorder="1" applyAlignment="1">
      <alignment horizontal="center"/>
    </xf>
    <xf numFmtId="41" fontId="14" fillId="87" borderId="0" xfId="0" applyNumberFormat="1" applyFont="1" applyFill="1" applyBorder="1" applyAlignment="1">
      <alignment vertical="top"/>
    </xf>
    <xf numFmtId="0" fontId="231" fillId="12" borderId="127" xfId="0" applyFont="1" applyFill="1" applyBorder="1" applyAlignment="1">
      <alignment horizontal="left" vertical="center" wrapText="1" readingOrder="1"/>
    </xf>
    <xf numFmtId="0" fontId="300" fillId="12" borderId="127" xfId="0" applyFont="1" applyFill="1" applyBorder="1" applyAlignment="1">
      <alignment horizontal="left" vertical="center" wrapText="1" readingOrder="1"/>
    </xf>
    <xf numFmtId="0" fontId="20" fillId="0" borderId="167" xfId="0" applyFont="1" applyBorder="1"/>
    <xf numFmtId="3" fontId="21" fillId="0" borderId="167" xfId="0" applyNumberFormat="1" applyFont="1" applyFill="1" applyBorder="1"/>
    <xf numFmtId="0" fontId="64" fillId="0" borderId="167" xfId="60" applyBorder="1" applyAlignment="1">
      <alignment horizontal="left"/>
    </xf>
    <xf numFmtId="0" fontId="17" fillId="7" borderId="169" xfId="0" applyFont="1" applyFill="1" applyBorder="1" applyAlignment="1">
      <alignment horizontal="left" vertical="center" wrapText="1"/>
    </xf>
    <xf numFmtId="41" fontId="60" fillId="6" borderId="119" xfId="0" applyNumberFormat="1" applyFont="1" applyFill="1" applyBorder="1" applyAlignment="1">
      <alignment horizontal="center" vertical="center"/>
    </xf>
    <xf numFmtId="0" fontId="34" fillId="0" borderId="76" xfId="0" applyFont="1" applyBorder="1" applyAlignment="1">
      <alignment horizontal="center" vertical="center"/>
    </xf>
    <xf numFmtId="0" fontId="34" fillId="4" borderId="76" xfId="0" applyFont="1" applyFill="1" applyBorder="1" applyAlignment="1">
      <alignment horizontal="center" vertical="center"/>
    </xf>
    <xf numFmtId="168" fontId="16" fillId="0" borderId="0" xfId="0" applyNumberFormat="1" applyFont="1" applyFill="1" applyBorder="1" applyAlignment="1">
      <alignment horizontal="left" vertical="center" wrapText="1"/>
    </xf>
    <xf numFmtId="168" fontId="297" fillId="0" borderId="0" xfId="284" applyNumberFormat="1" applyFont="1" applyFill="1" applyBorder="1" applyAlignment="1" applyProtection="1">
      <alignment vertical="center" wrapText="1"/>
    </xf>
    <xf numFmtId="0" fontId="63" fillId="0" borderId="227" xfId="76" applyFont="1" applyBorder="1" applyAlignment="1">
      <alignment horizontal="center" vertical="center"/>
    </xf>
    <xf numFmtId="0" fontId="63" fillId="0" borderId="163" xfId="76" applyFont="1" applyBorder="1" applyAlignment="1">
      <alignment horizontal="center" vertical="center"/>
    </xf>
    <xf numFmtId="168" fontId="16" fillId="0" borderId="119" xfId="0" applyNumberFormat="1" applyFont="1" applyFill="1" applyBorder="1" applyAlignment="1">
      <alignment horizontal="center" vertical="center" wrapText="1"/>
    </xf>
    <xf numFmtId="0" fontId="63" fillId="0" borderId="214" xfId="76" applyFont="1" applyBorder="1" applyAlignment="1">
      <alignment vertical="center"/>
    </xf>
    <xf numFmtId="168" fontId="16" fillId="0" borderId="119" xfId="0" applyNumberFormat="1" applyFont="1" applyFill="1" applyBorder="1" applyAlignment="1">
      <alignment vertical="center" wrapText="1"/>
    </xf>
    <xf numFmtId="0" fontId="0" fillId="0" borderId="119" xfId="75" applyFont="1" applyFill="1" applyBorder="1" applyAlignment="1">
      <alignment horizontal="center"/>
    </xf>
    <xf numFmtId="168" fontId="17" fillId="7" borderId="169" xfId="0" applyNumberFormat="1" applyFont="1" applyFill="1" applyBorder="1" applyAlignment="1">
      <alignment horizontal="left" vertical="center" wrapText="1"/>
    </xf>
    <xf numFmtId="9" fontId="23" fillId="7" borderId="169" xfId="112" applyFont="1" applyFill="1" applyBorder="1" applyAlignment="1">
      <alignment horizontal="left"/>
    </xf>
    <xf numFmtId="3" fontId="44" fillId="7" borderId="169" xfId="46" applyNumberFormat="1" applyFont="1" applyFill="1" applyBorder="1" applyAlignment="1">
      <alignment horizontal="left" vertical="center"/>
    </xf>
    <xf numFmtId="49" fontId="15" fillId="7" borderId="166" xfId="75" applyNumberFormat="1" applyFont="1" applyFill="1" applyBorder="1" applyAlignment="1">
      <alignment horizontal="center" vertical="center" wrapText="1"/>
    </xf>
    <xf numFmtId="41" fontId="60" fillId="6" borderId="2" xfId="0" applyNumberFormat="1" applyFont="1" applyFill="1" applyBorder="1" applyAlignment="1">
      <alignment horizontal="center" vertical="center"/>
    </xf>
    <xf numFmtId="172" fontId="82" fillId="0" borderId="167" xfId="285" applyNumberFormat="1" applyFont="1" applyBorder="1"/>
    <xf numFmtId="0" fontId="34" fillId="0" borderId="0" xfId="0" applyFont="1" applyBorder="1" applyAlignment="1">
      <alignment horizontal="center" vertical="center"/>
    </xf>
    <xf numFmtId="172" fontId="0" fillId="0" borderId="0" xfId="285" applyNumberFormat="1" applyFont="1" applyBorder="1" applyAlignment="1">
      <alignment vertical="center" wrapText="1"/>
    </xf>
    <xf numFmtId="41" fontId="245" fillId="6" borderId="119" xfId="0" applyNumberFormat="1" applyFont="1" applyFill="1" applyBorder="1" applyAlignment="1">
      <alignment horizontal="center" vertical="center"/>
    </xf>
    <xf numFmtId="41" fontId="245" fillId="0" borderId="230" xfId="0" applyNumberFormat="1" applyFont="1" applyFill="1" applyBorder="1" applyAlignment="1">
      <alignment horizontal="center" vertical="center"/>
    </xf>
    <xf numFmtId="41" fontId="60" fillId="0" borderId="230" xfId="0" applyNumberFormat="1" applyFont="1" applyFill="1" applyBorder="1" applyAlignment="1">
      <alignment horizontal="center" vertical="center"/>
    </xf>
    <xf numFmtId="41" fontId="245" fillId="6" borderId="178" xfId="0" applyNumberFormat="1" applyFont="1" applyFill="1" applyBorder="1" applyAlignment="1">
      <alignment horizontal="center" vertical="center"/>
    </xf>
    <xf numFmtId="41" fontId="67" fillId="6" borderId="178" xfId="0" applyNumberFormat="1" applyFont="1" applyFill="1" applyBorder="1" applyAlignment="1">
      <alignment horizontal="center" vertical="center"/>
    </xf>
    <xf numFmtId="0" fontId="147" fillId="0" borderId="168" xfId="60" applyFont="1" applyBorder="1"/>
    <xf numFmtId="0" fontId="64" fillId="0" borderId="168" xfId="60" applyBorder="1"/>
    <xf numFmtId="0" fontId="64" fillId="0" borderId="168" xfId="60" applyBorder="1" applyAlignment="1">
      <alignment horizontal="left"/>
    </xf>
    <xf numFmtId="0" fontId="130" fillId="0" borderId="168" xfId="284" applyBorder="1" applyAlignment="1" applyProtection="1"/>
    <xf numFmtId="0" fontId="64" fillId="0" borderId="20" xfId="60" applyBorder="1"/>
    <xf numFmtId="0" fontId="21" fillId="0" borderId="231" xfId="0" applyFont="1" applyFill="1" applyBorder="1"/>
    <xf numFmtId="0" fontId="11" fillId="0" borderId="179" xfId="0" applyFont="1" applyFill="1" applyBorder="1"/>
    <xf numFmtId="41" fontId="60" fillId="0" borderId="35" xfId="0" applyNumberFormat="1" applyFont="1" applyFill="1" applyBorder="1" applyAlignment="1">
      <alignment vertical="center" wrapText="1"/>
    </xf>
    <xf numFmtId="41" fontId="60" fillId="6" borderId="26" xfId="0" applyNumberFormat="1" applyFont="1" applyFill="1" applyBorder="1" applyAlignment="1">
      <alignment horizontal="center" vertical="center"/>
    </xf>
    <xf numFmtId="41" fontId="67" fillId="0" borderId="119" xfId="0" applyNumberFormat="1" applyFont="1" applyFill="1" applyBorder="1" applyAlignment="1">
      <alignment horizontal="center" vertical="center"/>
    </xf>
    <xf numFmtId="0" fontId="21" fillId="0" borderId="20" xfId="0" applyFont="1" applyFill="1" applyBorder="1"/>
    <xf numFmtId="0" fontId="64" fillId="0" borderId="167" xfId="60" applyBorder="1" applyAlignment="1">
      <alignment vertical="center"/>
    </xf>
    <xf numFmtId="0" fontId="130" fillId="0" borderId="0" xfId="284" applyAlignment="1" applyProtection="1"/>
    <xf numFmtId="0" fontId="147" fillId="0" borderId="166" xfId="60" applyFont="1" applyBorder="1"/>
    <xf numFmtId="0" fontId="16" fillId="6" borderId="19" xfId="0" applyFont="1" applyFill="1" applyBorder="1" applyAlignment="1">
      <alignment vertical="center" wrapText="1"/>
    </xf>
    <xf numFmtId="0" fontId="16" fillId="6" borderId="0" xfId="0" applyFont="1" applyFill="1" applyBorder="1" applyAlignment="1">
      <alignment vertical="center" wrapText="1"/>
    </xf>
    <xf numFmtId="0" fontId="16" fillId="6" borderId="16" xfId="0" applyFont="1" applyFill="1" applyBorder="1" applyAlignment="1">
      <alignment vertical="center" wrapText="1"/>
    </xf>
    <xf numFmtId="0" fontId="16" fillId="6" borderId="2" xfId="0" applyFont="1" applyFill="1" applyBorder="1" applyAlignment="1">
      <alignment vertical="center" wrapText="1"/>
    </xf>
    <xf numFmtId="0" fontId="16" fillId="0" borderId="165" xfId="72" applyFont="1" applyFill="1" applyBorder="1" applyAlignment="1" applyProtection="1">
      <alignment horizontal="center" vertical="center" wrapText="1"/>
      <protection hidden="1"/>
    </xf>
    <xf numFmtId="0" fontId="16" fillId="6" borderId="12" xfId="0" applyFont="1" applyFill="1" applyBorder="1" applyAlignment="1">
      <alignment horizontal="left" vertical="center" wrapText="1" indent="1"/>
    </xf>
    <xf numFmtId="0" fontId="16" fillId="6" borderId="19" xfId="0" applyFont="1" applyFill="1" applyBorder="1" applyAlignment="1">
      <alignment horizontal="left" vertical="top" wrapText="1" indent="1"/>
    </xf>
    <xf numFmtId="0" fontId="16" fillId="6" borderId="79" xfId="0" applyFont="1" applyFill="1" applyBorder="1" applyAlignment="1">
      <alignment horizontal="left" vertical="center" wrapText="1" indent="1"/>
    </xf>
    <xf numFmtId="0" fontId="16" fillId="0" borderId="76" xfId="0" applyFont="1" applyFill="1" applyBorder="1" applyAlignment="1">
      <alignment horizontal="left" vertical="center" wrapText="1" indent="1"/>
    </xf>
    <xf numFmtId="0" fontId="16" fillId="6" borderId="19" xfId="0" applyFont="1" applyFill="1" applyBorder="1" applyAlignment="1">
      <alignment horizontal="left" vertical="center" wrapText="1" indent="1"/>
    </xf>
    <xf numFmtId="0" fontId="17" fillId="0" borderId="76" xfId="0" applyFont="1" applyFill="1" applyBorder="1" applyAlignment="1">
      <alignment horizontal="left" vertical="center" wrapText="1" indent="1"/>
    </xf>
    <xf numFmtId="0" fontId="0" fillId="0" borderId="0" xfId="0" applyFont="1"/>
    <xf numFmtId="9" fontId="0" fillId="0" borderId="218" xfId="112" applyFont="1" applyFill="1" applyBorder="1"/>
    <xf numFmtId="3" fontId="60" fillId="0" borderId="102" xfId="46" applyNumberFormat="1" applyFont="1" applyFill="1" applyBorder="1" applyAlignment="1">
      <alignment horizontal="center" vertical="center"/>
    </xf>
    <xf numFmtId="3" fontId="60" fillId="0" borderId="119" xfId="46" applyNumberFormat="1" applyFont="1" applyFill="1" applyBorder="1" applyAlignment="1">
      <alignment horizontal="center" vertical="center"/>
    </xf>
    <xf numFmtId="0" fontId="147" fillId="0" borderId="164" xfId="60" applyFont="1" applyBorder="1"/>
    <xf numFmtId="0" fontId="16" fillId="6" borderId="0" xfId="0" applyFont="1" applyFill="1" applyBorder="1" applyAlignment="1">
      <alignment horizontal="left" vertical="top" wrapText="1" indent="1"/>
    </xf>
    <xf numFmtId="41" fontId="11" fillId="0" borderId="167" xfId="0" applyNumberFormat="1" applyFont="1" applyFill="1" applyBorder="1" applyAlignment="1">
      <alignment vertical="top"/>
    </xf>
    <xf numFmtId="3" fontId="18" fillId="57" borderId="64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17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64" xfId="69" applyNumberFormat="1" applyFont="1" applyFill="1" applyBorder="1" applyAlignment="1" applyProtection="1">
      <alignment horizontal="center" vertical="center" wrapText="1"/>
      <protection hidden="1"/>
    </xf>
    <xf numFmtId="0" fontId="12" fillId="8" borderId="64" xfId="0" applyFont="1" applyFill="1" applyBorder="1" applyAlignment="1">
      <alignment horizontal="center" vertical="center" wrapText="1"/>
    </xf>
    <xf numFmtId="0" fontId="16" fillId="0" borderId="64" xfId="6" applyFont="1" applyFill="1" applyBorder="1" applyAlignment="1">
      <alignment horizontal="left" vertical="center" wrapText="1" indent="1"/>
    </xf>
    <xf numFmtId="41" fontId="60" fillId="6" borderId="6" xfId="0" applyNumberFormat="1" applyFont="1" applyFill="1" applyBorder="1" applyAlignment="1">
      <alignment horizontal="right" vertical="center" wrapText="1"/>
    </xf>
    <xf numFmtId="0" fontId="0" fillId="0" borderId="0" xfId="0" applyFill="1" applyBorder="1" applyAlignment="1">
      <alignment horizontal="left" vertical="center"/>
    </xf>
    <xf numFmtId="41" fontId="0" fillId="0" borderId="0" xfId="14" applyNumberFormat="1" applyFont="1" applyFill="1"/>
    <xf numFmtId="169" fontId="60" fillId="6" borderId="36" xfId="0" applyNumberFormat="1" applyFont="1" applyFill="1" applyBorder="1" applyAlignment="1">
      <alignment horizontal="center" vertical="center" wrapText="1"/>
    </xf>
    <xf numFmtId="169" fontId="78" fillId="6" borderId="25" xfId="0" applyNumberFormat="1" applyFont="1" applyFill="1" applyBorder="1" applyAlignment="1">
      <alignment horizontal="center" vertical="center" wrapText="1"/>
    </xf>
    <xf numFmtId="0" fontId="0" fillId="0" borderId="0" xfId="0" applyFont="1"/>
    <xf numFmtId="0" fontId="14" fillId="0" borderId="0" xfId="14" applyNumberFormat="1" applyFont="1" applyFill="1" applyBorder="1" applyAlignment="1">
      <alignment vertical="top"/>
    </xf>
    <xf numFmtId="0" fontId="0" fillId="0" borderId="0" xfId="0" applyNumberFormat="1" applyFill="1" applyBorder="1"/>
    <xf numFmtId="0" fontId="14" fillId="0" borderId="0" xfId="0" applyNumberFormat="1" applyFont="1" applyFill="1" applyBorder="1" applyAlignment="1">
      <alignment vertical="top"/>
    </xf>
    <xf numFmtId="0" fontId="11" fillId="0" borderId="0" xfId="0" applyNumberFormat="1" applyFont="1" applyFill="1" applyBorder="1" applyAlignment="1">
      <alignment vertical="top"/>
    </xf>
    <xf numFmtId="0" fontId="11" fillId="0" borderId="0" xfId="7" applyNumberFormat="1" applyFont="1" applyFill="1" applyBorder="1" applyAlignment="1">
      <alignment vertical="top"/>
    </xf>
    <xf numFmtId="9" fontId="14" fillId="0" borderId="167" xfId="14" applyFont="1" applyFill="1" applyBorder="1" applyAlignment="1">
      <alignment vertical="top"/>
    </xf>
    <xf numFmtId="41" fontId="14" fillId="0" borderId="167" xfId="0" applyNumberFormat="1" applyFont="1" applyFill="1" applyBorder="1" applyAlignment="1">
      <alignment vertical="top"/>
    </xf>
    <xf numFmtId="43" fontId="14" fillId="0" borderId="167" xfId="7" applyFont="1" applyFill="1" applyBorder="1" applyAlignment="1">
      <alignment vertical="top"/>
    </xf>
    <xf numFmtId="41" fontId="0" fillId="0" borderId="167" xfId="0" applyNumberFormat="1" applyFill="1" applyBorder="1"/>
    <xf numFmtId="175" fontId="0" fillId="0" borderId="167" xfId="0" applyNumberFormat="1" applyFill="1" applyBorder="1"/>
    <xf numFmtId="43" fontId="11" fillId="0" borderId="167" xfId="7" applyFont="1" applyFill="1" applyBorder="1" applyAlignment="1">
      <alignment vertical="top"/>
    </xf>
    <xf numFmtId="41" fontId="14" fillId="0" borderId="167" xfId="7" applyNumberFormat="1" applyFont="1" applyFill="1" applyBorder="1" applyAlignment="1">
      <alignment vertical="top"/>
    </xf>
    <xf numFmtId="0" fontId="14" fillId="0" borderId="167" xfId="14" applyNumberFormat="1" applyFont="1" applyFill="1" applyBorder="1" applyAlignment="1">
      <alignment vertical="top"/>
    </xf>
    <xf numFmtId="0" fontId="0" fillId="0" borderId="167" xfId="0" applyNumberFormat="1" applyFill="1" applyBorder="1"/>
    <xf numFmtId="9" fontId="14" fillId="0" borderId="167" xfId="0" applyNumberFormat="1" applyFont="1" applyFill="1" applyBorder="1" applyAlignment="1">
      <alignment vertical="top"/>
    </xf>
    <xf numFmtId="0" fontId="14" fillId="0" borderId="167" xfId="0" applyNumberFormat="1" applyFont="1" applyFill="1" applyBorder="1" applyAlignment="1">
      <alignment vertical="top"/>
    </xf>
    <xf numFmtId="0" fontId="11" fillId="0" borderId="167" xfId="0" applyNumberFormat="1" applyFont="1" applyFill="1" applyBorder="1" applyAlignment="1">
      <alignment vertical="top"/>
    </xf>
    <xf numFmtId="0" fontId="11" fillId="0" borderId="167" xfId="7" applyNumberFormat="1" applyFont="1" applyFill="1" applyBorder="1" applyAlignment="1">
      <alignment vertical="top"/>
    </xf>
    <xf numFmtId="9" fontId="14" fillId="0" borderId="167" xfId="14" applyFont="1" applyFill="1" applyBorder="1" applyAlignment="1">
      <alignment vertical="top" wrapText="1"/>
    </xf>
    <xf numFmtId="41" fontId="14" fillId="0" borderId="167" xfId="0" applyNumberFormat="1" applyFont="1" applyFill="1" applyBorder="1" applyAlignment="1">
      <alignment vertical="top" wrapText="1"/>
    </xf>
    <xf numFmtId="43" fontId="14" fillId="0" borderId="167" xfId="7" applyFont="1" applyFill="1" applyBorder="1" applyAlignment="1">
      <alignment vertical="top" wrapText="1"/>
    </xf>
    <xf numFmtId="0" fontId="0" fillId="0" borderId="167" xfId="0" applyFill="1" applyBorder="1" applyAlignment="1">
      <alignment wrapText="1"/>
    </xf>
    <xf numFmtId="41" fontId="11" fillId="0" borderId="167" xfId="0" applyNumberFormat="1" applyFont="1" applyFill="1" applyBorder="1" applyAlignment="1">
      <alignment vertical="top" wrapText="1"/>
    </xf>
    <xf numFmtId="41" fontId="0" fillId="0" borderId="167" xfId="0" applyNumberFormat="1" applyFill="1" applyBorder="1" applyAlignment="1">
      <alignment wrapText="1"/>
    </xf>
    <xf numFmtId="175" fontId="0" fillId="0" borderId="167" xfId="0" applyNumberFormat="1" applyFill="1" applyBorder="1" applyAlignment="1">
      <alignment wrapText="1"/>
    </xf>
    <xf numFmtId="43" fontId="11" fillId="0" borderId="167" xfId="7" applyFont="1" applyFill="1" applyBorder="1" applyAlignment="1">
      <alignment vertical="top" wrapText="1"/>
    </xf>
    <xf numFmtId="0" fontId="7" fillId="0" borderId="167" xfId="0" applyFont="1" applyBorder="1"/>
    <xf numFmtId="0" fontId="16" fillId="0" borderId="178" xfId="0" applyFont="1" applyFill="1" applyBorder="1" applyAlignment="1">
      <alignment horizontal="left" vertical="center" wrapText="1" indent="1"/>
    </xf>
    <xf numFmtId="169" fontId="70" fillId="6" borderId="175" xfId="0" applyNumberFormat="1" applyFont="1" applyFill="1" applyBorder="1" applyAlignment="1">
      <alignment horizontal="center" vertical="center" wrapText="1"/>
    </xf>
    <xf numFmtId="3" fontId="11" fillId="0" borderId="0" xfId="0" applyNumberFormat="1" applyFont="1" applyAlignment="1">
      <alignment horizontal="left" vertical="center"/>
    </xf>
    <xf numFmtId="0" fontId="18" fillId="0" borderId="0" xfId="69" applyFont="1" applyFill="1" applyBorder="1" applyAlignment="1" applyProtection="1">
      <alignment horizontal="center" vertical="center" wrapText="1"/>
      <protection hidden="1"/>
    </xf>
    <xf numFmtId="41" fontId="60" fillId="6" borderId="8" xfId="69" applyNumberFormat="1" applyFont="1" applyFill="1" applyBorder="1" applyAlignment="1">
      <alignment horizontal="center" vertical="center" wrapText="1"/>
    </xf>
    <xf numFmtId="0" fontId="16" fillId="0" borderId="0" xfId="69" applyFont="1" applyFill="1" applyBorder="1" applyAlignment="1" applyProtection="1">
      <alignment horizontal="center" vertical="center" wrapText="1"/>
      <protection hidden="1"/>
    </xf>
    <xf numFmtId="0" fontId="28" fillId="0" borderId="0" xfId="69" applyFont="1" applyFill="1" applyBorder="1" applyAlignment="1" applyProtection="1">
      <alignment horizontal="center"/>
      <protection hidden="1"/>
    </xf>
    <xf numFmtId="3" fontId="11" fillId="0" borderId="167" xfId="0" applyNumberFormat="1" applyFont="1" applyBorder="1"/>
    <xf numFmtId="0" fontId="15" fillId="3" borderId="0" xfId="69" applyFont="1" applyFill="1" applyBorder="1" applyAlignment="1" applyProtection="1">
      <alignment horizontal="center" vertical="center"/>
      <protection hidden="1"/>
    </xf>
    <xf numFmtId="0" fontId="11" fillId="0" borderId="0" xfId="6" applyFont="1" applyFill="1" applyBorder="1" applyAlignment="1">
      <alignment horizontal="left" vertical="center"/>
    </xf>
    <xf numFmtId="3" fontId="42" fillId="0" borderId="0" xfId="46" applyNumberFormat="1" applyFill="1"/>
    <xf numFmtId="0" fontId="303" fillId="0" borderId="0" xfId="46" applyFont="1" applyFill="1"/>
    <xf numFmtId="0" fontId="16" fillId="0" borderId="165" xfId="46" applyFont="1" applyFill="1" applyBorder="1" applyAlignment="1">
      <alignment horizontal="center" vertical="top" wrapText="1"/>
    </xf>
    <xf numFmtId="9" fontId="0" fillId="0" borderId="165" xfId="112" applyFont="1" applyFill="1" applyBorder="1"/>
    <xf numFmtId="3" fontId="60" fillId="0" borderId="165" xfId="46" applyNumberFormat="1" applyFont="1" applyFill="1" applyBorder="1" applyAlignment="1">
      <alignment horizontal="center" vertical="center"/>
    </xf>
    <xf numFmtId="3" fontId="60" fillId="0" borderId="188" xfId="46" applyNumberFormat="1" applyFont="1" applyFill="1" applyBorder="1" applyAlignment="1">
      <alignment horizontal="center" vertical="center"/>
    </xf>
    <xf numFmtId="3" fontId="60" fillId="6" borderId="167" xfId="46" applyNumberFormat="1" applyFont="1" applyFill="1" applyBorder="1" applyAlignment="1">
      <alignment horizontal="center" vertical="center"/>
    </xf>
    <xf numFmtId="0" fontId="72" fillId="0" borderId="4" xfId="284" applyFont="1" applyBorder="1" applyAlignment="1" applyProtection="1">
      <alignment vertical="center" wrapText="1"/>
    </xf>
    <xf numFmtId="0" fontId="304" fillId="0" borderId="4" xfId="284" applyFont="1" applyBorder="1" applyAlignment="1" applyProtection="1">
      <alignment vertical="center" wrapText="1"/>
    </xf>
    <xf numFmtId="169" fontId="60" fillId="0" borderId="36" xfId="0" applyNumberFormat="1" applyFont="1" applyFill="1" applyBorder="1" applyAlignment="1">
      <alignment horizontal="center" vertical="center" wrapText="1"/>
    </xf>
    <xf numFmtId="169" fontId="70" fillId="0" borderId="79" xfId="0" applyNumberFormat="1" applyFont="1" applyFill="1" applyBorder="1" applyAlignment="1">
      <alignment horizontal="center" vertical="center" wrapText="1"/>
    </xf>
    <xf numFmtId="41" fontId="60" fillId="0" borderId="35" xfId="0" applyNumberFormat="1" applyFont="1" applyFill="1" applyBorder="1" applyAlignment="1">
      <alignment horizontal="center" vertical="center" wrapText="1"/>
    </xf>
    <xf numFmtId="0" fontId="17" fillId="6" borderId="6" xfId="0" applyFont="1" applyFill="1" applyBorder="1" applyAlignment="1">
      <alignment horizontal="left" vertical="center" wrapText="1" indent="1"/>
    </xf>
    <xf numFmtId="41" fontId="60" fillId="6" borderId="167" xfId="69" applyNumberFormat="1" applyFont="1" applyFill="1" applyBorder="1" applyAlignment="1">
      <alignment horizontal="center" vertical="center" wrapText="1"/>
    </xf>
    <xf numFmtId="41" fontId="60" fillId="6" borderId="76" xfId="69" applyNumberFormat="1" applyFont="1" applyFill="1" applyBorder="1" applyAlignment="1">
      <alignment horizontal="center" vertical="center" wrapText="1"/>
    </xf>
    <xf numFmtId="41" fontId="60" fillId="0" borderId="64" xfId="69" applyNumberFormat="1" applyFont="1" applyFill="1" applyBorder="1" applyAlignment="1">
      <alignment horizontal="center" vertical="center" wrapText="1"/>
    </xf>
    <xf numFmtId="41" fontId="60" fillId="6" borderId="64" xfId="69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vertical="top" wrapText="1"/>
    </xf>
    <xf numFmtId="0" fontId="17" fillId="0" borderId="167" xfId="46" applyFont="1" applyFill="1" applyBorder="1" applyAlignment="1">
      <alignment horizontal="left" vertical="center" wrapText="1" indent="1"/>
    </xf>
    <xf numFmtId="173" fontId="0" fillId="0" borderId="0" xfId="0" applyNumberFormat="1" applyFill="1" applyBorder="1" applyAlignment="1">
      <alignment horizontal="center" vertical="center" textRotation="90"/>
    </xf>
    <xf numFmtId="173" fontId="171" fillId="0" borderId="167" xfId="7" applyNumberFormat="1" applyFont="1" applyFill="1" applyBorder="1" applyAlignment="1">
      <alignment horizontal="left"/>
    </xf>
    <xf numFmtId="173" fontId="307" fillId="0" borderId="64" xfId="7" applyNumberFormat="1" applyFont="1" applyFill="1" applyBorder="1" applyAlignment="1">
      <alignment horizontal="left" vertical="center" wrapText="1" indent="1"/>
    </xf>
    <xf numFmtId="43" fontId="308" fillId="0" borderId="165" xfId="7" applyNumberFormat="1" applyFont="1" applyFill="1" applyBorder="1" applyAlignment="1">
      <alignment horizontal="left" vertical="center" wrapText="1" indent="1"/>
    </xf>
    <xf numFmtId="9" fontId="307" fillId="0" borderId="167" xfId="0" applyNumberFormat="1" applyFont="1" applyFill="1" applyBorder="1" applyAlignment="1"/>
    <xf numFmtId="41" fontId="171" fillId="0" borderId="167" xfId="0" applyNumberFormat="1" applyFont="1" applyFill="1" applyBorder="1" applyAlignment="1">
      <alignment vertical="top"/>
    </xf>
    <xf numFmtId="41" fontId="171" fillId="0" borderId="165" xfId="0" applyNumberFormat="1" applyFont="1" applyFill="1" applyBorder="1" applyAlignment="1">
      <alignment vertical="top"/>
    </xf>
    <xf numFmtId="41" fontId="171" fillId="0" borderId="167" xfId="0" applyNumberFormat="1" applyFont="1" applyFill="1" applyBorder="1"/>
    <xf numFmtId="3" fontId="309" fillId="0" borderId="165" xfId="46" applyNumberFormat="1" applyFont="1" applyFill="1" applyBorder="1" applyAlignment="1">
      <alignment horizontal="left" vertical="center" wrapText="1" indent="1"/>
    </xf>
    <xf numFmtId="4" fontId="306" fillId="0" borderId="165" xfId="7" applyNumberFormat="1" applyFont="1" applyFill="1" applyBorder="1" applyAlignment="1">
      <alignment horizontal="left" vertical="center" wrapText="1" indent="1"/>
    </xf>
    <xf numFmtId="3" fontId="310" fillId="5" borderId="167" xfId="69" applyNumberFormat="1" applyFont="1" applyFill="1" applyBorder="1" applyAlignment="1">
      <alignment horizontal="center" vertical="center" wrapText="1"/>
    </xf>
    <xf numFmtId="3" fontId="311" fillId="5" borderId="167" xfId="69" applyNumberFormat="1" applyFont="1" applyFill="1" applyBorder="1" applyAlignment="1">
      <alignment horizontal="center" vertical="center" wrapText="1"/>
    </xf>
    <xf numFmtId="3" fontId="311" fillId="5" borderId="167" xfId="69" applyNumberFormat="1" applyFont="1" applyFill="1" applyBorder="1" applyAlignment="1" applyProtection="1">
      <alignment vertical="center"/>
      <protection hidden="1"/>
    </xf>
    <xf numFmtId="3" fontId="311" fillId="58" borderId="165" xfId="69" applyNumberFormat="1" applyFont="1" applyFill="1" applyBorder="1" applyAlignment="1" applyProtection="1">
      <alignment vertical="center"/>
      <protection hidden="1"/>
    </xf>
    <xf numFmtId="3" fontId="311" fillId="57" borderId="167" xfId="69" applyNumberFormat="1" applyFont="1" applyFill="1" applyBorder="1" applyAlignment="1" applyProtection="1">
      <alignment vertical="center"/>
      <protection hidden="1"/>
    </xf>
    <xf numFmtId="3" fontId="310" fillId="0" borderId="165" xfId="46" applyNumberFormat="1" applyFont="1" applyFill="1" applyBorder="1" applyAlignment="1">
      <alignment horizontal="left" vertical="center" wrapText="1" indent="1"/>
    </xf>
    <xf numFmtId="3" fontId="311" fillId="58" borderId="167" xfId="69" applyNumberFormat="1" applyFont="1" applyFill="1" applyBorder="1" applyAlignment="1" applyProtection="1">
      <alignment vertical="center"/>
      <protection hidden="1"/>
    </xf>
    <xf numFmtId="3" fontId="310" fillId="59" borderId="167" xfId="69" applyNumberFormat="1" applyFont="1" applyFill="1" applyBorder="1" applyAlignment="1">
      <alignment horizontal="center" vertical="center" wrapText="1"/>
    </xf>
    <xf numFmtId="3" fontId="311" fillId="6" borderId="119" xfId="118" applyNumberFormat="1" applyFont="1" applyFill="1" applyBorder="1" applyAlignment="1">
      <alignment horizontal="center" vertical="center" wrapText="1"/>
    </xf>
    <xf numFmtId="3" fontId="311" fillId="61" borderId="167" xfId="69" applyNumberFormat="1" applyFont="1" applyFill="1" applyBorder="1" applyAlignment="1" applyProtection="1">
      <alignment vertical="center"/>
      <protection hidden="1"/>
    </xf>
    <xf numFmtId="3" fontId="310" fillId="61" borderId="167" xfId="69" applyNumberFormat="1" applyFont="1" applyFill="1" applyBorder="1" applyAlignment="1" applyProtection="1">
      <alignment vertical="center"/>
      <protection hidden="1"/>
    </xf>
    <xf numFmtId="3" fontId="311" fillId="62" borderId="167" xfId="69" applyNumberFormat="1" applyFont="1" applyFill="1" applyBorder="1" applyAlignment="1" applyProtection="1">
      <alignment vertical="center"/>
      <protection hidden="1"/>
    </xf>
    <xf numFmtId="3" fontId="310" fillId="0" borderId="169" xfId="46" applyNumberFormat="1" applyFont="1" applyFill="1" applyBorder="1" applyAlignment="1">
      <alignment horizontal="left" vertical="center" wrapText="1" indent="1"/>
    </xf>
    <xf numFmtId="3" fontId="311" fillId="6" borderId="167" xfId="69" applyNumberFormat="1" applyFont="1" applyFill="1" applyBorder="1" applyAlignment="1" applyProtection="1">
      <alignment vertical="center"/>
      <protection hidden="1"/>
    </xf>
    <xf numFmtId="3" fontId="311" fillId="0" borderId="215" xfId="69" applyNumberFormat="1" applyFont="1" applyFill="1" applyBorder="1" applyAlignment="1" applyProtection="1">
      <alignment vertical="center"/>
      <protection hidden="1"/>
    </xf>
    <xf numFmtId="3" fontId="311" fillId="0" borderId="166" xfId="69" applyNumberFormat="1" applyFont="1" applyFill="1" applyBorder="1" applyAlignment="1" applyProtection="1">
      <alignment vertical="center"/>
      <protection hidden="1"/>
    </xf>
    <xf numFmtId="3" fontId="311" fillId="0" borderId="167" xfId="69" applyNumberFormat="1" applyFont="1" applyFill="1" applyBorder="1" applyAlignment="1" applyProtection="1">
      <alignment vertical="center"/>
      <protection hidden="1"/>
    </xf>
    <xf numFmtId="3" fontId="311" fillId="0" borderId="0" xfId="69" applyNumberFormat="1" applyFont="1" applyFill="1" applyAlignment="1" applyProtection="1">
      <alignment vertical="center"/>
      <protection hidden="1"/>
    </xf>
    <xf numFmtId="3" fontId="38" fillId="6" borderId="65" xfId="69" applyNumberFormat="1" applyFont="1" applyFill="1" applyBorder="1" applyAlignment="1">
      <alignment vertical="center" wrapText="1"/>
    </xf>
    <xf numFmtId="3" fontId="38" fillId="0" borderId="215" xfId="69" applyNumberFormat="1" applyFont="1" applyFill="1" applyBorder="1" applyAlignment="1" applyProtection="1">
      <alignment vertical="center"/>
      <protection hidden="1"/>
    </xf>
    <xf numFmtId="3" fontId="38" fillId="0" borderId="166" xfId="69" applyNumberFormat="1" applyFont="1" applyFill="1" applyBorder="1" applyAlignment="1" applyProtection="1">
      <alignment vertical="center"/>
      <protection hidden="1"/>
    </xf>
    <xf numFmtId="3" fontId="38" fillId="0" borderId="167" xfId="69" applyNumberFormat="1" applyFont="1" applyFill="1" applyBorder="1" applyAlignment="1" applyProtection="1">
      <alignment vertical="center"/>
      <protection hidden="1"/>
    </xf>
    <xf numFmtId="3" fontId="38" fillId="0" borderId="0" xfId="69" applyNumberFormat="1" applyFont="1" applyFill="1" applyAlignment="1" applyProtection="1">
      <alignment vertical="center"/>
      <protection hidden="1"/>
    </xf>
    <xf numFmtId="3" fontId="79" fillId="0" borderId="6" xfId="69" applyNumberFormat="1" applyFont="1" applyFill="1" applyBorder="1" applyAlignment="1">
      <alignment horizontal="center" vertical="center" wrapText="1"/>
    </xf>
    <xf numFmtId="3" fontId="75" fillId="0" borderId="6" xfId="46" applyNumberFormat="1" applyFont="1" applyFill="1" applyBorder="1" applyAlignment="1">
      <alignment horizontal="left" vertical="center" wrapText="1" indent="1"/>
    </xf>
    <xf numFmtId="4" fontId="29" fillId="0" borderId="65" xfId="7" applyNumberFormat="1" applyFont="1" applyFill="1" applyBorder="1" applyAlignment="1">
      <alignment horizontal="left" vertical="center" wrapText="1" indent="1"/>
    </xf>
    <xf numFmtId="3" fontId="38" fillId="58" borderId="65" xfId="69" applyNumberFormat="1" applyFont="1" applyFill="1" applyBorder="1" applyAlignment="1">
      <alignment vertical="center" wrapText="1"/>
    </xf>
    <xf numFmtId="3" fontId="38" fillId="57" borderId="65" xfId="69" applyNumberFormat="1" applyFont="1" applyFill="1" applyBorder="1" applyAlignment="1" applyProtection="1">
      <alignment horizontal="center" vertical="center"/>
      <protection hidden="1"/>
    </xf>
    <xf numFmtId="3" fontId="38" fillId="5" borderId="64" xfId="7" applyNumberFormat="1" applyFont="1" applyFill="1" applyBorder="1" applyAlignment="1" applyProtection="1">
      <alignment vertical="center"/>
      <protection hidden="1"/>
    </xf>
    <xf numFmtId="3" fontId="38" fillId="5" borderId="64" xfId="69" applyNumberFormat="1" applyFont="1" applyFill="1" applyBorder="1" applyAlignment="1" applyProtection="1">
      <alignment vertical="center"/>
      <protection hidden="1"/>
    </xf>
    <xf numFmtId="3" fontId="38" fillId="81" borderId="113" xfId="69" applyNumberFormat="1" applyFont="1" applyFill="1" applyBorder="1" applyAlignment="1">
      <alignment horizontal="center" vertical="center" wrapText="1"/>
    </xf>
    <xf numFmtId="3" fontId="38" fillId="57" borderId="64" xfId="69" applyNumberFormat="1" applyFont="1" applyFill="1" applyBorder="1" applyAlignment="1" applyProtection="1">
      <alignment vertical="center"/>
      <protection hidden="1"/>
    </xf>
    <xf numFmtId="3" fontId="39" fillId="0" borderId="67" xfId="46" applyNumberFormat="1" applyFont="1" applyFill="1" applyBorder="1" applyAlignment="1">
      <alignment horizontal="left" vertical="center" wrapText="1" indent="1"/>
    </xf>
    <xf numFmtId="3" fontId="38" fillId="0" borderId="64" xfId="69" applyNumberFormat="1" applyFont="1" applyFill="1" applyBorder="1" applyAlignment="1" applyProtection="1">
      <alignment vertical="center"/>
      <protection hidden="1"/>
    </xf>
    <xf numFmtId="3" fontId="38" fillId="0" borderId="76" xfId="69" applyNumberFormat="1" applyFont="1" applyFill="1" applyBorder="1" applyAlignment="1" applyProtection="1">
      <alignment vertical="center"/>
      <protection hidden="1"/>
    </xf>
    <xf numFmtId="3" fontId="18" fillId="5" borderId="6" xfId="69" applyNumberFormat="1" applyFont="1" applyFill="1" applyBorder="1" applyAlignment="1">
      <alignment horizontal="center" vertical="center" wrapText="1"/>
    </xf>
    <xf numFmtId="3" fontId="15" fillId="57" borderId="165" xfId="69" applyNumberFormat="1" applyFont="1" applyFill="1" applyBorder="1" applyAlignment="1" applyProtection="1">
      <alignment horizontal="center" vertical="center"/>
      <protection hidden="1"/>
    </xf>
    <xf numFmtId="3" fontId="15" fillId="5" borderId="167" xfId="7" applyNumberFormat="1" applyFont="1" applyFill="1" applyBorder="1" applyAlignment="1" applyProtection="1">
      <alignment vertical="center"/>
      <protection hidden="1"/>
    </xf>
    <xf numFmtId="41" fontId="83" fillId="0" borderId="169" xfId="69" applyNumberFormat="1" applyFont="1" applyFill="1" applyBorder="1" applyAlignment="1">
      <alignment vertical="center" wrapText="1"/>
    </xf>
    <xf numFmtId="0" fontId="17" fillId="0" borderId="167" xfId="0" applyFont="1" applyFill="1" applyBorder="1" applyAlignment="1">
      <alignment horizontal="left" vertical="center" wrapText="1" indent="1"/>
    </xf>
    <xf numFmtId="0" fontId="17" fillId="6" borderId="76" xfId="46" applyFont="1" applyFill="1" applyBorder="1" applyAlignment="1">
      <alignment vertical="center" wrapText="1"/>
    </xf>
    <xf numFmtId="0" fontId="44" fillId="0" borderId="0" xfId="46" applyFont="1" applyFill="1" applyBorder="1" applyAlignment="1">
      <alignment horizontal="center" vertical="center"/>
    </xf>
    <xf numFmtId="0" fontId="15" fillId="0" borderId="76" xfId="80" applyFont="1" applyFill="1" applyBorder="1" applyAlignment="1">
      <alignment vertical="center"/>
    </xf>
    <xf numFmtId="0" fontId="30" fillId="6" borderId="76" xfId="80" applyFont="1" applyFill="1" applyBorder="1" applyAlignment="1">
      <alignment vertical="center"/>
    </xf>
    <xf numFmtId="0" fontId="42" fillId="0" borderId="167" xfId="46" applyBorder="1" applyAlignment="1"/>
    <xf numFmtId="0" fontId="30" fillId="0" borderId="76" xfId="80" applyFont="1" applyFill="1" applyBorder="1" applyAlignment="1">
      <alignment horizontal="left" vertical="center"/>
    </xf>
    <xf numFmtId="0" fontId="30" fillId="6" borderId="76" xfId="80" applyFont="1" applyFill="1" applyBorder="1" applyAlignment="1">
      <alignment horizontal="left" vertical="center"/>
    </xf>
    <xf numFmtId="0" fontId="30" fillId="0" borderId="92" xfId="80" applyFont="1" applyFill="1" applyBorder="1" applyAlignment="1">
      <alignment horizontal="left" vertical="center"/>
    </xf>
    <xf numFmtId="0" fontId="30" fillId="6" borderId="92" xfId="80" applyFont="1" applyFill="1" applyBorder="1" applyAlignment="1">
      <alignment horizontal="left" vertical="center"/>
    </xf>
    <xf numFmtId="0" fontId="15" fillId="6" borderId="76" xfId="80" applyFont="1" applyFill="1" applyBorder="1" applyAlignment="1">
      <alignment horizontal="left" vertical="center"/>
    </xf>
    <xf numFmtId="0" fontId="15" fillId="0" borderId="76" xfId="80" applyFont="1" applyBorder="1" applyAlignment="1">
      <alignment horizontal="left" vertical="center"/>
    </xf>
    <xf numFmtId="43" fontId="30" fillId="0" borderId="76" xfId="82" applyFont="1" applyFill="1" applyBorder="1" applyAlignment="1">
      <alignment vertical="center"/>
    </xf>
    <xf numFmtId="43" fontId="30" fillId="6" borderId="76" xfId="82" applyFont="1" applyFill="1" applyBorder="1" applyAlignment="1">
      <alignment vertical="center"/>
    </xf>
    <xf numFmtId="41" fontId="70" fillId="6" borderId="68" xfId="0" applyNumberFormat="1" applyFont="1" applyFill="1" applyBorder="1" applyAlignment="1">
      <alignment horizontal="center" vertical="center" wrapText="1"/>
    </xf>
    <xf numFmtId="0" fontId="18" fillId="0" borderId="0" xfId="6" applyFont="1" applyFill="1" applyAlignment="1">
      <alignment vertical="center"/>
    </xf>
    <xf numFmtId="0" fontId="64" fillId="0" borderId="167" xfId="60" applyBorder="1" applyAlignment="1">
      <alignment horizontal="left"/>
    </xf>
    <xf numFmtId="0" fontId="7" fillId="8" borderId="12" xfId="0" applyFont="1" applyFill="1" applyBorder="1" applyAlignment="1">
      <alignment horizontal="center" vertical="center" wrapText="1"/>
    </xf>
    <xf numFmtId="0" fontId="64" fillId="0" borderId="167" xfId="60" applyBorder="1" applyAlignment="1">
      <alignment horizontal="left"/>
    </xf>
    <xf numFmtId="0" fontId="130" fillId="0" borderId="0" xfId="284" quotePrefix="1" applyAlignment="1" applyProtection="1"/>
    <xf numFmtId="0" fontId="7" fillId="8" borderId="76" xfId="0" applyFont="1" applyFill="1" applyBorder="1" applyAlignment="1">
      <alignment horizontal="center" vertical="center" wrapText="1"/>
    </xf>
    <xf numFmtId="41" fontId="60" fillId="0" borderId="35" xfId="0" applyNumberFormat="1" applyFont="1" applyFill="1" applyBorder="1" applyAlignment="1">
      <alignment horizontal="center" vertical="center" wrapText="1"/>
    </xf>
    <xf numFmtId="41" fontId="60" fillId="6" borderId="36" xfId="0" applyNumberFormat="1" applyFont="1" applyFill="1" applyBorder="1" applyAlignment="1">
      <alignment horizontal="center" vertical="center" wrapText="1"/>
    </xf>
    <xf numFmtId="0" fontId="0" fillId="0" borderId="0" xfId="0" applyFont="1"/>
    <xf numFmtId="0" fontId="47" fillId="0" borderId="167" xfId="69" applyFont="1" applyBorder="1" applyAlignment="1" applyProtection="1">
      <alignment vertical="center" wrapText="1"/>
      <protection hidden="1"/>
    </xf>
    <xf numFmtId="0" fontId="28" fillId="0" borderId="167" xfId="69" applyFont="1" applyBorder="1" applyAlignment="1" applyProtection="1">
      <alignment horizontal="center" wrapText="1"/>
      <protection hidden="1"/>
    </xf>
    <xf numFmtId="0" fontId="15" fillId="6" borderId="0" xfId="69" applyFont="1" applyFill="1" applyAlignment="1" applyProtection="1">
      <alignment horizontal="right" vertical="center"/>
      <protection hidden="1"/>
    </xf>
    <xf numFmtId="0" fontId="47" fillId="6" borderId="167" xfId="69" applyFont="1" applyFill="1" applyBorder="1" applyAlignment="1" applyProtection="1">
      <alignment horizontal="right" vertical="center" wrapText="1"/>
      <protection hidden="1"/>
    </xf>
    <xf numFmtId="0" fontId="47" fillId="0" borderId="167" xfId="69" applyFont="1" applyBorder="1" applyAlignment="1" applyProtection="1">
      <alignment horizontal="right" vertical="center" wrapText="1"/>
      <protection hidden="1"/>
    </xf>
    <xf numFmtId="41" fontId="70" fillId="6" borderId="163" xfId="0" applyNumberFormat="1" applyFont="1" applyFill="1" applyBorder="1" applyAlignment="1">
      <alignment horizontal="center" vertical="center" wrapText="1"/>
    </xf>
    <xf numFmtId="41" fontId="78" fillId="6" borderId="16" xfId="0" applyNumberFormat="1" applyFont="1" applyFill="1" applyBorder="1" applyAlignment="1">
      <alignment horizontal="center" vertical="center" wrapText="1"/>
    </xf>
    <xf numFmtId="0" fontId="14" fillId="7" borderId="169" xfId="6" applyFont="1" applyFill="1" applyBorder="1" applyAlignment="1">
      <alignment vertical="center" wrapText="1"/>
    </xf>
    <xf numFmtId="41" fontId="60" fillId="6" borderId="167" xfId="0" applyNumberFormat="1" applyFont="1" applyFill="1" applyBorder="1" applyAlignment="1">
      <alignment horizontal="center" vertical="center" wrapText="1"/>
    </xf>
    <xf numFmtId="41" fontId="60" fillId="6" borderId="175" xfId="0" applyNumberFormat="1" applyFont="1" applyFill="1" applyBorder="1" applyAlignment="1">
      <alignment horizontal="center" vertical="center" wrapText="1"/>
    </xf>
    <xf numFmtId="173" fontId="60" fillId="0" borderId="36" xfId="0" applyNumberFormat="1" applyFont="1" applyFill="1" applyBorder="1" applyAlignment="1">
      <alignment horizontal="center" vertical="center" wrapText="1"/>
    </xf>
    <xf numFmtId="0" fontId="44" fillId="9" borderId="167" xfId="46" applyFont="1" applyFill="1" applyBorder="1" applyAlignment="1">
      <alignment horizontal="center" vertical="center"/>
    </xf>
    <xf numFmtId="0" fontId="15" fillId="0" borderId="167" xfId="80" applyFont="1" applyFill="1" applyBorder="1" applyAlignment="1">
      <alignment horizontal="left" vertical="center"/>
    </xf>
    <xf numFmtId="0" fontId="30" fillId="6" borderId="167" xfId="80" applyFont="1" applyFill="1" applyBorder="1" applyAlignment="1">
      <alignment horizontal="left" vertical="center"/>
    </xf>
    <xf numFmtId="14" fontId="15" fillId="0" borderId="0" xfId="1" applyNumberFormat="1" applyFont="1" applyBorder="1" applyAlignment="1" applyProtection="1">
      <alignment horizontal="right"/>
      <protection hidden="1"/>
    </xf>
    <xf numFmtId="41" fontId="30" fillId="0" borderId="76" xfId="82" applyNumberFormat="1" applyFont="1" applyFill="1" applyBorder="1" applyAlignment="1">
      <alignment horizontal="left" indent="1"/>
    </xf>
    <xf numFmtId="41" fontId="30" fillId="0" borderId="75" xfId="82" applyNumberFormat="1" applyFont="1" applyFill="1" applyBorder="1" applyAlignment="1">
      <alignment horizontal="center" vertical="center"/>
    </xf>
    <xf numFmtId="41" fontId="30" fillId="6" borderId="76" xfId="82" applyNumberFormat="1" applyFont="1" applyFill="1" applyBorder="1" applyAlignment="1">
      <alignment horizontal="left" indent="1"/>
    </xf>
    <xf numFmtId="41" fontId="30" fillId="6" borderId="75" xfId="82" applyNumberFormat="1" applyFont="1" applyFill="1" applyBorder="1" applyAlignment="1">
      <alignment horizontal="center" vertical="center"/>
    </xf>
    <xf numFmtId="41" fontId="15" fillId="6" borderId="167" xfId="46" applyNumberFormat="1" applyFont="1" applyFill="1" applyBorder="1" applyAlignment="1">
      <alignment horizontal="left" indent="1"/>
    </xf>
    <xf numFmtId="41" fontId="15" fillId="6" borderId="167" xfId="46" applyNumberFormat="1" applyFont="1" applyFill="1" applyBorder="1" applyAlignment="1">
      <alignment horizontal="center" vertical="center"/>
    </xf>
    <xf numFmtId="41" fontId="15" fillId="0" borderId="167" xfId="46" applyNumberFormat="1" applyFont="1" applyBorder="1" applyAlignment="1">
      <alignment horizontal="left" indent="1"/>
    </xf>
    <xf numFmtId="41" fontId="15" fillId="0" borderId="167" xfId="46" applyNumberFormat="1" applyFont="1" applyBorder="1" applyAlignment="1">
      <alignment horizontal="center" vertical="center"/>
    </xf>
    <xf numFmtId="41" fontId="30" fillId="0" borderId="76" xfId="82" applyNumberFormat="1" applyFont="1" applyFill="1" applyBorder="1" applyAlignment="1">
      <alignment horizontal="left" vertical="center" indent="1"/>
    </xf>
    <xf numFmtId="41" fontId="30" fillId="6" borderId="76" xfId="82" applyNumberFormat="1" applyFont="1" applyFill="1" applyBorder="1" applyAlignment="1">
      <alignment horizontal="left" vertical="center" indent="1"/>
    </xf>
    <xf numFmtId="41" fontId="15" fillId="6" borderId="167" xfId="46" applyNumberFormat="1" applyFont="1" applyFill="1" applyBorder="1" applyAlignment="1">
      <alignment horizontal="left" vertical="center" indent="1"/>
    </xf>
    <xf numFmtId="41" fontId="15" fillId="0" borderId="167" xfId="46" applyNumberFormat="1" applyFont="1" applyBorder="1" applyAlignment="1">
      <alignment horizontal="left" vertical="center" indent="1"/>
    </xf>
    <xf numFmtId="168" fontId="16" fillId="8" borderId="167" xfId="0" applyNumberFormat="1" applyFont="1" applyFill="1" applyBorder="1" applyAlignment="1">
      <alignment vertical="center" wrapText="1"/>
    </xf>
    <xf numFmtId="3" fontId="60" fillId="0" borderId="167" xfId="46" applyNumberFormat="1" applyFont="1" applyFill="1" applyBorder="1" applyAlignment="1">
      <alignment horizontal="center" vertical="center"/>
    </xf>
    <xf numFmtId="0" fontId="16" fillId="0" borderId="167" xfId="46" applyFont="1" applyFill="1" applyBorder="1" applyAlignment="1">
      <alignment horizontal="center" vertical="top" wrapText="1"/>
    </xf>
    <xf numFmtId="9" fontId="0" fillId="0" borderId="167" xfId="112" applyFont="1" applyFill="1" applyBorder="1"/>
    <xf numFmtId="0" fontId="16" fillId="6" borderId="171" xfId="46" applyFont="1" applyFill="1" applyBorder="1" applyAlignment="1">
      <alignment horizontal="center" vertical="top" wrapText="1"/>
    </xf>
    <xf numFmtId="9" fontId="0" fillId="6" borderId="171" xfId="112" applyFont="1" applyFill="1" applyBorder="1"/>
    <xf numFmtId="3" fontId="60" fillId="6" borderId="171" xfId="46" applyNumberFormat="1" applyFont="1" applyFill="1" applyBorder="1" applyAlignment="1">
      <alignment horizontal="center" vertical="center"/>
    </xf>
    <xf numFmtId="3" fontId="60" fillId="6" borderId="174" xfId="46" applyNumberFormat="1" applyFont="1" applyFill="1" applyBorder="1" applyAlignment="1">
      <alignment horizontal="center" vertical="center"/>
    </xf>
    <xf numFmtId="0" fontId="14" fillId="6" borderId="31" xfId="46" applyFont="1" applyFill="1" applyBorder="1" applyAlignment="1">
      <alignment horizontal="center" vertical="center" wrapText="1"/>
    </xf>
    <xf numFmtId="9" fontId="0" fillId="6" borderId="0" xfId="112" applyFont="1" applyFill="1"/>
    <xf numFmtId="0" fontId="147" fillId="0" borderId="167" xfId="60" applyFont="1" applyBorder="1" applyAlignment="1"/>
    <xf numFmtId="169" fontId="60" fillId="0" borderId="36" xfId="0" applyNumberFormat="1" applyFont="1" applyFill="1" applyBorder="1" applyAlignment="1">
      <alignment horizontal="center" vertical="center" wrapText="1"/>
    </xf>
    <xf numFmtId="169" fontId="78" fillId="0" borderId="25" xfId="0" applyNumberFormat="1" applyFont="1" applyFill="1" applyBorder="1" applyAlignment="1">
      <alignment horizontal="center" vertical="center" wrapText="1"/>
    </xf>
    <xf numFmtId="169" fontId="70" fillId="6" borderId="79" xfId="0" applyNumberFormat="1" applyFont="1" applyFill="1" applyBorder="1" applyAlignment="1">
      <alignment horizontal="center" vertical="center" wrapText="1"/>
    </xf>
    <xf numFmtId="169" fontId="60" fillId="6" borderId="36" xfId="0" applyNumberFormat="1" applyFont="1" applyFill="1" applyBorder="1" applyAlignment="1">
      <alignment horizontal="center" vertical="center" wrapText="1"/>
    </xf>
    <xf numFmtId="0" fontId="130" fillId="0" borderId="167" xfId="284" applyBorder="1" applyAlignment="1" applyProtection="1">
      <alignment vertical="center" wrapText="1"/>
    </xf>
    <xf numFmtId="0" fontId="7" fillId="3" borderId="0" xfId="0" applyFont="1" applyFill="1" applyBorder="1" applyAlignment="1"/>
    <xf numFmtId="0" fontId="312" fillId="0" borderId="4" xfId="284" applyFont="1" applyBorder="1" applyAlignment="1" applyProtection="1">
      <alignment vertical="center" wrapText="1"/>
    </xf>
    <xf numFmtId="0" fontId="304" fillId="0" borderId="38" xfId="284" applyFont="1" applyBorder="1" applyAlignment="1" applyProtection="1">
      <alignment vertical="center" wrapText="1"/>
    </xf>
    <xf numFmtId="168" fontId="16" fillId="0" borderId="75" xfId="0" applyNumberFormat="1" applyFont="1" applyFill="1" applyBorder="1" applyAlignment="1">
      <alignment horizontal="left" vertical="center" wrapText="1"/>
    </xf>
    <xf numFmtId="168" fontId="204" fillId="0" borderId="219" xfId="284" applyNumberFormat="1" applyFont="1" applyFill="1" applyBorder="1" applyAlignment="1" applyProtection="1">
      <alignment horizontal="center" vertical="center" wrapText="1"/>
    </xf>
    <xf numFmtId="168" fontId="60" fillId="0" borderId="0" xfId="46" applyNumberFormat="1" applyFont="1" applyFill="1" applyBorder="1" applyAlignment="1">
      <alignment horizontal="center" vertical="center"/>
    </xf>
    <xf numFmtId="0" fontId="16" fillId="0" borderId="0" xfId="46" applyFont="1" applyFill="1" applyBorder="1" applyAlignment="1">
      <alignment horizontal="center" vertical="center" wrapText="1"/>
    </xf>
    <xf numFmtId="0" fontId="30" fillId="0" borderId="77" xfId="0" applyFont="1" applyBorder="1" applyAlignment="1">
      <alignment horizontal="center" vertical="center"/>
    </xf>
    <xf numFmtId="0" fontId="30" fillId="0" borderId="74" xfId="0" applyFont="1" applyBorder="1" applyAlignment="1">
      <alignment horizontal="center" vertical="center"/>
    </xf>
    <xf numFmtId="0" fontId="230" fillId="90" borderId="127" xfId="0" applyFont="1" applyFill="1" applyBorder="1" applyAlignment="1">
      <alignment horizontal="center" vertical="center" textRotation="90" wrapText="1" readingOrder="1"/>
    </xf>
    <xf numFmtId="0" fontId="230" fillId="90" borderId="129" xfId="0" applyFont="1" applyFill="1" applyBorder="1" applyAlignment="1">
      <alignment horizontal="center" vertical="center" textRotation="90" wrapText="1" readingOrder="1"/>
    </xf>
    <xf numFmtId="0" fontId="230" fillId="90" borderId="130" xfId="0" applyFont="1" applyFill="1" applyBorder="1" applyAlignment="1">
      <alignment horizontal="center" vertical="center" textRotation="90" wrapText="1" readingOrder="1"/>
    </xf>
    <xf numFmtId="0" fontId="230" fillId="92" borderId="127" xfId="0" applyFont="1" applyFill="1" applyBorder="1" applyAlignment="1">
      <alignment horizontal="center" vertical="center" textRotation="90" wrapText="1" readingOrder="1"/>
    </xf>
    <xf numFmtId="0" fontId="230" fillId="92" borderId="129" xfId="0" applyFont="1" applyFill="1" applyBorder="1" applyAlignment="1">
      <alignment horizontal="center" vertical="center" textRotation="90" wrapText="1" readingOrder="1"/>
    </xf>
    <xf numFmtId="0" fontId="230" fillId="92" borderId="130" xfId="0" applyFont="1" applyFill="1" applyBorder="1" applyAlignment="1">
      <alignment horizontal="center" vertical="center" textRotation="90" wrapText="1" readingOrder="1"/>
    </xf>
    <xf numFmtId="0" fontId="229" fillId="89" borderId="124" xfId="0" applyFont="1" applyFill="1" applyBorder="1" applyAlignment="1">
      <alignment horizontal="center" vertical="center" wrapText="1" readingOrder="1"/>
    </xf>
    <xf numFmtId="0" fontId="229" fillId="89" borderId="125" xfId="0" applyFont="1" applyFill="1" applyBorder="1" applyAlignment="1">
      <alignment horizontal="center" vertical="center" wrapText="1" readingOrder="1"/>
    </xf>
    <xf numFmtId="0" fontId="240" fillId="90" borderId="127" xfId="0" applyFont="1" applyFill="1" applyBorder="1" applyAlignment="1">
      <alignment horizontal="center" vertical="center" wrapText="1" readingOrder="1"/>
    </xf>
    <xf numFmtId="0" fontId="240" fillId="90" borderId="129" xfId="0" applyFont="1" applyFill="1" applyBorder="1" applyAlignment="1">
      <alignment horizontal="center" vertical="center" wrapText="1" readingOrder="1"/>
    </xf>
    <xf numFmtId="0" fontId="240" fillId="90" borderId="130" xfId="0" applyFont="1" applyFill="1" applyBorder="1" applyAlignment="1">
      <alignment horizontal="center" vertical="center" wrapText="1" readingOrder="1"/>
    </xf>
    <xf numFmtId="0" fontId="240" fillId="92" borderId="127" xfId="0" applyFont="1" applyFill="1" applyBorder="1" applyAlignment="1">
      <alignment horizontal="center" vertical="center" wrapText="1" readingOrder="1"/>
    </xf>
    <xf numFmtId="0" fontId="240" fillId="92" borderId="129" xfId="0" applyFont="1" applyFill="1" applyBorder="1" applyAlignment="1">
      <alignment horizontal="center" vertical="center" wrapText="1" readingOrder="1"/>
    </xf>
    <xf numFmtId="0" fontId="240" fillId="92" borderId="130" xfId="0" applyFont="1" applyFill="1" applyBorder="1" applyAlignment="1">
      <alignment horizontal="center" vertical="center" wrapText="1" readingOrder="1"/>
    </xf>
    <xf numFmtId="0" fontId="151" fillId="6" borderId="70" xfId="0" applyFont="1" applyFill="1" applyBorder="1" applyAlignment="1">
      <alignment horizontal="center" vertical="center" wrapText="1"/>
    </xf>
    <xf numFmtId="0" fontId="11" fillId="0" borderId="0" xfId="0" applyFont="1" applyAlignment="1">
      <alignment vertical="center" wrapText="1"/>
    </xf>
    <xf numFmtId="0" fontId="0" fillId="0" borderId="0" xfId="0" applyAlignment="1" applyProtection="1">
      <alignment horizontal="left" vertical="top" wrapText="1"/>
      <protection locked="0" hidden="1"/>
    </xf>
    <xf numFmtId="0" fontId="64" fillId="0" borderId="167" xfId="60" applyBorder="1" applyAlignment="1">
      <alignment horizontal="left" wrapText="1"/>
    </xf>
    <xf numFmtId="0" fontId="8" fillId="0" borderId="167" xfId="60" applyFont="1" applyBorder="1" applyAlignment="1">
      <alignment horizontal="left" vertical="center" wrapText="1"/>
    </xf>
    <xf numFmtId="0" fontId="64" fillId="0" borderId="167" xfId="60" applyBorder="1" applyAlignment="1">
      <alignment horizontal="left"/>
    </xf>
    <xf numFmtId="0" fontId="7" fillId="0" borderId="20" xfId="60" applyFont="1" applyBorder="1" applyAlignment="1">
      <alignment horizontal="center" vertical="center"/>
    </xf>
    <xf numFmtId="0" fontId="7" fillId="0" borderId="0" xfId="60" applyFont="1" applyBorder="1" applyAlignment="1">
      <alignment horizontal="center" vertical="center"/>
    </xf>
    <xf numFmtId="0" fontId="147" fillId="0" borderId="167" xfId="60" applyFont="1" applyBorder="1" applyAlignment="1">
      <alignment horizontal="center" vertical="center"/>
    </xf>
    <xf numFmtId="0" fontId="1" fillId="0" borderId="167" xfId="60" applyFont="1" applyBorder="1" applyAlignment="1">
      <alignment horizontal="left" vertical="center" wrapText="1"/>
    </xf>
    <xf numFmtId="0" fontId="8" fillId="0" borderId="167" xfId="60" applyFont="1" applyBorder="1" applyAlignment="1">
      <alignment horizontal="left" wrapText="1"/>
    </xf>
    <xf numFmtId="0" fontId="7" fillId="0" borderId="167" xfId="60" applyFont="1" applyBorder="1" applyAlignment="1">
      <alignment horizontal="center" vertical="center"/>
    </xf>
    <xf numFmtId="0" fontId="64" fillId="0" borderId="165" xfId="60" applyBorder="1" applyAlignment="1">
      <alignment horizontal="left"/>
    </xf>
    <xf numFmtId="0" fontId="64" fillId="0" borderId="166" xfId="60" applyBorder="1" applyAlignment="1">
      <alignment horizontal="left"/>
    </xf>
    <xf numFmtId="0" fontId="7" fillId="0" borderId="168" xfId="60" applyFont="1" applyBorder="1" applyAlignment="1">
      <alignment horizontal="center" vertical="center"/>
    </xf>
    <xf numFmtId="0" fontId="66" fillId="0" borderId="167" xfId="60" applyFont="1" applyBorder="1" applyAlignment="1">
      <alignment horizontal="center" vertical="center"/>
    </xf>
    <xf numFmtId="0" fontId="66" fillId="0" borderId="168" xfId="60" applyFont="1" applyBorder="1" applyAlignment="1">
      <alignment horizontal="center" vertical="center"/>
    </xf>
    <xf numFmtId="0" fontId="64" fillId="0" borderId="163" xfId="60" applyBorder="1" applyAlignment="1">
      <alignment horizontal="left"/>
    </xf>
    <xf numFmtId="0" fontId="64" fillId="0" borderId="164" xfId="60" applyBorder="1" applyAlignment="1">
      <alignment horizontal="left"/>
    </xf>
    <xf numFmtId="0" fontId="7" fillId="0" borderId="119" xfId="60" applyFont="1" applyBorder="1" applyAlignment="1">
      <alignment horizontal="center" vertical="center"/>
    </xf>
    <xf numFmtId="0" fontId="147" fillId="0" borderId="168" xfId="60" applyFont="1" applyBorder="1" applyAlignment="1">
      <alignment horizontal="center" vertical="center"/>
    </xf>
    <xf numFmtId="0" fontId="147" fillId="0" borderId="119" xfId="60" applyFont="1" applyBorder="1" applyAlignment="1">
      <alignment horizontal="center" vertical="center"/>
    </xf>
    <xf numFmtId="0" fontId="147" fillId="0" borderId="167" xfId="60" applyFont="1" applyBorder="1" applyAlignment="1">
      <alignment horizontal="right"/>
    </xf>
    <xf numFmtId="0" fontId="130" fillId="0" borderId="167" xfId="284" applyBorder="1" applyAlignment="1" applyProtection="1">
      <alignment horizontal="left"/>
    </xf>
    <xf numFmtId="0" fontId="8" fillId="0" borderId="76" xfId="60" applyFont="1" applyBorder="1" applyAlignment="1">
      <alignment horizontal="left" vertical="center" wrapText="1"/>
    </xf>
    <xf numFmtId="0" fontId="7" fillId="0" borderId="12" xfId="60" applyFont="1" applyBorder="1" applyAlignment="1">
      <alignment horizontal="center" vertical="center"/>
    </xf>
    <xf numFmtId="0" fontId="7" fillId="0" borderId="15" xfId="60" applyFont="1" applyBorder="1" applyAlignment="1">
      <alignment horizontal="center" vertical="center"/>
    </xf>
    <xf numFmtId="0" fontId="64" fillId="0" borderId="163" xfId="60" applyBorder="1" applyAlignment="1">
      <alignment horizontal="left" vertical="center" wrapText="1"/>
    </xf>
    <xf numFmtId="0" fontId="64" fillId="0" borderId="164" xfId="60" applyBorder="1" applyAlignment="1">
      <alignment horizontal="left" vertical="center" wrapText="1"/>
    </xf>
    <xf numFmtId="0" fontId="147" fillId="0" borderId="165" xfId="60" applyFont="1" applyBorder="1" applyAlignment="1">
      <alignment horizontal="center" vertical="center"/>
    </xf>
    <xf numFmtId="0" fontId="64" fillId="0" borderId="167" xfId="60" applyBorder="1" applyAlignment="1">
      <alignment horizontal="left" vertical="center"/>
    </xf>
    <xf numFmtId="0" fontId="147" fillId="0" borderId="166" xfId="60" applyFont="1" applyBorder="1" applyAlignment="1">
      <alignment horizontal="right" vertical="center"/>
    </xf>
    <xf numFmtId="0" fontId="64" fillId="0" borderId="77" xfId="60" applyBorder="1" applyAlignment="1">
      <alignment horizontal="left"/>
    </xf>
    <xf numFmtId="0" fontId="64" fillId="0" borderId="75" xfId="60" applyBorder="1" applyAlignment="1">
      <alignment horizontal="left"/>
    </xf>
    <xf numFmtId="0" fontId="186" fillId="0" borderId="113" xfId="60" applyFont="1" applyBorder="1" applyAlignment="1">
      <alignment horizontal="center" vertical="center" wrapText="1"/>
    </xf>
    <xf numFmtId="0" fontId="186" fillId="0" borderId="12" xfId="60" applyFont="1" applyBorder="1" applyAlignment="1">
      <alignment horizontal="center" vertical="center" wrapText="1"/>
    </xf>
    <xf numFmtId="0" fontId="186" fillId="0" borderId="15" xfId="60" applyFont="1" applyBorder="1" applyAlignment="1">
      <alignment horizontal="center" vertical="center" wrapText="1"/>
    </xf>
    <xf numFmtId="0" fontId="186" fillId="0" borderId="119" xfId="60" applyFont="1" applyBorder="1" applyAlignment="1">
      <alignment horizontal="center" vertical="center" wrapText="1"/>
    </xf>
    <xf numFmtId="0" fontId="147" fillId="0" borderId="167" xfId="60" applyFont="1" applyBorder="1" applyAlignment="1">
      <alignment horizontal="right" vertical="center"/>
    </xf>
    <xf numFmtId="0" fontId="7" fillId="0" borderId="92" xfId="60" applyFont="1" applyBorder="1" applyAlignment="1">
      <alignment horizontal="left" vertical="center"/>
    </xf>
    <xf numFmtId="0" fontId="34" fillId="0" borderId="167" xfId="60" applyFont="1" applyBorder="1" applyAlignment="1">
      <alignment horizontal="left" wrapText="1"/>
    </xf>
    <xf numFmtId="0" fontId="34" fillId="0" borderId="76" xfId="60" applyFont="1" applyBorder="1" applyAlignment="1">
      <alignment horizontal="left" vertical="top" wrapText="1"/>
    </xf>
    <xf numFmtId="0" fontId="186" fillId="0" borderId="17" xfId="60" applyFont="1" applyBorder="1" applyAlignment="1">
      <alignment horizontal="center" vertical="center" wrapText="1"/>
    </xf>
    <xf numFmtId="0" fontId="186" fillId="0" borderId="1" xfId="60" applyFont="1" applyBorder="1" applyAlignment="1">
      <alignment horizontal="center" vertical="center" wrapText="1"/>
    </xf>
    <xf numFmtId="0" fontId="7" fillId="6" borderId="167" xfId="60" applyFont="1" applyFill="1" applyBorder="1" applyAlignment="1">
      <alignment horizontal="left" vertical="center"/>
    </xf>
    <xf numFmtId="0" fontId="34" fillId="0" borderId="167" xfId="60" applyFont="1" applyFill="1" applyBorder="1" applyAlignment="1">
      <alignment horizontal="left" vertical="center"/>
    </xf>
    <xf numFmtId="0" fontId="269" fillId="0" borderId="167" xfId="284" applyFont="1" applyBorder="1" applyAlignment="1" applyProtection="1">
      <alignment horizontal="left" vertical="center"/>
    </xf>
    <xf numFmtId="0" fontId="34" fillId="0" borderId="167" xfId="60" applyFont="1" applyFill="1" applyBorder="1" applyAlignment="1">
      <alignment horizontal="left" wrapText="1"/>
    </xf>
    <xf numFmtId="0" fontId="7" fillId="6" borderId="167" xfId="60" applyFont="1" applyFill="1" applyBorder="1" applyAlignment="1">
      <alignment horizontal="left"/>
    </xf>
    <xf numFmtId="0" fontId="34" fillId="0" borderId="167" xfId="60" applyFont="1" applyBorder="1" applyAlignment="1">
      <alignment horizontal="left"/>
    </xf>
    <xf numFmtId="0" fontId="7" fillId="0" borderId="93" xfId="60" applyFont="1" applyBorder="1" applyAlignment="1">
      <alignment horizontal="center" vertical="center"/>
    </xf>
    <xf numFmtId="0" fontId="7" fillId="0" borderId="1" xfId="60" applyFont="1" applyBorder="1" applyAlignment="1">
      <alignment horizontal="center" vertical="center"/>
    </xf>
    <xf numFmtId="0" fontId="186" fillId="0" borderId="92" xfId="60" applyFont="1" applyBorder="1" applyAlignment="1">
      <alignment horizontal="center" vertical="center" wrapText="1"/>
    </xf>
    <xf numFmtId="0" fontId="186" fillId="0" borderId="76" xfId="60" applyFont="1" applyBorder="1" applyAlignment="1">
      <alignment horizontal="center" vertical="center" wrapText="1"/>
    </xf>
    <xf numFmtId="0" fontId="7" fillId="0" borderId="40" xfId="60" applyFont="1" applyBorder="1" applyAlignment="1">
      <alignment horizontal="left" vertical="center"/>
    </xf>
    <xf numFmtId="0" fontId="8" fillId="0" borderId="165" xfId="60" applyFont="1" applyBorder="1" applyAlignment="1">
      <alignment horizontal="left"/>
    </xf>
    <xf numFmtId="0" fontId="8" fillId="0" borderId="166" xfId="60" applyFont="1" applyBorder="1" applyAlignment="1">
      <alignment horizontal="left"/>
    </xf>
    <xf numFmtId="14" fontId="20" fillId="0" borderId="32" xfId="60" applyNumberFormat="1" applyFont="1" applyBorder="1" applyAlignment="1">
      <alignment horizontal="left" vertical="top" wrapText="1"/>
    </xf>
    <xf numFmtId="0" fontId="147" fillId="0" borderId="64" xfId="60" applyFont="1" applyBorder="1" applyAlignment="1">
      <alignment horizontal="left" vertical="center" wrapText="1"/>
    </xf>
    <xf numFmtId="0" fontId="34" fillId="0" borderId="64" xfId="60" applyFont="1" applyBorder="1" applyAlignment="1">
      <alignment horizontal="left" vertical="center" wrapText="1"/>
    </xf>
    <xf numFmtId="0" fontId="34" fillId="0" borderId="64" xfId="60" applyFont="1" applyBorder="1" applyAlignment="1">
      <alignment horizontal="left" vertical="center"/>
    </xf>
    <xf numFmtId="14" fontId="137" fillId="0" borderId="64" xfId="60" applyNumberFormat="1" applyFont="1" applyBorder="1" applyAlignment="1">
      <alignment horizontal="left" vertical="center" wrapText="1"/>
    </xf>
    <xf numFmtId="14" fontId="137" fillId="0" borderId="28" xfId="60" applyNumberFormat="1" applyFont="1" applyBorder="1" applyAlignment="1">
      <alignment horizontal="left" vertical="center" wrapText="1"/>
    </xf>
    <xf numFmtId="172" fontId="137" fillId="0" borderId="64" xfId="287" applyNumberFormat="1" applyFont="1" applyBorder="1" applyAlignment="1">
      <alignment horizontal="left"/>
    </xf>
    <xf numFmtId="172" fontId="137" fillId="0" borderId="28" xfId="287" applyNumberFormat="1" applyFont="1" applyBorder="1" applyAlignment="1">
      <alignment horizontal="left"/>
    </xf>
    <xf numFmtId="0" fontId="7" fillId="0" borderId="64" xfId="60" applyFont="1" applyBorder="1" applyAlignment="1">
      <alignment horizontal="left" vertical="center"/>
    </xf>
    <xf numFmtId="0" fontId="7" fillId="0" borderId="28" xfId="60" applyFont="1" applyBorder="1" applyAlignment="1">
      <alignment horizontal="left" vertical="center"/>
    </xf>
    <xf numFmtId="0" fontId="34" fillId="0" borderId="12" xfId="60" applyFont="1" applyBorder="1" applyAlignment="1">
      <alignment horizontal="left" vertical="center"/>
    </xf>
    <xf numFmtId="0" fontId="7" fillId="0" borderId="45" xfId="60" applyFont="1" applyBorder="1" applyAlignment="1">
      <alignment horizontal="center" vertical="center"/>
    </xf>
    <xf numFmtId="14" fontId="20" fillId="0" borderId="32" xfId="60" applyNumberFormat="1" applyFont="1" applyBorder="1" applyAlignment="1">
      <alignment horizontal="center" vertical="top" wrapText="1"/>
    </xf>
    <xf numFmtId="14" fontId="20" fillId="0" borderId="49" xfId="60" applyNumberFormat="1" applyFont="1" applyBorder="1" applyAlignment="1">
      <alignment horizontal="center" vertical="top" wrapText="1"/>
    </xf>
    <xf numFmtId="0" fontId="147" fillId="0" borderId="64" xfId="60" applyFont="1" applyBorder="1" applyAlignment="1">
      <alignment horizontal="center" vertical="center" wrapText="1"/>
    </xf>
    <xf numFmtId="0" fontId="147" fillId="0" borderId="12" xfId="60" applyFont="1" applyBorder="1" applyAlignment="1">
      <alignment horizontal="center" vertical="center" wrapText="1"/>
    </xf>
    <xf numFmtId="0" fontId="34" fillId="0" borderId="77" xfId="60" applyFont="1" applyBorder="1" applyAlignment="1">
      <alignment horizontal="left" vertical="top" wrapText="1"/>
    </xf>
    <xf numFmtId="0" fontId="34" fillId="0" borderId="74" xfId="60" applyFont="1" applyBorder="1" applyAlignment="1">
      <alignment horizontal="left" vertical="top" wrapText="1"/>
    </xf>
    <xf numFmtId="0" fontId="34" fillId="6" borderId="64" xfId="60" applyFont="1" applyFill="1" applyBorder="1" applyAlignment="1">
      <alignment horizontal="left" vertical="center" wrapText="1"/>
    </xf>
    <xf numFmtId="0" fontId="7" fillId="0" borderId="71" xfId="60" applyFont="1" applyBorder="1" applyAlignment="1">
      <alignment horizontal="center" vertical="center"/>
    </xf>
    <xf numFmtId="0" fontId="7" fillId="0" borderId="73" xfId="60" applyFont="1" applyBorder="1" applyAlignment="1">
      <alignment horizontal="center" vertical="center"/>
    </xf>
    <xf numFmtId="0" fontId="34" fillId="0" borderId="64" xfId="60" applyFont="1" applyBorder="1" applyAlignment="1">
      <alignment horizontal="left" vertical="top" wrapText="1"/>
    </xf>
    <xf numFmtId="0" fontId="147" fillId="6" borderId="41" xfId="60" applyFont="1" applyFill="1" applyBorder="1" applyAlignment="1">
      <alignment horizontal="center" vertical="center" wrapText="1"/>
    </xf>
    <xf numFmtId="0" fontId="147" fillId="6" borderId="44" xfId="60" applyFont="1" applyFill="1" applyBorder="1" applyAlignment="1">
      <alignment horizontal="center" vertical="center" wrapText="1"/>
    </xf>
    <xf numFmtId="0" fontId="147" fillId="6" borderId="42" xfId="60" applyFont="1" applyFill="1" applyBorder="1" applyAlignment="1">
      <alignment horizontal="center" vertical="center" wrapText="1"/>
    </xf>
    <xf numFmtId="0" fontId="34" fillId="6" borderId="43" xfId="60" applyFont="1" applyFill="1" applyBorder="1" applyAlignment="1">
      <alignment horizontal="left" vertical="center" wrapText="1"/>
    </xf>
    <xf numFmtId="0" fontId="147" fillId="0" borderId="41" xfId="60" applyFont="1" applyBorder="1" applyAlignment="1">
      <alignment horizontal="center" vertical="center" wrapText="1"/>
    </xf>
    <xf numFmtId="0" fontId="147" fillId="0" borderId="44" xfId="60" applyFont="1" applyBorder="1" applyAlignment="1">
      <alignment horizontal="center" vertical="center" wrapText="1"/>
    </xf>
    <xf numFmtId="0" fontId="7" fillId="0" borderId="43" xfId="60" applyFont="1" applyBorder="1" applyAlignment="1">
      <alignment horizontal="left"/>
    </xf>
    <xf numFmtId="0" fontId="147" fillId="0" borderId="42" xfId="60" applyFont="1" applyBorder="1" applyAlignment="1">
      <alignment horizontal="center" vertical="center" wrapText="1"/>
    </xf>
    <xf numFmtId="0" fontId="7" fillId="0" borderId="76" xfId="60" applyFont="1" applyBorder="1" applyAlignment="1">
      <alignment horizontal="left" vertical="center"/>
    </xf>
    <xf numFmtId="0" fontId="7" fillId="0" borderId="90" xfId="60" applyFont="1" applyBorder="1" applyAlignment="1">
      <alignment horizontal="left" vertical="center"/>
    </xf>
    <xf numFmtId="0" fontId="147" fillId="0" borderId="15" xfId="60" applyFont="1" applyBorder="1" applyAlignment="1">
      <alignment horizontal="center" vertical="center" wrapText="1"/>
    </xf>
    <xf numFmtId="0" fontId="147" fillId="0" borderId="95" xfId="60" applyFont="1" applyBorder="1" applyAlignment="1">
      <alignment horizontal="center" vertical="center" wrapText="1"/>
    </xf>
    <xf numFmtId="0" fontId="34" fillId="0" borderId="76" xfId="60" applyFont="1" applyBorder="1" applyAlignment="1">
      <alignment horizontal="left" vertical="center"/>
    </xf>
    <xf numFmtId="0" fontId="34" fillId="0" borderId="72" xfId="60" applyFont="1" applyBorder="1" applyAlignment="1">
      <alignment horizontal="left" vertical="center"/>
    </xf>
    <xf numFmtId="0" fontId="34" fillId="0" borderId="75" xfId="60" applyFont="1" applyBorder="1" applyAlignment="1">
      <alignment horizontal="left" vertical="top" wrapText="1"/>
    </xf>
    <xf numFmtId="0" fontId="34" fillId="0" borderId="96" xfId="60" applyFont="1" applyBorder="1" applyAlignment="1">
      <alignment horizontal="left" vertical="top" wrapText="1"/>
    </xf>
    <xf numFmtId="0" fontId="34" fillId="0" borderId="97" xfId="60" applyFont="1" applyBorder="1" applyAlignment="1">
      <alignment horizontal="left" vertical="top" wrapText="1"/>
    </xf>
    <xf numFmtId="0" fontId="186" fillId="0" borderId="72" xfId="60" applyFont="1" applyBorder="1" applyAlignment="1">
      <alignment horizontal="center" vertical="center" wrapText="1"/>
    </xf>
    <xf numFmtId="0" fontId="7" fillId="0" borderId="92" xfId="60" applyFont="1" applyBorder="1" applyAlignment="1">
      <alignment horizontal="center" vertical="center" wrapText="1"/>
    </xf>
    <xf numFmtId="0" fontId="7" fillId="0" borderId="76" xfId="60" applyFont="1" applyBorder="1" applyAlignment="1">
      <alignment horizontal="center" vertical="center" wrapText="1"/>
    </xf>
    <xf numFmtId="0" fontId="7" fillId="0" borderId="72" xfId="60" applyFont="1" applyBorder="1" applyAlignment="1">
      <alignment horizontal="center" vertical="center" wrapText="1"/>
    </xf>
    <xf numFmtId="0" fontId="34" fillId="0" borderId="91" xfId="60" applyFont="1" applyBorder="1" applyAlignment="1">
      <alignment horizontal="left" vertical="top" wrapText="1"/>
    </xf>
    <xf numFmtId="0" fontId="7" fillId="0" borderId="103" xfId="60" applyFont="1" applyBorder="1" applyAlignment="1">
      <alignment horizontal="center" vertical="center"/>
    </xf>
    <xf numFmtId="0" fontId="7" fillId="0" borderId="104" xfId="60" applyFont="1" applyBorder="1" applyAlignment="1">
      <alignment horizontal="center" vertical="center"/>
    </xf>
    <xf numFmtId="0" fontId="7" fillId="0" borderId="106" xfId="60" applyFont="1" applyBorder="1" applyAlignment="1">
      <alignment horizontal="center" vertical="center"/>
    </xf>
    <xf numFmtId="0" fontId="7" fillId="0" borderId="76" xfId="60" applyFont="1" applyBorder="1" applyAlignment="1">
      <alignment horizontal="center" vertical="center"/>
    </xf>
    <xf numFmtId="0" fontId="147" fillId="0" borderId="93" xfId="60" applyFont="1" applyBorder="1" applyAlignment="1">
      <alignment horizontal="center" vertical="center" wrapText="1"/>
    </xf>
    <xf numFmtId="0" fontId="147" fillId="0" borderId="1" xfId="60" applyFont="1" applyBorder="1" applyAlignment="1">
      <alignment horizontal="center" vertical="center" wrapText="1"/>
    </xf>
    <xf numFmtId="0" fontId="7" fillId="0" borderId="43" xfId="60" applyFont="1" applyBorder="1" applyAlignment="1">
      <alignment horizontal="left" vertical="center"/>
    </xf>
    <xf numFmtId="0" fontId="7" fillId="0" borderId="31" xfId="60" applyFont="1" applyBorder="1" applyAlignment="1">
      <alignment horizontal="left" vertical="center"/>
    </xf>
    <xf numFmtId="0" fontId="186" fillId="0" borderId="101" xfId="60" applyFont="1" applyBorder="1" applyAlignment="1">
      <alignment horizontal="center" vertical="center" wrapText="1"/>
    </xf>
    <xf numFmtId="0" fontId="186" fillId="0" borderId="102" xfId="60" applyFont="1" applyBorder="1" applyAlignment="1">
      <alignment horizontal="center" vertical="center" wrapText="1"/>
    </xf>
    <xf numFmtId="0" fontId="186" fillId="0" borderId="107" xfId="60" applyFont="1" applyBorder="1" applyAlignment="1">
      <alignment horizontal="center" vertical="center" wrapText="1"/>
    </xf>
    <xf numFmtId="0" fontId="147" fillId="0" borderId="94" xfId="60" applyFont="1" applyBorder="1" applyAlignment="1">
      <alignment horizontal="center" vertical="center" wrapText="1"/>
    </xf>
    <xf numFmtId="0" fontId="147" fillId="0" borderId="43" xfId="60" applyFont="1" applyBorder="1" applyAlignment="1">
      <alignment horizontal="center" vertical="center" wrapText="1"/>
    </xf>
    <xf numFmtId="0" fontId="147" fillId="0" borderId="76" xfId="60" applyFont="1" applyBorder="1" applyAlignment="1">
      <alignment horizontal="center" vertical="center" wrapText="1"/>
    </xf>
    <xf numFmtId="0" fontId="7" fillId="0" borderId="94" xfId="60" applyFont="1" applyBorder="1" applyAlignment="1">
      <alignment horizontal="center" vertical="center"/>
    </xf>
    <xf numFmtId="0" fontId="8" fillId="0" borderId="165" xfId="60" applyFont="1" applyBorder="1" applyAlignment="1">
      <alignment horizontal="left" vertical="center" wrapText="1"/>
    </xf>
    <xf numFmtId="0" fontId="8" fillId="0" borderId="166" xfId="60" applyFont="1" applyBorder="1" applyAlignment="1">
      <alignment horizontal="left" vertical="center" wrapText="1"/>
    </xf>
    <xf numFmtId="0" fontId="7" fillId="0" borderId="131" xfId="60" applyFont="1" applyBorder="1" applyAlignment="1">
      <alignment horizontal="center" vertical="center"/>
    </xf>
    <xf numFmtId="0" fontId="147" fillId="0" borderId="167" xfId="60" applyFont="1" applyBorder="1" applyAlignment="1">
      <alignment horizontal="center" vertical="center" wrapText="1"/>
    </xf>
    <xf numFmtId="0" fontId="147" fillId="0" borderId="167" xfId="60" applyFont="1" applyBorder="1" applyAlignment="1">
      <alignment horizontal="left" vertical="center" wrapText="1"/>
    </xf>
    <xf numFmtId="0" fontId="64" fillId="0" borderId="167" xfId="60" applyBorder="1" applyAlignment="1">
      <alignment horizontal="left" vertical="center" wrapText="1"/>
    </xf>
    <xf numFmtId="0" fontId="64" fillId="0" borderId="76" xfId="60" applyBorder="1" applyAlignment="1">
      <alignment horizontal="left"/>
    </xf>
    <xf numFmtId="0" fontId="64" fillId="0" borderId="77" xfId="60" applyBorder="1" applyAlignment="1">
      <alignment horizontal="center"/>
    </xf>
    <xf numFmtId="0" fontId="64" fillId="0" borderId="75" xfId="60" applyBorder="1" applyAlignment="1">
      <alignment horizontal="center"/>
    </xf>
    <xf numFmtId="0" fontId="74" fillId="0" borderId="0" xfId="0" applyFont="1" applyAlignment="1">
      <alignment horizontal="center" vertical="center"/>
    </xf>
    <xf numFmtId="0" fontId="11" fillId="0" borderId="0" xfId="13" applyFont="1" applyFill="1" applyAlignment="1">
      <alignment horizontal="left" vertical="center" wrapText="1"/>
    </xf>
    <xf numFmtId="0" fontId="40" fillId="6" borderId="175" xfId="0" applyFont="1" applyFill="1" applyBorder="1" applyAlignment="1">
      <alignment horizontal="left" vertical="center" wrapText="1" indent="1"/>
    </xf>
    <xf numFmtId="0" fontId="40" fillId="6" borderId="176" xfId="0" applyFont="1" applyFill="1" applyBorder="1" applyAlignment="1">
      <alignment horizontal="left" vertical="center" wrapText="1" indent="1"/>
    </xf>
    <xf numFmtId="0" fontId="40" fillId="6" borderId="177" xfId="0" applyFont="1" applyFill="1" applyBorder="1" applyAlignment="1">
      <alignment horizontal="left" vertical="center" wrapText="1" indent="1"/>
    </xf>
    <xf numFmtId="0" fontId="16" fillId="6" borderId="175" xfId="0" applyFont="1" applyFill="1" applyBorder="1" applyAlignment="1">
      <alignment horizontal="left" vertical="center" wrapText="1" indent="1"/>
    </xf>
    <xf numFmtId="0" fontId="16" fillId="6" borderId="176" xfId="0" applyFont="1" applyFill="1" applyBorder="1" applyAlignment="1">
      <alignment horizontal="left" vertical="center" wrapText="1" indent="1"/>
    </xf>
    <xf numFmtId="0" fontId="16" fillId="6" borderId="177" xfId="0" applyFont="1" applyFill="1" applyBorder="1" applyAlignment="1">
      <alignment horizontal="left" vertical="center" wrapText="1" indent="1"/>
    </xf>
    <xf numFmtId="0" fontId="16" fillId="3" borderId="25" xfId="0" applyFont="1" applyFill="1" applyBorder="1" applyAlignment="1">
      <alignment horizontal="left" vertical="center" wrapText="1" indent="1"/>
    </xf>
    <xf numFmtId="0" fontId="16" fillId="3" borderId="27" xfId="0" applyFont="1" applyFill="1" applyBorder="1" applyAlignment="1">
      <alignment horizontal="left" vertical="center" wrapText="1" indent="1"/>
    </xf>
    <xf numFmtId="0" fontId="16" fillId="3" borderId="23" xfId="0" applyFont="1" applyFill="1" applyBorder="1" applyAlignment="1">
      <alignment horizontal="left" vertical="center" wrapText="1" indent="1"/>
    </xf>
    <xf numFmtId="0" fontId="0" fillId="0" borderId="60" xfId="0" applyBorder="1" applyAlignment="1">
      <alignment horizontal="left" vertical="center" wrapText="1" indent="1"/>
    </xf>
    <xf numFmtId="0" fontId="0" fillId="0" borderId="74" xfId="0" applyBorder="1" applyAlignment="1">
      <alignment horizontal="left" vertical="center" wrapText="1" indent="1"/>
    </xf>
    <xf numFmtId="0" fontId="0" fillId="0" borderId="62" xfId="0" applyFont="1" applyBorder="1" applyAlignment="1">
      <alignment horizontal="left" vertical="center" wrapText="1" indent="1"/>
    </xf>
    <xf numFmtId="0" fontId="0" fillId="0" borderId="61" xfId="0" applyFont="1" applyBorder="1" applyAlignment="1">
      <alignment horizontal="left" vertical="center" wrapText="1" indent="1"/>
    </xf>
    <xf numFmtId="0" fontId="30" fillId="8" borderId="12" xfId="0" applyFont="1" applyFill="1" applyBorder="1" applyAlignment="1">
      <alignment horizontal="center" vertical="center" wrapText="1"/>
    </xf>
    <xf numFmtId="0" fontId="30" fillId="8" borderId="13" xfId="0" applyFont="1" applyFill="1" applyBorder="1" applyAlignment="1">
      <alignment horizontal="center" vertical="center" wrapText="1"/>
    </xf>
    <xf numFmtId="0" fontId="16" fillId="6" borderId="12" xfId="0" applyFont="1" applyFill="1" applyBorder="1" applyAlignment="1">
      <alignment horizontal="center" vertical="center" wrapText="1"/>
    </xf>
    <xf numFmtId="0" fontId="16" fillId="6" borderId="15" xfId="0" applyFont="1" applyFill="1" applyBorder="1" applyAlignment="1">
      <alignment horizontal="center" vertical="center" wrapText="1"/>
    </xf>
    <xf numFmtId="0" fontId="16" fillId="6" borderId="13" xfId="0" applyFont="1" applyFill="1" applyBorder="1" applyAlignment="1">
      <alignment horizontal="center" vertical="center" wrapText="1"/>
    </xf>
    <xf numFmtId="0" fontId="16" fillId="3" borderId="12" xfId="0" applyFont="1" applyFill="1" applyBorder="1" applyAlignment="1">
      <alignment horizontal="center" vertical="center" wrapText="1"/>
    </xf>
    <xf numFmtId="0" fontId="16" fillId="3" borderId="15" xfId="0" applyFont="1" applyFill="1" applyBorder="1" applyAlignment="1">
      <alignment horizontal="center" vertical="center" wrapText="1"/>
    </xf>
    <xf numFmtId="0" fontId="16" fillId="3" borderId="13" xfId="0" applyFont="1" applyFill="1" applyBorder="1" applyAlignment="1">
      <alignment horizontal="center" vertical="center" wrapText="1"/>
    </xf>
    <xf numFmtId="0" fontId="17" fillId="6" borderId="18" xfId="0" applyFont="1" applyFill="1" applyBorder="1" applyAlignment="1">
      <alignment horizontal="left" vertical="center" wrapText="1" indent="1"/>
    </xf>
    <xf numFmtId="0" fontId="17" fillId="6" borderId="20" xfId="0" applyFont="1" applyFill="1" applyBorder="1" applyAlignment="1">
      <alignment horizontal="left" vertical="center" wrapText="1" indent="1"/>
    </xf>
    <xf numFmtId="0" fontId="17" fillId="0" borderId="18" xfId="0" applyFont="1" applyFill="1" applyBorder="1" applyAlignment="1">
      <alignment horizontal="left" vertical="center" wrapText="1" indent="1"/>
    </xf>
    <xf numFmtId="0" fontId="17" fillId="0" borderId="20" xfId="0" applyFont="1" applyFill="1" applyBorder="1" applyAlignment="1">
      <alignment horizontal="left" vertical="center" wrapText="1" indent="1"/>
    </xf>
    <xf numFmtId="0" fontId="16" fillId="0" borderId="1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0" fontId="16" fillId="0" borderId="19" xfId="0" applyFont="1" applyFill="1" applyBorder="1" applyAlignment="1">
      <alignment horizontal="left" vertical="top" wrapText="1" indent="1"/>
    </xf>
    <xf numFmtId="0" fontId="16" fillId="0" borderId="1" xfId="0" applyFont="1" applyFill="1" applyBorder="1" applyAlignment="1">
      <alignment horizontal="left" vertical="top" wrapText="1" indent="1"/>
    </xf>
    <xf numFmtId="0" fontId="16" fillId="0" borderId="16" xfId="0" applyFont="1" applyFill="1" applyBorder="1" applyAlignment="1">
      <alignment horizontal="left" vertical="top" wrapText="1" indent="1"/>
    </xf>
    <xf numFmtId="0" fontId="16" fillId="0" borderId="14" xfId="0" applyFont="1" applyFill="1" applyBorder="1" applyAlignment="1">
      <alignment horizontal="left" vertical="top" wrapText="1" indent="1"/>
    </xf>
    <xf numFmtId="0" fontId="30" fillId="8" borderId="18" xfId="0" applyFont="1" applyFill="1" applyBorder="1" applyAlignment="1">
      <alignment horizontal="center" vertical="center" wrapText="1"/>
    </xf>
    <xf numFmtId="0" fontId="30" fillId="8" borderId="20" xfId="0" applyFont="1" applyFill="1" applyBorder="1" applyAlignment="1">
      <alignment horizontal="center" vertical="center" wrapText="1"/>
    </xf>
    <xf numFmtId="0" fontId="30" fillId="8" borderId="17" xfId="0" applyFont="1" applyFill="1" applyBorder="1" applyAlignment="1">
      <alignment horizontal="center" vertical="center" wrapText="1"/>
    </xf>
    <xf numFmtId="0" fontId="30" fillId="8" borderId="16" xfId="0" applyFont="1" applyFill="1" applyBorder="1" applyAlignment="1">
      <alignment horizontal="center" vertical="center" wrapText="1"/>
    </xf>
    <xf numFmtId="0" fontId="30" fillId="8" borderId="2" xfId="0" applyFont="1" applyFill="1" applyBorder="1" applyAlignment="1">
      <alignment horizontal="center" vertical="center" wrapText="1"/>
    </xf>
    <xf numFmtId="0" fontId="30" fillId="8" borderId="14" xfId="0" applyFont="1" applyFill="1" applyBorder="1" applyAlignment="1">
      <alignment horizontal="center" vertical="center" wrapText="1"/>
    </xf>
    <xf numFmtId="0" fontId="16" fillId="6" borderId="19" xfId="0" applyFont="1" applyFill="1" applyBorder="1" applyAlignment="1">
      <alignment horizontal="left" vertical="top" wrapText="1" indent="1"/>
    </xf>
    <xf numFmtId="0" fontId="16" fillId="6" borderId="1" xfId="0" applyFont="1" applyFill="1" applyBorder="1" applyAlignment="1">
      <alignment horizontal="left" vertical="top" wrapText="1" indent="1"/>
    </xf>
    <xf numFmtId="0" fontId="16" fillId="6" borderId="16" xfId="0" applyFont="1" applyFill="1" applyBorder="1" applyAlignment="1">
      <alignment horizontal="left" vertical="top" wrapText="1" indent="1"/>
    </xf>
    <xf numFmtId="0" fontId="16" fillId="6" borderId="14" xfId="0" applyFont="1" applyFill="1" applyBorder="1" applyAlignment="1">
      <alignment horizontal="left" vertical="top" wrapText="1" indent="1"/>
    </xf>
    <xf numFmtId="0" fontId="14" fillId="6" borderId="12" xfId="0" applyFont="1" applyFill="1" applyBorder="1" applyAlignment="1">
      <alignment horizontal="center" vertical="center" textRotation="90" wrapText="1"/>
    </xf>
    <xf numFmtId="0" fontId="14" fillId="6" borderId="15" xfId="0" applyFont="1" applyFill="1" applyBorder="1" applyAlignment="1">
      <alignment horizontal="center" vertical="center" textRotation="90" wrapText="1"/>
    </xf>
    <xf numFmtId="0" fontId="14" fillId="6" borderId="92" xfId="0" applyFont="1" applyFill="1" applyBorder="1" applyAlignment="1">
      <alignment horizontal="center" vertical="center" textRotation="90" wrapText="1"/>
    </xf>
    <xf numFmtId="0" fontId="16" fillId="6" borderId="6" xfId="0" applyFont="1" applyFill="1" applyBorder="1" applyAlignment="1">
      <alignment horizontal="center" vertical="center" wrapText="1"/>
    </xf>
    <xf numFmtId="0" fontId="30" fillId="0" borderId="20" xfId="0" applyFont="1" applyBorder="1" applyAlignment="1">
      <alignment horizontal="center" vertical="center" wrapText="1"/>
    </xf>
    <xf numFmtId="0" fontId="30" fillId="0" borderId="17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30" fillId="0" borderId="14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12" fillId="0" borderId="119" xfId="0" applyFont="1" applyBorder="1" applyAlignment="1">
      <alignment horizontal="center" vertical="center" wrapText="1"/>
    </xf>
    <xf numFmtId="0" fontId="16" fillId="6" borderId="163" xfId="0" applyFont="1" applyFill="1" applyBorder="1" applyAlignment="1">
      <alignment horizontal="center" vertical="center" wrapText="1"/>
    </xf>
    <xf numFmtId="0" fontId="16" fillId="6" borderId="20" xfId="0" applyFont="1" applyFill="1" applyBorder="1" applyAlignment="1">
      <alignment horizontal="center" vertical="center" wrapText="1"/>
    </xf>
    <xf numFmtId="0" fontId="16" fillId="6" borderId="164" xfId="0" applyFont="1" applyFill="1" applyBorder="1" applyAlignment="1">
      <alignment horizontal="center" vertical="center" wrapText="1"/>
    </xf>
    <xf numFmtId="0" fontId="16" fillId="6" borderId="234" xfId="0" applyFont="1" applyFill="1" applyBorder="1" applyAlignment="1">
      <alignment horizontal="center" vertical="center" wrapText="1"/>
    </xf>
    <xf numFmtId="0" fontId="16" fillId="6" borderId="231" xfId="0" applyFont="1" applyFill="1" applyBorder="1" applyAlignment="1">
      <alignment horizontal="center" vertical="center" wrapText="1"/>
    </xf>
    <xf numFmtId="0" fontId="16" fillId="6" borderId="235" xfId="0" applyFont="1" applyFill="1" applyBorder="1" applyAlignment="1">
      <alignment horizontal="center" vertical="center" wrapText="1"/>
    </xf>
    <xf numFmtId="0" fontId="16" fillId="6" borderId="76" xfId="0" applyFont="1" applyFill="1" applyBorder="1" applyAlignment="1">
      <alignment horizontal="center" vertical="center" wrapText="1"/>
    </xf>
    <xf numFmtId="0" fontId="16" fillId="6" borderId="18" xfId="0" applyFont="1" applyFill="1" applyBorder="1" applyAlignment="1">
      <alignment horizontal="center" vertical="center" wrapText="1"/>
    </xf>
    <xf numFmtId="0" fontId="16" fillId="6" borderId="19" xfId="0" applyFont="1" applyFill="1" applyBorder="1" applyAlignment="1">
      <alignment horizontal="center" vertical="center" wrapText="1"/>
    </xf>
    <xf numFmtId="0" fontId="16" fillId="6" borderId="0" xfId="0" applyFont="1" applyFill="1" applyBorder="1" applyAlignment="1">
      <alignment horizontal="center" vertical="center" wrapText="1"/>
    </xf>
    <xf numFmtId="0" fontId="16" fillId="0" borderId="36" xfId="0" applyFont="1" applyFill="1" applyBorder="1" applyAlignment="1">
      <alignment horizontal="left" vertical="center" wrapText="1" indent="1"/>
    </xf>
    <xf numFmtId="0" fontId="16" fillId="0" borderId="37" xfId="0" applyFont="1" applyFill="1" applyBorder="1" applyAlignment="1">
      <alignment horizontal="left" vertical="center" wrapText="1" indent="1"/>
    </xf>
    <xf numFmtId="0" fontId="16" fillId="6" borderId="12" xfId="0" applyFont="1" applyFill="1" applyBorder="1" applyAlignment="1">
      <alignment horizontal="left" vertical="center" wrapText="1" indent="1"/>
    </xf>
    <xf numFmtId="41" fontId="16" fillId="6" borderId="175" xfId="0" applyNumberFormat="1" applyFont="1" applyFill="1" applyBorder="1" applyAlignment="1">
      <alignment horizontal="left" vertical="center" wrapText="1"/>
    </xf>
    <xf numFmtId="41" fontId="16" fillId="6" borderId="177" xfId="0" applyNumberFormat="1" applyFont="1" applyFill="1" applyBorder="1" applyAlignment="1">
      <alignment horizontal="left" vertical="center" wrapText="1"/>
    </xf>
    <xf numFmtId="41" fontId="16" fillId="0" borderId="228" xfId="0" applyNumberFormat="1" applyFont="1" applyFill="1" applyBorder="1" applyAlignment="1">
      <alignment horizontal="left" vertical="center" wrapText="1"/>
    </xf>
    <xf numFmtId="41" fontId="16" fillId="0" borderId="229" xfId="0" applyNumberFormat="1" applyFont="1" applyFill="1" applyBorder="1" applyAlignment="1">
      <alignment horizontal="left" vertical="center" wrapText="1"/>
    </xf>
    <xf numFmtId="0" fontId="14" fillId="3" borderId="76" xfId="6" applyFont="1" applyFill="1" applyBorder="1" applyAlignment="1">
      <alignment horizontal="center" vertical="center" textRotation="90" wrapText="1"/>
    </xf>
    <xf numFmtId="0" fontId="14" fillId="3" borderId="167" xfId="6" applyFont="1" applyFill="1" applyBorder="1" applyAlignment="1">
      <alignment horizontal="center" vertical="center" textRotation="90" wrapText="1"/>
    </xf>
    <xf numFmtId="0" fontId="14" fillId="0" borderId="17" xfId="0" applyFont="1" applyFill="1" applyBorder="1" applyAlignment="1">
      <alignment horizontal="center" vertical="center" textRotation="90" wrapText="1"/>
    </xf>
    <xf numFmtId="0" fontId="14" fillId="0" borderId="1" xfId="0" applyFont="1" applyFill="1" applyBorder="1" applyAlignment="1">
      <alignment horizontal="center" vertical="center" textRotation="90" wrapText="1"/>
    </xf>
    <xf numFmtId="0" fontId="14" fillId="0" borderId="14" xfId="0" applyFont="1" applyFill="1" applyBorder="1" applyAlignment="1">
      <alignment horizontal="center" vertical="center" textRotation="90" wrapText="1"/>
    </xf>
    <xf numFmtId="0" fontId="17" fillId="6" borderId="163" xfId="0" applyFont="1" applyFill="1" applyBorder="1" applyAlignment="1">
      <alignment horizontal="left" vertical="center" wrapText="1"/>
    </xf>
    <xf numFmtId="0" fontId="17" fillId="6" borderId="164" xfId="0" applyFont="1" applyFill="1" applyBorder="1" applyAlignment="1">
      <alignment horizontal="left" vertical="center" wrapText="1"/>
    </xf>
    <xf numFmtId="0" fontId="17" fillId="6" borderId="19" xfId="0" applyFont="1" applyFill="1" applyBorder="1" applyAlignment="1">
      <alignment horizontal="left" vertical="center" wrapText="1"/>
    </xf>
    <xf numFmtId="0" fontId="17" fillId="6" borderId="1" xfId="0" applyFont="1" applyFill="1" applyBorder="1" applyAlignment="1">
      <alignment horizontal="left" vertical="center" wrapText="1"/>
    </xf>
    <xf numFmtId="0" fontId="17" fillId="6" borderId="16" xfId="0" applyFont="1" applyFill="1" applyBorder="1" applyAlignment="1">
      <alignment horizontal="left" vertical="center" wrapText="1"/>
    </xf>
    <xf numFmtId="0" fontId="17" fillId="6" borderId="14" xfId="0" applyFont="1" applyFill="1" applyBorder="1" applyAlignment="1">
      <alignment horizontal="left" vertical="center" wrapText="1"/>
    </xf>
    <xf numFmtId="0" fontId="17" fillId="0" borderId="163" xfId="0" applyFont="1" applyFill="1" applyBorder="1" applyAlignment="1">
      <alignment horizontal="left" vertical="center" wrapText="1"/>
    </xf>
    <xf numFmtId="0" fontId="17" fillId="0" borderId="164" xfId="0" applyFont="1" applyFill="1" applyBorder="1" applyAlignment="1">
      <alignment horizontal="left" vertical="center" wrapText="1"/>
    </xf>
    <xf numFmtId="0" fontId="17" fillId="0" borderId="19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left" vertical="center" wrapText="1"/>
    </xf>
    <xf numFmtId="0" fontId="17" fillId="0" borderId="16" xfId="0" applyFont="1" applyFill="1" applyBorder="1" applyAlignment="1">
      <alignment horizontal="left" vertical="center" wrapText="1"/>
    </xf>
    <xf numFmtId="0" fontId="17" fillId="0" borderId="14" xfId="0" applyFont="1" applyFill="1" applyBorder="1" applyAlignment="1">
      <alignment horizontal="left" vertical="center" wrapText="1"/>
    </xf>
    <xf numFmtId="41" fontId="16" fillId="6" borderId="16" xfId="0" applyNumberFormat="1" applyFont="1" applyFill="1" applyBorder="1" applyAlignment="1">
      <alignment horizontal="left" vertical="center" wrapText="1"/>
    </xf>
    <xf numFmtId="41" fontId="16" fillId="6" borderId="14" xfId="0" applyNumberFormat="1" applyFont="1" applyFill="1" applyBorder="1" applyAlignment="1">
      <alignment horizontal="left" vertical="center" wrapText="1"/>
    </xf>
    <xf numFmtId="0" fontId="40" fillId="0" borderId="36" xfId="0" applyFont="1" applyFill="1" applyBorder="1" applyAlignment="1">
      <alignment horizontal="left" vertical="center" wrapText="1" indent="1"/>
    </xf>
    <xf numFmtId="0" fontId="40" fillId="0" borderId="38" xfId="0" applyFont="1" applyFill="1" applyBorder="1" applyAlignment="1">
      <alignment horizontal="left" vertical="center" wrapText="1" indent="1"/>
    </xf>
    <xf numFmtId="0" fontId="40" fillId="0" borderId="37" xfId="0" applyFont="1" applyFill="1" applyBorder="1" applyAlignment="1">
      <alignment horizontal="left" vertical="center" wrapText="1" indent="1"/>
    </xf>
    <xf numFmtId="0" fontId="40" fillId="6" borderId="25" xfId="0" applyFont="1" applyFill="1" applyBorder="1" applyAlignment="1">
      <alignment horizontal="left" vertical="center" wrapText="1" indent="1"/>
    </xf>
    <xf numFmtId="0" fontId="40" fillId="6" borderId="27" xfId="0" applyFont="1" applyFill="1" applyBorder="1" applyAlignment="1">
      <alignment horizontal="left" vertical="center" wrapText="1" indent="1"/>
    </xf>
    <xf numFmtId="0" fontId="40" fillId="6" borderId="23" xfId="0" applyFont="1" applyFill="1" applyBorder="1" applyAlignment="1">
      <alignment horizontal="left" vertical="center" wrapText="1" indent="1"/>
    </xf>
    <xf numFmtId="0" fontId="16" fillId="3" borderId="36" xfId="0" applyFont="1" applyFill="1" applyBorder="1" applyAlignment="1">
      <alignment horizontal="left" vertical="center" wrapText="1" indent="1"/>
    </xf>
    <xf numFmtId="0" fontId="16" fillId="3" borderId="38" xfId="0" applyFont="1" applyFill="1" applyBorder="1" applyAlignment="1">
      <alignment horizontal="left" vertical="center" wrapText="1" indent="1"/>
    </xf>
    <xf numFmtId="0" fontId="16" fillId="3" borderId="182" xfId="0" applyFont="1" applyFill="1" applyBorder="1" applyAlignment="1">
      <alignment horizontal="left" vertical="center" wrapText="1" indent="1"/>
    </xf>
    <xf numFmtId="41" fontId="16" fillId="6" borderId="178" xfId="0" applyNumberFormat="1" applyFont="1" applyFill="1" applyBorder="1" applyAlignment="1">
      <alignment horizontal="left" vertical="center" wrapText="1"/>
    </xf>
    <xf numFmtId="41" fontId="16" fillId="0" borderId="35" xfId="0" applyNumberFormat="1" applyFont="1" applyFill="1" applyBorder="1" applyAlignment="1">
      <alignment horizontal="left" vertical="center" wrapText="1"/>
    </xf>
    <xf numFmtId="41" fontId="16" fillId="6" borderId="119" xfId="0" applyNumberFormat="1" applyFont="1" applyFill="1" applyBorder="1" applyAlignment="1">
      <alignment horizontal="left" vertical="center" wrapText="1"/>
    </xf>
    <xf numFmtId="0" fontId="16" fillId="6" borderId="1" xfId="0" applyFont="1" applyFill="1" applyBorder="1" applyAlignment="1">
      <alignment horizontal="center" vertical="center" wrapText="1"/>
    </xf>
    <xf numFmtId="0" fontId="7" fillId="8" borderId="12" xfId="0" applyFont="1" applyFill="1" applyBorder="1" applyAlignment="1">
      <alignment horizontal="center" vertical="center" wrapText="1"/>
    </xf>
    <xf numFmtId="0" fontId="7" fillId="8" borderId="119" xfId="0" applyFont="1" applyFill="1" applyBorder="1" applyAlignment="1">
      <alignment horizontal="center" vertical="center" wrapText="1"/>
    </xf>
    <xf numFmtId="0" fontId="0" fillId="4" borderId="167" xfId="0" applyFill="1" applyBorder="1" applyAlignment="1">
      <alignment horizontal="center"/>
    </xf>
    <xf numFmtId="0" fontId="27" fillId="4" borderId="76" xfId="0" applyFont="1" applyFill="1" applyBorder="1" applyAlignment="1">
      <alignment horizontal="center"/>
    </xf>
    <xf numFmtId="0" fontId="0" fillId="0" borderId="164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27" fillId="4" borderId="165" xfId="0" applyFont="1" applyFill="1" applyBorder="1" applyAlignment="1">
      <alignment horizontal="center"/>
    </xf>
    <xf numFmtId="0" fontId="27" fillId="4" borderId="169" xfId="0" applyFont="1" applyFill="1" applyBorder="1" applyAlignment="1">
      <alignment horizontal="center"/>
    </xf>
    <xf numFmtId="0" fontId="27" fillId="4" borderId="166" xfId="0" applyFont="1" applyFill="1" applyBorder="1" applyAlignment="1">
      <alignment horizontal="center"/>
    </xf>
    <xf numFmtId="0" fontId="0" fillId="0" borderId="76" xfId="0" applyBorder="1" applyAlignment="1">
      <alignment horizontal="center" vertical="center"/>
    </xf>
    <xf numFmtId="0" fontId="0" fillId="0" borderId="76" xfId="0" applyBorder="1" applyAlignment="1">
      <alignment horizontal="center"/>
    </xf>
    <xf numFmtId="0" fontId="0" fillId="0" borderId="76" xfId="0" applyBorder="1" applyAlignment="1">
      <alignment horizontal="center" wrapText="1"/>
    </xf>
    <xf numFmtId="0" fontId="0" fillId="0" borderId="165" xfId="0" applyBorder="1" applyAlignment="1">
      <alignment horizontal="center" wrapText="1"/>
    </xf>
    <xf numFmtId="0" fontId="0" fillId="0" borderId="166" xfId="0" applyBorder="1" applyAlignment="1">
      <alignment horizontal="center" wrapText="1"/>
    </xf>
    <xf numFmtId="0" fontId="0" fillId="4" borderId="76" xfId="0" applyFill="1" applyBorder="1" applyAlignment="1">
      <alignment horizontal="center" wrapText="1"/>
    </xf>
    <xf numFmtId="0" fontId="0" fillId="0" borderId="169" xfId="0" applyBorder="1" applyAlignment="1">
      <alignment horizontal="center" wrapText="1"/>
    </xf>
    <xf numFmtId="0" fontId="16" fillId="6" borderId="75" xfId="0" applyFont="1" applyFill="1" applyBorder="1" applyAlignment="1">
      <alignment horizontal="left" vertical="center" indent="1"/>
    </xf>
    <xf numFmtId="0" fontId="16" fillId="6" borderId="76" xfId="0" applyFont="1" applyFill="1" applyBorder="1" applyAlignment="1">
      <alignment horizontal="left" vertical="center" indent="1"/>
    </xf>
    <xf numFmtId="0" fontId="16" fillId="0" borderId="35" xfId="0" applyFont="1" applyFill="1" applyBorder="1" applyAlignment="1">
      <alignment horizontal="left" vertical="center" wrapText="1" indent="1"/>
    </xf>
    <xf numFmtId="0" fontId="16" fillId="0" borderId="16" xfId="0" applyFont="1" applyFill="1" applyBorder="1" applyAlignment="1">
      <alignment horizontal="left" vertical="center" wrapText="1" indent="1"/>
    </xf>
    <xf numFmtId="0" fontId="16" fillId="0" borderId="14" xfId="0" applyFont="1" applyFill="1" applyBorder="1" applyAlignment="1">
      <alignment horizontal="left" vertical="center" wrapText="1" indent="1"/>
    </xf>
    <xf numFmtId="0" fontId="16" fillId="0" borderId="163" xfId="0" applyFont="1" applyFill="1" applyBorder="1" applyAlignment="1">
      <alignment horizontal="center" vertical="center" wrapText="1"/>
    </xf>
    <xf numFmtId="0" fontId="16" fillId="0" borderId="20" xfId="0" applyFont="1" applyFill="1" applyBorder="1" applyAlignment="1">
      <alignment horizontal="center" vertical="center" wrapText="1"/>
    </xf>
    <xf numFmtId="0" fontId="16" fillId="0" borderId="16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6" borderId="16" xfId="0" applyFont="1" applyFill="1" applyBorder="1" applyAlignment="1">
      <alignment horizontal="center" vertical="center" wrapText="1"/>
    </xf>
    <xf numFmtId="0" fontId="16" fillId="6" borderId="14" xfId="0" applyFont="1" applyFill="1" applyBorder="1" applyAlignment="1">
      <alignment horizontal="center" vertical="center" wrapText="1"/>
    </xf>
    <xf numFmtId="0" fontId="16" fillId="6" borderId="150" xfId="0" applyFont="1" applyFill="1" applyBorder="1" applyAlignment="1">
      <alignment horizontal="left" vertical="center" wrapText="1" indent="1"/>
    </xf>
    <xf numFmtId="0" fontId="16" fillId="6" borderId="158" xfId="0" applyFont="1" applyFill="1" applyBorder="1" applyAlignment="1">
      <alignment horizontal="left" vertical="center" indent="1"/>
    </xf>
    <xf numFmtId="0" fontId="16" fillId="0" borderId="19" xfId="0" applyFont="1" applyFill="1" applyBorder="1" applyAlignment="1">
      <alignment horizontal="center" vertical="top" wrapText="1"/>
    </xf>
    <xf numFmtId="0" fontId="16" fillId="0" borderId="1" xfId="0" applyFont="1" applyFill="1" applyBorder="1" applyAlignment="1">
      <alignment horizontal="center" vertical="top" wrapText="1"/>
    </xf>
    <xf numFmtId="0" fontId="16" fillId="0" borderId="16" xfId="0" applyFont="1" applyFill="1" applyBorder="1" applyAlignment="1">
      <alignment horizontal="center" vertical="top" wrapText="1"/>
    </xf>
    <xf numFmtId="0" fontId="16" fillId="0" borderId="14" xfId="0" applyFont="1" applyFill="1" applyBorder="1" applyAlignment="1">
      <alignment horizontal="center" vertical="top" wrapText="1"/>
    </xf>
    <xf numFmtId="0" fontId="0" fillId="0" borderId="77" xfId="0" applyBorder="1" applyAlignment="1">
      <alignment horizontal="left" vertical="center" wrapText="1"/>
    </xf>
    <xf numFmtId="0" fontId="0" fillId="0" borderId="74" xfId="0" applyBorder="1" applyAlignment="1">
      <alignment horizontal="left" vertical="center" wrapText="1"/>
    </xf>
    <xf numFmtId="0" fontId="0" fillId="0" borderId="75" xfId="0" applyBorder="1" applyAlignment="1">
      <alignment horizontal="left" vertical="center" wrapText="1"/>
    </xf>
    <xf numFmtId="0" fontId="12" fillId="8" borderId="77" xfId="0" applyFont="1" applyFill="1" applyBorder="1" applyAlignment="1">
      <alignment horizontal="center" vertical="center" wrapText="1"/>
    </xf>
    <xf numFmtId="0" fontId="12" fillId="8" borderId="74" xfId="0" applyFont="1" applyFill="1" applyBorder="1" applyAlignment="1">
      <alignment horizontal="center" vertical="center" wrapText="1"/>
    </xf>
    <xf numFmtId="0" fontId="17" fillId="7" borderId="77" xfId="0" applyFont="1" applyFill="1" applyBorder="1" applyAlignment="1">
      <alignment horizontal="left" vertical="center" wrapText="1"/>
    </xf>
    <xf numFmtId="0" fontId="17" fillId="7" borderId="74" xfId="0" applyFont="1" applyFill="1" applyBorder="1" applyAlignment="1">
      <alignment horizontal="left" vertical="center" wrapText="1"/>
    </xf>
    <xf numFmtId="0" fontId="15" fillId="8" borderId="18" xfId="0" applyFont="1" applyFill="1" applyBorder="1" applyAlignment="1">
      <alignment horizontal="center" vertical="center" wrapText="1"/>
    </xf>
    <xf numFmtId="0" fontId="15" fillId="8" borderId="20" xfId="0" applyFont="1" applyFill="1" applyBorder="1" applyAlignment="1">
      <alignment horizontal="center" vertical="center" wrapText="1"/>
    </xf>
    <xf numFmtId="0" fontId="15" fillId="8" borderId="17" xfId="0" applyFont="1" applyFill="1" applyBorder="1" applyAlignment="1">
      <alignment horizontal="center" vertical="center" wrapText="1"/>
    </xf>
    <xf numFmtId="0" fontId="15" fillId="8" borderId="16" xfId="0" applyFont="1" applyFill="1" applyBorder="1" applyAlignment="1">
      <alignment horizontal="center" vertical="center" wrapText="1"/>
    </xf>
    <xf numFmtId="0" fontId="15" fillId="8" borderId="2" xfId="0" applyFont="1" applyFill="1" applyBorder="1" applyAlignment="1">
      <alignment horizontal="center" vertical="center" wrapText="1"/>
    </xf>
    <xf numFmtId="0" fontId="15" fillId="8" borderId="14" xfId="0" applyFont="1" applyFill="1" applyBorder="1" applyAlignment="1">
      <alignment horizontal="center" vertical="center" wrapText="1"/>
    </xf>
    <xf numFmtId="0" fontId="26" fillId="7" borderId="77" xfId="0" applyFont="1" applyFill="1" applyBorder="1" applyAlignment="1">
      <alignment horizontal="left" vertical="center" wrapText="1"/>
    </xf>
    <xf numFmtId="0" fontId="26" fillId="7" borderId="74" xfId="0" applyFont="1" applyFill="1" applyBorder="1" applyAlignment="1">
      <alignment horizontal="left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19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6" borderId="79" xfId="0" applyFont="1" applyFill="1" applyBorder="1" applyAlignment="1">
      <alignment horizontal="left" vertical="center" wrapText="1" indent="1"/>
    </xf>
    <xf numFmtId="0" fontId="16" fillId="6" borderId="80" xfId="0" applyFont="1" applyFill="1" applyBorder="1" applyAlignment="1">
      <alignment horizontal="left" vertical="center" wrapText="1" indent="1"/>
    </xf>
    <xf numFmtId="0" fontId="16" fillId="6" borderId="36" xfId="0" applyFont="1" applyFill="1" applyBorder="1" applyAlignment="1">
      <alignment horizontal="left" vertical="center" wrapText="1" indent="1"/>
    </xf>
    <xf numFmtId="0" fontId="16" fillId="6" borderId="37" xfId="0" applyFont="1" applyFill="1" applyBorder="1" applyAlignment="1">
      <alignment horizontal="left" vertical="center" wrapText="1" indent="1"/>
    </xf>
    <xf numFmtId="0" fontId="11" fillId="0" borderId="0" xfId="13" applyFont="1" applyFill="1" applyAlignment="1">
      <alignment vertical="center" wrapText="1"/>
    </xf>
    <xf numFmtId="0" fontId="16" fillId="6" borderId="25" xfId="0" applyFont="1" applyFill="1" applyBorder="1" applyAlignment="1">
      <alignment horizontal="left" vertical="center" wrapText="1" indent="1"/>
    </xf>
    <xf numFmtId="0" fontId="16" fillId="6" borderId="27" xfId="0" applyFont="1" applyFill="1" applyBorder="1" applyAlignment="1">
      <alignment horizontal="left" vertical="center" wrapText="1" indent="1"/>
    </xf>
    <xf numFmtId="0" fontId="16" fillId="6" borderId="23" xfId="0" applyFont="1" applyFill="1" applyBorder="1" applyAlignment="1">
      <alignment horizontal="left" vertical="center" wrapText="1" indent="1"/>
    </xf>
    <xf numFmtId="0" fontId="16" fillId="3" borderId="37" xfId="0" applyFont="1" applyFill="1" applyBorder="1" applyAlignment="1">
      <alignment horizontal="left" vertical="center" wrapText="1" indent="1"/>
    </xf>
    <xf numFmtId="0" fontId="40" fillId="6" borderId="79" xfId="0" applyFont="1" applyFill="1" applyBorder="1" applyAlignment="1">
      <alignment horizontal="left" vertical="center" wrapText="1" indent="1"/>
    </xf>
    <xf numFmtId="0" fontId="40" fillId="6" borderId="132" xfId="0" applyFont="1" applyFill="1" applyBorder="1" applyAlignment="1">
      <alignment horizontal="left" vertical="center" wrapText="1" indent="1"/>
    </xf>
    <xf numFmtId="0" fontId="40" fillId="6" borderId="80" xfId="0" applyFont="1" applyFill="1" applyBorder="1" applyAlignment="1">
      <alignment horizontal="left" vertical="center" wrapText="1" indent="1"/>
    </xf>
    <xf numFmtId="0" fontId="16" fillId="6" borderId="8" xfId="0" applyFont="1" applyFill="1" applyBorder="1" applyAlignment="1">
      <alignment horizontal="left" vertical="center" wrapText="1" indent="3"/>
    </xf>
    <xf numFmtId="0" fontId="16" fillId="6" borderId="9" xfId="0" applyFont="1" applyFill="1" applyBorder="1" applyAlignment="1">
      <alignment horizontal="left" vertical="center" wrapText="1" indent="3"/>
    </xf>
    <xf numFmtId="0" fontId="16" fillId="6" borderId="74" xfId="0" applyFont="1" applyFill="1" applyBorder="1" applyAlignment="1">
      <alignment horizontal="left" vertical="center" wrapText="1" indent="3"/>
    </xf>
    <xf numFmtId="0" fontId="16" fillId="6" borderId="7" xfId="0" applyFont="1" applyFill="1" applyBorder="1" applyAlignment="1">
      <alignment horizontal="left" vertical="center" wrapText="1" indent="3"/>
    </xf>
    <xf numFmtId="0" fontId="17" fillId="7" borderId="165" xfId="0" applyFont="1" applyFill="1" applyBorder="1" applyAlignment="1">
      <alignment horizontal="left" vertical="center" wrapText="1"/>
    </xf>
    <xf numFmtId="0" fontId="17" fillId="7" borderId="169" xfId="0" applyFont="1" applyFill="1" applyBorder="1" applyAlignment="1">
      <alignment horizontal="left" vertical="center" wrapText="1"/>
    </xf>
    <xf numFmtId="0" fontId="267" fillId="0" borderId="20" xfId="0" applyFont="1" applyFill="1" applyBorder="1" applyAlignment="1">
      <alignment horizontal="left" vertical="center" wrapText="1"/>
    </xf>
    <xf numFmtId="0" fontId="40" fillId="6" borderId="19" xfId="0" applyFont="1" applyFill="1" applyBorder="1" applyAlignment="1">
      <alignment horizontal="left" vertical="center" wrapText="1" indent="1"/>
    </xf>
    <xf numFmtId="0" fontId="40" fillId="6" borderId="0" xfId="0" applyFont="1" applyFill="1" applyBorder="1" applyAlignment="1">
      <alignment horizontal="left" vertical="center" wrapText="1" indent="1"/>
    </xf>
    <xf numFmtId="0" fontId="40" fillId="6" borderId="1" xfId="0" applyFont="1" applyFill="1" applyBorder="1" applyAlignment="1">
      <alignment horizontal="left" vertical="center" wrapText="1" indent="1"/>
    </xf>
    <xf numFmtId="0" fontId="17" fillId="7" borderId="232" xfId="0" applyFont="1" applyFill="1" applyBorder="1" applyAlignment="1">
      <alignment horizontal="left" vertical="center" wrapText="1"/>
    </xf>
    <xf numFmtId="0" fontId="17" fillId="7" borderId="233" xfId="0" applyFont="1" applyFill="1" applyBorder="1" applyAlignment="1">
      <alignment horizontal="left" vertical="center" wrapText="1"/>
    </xf>
    <xf numFmtId="41" fontId="16" fillId="6" borderId="33" xfId="0" applyNumberFormat="1" applyFont="1" applyFill="1" applyBorder="1" applyAlignment="1">
      <alignment horizontal="left" vertical="center" wrapText="1"/>
    </xf>
    <xf numFmtId="41" fontId="16" fillId="6" borderId="34" xfId="0" applyNumberFormat="1" applyFont="1" applyFill="1" applyBorder="1" applyAlignment="1">
      <alignment horizontal="left" vertical="center" wrapText="1"/>
    </xf>
    <xf numFmtId="0" fontId="40" fillId="0" borderId="19" xfId="0" applyFont="1" applyFill="1" applyBorder="1" applyAlignment="1">
      <alignment horizontal="left" vertical="center" wrapText="1" indent="1"/>
    </xf>
    <xf numFmtId="0" fontId="40" fillId="0" borderId="0" xfId="0" applyFont="1" applyFill="1" applyBorder="1" applyAlignment="1">
      <alignment horizontal="left" vertical="center" wrapText="1" indent="1"/>
    </xf>
    <xf numFmtId="0" fontId="40" fillId="0" borderId="1" xfId="0" applyFont="1" applyFill="1" applyBorder="1" applyAlignment="1">
      <alignment horizontal="left" vertical="center" wrapText="1" indent="1"/>
    </xf>
    <xf numFmtId="0" fontId="15" fillId="8" borderId="163" xfId="0" applyFont="1" applyFill="1" applyBorder="1" applyAlignment="1">
      <alignment horizontal="left" vertical="center" wrapText="1"/>
    </xf>
    <xf numFmtId="0" fontId="15" fillId="8" borderId="20" xfId="0" applyFont="1" applyFill="1" applyBorder="1" applyAlignment="1">
      <alignment horizontal="left" vertical="center" wrapText="1"/>
    </xf>
    <xf numFmtId="0" fontId="15" fillId="8" borderId="16" xfId="0" applyFont="1" applyFill="1" applyBorder="1" applyAlignment="1">
      <alignment horizontal="left" vertical="center" wrapText="1"/>
    </xf>
    <xf numFmtId="0" fontId="15" fillId="8" borderId="2" xfId="0" applyFont="1" applyFill="1" applyBorder="1" applyAlignment="1">
      <alignment horizontal="left" vertical="center" wrapText="1"/>
    </xf>
    <xf numFmtId="0" fontId="11" fillId="0" borderId="0" xfId="13" applyFont="1" applyFill="1" applyAlignment="1">
      <alignment horizontal="left" vertical="center" wrapText="1" indent="4"/>
    </xf>
    <xf numFmtId="41" fontId="16" fillId="6" borderId="36" xfId="0" applyNumberFormat="1" applyFont="1" applyFill="1" applyBorder="1" applyAlignment="1">
      <alignment horizontal="left" vertical="center" wrapText="1"/>
    </xf>
    <xf numFmtId="41" fontId="16" fillId="6" borderId="37" xfId="0" applyNumberFormat="1" applyFont="1" applyFill="1" applyBorder="1" applyAlignment="1">
      <alignment horizontal="left" vertical="center" wrapText="1"/>
    </xf>
    <xf numFmtId="0" fontId="16" fillId="6" borderId="132" xfId="0" applyFont="1" applyFill="1" applyBorder="1" applyAlignment="1">
      <alignment horizontal="left" vertical="center" wrapText="1" indent="1"/>
    </xf>
    <xf numFmtId="0" fontId="16" fillId="3" borderId="19" xfId="0" applyFont="1" applyFill="1" applyBorder="1" applyAlignment="1">
      <alignment horizontal="left" vertical="center" wrapText="1" indent="1"/>
    </xf>
    <xf numFmtId="0" fontId="16" fillId="3" borderId="0" xfId="0" applyFont="1" applyFill="1" applyBorder="1" applyAlignment="1">
      <alignment horizontal="left" vertical="center" wrapText="1" indent="1"/>
    </xf>
    <xf numFmtId="0" fontId="16" fillId="3" borderId="1" xfId="0" applyFont="1" applyFill="1" applyBorder="1" applyAlignment="1">
      <alignment horizontal="left" vertical="center" wrapText="1" indent="1"/>
    </xf>
    <xf numFmtId="41" fontId="16" fillId="6" borderId="79" xfId="0" applyNumberFormat="1" applyFont="1" applyFill="1" applyBorder="1" applyAlignment="1">
      <alignment horizontal="left" vertical="center" wrapText="1"/>
    </xf>
    <xf numFmtId="41" fontId="16" fillId="6" borderId="80" xfId="0" applyNumberFormat="1" applyFont="1" applyFill="1" applyBorder="1" applyAlignment="1">
      <alignment horizontal="left" vertical="center" wrapText="1"/>
    </xf>
    <xf numFmtId="41" fontId="16" fillId="0" borderId="36" xfId="0" applyNumberFormat="1" applyFont="1" applyFill="1" applyBorder="1" applyAlignment="1">
      <alignment horizontal="left" vertical="center" wrapText="1"/>
    </xf>
    <xf numFmtId="41" fontId="16" fillId="0" borderId="37" xfId="0" applyNumberFormat="1" applyFont="1" applyFill="1" applyBorder="1" applyAlignment="1">
      <alignment horizontal="left" vertical="center" wrapText="1"/>
    </xf>
    <xf numFmtId="0" fontId="14" fillId="8" borderId="168" xfId="0" applyFont="1" applyFill="1" applyBorder="1" applyAlignment="1">
      <alignment horizontal="center" vertical="center" wrapText="1"/>
    </xf>
    <xf numFmtId="0" fontId="14" fillId="8" borderId="119" xfId="0" applyFont="1" applyFill="1" applyBorder="1" applyAlignment="1">
      <alignment horizontal="center" vertical="center" wrapText="1"/>
    </xf>
    <xf numFmtId="0" fontId="16" fillId="6" borderId="17" xfId="0" applyFont="1" applyFill="1" applyBorder="1" applyAlignment="1">
      <alignment horizontal="center" vertical="center" wrapText="1"/>
    </xf>
    <xf numFmtId="0" fontId="16" fillId="0" borderId="17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41" fontId="16" fillId="0" borderId="79" xfId="0" applyNumberFormat="1" applyFont="1" applyFill="1" applyBorder="1" applyAlignment="1">
      <alignment horizontal="left" vertical="center" wrapText="1"/>
    </xf>
    <xf numFmtId="41" fontId="16" fillId="0" borderId="80" xfId="0" applyNumberFormat="1" applyFont="1" applyFill="1" applyBorder="1" applyAlignment="1">
      <alignment horizontal="left" vertical="center" wrapText="1"/>
    </xf>
    <xf numFmtId="0" fontId="7" fillId="8" borderId="163" xfId="0" applyFont="1" applyFill="1" applyBorder="1" applyAlignment="1">
      <alignment horizontal="center" vertical="center" wrapText="1"/>
    </xf>
    <xf numFmtId="0" fontId="7" fillId="8" borderId="16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left" vertical="center" wrapText="1" indent="1"/>
    </xf>
    <xf numFmtId="0" fontId="0" fillId="0" borderId="9" xfId="0" applyBorder="1" applyAlignment="1">
      <alignment horizontal="left" vertical="center" wrapText="1" indent="1"/>
    </xf>
    <xf numFmtId="0" fontId="0" fillId="0" borderId="7" xfId="0" applyBorder="1" applyAlignment="1">
      <alignment horizontal="left" vertical="center" wrapText="1" indent="1"/>
    </xf>
    <xf numFmtId="0" fontId="16" fillId="0" borderId="76" xfId="0" applyFont="1" applyFill="1" applyBorder="1" applyAlignment="1">
      <alignment horizontal="center" vertical="center" wrapText="1"/>
    </xf>
    <xf numFmtId="0" fontId="17" fillId="0" borderId="18" xfId="0" applyFont="1" applyFill="1" applyBorder="1" applyAlignment="1">
      <alignment horizontal="left" vertical="top" wrapText="1"/>
    </xf>
    <xf numFmtId="0" fontId="17" fillId="0" borderId="17" xfId="0" applyFont="1" applyFill="1" applyBorder="1" applyAlignment="1">
      <alignment horizontal="left" vertical="top" wrapText="1"/>
    </xf>
    <xf numFmtId="0" fontId="17" fillId="0" borderId="19" xfId="0" applyFont="1" applyFill="1" applyBorder="1" applyAlignment="1">
      <alignment horizontal="left" vertical="top" wrapText="1"/>
    </xf>
    <xf numFmtId="0" fontId="17" fillId="0" borderId="1" xfId="0" applyFont="1" applyFill="1" applyBorder="1" applyAlignment="1">
      <alignment horizontal="left" vertical="top" wrapText="1"/>
    </xf>
    <xf numFmtId="0" fontId="17" fillId="0" borderId="16" xfId="0" applyFont="1" applyFill="1" applyBorder="1" applyAlignment="1">
      <alignment horizontal="left" vertical="top" wrapText="1"/>
    </xf>
    <xf numFmtId="0" fontId="17" fillId="0" borderId="14" xfId="0" applyFont="1" applyFill="1" applyBorder="1" applyAlignment="1">
      <alignment horizontal="left" vertical="top" wrapText="1"/>
    </xf>
    <xf numFmtId="0" fontId="14" fillId="6" borderId="17" xfId="0" applyFont="1" applyFill="1" applyBorder="1" applyAlignment="1">
      <alignment horizontal="center" vertical="center" textRotation="90" wrapText="1"/>
    </xf>
    <xf numFmtId="0" fontId="14" fillId="6" borderId="1" xfId="0" applyFont="1" applyFill="1" applyBorder="1" applyAlignment="1">
      <alignment horizontal="center" vertical="center" textRotation="90" wrapText="1"/>
    </xf>
    <xf numFmtId="0" fontId="14" fillId="6" borderId="14" xfId="0" applyFont="1" applyFill="1" applyBorder="1" applyAlignment="1">
      <alignment horizontal="center" vertical="center" textRotation="90" wrapText="1"/>
    </xf>
    <xf numFmtId="0" fontId="15" fillId="0" borderId="0" xfId="13" applyFont="1" applyFill="1" applyAlignment="1">
      <alignment vertical="center" wrapText="1"/>
    </xf>
    <xf numFmtId="0" fontId="7" fillId="8" borderId="115" xfId="0" applyFont="1" applyFill="1" applyBorder="1" applyAlignment="1">
      <alignment horizontal="center" vertical="center" wrapText="1"/>
    </xf>
    <xf numFmtId="0" fontId="30" fillId="8" borderId="119" xfId="0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left"/>
    </xf>
    <xf numFmtId="0" fontId="16" fillId="0" borderId="164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41" fontId="16" fillId="0" borderId="25" xfId="0" applyNumberFormat="1" applyFont="1" applyFill="1" applyBorder="1" applyAlignment="1">
      <alignment horizontal="left" vertical="center" wrapText="1"/>
    </xf>
    <xf numFmtId="41" fontId="16" fillId="0" borderId="23" xfId="0" applyNumberFormat="1" applyFont="1" applyFill="1" applyBorder="1" applyAlignment="1">
      <alignment horizontal="left" vertical="center" wrapText="1"/>
    </xf>
    <xf numFmtId="0" fontId="7" fillId="8" borderId="76" xfId="0" applyFont="1" applyFill="1" applyBorder="1" applyAlignment="1">
      <alignment horizontal="center" vertical="center" wrapText="1"/>
    </xf>
    <xf numFmtId="0" fontId="7" fillId="8" borderId="167" xfId="0" applyFont="1" applyFill="1" applyBorder="1" applyAlignment="1">
      <alignment horizontal="center" vertical="center" wrapText="1"/>
    </xf>
    <xf numFmtId="0" fontId="14" fillId="6" borderId="167" xfId="0" applyFont="1" applyFill="1" applyBorder="1" applyAlignment="1">
      <alignment horizontal="center" vertical="center" textRotation="90" wrapText="1"/>
    </xf>
    <xf numFmtId="0" fontId="14" fillId="3" borderId="15" xfId="6" applyFont="1" applyFill="1" applyBorder="1" applyAlignment="1">
      <alignment horizontal="center" vertical="center" textRotation="90" wrapText="1"/>
    </xf>
    <xf numFmtId="0" fontId="14" fillId="3" borderId="119" xfId="6" applyFont="1" applyFill="1" applyBorder="1" applyAlignment="1">
      <alignment horizontal="center" vertical="center" textRotation="90" wrapText="1"/>
    </xf>
    <xf numFmtId="0" fontId="63" fillId="0" borderId="20" xfId="0" applyFont="1" applyFill="1" applyBorder="1" applyAlignment="1">
      <alignment horizontal="left" vertical="center" wrapText="1"/>
    </xf>
    <xf numFmtId="0" fontId="17" fillId="7" borderId="116" xfId="0" applyFont="1" applyFill="1" applyBorder="1" applyAlignment="1">
      <alignment horizontal="left" vertical="center" wrapText="1"/>
    </xf>
    <xf numFmtId="0" fontId="16" fillId="0" borderId="18" xfId="0" applyFont="1" applyFill="1" applyBorder="1" applyAlignment="1">
      <alignment horizontal="left" vertical="center" wrapText="1"/>
    </xf>
    <xf numFmtId="0" fontId="16" fillId="0" borderId="17" xfId="0" applyFont="1" applyFill="1" applyBorder="1" applyAlignment="1">
      <alignment horizontal="left" vertical="center" wrapText="1"/>
    </xf>
    <xf numFmtId="0" fontId="16" fillId="0" borderId="19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16" fillId="0" borderId="16" xfId="0" applyFont="1" applyFill="1" applyBorder="1" applyAlignment="1">
      <alignment horizontal="left" vertical="center" wrapText="1"/>
    </xf>
    <xf numFmtId="0" fontId="16" fillId="0" borderId="14" xfId="0" applyFont="1" applyFill="1" applyBorder="1" applyAlignment="1">
      <alignment horizontal="left" vertical="center" wrapText="1"/>
    </xf>
    <xf numFmtId="0" fontId="16" fillId="0" borderId="76" xfId="0" applyFont="1" applyFill="1" applyBorder="1" applyAlignment="1">
      <alignment horizontal="left" vertical="center" wrapText="1" indent="1"/>
    </xf>
    <xf numFmtId="0" fontId="16" fillId="0" borderId="25" xfId="0" applyFont="1" applyFill="1" applyBorder="1" applyAlignment="1">
      <alignment horizontal="left" vertical="center" wrapText="1" indent="1"/>
    </xf>
    <xf numFmtId="0" fontId="16" fillId="0" borderId="23" xfId="0" applyFont="1" applyFill="1" applyBorder="1" applyAlignment="1">
      <alignment horizontal="left" vertical="center" wrapText="1" indent="1"/>
    </xf>
    <xf numFmtId="0" fontId="7" fillId="3" borderId="0" xfId="0" applyFont="1" applyFill="1" applyBorder="1" applyAlignment="1">
      <alignment horizontal="left"/>
    </xf>
    <xf numFmtId="0" fontId="16" fillId="0" borderId="19" xfId="0" applyFont="1" applyFill="1" applyBorder="1" applyAlignment="1">
      <alignment horizontal="left" vertical="center" wrapText="1" indent="1"/>
    </xf>
    <xf numFmtId="0" fontId="16" fillId="0" borderId="0" xfId="0" applyFont="1" applyFill="1" applyBorder="1" applyAlignment="1">
      <alignment horizontal="left" vertical="center" wrapText="1" indent="1"/>
    </xf>
    <xf numFmtId="0" fontId="16" fillId="0" borderId="1" xfId="0" applyFont="1" applyFill="1" applyBorder="1" applyAlignment="1">
      <alignment horizontal="left" vertical="center" wrapText="1" indent="1"/>
    </xf>
    <xf numFmtId="0" fontId="16" fillId="6" borderId="16" xfId="0" applyFont="1" applyFill="1" applyBorder="1" applyAlignment="1">
      <alignment horizontal="left" vertical="center" wrapText="1" indent="1"/>
    </xf>
    <xf numFmtId="0" fontId="16" fillId="6" borderId="14" xfId="0" applyFont="1" applyFill="1" applyBorder="1" applyAlignment="1">
      <alignment horizontal="left" vertical="center" wrapText="1" indent="1"/>
    </xf>
    <xf numFmtId="0" fontId="26" fillId="7" borderId="116" xfId="0" applyFont="1" applyFill="1" applyBorder="1" applyAlignment="1">
      <alignment horizontal="left" vertical="center" wrapText="1"/>
    </xf>
    <xf numFmtId="0" fontId="11" fillId="0" borderId="13" xfId="0" applyFont="1" applyFill="1" applyBorder="1"/>
    <xf numFmtId="0" fontId="0" fillId="0" borderId="65" xfId="0" applyBorder="1" applyAlignment="1">
      <alignment horizontal="left" vertical="center" wrapText="1" indent="1"/>
    </xf>
    <xf numFmtId="0" fontId="0" fillId="0" borderId="66" xfId="0" applyBorder="1" applyAlignment="1">
      <alignment horizontal="left" vertical="center" wrapText="1" indent="1"/>
    </xf>
    <xf numFmtId="0" fontId="0" fillId="0" borderId="67" xfId="0" applyBorder="1" applyAlignment="1">
      <alignment horizontal="left" vertical="center" wrapText="1" indent="1"/>
    </xf>
    <xf numFmtId="0" fontId="11" fillId="6" borderId="13" xfId="0" applyFont="1" applyFill="1" applyBorder="1"/>
    <xf numFmtId="0" fontId="7" fillId="8" borderId="18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textRotation="90"/>
    </xf>
    <xf numFmtId="0" fontId="0" fillId="0" borderId="14" xfId="0" applyFill="1" applyBorder="1" applyAlignment="1">
      <alignment horizontal="center" vertical="center" textRotation="90"/>
    </xf>
    <xf numFmtId="9" fontId="12" fillId="4" borderId="12" xfId="0" applyNumberFormat="1" applyFont="1" applyFill="1" applyBorder="1" applyAlignment="1">
      <alignment horizontal="center" vertical="center" wrapText="1"/>
    </xf>
    <xf numFmtId="0" fontId="12" fillId="4" borderId="92" xfId="0" applyFont="1" applyFill="1" applyBorder="1" applyAlignment="1">
      <alignment horizontal="center" vertical="center" wrapText="1"/>
    </xf>
    <xf numFmtId="169" fontId="0" fillId="0" borderId="0" xfId="0" applyNumberFormat="1" applyAlignment="1">
      <alignment horizontal="left" vertical="top" wrapText="1"/>
    </xf>
    <xf numFmtId="0" fontId="17" fillId="6" borderId="8" xfId="6" applyFont="1" applyFill="1" applyBorder="1" applyAlignment="1">
      <alignment horizontal="left" vertical="center" wrapText="1" indent="1"/>
    </xf>
    <xf numFmtId="0" fontId="17" fillId="6" borderId="9" xfId="6" applyFont="1" applyFill="1" applyBorder="1" applyAlignment="1">
      <alignment horizontal="left" vertical="center" wrapText="1" indent="1"/>
    </xf>
    <xf numFmtId="0" fontId="16" fillId="6" borderId="8" xfId="6" applyFont="1" applyFill="1" applyBorder="1" applyAlignment="1">
      <alignment horizontal="left" vertical="center" wrapText="1" indent="1"/>
    </xf>
    <xf numFmtId="0" fontId="17" fillId="6" borderId="7" xfId="6" applyFont="1" applyFill="1" applyBorder="1" applyAlignment="1">
      <alignment horizontal="left" vertical="center" wrapText="1" indent="1"/>
    </xf>
    <xf numFmtId="0" fontId="16" fillId="6" borderId="6" xfId="6" applyFont="1" applyFill="1" applyBorder="1" applyAlignment="1">
      <alignment horizontal="left" vertical="center" wrapText="1" indent="1"/>
    </xf>
    <xf numFmtId="0" fontId="16" fillId="3" borderId="8" xfId="6" applyFont="1" applyFill="1" applyBorder="1" applyAlignment="1">
      <alignment horizontal="left" vertical="center" wrapText="1" indent="1"/>
    </xf>
    <xf numFmtId="0" fontId="16" fillId="3" borderId="7" xfId="6" applyFont="1" applyFill="1" applyBorder="1" applyAlignment="1">
      <alignment horizontal="left" vertical="center" wrapText="1" indent="1"/>
    </xf>
    <xf numFmtId="0" fontId="16" fillId="3" borderId="6" xfId="6" applyFont="1" applyFill="1" applyBorder="1" applyAlignment="1">
      <alignment horizontal="left" vertical="center" wrapText="1" indent="1"/>
    </xf>
    <xf numFmtId="0" fontId="17" fillId="6" borderId="18" xfId="6" applyFont="1" applyFill="1" applyBorder="1" applyAlignment="1">
      <alignment horizontal="left" vertical="center" wrapText="1" indent="1"/>
    </xf>
    <xf numFmtId="0" fontId="17" fillId="6" borderId="20" xfId="6" applyFont="1" applyFill="1" applyBorder="1" applyAlignment="1">
      <alignment horizontal="left" vertical="center" wrapText="1" indent="1"/>
    </xf>
    <xf numFmtId="0" fontId="17" fillId="6" borderId="19" xfId="6" applyFont="1" applyFill="1" applyBorder="1" applyAlignment="1">
      <alignment horizontal="left" vertical="center" wrapText="1" indent="1"/>
    </xf>
    <xf numFmtId="0" fontId="17" fillId="6" borderId="0" xfId="6" applyFont="1" applyFill="1" applyBorder="1" applyAlignment="1">
      <alignment horizontal="left" vertical="center" wrapText="1" indent="1"/>
    </xf>
    <xf numFmtId="0" fontId="17" fillId="6" borderId="16" xfId="6" applyFont="1" applyFill="1" applyBorder="1" applyAlignment="1">
      <alignment horizontal="left" vertical="center" wrapText="1" indent="1"/>
    </xf>
    <xf numFmtId="0" fontId="17" fillId="6" borderId="2" xfId="6" applyFont="1" applyFill="1" applyBorder="1" applyAlignment="1">
      <alignment horizontal="left" vertical="center" wrapText="1" indent="1"/>
    </xf>
    <xf numFmtId="0" fontId="16" fillId="6" borderId="24" xfId="0" applyFont="1" applyFill="1" applyBorder="1" applyAlignment="1">
      <alignment horizontal="left" vertical="center" wrapText="1" indent="1"/>
    </xf>
    <xf numFmtId="0" fontId="16" fillId="6" borderId="21" xfId="0" applyFont="1" applyFill="1" applyBorder="1" applyAlignment="1">
      <alignment horizontal="left" vertical="center" wrapText="1" indent="1"/>
    </xf>
    <xf numFmtId="0" fontId="17" fillId="3" borderId="18" xfId="6" applyFont="1" applyFill="1" applyBorder="1" applyAlignment="1">
      <alignment horizontal="left" vertical="center" wrapText="1" indent="1"/>
    </xf>
    <xf numFmtId="0" fontId="17" fillId="3" borderId="17" xfId="6" applyFont="1" applyFill="1" applyBorder="1" applyAlignment="1">
      <alignment horizontal="left" vertical="center" wrapText="1" indent="1"/>
    </xf>
    <xf numFmtId="0" fontId="16" fillId="3" borderId="24" xfId="6" applyFont="1" applyFill="1" applyBorder="1" applyAlignment="1">
      <alignment horizontal="left" vertical="center" wrapText="1" indent="1"/>
    </xf>
    <xf numFmtId="0" fontId="16" fillId="3" borderId="21" xfId="6" applyFont="1" applyFill="1" applyBorder="1" applyAlignment="1">
      <alignment horizontal="left" vertical="center" wrapText="1" indent="1"/>
    </xf>
    <xf numFmtId="0" fontId="30" fillId="8" borderId="15" xfId="0" applyFont="1" applyFill="1" applyBorder="1" applyAlignment="1">
      <alignment horizontal="center" vertical="center" wrapText="1"/>
    </xf>
    <xf numFmtId="0" fontId="0" fillId="0" borderId="62" xfId="0" applyBorder="1" applyAlignment="1">
      <alignment horizontal="left" vertical="center" wrapText="1" indent="1"/>
    </xf>
    <xf numFmtId="0" fontId="30" fillId="8" borderId="77" xfId="0" applyFont="1" applyFill="1" applyBorder="1" applyAlignment="1">
      <alignment horizontal="center" vertical="center" wrapText="1"/>
    </xf>
    <xf numFmtId="0" fontId="30" fillId="8" borderId="74" xfId="0" applyFont="1" applyFill="1" applyBorder="1" applyAlignment="1">
      <alignment horizontal="center" vertical="center" wrapText="1"/>
    </xf>
    <xf numFmtId="0" fontId="30" fillId="8" borderId="75" xfId="0" applyFont="1" applyFill="1" applyBorder="1" applyAlignment="1">
      <alignment horizontal="center" vertical="center" wrapText="1"/>
    </xf>
    <xf numFmtId="0" fontId="30" fillId="8" borderId="19" xfId="0" applyFont="1" applyFill="1" applyBorder="1" applyAlignment="1">
      <alignment horizontal="center" vertical="center" wrapText="1"/>
    </xf>
    <xf numFmtId="0" fontId="30" fillId="8" borderId="1" xfId="0" applyFont="1" applyFill="1" applyBorder="1" applyAlignment="1">
      <alignment horizontal="center" vertical="center" wrapText="1"/>
    </xf>
    <xf numFmtId="169" fontId="60" fillId="0" borderId="36" xfId="0" applyNumberFormat="1" applyFont="1" applyFill="1" applyBorder="1" applyAlignment="1">
      <alignment horizontal="center" vertical="center" wrapText="1"/>
    </xf>
    <xf numFmtId="169" fontId="60" fillId="0" borderId="38" xfId="0" applyNumberFormat="1" applyFont="1" applyFill="1" applyBorder="1" applyAlignment="1">
      <alignment horizontal="center" vertical="center" wrapText="1"/>
    </xf>
    <xf numFmtId="169" fontId="60" fillId="0" borderId="37" xfId="0" applyNumberFormat="1" applyFont="1" applyFill="1" applyBorder="1" applyAlignment="1">
      <alignment horizontal="center" vertical="center" wrapText="1"/>
    </xf>
    <xf numFmtId="169" fontId="78" fillId="0" borderId="25" xfId="0" applyNumberFormat="1" applyFont="1" applyFill="1" applyBorder="1" applyAlignment="1">
      <alignment horizontal="center" vertical="center" wrapText="1"/>
    </xf>
    <xf numFmtId="169" fontId="78" fillId="0" borderId="27" xfId="0" applyNumberFormat="1" applyFont="1" applyFill="1" applyBorder="1" applyAlignment="1">
      <alignment horizontal="center" vertical="center" wrapText="1"/>
    </xf>
    <xf numFmtId="169" fontId="78" fillId="0" borderId="23" xfId="0" applyNumberFormat="1" applyFont="1" applyFill="1" applyBorder="1" applyAlignment="1">
      <alignment horizontal="center" vertical="center" wrapText="1"/>
    </xf>
    <xf numFmtId="169" fontId="70" fillId="0" borderId="79" xfId="0" applyNumberFormat="1" applyFont="1" applyFill="1" applyBorder="1" applyAlignment="1">
      <alignment horizontal="center" vertical="center" wrapText="1"/>
    </xf>
    <xf numFmtId="169" fontId="70" fillId="0" borderId="140" xfId="0" applyNumberFormat="1" applyFont="1" applyFill="1" applyBorder="1" applyAlignment="1">
      <alignment horizontal="center" vertical="center" wrapText="1"/>
    </xf>
    <xf numFmtId="169" fontId="70" fillId="0" borderId="80" xfId="0" applyNumberFormat="1" applyFont="1" applyFill="1" applyBorder="1" applyAlignment="1">
      <alignment horizontal="center" vertical="center" wrapText="1"/>
    </xf>
    <xf numFmtId="169" fontId="70" fillId="6" borderId="79" xfId="0" applyNumberFormat="1" applyFont="1" applyFill="1" applyBorder="1" applyAlignment="1">
      <alignment horizontal="center" vertical="center" wrapText="1"/>
    </xf>
    <xf numFmtId="169" fontId="70" fillId="6" borderId="140" xfId="0" applyNumberFormat="1" applyFont="1" applyFill="1" applyBorder="1" applyAlignment="1">
      <alignment horizontal="center" vertical="center" wrapText="1"/>
    </xf>
    <xf numFmtId="169" fontId="70" fillId="6" borderId="80" xfId="0" applyNumberFormat="1" applyFont="1" applyFill="1" applyBorder="1" applyAlignment="1">
      <alignment horizontal="center" vertical="center" wrapText="1"/>
    </xf>
    <xf numFmtId="169" fontId="60" fillId="6" borderId="36" xfId="0" applyNumberFormat="1" applyFont="1" applyFill="1" applyBorder="1" applyAlignment="1">
      <alignment horizontal="center" vertical="center" wrapText="1"/>
    </xf>
    <xf numFmtId="169" fontId="60" fillId="6" borderId="38" xfId="0" applyNumberFormat="1" applyFont="1" applyFill="1" applyBorder="1" applyAlignment="1">
      <alignment horizontal="center" vertical="center" wrapText="1"/>
    </xf>
    <xf numFmtId="169" fontId="60" fillId="6" borderId="37" xfId="0" applyNumberFormat="1" applyFont="1" applyFill="1" applyBorder="1" applyAlignment="1">
      <alignment horizontal="center" vertical="center" wrapText="1"/>
    </xf>
    <xf numFmtId="169" fontId="78" fillId="6" borderId="25" xfId="0" applyNumberFormat="1" applyFont="1" applyFill="1" applyBorder="1" applyAlignment="1">
      <alignment horizontal="center" vertical="center" wrapText="1"/>
    </xf>
    <xf numFmtId="169" fontId="78" fillId="6" borderId="27" xfId="0" applyNumberFormat="1" applyFont="1" applyFill="1" applyBorder="1" applyAlignment="1">
      <alignment horizontal="center" vertical="center" wrapText="1"/>
    </xf>
    <xf numFmtId="169" fontId="78" fillId="6" borderId="23" xfId="0" applyNumberFormat="1" applyFont="1" applyFill="1" applyBorder="1" applyAlignment="1">
      <alignment horizontal="center" vertical="center" wrapText="1"/>
    </xf>
    <xf numFmtId="0" fontId="7" fillId="8" borderId="20" xfId="0" applyFont="1" applyFill="1" applyBorder="1" applyAlignment="1">
      <alignment horizontal="center" vertical="center" wrapText="1"/>
    </xf>
    <xf numFmtId="0" fontId="7" fillId="8" borderId="17" xfId="0" applyFont="1" applyFill="1" applyBorder="1" applyAlignment="1">
      <alignment horizontal="center" vertical="center" wrapText="1"/>
    </xf>
    <xf numFmtId="0" fontId="7" fillId="8" borderId="2" xfId="0" applyFont="1" applyFill="1" applyBorder="1" applyAlignment="1">
      <alignment horizontal="center" vertical="center" wrapText="1"/>
    </xf>
    <xf numFmtId="0" fontId="7" fillId="8" borderId="14" xfId="0" applyFont="1" applyFill="1" applyBorder="1" applyAlignment="1">
      <alignment horizontal="center" vertical="center" wrapText="1"/>
    </xf>
    <xf numFmtId="0" fontId="0" fillId="0" borderId="165" xfId="0" applyBorder="1" applyAlignment="1">
      <alignment horizontal="left" vertical="center" wrapText="1" indent="1"/>
    </xf>
    <xf numFmtId="0" fontId="0" fillId="0" borderId="169" xfId="0" applyBorder="1" applyAlignment="1">
      <alignment horizontal="left" vertical="center" wrapText="1" indent="1"/>
    </xf>
    <xf numFmtId="0" fontId="0" fillId="0" borderId="169" xfId="0" applyFont="1" applyBorder="1" applyAlignment="1">
      <alignment horizontal="left" vertical="center" wrapText="1" indent="1"/>
    </xf>
    <xf numFmtId="0" fontId="0" fillId="0" borderId="166" xfId="0" applyFont="1" applyBorder="1" applyAlignment="1">
      <alignment horizontal="left" vertical="center" wrapText="1" indent="1"/>
    </xf>
    <xf numFmtId="0" fontId="30" fillId="8" borderId="163" xfId="0" applyFont="1" applyFill="1" applyBorder="1" applyAlignment="1">
      <alignment horizontal="center" vertical="center" wrapText="1"/>
    </xf>
    <xf numFmtId="0" fontId="30" fillId="8" borderId="164" xfId="0" applyFont="1" applyFill="1" applyBorder="1" applyAlignment="1">
      <alignment horizontal="center" vertical="center" wrapText="1"/>
    </xf>
    <xf numFmtId="0" fontId="30" fillId="8" borderId="168" xfId="0" applyFont="1" applyFill="1" applyBorder="1" applyAlignment="1">
      <alignment horizontal="center" vertical="center" wrapText="1"/>
    </xf>
    <xf numFmtId="0" fontId="7" fillId="8" borderId="168" xfId="0" applyFont="1" applyFill="1" applyBorder="1" applyAlignment="1">
      <alignment horizontal="center" vertical="center" wrapText="1"/>
    </xf>
    <xf numFmtId="0" fontId="7" fillId="8" borderId="164" xfId="0" applyFont="1" applyFill="1" applyBorder="1" applyAlignment="1">
      <alignment horizontal="center" vertical="center" wrapText="1"/>
    </xf>
    <xf numFmtId="0" fontId="30" fillId="0" borderId="167" xfId="0" applyFont="1" applyFill="1" applyBorder="1" applyAlignment="1">
      <alignment horizontal="center" vertical="center" wrapText="1"/>
    </xf>
    <xf numFmtId="0" fontId="30" fillId="0" borderId="20" xfId="0" applyFont="1" applyFill="1" applyBorder="1" applyAlignment="1">
      <alignment horizontal="center" vertical="center" wrapText="1"/>
    </xf>
    <xf numFmtId="0" fontId="30" fillId="0" borderId="164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 wrapText="1"/>
    </xf>
    <xf numFmtId="0" fontId="30" fillId="0" borderId="14" xfId="0" applyFont="1" applyFill="1" applyBorder="1" applyAlignment="1">
      <alignment horizontal="center" vertical="center" wrapText="1"/>
    </xf>
    <xf numFmtId="0" fontId="16" fillId="0" borderId="168" xfId="0" applyFont="1" applyFill="1" applyBorder="1" applyAlignment="1">
      <alignment horizontal="center" vertical="center" wrapText="1"/>
    </xf>
    <xf numFmtId="0" fontId="16" fillId="0" borderId="119" xfId="0" applyFont="1" applyFill="1" applyBorder="1" applyAlignment="1">
      <alignment horizontal="center" vertical="center" wrapText="1"/>
    </xf>
    <xf numFmtId="169" fontId="70" fillId="6" borderId="175" xfId="0" applyNumberFormat="1" applyFont="1" applyFill="1" applyBorder="1" applyAlignment="1">
      <alignment horizontal="center" vertical="center" wrapText="1"/>
    </xf>
    <xf numFmtId="169" fontId="70" fillId="6" borderId="176" xfId="0" applyNumberFormat="1" applyFont="1" applyFill="1" applyBorder="1" applyAlignment="1">
      <alignment horizontal="center" vertical="center" wrapText="1"/>
    </xf>
    <xf numFmtId="169" fontId="70" fillId="6" borderId="177" xfId="0" applyNumberFormat="1" applyFont="1" applyFill="1" applyBorder="1" applyAlignment="1">
      <alignment horizontal="center" vertical="center" wrapText="1"/>
    </xf>
    <xf numFmtId="0" fontId="14" fillId="0" borderId="76" xfId="0" applyFont="1" applyFill="1" applyBorder="1" applyAlignment="1">
      <alignment horizontal="center" vertical="center" textRotation="90" wrapText="1"/>
    </xf>
    <xf numFmtId="0" fontId="16" fillId="0" borderId="17" xfId="0" applyFont="1" applyFill="1" applyBorder="1" applyAlignment="1">
      <alignment horizontal="left" vertical="center" wrapText="1" indent="1"/>
    </xf>
    <xf numFmtId="169" fontId="70" fillId="0" borderId="89" xfId="0" applyNumberFormat="1" applyFont="1" applyFill="1" applyBorder="1" applyAlignment="1">
      <alignment horizontal="center" vertical="center" wrapText="1"/>
    </xf>
    <xf numFmtId="169" fontId="70" fillId="0" borderId="134" xfId="0" applyNumberFormat="1" applyFont="1" applyFill="1" applyBorder="1" applyAlignment="1">
      <alignment horizontal="center" vertical="center" wrapText="1"/>
    </xf>
    <xf numFmtId="169" fontId="70" fillId="0" borderId="85" xfId="0" applyNumberFormat="1" applyFont="1" applyFill="1" applyBorder="1" applyAlignment="1">
      <alignment horizontal="center" vertical="center" wrapText="1"/>
    </xf>
    <xf numFmtId="169" fontId="60" fillId="0" borderId="87" xfId="0" applyNumberFormat="1" applyFont="1" applyFill="1" applyBorder="1" applyAlignment="1">
      <alignment horizontal="center" vertical="center" wrapText="1"/>
    </xf>
    <xf numFmtId="169" fontId="60" fillId="0" borderId="133" xfId="0" applyNumberFormat="1" applyFont="1" applyFill="1" applyBorder="1" applyAlignment="1">
      <alignment horizontal="center" vertical="center" wrapText="1"/>
    </xf>
    <xf numFmtId="169" fontId="60" fillId="0" borderId="83" xfId="0" applyNumberFormat="1" applyFont="1" applyFill="1" applyBorder="1" applyAlignment="1">
      <alignment horizontal="center" vertical="center" wrapText="1"/>
    </xf>
    <xf numFmtId="169" fontId="78" fillId="0" borderId="88" xfId="0" applyNumberFormat="1" applyFont="1" applyFill="1" applyBorder="1" applyAlignment="1">
      <alignment horizontal="center" vertical="center" wrapText="1"/>
    </xf>
    <xf numFmtId="169" fontId="78" fillId="0" borderId="139" xfId="0" applyNumberFormat="1" applyFont="1" applyFill="1" applyBorder="1" applyAlignment="1">
      <alignment horizontal="center" vertical="center" wrapText="1"/>
    </xf>
    <xf numFmtId="169" fontId="78" fillId="0" borderId="84" xfId="0" applyNumberFormat="1" applyFont="1" applyFill="1" applyBorder="1" applyAlignment="1">
      <alignment horizontal="center" vertical="center" wrapText="1"/>
    </xf>
    <xf numFmtId="0" fontId="7" fillId="8" borderId="86" xfId="0" applyFont="1" applyFill="1" applyBorder="1" applyAlignment="1">
      <alignment horizontal="center" vertical="center" wrapText="1"/>
    </xf>
    <xf numFmtId="0" fontId="7" fillId="8" borderId="138" xfId="0" applyFont="1" applyFill="1" applyBorder="1" applyAlignment="1">
      <alignment horizontal="center" vertical="center" wrapText="1"/>
    </xf>
    <xf numFmtId="0" fontId="7" fillId="8" borderId="82" xfId="0" applyFont="1" applyFill="1" applyBorder="1" applyAlignment="1">
      <alignment horizontal="center" vertical="center" wrapText="1"/>
    </xf>
    <xf numFmtId="0" fontId="7" fillId="8" borderId="88" xfId="0" applyFont="1" applyFill="1" applyBorder="1" applyAlignment="1">
      <alignment horizontal="center" vertical="center" wrapText="1"/>
    </xf>
    <xf numFmtId="0" fontId="7" fillId="8" borderId="139" xfId="0" applyFont="1" applyFill="1" applyBorder="1" applyAlignment="1">
      <alignment horizontal="center" vertical="center" wrapText="1"/>
    </xf>
    <xf numFmtId="0" fontId="7" fillId="8" borderId="84" xfId="0" applyFont="1" applyFill="1" applyBorder="1" applyAlignment="1">
      <alignment horizontal="center" vertical="center" wrapText="1"/>
    </xf>
    <xf numFmtId="0" fontId="7" fillId="8" borderId="77" xfId="0" applyFont="1" applyFill="1" applyBorder="1" applyAlignment="1">
      <alignment horizontal="center" vertical="center" wrapText="1"/>
    </xf>
    <xf numFmtId="0" fontId="7" fillId="8" borderId="75" xfId="0" applyFont="1" applyFill="1" applyBorder="1" applyAlignment="1">
      <alignment horizontal="center" vertical="center" wrapText="1"/>
    </xf>
    <xf numFmtId="0" fontId="14" fillId="8" borderId="77" xfId="0" applyFont="1" applyFill="1" applyBorder="1" applyAlignment="1">
      <alignment horizontal="center" vertical="center" wrapText="1"/>
    </xf>
    <xf numFmtId="0" fontId="14" fillId="8" borderId="75" xfId="0" applyFont="1" applyFill="1" applyBorder="1" applyAlignment="1">
      <alignment horizontal="center" vertical="center" wrapText="1"/>
    </xf>
    <xf numFmtId="0" fontId="14" fillId="0" borderId="77" xfId="0" applyFont="1" applyFill="1" applyBorder="1" applyAlignment="1">
      <alignment horizontal="center" vertical="center" wrapText="1"/>
    </xf>
    <xf numFmtId="0" fontId="14" fillId="0" borderId="75" xfId="0" applyFont="1" applyFill="1" applyBorder="1" applyAlignment="1">
      <alignment horizontal="center" vertical="center" wrapText="1"/>
    </xf>
    <xf numFmtId="0" fontId="14" fillId="7" borderId="77" xfId="6" applyFont="1" applyFill="1" applyBorder="1" applyAlignment="1">
      <alignment horizontal="left" vertical="center" wrapText="1"/>
    </xf>
    <xf numFmtId="0" fontId="14" fillId="7" borderId="74" xfId="6" applyFont="1" applyFill="1" applyBorder="1" applyAlignment="1">
      <alignment horizontal="left" vertical="center" wrapText="1"/>
    </xf>
    <xf numFmtId="41" fontId="70" fillId="0" borderId="79" xfId="0" applyNumberFormat="1" applyFont="1" applyFill="1" applyBorder="1" applyAlignment="1">
      <alignment horizontal="center" vertical="center" wrapText="1"/>
    </xf>
    <xf numFmtId="41" fontId="70" fillId="0" borderId="132" xfId="0" applyNumberFormat="1" applyFont="1" applyFill="1" applyBorder="1" applyAlignment="1">
      <alignment horizontal="center" vertical="center" wrapText="1"/>
    </xf>
    <xf numFmtId="41" fontId="70" fillId="0" borderId="80" xfId="0" applyNumberFormat="1" applyFont="1" applyFill="1" applyBorder="1" applyAlignment="1">
      <alignment horizontal="center" vertical="center" wrapText="1"/>
    </xf>
    <xf numFmtId="41" fontId="60" fillId="0" borderId="36" xfId="0" applyNumberFormat="1" applyFont="1" applyFill="1" applyBorder="1" applyAlignment="1">
      <alignment horizontal="center" vertical="center" wrapText="1"/>
    </xf>
    <xf numFmtId="41" fontId="60" fillId="0" borderId="38" xfId="0" applyNumberFormat="1" applyFont="1" applyFill="1" applyBorder="1" applyAlignment="1">
      <alignment horizontal="center" vertical="center" wrapText="1"/>
    </xf>
    <xf numFmtId="41" fontId="60" fillId="0" borderId="37" xfId="0" applyNumberFormat="1" applyFont="1" applyFill="1" applyBorder="1" applyAlignment="1">
      <alignment horizontal="center" vertical="center" wrapText="1"/>
    </xf>
    <xf numFmtId="41" fontId="78" fillId="0" borderId="25" xfId="0" applyNumberFormat="1" applyFont="1" applyFill="1" applyBorder="1" applyAlignment="1">
      <alignment horizontal="center" vertical="center" wrapText="1"/>
    </xf>
    <xf numFmtId="41" fontId="78" fillId="0" borderId="27" xfId="0" applyNumberFormat="1" applyFont="1" applyFill="1" applyBorder="1" applyAlignment="1">
      <alignment horizontal="center" vertical="center" wrapText="1"/>
    </xf>
    <xf numFmtId="41" fontId="78" fillId="0" borderId="23" xfId="0" applyNumberFormat="1" applyFont="1" applyFill="1" applyBorder="1" applyAlignment="1">
      <alignment horizontal="center" vertical="center" wrapText="1"/>
    </xf>
    <xf numFmtId="0" fontId="16" fillId="6" borderId="24" xfId="0" applyFont="1" applyFill="1" applyBorder="1" applyAlignment="1">
      <alignment horizontal="left" vertical="center" wrapText="1"/>
    </xf>
    <xf numFmtId="0" fontId="16" fillId="6" borderId="21" xfId="0" applyFont="1" applyFill="1" applyBorder="1" applyAlignment="1">
      <alignment horizontal="left" vertical="center" wrapText="1"/>
    </xf>
    <xf numFmtId="0" fontId="16" fillId="0" borderId="36" xfId="0" applyFont="1" applyFill="1" applyBorder="1" applyAlignment="1">
      <alignment horizontal="left" vertical="center" wrapText="1"/>
    </xf>
    <xf numFmtId="0" fontId="16" fillId="0" borderId="37" xfId="0" applyFont="1" applyFill="1" applyBorder="1" applyAlignment="1">
      <alignment horizontal="left" vertical="center" wrapText="1"/>
    </xf>
    <xf numFmtId="0" fontId="16" fillId="6" borderId="25" xfId="0" applyFont="1" applyFill="1" applyBorder="1" applyAlignment="1">
      <alignment horizontal="left" vertical="center" wrapText="1"/>
    </xf>
    <xf numFmtId="0" fontId="16" fillId="6" borderId="23" xfId="0" applyFont="1" applyFill="1" applyBorder="1" applyAlignment="1">
      <alignment horizontal="left" vertical="center" wrapText="1"/>
    </xf>
    <xf numFmtId="0" fontId="16" fillId="6" borderId="18" xfId="0" applyFont="1" applyFill="1" applyBorder="1" applyAlignment="1">
      <alignment horizontal="left" vertical="center" wrapText="1" indent="1"/>
    </xf>
    <xf numFmtId="0" fontId="16" fillId="6" borderId="20" xfId="0" applyFont="1" applyFill="1" applyBorder="1" applyAlignment="1">
      <alignment horizontal="left" vertical="center" wrapText="1" indent="1"/>
    </xf>
    <xf numFmtId="0" fontId="16" fillId="6" borderId="17" xfId="0" applyFont="1" applyFill="1" applyBorder="1" applyAlignment="1">
      <alignment horizontal="left" vertical="center" wrapText="1" indent="1"/>
    </xf>
    <xf numFmtId="0" fontId="16" fillId="6" borderId="19" xfId="0" applyFont="1" applyFill="1" applyBorder="1" applyAlignment="1">
      <alignment horizontal="left" vertical="center" wrapText="1" indent="1"/>
    </xf>
    <xf numFmtId="0" fontId="16" fillId="6" borderId="0" xfId="0" applyFont="1" applyFill="1" applyBorder="1" applyAlignment="1">
      <alignment horizontal="left" vertical="center" wrapText="1" indent="1"/>
    </xf>
    <xf numFmtId="0" fontId="16" fillId="6" borderId="1" xfId="0" applyFont="1" applyFill="1" applyBorder="1" applyAlignment="1">
      <alignment horizontal="left" vertical="center" wrapText="1" indent="1"/>
    </xf>
    <xf numFmtId="41" fontId="16" fillId="6" borderId="24" xfId="0" applyNumberFormat="1" applyFont="1" applyFill="1" applyBorder="1" applyAlignment="1">
      <alignment horizontal="left" vertical="center" wrapText="1" indent="1"/>
    </xf>
    <xf numFmtId="41" fontId="16" fillId="6" borderId="22" xfId="0" applyNumberFormat="1" applyFont="1" applyFill="1" applyBorder="1" applyAlignment="1">
      <alignment horizontal="left" vertical="center" wrapText="1" indent="1"/>
    </xf>
    <xf numFmtId="41" fontId="16" fillId="6" borderId="21" xfId="0" applyNumberFormat="1" applyFont="1" applyFill="1" applyBorder="1" applyAlignment="1">
      <alignment horizontal="left" vertical="center" wrapText="1" indent="1"/>
    </xf>
    <xf numFmtId="41" fontId="16" fillId="0" borderId="36" xfId="0" applyNumberFormat="1" applyFont="1" applyFill="1" applyBorder="1" applyAlignment="1">
      <alignment horizontal="left" vertical="center" wrapText="1" indent="1"/>
    </xf>
    <xf numFmtId="41" fontId="16" fillId="0" borderId="38" xfId="0" applyNumberFormat="1" applyFont="1" applyFill="1" applyBorder="1" applyAlignment="1">
      <alignment horizontal="left" vertical="center" wrapText="1" indent="1"/>
    </xf>
    <xf numFmtId="41" fontId="16" fillId="0" borderId="37" xfId="0" applyNumberFormat="1" applyFont="1" applyFill="1" applyBorder="1" applyAlignment="1">
      <alignment horizontal="left" vertical="center" wrapText="1" indent="1"/>
    </xf>
    <xf numFmtId="0" fontId="16" fillId="6" borderId="77" xfId="0" applyFont="1" applyFill="1" applyBorder="1" applyAlignment="1">
      <alignment horizontal="left" vertical="center" wrapText="1"/>
    </xf>
    <xf numFmtId="0" fontId="16" fillId="6" borderId="75" xfId="0" applyFont="1" applyFill="1" applyBorder="1" applyAlignment="1">
      <alignment horizontal="left" vertical="center" wrapText="1"/>
    </xf>
    <xf numFmtId="41" fontId="70" fillId="0" borderId="175" xfId="0" applyNumberFormat="1" applyFont="1" applyFill="1" applyBorder="1" applyAlignment="1">
      <alignment horizontal="center" vertical="center" wrapText="1"/>
    </xf>
    <xf numFmtId="41" fontId="70" fillId="0" borderId="177" xfId="0" applyNumberFormat="1" applyFont="1" applyFill="1" applyBorder="1" applyAlignment="1">
      <alignment horizontal="center" vertical="center" wrapText="1"/>
    </xf>
    <xf numFmtId="0" fontId="14" fillId="0" borderId="77" xfId="6" applyFont="1" applyFill="1" applyBorder="1" applyAlignment="1">
      <alignment horizontal="center" vertical="center" wrapText="1"/>
    </xf>
    <xf numFmtId="0" fontId="14" fillId="0" borderId="74" xfId="6" applyFont="1" applyFill="1" applyBorder="1" applyAlignment="1">
      <alignment horizontal="center" vertical="center" wrapText="1"/>
    </xf>
    <xf numFmtId="0" fontId="14" fillId="0" borderId="75" xfId="6" applyFont="1" applyFill="1" applyBorder="1" applyAlignment="1">
      <alignment horizontal="center" vertical="center" wrapText="1"/>
    </xf>
    <xf numFmtId="0" fontId="14" fillId="0" borderId="74" xfId="0" applyFont="1" applyFill="1" applyBorder="1" applyAlignment="1">
      <alignment horizontal="center" vertical="center" wrapText="1"/>
    </xf>
    <xf numFmtId="0" fontId="15" fillId="8" borderId="12" xfId="0" applyFont="1" applyFill="1" applyBorder="1" applyAlignment="1">
      <alignment horizontal="center" vertical="center" wrapText="1"/>
    </xf>
    <xf numFmtId="0" fontId="15" fillId="8" borderId="15" xfId="0" applyFont="1" applyFill="1" applyBorder="1" applyAlignment="1">
      <alignment horizontal="center" vertical="center" wrapText="1"/>
    </xf>
    <xf numFmtId="0" fontId="15" fillId="8" borderId="13" xfId="0" applyFont="1" applyFill="1" applyBorder="1" applyAlignment="1">
      <alignment horizontal="center" vertical="center" wrapText="1"/>
    </xf>
    <xf numFmtId="0" fontId="17" fillId="0" borderId="18" xfId="6" applyFont="1" applyFill="1" applyBorder="1" applyAlignment="1">
      <alignment horizontal="left" vertical="center" wrapText="1" indent="1"/>
    </xf>
    <xf numFmtId="0" fontId="17" fillId="0" borderId="17" xfId="6" applyFont="1" applyFill="1" applyBorder="1" applyAlignment="1">
      <alignment horizontal="left" vertical="center" wrapText="1" indent="1"/>
    </xf>
    <xf numFmtId="0" fontId="16" fillId="0" borderId="24" xfId="0" applyFont="1" applyFill="1" applyBorder="1" applyAlignment="1">
      <alignment horizontal="left" vertical="center" wrapText="1"/>
    </xf>
    <xf numFmtId="0" fontId="16" fillId="0" borderId="21" xfId="0" applyFont="1" applyFill="1" applyBorder="1" applyAlignment="1">
      <alignment horizontal="left" vertical="center" wrapText="1"/>
    </xf>
    <xf numFmtId="0" fontId="14" fillId="0" borderId="12" xfId="0" applyFont="1" applyFill="1" applyBorder="1" applyAlignment="1">
      <alignment horizontal="center" vertical="center" textRotation="90" wrapText="1"/>
    </xf>
    <xf numFmtId="0" fontId="14" fillId="0" borderId="15" xfId="0" applyFont="1" applyFill="1" applyBorder="1" applyAlignment="1">
      <alignment horizontal="center" vertical="center" textRotation="90" wrapText="1"/>
    </xf>
    <xf numFmtId="0" fontId="14" fillId="0" borderId="92" xfId="0" applyFont="1" applyFill="1" applyBorder="1" applyAlignment="1">
      <alignment horizontal="center" vertical="center" textRotation="90" wrapText="1"/>
    </xf>
    <xf numFmtId="0" fontId="15" fillId="8" borderId="19" xfId="0" applyFont="1" applyFill="1" applyBorder="1" applyAlignment="1">
      <alignment horizontal="center" vertical="center" wrapText="1"/>
    </xf>
    <xf numFmtId="0" fontId="15" fillId="8" borderId="1" xfId="0" applyFont="1" applyFill="1" applyBorder="1" applyAlignment="1">
      <alignment horizontal="center" vertical="center" wrapText="1"/>
    </xf>
    <xf numFmtId="0" fontId="7" fillId="8" borderId="15" xfId="0" applyFont="1" applyFill="1" applyBorder="1" applyAlignment="1">
      <alignment horizontal="center" vertical="center" wrapText="1"/>
    </xf>
    <xf numFmtId="0" fontId="7" fillId="8" borderId="13" xfId="0" applyFont="1" applyFill="1" applyBorder="1" applyAlignment="1">
      <alignment horizontal="center" vertical="center" wrapText="1"/>
    </xf>
    <xf numFmtId="0" fontId="14" fillId="7" borderId="76" xfId="6" applyFont="1" applyFill="1" applyBorder="1" applyAlignment="1">
      <alignment horizontal="left" wrapText="1"/>
    </xf>
    <xf numFmtId="0" fontId="16" fillId="0" borderId="8" xfId="6" applyFont="1" applyFill="1" applyBorder="1" applyAlignment="1">
      <alignment horizontal="left" vertical="center" wrapText="1" indent="1"/>
    </xf>
    <xf numFmtId="0" fontId="16" fillId="0" borderId="7" xfId="6" applyFont="1" applyFill="1" applyBorder="1" applyAlignment="1">
      <alignment horizontal="left" vertical="center" wrapText="1" indent="1"/>
    </xf>
    <xf numFmtId="0" fontId="16" fillId="0" borderId="6" xfId="6" applyFont="1" applyFill="1" applyBorder="1" applyAlignment="1">
      <alignment horizontal="left" vertical="center" wrapText="1" indent="1"/>
    </xf>
    <xf numFmtId="0" fontId="17" fillId="6" borderId="76" xfId="6" applyFont="1" applyFill="1" applyBorder="1" applyAlignment="1">
      <alignment horizontal="left" vertical="center" wrapText="1" indent="1"/>
    </xf>
    <xf numFmtId="0" fontId="30" fillId="0" borderId="3" xfId="0" applyFont="1" applyFill="1" applyBorder="1" applyAlignment="1">
      <alignment horizontal="center" vertical="center" wrapText="1"/>
    </xf>
    <xf numFmtId="0" fontId="30" fillId="0" borderId="6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left" vertical="center" wrapText="1"/>
    </xf>
    <xf numFmtId="0" fontId="0" fillId="0" borderId="46" xfId="0" applyBorder="1" applyAlignment="1">
      <alignment horizontal="left" vertical="center" wrapText="1"/>
    </xf>
    <xf numFmtId="0" fontId="0" fillId="0" borderId="47" xfId="0" applyBorder="1" applyAlignment="1">
      <alignment horizontal="left" vertical="center" wrapText="1"/>
    </xf>
    <xf numFmtId="0" fontId="16" fillId="6" borderId="2" xfId="0" applyFont="1" applyFill="1" applyBorder="1" applyAlignment="1">
      <alignment horizontal="left" vertical="center" wrapText="1" indent="1"/>
    </xf>
    <xf numFmtId="0" fontId="16" fillId="0" borderId="163" xfId="0" applyFont="1" applyFill="1" applyBorder="1" applyAlignment="1">
      <alignment horizontal="left" vertical="center" wrapText="1" indent="1"/>
    </xf>
    <xf numFmtId="0" fontId="16" fillId="0" borderId="20" xfId="0" applyFont="1" applyFill="1" applyBorder="1" applyAlignment="1">
      <alignment horizontal="left" vertical="center" wrapText="1" indent="1"/>
    </xf>
    <xf numFmtId="0" fontId="16" fillId="0" borderId="2" xfId="0" applyFont="1" applyFill="1" applyBorder="1" applyAlignment="1">
      <alignment horizontal="left" vertical="center" wrapText="1" indent="1"/>
    </xf>
    <xf numFmtId="41" fontId="16" fillId="0" borderId="175" xfId="0" applyNumberFormat="1" applyFont="1" applyFill="1" applyBorder="1" applyAlignment="1">
      <alignment horizontal="left" vertical="center" wrapText="1" indent="1"/>
    </xf>
    <xf numFmtId="41" fontId="16" fillId="0" borderId="176" xfId="0" applyNumberFormat="1" applyFont="1" applyFill="1" applyBorder="1" applyAlignment="1">
      <alignment horizontal="left" vertical="center" wrapText="1" indent="1"/>
    </xf>
    <xf numFmtId="41" fontId="16" fillId="0" borderId="177" xfId="0" applyNumberFormat="1" applyFont="1" applyFill="1" applyBorder="1" applyAlignment="1">
      <alignment horizontal="left" vertical="center" wrapText="1" indent="1"/>
    </xf>
    <xf numFmtId="41" fontId="16" fillId="6" borderId="25" xfId="0" applyNumberFormat="1" applyFont="1" applyFill="1" applyBorder="1" applyAlignment="1">
      <alignment horizontal="left" vertical="center" wrapText="1" indent="1"/>
    </xf>
    <xf numFmtId="41" fontId="16" fillId="6" borderId="27" xfId="0" applyNumberFormat="1" applyFont="1" applyFill="1" applyBorder="1" applyAlignment="1">
      <alignment horizontal="left" vertical="center" wrapText="1" indent="1"/>
    </xf>
    <xf numFmtId="41" fontId="16" fillId="6" borderId="23" xfId="0" applyNumberFormat="1" applyFont="1" applyFill="1" applyBorder="1" applyAlignment="1">
      <alignment horizontal="left" vertical="center" wrapText="1" indent="1"/>
    </xf>
    <xf numFmtId="0" fontId="30" fillId="8" borderId="64" xfId="0" applyFont="1" applyFill="1" applyBorder="1" applyAlignment="1">
      <alignment horizontal="center" vertical="center" wrapText="1"/>
    </xf>
    <xf numFmtId="0" fontId="14" fillId="0" borderId="64" xfId="0" applyFont="1" applyFill="1" applyBorder="1" applyAlignment="1">
      <alignment horizontal="center" vertical="center" textRotation="90" wrapText="1"/>
    </xf>
    <xf numFmtId="0" fontId="17" fillId="0" borderId="64" xfId="0" applyFont="1" applyFill="1" applyBorder="1" applyAlignment="1">
      <alignment horizontal="left" vertical="center" wrapText="1" indent="1"/>
    </xf>
    <xf numFmtId="0" fontId="16" fillId="0" borderId="64" xfId="0" applyFont="1" applyFill="1" applyBorder="1" applyAlignment="1">
      <alignment horizontal="left" vertical="center" wrapText="1" indent="1"/>
    </xf>
    <xf numFmtId="0" fontId="17" fillId="6" borderId="17" xfId="6" applyFont="1" applyFill="1" applyBorder="1" applyAlignment="1">
      <alignment horizontal="left" vertical="center" wrapText="1" indent="1"/>
    </xf>
    <xf numFmtId="0" fontId="14" fillId="0" borderId="13" xfId="0" applyFont="1" applyFill="1" applyBorder="1" applyAlignment="1">
      <alignment horizontal="center" vertical="center" textRotation="90" wrapText="1"/>
    </xf>
    <xf numFmtId="41" fontId="60" fillId="0" borderId="26" xfId="0" applyNumberFormat="1" applyFont="1" applyFill="1" applyBorder="1" applyAlignment="1">
      <alignment horizontal="center" vertical="center"/>
    </xf>
    <xf numFmtId="41" fontId="60" fillId="6" borderId="119" xfId="0" applyNumberFormat="1" applyFont="1" applyFill="1" applyBorder="1" applyAlignment="1">
      <alignment horizontal="center" vertical="center"/>
    </xf>
    <xf numFmtId="41" fontId="60" fillId="0" borderId="178" xfId="0" applyNumberFormat="1" applyFont="1" applyFill="1" applyBorder="1" applyAlignment="1">
      <alignment horizontal="center" vertical="center"/>
    </xf>
    <xf numFmtId="41" fontId="60" fillId="6" borderId="11" xfId="0" applyNumberFormat="1" applyFont="1" applyFill="1" applyBorder="1" applyAlignment="1">
      <alignment horizontal="center" vertical="center"/>
    </xf>
    <xf numFmtId="41" fontId="60" fillId="6" borderId="68" xfId="0" applyNumberFormat="1" applyFont="1" applyFill="1" applyBorder="1" applyAlignment="1">
      <alignment horizontal="center" vertical="center"/>
    </xf>
    <xf numFmtId="41" fontId="70" fillId="0" borderId="68" xfId="0" applyNumberFormat="1" applyFont="1" applyFill="1" applyBorder="1" applyAlignment="1">
      <alignment horizontal="center" vertical="center" wrapText="1"/>
    </xf>
    <xf numFmtId="41" fontId="60" fillId="0" borderId="35" xfId="0" applyNumberFormat="1" applyFont="1" applyFill="1" applyBorder="1" applyAlignment="1">
      <alignment horizontal="center" vertical="center" wrapText="1"/>
    </xf>
    <xf numFmtId="0" fontId="7" fillId="0" borderId="76" xfId="0" applyFont="1" applyFill="1" applyBorder="1" applyAlignment="1">
      <alignment horizontal="center" vertical="center" wrapText="1"/>
    </xf>
    <xf numFmtId="41" fontId="78" fillId="0" borderId="119" xfId="0" applyNumberFormat="1" applyFont="1" applyFill="1" applyBorder="1" applyAlignment="1">
      <alignment horizontal="center" vertical="center" wrapText="1"/>
    </xf>
    <xf numFmtId="0" fontId="14" fillId="7" borderId="77" xfId="6" applyFont="1" applyFill="1" applyBorder="1" applyAlignment="1">
      <alignment horizontal="left" wrapText="1"/>
    </xf>
    <xf numFmtId="0" fontId="14" fillId="7" borderId="74" xfId="6" applyFont="1" applyFill="1" applyBorder="1" applyAlignment="1">
      <alignment horizontal="left" wrapText="1"/>
    </xf>
    <xf numFmtId="0" fontId="30" fillId="0" borderId="18" xfId="0" applyFont="1" applyBorder="1" applyAlignment="1">
      <alignment horizontal="center" vertical="center" wrapText="1"/>
    </xf>
    <xf numFmtId="0" fontId="30" fillId="0" borderId="19" xfId="0" applyFont="1" applyBorder="1" applyAlignment="1">
      <alignment horizontal="center" vertical="center" wrapText="1"/>
    </xf>
    <xf numFmtId="0" fontId="30" fillId="0" borderId="16" xfId="0" applyFont="1" applyBorder="1" applyAlignment="1">
      <alignment horizontal="center" vertical="center" wrapText="1"/>
    </xf>
    <xf numFmtId="0" fontId="16" fillId="0" borderId="167" xfId="0" applyFont="1" applyFill="1" applyBorder="1" applyAlignment="1">
      <alignment horizontal="left" vertical="center" wrapText="1" indent="1"/>
    </xf>
    <xf numFmtId="41" fontId="16" fillId="0" borderId="167" xfId="0" applyNumberFormat="1" applyFont="1" applyFill="1" applyBorder="1" applyAlignment="1">
      <alignment horizontal="left" vertical="center" wrapText="1" indent="1"/>
    </xf>
    <xf numFmtId="41" fontId="16" fillId="6" borderId="167" xfId="0" applyNumberFormat="1" applyFont="1" applyFill="1" applyBorder="1" applyAlignment="1">
      <alignment horizontal="left" vertical="center" wrapText="1" indent="1"/>
    </xf>
    <xf numFmtId="0" fontId="16" fillId="6" borderId="18" xfId="0" applyFont="1" applyFill="1" applyBorder="1" applyAlignment="1">
      <alignment horizontal="left" vertical="center" wrapText="1"/>
    </xf>
    <xf numFmtId="0" fontId="16" fillId="6" borderId="20" xfId="0" applyFont="1" applyFill="1" applyBorder="1" applyAlignment="1">
      <alignment horizontal="left" vertical="center" wrapText="1"/>
    </xf>
    <xf numFmtId="0" fontId="16" fillId="6" borderId="17" xfId="0" applyFont="1" applyFill="1" applyBorder="1" applyAlignment="1">
      <alignment horizontal="left" vertical="center" wrapText="1"/>
    </xf>
    <xf numFmtId="0" fontId="16" fillId="6" borderId="19" xfId="0" applyFont="1" applyFill="1" applyBorder="1" applyAlignment="1">
      <alignment horizontal="left" vertical="center" wrapText="1"/>
    </xf>
    <xf numFmtId="0" fontId="16" fillId="6" borderId="0" xfId="0" applyFont="1" applyFill="1" applyBorder="1" applyAlignment="1">
      <alignment horizontal="left" vertical="center" wrapText="1"/>
    </xf>
    <xf numFmtId="0" fontId="16" fillId="6" borderId="1" xfId="0" applyFont="1" applyFill="1" applyBorder="1" applyAlignment="1">
      <alignment horizontal="left" vertical="center" wrapText="1"/>
    </xf>
    <xf numFmtId="0" fontId="16" fillId="6" borderId="16" xfId="0" applyFont="1" applyFill="1" applyBorder="1" applyAlignment="1">
      <alignment horizontal="left" vertical="center" wrapText="1"/>
    </xf>
    <xf numFmtId="0" fontId="16" fillId="6" borderId="2" xfId="0" applyFont="1" applyFill="1" applyBorder="1" applyAlignment="1">
      <alignment horizontal="left" vertical="center" wrapText="1"/>
    </xf>
    <xf numFmtId="0" fontId="16" fillId="6" borderId="14" xfId="0" applyFont="1" applyFill="1" applyBorder="1" applyAlignment="1">
      <alignment horizontal="left" vertical="center" wrapText="1"/>
    </xf>
    <xf numFmtId="0" fontId="30" fillId="8" borderId="76" xfId="0" applyFont="1" applyFill="1" applyBorder="1" applyAlignment="1">
      <alignment horizontal="center" vertical="center" wrapText="1"/>
    </xf>
    <xf numFmtId="0" fontId="30" fillId="8" borderId="6" xfId="0" applyFont="1" applyFill="1" applyBorder="1" applyAlignment="1">
      <alignment horizontal="center" vertical="center" wrapText="1"/>
    </xf>
    <xf numFmtId="0" fontId="30" fillId="8" borderId="0" xfId="0" applyFont="1" applyFill="1" applyBorder="1" applyAlignment="1">
      <alignment horizontal="center" vertical="center" wrapText="1"/>
    </xf>
    <xf numFmtId="0" fontId="16" fillId="6" borderId="8" xfId="6" applyFont="1" applyFill="1" applyBorder="1" applyAlignment="1">
      <alignment horizontal="left" wrapText="1" indent="1"/>
    </xf>
    <xf numFmtId="0" fontId="16" fillId="6" borderId="7" xfId="6" applyFont="1" applyFill="1" applyBorder="1" applyAlignment="1">
      <alignment horizontal="left" wrapText="1" indent="1"/>
    </xf>
    <xf numFmtId="0" fontId="16" fillId="6" borderId="9" xfId="6" applyFont="1" applyFill="1" applyBorder="1" applyAlignment="1">
      <alignment horizontal="left" vertical="center" wrapText="1" indent="1"/>
    </xf>
    <xf numFmtId="0" fontId="0" fillId="6" borderId="20" xfId="0" applyFill="1" applyBorder="1"/>
    <xf numFmtId="0" fontId="0" fillId="6" borderId="0" xfId="0" applyFill="1" applyBorder="1"/>
    <xf numFmtId="0" fontId="0" fillId="6" borderId="16" xfId="0" applyFill="1" applyBorder="1"/>
    <xf numFmtId="0" fontId="0" fillId="6" borderId="2" xfId="0" applyFill="1" applyBorder="1"/>
    <xf numFmtId="0" fontId="16" fillId="6" borderId="22" xfId="0" applyFont="1" applyFill="1" applyBorder="1" applyAlignment="1">
      <alignment horizontal="left" vertical="center" wrapText="1" indent="1"/>
    </xf>
    <xf numFmtId="0" fontId="11" fillId="7" borderId="8" xfId="6" applyFont="1" applyFill="1" applyBorder="1" applyAlignment="1">
      <alignment horizontal="left" vertical="center" wrapText="1"/>
    </xf>
    <xf numFmtId="0" fontId="11" fillId="7" borderId="9" xfId="6" applyFont="1" applyFill="1" applyBorder="1" applyAlignment="1">
      <alignment horizontal="left" vertical="center" wrapText="1"/>
    </xf>
    <xf numFmtId="0" fontId="11" fillId="7" borderId="74" xfId="6" applyFont="1" applyFill="1" applyBorder="1" applyAlignment="1">
      <alignment horizontal="left" vertical="center" wrapText="1"/>
    </xf>
    <xf numFmtId="0" fontId="16" fillId="0" borderId="38" xfId="0" applyFont="1" applyFill="1" applyBorder="1" applyAlignment="1">
      <alignment horizontal="left" vertical="center" wrapText="1" indent="1"/>
    </xf>
    <xf numFmtId="0" fontId="16" fillId="0" borderId="9" xfId="6" applyFont="1" applyFill="1" applyBorder="1" applyAlignment="1">
      <alignment horizontal="left" vertical="center" wrapText="1" indent="1"/>
    </xf>
    <xf numFmtId="0" fontId="17" fillId="0" borderId="76" xfId="0" applyFont="1" applyFill="1" applyBorder="1" applyAlignment="1">
      <alignment horizontal="left" vertical="center" wrapText="1" indent="1"/>
    </xf>
    <xf numFmtId="0" fontId="243" fillId="0" borderId="0" xfId="284" applyFont="1" applyAlignment="1" applyProtection="1">
      <alignment horizontal="left"/>
      <protection hidden="1"/>
    </xf>
    <xf numFmtId="0" fontId="30" fillId="0" borderId="6" xfId="0" applyFont="1" applyBorder="1" applyAlignment="1">
      <alignment horizontal="center" vertical="center" wrapText="1"/>
    </xf>
    <xf numFmtId="0" fontId="17" fillId="6" borderId="76" xfId="0" applyFont="1" applyFill="1" applyBorder="1" applyAlignment="1">
      <alignment horizontal="left" vertical="center" wrapText="1" indent="1"/>
    </xf>
    <xf numFmtId="0" fontId="16" fillId="6" borderId="76" xfId="0" applyFont="1" applyFill="1" applyBorder="1" applyAlignment="1">
      <alignment horizontal="left" vertical="center" wrapText="1" inden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 vertical="center" wrapText="1"/>
    </xf>
    <xf numFmtId="0" fontId="11" fillId="7" borderId="8" xfId="6" applyFont="1" applyFill="1" applyBorder="1" applyAlignment="1">
      <alignment horizontal="left" vertical="center" wrapText="1" indent="1"/>
    </xf>
    <xf numFmtId="0" fontId="11" fillId="7" borderId="9" xfId="6" applyFont="1" applyFill="1" applyBorder="1" applyAlignment="1">
      <alignment horizontal="left" vertical="center" wrapText="1" indent="1"/>
    </xf>
    <xf numFmtId="0" fontId="14" fillId="6" borderId="119" xfId="0" applyFont="1" applyFill="1" applyBorder="1" applyAlignment="1">
      <alignment horizontal="center" vertical="center" textRotation="90" wrapText="1"/>
    </xf>
    <xf numFmtId="41" fontId="16" fillId="3" borderId="24" xfId="0" applyNumberFormat="1" applyFont="1" applyFill="1" applyBorder="1" applyAlignment="1">
      <alignment horizontal="left" vertical="center" wrapText="1" indent="1"/>
    </xf>
    <xf numFmtId="41" fontId="16" fillId="3" borderId="22" xfId="0" applyNumberFormat="1" applyFont="1" applyFill="1" applyBorder="1" applyAlignment="1">
      <alignment horizontal="left" vertical="center" wrapText="1" indent="1"/>
    </xf>
    <xf numFmtId="41" fontId="16" fillId="3" borderId="21" xfId="0" applyNumberFormat="1" applyFont="1" applyFill="1" applyBorder="1" applyAlignment="1">
      <alignment horizontal="left" vertical="center" wrapText="1" indent="1"/>
    </xf>
    <xf numFmtId="41" fontId="16" fillId="6" borderId="36" xfId="0" applyNumberFormat="1" applyFont="1" applyFill="1" applyBorder="1" applyAlignment="1">
      <alignment horizontal="left" vertical="center" wrapText="1" indent="1"/>
    </xf>
    <xf numFmtId="41" fontId="16" fillId="6" borderId="38" xfId="0" applyNumberFormat="1" applyFont="1" applyFill="1" applyBorder="1" applyAlignment="1">
      <alignment horizontal="left" vertical="center" wrapText="1" indent="1"/>
    </xf>
    <xf numFmtId="41" fontId="16" fillId="6" borderId="37" xfId="0" applyNumberFormat="1" applyFont="1" applyFill="1" applyBorder="1" applyAlignment="1">
      <alignment horizontal="left" vertical="center" wrapText="1" indent="1"/>
    </xf>
    <xf numFmtId="41" fontId="16" fillId="3" borderId="25" xfId="0" applyNumberFormat="1" applyFont="1" applyFill="1" applyBorder="1" applyAlignment="1">
      <alignment horizontal="left" vertical="center" wrapText="1" indent="1"/>
    </xf>
    <xf numFmtId="41" fontId="16" fillId="3" borderId="27" xfId="0" applyNumberFormat="1" applyFont="1" applyFill="1" applyBorder="1" applyAlignment="1">
      <alignment horizontal="left" vertical="center" wrapText="1" indent="1"/>
    </xf>
    <xf numFmtId="41" fontId="16" fillId="3" borderId="23" xfId="0" applyNumberFormat="1" applyFont="1" applyFill="1" applyBorder="1" applyAlignment="1">
      <alignment horizontal="left" vertical="center" wrapText="1" indent="1"/>
    </xf>
    <xf numFmtId="0" fontId="16" fillId="0" borderId="18" xfId="0" applyFont="1" applyBorder="1" applyAlignment="1">
      <alignment horizontal="left" vertical="center" wrapText="1" indent="1"/>
    </xf>
    <xf numFmtId="0" fontId="16" fillId="0" borderId="20" xfId="0" applyFont="1" applyBorder="1" applyAlignment="1">
      <alignment horizontal="left" vertical="center" wrapText="1" indent="1"/>
    </xf>
    <xf numFmtId="0" fontId="16" fillId="0" borderId="17" xfId="0" applyFont="1" applyBorder="1" applyAlignment="1">
      <alignment horizontal="left" vertical="center" wrapText="1" indent="1"/>
    </xf>
    <xf numFmtId="0" fontId="16" fillId="0" borderId="19" xfId="0" applyFont="1" applyBorder="1" applyAlignment="1">
      <alignment horizontal="left" vertical="center" wrapText="1" indent="1"/>
    </xf>
    <xf numFmtId="0" fontId="16" fillId="0" borderId="0" xfId="0" applyFont="1" applyBorder="1" applyAlignment="1">
      <alignment horizontal="left" vertical="center" wrapText="1" indent="1"/>
    </xf>
    <xf numFmtId="0" fontId="16" fillId="0" borderId="1" xfId="0" applyFont="1" applyBorder="1" applyAlignment="1">
      <alignment horizontal="left" vertical="center" wrapText="1" indent="1"/>
    </xf>
    <xf numFmtId="0" fontId="16" fillId="0" borderId="16" xfId="0" applyFont="1" applyBorder="1" applyAlignment="1">
      <alignment horizontal="left" vertical="center" wrapText="1" indent="1"/>
    </xf>
    <xf numFmtId="0" fontId="16" fillId="0" borderId="2" xfId="0" applyFont="1" applyBorder="1" applyAlignment="1">
      <alignment horizontal="left" vertical="center" wrapText="1" indent="1"/>
    </xf>
    <xf numFmtId="0" fontId="16" fillId="0" borderId="14" xfId="0" applyFont="1" applyBorder="1" applyAlignment="1">
      <alignment horizontal="left" vertical="center" wrapText="1" indent="1"/>
    </xf>
    <xf numFmtId="0" fontId="16" fillId="3" borderId="9" xfId="6" applyFont="1" applyFill="1" applyBorder="1" applyAlignment="1">
      <alignment horizontal="left" vertical="center" wrapText="1" indent="1"/>
    </xf>
    <xf numFmtId="0" fontId="30" fillId="0" borderId="8" xfId="0" applyFont="1" applyFill="1" applyBorder="1" applyAlignment="1">
      <alignment horizontal="center" vertical="center" wrapText="1"/>
    </xf>
    <xf numFmtId="0" fontId="30" fillId="0" borderId="9" xfId="0" applyFont="1" applyFill="1" applyBorder="1" applyAlignment="1">
      <alignment horizontal="center" vertical="center" wrapText="1"/>
    </xf>
    <xf numFmtId="0" fontId="30" fillId="0" borderId="12" xfId="0" applyFont="1" applyBorder="1" applyAlignment="1">
      <alignment horizontal="center" vertical="center" wrapText="1"/>
    </xf>
    <xf numFmtId="0" fontId="30" fillId="0" borderId="15" xfId="0" applyFont="1" applyBorder="1" applyAlignment="1">
      <alignment horizontal="center" vertical="center" wrapText="1"/>
    </xf>
    <xf numFmtId="0" fontId="30" fillId="0" borderId="13" xfId="0" applyFont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 wrapText="1"/>
    </xf>
    <xf numFmtId="0" fontId="7" fillId="3" borderId="15" xfId="0" applyFont="1" applyFill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 wrapText="1"/>
    </xf>
    <xf numFmtId="0" fontId="7" fillId="3" borderId="18" xfId="0" applyFont="1" applyFill="1" applyBorder="1" applyAlignment="1">
      <alignment horizontal="center" vertical="center" wrapText="1"/>
    </xf>
    <xf numFmtId="0" fontId="7" fillId="3" borderId="19" xfId="0" applyFont="1" applyFill="1" applyBorder="1" applyAlignment="1">
      <alignment horizontal="center" vertical="center" wrapText="1"/>
    </xf>
    <xf numFmtId="0" fontId="0" fillId="0" borderId="61" xfId="0" applyBorder="1" applyAlignment="1">
      <alignment horizontal="left" vertical="center" wrapText="1" indent="1"/>
    </xf>
    <xf numFmtId="0" fontId="30" fillId="0" borderId="8" xfId="0" applyFont="1" applyBorder="1" applyAlignment="1">
      <alignment horizontal="center" vertical="center" wrapText="1"/>
    </xf>
    <xf numFmtId="0" fontId="30" fillId="0" borderId="9" xfId="0" applyFont="1" applyBorder="1" applyAlignment="1">
      <alignment horizontal="center" vertical="center" wrapText="1"/>
    </xf>
    <xf numFmtId="0" fontId="30" fillId="0" borderId="7" xfId="0" applyFont="1" applyBorder="1" applyAlignment="1">
      <alignment horizontal="center" vertical="center" wrapText="1"/>
    </xf>
    <xf numFmtId="0" fontId="14" fillId="6" borderId="13" xfId="0" applyFont="1" applyFill="1" applyBorder="1" applyAlignment="1">
      <alignment horizontal="center" vertical="center" textRotation="90" wrapText="1"/>
    </xf>
    <xf numFmtId="0" fontId="16" fillId="6" borderId="163" xfId="0" applyFont="1" applyFill="1" applyBorder="1" applyAlignment="1">
      <alignment horizontal="left" vertical="center" wrapText="1" indent="1"/>
    </xf>
    <xf numFmtId="41" fontId="16" fillId="6" borderId="175" xfId="0" applyNumberFormat="1" applyFont="1" applyFill="1" applyBorder="1" applyAlignment="1">
      <alignment horizontal="left" vertical="center" wrapText="1" indent="1"/>
    </xf>
    <xf numFmtId="41" fontId="16" fillId="6" borderId="176" xfId="0" applyNumberFormat="1" applyFont="1" applyFill="1" applyBorder="1" applyAlignment="1">
      <alignment horizontal="left" vertical="center" wrapText="1" indent="1"/>
    </xf>
    <xf numFmtId="41" fontId="16" fillId="6" borderId="177" xfId="0" applyNumberFormat="1" applyFont="1" applyFill="1" applyBorder="1" applyAlignment="1">
      <alignment horizontal="left" vertical="center" wrapText="1" indent="1"/>
    </xf>
    <xf numFmtId="41" fontId="16" fillId="0" borderId="25" xfId="0" applyNumberFormat="1" applyFont="1" applyFill="1" applyBorder="1" applyAlignment="1">
      <alignment horizontal="left" vertical="center" wrapText="1" indent="1"/>
    </xf>
    <xf numFmtId="41" fontId="16" fillId="0" borderId="27" xfId="0" applyNumberFormat="1" applyFont="1" applyFill="1" applyBorder="1" applyAlignment="1">
      <alignment horizontal="left" vertical="center" wrapText="1" indent="1"/>
    </xf>
    <xf numFmtId="41" fontId="16" fillId="0" borderId="23" xfId="0" applyNumberFormat="1" applyFont="1" applyFill="1" applyBorder="1" applyAlignment="1">
      <alignment horizontal="left" vertical="center" wrapText="1" indent="1"/>
    </xf>
    <xf numFmtId="43" fontId="80" fillId="0" borderId="0" xfId="7" applyFont="1" applyBorder="1" applyAlignment="1">
      <alignment horizontal="center" vertical="center" textRotation="90" wrapText="1"/>
    </xf>
    <xf numFmtId="0" fontId="16" fillId="0" borderId="24" xfId="0" applyFont="1" applyFill="1" applyBorder="1" applyAlignment="1">
      <alignment horizontal="left" vertical="center" wrapText="1" indent="1"/>
    </xf>
    <xf numFmtId="0" fontId="16" fillId="0" borderId="21" xfId="0" applyFont="1" applyFill="1" applyBorder="1" applyAlignment="1">
      <alignment horizontal="left" vertical="center" wrapText="1" indent="1"/>
    </xf>
    <xf numFmtId="0" fontId="16" fillId="6" borderId="8" xfId="0" applyFont="1" applyFill="1" applyBorder="1" applyAlignment="1">
      <alignment horizontal="left" vertical="center" wrapText="1" indent="1"/>
    </xf>
    <xf numFmtId="0" fontId="16" fillId="6" borderId="7" xfId="0" applyFont="1" applyFill="1" applyBorder="1" applyAlignment="1">
      <alignment horizontal="left" vertical="center" wrapText="1" indent="1"/>
    </xf>
    <xf numFmtId="0" fontId="14" fillId="6" borderId="76" xfId="6" applyFont="1" applyFill="1" applyBorder="1" applyAlignment="1">
      <alignment horizontal="center" vertical="center" textRotation="90" wrapText="1"/>
    </xf>
    <xf numFmtId="0" fontId="14" fillId="6" borderId="167" xfId="6" applyFont="1" applyFill="1" applyBorder="1" applyAlignment="1">
      <alignment horizontal="center" vertical="center" textRotation="90" wrapText="1"/>
    </xf>
    <xf numFmtId="0" fontId="17" fillId="0" borderId="19" xfId="0" applyFont="1" applyFill="1" applyBorder="1" applyAlignment="1">
      <alignment horizontal="left" vertical="center" wrapText="1" indent="1"/>
    </xf>
    <xf numFmtId="0" fontId="17" fillId="0" borderId="0" xfId="0" applyFont="1" applyFill="1" applyBorder="1" applyAlignment="1">
      <alignment horizontal="left" vertical="center" wrapText="1" indent="1"/>
    </xf>
    <xf numFmtId="0" fontId="31" fillId="8" borderId="30" xfId="0" applyFont="1" applyFill="1" applyBorder="1" applyAlignment="1">
      <alignment horizontal="center" vertical="center" wrapText="1"/>
    </xf>
    <xf numFmtId="0" fontId="31" fillId="8" borderId="31" xfId="0" applyFont="1" applyFill="1" applyBorder="1" applyAlignment="1">
      <alignment horizontal="center" vertical="center" wrapText="1"/>
    </xf>
    <xf numFmtId="0" fontId="17" fillId="0" borderId="20" xfId="6" applyFont="1" applyFill="1" applyBorder="1" applyAlignment="1">
      <alignment horizontal="left" vertical="center" wrapText="1"/>
    </xf>
    <xf numFmtId="0" fontId="31" fillId="8" borderId="148" xfId="0" applyFont="1" applyFill="1" applyBorder="1" applyAlignment="1">
      <alignment horizontal="center" vertical="center" wrapText="1"/>
    </xf>
    <xf numFmtId="0" fontId="31" fillId="8" borderId="149" xfId="0" applyFont="1" applyFill="1" applyBorder="1" applyAlignment="1">
      <alignment horizontal="center" vertical="center" wrapText="1"/>
    </xf>
    <xf numFmtId="0" fontId="17" fillId="0" borderId="18" xfId="6" applyFont="1" applyFill="1" applyBorder="1" applyAlignment="1">
      <alignment horizontal="center" vertical="center" wrapText="1"/>
    </xf>
    <xf numFmtId="0" fontId="17" fillId="0" borderId="17" xfId="6" applyFont="1" applyFill="1" applyBorder="1" applyAlignment="1">
      <alignment horizontal="center" vertical="center" wrapText="1"/>
    </xf>
    <xf numFmtId="0" fontId="17" fillId="0" borderId="19" xfId="6" applyFont="1" applyFill="1" applyBorder="1" applyAlignment="1">
      <alignment horizontal="center" vertical="center" wrapText="1"/>
    </xf>
    <xf numFmtId="0" fontId="17" fillId="0" borderId="1" xfId="6" applyFont="1" applyFill="1" applyBorder="1" applyAlignment="1">
      <alignment horizontal="center" vertical="center" wrapText="1"/>
    </xf>
    <xf numFmtId="0" fontId="17" fillId="0" borderId="16" xfId="6" applyFont="1" applyFill="1" applyBorder="1" applyAlignment="1">
      <alignment horizontal="center" vertical="center" wrapText="1"/>
    </xf>
    <xf numFmtId="0" fontId="17" fillId="0" borderId="14" xfId="6" applyFont="1" applyFill="1" applyBorder="1" applyAlignment="1">
      <alignment horizontal="center" vertical="center" wrapText="1"/>
    </xf>
    <xf numFmtId="0" fontId="16" fillId="3" borderId="79" xfId="0" applyFont="1" applyFill="1" applyBorder="1" applyAlignment="1">
      <alignment horizontal="left" vertical="center" wrapText="1"/>
    </xf>
    <xf numFmtId="0" fontId="16" fillId="3" borderId="80" xfId="0" applyFont="1" applyFill="1" applyBorder="1" applyAlignment="1">
      <alignment horizontal="left" vertical="center" wrapText="1"/>
    </xf>
    <xf numFmtId="0" fontId="16" fillId="6" borderId="36" xfId="0" applyFont="1" applyFill="1" applyBorder="1" applyAlignment="1">
      <alignment horizontal="left" vertical="center" wrapText="1"/>
    </xf>
    <xf numFmtId="0" fontId="16" fillId="6" borderId="37" xfId="0" applyFont="1" applyFill="1" applyBorder="1" applyAlignment="1">
      <alignment horizontal="left" vertical="center" wrapText="1"/>
    </xf>
    <xf numFmtId="0" fontId="16" fillId="0" borderId="25" xfId="0" applyFont="1" applyFill="1" applyBorder="1" applyAlignment="1">
      <alignment horizontal="left" vertical="center" wrapText="1"/>
    </xf>
    <xf numFmtId="0" fontId="16" fillId="0" borderId="23" xfId="0" applyFont="1" applyFill="1" applyBorder="1" applyAlignment="1">
      <alignment horizontal="left" vertical="center" wrapText="1"/>
    </xf>
    <xf numFmtId="0" fontId="31" fillId="8" borderId="76" xfId="0" applyFont="1" applyFill="1" applyBorder="1" applyAlignment="1">
      <alignment horizontal="center" vertical="center" wrapText="1"/>
    </xf>
    <xf numFmtId="0" fontId="14" fillId="6" borderId="17" xfId="6" applyFont="1" applyFill="1" applyBorder="1" applyAlignment="1">
      <alignment horizontal="center" vertical="center" textRotation="90" wrapText="1"/>
    </xf>
    <xf numFmtId="0" fontId="14" fillId="6" borderId="1" xfId="6" applyFont="1" applyFill="1" applyBorder="1" applyAlignment="1">
      <alignment horizontal="center" vertical="center" textRotation="90" wrapText="1"/>
    </xf>
    <xf numFmtId="43" fontId="80" fillId="0" borderId="19" xfId="7" applyFont="1" applyBorder="1" applyAlignment="1">
      <alignment horizontal="center" vertical="center" textRotation="90" wrapText="1"/>
    </xf>
    <xf numFmtId="0" fontId="16" fillId="6" borderId="7" xfId="6" applyFont="1" applyFill="1" applyBorder="1" applyAlignment="1">
      <alignment horizontal="left" vertical="center" wrapText="1" indent="1"/>
    </xf>
    <xf numFmtId="0" fontId="16" fillId="3" borderId="18" xfId="0" applyFont="1" applyFill="1" applyBorder="1" applyAlignment="1">
      <alignment horizontal="left" vertical="center" wrapText="1" indent="1"/>
    </xf>
    <xf numFmtId="0" fontId="0" fillId="0" borderId="17" xfId="0" applyBorder="1"/>
    <xf numFmtId="0" fontId="0" fillId="0" borderId="33" xfId="0" applyBorder="1"/>
    <xf numFmtId="0" fontId="0" fillId="0" borderId="34" xfId="0" applyBorder="1"/>
    <xf numFmtId="0" fontId="0" fillId="6" borderId="37" xfId="0" applyFill="1" applyBorder="1"/>
    <xf numFmtId="0" fontId="17" fillId="0" borderId="18" xfId="6" applyFont="1" applyFill="1" applyBorder="1" applyAlignment="1">
      <alignment horizontal="left" vertical="center" wrapText="1"/>
    </xf>
    <xf numFmtId="0" fontId="0" fillId="0" borderId="19" xfId="0" applyBorder="1"/>
    <xf numFmtId="0" fontId="0" fillId="0" borderId="1" xfId="0" applyBorder="1"/>
    <xf numFmtId="0" fontId="0" fillId="0" borderId="16" xfId="0" applyBorder="1"/>
    <xf numFmtId="0" fontId="0" fillId="0" borderId="14" xfId="0" applyBorder="1"/>
    <xf numFmtId="41" fontId="60" fillId="6" borderId="36" xfId="0" applyNumberFormat="1" applyFont="1" applyFill="1" applyBorder="1" applyAlignment="1">
      <alignment horizontal="center" vertical="center" wrapText="1"/>
    </xf>
    <xf numFmtId="41" fontId="60" fillId="6" borderId="38" xfId="0" applyNumberFormat="1" applyFont="1" applyFill="1" applyBorder="1" applyAlignment="1">
      <alignment horizontal="center" vertical="center" wrapText="1"/>
    </xf>
    <xf numFmtId="41" fontId="60" fillId="6" borderId="37" xfId="0" applyNumberFormat="1" applyFont="1" applyFill="1" applyBorder="1" applyAlignment="1">
      <alignment horizontal="center" vertical="center" wrapText="1"/>
    </xf>
    <xf numFmtId="41" fontId="78" fillId="6" borderId="25" xfId="0" applyNumberFormat="1" applyFont="1" applyFill="1" applyBorder="1" applyAlignment="1">
      <alignment horizontal="center" vertical="center" wrapText="1"/>
    </xf>
    <xf numFmtId="41" fontId="78" fillId="6" borderId="27" xfId="0" applyNumberFormat="1" applyFont="1" applyFill="1" applyBorder="1" applyAlignment="1">
      <alignment horizontal="center" vertical="center" wrapText="1"/>
    </xf>
    <xf numFmtId="41" fontId="78" fillId="6" borderId="23" xfId="0" applyNumberFormat="1" applyFont="1" applyFill="1" applyBorder="1" applyAlignment="1">
      <alignment horizontal="center" vertical="center" wrapText="1"/>
    </xf>
    <xf numFmtId="41" fontId="70" fillId="0" borderId="140" xfId="0" applyNumberFormat="1" applyFont="1" applyFill="1" applyBorder="1" applyAlignment="1">
      <alignment horizontal="center" vertical="center" wrapText="1"/>
    </xf>
    <xf numFmtId="41" fontId="60" fillId="3" borderId="36" xfId="0" applyNumberFormat="1" applyFont="1" applyFill="1" applyBorder="1" applyAlignment="1">
      <alignment horizontal="center" vertical="center" wrapText="1"/>
    </xf>
    <xf numFmtId="41" fontId="60" fillId="3" borderId="38" xfId="0" applyNumberFormat="1" applyFont="1" applyFill="1" applyBorder="1" applyAlignment="1">
      <alignment horizontal="center" vertical="center" wrapText="1"/>
    </xf>
    <xf numFmtId="41" fontId="60" fillId="3" borderId="37" xfId="0" applyNumberFormat="1" applyFont="1" applyFill="1" applyBorder="1" applyAlignment="1">
      <alignment horizontal="center" vertical="center" wrapText="1"/>
    </xf>
    <xf numFmtId="41" fontId="60" fillId="3" borderId="25" xfId="0" applyNumberFormat="1" applyFont="1" applyFill="1" applyBorder="1" applyAlignment="1">
      <alignment horizontal="center" vertical="center" wrapText="1"/>
    </xf>
    <xf numFmtId="41" fontId="60" fillId="3" borderId="27" xfId="0" applyNumberFormat="1" applyFont="1" applyFill="1" applyBorder="1" applyAlignment="1">
      <alignment horizontal="center" vertical="center" wrapText="1"/>
    </xf>
    <xf numFmtId="41" fontId="60" fillId="3" borderId="23" xfId="0" applyNumberFormat="1" applyFont="1" applyFill="1" applyBorder="1" applyAlignment="1">
      <alignment horizontal="center" vertical="center" wrapText="1"/>
    </xf>
    <xf numFmtId="41" fontId="67" fillId="6" borderId="175" xfId="0" applyNumberFormat="1" applyFont="1" applyFill="1" applyBorder="1" applyAlignment="1">
      <alignment horizontal="center" vertical="center" wrapText="1"/>
    </xf>
    <xf numFmtId="41" fontId="67" fillId="6" borderId="176" xfId="0" applyNumberFormat="1" applyFont="1" applyFill="1" applyBorder="1" applyAlignment="1">
      <alignment horizontal="center" vertical="center" wrapText="1"/>
    </xf>
    <xf numFmtId="41" fontId="67" fillId="6" borderId="177" xfId="0" applyNumberFormat="1" applyFont="1" applyFill="1" applyBorder="1" applyAlignment="1">
      <alignment horizontal="center" vertical="center" wrapText="1"/>
    </xf>
    <xf numFmtId="0" fontId="14" fillId="7" borderId="60" xfId="6" applyFont="1" applyFill="1" applyBorder="1" applyAlignment="1">
      <alignment horizontal="left" wrapText="1"/>
    </xf>
    <xf numFmtId="0" fontId="14" fillId="7" borderId="62" xfId="6" applyFont="1" applyFill="1" applyBorder="1" applyAlignment="1">
      <alignment horizontal="left" wrapText="1"/>
    </xf>
    <xf numFmtId="41" fontId="70" fillId="6" borderId="79" xfId="0" applyNumberFormat="1" applyFont="1" applyFill="1" applyBorder="1" applyAlignment="1">
      <alignment horizontal="center" vertical="center" wrapText="1"/>
    </xf>
    <xf numFmtId="41" fontId="70" fillId="6" borderId="140" xfId="0" applyNumberFormat="1" applyFont="1" applyFill="1" applyBorder="1" applyAlignment="1">
      <alignment horizontal="center" vertical="center" wrapText="1"/>
    </xf>
    <xf numFmtId="41" fontId="70" fillId="6" borderId="80" xfId="0" applyNumberFormat="1" applyFont="1" applyFill="1" applyBorder="1" applyAlignment="1">
      <alignment horizontal="center" vertical="center" wrapText="1"/>
    </xf>
    <xf numFmtId="0" fontId="31" fillId="3" borderId="77" xfId="0" applyFont="1" applyFill="1" applyBorder="1" applyAlignment="1">
      <alignment horizontal="center" vertical="center" wrapText="1"/>
    </xf>
    <xf numFmtId="0" fontId="31" fillId="3" borderId="74" xfId="0" applyFont="1" applyFill="1" applyBorder="1" applyAlignment="1">
      <alignment horizontal="center" vertical="center" wrapText="1"/>
    </xf>
    <xf numFmtId="0" fontId="31" fillId="3" borderId="75" xfId="0" applyFont="1" applyFill="1" applyBorder="1" applyAlignment="1">
      <alignment horizontal="center" vertical="center" wrapText="1"/>
    </xf>
    <xf numFmtId="41" fontId="70" fillId="3" borderId="79" xfId="0" applyNumberFormat="1" applyFont="1" applyFill="1" applyBorder="1" applyAlignment="1">
      <alignment horizontal="center" vertical="center" wrapText="1"/>
    </xf>
    <xf numFmtId="41" fontId="70" fillId="3" borderId="140" xfId="0" applyNumberFormat="1" applyFont="1" applyFill="1" applyBorder="1" applyAlignment="1">
      <alignment horizontal="center" vertical="center" wrapText="1"/>
    </xf>
    <xf numFmtId="41" fontId="70" fillId="3" borderId="80" xfId="0" applyNumberFormat="1" applyFont="1" applyFill="1" applyBorder="1" applyAlignment="1">
      <alignment horizontal="center" vertical="center" wrapText="1"/>
    </xf>
    <xf numFmtId="41" fontId="78" fillId="3" borderId="25" xfId="0" applyNumberFormat="1" applyFont="1" applyFill="1" applyBorder="1" applyAlignment="1">
      <alignment horizontal="center" vertical="center" wrapText="1"/>
    </xf>
    <xf numFmtId="41" fontId="78" fillId="3" borderId="27" xfId="0" applyNumberFormat="1" applyFont="1" applyFill="1" applyBorder="1" applyAlignment="1">
      <alignment horizontal="center" vertical="center" wrapText="1"/>
    </xf>
    <xf numFmtId="41" fontId="78" fillId="3" borderId="23" xfId="0" applyNumberFormat="1" applyFont="1" applyFill="1" applyBorder="1" applyAlignment="1">
      <alignment horizontal="center" vertical="center" wrapText="1"/>
    </xf>
    <xf numFmtId="0" fontId="0" fillId="0" borderId="23" xfId="0" applyBorder="1"/>
    <xf numFmtId="0" fontId="16" fillId="3" borderId="12" xfId="0" applyFont="1" applyFill="1" applyBorder="1" applyAlignment="1">
      <alignment horizontal="left" vertical="center" wrapText="1" indent="1"/>
    </xf>
    <xf numFmtId="0" fontId="0" fillId="0" borderId="26" xfId="0" applyBorder="1"/>
    <xf numFmtId="41" fontId="67" fillId="3" borderId="25" xfId="0" applyNumberFormat="1" applyFont="1" applyFill="1" applyBorder="1" applyAlignment="1">
      <alignment horizontal="center" vertical="center" wrapText="1"/>
    </xf>
    <xf numFmtId="41" fontId="67" fillId="3" borderId="27" xfId="0" applyNumberFormat="1" applyFont="1" applyFill="1" applyBorder="1" applyAlignment="1">
      <alignment horizontal="center" vertical="center" wrapText="1"/>
    </xf>
    <xf numFmtId="41" fontId="67" fillId="3" borderId="23" xfId="0" applyNumberFormat="1" applyFont="1" applyFill="1" applyBorder="1" applyAlignment="1">
      <alignment horizontal="center" vertical="center" wrapText="1"/>
    </xf>
    <xf numFmtId="41" fontId="60" fillId="6" borderId="77" xfId="0" applyNumberFormat="1" applyFont="1" applyFill="1" applyBorder="1" applyAlignment="1">
      <alignment horizontal="center" vertical="center" wrapText="1"/>
    </xf>
    <xf numFmtId="41" fontId="60" fillId="6" borderId="74" xfId="0" applyNumberFormat="1" applyFont="1" applyFill="1" applyBorder="1" applyAlignment="1">
      <alignment horizontal="center" vertical="center" wrapText="1"/>
    </xf>
    <xf numFmtId="41" fontId="60" fillId="6" borderId="75" xfId="0" applyNumberFormat="1" applyFont="1" applyFill="1" applyBorder="1" applyAlignment="1">
      <alignment horizontal="center" vertical="center" wrapText="1"/>
    </xf>
    <xf numFmtId="41" fontId="60" fillId="3" borderId="79" xfId="0" applyNumberFormat="1" applyFont="1" applyFill="1" applyBorder="1" applyAlignment="1">
      <alignment horizontal="center" vertical="center" wrapText="1"/>
    </xf>
    <xf numFmtId="41" fontId="60" fillId="3" borderId="140" xfId="0" applyNumberFormat="1" applyFont="1" applyFill="1" applyBorder="1" applyAlignment="1">
      <alignment horizontal="center" vertical="center" wrapText="1"/>
    </xf>
    <xf numFmtId="41" fontId="60" fillId="3" borderId="80" xfId="0" applyNumberFormat="1" applyFont="1" applyFill="1" applyBorder="1" applyAlignment="1">
      <alignment horizontal="center" vertical="center" wrapText="1"/>
    </xf>
    <xf numFmtId="41" fontId="70" fillId="0" borderId="176" xfId="0" applyNumberFormat="1" applyFont="1" applyFill="1" applyBorder="1" applyAlignment="1">
      <alignment horizontal="center" vertical="center" wrapText="1"/>
    </xf>
    <xf numFmtId="0" fontId="7" fillId="8" borderId="165" xfId="0" applyFont="1" applyFill="1" applyBorder="1" applyAlignment="1">
      <alignment horizontal="center" vertical="center" wrapText="1"/>
    </xf>
    <xf numFmtId="0" fontId="7" fillId="8" borderId="169" xfId="0" applyFont="1" applyFill="1" applyBorder="1" applyAlignment="1">
      <alignment horizontal="center" vertical="center" wrapText="1"/>
    </xf>
    <xf numFmtId="0" fontId="7" fillId="8" borderId="166" xfId="0" applyFont="1" applyFill="1" applyBorder="1" applyAlignment="1">
      <alignment horizontal="center" vertical="center" wrapText="1"/>
    </xf>
    <xf numFmtId="41" fontId="70" fillId="6" borderId="175" xfId="0" applyNumberFormat="1" applyFont="1" applyFill="1" applyBorder="1" applyAlignment="1">
      <alignment horizontal="center" vertical="center" wrapText="1"/>
    </xf>
    <xf numFmtId="41" fontId="70" fillId="6" borderId="176" xfId="0" applyNumberFormat="1" applyFont="1" applyFill="1" applyBorder="1" applyAlignment="1">
      <alignment horizontal="center" vertical="center" wrapText="1"/>
    </xf>
    <xf numFmtId="41" fontId="70" fillId="6" borderId="177" xfId="0" applyNumberFormat="1" applyFont="1" applyFill="1" applyBorder="1" applyAlignment="1">
      <alignment horizontal="center" vertical="center" wrapText="1"/>
    </xf>
    <xf numFmtId="41" fontId="70" fillId="6" borderId="132" xfId="0" applyNumberFormat="1" applyFont="1" applyFill="1" applyBorder="1" applyAlignment="1">
      <alignment horizontal="center" vertical="center" wrapText="1"/>
    </xf>
    <xf numFmtId="0" fontId="14" fillId="7" borderId="77" xfId="6" applyFont="1" applyFill="1" applyBorder="1" applyAlignment="1">
      <alignment horizontal="center" vertical="center" wrapText="1"/>
    </xf>
    <xf numFmtId="0" fontId="14" fillId="7" borderId="74" xfId="6" applyFont="1" applyFill="1" applyBorder="1" applyAlignment="1">
      <alignment horizontal="center" vertical="center" wrapText="1"/>
    </xf>
    <xf numFmtId="43" fontId="60" fillId="0" borderId="36" xfId="0" applyNumberFormat="1" applyFont="1" applyFill="1" applyBorder="1" applyAlignment="1">
      <alignment horizontal="center" vertical="center" wrapText="1"/>
    </xf>
    <xf numFmtId="43" fontId="60" fillId="0" borderId="38" xfId="0" applyNumberFormat="1" applyFont="1" applyFill="1" applyBorder="1" applyAlignment="1">
      <alignment horizontal="center" vertical="center" wrapText="1"/>
    </xf>
    <xf numFmtId="43" fontId="60" fillId="0" borderId="37" xfId="0" applyNumberFormat="1" applyFont="1" applyFill="1" applyBorder="1" applyAlignment="1">
      <alignment horizontal="center" vertical="center" wrapText="1"/>
    </xf>
    <xf numFmtId="0" fontId="7" fillId="0" borderId="77" xfId="0" applyFont="1" applyFill="1" applyBorder="1" applyAlignment="1">
      <alignment horizontal="center" vertical="center" wrapText="1"/>
    </xf>
    <xf numFmtId="0" fontId="7" fillId="0" borderId="74" xfId="0" applyFont="1" applyFill="1" applyBorder="1" applyAlignment="1">
      <alignment horizontal="center" vertical="center" wrapText="1"/>
    </xf>
    <xf numFmtId="0" fontId="7" fillId="0" borderId="75" xfId="0" applyFont="1" applyFill="1" applyBorder="1" applyAlignment="1">
      <alignment horizontal="center" vertical="center" wrapText="1"/>
    </xf>
    <xf numFmtId="43" fontId="60" fillId="6" borderId="79" xfId="0" applyNumberFormat="1" applyFont="1" applyFill="1" applyBorder="1" applyAlignment="1">
      <alignment horizontal="center" vertical="center" wrapText="1"/>
    </xf>
    <xf numFmtId="43" fontId="60" fillId="6" borderId="140" xfId="0" applyNumberFormat="1" applyFont="1" applyFill="1" applyBorder="1" applyAlignment="1">
      <alignment horizontal="center" vertical="center" wrapText="1"/>
    </xf>
    <xf numFmtId="43" fontId="60" fillId="6" borderId="8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3" borderId="8" xfId="0" applyFont="1" applyFill="1" applyBorder="1" applyAlignment="1">
      <alignment horizontal="left" vertical="center" wrapText="1" indent="1"/>
    </xf>
    <xf numFmtId="0" fontId="16" fillId="3" borderId="9" xfId="0" applyFont="1" applyFill="1" applyBorder="1" applyAlignment="1">
      <alignment horizontal="left" vertical="center" wrapText="1" indent="1"/>
    </xf>
    <xf numFmtId="0" fontId="16" fillId="3" borderId="7" xfId="0" applyFont="1" applyFill="1" applyBorder="1" applyAlignment="1">
      <alignment horizontal="left" vertical="center" wrapText="1" indent="1"/>
    </xf>
    <xf numFmtId="0" fontId="16" fillId="6" borderId="9" xfId="0" applyFont="1" applyFill="1" applyBorder="1" applyAlignment="1">
      <alignment horizontal="left" vertical="center" wrapText="1" indent="1"/>
    </xf>
    <xf numFmtId="0" fontId="30" fillId="0" borderId="64" xfId="0" applyFont="1" applyBorder="1" applyAlignment="1">
      <alignment horizontal="center" vertical="center" wrapText="1"/>
    </xf>
    <xf numFmtId="168" fontId="16" fillId="6" borderId="6" xfId="0" applyNumberFormat="1" applyFont="1" applyFill="1" applyBorder="1" applyAlignment="1">
      <alignment horizontal="left" vertical="center" wrapText="1" indent="1"/>
    </xf>
    <xf numFmtId="0" fontId="16" fillId="3" borderId="6" xfId="0" applyFont="1" applyFill="1" applyBorder="1" applyAlignment="1">
      <alignment horizontal="left" vertical="center" wrapText="1" indent="1"/>
    </xf>
    <xf numFmtId="0" fontId="16" fillId="6" borderId="6" xfId="0" applyFont="1" applyFill="1" applyBorder="1" applyAlignment="1">
      <alignment horizontal="left" vertical="center" wrapText="1" indent="1"/>
    </xf>
    <xf numFmtId="168" fontId="16" fillId="3" borderId="6" xfId="0" applyNumberFormat="1" applyFont="1" applyFill="1" applyBorder="1" applyAlignment="1">
      <alignment horizontal="left" vertical="center" wrapText="1" indent="1"/>
    </xf>
    <xf numFmtId="0" fontId="17" fillId="0" borderId="18" xfId="0" applyFont="1" applyFill="1" applyBorder="1" applyAlignment="1">
      <alignment horizontal="center" vertical="center" wrapText="1"/>
    </xf>
    <xf numFmtId="0" fontId="17" fillId="0" borderId="17" xfId="0" applyFont="1" applyFill="1" applyBorder="1" applyAlignment="1">
      <alignment horizontal="center" vertical="center" wrapText="1"/>
    </xf>
    <xf numFmtId="0" fontId="17" fillId="0" borderId="19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7" fillId="0" borderId="16" xfId="0" applyFont="1" applyFill="1" applyBorder="1" applyAlignment="1">
      <alignment horizontal="center" vertical="center" wrapText="1"/>
    </xf>
    <xf numFmtId="0" fontId="17" fillId="0" borderId="14" xfId="0" applyFont="1" applyFill="1" applyBorder="1" applyAlignment="1">
      <alignment horizontal="center" vertical="center" wrapText="1"/>
    </xf>
    <xf numFmtId="0" fontId="17" fillId="6" borderId="77" xfId="6" applyFont="1" applyFill="1" applyBorder="1" applyAlignment="1">
      <alignment horizontal="center" vertical="center" wrapText="1"/>
    </xf>
    <xf numFmtId="0" fontId="17" fillId="6" borderId="75" xfId="6" applyFont="1" applyFill="1" applyBorder="1" applyAlignment="1">
      <alignment horizontal="center" vertical="center" wrapText="1"/>
    </xf>
    <xf numFmtId="0" fontId="16" fillId="6" borderId="74" xfId="0" applyFont="1" applyFill="1" applyBorder="1" applyAlignment="1">
      <alignment horizontal="left" vertical="center" wrapText="1"/>
    </xf>
    <xf numFmtId="0" fontId="16" fillId="3" borderId="76" xfId="6" applyFont="1" applyFill="1" applyBorder="1" applyAlignment="1">
      <alignment horizontal="left" vertical="center" wrapText="1" indent="1"/>
    </xf>
    <xf numFmtId="0" fontId="16" fillId="6" borderId="76" xfId="6" applyFont="1" applyFill="1" applyBorder="1" applyAlignment="1">
      <alignment horizontal="left" vertical="center" wrapText="1" indent="1"/>
    </xf>
    <xf numFmtId="0" fontId="16" fillId="6" borderId="176" xfId="0" applyFont="1" applyFill="1" applyBorder="1" applyAlignment="1">
      <alignment horizontal="left" vertical="center" wrapText="1"/>
    </xf>
    <xf numFmtId="0" fontId="16" fillId="0" borderId="38" xfId="0" applyFont="1" applyFill="1" applyBorder="1" applyAlignment="1">
      <alignment horizontal="left" vertical="center" wrapText="1"/>
    </xf>
    <xf numFmtId="0" fontId="16" fillId="6" borderId="27" xfId="0" applyFont="1" applyFill="1" applyBorder="1" applyAlignment="1">
      <alignment horizontal="left" vertical="center" wrapText="1"/>
    </xf>
    <xf numFmtId="0" fontId="16" fillId="0" borderId="176" xfId="0" applyFont="1" applyFill="1" applyBorder="1" applyAlignment="1">
      <alignment horizontal="left" vertical="center" wrapText="1"/>
    </xf>
    <xf numFmtId="3" fontId="38" fillId="0" borderId="166" xfId="69" applyNumberFormat="1" applyFont="1" applyBorder="1" applyAlignment="1" applyProtection="1">
      <alignment horizontal="center" vertical="center"/>
      <protection hidden="1"/>
    </xf>
    <xf numFmtId="3" fontId="38" fillId="0" borderId="64" xfId="69" applyNumberFormat="1" applyFont="1" applyBorder="1" applyAlignment="1" applyProtection="1">
      <alignment horizontal="center" vertical="center"/>
      <protection hidden="1"/>
    </xf>
    <xf numFmtId="3" fontId="15" fillId="0" borderId="64" xfId="69" applyNumberFormat="1" applyFont="1" applyFill="1" applyBorder="1" applyAlignment="1" applyProtection="1">
      <alignment horizontal="center" vertical="center"/>
      <protection hidden="1"/>
    </xf>
    <xf numFmtId="3" fontId="16" fillId="0" borderId="167" xfId="69" applyNumberFormat="1" applyFont="1" applyFill="1" applyBorder="1" applyAlignment="1" applyProtection="1">
      <alignment horizontal="center" vertical="center"/>
      <protection hidden="1"/>
    </xf>
    <xf numFmtId="43" fontId="76" fillId="12" borderId="65" xfId="7" applyFont="1" applyFill="1" applyBorder="1" applyAlignment="1" applyProtection="1">
      <alignment horizontal="left" vertical="center"/>
      <protection hidden="1"/>
    </xf>
    <xf numFmtId="43" fontId="76" fillId="12" borderId="66" xfId="7" applyFont="1" applyFill="1" applyBorder="1" applyAlignment="1" applyProtection="1">
      <alignment horizontal="left" vertical="center"/>
      <protection hidden="1"/>
    </xf>
    <xf numFmtId="43" fontId="76" fillId="12" borderId="67" xfId="7" applyFont="1" applyFill="1" applyBorder="1" applyAlignment="1" applyProtection="1">
      <alignment horizontal="left" vertical="center"/>
      <protection hidden="1"/>
    </xf>
    <xf numFmtId="3" fontId="18" fillId="62" borderId="64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64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64" xfId="69" applyNumberFormat="1" applyFont="1" applyFill="1" applyBorder="1" applyAlignment="1" applyProtection="1">
      <alignment horizontal="center" vertical="center" wrapText="1"/>
      <protection hidden="1"/>
    </xf>
    <xf numFmtId="3" fontId="18" fillId="57" borderId="64" xfId="69" applyNumberFormat="1" applyFont="1" applyFill="1" applyBorder="1" applyAlignment="1" applyProtection="1">
      <alignment horizontal="center" vertical="center"/>
      <protection hidden="1"/>
    </xf>
    <xf numFmtId="3" fontId="18" fillId="5" borderId="77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74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75" xfId="69" applyNumberFormat="1" applyFont="1" applyFill="1" applyBorder="1" applyAlignment="1" applyProtection="1">
      <alignment horizontal="center" vertical="top" wrapText="1"/>
      <protection hidden="1"/>
    </xf>
    <xf numFmtId="3" fontId="18" fillId="61" borderId="65" xfId="69" applyNumberFormat="1" applyFont="1" applyFill="1" applyBorder="1" applyAlignment="1" applyProtection="1">
      <alignment horizontal="center" vertical="center" wrapText="1"/>
      <protection hidden="1"/>
    </xf>
    <xf numFmtId="3" fontId="18" fillId="61" borderId="66" xfId="69" applyNumberFormat="1" applyFont="1" applyFill="1" applyBorder="1" applyAlignment="1" applyProtection="1">
      <alignment horizontal="center" vertical="center" wrapText="1"/>
      <protection hidden="1"/>
    </xf>
    <xf numFmtId="3" fontId="18" fillId="61" borderId="67" xfId="69" applyNumberFormat="1" applyFont="1" applyFill="1" applyBorder="1" applyAlignment="1" applyProtection="1">
      <alignment horizontal="center" vertical="center" wrapText="1"/>
      <protection hidden="1"/>
    </xf>
    <xf numFmtId="3" fontId="18" fillId="61" borderId="65" xfId="69" applyNumberFormat="1" applyFont="1" applyFill="1" applyBorder="1" applyAlignment="1" applyProtection="1">
      <alignment horizontal="center" vertical="center"/>
      <protection hidden="1"/>
    </xf>
    <xf numFmtId="3" fontId="18" fillId="61" borderId="66" xfId="69" applyNumberFormat="1" applyFont="1" applyFill="1" applyBorder="1" applyAlignment="1" applyProtection="1">
      <alignment horizontal="center" vertical="center"/>
      <protection hidden="1"/>
    </xf>
    <xf numFmtId="3" fontId="18" fillId="61" borderId="67" xfId="69" applyNumberFormat="1" applyFont="1" applyFill="1" applyBorder="1" applyAlignment="1" applyProtection="1">
      <alignment horizontal="center" vertical="center"/>
      <protection hidden="1"/>
    </xf>
    <xf numFmtId="3" fontId="18" fillId="57" borderId="65" xfId="69" applyNumberFormat="1" applyFont="1" applyFill="1" applyBorder="1" applyAlignment="1" applyProtection="1">
      <alignment horizontal="center" vertical="center" wrapText="1"/>
      <protection hidden="1"/>
    </xf>
    <xf numFmtId="3" fontId="18" fillId="57" borderId="66" xfId="69" applyNumberFormat="1" applyFont="1" applyFill="1" applyBorder="1" applyAlignment="1" applyProtection="1">
      <alignment horizontal="center" vertical="center" wrapText="1"/>
      <protection hidden="1"/>
    </xf>
    <xf numFmtId="3" fontId="18" fillId="57" borderId="67" xfId="69" applyNumberFormat="1" applyFont="1" applyFill="1" applyBorder="1" applyAlignment="1" applyProtection="1">
      <alignment horizontal="center" vertical="center" wrapText="1"/>
      <protection hidden="1"/>
    </xf>
    <xf numFmtId="3" fontId="18" fillId="64" borderId="64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64" xfId="69" applyNumberFormat="1" applyFont="1" applyFill="1" applyBorder="1" applyAlignment="1" applyProtection="1">
      <alignment horizontal="center" vertical="top" wrapText="1"/>
      <protection hidden="1"/>
    </xf>
    <xf numFmtId="3" fontId="18" fillId="64" borderId="12" xfId="69" applyNumberFormat="1" applyFont="1" applyFill="1" applyBorder="1" applyAlignment="1" applyProtection="1">
      <alignment horizontal="center" vertical="top" wrapText="1"/>
      <protection hidden="1"/>
    </xf>
    <xf numFmtId="3" fontId="18" fillId="64" borderId="15" xfId="69" applyNumberFormat="1" applyFont="1" applyFill="1" applyBorder="1" applyAlignment="1" applyProtection="1">
      <alignment horizontal="center" vertical="top" wrapText="1"/>
      <protection hidden="1"/>
    </xf>
    <xf numFmtId="3" fontId="18" fillId="64" borderId="13" xfId="69" applyNumberFormat="1" applyFont="1" applyFill="1" applyBorder="1" applyAlignment="1" applyProtection="1">
      <alignment horizontal="center" vertical="top" wrapText="1"/>
      <protection hidden="1"/>
    </xf>
    <xf numFmtId="3" fontId="15" fillId="0" borderId="12" xfId="69" applyNumberFormat="1" applyFont="1" applyFill="1" applyBorder="1" applyAlignment="1" applyProtection="1">
      <alignment horizontal="center" vertical="center" wrapText="1"/>
      <protection hidden="1"/>
    </xf>
    <xf numFmtId="3" fontId="15" fillId="0" borderId="15" xfId="69" applyNumberFormat="1" applyFont="1" applyFill="1" applyBorder="1" applyAlignment="1" applyProtection="1">
      <alignment horizontal="center" vertical="center" wrapText="1"/>
      <protection hidden="1"/>
    </xf>
    <xf numFmtId="3" fontId="18" fillId="58" borderId="65" xfId="69" applyNumberFormat="1" applyFont="1" applyFill="1" applyBorder="1" applyAlignment="1" applyProtection="1">
      <alignment horizontal="center" vertical="center"/>
      <protection hidden="1"/>
    </xf>
    <xf numFmtId="3" fontId="18" fillId="58" borderId="66" xfId="69" applyNumberFormat="1" applyFont="1" applyFill="1" applyBorder="1" applyAlignment="1" applyProtection="1">
      <alignment horizontal="center" vertical="center"/>
      <protection hidden="1"/>
    </xf>
    <xf numFmtId="3" fontId="18" fillId="6" borderId="64" xfId="69" applyNumberFormat="1" applyFont="1" applyFill="1" applyBorder="1" applyAlignment="1" applyProtection="1">
      <alignment horizontal="center" vertical="center"/>
      <protection hidden="1"/>
    </xf>
    <xf numFmtId="3" fontId="18" fillId="6" borderId="64" xfId="69" applyNumberFormat="1" applyFont="1" applyFill="1" applyBorder="1" applyAlignment="1" applyProtection="1">
      <alignment horizontal="center" vertical="center" wrapText="1"/>
      <protection hidden="1"/>
    </xf>
    <xf numFmtId="3" fontId="18" fillId="6" borderId="76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114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116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118" xfId="69" applyNumberFormat="1" applyFont="1" applyFill="1" applyBorder="1" applyAlignment="1" applyProtection="1">
      <alignment horizontal="center" vertical="top" wrapText="1"/>
      <protection hidden="1"/>
    </xf>
    <xf numFmtId="3" fontId="18" fillId="58" borderId="12" xfId="69" applyNumberFormat="1" applyFont="1" applyFill="1" applyBorder="1" applyAlignment="1" applyProtection="1">
      <alignment horizontal="center" vertical="top" wrapText="1"/>
      <protection hidden="1"/>
    </xf>
    <xf numFmtId="3" fontId="18" fillId="58" borderId="13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18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20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17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16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2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14" xfId="69" applyNumberFormat="1" applyFont="1" applyFill="1" applyBorder="1" applyAlignment="1" applyProtection="1">
      <alignment horizontal="center" vertical="top" wrapText="1"/>
      <protection hidden="1"/>
    </xf>
    <xf numFmtId="3" fontId="18" fillId="58" borderId="18" xfId="69" applyNumberFormat="1" applyFont="1" applyFill="1" applyBorder="1" applyAlignment="1" applyProtection="1">
      <alignment horizontal="center" vertical="top" wrapText="1"/>
      <protection hidden="1"/>
    </xf>
    <xf numFmtId="3" fontId="18" fillId="58" borderId="20" xfId="69" applyNumberFormat="1" applyFont="1" applyFill="1" applyBorder="1" applyAlignment="1" applyProtection="1">
      <alignment horizontal="center" vertical="top" wrapText="1"/>
      <protection hidden="1"/>
    </xf>
    <xf numFmtId="3" fontId="18" fillId="58" borderId="17" xfId="69" applyNumberFormat="1" applyFont="1" applyFill="1" applyBorder="1" applyAlignment="1" applyProtection="1">
      <alignment horizontal="center" vertical="top" wrapText="1"/>
      <protection hidden="1"/>
    </xf>
    <xf numFmtId="3" fontId="18" fillId="58" borderId="16" xfId="69" applyNumberFormat="1" applyFont="1" applyFill="1" applyBorder="1" applyAlignment="1" applyProtection="1">
      <alignment horizontal="center" vertical="top" wrapText="1"/>
      <protection hidden="1"/>
    </xf>
    <xf numFmtId="3" fontId="18" fillId="58" borderId="2" xfId="69" applyNumberFormat="1" applyFont="1" applyFill="1" applyBorder="1" applyAlignment="1" applyProtection="1">
      <alignment horizontal="center" vertical="top" wrapText="1"/>
      <protection hidden="1"/>
    </xf>
    <xf numFmtId="3" fontId="18" fillId="58" borderId="14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18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20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17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16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2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14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18" xfId="69" applyNumberFormat="1" applyFont="1" applyFill="1" applyBorder="1" applyAlignment="1" applyProtection="1">
      <alignment horizontal="center" vertical="top"/>
      <protection hidden="1"/>
    </xf>
    <xf numFmtId="3" fontId="18" fillId="6" borderId="20" xfId="69" applyNumberFormat="1" applyFont="1" applyFill="1" applyBorder="1" applyAlignment="1" applyProtection="1">
      <alignment horizontal="center" vertical="top"/>
      <protection hidden="1"/>
    </xf>
    <xf numFmtId="3" fontId="18" fillId="6" borderId="17" xfId="69" applyNumberFormat="1" applyFont="1" applyFill="1" applyBorder="1" applyAlignment="1" applyProtection="1">
      <alignment horizontal="center" vertical="top"/>
      <protection hidden="1"/>
    </xf>
    <xf numFmtId="3" fontId="18" fillId="6" borderId="16" xfId="69" applyNumberFormat="1" applyFont="1" applyFill="1" applyBorder="1" applyAlignment="1" applyProtection="1">
      <alignment horizontal="center" vertical="top"/>
      <protection hidden="1"/>
    </xf>
    <xf numFmtId="3" fontId="18" fillId="6" borderId="2" xfId="69" applyNumberFormat="1" applyFont="1" applyFill="1" applyBorder="1" applyAlignment="1" applyProtection="1">
      <alignment horizontal="center" vertical="top"/>
      <protection hidden="1"/>
    </xf>
    <xf numFmtId="3" fontId="18" fillId="6" borderId="14" xfId="69" applyNumberFormat="1" applyFont="1" applyFill="1" applyBorder="1" applyAlignment="1" applyProtection="1">
      <alignment horizontal="center" vertical="top"/>
      <protection hidden="1"/>
    </xf>
    <xf numFmtId="3" fontId="18" fillId="6" borderId="12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13" xfId="69" applyNumberFormat="1" applyFont="1" applyFill="1" applyBorder="1" applyAlignment="1" applyProtection="1">
      <alignment horizontal="center" vertical="top" wrapText="1"/>
      <protection hidden="1"/>
    </xf>
    <xf numFmtId="3" fontId="18" fillId="61" borderId="65" xfId="69" applyNumberFormat="1" applyFont="1" applyFill="1" applyBorder="1" applyAlignment="1" applyProtection="1">
      <alignment horizontal="center" vertical="top" wrapText="1"/>
      <protection hidden="1"/>
    </xf>
    <xf numFmtId="3" fontId="18" fillId="61" borderId="66" xfId="69" applyNumberFormat="1" applyFont="1" applyFill="1" applyBorder="1" applyAlignment="1" applyProtection="1">
      <alignment horizontal="center" vertical="top" wrapText="1"/>
      <protection hidden="1"/>
    </xf>
    <xf numFmtId="3" fontId="18" fillId="61" borderId="67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65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66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64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76" xfId="69" applyNumberFormat="1" applyFont="1" applyFill="1" applyBorder="1" applyAlignment="1" applyProtection="1">
      <alignment horizontal="center" vertical="center" wrapText="1"/>
      <protection hidden="1"/>
    </xf>
    <xf numFmtId="3" fontId="15" fillId="5" borderId="65" xfId="69" applyNumberFormat="1" applyFont="1" applyFill="1" applyBorder="1" applyAlignment="1" applyProtection="1">
      <alignment horizontal="center" vertical="center"/>
      <protection hidden="1"/>
    </xf>
    <xf numFmtId="3" fontId="15" fillId="5" borderId="66" xfId="69" applyNumberFormat="1" applyFont="1" applyFill="1" applyBorder="1" applyAlignment="1" applyProtection="1">
      <alignment horizontal="center" vertical="center"/>
      <protection hidden="1"/>
    </xf>
    <xf numFmtId="3" fontId="15" fillId="5" borderId="67" xfId="69" applyNumberFormat="1" applyFont="1" applyFill="1" applyBorder="1" applyAlignment="1" applyProtection="1">
      <alignment horizontal="center" vertical="center"/>
      <protection hidden="1"/>
    </xf>
    <xf numFmtId="3" fontId="18" fillId="4" borderId="77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74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75" xfId="69" applyNumberFormat="1" applyFont="1" applyFill="1" applyBorder="1" applyAlignment="1" applyProtection="1">
      <alignment horizontal="center" vertical="top" wrapText="1"/>
      <protection hidden="1"/>
    </xf>
    <xf numFmtId="3" fontId="38" fillId="4" borderId="64" xfId="69" applyNumberFormat="1" applyFont="1" applyFill="1" applyBorder="1" applyAlignment="1" applyProtection="1">
      <alignment horizontal="center" vertical="center"/>
      <protection hidden="1"/>
    </xf>
    <xf numFmtId="3" fontId="16" fillId="4" borderId="167" xfId="69" applyNumberFormat="1" applyFont="1" applyFill="1" applyBorder="1" applyAlignment="1" applyProtection="1">
      <alignment horizontal="center" vertical="center"/>
      <protection hidden="1"/>
    </xf>
    <xf numFmtId="3" fontId="18" fillId="61" borderId="114" xfId="69" applyNumberFormat="1" applyFont="1" applyFill="1" applyBorder="1" applyAlignment="1" applyProtection="1">
      <alignment horizontal="center" vertical="top" wrapText="1"/>
      <protection hidden="1"/>
    </xf>
    <xf numFmtId="3" fontId="18" fillId="61" borderId="116" xfId="69" applyNumberFormat="1" applyFont="1" applyFill="1" applyBorder="1" applyAlignment="1" applyProtection="1">
      <alignment horizontal="center" vertical="top" wrapText="1"/>
      <protection hidden="1"/>
    </xf>
    <xf numFmtId="3" fontId="18" fillId="61" borderId="118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113" xfId="69" applyNumberFormat="1" applyFont="1" applyFill="1" applyBorder="1" applyAlignment="1" applyProtection="1">
      <alignment horizontal="center" vertical="top" wrapText="1"/>
      <protection hidden="1"/>
    </xf>
    <xf numFmtId="3" fontId="17" fillId="6" borderId="76" xfId="46" applyNumberFormat="1" applyFont="1" applyFill="1" applyBorder="1" applyAlignment="1">
      <alignment horizontal="left" vertical="center" wrapText="1"/>
    </xf>
    <xf numFmtId="3" fontId="16" fillId="0" borderId="64" xfId="69" applyNumberFormat="1" applyFont="1" applyFill="1" applyBorder="1" applyAlignment="1" applyProtection="1">
      <alignment vertical="center" wrapText="1"/>
      <protection hidden="1"/>
    </xf>
    <xf numFmtId="3" fontId="15" fillId="0" borderId="65" xfId="69" applyNumberFormat="1" applyFont="1" applyFill="1" applyBorder="1" applyAlignment="1" applyProtection="1">
      <alignment horizontal="left" vertical="center" wrapText="1"/>
      <protection hidden="1"/>
    </xf>
    <xf numFmtId="3" fontId="15" fillId="0" borderId="67" xfId="69" applyNumberFormat="1" applyFont="1" applyFill="1" applyBorder="1" applyAlignment="1" applyProtection="1">
      <alignment horizontal="left" vertical="center" wrapText="1"/>
      <protection hidden="1"/>
    </xf>
    <xf numFmtId="9" fontId="60" fillId="0" borderId="12" xfId="14" applyFont="1" applyFill="1" applyBorder="1" applyAlignment="1">
      <alignment horizontal="center" vertical="center" wrapText="1"/>
    </xf>
    <xf numFmtId="9" fontId="60" fillId="0" borderId="15" xfId="14" applyFont="1" applyFill="1" applyBorder="1" applyAlignment="1">
      <alignment horizontal="center" vertical="center" wrapText="1"/>
    </xf>
    <xf numFmtId="9" fontId="60" fillId="0" borderId="13" xfId="14" applyFont="1" applyFill="1" applyBorder="1" applyAlignment="1">
      <alignment horizontal="center" vertical="center" wrapText="1"/>
    </xf>
    <xf numFmtId="3" fontId="17" fillId="6" borderId="8" xfId="46" applyNumberFormat="1" applyFont="1" applyFill="1" applyBorder="1" applyAlignment="1">
      <alignment horizontal="left" vertical="center" wrapText="1" indent="1"/>
    </xf>
    <xf numFmtId="3" fontId="17" fillId="6" borderId="7" xfId="46" applyNumberFormat="1" applyFont="1" applyFill="1" applyBorder="1" applyAlignment="1">
      <alignment horizontal="left" vertical="center" wrapText="1" indent="1"/>
    </xf>
    <xf numFmtId="3" fontId="17" fillId="3" borderId="168" xfId="46" applyNumberFormat="1" applyFont="1" applyFill="1" applyBorder="1" applyAlignment="1">
      <alignment horizontal="left" vertical="center" wrapText="1"/>
    </xf>
    <xf numFmtId="3" fontId="15" fillId="0" borderId="64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18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20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17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16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2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14" xfId="69" applyNumberFormat="1" applyFont="1" applyFill="1" applyBorder="1" applyAlignment="1" applyProtection="1">
      <alignment horizontal="center" vertical="top" wrapText="1"/>
      <protection hidden="1"/>
    </xf>
    <xf numFmtId="3" fontId="60" fillId="0" borderId="18" xfId="69" applyNumberFormat="1" applyFont="1" applyFill="1" applyBorder="1" applyAlignment="1">
      <alignment horizontal="center" vertical="center" wrapText="1"/>
    </xf>
    <xf numFmtId="3" fontId="60" fillId="0" borderId="16" xfId="69" applyNumberFormat="1" applyFont="1" applyFill="1" applyBorder="1" applyAlignment="1">
      <alignment horizontal="center" vertical="center" wrapText="1"/>
    </xf>
    <xf numFmtId="3" fontId="17" fillId="3" borderId="76" xfId="46" applyNumberFormat="1" applyFont="1" applyFill="1" applyBorder="1" applyAlignment="1">
      <alignment horizontal="left" vertical="center" wrapText="1"/>
    </xf>
    <xf numFmtId="3" fontId="25" fillId="0" borderId="15" xfId="7" applyNumberFormat="1" applyFont="1" applyFill="1" applyBorder="1" applyAlignment="1">
      <alignment horizontal="center" vertical="center" wrapText="1"/>
    </xf>
    <xf numFmtId="3" fontId="25" fillId="0" borderId="92" xfId="7" applyNumberFormat="1" applyFont="1" applyFill="1" applyBorder="1" applyAlignment="1">
      <alignment horizontal="center" vertical="center" wrapText="1"/>
    </xf>
    <xf numFmtId="3" fontId="18" fillId="62" borderId="12" xfId="69" applyNumberFormat="1" applyFont="1" applyFill="1" applyBorder="1" applyAlignment="1" applyProtection="1">
      <alignment horizontal="center" vertical="top" wrapText="1"/>
      <protection hidden="1"/>
    </xf>
    <xf numFmtId="3" fontId="18" fillId="62" borderId="119" xfId="69" applyNumberFormat="1" applyFont="1" applyFill="1" applyBorder="1" applyAlignment="1" applyProtection="1">
      <alignment horizontal="center" vertical="top" wrapText="1"/>
      <protection hidden="1"/>
    </xf>
    <xf numFmtId="3" fontId="17" fillId="3" borderId="8" xfId="46" applyNumberFormat="1" applyFont="1" applyFill="1" applyBorder="1" applyAlignment="1">
      <alignment horizontal="left" vertical="center" wrapText="1" indent="1"/>
    </xf>
    <xf numFmtId="3" fontId="17" fillId="3" borderId="7" xfId="46" applyNumberFormat="1" applyFont="1" applyFill="1" applyBorder="1" applyAlignment="1">
      <alignment horizontal="left" vertical="center" wrapText="1" indent="1"/>
    </xf>
    <xf numFmtId="3" fontId="18" fillId="6" borderId="119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114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116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118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114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116" xfId="69" applyNumberFormat="1" applyFont="1" applyFill="1" applyBorder="1" applyAlignment="1" applyProtection="1">
      <alignment horizontal="center" vertical="top" wrapText="1"/>
      <protection hidden="1"/>
    </xf>
    <xf numFmtId="3" fontId="18" fillId="61" borderId="114" xfId="69" applyNumberFormat="1" applyFont="1" applyFill="1" applyBorder="1" applyAlignment="1" applyProtection="1">
      <alignment horizontal="center" vertical="center"/>
      <protection hidden="1"/>
    </xf>
    <xf numFmtId="3" fontId="18" fillId="61" borderId="116" xfId="69" applyNumberFormat="1" applyFont="1" applyFill="1" applyBorder="1" applyAlignment="1" applyProtection="1">
      <alignment horizontal="center" vertical="center"/>
      <protection hidden="1"/>
    </xf>
    <xf numFmtId="3" fontId="18" fillId="61" borderId="118" xfId="69" applyNumberFormat="1" applyFont="1" applyFill="1" applyBorder="1" applyAlignment="1" applyProtection="1">
      <alignment horizontal="center" vertical="center"/>
      <protection hidden="1"/>
    </xf>
    <xf numFmtId="3" fontId="18" fillId="62" borderId="18" xfId="69" applyNumberFormat="1" applyFont="1" applyFill="1" applyBorder="1" applyAlignment="1" applyProtection="1">
      <alignment horizontal="center" vertical="top" wrapText="1"/>
      <protection hidden="1"/>
    </xf>
    <xf numFmtId="3" fontId="18" fillId="62" borderId="17" xfId="69" applyNumberFormat="1" applyFont="1" applyFill="1" applyBorder="1" applyAlignment="1" applyProtection="1">
      <alignment horizontal="center" vertical="top" wrapText="1"/>
      <protection hidden="1"/>
    </xf>
    <xf numFmtId="3" fontId="18" fillId="62" borderId="16" xfId="69" applyNumberFormat="1" applyFont="1" applyFill="1" applyBorder="1" applyAlignment="1" applyProtection="1">
      <alignment horizontal="center" vertical="top" wrapText="1"/>
      <protection hidden="1"/>
    </xf>
    <xf numFmtId="3" fontId="18" fillId="62" borderId="14" xfId="69" applyNumberFormat="1" applyFont="1" applyFill="1" applyBorder="1" applyAlignment="1" applyProtection="1">
      <alignment horizontal="center" vertical="top" wrapText="1"/>
      <protection hidden="1"/>
    </xf>
    <xf numFmtId="3" fontId="18" fillId="62" borderId="114" xfId="69" applyNumberFormat="1" applyFont="1" applyFill="1" applyBorder="1" applyAlignment="1" applyProtection="1">
      <alignment horizontal="center" vertical="top" wrapText="1"/>
      <protection hidden="1"/>
    </xf>
    <xf numFmtId="3" fontId="18" fillId="62" borderId="118" xfId="69" applyNumberFormat="1" applyFont="1" applyFill="1" applyBorder="1" applyAlignment="1" applyProtection="1">
      <alignment horizontal="center" vertical="top" wrapText="1"/>
      <protection hidden="1"/>
    </xf>
    <xf numFmtId="3" fontId="18" fillId="62" borderId="116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114" xfId="69" applyNumberFormat="1" applyFont="1" applyFill="1" applyBorder="1" applyAlignment="1" applyProtection="1">
      <alignment horizontal="center" vertical="center" wrapText="1"/>
      <protection hidden="1"/>
    </xf>
    <xf numFmtId="3" fontId="18" fillId="57" borderId="116" xfId="69" applyNumberFormat="1" applyFont="1" applyFill="1" applyBorder="1" applyAlignment="1" applyProtection="1">
      <alignment horizontal="center" vertical="center" wrapText="1"/>
      <protection hidden="1"/>
    </xf>
    <xf numFmtId="3" fontId="18" fillId="57" borderId="118" xfId="69" applyNumberFormat="1" applyFont="1" applyFill="1" applyBorder="1" applyAlignment="1" applyProtection="1">
      <alignment horizontal="center" vertical="center" wrapText="1"/>
      <protection hidden="1"/>
    </xf>
    <xf numFmtId="3" fontId="18" fillId="61" borderId="114" xfId="69" applyNumberFormat="1" applyFont="1" applyFill="1" applyBorder="1" applyAlignment="1" applyProtection="1">
      <alignment horizontal="center" vertical="center" wrapText="1"/>
      <protection hidden="1"/>
    </xf>
    <xf numFmtId="3" fontId="18" fillId="61" borderId="116" xfId="69" applyNumberFormat="1" applyFont="1" applyFill="1" applyBorder="1" applyAlignment="1" applyProtection="1">
      <alignment horizontal="center" vertical="center" wrapText="1"/>
      <protection hidden="1"/>
    </xf>
    <xf numFmtId="3" fontId="18" fillId="61" borderId="118" xfId="69" applyNumberFormat="1" applyFont="1" applyFill="1" applyBorder="1" applyAlignment="1" applyProtection="1">
      <alignment horizontal="center" vertical="center" wrapText="1"/>
      <protection hidden="1"/>
    </xf>
    <xf numFmtId="3" fontId="15" fillId="0" borderId="114" xfId="69" applyNumberFormat="1" applyFont="1" applyFill="1" applyBorder="1" applyAlignment="1" applyProtection="1">
      <alignment horizontal="center" vertical="center" wrapText="1"/>
      <protection hidden="1"/>
    </xf>
    <xf numFmtId="3" fontId="15" fillId="0" borderId="118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114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116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74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118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12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15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119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15" xfId="69" applyNumberFormat="1" applyFont="1" applyFill="1" applyBorder="1" applyAlignment="1" applyProtection="1">
      <alignment horizontal="center" vertical="top" wrapText="1"/>
      <protection hidden="1"/>
    </xf>
    <xf numFmtId="3" fontId="15" fillId="0" borderId="18" xfId="69" applyNumberFormat="1" applyFont="1" applyFill="1" applyBorder="1" applyAlignment="1" applyProtection="1">
      <alignment horizontal="center" vertical="center" wrapText="1"/>
      <protection hidden="1"/>
    </xf>
    <xf numFmtId="3" fontId="15" fillId="0" borderId="17" xfId="69" applyNumberFormat="1" applyFont="1" applyFill="1" applyBorder="1" applyAlignment="1" applyProtection="1">
      <alignment horizontal="center" vertical="center" wrapText="1"/>
      <protection hidden="1"/>
    </xf>
    <xf numFmtId="3" fontId="15" fillId="0" borderId="16" xfId="69" applyNumberFormat="1" applyFont="1" applyFill="1" applyBorder="1" applyAlignment="1" applyProtection="1">
      <alignment horizontal="center" vertical="center" wrapText="1"/>
      <protection hidden="1"/>
    </xf>
    <xf numFmtId="3" fontId="15" fillId="0" borderId="14" xfId="69" applyNumberFormat="1" applyFont="1" applyFill="1" applyBorder="1" applyAlignment="1" applyProtection="1">
      <alignment horizontal="center" vertical="center" wrapText="1"/>
      <protection hidden="1"/>
    </xf>
    <xf numFmtId="3" fontId="16" fillId="0" borderId="114" xfId="69" applyNumberFormat="1" applyFont="1" applyFill="1" applyBorder="1" applyAlignment="1" applyProtection="1">
      <alignment vertical="center" wrapText="1"/>
      <protection hidden="1"/>
    </xf>
    <xf numFmtId="3" fontId="16" fillId="0" borderId="118" xfId="69" applyNumberFormat="1" applyFont="1" applyFill="1" applyBorder="1" applyAlignment="1" applyProtection="1">
      <alignment vertical="center" wrapText="1"/>
      <protection hidden="1"/>
    </xf>
    <xf numFmtId="3" fontId="15" fillId="5" borderId="114" xfId="69" applyNumberFormat="1" applyFont="1" applyFill="1" applyBorder="1" applyAlignment="1" applyProtection="1">
      <alignment horizontal="center" vertical="center"/>
      <protection hidden="1"/>
    </xf>
    <xf numFmtId="3" fontId="15" fillId="5" borderId="116" xfId="69" applyNumberFormat="1" applyFont="1" applyFill="1" applyBorder="1" applyAlignment="1" applyProtection="1">
      <alignment horizontal="center" vertical="center"/>
      <protection hidden="1"/>
    </xf>
    <xf numFmtId="3" fontId="15" fillId="5" borderId="118" xfId="69" applyNumberFormat="1" applyFont="1" applyFill="1" applyBorder="1" applyAlignment="1" applyProtection="1">
      <alignment horizontal="center" vertical="center"/>
      <protection hidden="1"/>
    </xf>
    <xf numFmtId="3" fontId="15" fillId="0" borderId="77" xfId="69" applyNumberFormat="1" applyFont="1" applyFill="1" applyBorder="1" applyAlignment="1" applyProtection="1">
      <alignment horizontal="left" vertical="center" wrapText="1"/>
      <protection hidden="1"/>
    </xf>
    <xf numFmtId="3" fontId="15" fillId="0" borderId="75" xfId="69" applyNumberFormat="1" applyFont="1" applyFill="1" applyBorder="1" applyAlignment="1" applyProtection="1">
      <alignment horizontal="left" vertical="center" wrapText="1"/>
      <protection hidden="1"/>
    </xf>
    <xf numFmtId="3" fontId="18" fillId="58" borderId="119" xfId="69" applyNumberFormat="1" applyFont="1" applyFill="1" applyBorder="1" applyAlignment="1" applyProtection="1">
      <alignment horizontal="center" vertical="top" wrapText="1"/>
      <protection hidden="1"/>
    </xf>
    <xf numFmtId="43" fontId="15" fillId="0" borderId="65" xfId="7" applyFont="1" applyFill="1" applyBorder="1" applyAlignment="1" applyProtection="1">
      <alignment horizontal="left" vertical="center" wrapText="1"/>
      <protection hidden="1"/>
    </xf>
    <xf numFmtId="43" fontId="15" fillId="0" borderId="67" xfId="7" applyFont="1" applyFill="1" applyBorder="1" applyAlignment="1" applyProtection="1">
      <alignment horizontal="left" vertical="center" wrapText="1"/>
      <protection hidden="1"/>
    </xf>
    <xf numFmtId="3" fontId="18" fillId="6" borderId="114" xfId="69" applyNumberFormat="1" applyFont="1" applyFill="1" applyBorder="1" applyAlignment="1" applyProtection="1">
      <alignment horizontal="center" vertical="center"/>
      <protection hidden="1"/>
    </xf>
    <xf numFmtId="3" fontId="18" fillId="6" borderId="116" xfId="69" applyNumberFormat="1" applyFont="1" applyFill="1" applyBorder="1" applyAlignment="1" applyProtection="1">
      <alignment horizontal="center" vertical="center"/>
      <protection hidden="1"/>
    </xf>
    <xf numFmtId="3" fontId="18" fillId="6" borderId="118" xfId="69" applyNumberFormat="1" applyFont="1" applyFill="1" applyBorder="1" applyAlignment="1" applyProtection="1">
      <alignment horizontal="center" vertical="center"/>
      <protection hidden="1"/>
    </xf>
    <xf numFmtId="3" fontId="18" fillId="6" borderId="114" xfId="69" applyNumberFormat="1" applyFont="1" applyFill="1" applyBorder="1" applyAlignment="1" applyProtection="1">
      <alignment horizontal="center" vertical="center" wrapText="1"/>
      <protection hidden="1"/>
    </xf>
    <xf numFmtId="3" fontId="18" fillId="6" borderId="116" xfId="69" applyNumberFormat="1" applyFont="1" applyFill="1" applyBorder="1" applyAlignment="1" applyProtection="1">
      <alignment horizontal="center" vertical="center" wrapText="1"/>
      <protection hidden="1"/>
    </xf>
    <xf numFmtId="3" fontId="18" fillId="6" borderId="74" xfId="69" applyNumberFormat="1" applyFont="1" applyFill="1" applyBorder="1" applyAlignment="1" applyProtection="1">
      <alignment horizontal="center" vertical="center" wrapText="1"/>
      <protection hidden="1"/>
    </xf>
    <xf numFmtId="3" fontId="18" fillId="6" borderId="118" xfId="69" applyNumberFormat="1" applyFont="1" applyFill="1" applyBorder="1" applyAlignment="1" applyProtection="1">
      <alignment horizontal="center" vertical="center" wrapText="1"/>
      <protection hidden="1"/>
    </xf>
    <xf numFmtId="3" fontId="15" fillId="0" borderId="77" xfId="69" applyNumberFormat="1" applyFont="1" applyFill="1" applyBorder="1" applyAlignment="1" applyProtection="1">
      <alignment horizontal="center" vertical="center" wrapText="1"/>
      <protection hidden="1"/>
    </xf>
    <xf numFmtId="3" fontId="15" fillId="0" borderId="75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77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75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92" xfId="69" applyNumberFormat="1" applyFont="1" applyFill="1" applyBorder="1" applyAlignment="1" applyProtection="1">
      <alignment horizontal="center" vertical="top" wrapText="1"/>
      <protection hidden="1"/>
    </xf>
    <xf numFmtId="3" fontId="17" fillId="6" borderId="77" xfId="46" applyNumberFormat="1" applyFont="1" applyFill="1" applyBorder="1" applyAlignment="1">
      <alignment horizontal="left" vertical="center" wrapText="1" indent="1"/>
    </xf>
    <xf numFmtId="3" fontId="17" fillId="6" borderId="75" xfId="46" applyNumberFormat="1" applyFont="1" applyFill="1" applyBorder="1" applyAlignment="1">
      <alignment horizontal="left" vertical="center" wrapText="1" indent="1"/>
    </xf>
    <xf numFmtId="3" fontId="17" fillId="3" borderId="77" xfId="46" applyNumberFormat="1" applyFont="1" applyFill="1" applyBorder="1" applyAlignment="1">
      <alignment horizontal="left" vertical="center" wrapText="1" indent="1"/>
    </xf>
    <xf numFmtId="3" fontId="17" fillId="3" borderId="75" xfId="46" applyNumberFormat="1" applyFont="1" applyFill="1" applyBorder="1" applyAlignment="1">
      <alignment horizontal="left" vertical="center" wrapText="1" indent="1"/>
    </xf>
    <xf numFmtId="3" fontId="16" fillId="0" borderId="77" xfId="69" applyNumberFormat="1" applyFont="1" applyFill="1" applyBorder="1" applyAlignment="1" applyProtection="1">
      <alignment vertical="center" wrapText="1"/>
      <protection hidden="1"/>
    </xf>
    <xf numFmtId="3" fontId="16" fillId="0" borderId="75" xfId="69" applyNumberFormat="1" applyFont="1" applyFill="1" applyBorder="1" applyAlignment="1" applyProtection="1">
      <alignment vertical="center" wrapText="1"/>
      <protection hidden="1"/>
    </xf>
    <xf numFmtId="3" fontId="76" fillId="12" borderId="65" xfId="69" applyNumberFormat="1" applyFont="1" applyFill="1" applyBorder="1" applyAlignment="1" applyProtection="1">
      <alignment horizontal="left" vertical="center"/>
      <protection hidden="1"/>
    </xf>
    <xf numFmtId="3" fontId="76" fillId="12" borderId="66" xfId="69" applyNumberFormat="1" applyFont="1" applyFill="1" applyBorder="1" applyAlignment="1" applyProtection="1">
      <alignment horizontal="left" vertical="center"/>
      <protection hidden="1"/>
    </xf>
    <xf numFmtId="3" fontId="76" fillId="12" borderId="67" xfId="69" applyNumberFormat="1" applyFont="1" applyFill="1" applyBorder="1" applyAlignment="1" applyProtection="1">
      <alignment horizontal="left" vertical="center"/>
      <protection hidden="1"/>
    </xf>
    <xf numFmtId="3" fontId="60" fillId="0" borderId="12" xfId="69" applyNumberFormat="1" applyFont="1" applyFill="1" applyBorder="1" applyAlignment="1">
      <alignment horizontal="center" vertical="center" wrapText="1"/>
    </xf>
    <xf numFmtId="3" fontId="60" fillId="0" borderId="15" xfId="69" applyNumberFormat="1" applyFont="1" applyFill="1" applyBorder="1" applyAlignment="1">
      <alignment horizontal="center" vertical="center" wrapText="1"/>
    </xf>
    <xf numFmtId="3" fontId="60" fillId="0" borderId="92" xfId="69" applyNumberFormat="1" applyFont="1" applyFill="1" applyBorder="1" applyAlignment="1">
      <alignment horizontal="center" vertical="center" wrapText="1"/>
    </xf>
    <xf numFmtId="3" fontId="18" fillId="5" borderId="65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66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67" xfId="69" applyNumberFormat="1" applyFont="1" applyFill="1" applyBorder="1" applyAlignment="1" applyProtection="1">
      <alignment horizontal="center" vertical="top" wrapText="1"/>
      <protection hidden="1"/>
    </xf>
    <xf numFmtId="3" fontId="60" fillId="0" borderId="13" xfId="69" applyNumberFormat="1" applyFont="1" applyFill="1" applyBorder="1" applyAlignment="1">
      <alignment horizontal="center" vertical="center" wrapText="1"/>
    </xf>
    <xf numFmtId="3" fontId="18" fillId="6" borderId="77" xfId="69" applyNumberFormat="1" applyFont="1" applyFill="1" applyBorder="1" applyAlignment="1" applyProtection="1">
      <alignment horizontal="center" vertical="center" wrapText="1"/>
      <protection hidden="1"/>
    </xf>
    <xf numFmtId="3" fontId="18" fillId="6" borderId="75" xfId="69" applyNumberFormat="1" applyFont="1" applyFill="1" applyBorder="1" applyAlignment="1" applyProtection="1">
      <alignment horizontal="center" vertical="center" wrapText="1"/>
      <protection hidden="1"/>
    </xf>
    <xf numFmtId="3" fontId="18" fillId="58" borderId="92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92" xfId="69" applyNumberFormat="1" applyFont="1" applyFill="1" applyBorder="1" applyAlignment="1" applyProtection="1">
      <alignment horizontal="center" vertical="top" wrapText="1"/>
      <protection hidden="1"/>
    </xf>
    <xf numFmtId="3" fontId="18" fillId="61" borderId="77" xfId="69" applyNumberFormat="1" applyFont="1" applyFill="1" applyBorder="1" applyAlignment="1" applyProtection="1">
      <alignment horizontal="center" vertical="top" wrapText="1"/>
      <protection hidden="1"/>
    </xf>
    <xf numFmtId="3" fontId="18" fillId="61" borderId="74" xfId="69" applyNumberFormat="1" applyFont="1" applyFill="1" applyBorder="1" applyAlignment="1" applyProtection="1">
      <alignment horizontal="center" vertical="top" wrapText="1"/>
      <protection hidden="1"/>
    </xf>
    <xf numFmtId="3" fontId="18" fillId="61" borderId="75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77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74" xfId="69" applyNumberFormat="1" applyFont="1" applyFill="1" applyBorder="1" applyAlignment="1" applyProtection="1">
      <alignment horizontal="center" vertical="top" wrapText="1"/>
      <protection hidden="1"/>
    </xf>
    <xf numFmtId="3" fontId="18" fillId="62" borderId="77" xfId="69" applyNumberFormat="1" applyFont="1" applyFill="1" applyBorder="1" applyAlignment="1" applyProtection="1">
      <alignment horizontal="center" vertical="top" wrapText="1"/>
      <protection hidden="1"/>
    </xf>
    <xf numFmtId="3" fontId="18" fillId="62" borderId="75" xfId="69" applyNumberFormat="1" applyFont="1" applyFill="1" applyBorder="1" applyAlignment="1" applyProtection="1">
      <alignment horizontal="center" vertical="top" wrapText="1"/>
      <protection hidden="1"/>
    </xf>
    <xf numFmtId="3" fontId="18" fillId="62" borderId="92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77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74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75" xfId="69" applyNumberFormat="1" applyFont="1" applyFill="1" applyBorder="1" applyAlignment="1" applyProtection="1">
      <alignment horizontal="center" vertical="top" wrapText="1"/>
      <protection hidden="1"/>
    </xf>
    <xf numFmtId="3" fontId="18" fillId="62" borderId="74" xfId="69" applyNumberFormat="1" applyFont="1" applyFill="1" applyBorder="1" applyAlignment="1" applyProtection="1">
      <alignment horizontal="center" vertical="top" wrapText="1"/>
      <protection hidden="1"/>
    </xf>
    <xf numFmtId="3" fontId="15" fillId="5" borderId="77" xfId="69" applyNumberFormat="1" applyFont="1" applyFill="1" applyBorder="1" applyAlignment="1" applyProtection="1">
      <alignment horizontal="center" vertical="center"/>
      <protection hidden="1"/>
    </xf>
    <xf numFmtId="3" fontId="15" fillId="5" borderId="74" xfId="69" applyNumberFormat="1" applyFont="1" applyFill="1" applyBorder="1" applyAlignment="1" applyProtection="1">
      <alignment horizontal="center" vertical="center"/>
      <protection hidden="1"/>
    </xf>
    <xf numFmtId="3" fontId="15" fillId="5" borderId="75" xfId="69" applyNumberFormat="1" applyFont="1" applyFill="1" applyBorder="1" applyAlignment="1" applyProtection="1">
      <alignment horizontal="center" vertical="center"/>
      <protection hidden="1"/>
    </xf>
    <xf numFmtId="3" fontId="18" fillId="61" borderId="77" xfId="69" applyNumberFormat="1" applyFont="1" applyFill="1" applyBorder="1" applyAlignment="1" applyProtection="1">
      <alignment horizontal="center" vertical="center" wrapText="1"/>
      <protection hidden="1"/>
    </xf>
    <xf numFmtId="3" fontId="18" fillId="61" borderId="74" xfId="69" applyNumberFormat="1" applyFont="1" applyFill="1" applyBorder="1" applyAlignment="1" applyProtection="1">
      <alignment horizontal="center" vertical="center" wrapText="1"/>
      <protection hidden="1"/>
    </xf>
    <xf numFmtId="3" fontId="18" fillId="61" borderId="75" xfId="69" applyNumberFormat="1" applyFont="1" applyFill="1" applyBorder="1" applyAlignment="1" applyProtection="1">
      <alignment horizontal="center" vertical="center" wrapText="1"/>
      <protection hidden="1"/>
    </xf>
    <xf numFmtId="3" fontId="18" fillId="61" borderId="77" xfId="69" applyNumberFormat="1" applyFont="1" applyFill="1" applyBorder="1" applyAlignment="1" applyProtection="1">
      <alignment horizontal="center" vertical="center"/>
      <protection hidden="1"/>
    </xf>
    <xf numFmtId="3" fontId="18" fillId="61" borderId="74" xfId="69" applyNumberFormat="1" applyFont="1" applyFill="1" applyBorder="1" applyAlignment="1" applyProtection="1">
      <alignment horizontal="center" vertical="center"/>
      <protection hidden="1"/>
    </xf>
    <xf numFmtId="3" fontId="18" fillId="61" borderId="75" xfId="69" applyNumberFormat="1" applyFont="1" applyFill="1" applyBorder="1" applyAlignment="1" applyProtection="1">
      <alignment horizontal="center" vertical="center"/>
      <protection hidden="1"/>
    </xf>
    <xf numFmtId="3" fontId="18" fillId="57" borderId="77" xfId="69" applyNumberFormat="1" applyFont="1" applyFill="1" applyBorder="1" applyAlignment="1" applyProtection="1">
      <alignment horizontal="center" vertical="center" wrapText="1"/>
      <protection hidden="1"/>
    </xf>
    <xf numFmtId="3" fontId="18" fillId="57" borderId="74" xfId="69" applyNumberFormat="1" applyFont="1" applyFill="1" applyBorder="1" applyAlignment="1" applyProtection="1">
      <alignment horizontal="center" vertical="center" wrapText="1"/>
      <protection hidden="1"/>
    </xf>
    <xf numFmtId="3" fontId="18" fillId="57" borderId="75" xfId="69" applyNumberFormat="1" applyFont="1" applyFill="1" applyBorder="1" applyAlignment="1" applyProtection="1">
      <alignment horizontal="center" vertical="center" wrapText="1"/>
      <protection hidden="1"/>
    </xf>
    <xf numFmtId="3" fontId="18" fillId="58" borderId="77" xfId="69" applyNumberFormat="1" applyFont="1" applyFill="1" applyBorder="1" applyAlignment="1" applyProtection="1">
      <alignment horizontal="center" vertical="center"/>
      <protection hidden="1"/>
    </xf>
    <xf numFmtId="3" fontId="18" fillId="58" borderId="74" xfId="69" applyNumberFormat="1" applyFont="1" applyFill="1" applyBorder="1" applyAlignment="1" applyProtection="1">
      <alignment horizontal="center" vertical="center"/>
      <protection hidden="1"/>
    </xf>
    <xf numFmtId="3" fontId="18" fillId="6" borderId="77" xfId="69" applyNumberFormat="1" applyFont="1" applyFill="1" applyBorder="1" applyAlignment="1" applyProtection="1">
      <alignment horizontal="center" vertical="center"/>
      <protection hidden="1"/>
    </xf>
    <xf numFmtId="3" fontId="18" fillId="6" borderId="74" xfId="69" applyNumberFormat="1" applyFont="1" applyFill="1" applyBorder="1" applyAlignment="1" applyProtection="1">
      <alignment horizontal="center" vertical="center"/>
      <protection hidden="1"/>
    </xf>
    <xf numFmtId="3" fontId="18" fillId="6" borderId="75" xfId="69" applyNumberFormat="1" applyFont="1" applyFill="1" applyBorder="1" applyAlignment="1" applyProtection="1">
      <alignment horizontal="center" vertical="center"/>
      <protection hidden="1"/>
    </xf>
    <xf numFmtId="3" fontId="15" fillId="4" borderId="64" xfId="69" applyNumberFormat="1" applyFont="1" applyFill="1" applyBorder="1" applyAlignment="1" applyProtection="1">
      <alignment horizontal="center" vertical="center" wrapText="1"/>
      <protection hidden="1"/>
    </xf>
    <xf numFmtId="3" fontId="18" fillId="4" borderId="64" xfId="69" applyNumberFormat="1" applyFont="1" applyFill="1" applyBorder="1" applyAlignment="1" applyProtection="1">
      <alignment horizontal="center" vertical="center" wrapText="1"/>
      <protection hidden="1"/>
    </xf>
    <xf numFmtId="3" fontId="18" fillId="4" borderId="76" xfId="69" applyNumberFormat="1" applyFont="1" applyFill="1" applyBorder="1" applyAlignment="1" applyProtection="1">
      <alignment horizontal="center" vertical="center" wrapText="1"/>
      <protection hidden="1"/>
    </xf>
    <xf numFmtId="3" fontId="18" fillId="4" borderId="64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12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15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13" xfId="69" applyNumberFormat="1" applyFont="1" applyFill="1" applyBorder="1" applyAlignment="1" applyProtection="1">
      <alignment horizontal="center" vertical="top" wrapText="1"/>
      <protection hidden="1"/>
    </xf>
    <xf numFmtId="3" fontId="16" fillId="4" borderId="64" xfId="69" applyNumberFormat="1" applyFont="1" applyFill="1" applyBorder="1" applyAlignment="1" applyProtection="1">
      <alignment vertical="center" wrapText="1"/>
      <protection hidden="1"/>
    </xf>
    <xf numFmtId="3" fontId="18" fillId="4" borderId="65" xfId="69" applyNumberFormat="1" applyFont="1" applyFill="1" applyBorder="1" applyAlignment="1" applyProtection="1">
      <alignment horizontal="center" vertical="center"/>
      <protection hidden="1"/>
    </xf>
    <xf numFmtId="3" fontId="18" fillId="4" borderId="66" xfId="69" applyNumberFormat="1" applyFont="1" applyFill="1" applyBorder="1" applyAlignment="1" applyProtection="1">
      <alignment horizontal="center" vertical="center"/>
      <protection hidden="1"/>
    </xf>
    <xf numFmtId="3" fontId="18" fillId="4" borderId="64" xfId="69" applyNumberFormat="1" applyFont="1" applyFill="1" applyBorder="1" applyAlignment="1" applyProtection="1">
      <alignment horizontal="center" vertical="center"/>
      <protection hidden="1"/>
    </xf>
    <xf numFmtId="3" fontId="18" fillId="4" borderId="65" xfId="69" applyNumberFormat="1" applyFont="1" applyFill="1" applyBorder="1" applyAlignment="1" applyProtection="1">
      <alignment horizontal="center" vertical="center" wrapText="1"/>
      <protection hidden="1"/>
    </xf>
    <xf numFmtId="3" fontId="18" fillId="4" borderId="66" xfId="69" applyNumberFormat="1" applyFont="1" applyFill="1" applyBorder="1" applyAlignment="1" applyProtection="1">
      <alignment horizontal="center" vertical="center" wrapText="1"/>
      <protection hidden="1"/>
    </xf>
    <xf numFmtId="3" fontId="18" fillId="58" borderId="114" xfId="69" applyNumberFormat="1" applyFont="1" applyFill="1" applyBorder="1" applyAlignment="1" applyProtection="1">
      <alignment horizontal="center" vertical="center"/>
      <protection hidden="1"/>
    </xf>
    <xf numFmtId="3" fontId="18" fillId="58" borderId="116" xfId="69" applyNumberFormat="1" applyFont="1" applyFill="1" applyBorder="1" applyAlignment="1" applyProtection="1">
      <alignment horizontal="center" vertical="center"/>
      <protection hidden="1"/>
    </xf>
    <xf numFmtId="3" fontId="38" fillId="4" borderId="166" xfId="69" applyNumberFormat="1" applyFont="1" applyFill="1" applyBorder="1" applyAlignment="1" applyProtection="1">
      <alignment horizontal="center" vertical="center"/>
      <protection hidden="1"/>
    </xf>
    <xf numFmtId="3" fontId="15" fillId="4" borderId="64" xfId="69" applyNumberFormat="1" applyFont="1" applyFill="1" applyBorder="1" applyAlignment="1" applyProtection="1">
      <alignment horizontal="center" vertical="center"/>
      <protection hidden="1"/>
    </xf>
    <xf numFmtId="3" fontId="76" fillId="4" borderId="65" xfId="69" applyNumberFormat="1" applyFont="1" applyFill="1" applyBorder="1" applyAlignment="1" applyProtection="1">
      <alignment horizontal="left" vertical="center"/>
      <protection hidden="1"/>
    </xf>
    <xf numFmtId="3" fontId="76" fillId="4" borderId="66" xfId="69" applyNumberFormat="1" applyFont="1" applyFill="1" applyBorder="1" applyAlignment="1" applyProtection="1">
      <alignment horizontal="left" vertical="center"/>
      <protection hidden="1"/>
    </xf>
    <xf numFmtId="3" fontId="76" fillId="4" borderId="67" xfId="69" applyNumberFormat="1" applyFont="1" applyFill="1" applyBorder="1" applyAlignment="1" applyProtection="1">
      <alignment horizontal="left" vertical="center"/>
      <protection hidden="1"/>
    </xf>
    <xf numFmtId="3" fontId="67" fillId="4" borderId="12" xfId="69" applyNumberFormat="1" applyFont="1" applyFill="1" applyBorder="1" applyAlignment="1">
      <alignment horizontal="center" vertical="center" wrapText="1"/>
    </xf>
    <xf numFmtId="3" fontId="67" fillId="4" borderId="15" xfId="69" applyNumberFormat="1" applyFont="1" applyFill="1" applyBorder="1" applyAlignment="1">
      <alignment horizontal="center" vertical="center" wrapText="1"/>
    </xf>
    <xf numFmtId="3" fontId="67" fillId="4" borderId="13" xfId="69" applyNumberFormat="1" applyFont="1" applyFill="1" applyBorder="1" applyAlignment="1">
      <alignment horizontal="center" vertical="center" wrapText="1"/>
    </xf>
    <xf numFmtId="3" fontId="17" fillId="4" borderId="8" xfId="46" applyNumberFormat="1" applyFont="1" applyFill="1" applyBorder="1" applyAlignment="1">
      <alignment horizontal="left" vertical="center" wrapText="1" indent="1"/>
    </xf>
    <xf numFmtId="3" fontId="17" fillId="4" borderId="7" xfId="46" applyNumberFormat="1" applyFont="1" applyFill="1" applyBorder="1" applyAlignment="1">
      <alignment horizontal="left" vertical="center" wrapText="1" indent="1"/>
    </xf>
    <xf numFmtId="3" fontId="15" fillId="4" borderId="65" xfId="69" applyNumberFormat="1" applyFont="1" applyFill="1" applyBorder="1" applyAlignment="1" applyProtection="1">
      <alignment horizontal="center" vertical="center"/>
      <protection hidden="1"/>
    </xf>
    <xf numFmtId="3" fontId="15" fillId="4" borderId="66" xfId="69" applyNumberFormat="1" applyFont="1" applyFill="1" applyBorder="1" applyAlignment="1" applyProtection="1">
      <alignment horizontal="center" vertical="center"/>
      <protection hidden="1"/>
    </xf>
    <xf numFmtId="3" fontId="15" fillId="4" borderId="67" xfId="69" applyNumberFormat="1" applyFont="1" applyFill="1" applyBorder="1" applyAlignment="1" applyProtection="1">
      <alignment horizontal="center" vertical="center"/>
      <protection hidden="1"/>
    </xf>
    <xf numFmtId="3" fontId="18" fillId="4" borderId="67" xfId="69" applyNumberFormat="1" applyFont="1" applyFill="1" applyBorder="1" applyAlignment="1" applyProtection="1">
      <alignment horizontal="center" vertical="center" wrapText="1"/>
      <protection hidden="1"/>
    </xf>
    <xf numFmtId="3" fontId="18" fillId="4" borderId="67" xfId="69" applyNumberFormat="1" applyFont="1" applyFill="1" applyBorder="1" applyAlignment="1" applyProtection="1">
      <alignment horizontal="center" vertical="center"/>
      <protection hidden="1"/>
    </xf>
    <xf numFmtId="3" fontId="18" fillId="4" borderId="114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116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118" xfId="69" applyNumberFormat="1" applyFont="1" applyFill="1" applyBorder="1" applyAlignment="1" applyProtection="1">
      <alignment horizontal="center" vertical="top" wrapText="1"/>
      <protection hidden="1"/>
    </xf>
    <xf numFmtId="3" fontId="15" fillId="4" borderId="12" xfId="69" applyNumberFormat="1" applyFont="1" applyFill="1" applyBorder="1" applyAlignment="1" applyProtection="1">
      <alignment horizontal="center" vertical="center" wrapText="1"/>
      <protection hidden="1"/>
    </xf>
    <xf numFmtId="3" fontId="15" fillId="4" borderId="15" xfId="69" applyNumberFormat="1" applyFont="1" applyFill="1" applyBorder="1" applyAlignment="1" applyProtection="1">
      <alignment horizontal="center" vertical="center" wrapText="1"/>
      <protection hidden="1"/>
    </xf>
    <xf numFmtId="3" fontId="60" fillId="0" borderId="114" xfId="69" applyNumberFormat="1" applyFont="1" applyFill="1" applyBorder="1" applyAlignment="1">
      <alignment horizontal="left" vertical="center" wrapText="1"/>
    </xf>
    <xf numFmtId="3" fontId="60" fillId="0" borderId="118" xfId="69" applyNumberFormat="1" applyFont="1" applyFill="1" applyBorder="1" applyAlignment="1">
      <alignment horizontal="left" vertical="center" wrapText="1"/>
    </xf>
    <xf numFmtId="3" fontId="18" fillId="4" borderId="18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20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17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16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2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14" xfId="69" applyNumberFormat="1" applyFont="1" applyFill="1" applyBorder="1" applyAlignment="1" applyProtection="1">
      <alignment horizontal="center" vertical="top" wrapText="1"/>
      <protection hidden="1"/>
    </xf>
    <xf numFmtId="3" fontId="60" fillId="0" borderId="115" xfId="69" applyNumberFormat="1" applyFont="1" applyFill="1" applyBorder="1" applyAlignment="1">
      <alignment horizontal="center" vertical="center" wrapText="1"/>
    </xf>
    <xf numFmtId="3" fontId="60" fillId="4" borderId="115" xfId="69" applyNumberFormat="1" applyFont="1" applyFill="1" applyBorder="1" applyAlignment="1">
      <alignment horizontal="center" vertical="center" wrapText="1"/>
    </xf>
    <xf numFmtId="3" fontId="60" fillId="4" borderId="92" xfId="69" applyNumberFormat="1" applyFont="1" applyFill="1" applyBorder="1" applyAlignment="1">
      <alignment horizontal="center" vertical="center" wrapText="1"/>
    </xf>
    <xf numFmtId="3" fontId="25" fillId="0" borderId="115" xfId="7" applyNumberFormat="1" applyFont="1" applyFill="1" applyBorder="1" applyAlignment="1">
      <alignment horizontal="center" vertical="center" wrapText="1"/>
    </xf>
    <xf numFmtId="3" fontId="18" fillId="4" borderId="18" xfId="69" applyNumberFormat="1" applyFont="1" applyFill="1" applyBorder="1" applyAlignment="1" applyProtection="1">
      <alignment horizontal="center" vertical="top"/>
      <protection hidden="1"/>
    </xf>
    <xf numFmtId="3" fontId="18" fillId="4" borderId="20" xfId="69" applyNumberFormat="1" applyFont="1" applyFill="1" applyBorder="1" applyAlignment="1" applyProtection="1">
      <alignment horizontal="center" vertical="top"/>
      <protection hidden="1"/>
    </xf>
    <xf numFmtId="3" fontId="18" fillId="4" borderId="17" xfId="69" applyNumberFormat="1" applyFont="1" applyFill="1" applyBorder="1" applyAlignment="1" applyProtection="1">
      <alignment horizontal="center" vertical="top"/>
      <protection hidden="1"/>
    </xf>
    <xf numFmtId="3" fontId="18" fillId="4" borderId="16" xfId="69" applyNumberFormat="1" applyFont="1" applyFill="1" applyBorder="1" applyAlignment="1" applyProtection="1">
      <alignment horizontal="center" vertical="top"/>
      <protection hidden="1"/>
    </xf>
    <xf numFmtId="3" fontId="18" fillId="4" borderId="2" xfId="69" applyNumberFormat="1" applyFont="1" applyFill="1" applyBorder="1" applyAlignment="1" applyProtection="1">
      <alignment horizontal="center" vertical="top"/>
      <protection hidden="1"/>
    </xf>
    <xf numFmtId="3" fontId="18" fillId="4" borderId="14" xfId="69" applyNumberFormat="1" applyFont="1" applyFill="1" applyBorder="1" applyAlignment="1" applyProtection="1">
      <alignment horizontal="center" vertical="top"/>
      <protection hidden="1"/>
    </xf>
    <xf numFmtId="3" fontId="18" fillId="4" borderId="65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66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67" xfId="69" applyNumberFormat="1" applyFont="1" applyFill="1" applyBorder="1" applyAlignment="1" applyProtection="1">
      <alignment horizontal="center" vertical="top" wrapText="1"/>
      <protection hidden="1"/>
    </xf>
    <xf numFmtId="3" fontId="60" fillId="0" borderId="168" xfId="69" applyNumberFormat="1" applyFont="1" applyFill="1" applyBorder="1" applyAlignment="1">
      <alignment horizontal="center" vertical="center" wrapText="1"/>
    </xf>
    <xf numFmtId="3" fontId="60" fillId="0" borderId="119" xfId="69" applyNumberFormat="1" applyFont="1" applyFill="1" applyBorder="1" applyAlignment="1">
      <alignment horizontal="center" vertical="center" wrapText="1"/>
    </xf>
    <xf numFmtId="3" fontId="18" fillId="5" borderId="165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169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166" xfId="69" applyNumberFormat="1" applyFont="1" applyFill="1" applyBorder="1" applyAlignment="1" applyProtection="1">
      <alignment horizontal="center" vertical="center" wrapText="1"/>
      <protection hidden="1"/>
    </xf>
    <xf numFmtId="3" fontId="18" fillId="58" borderId="165" xfId="69" applyNumberFormat="1" applyFont="1" applyFill="1" applyBorder="1" applyAlignment="1" applyProtection="1">
      <alignment horizontal="center" vertical="center"/>
      <protection hidden="1"/>
    </xf>
    <xf numFmtId="3" fontId="18" fillId="58" borderId="169" xfId="69" applyNumberFormat="1" applyFont="1" applyFill="1" applyBorder="1" applyAlignment="1" applyProtection="1">
      <alignment horizontal="center" vertical="center"/>
      <protection hidden="1"/>
    </xf>
    <xf numFmtId="3" fontId="18" fillId="6" borderId="165" xfId="69" applyNumberFormat="1" applyFont="1" applyFill="1" applyBorder="1" applyAlignment="1" applyProtection="1">
      <alignment horizontal="center" vertical="center"/>
      <protection hidden="1"/>
    </xf>
    <xf numFmtId="3" fontId="18" fillId="6" borderId="169" xfId="69" applyNumberFormat="1" applyFont="1" applyFill="1" applyBorder="1" applyAlignment="1" applyProtection="1">
      <alignment horizontal="center" vertical="center"/>
      <protection hidden="1"/>
    </xf>
    <xf numFmtId="3" fontId="18" fillId="6" borderId="166" xfId="69" applyNumberFormat="1" applyFont="1" applyFill="1" applyBorder="1" applyAlignment="1" applyProtection="1">
      <alignment horizontal="center" vertical="center"/>
      <protection hidden="1"/>
    </xf>
    <xf numFmtId="3" fontId="18" fillId="61" borderId="165" xfId="69" applyNumberFormat="1" applyFont="1" applyFill="1" applyBorder="1" applyAlignment="1" applyProtection="1">
      <alignment horizontal="center" vertical="center" wrapText="1"/>
      <protection hidden="1"/>
    </xf>
    <xf numFmtId="3" fontId="18" fillId="61" borderId="169" xfId="69" applyNumberFormat="1" applyFont="1" applyFill="1" applyBorder="1" applyAlignment="1" applyProtection="1">
      <alignment horizontal="center" vertical="center" wrapText="1"/>
      <protection hidden="1"/>
    </xf>
    <xf numFmtId="3" fontId="18" fillId="6" borderId="165" xfId="69" applyNumberFormat="1" applyFont="1" applyFill="1" applyBorder="1" applyAlignment="1" applyProtection="1">
      <alignment horizontal="center" vertical="center" wrapText="1"/>
      <protection hidden="1"/>
    </xf>
    <xf numFmtId="3" fontId="18" fillId="6" borderId="169" xfId="69" applyNumberFormat="1" applyFont="1" applyFill="1" applyBorder="1" applyAlignment="1" applyProtection="1">
      <alignment horizontal="center" vertical="center" wrapText="1"/>
      <protection hidden="1"/>
    </xf>
    <xf numFmtId="3" fontId="18" fillId="6" borderId="166" xfId="69" applyNumberFormat="1" applyFont="1" applyFill="1" applyBorder="1" applyAlignment="1" applyProtection="1">
      <alignment horizontal="center" vertical="center" wrapText="1"/>
      <protection hidden="1"/>
    </xf>
    <xf numFmtId="168" fontId="16" fillId="6" borderId="207" xfId="0" applyNumberFormat="1" applyFont="1" applyFill="1" applyBorder="1" applyAlignment="1">
      <alignment horizontal="left" vertical="center" wrapText="1"/>
    </xf>
    <xf numFmtId="168" fontId="16" fillId="6" borderId="220" xfId="0" applyNumberFormat="1" applyFont="1" applyFill="1" applyBorder="1" applyAlignment="1">
      <alignment horizontal="left" vertical="center" wrapText="1"/>
    </xf>
    <xf numFmtId="168" fontId="16" fillId="0" borderId="16" xfId="0" applyNumberFormat="1" applyFont="1" applyFill="1" applyBorder="1" applyAlignment="1">
      <alignment horizontal="left" vertical="center" wrapText="1"/>
    </xf>
    <xf numFmtId="168" fontId="16" fillId="0" borderId="224" xfId="0" applyNumberFormat="1" applyFont="1" applyFill="1" applyBorder="1" applyAlignment="1">
      <alignment horizontal="left" vertical="center" wrapText="1"/>
    </xf>
    <xf numFmtId="0" fontId="17" fillId="7" borderId="75" xfId="0" applyFont="1" applyFill="1" applyBorder="1" applyAlignment="1">
      <alignment horizontal="left" vertical="center" wrapText="1"/>
    </xf>
    <xf numFmtId="0" fontId="17" fillId="7" borderId="16" xfId="0" applyFont="1" applyFill="1" applyBorder="1" applyAlignment="1">
      <alignment horizontal="left" vertical="center" wrapText="1"/>
    </xf>
    <xf numFmtId="0" fontId="17" fillId="7" borderId="2" xfId="0" applyFont="1" applyFill="1" applyBorder="1" applyAlignment="1">
      <alignment horizontal="left" vertical="center" wrapText="1"/>
    </xf>
    <xf numFmtId="0" fontId="63" fillId="0" borderId="190" xfId="76" applyFont="1" applyBorder="1" applyAlignment="1">
      <alignment horizontal="center" vertical="center"/>
    </xf>
    <xf numFmtId="0" fontId="63" fillId="0" borderId="192" xfId="76" applyFont="1" applyBorder="1" applyAlignment="1">
      <alignment horizontal="center" vertical="center"/>
    </xf>
    <xf numFmtId="168" fontId="16" fillId="0" borderId="77" xfId="0" applyNumberFormat="1" applyFont="1" applyFill="1" applyBorder="1" applyAlignment="1">
      <alignment horizontal="left" vertical="center" wrapText="1"/>
    </xf>
    <xf numFmtId="168" fontId="16" fillId="0" borderId="75" xfId="0" applyNumberFormat="1" applyFont="1" applyFill="1" applyBorder="1" applyAlignment="1">
      <alignment horizontal="left" vertical="center" wrapText="1"/>
    </xf>
    <xf numFmtId="168" fontId="16" fillId="0" borderId="206" xfId="0" applyNumberFormat="1" applyFont="1" applyFill="1" applyBorder="1" applyAlignment="1">
      <alignment horizontal="left" vertical="center" wrapText="1"/>
    </xf>
    <xf numFmtId="168" fontId="16" fillId="0" borderId="223" xfId="0" applyNumberFormat="1" applyFont="1" applyFill="1" applyBorder="1" applyAlignment="1">
      <alignment horizontal="left" vertical="center" wrapText="1"/>
    </xf>
    <xf numFmtId="0" fontId="17" fillId="7" borderId="14" xfId="0" applyFont="1" applyFill="1" applyBorder="1" applyAlignment="1">
      <alignment horizontal="left" vertical="center" wrapText="1"/>
    </xf>
    <xf numFmtId="0" fontId="14" fillId="3" borderId="167" xfId="46" applyFont="1" applyFill="1" applyBorder="1" applyAlignment="1">
      <alignment horizontal="center" vertical="center" wrapText="1"/>
    </xf>
    <xf numFmtId="168" fontId="16" fillId="0" borderId="14" xfId="0" applyNumberFormat="1" applyFont="1" applyFill="1" applyBorder="1" applyAlignment="1">
      <alignment horizontal="left" vertical="center" wrapText="1"/>
    </xf>
    <xf numFmtId="168" fontId="16" fillId="6" borderId="206" xfId="0" applyNumberFormat="1" applyFont="1" applyFill="1" applyBorder="1" applyAlignment="1">
      <alignment horizontal="left" vertical="center" wrapText="1"/>
    </xf>
    <xf numFmtId="168" fontId="16" fillId="6" borderId="219" xfId="0" applyNumberFormat="1" applyFont="1" applyFill="1" applyBorder="1" applyAlignment="1">
      <alignment horizontal="left" vertical="center" wrapText="1"/>
    </xf>
    <xf numFmtId="168" fontId="16" fillId="0" borderId="207" xfId="0" applyNumberFormat="1" applyFont="1" applyFill="1" applyBorder="1" applyAlignment="1">
      <alignment horizontal="left" vertical="center" wrapText="1"/>
    </xf>
    <xf numFmtId="168" fontId="16" fillId="0" borderId="222" xfId="0" applyNumberFormat="1" applyFont="1" applyFill="1" applyBorder="1" applyAlignment="1">
      <alignment horizontal="left" vertical="center" wrapText="1"/>
    </xf>
    <xf numFmtId="168" fontId="16" fillId="6" borderId="222" xfId="0" applyNumberFormat="1" applyFont="1" applyFill="1" applyBorder="1" applyAlignment="1">
      <alignment horizontal="left" vertical="center" wrapText="1"/>
    </xf>
    <xf numFmtId="168" fontId="16" fillId="0" borderId="220" xfId="0" applyNumberFormat="1" applyFont="1" applyFill="1" applyBorder="1" applyAlignment="1">
      <alignment horizontal="left" vertical="center" wrapText="1"/>
    </xf>
    <xf numFmtId="168" fontId="16" fillId="0" borderId="163" xfId="0" applyNumberFormat="1" applyFont="1" applyFill="1" applyBorder="1" applyAlignment="1">
      <alignment horizontal="center" vertical="center" wrapText="1"/>
    </xf>
    <xf numFmtId="168" fontId="16" fillId="0" borderId="164" xfId="0" applyNumberFormat="1" applyFont="1" applyFill="1" applyBorder="1" applyAlignment="1">
      <alignment horizontal="center" vertical="center" wrapText="1"/>
    </xf>
    <xf numFmtId="168" fontId="16" fillId="0" borderId="19" xfId="0" applyNumberFormat="1" applyFont="1" applyFill="1" applyBorder="1" applyAlignment="1">
      <alignment horizontal="center" vertical="center" wrapText="1"/>
    </xf>
    <xf numFmtId="168" fontId="16" fillId="0" borderId="1" xfId="0" applyNumberFormat="1" applyFont="1" applyFill="1" applyBorder="1" applyAlignment="1">
      <alignment horizontal="center" vertical="center" wrapText="1"/>
    </xf>
    <xf numFmtId="168" fontId="16" fillId="0" borderId="16" xfId="0" applyNumberFormat="1" applyFont="1" applyFill="1" applyBorder="1" applyAlignment="1">
      <alignment horizontal="center" vertical="center" wrapText="1"/>
    </xf>
    <xf numFmtId="168" fontId="16" fillId="0" borderId="14" xfId="0" applyNumberFormat="1" applyFont="1" applyFill="1" applyBorder="1" applyAlignment="1">
      <alignment horizontal="center" vertical="center" wrapText="1"/>
    </xf>
    <xf numFmtId="168" fontId="16" fillId="6" borderId="165" xfId="0" applyNumberFormat="1" applyFont="1" applyFill="1" applyBorder="1" applyAlignment="1">
      <alignment horizontal="center" vertical="center" wrapText="1"/>
    </xf>
    <xf numFmtId="168" fontId="16" fillId="6" borderId="166" xfId="0" applyNumberFormat="1" applyFont="1" applyFill="1" applyBorder="1" applyAlignment="1">
      <alignment horizontal="center" vertical="center" wrapText="1"/>
    </xf>
    <xf numFmtId="0" fontId="17" fillId="6" borderId="16" xfId="46" applyFont="1" applyFill="1" applyBorder="1" applyAlignment="1">
      <alignment horizontal="center" vertical="center" wrapText="1"/>
    </xf>
    <xf numFmtId="0" fontId="17" fillId="6" borderId="2" xfId="46" applyFont="1" applyFill="1" applyBorder="1" applyAlignment="1">
      <alignment horizontal="center" vertical="center" wrapText="1"/>
    </xf>
    <xf numFmtId="0" fontId="17" fillId="6" borderId="14" xfId="46" applyFont="1" applyFill="1" applyBorder="1" applyAlignment="1">
      <alignment horizontal="center" vertical="center" wrapText="1"/>
    </xf>
    <xf numFmtId="0" fontId="17" fillId="0" borderId="77" xfId="46" applyFont="1" applyFill="1" applyBorder="1" applyAlignment="1">
      <alignment horizontal="center" vertical="center" wrapText="1"/>
    </xf>
    <xf numFmtId="0" fontId="17" fillId="0" borderId="74" xfId="46" applyFont="1" applyFill="1" applyBorder="1" applyAlignment="1">
      <alignment horizontal="center" vertical="center" wrapText="1"/>
    </xf>
    <xf numFmtId="0" fontId="17" fillId="0" borderId="75" xfId="46" applyFont="1" applyFill="1" applyBorder="1" applyAlignment="1">
      <alignment horizontal="center" vertical="center" wrapText="1"/>
    </xf>
    <xf numFmtId="0" fontId="11" fillId="0" borderId="167" xfId="0" applyFont="1" applyBorder="1" applyAlignment="1">
      <alignment horizontal="center" vertical="center" wrapText="1"/>
    </xf>
    <xf numFmtId="0" fontId="12" fillId="0" borderId="0" xfId="17" applyFont="1" applyBorder="1" applyAlignment="1">
      <alignment horizontal="left" vertical="center" wrapText="1"/>
    </xf>
    <xf numFmtId="0" fontId="15" fillId="0" borderId="167" xfId="72" applyFont="1" applyFill="1" applyBorder="1" applyAlignment="1" applyProtection="1">
      <alignment horizontal="center" vertical="center"/>
      <protection hidden="1"/>
    </xf>
    <xf numFmtId="0" fontId="17" fillId="6" borderId="77" xfId="46" applyFont="1" applyFill="1" applyBorder="1" applyAlignment="1">
      <alignment horizontal="center" vertical="center" wrapText="1"/>
    </xf>
    <xf numFmtId="0" fontId="17" fillId="6" borderId="74" xfId="46" applyFont="1" applyFill="1" applyBorder="1" applyAlignment="1">
      <alignment horizontal="center" vertical="center" wrapText="1"/>
    </xf>
    <xf numFmtId="0" fontId="17" fillId="6" borderId="75" xfId="46" applyFont="1" applyFill="1" applyBorder="1" applyAlignment="1">
      <alignment horizontal="center" vertical="center" wrapText="1"/>
    </xf>
    <xf numFmtId="0" fontId="11" fillId="0" borderId="48" xfId="0" applyFont="1" applyBorder="1" applyAlignment="1">
      <alignment horizontal="center" vertical="center" wrapText="1"/>
    </xf>
    <xf numFmtId="0" fontId="44" fillId="0" borderId="2" xfId="46" applyFont="1" applyBorder="1" applyAlignment="1">
      <alignment horizontal="left" vertical="top" wrapText="1" indent="1"/>
    </xf>
    <xf numFmtId="0" fontId="18" fillId="6" borderId="77" xfId="46" applyFont="1" applyFill="1" applyBorder="1" applyAlignment="1">
      <alignment horizontal="center" vertical="center" wrapText="1"/>
    </xf>
    <xf numFmtId="0" fontId="18" fillId="6" borderId="74" xfId="46" applyFont="1" applyFill="1" applyBorder="1" applyAlignment="1">
      <alignment horizontal="center" vertical="center" wrapText="1"/>
    </xf>
    <xf numFmtId="0" fontId="18" fillId="6" borderId="75" xfId="46" applyFont="1" applyFill="1" applyBorder="1" applyAlignment="1">
      <alignment horizontal="center" vertical="center" wrapText="1"/>
    </xf>
    <xf numFmtId="0" fontId="15" fillId="0" borderId="165" xfId="72" applyFont="1" applyFill="1" applyBorder="1" applyAlignment="1" applyProtection="1">
      <alignment horizontal="center" vertical="center" wrapText="1"/>
      <protection hidden="1"/>
    </xf>
    <xf numFmtId="0" fontId="15" fillId="0" borderId="76" xfId="72" applyFont="1" applyFill="1" applyBorder="1" applyAlignment="1" applyProtection="1">
      <alignment horizontal="center" vertical="center" wrapText="1"/>
      <protection hidden="1"/>
    </xf>
    <xf numFmtId="0" fontId="18" fillId="0" borderId="77" xfId="46" applyFont="1" applyFill="1" applyBorder="1" applyAlignment="1">
      <alignment horizontal="center" vertical="center" wrapText="1"/>
    </xf>
    <xf numFmtId="0" fontId="18" fillId="0" borderId="74" xfId="46" applyFont="1" applyFill="1" applyBorder="1" applyAlignment="1">
      <alignment horizontal="center" vertical="center" wrapText="1"/>
    </xf>
    <xf numFmtId="0" fontId="18" fillId="0" borderId="75" xfId="46" applyFont="1" applyFill="1" applyBorder="1" applyAlignment="1">
      <alignment horizontal="center" vertical="center" wrapText="1"/>
    </xf>
    <xf numFmtId="0" fontId="15" fillId="0" borderId="76" xfId="72" applyFont="1" applyFill="1" applyBorder="1" applyAlignment="1" applyProtection="1">
      <alignment horizontal="center" vertical="center"/>
      <protection hidden="1"/>
    </xf>
    <xf numFmtId="0" fontId="17" fillId="6" borderId="17" xfId="0" applyFont="1" applyFill="1" applyBorder="1" applyAlignment="1">
      <alignment horizontal="left" vertical="center" wrapText="1" indent="1"/>
    </xf>
    <xf numFmtId="0" fontId="16" fillId="6" borderId="19" xfId="0" applyFont="1" applyFill="1" applyBorder="1" applyAlignment="1">
      <alignment horizontal="center" vertical="top" wrapText="1"/>
    </xf>
    <xf numFmtId="0" fontId="16" fillId="6" borderId="1" xfId="0" applyFont="1" applyFill="1" applyBorder="1" applyAlignment="1">
      <alignment horizontal="center" vertical="top" wrapText="1"/>
    </xf>
    <xf numFmtId="0" fontId="16" fillId="6" borderId="16" xfId="0" applyFont="1" applyFill="1" applyBorder="1" applyAlignment="1">
      <alignment horizontal="center" vertical="top" wrapText="1"/>
    </xf>
    <xf numFmtId="0" fontId="16" fillId="6" borderId="14" xfId="0" applyFont="1" applyFill="1" applyBorder="1" applyAlignment="1">
      <alignment horizontal="center" vertical="top" wrapText="1"/>
    </xf>
    <xf numFmtId="0" fontId="14" fillId="0" borderId="6" xfId="6" applyFont="1" applyFill="1" applyBorder="1" applyAlignment="1">
      <alignment horizontal="center" vertical="center" textRotation="90" wrapText="1"/>
    </xf>
    <xf numFmtId="0" fontId="16" fillId="0" borderId="17" xfId="6" applyFont="1" applyFill="1" applyBorder="1" applyAlignment="1">
      <alignment horizontal="left" vertical="center" wrapText="1" indent="1"/>
    </xf>
    <xf numFmtId="0" fontId="16" fillId="0" borderId="19" xfId="6" applyFont="1" applyFill="1" applyBorder="1" applyAlignment="1">
      <alignment horizontal="left" vertical="center" wrapText="1" indent="1"/>
    </xf>
    <xf numFmtId="0" fontId="16" fillId="0" borderId="1" xfId="6" applyFont="1" applyFill="1" applyBorder="1" applyAlignment="1">
      <alignment horizontal="left" vertical="center" wrapText="1" indent="1"/>
    </xf>
    <xf numFmtId="0" fontId="16" fillId="0" borderId="16" xfId="6" applyFont="1" applyFill="1" applyBorder="1" applyAlignment="1">
      <alignment horizontal="left" vertical="center" wrapText="1" indent="1"/>
    </xf>
    <xf numFmtId="0" fontId="16" fillId="0" borderId="14" xfId="6" applyFont="1" applyFill="1" applyBorder="1" applyAlignment="1">
      <alignment horizontal="left" vertical="center" wrapText="1" indent="1"/>
    </xf>
    <xf numFmtId="0" fontId="17" fillId="6" borderId="6" xfId="6" applyFont="1" applyFill="1" applyBorder="1" applyAlignment="1">
      <alignment horizontal="left" vertical="center" wrapText="1" indent="1"/>
    </xf>
    <xf numFmtId="0" fontId="17" fillId="0" borderId="19" xfId="6" applyFont="1" applyFill="1" applyBorder="1" applyAlignment="1">
      <alignment horizontal="left" vertical="center" wrapText="1" indent="1"/>
    </xf>
    <xf numFmtId="0" fontId="17" fillId="0" borderId="1" xfId="6" applyFont="1" applyFill="1" applyBorder="1" applyAlignment="1">
      <alignment horizontal="left" vertical="center" wrapText="1" indent="1"/>
    </xf>
    <xf numFmtId="0" fontId="17" fillId="0" borderId="16" xfId="6" applyFont="1" applyFill="1" applyBorder="1" applyAlignment="1">
      <alignment horizontal="left" vertical="center" wrapText="1" indent="1"/>
    </xf>
    <xf numFmtId="0" fontId="17" fillId="0" borderId="14" xfId="6" applyFont="1" applyFill="1" applyBorder="1" applyAlignment="1">
      <alignment horizontal="left" vertical="center" wrapText="1" indent="1"/>
    </xf>
    <xf numFmtId="0" fontId="31" fillId="6" borderId="76" xfId="0" applyFont="1" applyFill="1" applyBorder="1" applyAlignment="1">
      <alignment horizontal="center" vertical="center" wrapText="1"/>
    </xf>
    <xf numFmtId="173" fontId="67" fillId="0" borderId="76" xfId="7" applyNumberFormat="1" applyFont="1" applyFill="1" applyBorder="1" applyAlignment="1">
      <alignment horizontal="center" vertical="center" wrapText="1"/>
    </xf>
    <xf numFmtId="0" fontId="25" fillId="0" borderId="0" xfId="13" applyFont="1" applyFill="1" applyAlignment="1">
      <alignment horizontal="left" vertical="top" wrapText="1"/>
    </xf>
    <xf numFmtId="0" fontId="12" fillId="6" borderId="76" xfId="0" applyFont="1" applyFill="1" applyBorder="1" applyAlignment="1">
      <alignment horizontal="center" vertical="center" wrapText="1"/>
    </xf>
    <xf numFmtId="0" fontId="31" fillId="6" borderId="8" xfId="0" applyFont="1" applyFill="1" applyBorder="1" applyAlignment="1">
      <alignment horizontal="center" vertical="center" wrapText="1"/>
    </xf>
    <xf numFmtId="0" fontId="31" fillId="6" borderId="9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left" vertical="top" wrapText="1"/>
    </xf>
    <xf numFmtId="0" fontId="16" fillId="3" borderId="2" xfId="0" applyFont="1" applyFill="1" applyBorder="1" applyAlignment="1">
      <alignment horizontal="left" vertical="center" wrapText="1" indent="1"/>
    </xf>
    <xf numFmtId="0" fontId="16" fillId="3" borderId="74" xfId="0" applyFont="1" applyFill="1" applyBorder="1" applyAlignment="1">
      <alignment horizontal="left" vertical="center" wrapText="1" indent="1"/>
    </xf>
    <xf numFmtId="0" fontId="0" fillId="0" borderId="76" xfId="0" applyBorder="1" applyAlignment="1">
      <alignment horizontal="left" vertical="center" wrapText="1"/>
    </xf>
    <xf numFmtId="0" fontId="14" fillId="0" borderId="12" xfId="0" applyFont="1" applyFill="1" applyBorder="1" applyAlignment="1">
      <alignment horizontal="center" vertical="center" wrapText="1"/>
    </xf>
    <xf numFmtId="0" fontId="14" fillId="0" borderId="13" xfId="0" applyFont="1" applyFill="1" applyBorder="1" applyAlignment="1">
      <alignment horizontal="center" vertical="center" wrapText="1"/>
    </xf>
    <xf numFmtId="0" fontId="17" fillId="0" borderId="6" xfId="6" applyFont="1" applyFill="1" applyBorder="1" applyAlignment="1">
      <alignment horizontal="left" vertical="center" wrapText="1" indent="1"/>
    </xf>
    <xf numFmtId="0" fontId="14" fillId="6" borderId="6" xfId="0" applyFont="1" applyFill="1" applyBorder="1" applyAlignment="1">
      <alignment horizontal="center" vertical="center" textRotation="90" wrapText="1"/>
    </xf>
    <xf numFmtId="0" fontId="14" fillId="0" borderId="6" xfId="6" applyFont="1" applyBorder="1" applyAlignment="1">
      <alignment horizontal="center" vertical="center" textRotation="90" wrapText="1"/>
    </xf>
    <xf numFmtId="0" fontId="17" fillId="6" borderId="6" xfId="0" applyFont="1" applyFill="1" applyBorder="1" applyAlignment="1">
      <alignment horizontal="left" vertical="center" wrapText="1" indent="1"/>
    </xf>
    <xf numFmtId="0" fontId="16" fillId="6" borderId="2" xfId="0" applyFont="1" applyFill="1" applyBorder="1" applyAlignment="1">
      <alignment horizontal="center" vertical="center" wrapText="1"/>
    </xf>
    <xf numFmtId="0" fontId="16" fillId="3" borderId="76" xfId="0" applyFont="1" applyFill="1" applyBorder="1" applyAlignment="1">
      <alignment horizontal="center" vertical="center" wrapText="1"/>
    </xf>
    <xf numFmtId="0" fontId="17" fillId="7" borderId="8" xfId="0" applyFont="1" applyFill="1" applyBorder="1" applyAlignment="1">
      <alignment horizontal="left" vertical="center" wrapText="1"/>
    </xf>
    <xf numFmtId="0" fontId="17" fillId="7" borderId="9" xfId="0" applyFont="1" applyFill="1" applyBorder="1" applyAlignment="1">
      <alignment horizontal="left" vertical="center" wrapText="1"/>
    </xf>
    <xf numFmtId="0" fontId="17" fillId="7" borderId="7" xfId="0" applyFont="1" applyFill="1" applyBorder="1" applyAlignment="1">
      <alignment horizontal="left" vertical="center" wrapText="1"/>
    </xf>
    <xf numFmtId="41" fontId="16" fillId="6" borderId="25" xfId="0" applyNumberFormat="1" applyFont="1" applyFill="1" applyBorder="1" applyAlignment="1">
      <alignment horizontal="left" vertical="center" wrapText="1"/>
    </xf>
    <xf numFmtId="41" fontId="16" fillId="6" borderId="23" xfId="0" applyNumberFormat="1" applyFont="1" applyFill="1" applyBorder="1" applyAlignment="1">
      <alignment horizontal="left" vertical="center" wrapText="1"/>
    </xf>
    <xf numFmtId="168" fontId="16" fillId="6" borderId="74" xfId="0" applyNumberFormat="1" applyFont="1" applyFill="1" applyBorder="1" applyAlignment="1">
      <alignment horizontal="left" vertical="center" wrapText="1"/>
    </xf>
    <xf numFmtId="168" fontId="16" fillId="6" borderId="7" xfId="0" applyNumberFormat="1" applyFont="1" applyFill="1" applyBorder="1" applyAlignment="1">
      <alignment horizontal="left" vertical="center" wrapText="1"/>
    </xf>
    <xf numFmtId="0" fontId="16" fillId="3" borderId="14" xfId="0" applyFont="1" applyFill="1" applyBorder="1" applyAlignment="1">
      <alignment horizontal="left" vertical="center" wrapText="1" indent="1"/>
    </xf>
    <xf numFmtId="0" fontId="16" fillId="3" borderId="13" xfId="0" applyFont="1" applyFill="1" applyBorder="1" applyAlignment="1">
      <alignment horizontal="left" vertical="center" wrapText="1" indent="1"/>
    </xf>
    <xf numFmtId="0" fontId="16" fillId="0" borderId="64" xfId="0" applyFont="1" applyFill="1" applyBorder="1" applyAlignment="1">
      <alignment horizontal="center" vertical="center" wrapText="1"/>
    </xf>
    <xf numFmtId="0" fontId="16" fillId="0" borderId="20" xfId="0" applyFont="1" applyFill="1" applyBorder="1" applyAlignment="1">
      <alignment horizontal="left" vertical="center" wrapText="1"/>
    </xf>
    <xf numFmtId="0" fontId="16" fillId="0" borderId="2" xfId="0" applyFont="1" applyFill="1" applyBorder="1" applyAlignment="1">
      <alignment horizontal="left" vertical="center" wrapText="1"/>
    </xf>
    <xf numFmtId="0" fontId="0" fillId="0" borderId="77" xfId="0" applyBorder="1" applyAlignment="1">
      <alignment horizontal="center"/>
    </xf>
    <xf numFmtId="0" fontId="0" fillId="0" borderId="75" xfId="0" applyBorder="1" applyAlignment="1">
      <alignment horizontal="center"/>
    </xf>
    <xf numFmtId="0" fontId="16" fillId="0" borderId="77" xfId="0" applyFont="1" applyFill="1" applyBorder="1" applyAlignment="1">
      <alignment horizontal="left" vertical="center" wrapText="1"/>
    </xf>
    <xf numFmtId="0" fontId="16" fillId="0" borderId="75" xfId="0" applyFont="1" applyFill="1" applyBorder="1" applyAlignment="1">
      <alignment horizontal="left" vertical="center" wrapText="1"/>
    </xf>
    <xf numFmtId="0" fontId="17" fillId="0" borderId="64" xfId="6" applyFont="1" applyFill="1" applyBorder="1" applyAlignment="1">
      <alignment horizontal="left" vertical="center" wrapText="1"/>
    </xf>
    <xf numFmtId="0" fontId="0" fillId="0" borderId="64" xfId="0" applyBorder="1"/>
    <xf numFmtId="0" fontId="16" fillId="3" borderId="64" xfId="0" applyFont="1" applyFill="1" applyBorder="1" applyAlignment="1">
      <alignment horizontal="left" vertical="center" wrapText="1" indent="1"/>
    </xf>
    <xf numFmtId="0" fontId="16" fillId="6" borderId="64" xfId="0" applyFont="1" applyFill="1" applyBorder="1" applyAlignment="1">
      <alignment horizontal="left" vertical="center" wrapText="1" indent="1"/>
    </xf>
    <xf numFmtId="0" fontId="0" fillId="6" borderId="64" xfId="0" applyFill="1" applyBorder="1"/>
    <xf numFmtId="0" fontId="16" fillId="6" borderId="43" xfId="0" applyFont="1" applyFill="1" applyBorder="1" applyAlignment="1">
      <alignment horizontal="center" vertical="center" wrapText="1"/>
    </xf>
    <xf numFmtId="0" fontId="16" fillId="6" borderId="167" xfId="0" applyFont="1" applyFill="1" applyBorder="1" applyAlignment="1">
      <alignment horizontal="center" vertical="center" wrapText="1"/>
    </xf>
    <xf numFmtId="0" fontId="16" fillId="0" borderId="167" xfId="0" applyFont="1" applyFill="1" applyBorder="1" applyAlignment="1">
      <alignment horizontal="center" vertical="center" wrapText="1"/>
    </xf>
    <xf numFmtId="0" fontId="16" fillId="0" borderId="173" xfId="0" applyFont="1" applyFill="1" applyBorder="1" applyAlignment="1">
      <alignment horizontal="center" vertical="center" wrapText="1"/>
    </xf>
    <xf numFmtId="0" fontId="16" fillId="6" borderId="119" xfId="0" applyFont="1" applyFill="1" applyBorder="1" applyAlignment="1">
      <alignment horizontal="center" vertical="center" wrapText="1"/>
    </xf>
    <xf numFmtId="0" fontId="0" fillId="0" borderId="64" xfId="0" applyBorder="1" applyAlignment="1">
      <alignment horizontal="center"/>
    </xf>
    <xf numFmtId="0" fontId="16" fillId="6" borderId="64" xfId="0" applyFont="1" applyFill="1" applyBorder="1" applyAlignment="1">
      <alignment horizontal="center" vertical="center" wrapText="1"/>
    </xf>
    <xf numFmtId="0" fontId="16" fillId="6" borderId="30" xfId="0" applyFont="1" applyFill="1" applyBorder="1" applyAlignment="1">
      <alignment horizontal="center" vertical="center" wrapText="1"/>
    </xf>
    <xf numFmtId="0" fontId="16" fillId="6" borderId="170" xfId="0" applyFont="1" applyFill="1" applyBorder="1" applyAlignment="1">
      <alignment horizontal="center" vertical="center" wrapText="1"/>
    </xf>
    <xf numFmtId="0" fontId="16" fillId="6" borderId="172" xfId="0" applyFont="1" applyFill="1" applyBorder="1" applyAlignment="1">
      <alignment horizontal="center" vertical="center" wrapText="1"/>
    </xf>
    <xf numFmtId="0" fontId="16" fillId="6" borderId="173" xfId="0" applyFont="1" applyFill="1" applyBorder="1" applyAlignment="1">
      <alignment horizontal="center" vertical="center" wrapText="1"/>
    </xf>
    <xf numFmtId="0" fontId="0" fillId="0" borderId="74" xfId="0" applyBorder="1" applyAlignment="1">
      <alignment horizontal="center"/>
    </xf>
    <xf numFmtId="0" fontId="17" fillId="3" borderId="20" xfId="6" applyFont="1" applyFill="1" applyBorder="1" applyAlignment="1">
      <alignment horizontal="left" vertical="center" wrapText="1"/>
    </xf>
    <xf numFmtId="0" fontId="17" fillId="3" borderId="2" xfId="6" applyFont="1" applyFill="1" applyBorder="1" applyAlignment="1">
      <alignment horizontal="left" vertical="center" wrapText="1"/>
    </xf>
    <xf numFmtId="0" fontId="17" fillId="6" borderId="18" xfId="6" applyFont="1" applyFill="1" applyBorder="1" applyAlignment="1">
      <alignment horizontal="left" vertical="center" wrapText="1"/>
    </xf>
    <xf numFmtId="0" fontId="17" fillId="6" borderId="17" xfId="6" applyFont="1" applyFill="1" applyBorder="1" applyAlignment="1">
      <alignment horizontal="left" vertical="center" wrapText="1"/>
    </xf>
    <xf numFmtId="0" fontId="17" fillId="6" borderId="19" xfId="6" applyFont="1" applyFill="1" applyBorder="1" applyAlignment="1">
      <alignment horizontal="left" vertical="center" wrapText="1"/>
    </xf>
    <xf numFmtId="0" fontId="17" fillId="6" borderId="1" xfId="6" applyFont="1" applyFill="1" applyBorder="1" applyAlignment="1">
      <alignment horizontal="left" vertical="center" wrapText="1"/>
    </xf>
    <xf numFmtId="0" fontId="17" fillId="6" borderId="16" xfId="6" applyFont="1" applyFill="1" applyBorder="1" applyAlignment="1">
      <alignment horizontal="left" vertical="center" wrapText="1"/>
    </xf>
    <xf numFmtId="0" fontId="17" fillId="6" borderId="14" xfId="6" applyFont="1" applyFill="1" applyBorder="1" applyAlignment="1">
      <alignment horizontal="left" vertical="center" wrapText="1"/>
    </xf>
    <xf numFmtId="0" fontId="38" fillId="58" borderId="64" xfId="0" applyFont="1" applyFill="1" applyBorder="1" applyAlignment="1">
      <alignment horizontal="left" vertical="center" wrapText="1"/>
    </xf>
    <xf numFmtId="0" fontId="17" fillId="6" borderId="12" xfId="6" applyFont="1" applyFill="1" applyBorder="1" applyAlignment="1">
      <alignment horizontal="left" vertical="center" wrapText="1"/>
    </xf>
    <xf numFmtId="0" fontId="17" fillId="6" borderId="15" xfId="6" applyFont="1" applyFill="1" applyBorder="1" applyAlignment="1">
      <alignment horizontal="left" vertical="center" wrapText="1"/>
    </xf>
    <xf numFmtId="0" fontId="17" fillId="6" borderId="13" xfId="6" applyFont="1" applyFill="1" applyBorder="1" applyAlignment="1">
      <alignment horizontal="left" vertical="center" wrapText="1"/>
    </xf>
    <xf numFmtId="0" fontId="17" fillId="0" borderId="12" xfId="6" applyFont="1" applyFill="1" applyBorder="1" applyAlignment="1">
      <alignment horizontal="left" vertical="center" wrapText="1"/>
    </xf>
    <xf numFmtId="0" fontId="17" fillId="0" borderId="13" xfId="6" applyFont="1" applyFill="1" applyBorder="1" applyAlignment="1">
      <alignment horizontal="left" vertical="center" wrapText="1"/>
    </xf>
    <xf numFmtId="0" fontId="12" fillId="8" borderId="64" xfId="0" applyFont="1" applyFill="1" applyBorder="1" applyAlignment="1">
      <alignment horizontal="center" vertical="center" wrapText="1"/>
    </xf>
    <xf numFmtId="0" fontId="38" fillId="4" borderId="64" xfId="0" applyFont="1" applyFill="1" applyBorder="1" applyAlignment="1">
      <alignment horizontal="left" vertical="center" wrapText="1"/>
    </xf>
    <xf numFmtId="0" fontId="17" fillId="3" borderId="18" xfId="6" applyFont="1" applyFill="1" applyBorder="1" applyAlignment="1">
      <alignment horizontal="center" vertical="center" wrapText="1"/>
    </xf>
    <xf numFmtId="0" fontId="17" fillId="3" borderId="17" xfId="6" applyFont="1" applyFill="1" applyBorder="1" applyAlignment="1">
      <alignment horizontal="center" vertical="center" wrapText="1"/>
    </xf>
    <xf numFmtId="0" fontId="17" fillId="3" borderId="16" xfId="6" applyFont="1" applyFill="1" applyBorder="1" applyAlignment="1">
      <alignment horizontal="center" vertical="center" wrapText="1"/>
    </xf>
    <xf numFmtId="0" fontId="17" fillId="3" borderId="14" xfId="6" applyFont="1" applyFill="1" applyBorder="1" applyAlignment="1">
      <alignment horizontal="center" vertical="center" wrapText="1"/>
    </xf>
    <xf numFmtId="0" fontId="16" fillId="0" borderId="64" xfId="0" applyFont="1" applyFill="1" applyBorder="1" applyAlignment="1">
      <alignment horizontal="left" vertical="center" wrapText="1"/>
    </xf>
    <xf numFmtId="0" fontId="38" fillId="64" borderId="64" xfId="0" applyFont="1" applyFill="1" applyBorder="1" applyAlignment="1">
      <alignment horizontal="left" vertical="center" wrapText="1"/>
    </xf>
    <xf numFmtId="0" fontId="16" fillId="0" borderId="77" xfId="0" applyFont="1" applyFill="1" applyBorder="1" applyAlignment="1">
      <alignment horizontal="left" vertical="center"/>
    </xf>
    <xf numFmtId="0" fontId="16" fillId="0" borderId="75" xfId="0" applyFont="1" applyFill="1" applyBorder="1" applyAlignment="1">
      <alignment horizontal="left" vertical="center"/>
    </xf>
    <xf numFmtId="0" fontId="16" fillId="0" borderId="64" xfId="6" applyFont="1" applyFill="1" applyBorder="1" applyAlignment="1">
      <alignment horizontal="left" vertical="center" wrapText="1" indent="1"/>
    </xf>
    <xf numFmtId="0" fontId="11" fillId="0" borderId="165" xfId="69" applyFont="1" applyFill="1" applyBorder="1" applyAlignment="1" applyProtection="1">
      <alignment horizontal="center"/>
      <protection hidden="1"/>
    </xf>
    <xf numFmtId="0" fontId="11" fillId="0" borderId="169" xfId="69" applyFont="1" applyFill="1" applyBorder="1" applyAlignment="1" applyProtection="1">
      <alignment horizontal="center"/>
      <protection hidden="1"/>
    </xf>
    <xf numFmtId="0" fontId="11" fillId="0" borderId="166" xfId="69" applyFont="1" applyFill="1" applyBorder="1" applyAlignment="1" applyProtection="1">
      <alignment horizontal="center"/>
      <protection hidden="1"/>
    </xf>
    <xf numFmtId="0" fontId="134" fillId="0" borderId="76" xfId="69" applyFont="1" applyFill="1" applyBorder="1" applyAlignment="1" applyProtection="1">
      <alignment horizontal="center" vertical="center" wrapText="1"/>
      <protection hidden="1"/>
    </xf>
    <xf numFmtId="0" fontId="18" fillId="0" borderId="18" xfId="69" applyFont="1" applyFill="1" applyBorder="1" applyAlignment="1" applyProtection="1">
      <alignment horizontal="center" vertical="center"/>
      <protection hidden="1"/>
    </xf>
    <xf numFmtId="0" fontId="18" fillId="0" borderId="20" xfId="69" applyFont="1" applyFill="1" applyBorder="1" applyAlignment="1" applyProtection="1">
      <alignment horizontal="center" vertical="center"/>
      <protection hidden="1"/>
    </xf>
    <xf numFmtId="0" fontId="18" fillId="0" borderId="17" xfId="69" applyFont="1" applyFill="1" applyBorder="1" applyAlignment="1" applyProtection="1">
      <alignment horizontal="center" vertical="center"/>
      <protection hidden="1"/>
    </xf>
    <xf numFmtId="0" fontId="18" fillId="0" borderId="19" xfId="69" applyFont="1" applyFill="1" applyBorder="1" applyAlignment="1" applyProtection="1">
      <alignment horizontal="center" vertical="center"/>
      <protection hidden="1"/>
    </xf>
    <xf numFmtId="0" fontId="18" fillId="0" borderId="0" xfId="69" applyFont="1" applyFill="1" applyBorder="1" applyAlignment="1" applyProtection="1">
      <alignment horizontal="center" vertical="center"/>
      <protection hidden="1"/>
    </xf>
    <xf numFmtId="0" fontId="18" fillId="0" borderId="1" xfId="69" applyFont="1" applyFill="1" applyBorder="1" applyAlignment="1" applyProtection="1">
      <alignment horizontal="center" vertical="center"/>
      <protection hidden="1"/>
    </xf>
    <xf numFmtId="0" fontId="18" fillId="0" borderId="16" xfId="69" applyFont="1" applyFill="1" applyBorder="1" applyAlignment="1" applyProtection="1">
      <alignment horizontal="center" vertical="center"/>
      <protection hidden="1"/>
    </xf>
    <xf numFmtId="0" fontId="18" fillId="0" borderId="2" xfId="69" applyFont="1" applyFill="1" applyBorder="1" applyAlignment="1" applyProtection="1">
      <alignment horizontal="center" vertical="center"/>
      <protection hidden="1"/>
    </xf>
    <xf numFmtId="0" fontId="18" fillId="0" borderId="14" xfId="69" applyFont="1" applyFill="1" applyBorder="1" applyAlignment="1" applyProtection="1">
      <alignment horizontal="center" vertical="center"/>
      <protection hidden="1"/>
    </xf>
    <xf numFmtId="0" fontId="164" fillId="0" borderId="165" xfId="69" applyFont="1" applyFill="1" applyBorder="1" applyAlignment="1" applyProtection="1">
      <alignment horizontal="center" wrapText="1"/>
      <protection hidden="1"/>
    </xf>
    <xf numFmtId="0" fontId="164" fillId="0" borderId="166" xfId="69" applyFont="1" applyFill="1" applyBorder="1" applyAlignment="1" applyProtection="1">
      <alignment horizontal="center" wrapText="1"/>
      <protection hidden="1"/>
    </xf>
    <xf numFmtId="0" fontId="18" fillId="0" borderId="76" xfId="69" applyFont="1" applyFill="1" applyBorder="1" applyAlignment="1" applyProtection="1">
      <alignment horizontal="center" vertical="center" wrapText="1"/>
      <protection hidden="1"/>
    </xf>
    <xf numFmtId="0" fontId="46" fillId="0" borderId="12" xfId="69" applyFont="1" applyFill="1" applyBorder="1" applyAlignment="1" applyProtection="1">
      <alignment horizontal="center" wrapText="1"/>
      <protection hidden="1"/>
    </xf>
    <xf numFmtId="0" fontId="46" fillId="0" borderId="119" xfId="69" applyFont="1" applyFill="1" applyBorder="1" applyAlignment="1" applyProtection="1">
      <alignment horizontal="center" wrapText="1"/>
      <protection hidden="1"/>
    </xf>
    <xf numFmtId="0" fontId="18" fillId="0" borderId="165" xfId="69" applyFont="1" applyFill="1" applyBorder="1" applyAlignment="1" applyProtection="1">
      <alignment horizontal="center" vertical="center" wrapText="1"/>
      <protection hidden="1"/>
    </xf>
    <xf numFmtId="0" fontId="18" fillId="0" borderId="166" xfId="69" applyFont="1" applyFill="1" applyBorder="1" applyAlignment="1" applyProtection="1">
      <alignment horizontal="center" vertical="center" wrapText="1"/>
      <protection hidden="1"/>
    </xf>
    <xf numFmtId="0" fontId="18" fillId="0" borderId="165" xfId="69" applyFont="1" applyFill="1" applyBorder="1" applyAlignment="1" applyProtection="1">
      <alignment horizontal="center" vertical="center"/>
      <protection hidden="1"/>
    </xf>
    <xf numFmtId="0" fontId="18" fillId="0" borderId="166" xfId="69" applyFont="1" applyFill="1" applyBorder="1" applyAlignment="1" applyProtection="1">
      <alignment horizontal="center" vertical="center"/>
      <protection hidden="1"/>
    </xf>
    <xf numFmtId="0" fontId="18" fillId="0" borderId="168" xfId="69" applyFont="1" applyBorder="1" applyAlignment="1" applyProtection="1">
      <alignment horizontal="center" vertical="center" wrapText="1"/>
      <protection hidden="1"/>
    </xf>
    <xf numFmtId="0" fontId="18" fillId="0" borderId="119" xfId="69" applyFont="1" applyBorder="1" applyAlignment="1" applyProtection="1">
      <alignment horizontal="center" vertical="center" wrapText="1"/>
      <protection hidden="1"/>
    </xf>
    <xf numFmtId="0" fontId="46" fillId="0" borderId="77" xfId="69" applyFont="1" applyFill="1" applyBorder="1" applyAlignment="1" applyProtection="1">
      <alignment horizontal="center" wrapText="1"/>
      <protection hidden="1"/>
    </xf>
    <xf numFmtId="0" fontId="46" fillId="0" borderId="74" xfId="69" applyFont="1" applyFill="1" applyBorder="1" applyAlignment="1" applyProtection="1">
      <alignment horizontal="center" wrapText="1"/>
      <protection hidden="1"/>
    </xf>
    <xf numFmtId="0" fontId="46" fillId="0" borderId="75" xfId="69" applyFont="1" applyFill="1" applyBorder="1" applyAlignment="1" applyProtection="1">
      <alignment horizontal="center" wrapText="1"/>
      <protection hidden="1"/>
    </xf>
    <xf numFmtId="0" fontId="164" fillId="0" borderId="77" xfId="69" applyFont="1" applyFill="1" applyBorder="1" applyAlignment="1" applyProtection="1">
      <alignment horizontal="center" wrapText="1"/>
      <protection hidden="1"/>
    </xf>
    <xf numFmtId="0" fontId="164" fillId="0" borderId="74" xfId="69" applyFont="1" applyFill="1" applyBorder="1" applyAlignment="1" applyProtection="1">
      <alignment horizontal="center" wrapText="1"/>
      <protection hidden="1"/>
    </xf>
    <xf numFmtId="0" fontId="164" fillId="0" borderId="75" xfId="69" applyFont="1" applyFill="1" applyBorder="1" applyAlignment="1" applyProtection="1">
      <alignment horizontal="center" wrapText="1"/>
      <protection hidden="1"/>
    </xf>
    <xf numFmtId="0" fontId="15" fillId="0" borderId="76" xfId="69" applyFont="1" applyFill="1" applyBorder="1" applyAlignment="1" applyProtection="1">
      <alignment horizontal="center" vertical="center"/>
      <protection hidden="1"/>
    </xf>
    <xf numFmtId="0" fontId="14" fillId="0" borderId="0" xfId="46" applyFont="1" applyBorder="1" applyAlignment="1">
      <alignment horizontal="left" vertical="center" wrapText="1"/>
    </xf>
    <xf numFmtId="0" fontId="18" fillId="0" borderId="76" xfId="69" applyFont="1" applyFill="1" applyBorder="1" applyAlignment="1" applyProtection="1">
      <alignment horizontal="center" vertical="center"/>
      <protection hidden="1"/>
    </xf>
    <xf numFmtId="0" fontId="18" fillId="3" borderId="0" xfId="69" applyFont="1" applyFill="1" applyBorder="1" applyAlignment="1" applyProtection="1">
      <alignment horizontal="center" vertical="center" wrapText="1"/>
      <protection hidden="1"/>
    </xf>
    <xf numFmtId="0" fontId="11" fillId="0" borderId="0" xfId="46" applyFont="1" applyBorder="1" applyAlignment="1">
      <alignment horizontal="left" vertical="center" wrapText="1"/>
    </xf>
    <xf numFmtId="0" fontId="18" fillId="0" borderId="167" xfId="69" applyFont="1" applyFill="1" applyBorder="1" applyAlignment="1" applyProtection="1">
      <alignment horizontal="center" vertical="center" wrapText="1"/>
      <protection hidden="1"/>
    </xf>
    <xf numFmtId="0" fontId="18" fillId="0" borderId="169" xfId="69" applyFont="1" applyFill="1" applyBorder="1" applyAlignment="1" applyProtection="1">
      <alignment horizontal="center" vertical="center" wrapText="1"/>
      <protection hidden="1"/>
    </xf>
    <xf numFmtId="0" fontId="15" fillId="0" borderId="167" xfId="69" applyFont="1" applyFill="1" applyBorder="1" applyAlignment="1" applyProtection="1">
      <alignment horizontal="center" vertical="center"/>
      <protection hidden="1"/>
    </xf>
    <xf numFmtId="0" fontId="15" fillId="0" borderId="165" xfId="69" applyFont="1" applyFill="1" applyBorder="1" applyAlignment="1" applyProtection="1">
      <alignment horizontal="center" vertical="center"/>
      <protection hidden="1"/>
    </xf>
    <xf numFmtId="41" fontId="60" fillId="3" borderId="0" xfId="69" applyNumberFormat="1" applyFont="1" applyFill="1" applyBorder="1" applyAlignment="1">
      <alignment horizontal="center" vertical="center" wrapText="1"/>
    </xf>
    <xf numFmtId="41" fontId="60" fillId="0" borderId="8" xfId="69" applyNumberFormat="1" applyFont="1" applyFill="1" applyBorder="1" applyAlignment="1">
      <alignment horizontal="center" vertical="center" wrapText="1"/>
    </xf>
    <xf numFmtId="41" fontId="60" fillId="0" borderId="7" xfId="69" applyNumberFormat="1" applyFont="1" applyFill="1" applyBorder="1" applyAlignment="1">
      <alignment horizontal="center" vertical="center" wrapText="1"/>
    </xf>
    <xf numFmtId="41" fontId="60" fillId="6" borderId="165" xfId="69" applyNumberFormat="1" applyFont="1" applyFill="1" applyBorder="1" applyAlignment="1">
      <alignment horizontal="center" vertical="center" wrapText="1"/>
    </xf>
    <xf numFmtId="41" fontId="60" fillId="6" borderId="169" xfId="69" applyNumberFormat="1" applyFont="1" applyFill="1" applyBorder="1" applyAlignment="1">
      <alignment horizontal="center" vertical="center" wrapText="1"/>
    </xf>
    <xf numFmtId="41" fontId="60" fillId="6" borderId="167" xfId="69" applyNumberFormat="1" applyFont="1" applyFill="1" applyBorder="1" applyAlignment="1">
      <alignment horizontal="center" vertical="center" wrapText="1"/>
    </xf>
    <xf numFmtId="41" fontId="60" fillId="6" borderId="166" xfId="69" applyNumberFormat="1" applyFont="1" applyFill="1" applyBorder="1" applyAlignment="1">
      <alignment horizontal="center" vertical="center" wrapText="1"/>
    </xf>
    <xf numFmtId="41" fontId="60" fillId="0" borderId="0" xfId="69" applyNumberFormat="1" applyFont="1" applyFill="1" applyBorder="1" applyAlignment="1">
      <alignment horizontal="center" vertical="center" wrapText="1"/>
    </xf>
    <xf numFmtId="41" fontId="60" fillId="0" borderId="16" xfId="69" applyNumberFormat="1" applyFont="1" applyFill="1" applyBorder="1" applyAlignment="1">
      <alignment horizontal="center" vertical="center" wrapText="1"/>
    </xf>
    <xf numFmtId="41" fontId="60" fillId="0" borderId="2" xfId="69" applyNumberFormat="1" applyFont="1" applyFill="1" applyBorder="1" applyAlignment="1">
      <alignment horizontal="center" vertical="center" wrapText="1"/>
    </xf>
    <xf numFmtId="41" fontId="60" fillId="0" borderId="14" xfId="69" applyNumberFormat="1" applyFont="1" applyFill="1" applyBorder="1" applyAlignment="1">
      <alignment horizontal="center" vertical="center" wrapText="1"/>
    </xf>
    <xf numFmtId="0" fontId="47" fillId="3" borderId="0" xfId="69" applyFont="1" applyFill="1" applyBorder="1" applyAlignment="1" applyProtection="1">
      <alignment horizontal="center"/>
      <protection hidden="1"/>
    </xf>
    <xf numFmtId="0" fontId="46" fillId="3" borderId="167" xfId="69" applyFont="1" applyFill="1" applyBorder="1" applyAlignment="1" applyProtection="1">
      <alignment horizontal="center" wrapText="1"/>
      <protection hidden="1"/>
    </xf>
    <xf numFmtId="0" fontId="46" fillId="3" borderId="165" xfId="69" applyFont="1" applyFill="1" applyBorder="1" applyAlignment="1" applyProtection="1">
      <alignment horizontal="center" wrapText="1"/>
      <protection hidden="1"/>
    </xf>
    <xf numFmtId="0" fontId="46" fillId="3" borderId="169" xfId="69" applyFont="1" applyFill="1" applyBorder="1" applyAlignment="1" applyProtection="1">
      <alignment horizontal="center" wrapText="1"/>
      <protection hidden="1"/>
    </xf>
    <xf numFmtId="0" fontId="16" fillId="0" borderId="167" xfId="69" applyFont="1" applyFill="1" applyBorder="1" applyAlignment="1" applyProtection="1">
      <alignment horizontal="center" vertical="center" wrapText="1"/>
      <protection hidden="1"/>
    </xf>
    <xf numFmtId="0" fontId="16" fillId="0" borderId="165" xfId="69" applyFont="1" applyFill="1" applyBorder="1" applyAlignment="1" applyProtection="1">
      <alignment horizontal="center" vertical="center" wrapText="1"/>
      <protection hidden="1"/>
    </xf>
    <xf numFmtId="0" fontId="16" fillId="0" borderId="169" xfId="69" applyFont="1" applyFill="1" applyBorder="1" applyAlignment="1" applyProtection="1">
      <alignment horizontal="center" vertical="center" wrapText="1"/>
      <protection hidden="1"/>
    </xf>
    <xf numFmtId="0" fontId="36" fillId="6" borderId="165" xfId="46" applyFont="1" applyFill="1" applyBorder="1" applyAlignment="1">
      <alignment horizontal="left" vertical="center" wrapText="1" indent="1"/>
    </xf>
    <xf numFmtId="0" fontId="36" fillId="6" borderId="166" xfId="46" applyFont="1" applyFill="1" applyBorder="1" applyAlignment="1">
      <alignment horizontal="left" vertical="center" wrapText="1" indent="1"/>
    </xf>
    <xf numFmtId="0" fontId="36" fillId="3" borderId="8" xfId="46" applyFont="1" applyFill="1" applyBorder="1" applyAlignment="1">
      <alignment horizontal="left" vertical="center" wrapText="1" indent="1"/>
    </xf>
    <xf numFmtId="0" fontId="36" fillId="3" borderId="7" xfId="46" applyFont="1" applyFill="1" applyBorder="1" applyAlignment="1">
      <alignment horizontal="left" vertical="center" wrapText="1" indent="1"/>
    </xf>
    <xf numFmtId="0" fontId="15" fillId="0" borderId="6" xfId="69" applyFont="1" applyFill="1" applyBorder="1" applyAlignment="1" applyProtection="1">
      <alignment horizontal="center" vertical="center" wrapText="1"/>
      <protection hidden="1"/>
    </xf>
    <xf numFmtId="0" fontId="16" fillId="6" borderId="167" xfId="46" applyFont="1" applyFill="1" applyBorder="1" applyAlignment="1">
      <alignment horizontal="left" vertical="center" wrapText="1" indent="1"/>
    </xf>
    <xf numFmtId="0" fontId="16" fillId="0" borderId="167" xfId="46" applyFont="1" applyFill="1" applyBorder="1" applyAlignment="1">
      <alignment horizontal="left" vertical="center" wrapText="1" indent="1"/>
    </xf>
    <xf numFmtId="0" fontId="14" fillId="0" borderId="0" xfId="46" applyFont="1" applyBorder="1" applyAlignment="1">
      <alignment horizontal="left" vertical="top" wrapText="1"/>
    </xf>
    <xf numFmtId="0" fontId="14" fillId="0" borderId="76" xfId="46" applyFont="1" applyBorder="1" applyAlignment="1">
      <alignment horizontal="center" vertical="center" textRotation="90" wrapText="1"/>
    </xf>
    <xf numFmtId="0" fontId="14" fillId="0" borderId="167" xfId="46" applyFont="1" applyBorder="1" applyAlignment="1">
      <alignment horizontal="center" vertical="center" textRotation="90" wrapText="1"/>
    </xf>
    <xf numFmtId="0" fontId="18" fillId="0" borderId="77" xfId="69" applyFont="1" applyFill="1" applyBorder="1" applyAlignment="1" applyProtection="1">
      <alignment horizontal="center" vertical="center" wrapText="1"/>
      <protection hidden="1"/>
    </xf>
    <xf numFmtId="0" fontId="18" fillId="0" borderId="74" xfId="69" applyFont="1" applyFill="1" applyBorder="1" applyAlignment="1" applyProtection="1">
      <alignment horizontal="center" vertical="center" wrapText="1"/>
      <protection hidden="1"/>
    </xf>
    <xf numFmtId="0" fontId="14" fillId="0" borderId="76" xfId="46" applyFont="1" applyFill="1" applyBorder="1" applyAlignment="1">
      <alignment horizontal="center" vertical="center" textRotation="90" wrapText="1"/>
    </xf>
    <xf numFmtId="0" fontId="18" fillId="0" borderId="168" xfId="69" applyFont="1" applyFill="1" applyBorder="1" applyAlignment="1" applyProtection="1">
      <alignment horizontal="center" vertical="center" wrapText="1"/>
      <protection hidden="1"/>
    </xf>
    <xf numFmtId="0" fontId="18" fillId="0" borderId="119" xfId="69" applyFont="1" applyFill="1" applyBorder="1" applyAlignment="1" applyProtection="1">
      <alignment horizontal="center" vertical="center" wrapText="1"/>
      <protection hidden="1"/>
    </xf>
    <xf numFmtId="0" fontId="18" fillId="0" borderId="163" xfId="69" applyFont="1" applyFill="1" applyBorder="1" applyAlignment="1" applyProtection="1">
      <alignment horizontal="center" vertical="center" wrapText="1"/>
      <protection hidden="1"/>
    </xf>
    <xf numFmtId="0" fontId="18" fillId="0" borderId="20" xfId="69" applyFont="1" applyFill="1" applyBorder="1" applyAlignment="1" applyProtection="1">
      <alignment horizontal="center" vertical="center" wrapText="1"/>
      <protection hidden="1"/>
    </xf>
    <xf numFmtId="0" fontId="18" fillId="0" borderId="16" xfId="69" applyFont="1" applyFill="1" applyBorder="1" applyAlignment="1" applyProtection="1">
      <alignment horizontal="center" vertical="center" wrapText="1"/>
      <protection hidden="1"/>
    </xf>
    <xf numFmtId="0" fontId="18" fillId="0" borderId="2" xfId="69" applyFont="1" applyFill="1" applyBorder="1" applyAlignment="1" applyProtection="1">
      <alignment horizontal="center" vertical="center" wrapText="1"/>
      <protection hidden="1"/>
    </xf>
    <xf numFmtId="0" fontId="14" fillId="0" borderId="2" xfId="46" applyFont="1" applyBorder="1" applyAlignment="1">
      <alignment horizontal="left" vertical="center" wrapText="1" indent="1"/>
    </xf>
    <xf numFmtId="0" fontId="11" fillId="0" borderId="2" xfId="46" applyFont="1" applyBorder="1" applyAlignment="1">
      <alignment horizontal="left" vertical="center" wrapText="1" indent="1"/>
    </xf>
    <xf numFmtId="0" fontId="15" fillId="0" borderId="18" xfId="69" applyFont="1" applyFill="1" applyBorder="1" applyAlignment="1" applyProtection="1">
      <alignment horizontal="center" vertical="center" wrapText="1"/>
      <protection hidden="1"/>
    </xf>
    <xf numFmtId="0" fontId="15" fillId="0" borderId="17" xfId="69" applyFont="1" applyFill="1" applyBorder="1" applyAlignment="1" applyProtection="1">
      <alignment horizontal="center" vertical="center" wrapText="1"/>
      <protection hidden="1"/>
    </xf>
    <xf numFmtId="0" fontId="15" fillId="0" borderId="19" xfId="69" applyFont="1" applyFill="1" applyBorder="1" applyAlignment="1" applyProtection="1">
      <alignment horizontal="center" vertical="center" wrapText="1"/>
      <protection hidden="1"/>
    </xf>
    <xf numFmtId="0" fontId="15" fillId="0" borderId="1" xfId="69" applyFont="1" applyFill="1" applyBorder="1" applyAlignment="1" applyProtection="1">
      <alignment horizontal="center" vertical="center" wrapText="1"/>
      <protection hidden="1"/>
    </xf>
    <xf numFmtId="0" fontId="15" fillId="0" borderId="16" xfId="69" applyFont="1" applyFill="1" applyBorder="1" applyAlignment="1" applyProtection="1">
      <alignment horizontal="center" vertical="center" wrapText="1"/>
      <protection hidden="1"/>
    </xf>
    <xf numFmtId="0" fontId="15" fillId="0" borderId="14" xfId="69" applyFont="1" applyFill="1" applyBorder="1" applyAlignment="1" applyProtection="1">
      <alignment horizontal="center" vertical="center" wrapText="1"/>
      <protection hidden="1"/>
    </xf>
    <xf numFmtId="0" fontId="18" fillId="0" borderId="12" xfId="69" applyFont="1" applyFill="1" applyBorder="1" applyAlignment="1" applyProtection="1">
      <alignment horizontal="center" vertical="center" wrapText="1"/>
      <protection hidden="1"/>
    </xf>
    <xf numFmtId="0" fontId="18" fillId="0" borderId="15" xfId="69" applyFont="1" applyFill="1" applyBorder="1" applyAlignment="1" applyProtection="1">
      <alignment horizontal="center" vertical="center" wrapText="1"/>
      <protection hidden="1"/>
    </xf>
    <xf numFmtId="0" fontId="46" fillId="0" borderId="13" xfId="69" applyFont="1" applyFill="1" applyBorder="1" applyAlignment="1" applyProtection="1">
      <alignment horizontal="center" wrapText="1"/>
      <protection hidden="1"/>
    </xf>
    <xf numFmtId="0" fontId="18" fillId="0" borderId="75" xfId="69" applyFont="1" applyFill="1" applyBorder="1" applyAlignment="1" applyProtection="1">
      <alignment horizontal="center" vertical="center" wrapText="1"/>
      <protection hidden="1"/>
    </xf>
    <xf numFmtId="0" fontId="18" fillId="0" borderId="18" xfId="69" applyFont="1" applyFill="1" applyBorder="1" applyAlignment="1" applyProtection="1">
      <alignment horizontal="center" vertical="center" wrapText="1"/>
      <protection hidden="1"/>
    </xf>
    <xf numFmtId="0" fontId="18" fillId="0" borderId="17" xfId="69" applyFont="1" applyFill="1" applyBorder="1" applyAlignment="1" applyProtection="1">
      <alignment horizontal="center" vertical="center" wrapText="1"/>
      <protection hidden="1"/>
    </xf>
    <xf numFmtId="0" fontId="11" fillId="0" borderId="77" xfId="69" applyFont="1" applyFill="1" applyBorder="1" applyAlignment="1" applyProtection="1">
      <alignment horizontal="center"/>
      <protection hidden="1"/>
    </xf>
    <xf numFmtId="0" fontId="11" fillId="0" borderId="74" xfId="69" applyFont="1" applyFill="1" applyBorder="1" applyAlignment="1" applyProtection="1">
      <alignment horizontal="center"/>
      <protection hidden="1"/>
    </xf>
    <xf numFmtId="0" fontId="11" fillId="0" borderId="75" xfId="69" applyFont="1" applyFill="1" applyBorder="1" applyAlignment="1" applyProtection="1">
      <alignment horizontal="center"/>
      <protection hidden="1"/>
    </xf>
    <xf numFmtId="0" fontId="46" fillId="3" borderId="18" xfId="69" applyFont="1" applyFill="1" applyBorder="1" applyAlignment="1" applyProtection="1">
      <alignment horizontal="center" wrapText="1"/>
      <protection hidden="1"/>
    </xf>
    <xf numFmtId="0" fontId="46" fillId="3" borderId="17" xfId="69" applyFont="1" applyFill="1" applyBorder="1" applyAlignment="1" applyProtection="1">
      <alignment horizontal="center" wrapText="1"/>
      <protection hidden="1"/>
    </xf>
    <xf numFmtId="0" fontId="46" fillId="3" borderId="16" xfId="69" applyFont="1" applyFill="1" applyBorder="1" applyAlignment="1" applyProtection="1">
      <alignment horizontal="center" wrapText="1"/>
      <protection hidden="1"/>
    </xf>
    <xf numFmtId="0" fontId="46" fillId="3" borderId="14" xfId="69" applyFont="1" applyFill="1" applyBorder="1" applyAlignment="1" applyProtection="1">
      <alignment horizontal="center" wrapText="1"/>
      <protection hidden="1"/>
    </xf>
    <xf numFmtId="0" fontId="46" fillId="3" borderId="20" xfId="69" applyFont="1" applyFill="1" applyBorder="1" applyAlignment="1" applyProtection="1">
      <alignment horizontal="center" wrapText="1"/>
      <protection hidden="1"/>
    </xf>
    <xf numFmtId="0" fontId="46" fillId="3" borderId="2" xfId="69" applyFont="1" applyFill="1" applyBorder="1" applyAlignment="1" applyProtection="1">
      <alignment horizontal="center" wrapText="1"/>
      <protection hidden="1"/>
    </xf>
    <xf numFmtId="11" fontId="46" fillId="3" borderId="12" xfId="69" applyNumberFormat="1" applyFont="1" applyFill="1" applyBorder="1" applyAlignment="1" applyProtection="1">
      <alignment horizontal="center" wrapText="1"/>
      <protection hidden="1"/>
    </xf>
    <xf numFmtId="11" fontId="46" fillId="3" borderId="119" xfId="69" applyNumberFormat="1" applyFont="1" applyFill="1" applyBorder="1" applyAlignment="1" applyProtection="1">
      <alignment horizontal="center" wrapText="1"/>
      <protection hidden="1"/>
    </xf>
    <xf numFmtId="0" fontId="18" fillId="0" borderId="13" xfId="69" applyFont="1" applyFill="1" applyBorder="1" applyAlignment="1" applyProtection="1">
      <alignment horizontal="center" vertical="center" wrapText="1"/>
      <protection hidden="1"/>
    </xf>
    <xf numFmtId="0" fontId="14" fillId="6" borderId="12" xfId="46" applyFont="1" applyFill="1" applyBorder="1" applyAlignment="1">
      <alignment horizontal="center" vertical="center" textRotation="90" wrapText="1"/>
    </xf>
    <xf numFmtId="0" fontId="14" fillId="6" borderId="15" xfId="46" applyFont="1" applyFill="1" applyBorder="1" applyAlignment="1">
      <alignment horizontal="center" vertical="center" textRotation="90" wrapText="1"/>
    </xf>
    <xf numFmtId="0" fontId="14" fillId="6" borderId="119" xfId="46" applyFont="1" applyFill="1" applyBorder="1" applyAlignment="1">
      <alignment horizontal="center" vertical="center" textRotation="90" wrapText="1"/>
    </xf>
    <xf numFmtId="0" fontId="15" fillId="0" borderId="18" xfId="69" applyFont="1" applyFill="1" applyBorder="1" applyAlignment="1" applyProtection="1">
      <alignment horizontal="center" vertical="center"/>
      <protection hidden="1"/>
    </xf>
    <xf numFmtId="0" fontId="15" fillId="0" borderId="16" xfId="69" applyFont="1" applyFill="1" applyBorder="1" applyAlignment="1" applyProtection="1">
      <alignment horizontal="center" vertical="center"/>
      <protection hidden="1"/>
    </xf>
    <xf numFmtId="0" fontId="16" fillId="0" borderId="12" xfId="69" applyFont="1" applyFill="1" applyBorder="1" applyAlignment="1" applyProtection="1">
      <alignment horizontal="center" wrapText="1"/>
      <protection hidden="1"/>
    </xf>
    <xf numFmtId="0" fontId="16" fillId="0" borderId="13" xfId="69" applyFont="1" applyFill="1" applyBorder="1" applyAlignment="1" applyProtection="1">
      <alignment horizontal="center" wrapText="1"/>
      <protection hidden="1"/>
    </xf>
    <xf numFmtId="0" fontId="18" fillId="0" borderId="30" xfId="46" applyFont="1" applyFill="1" applyBorder="1" applyAlignment="1">
      <alignment horizontal="center" vertical="center" wrapText="1"/>
    </xf>
    <xf numFmtId="0" fontId="18" fillId="0" borderId="43" xfId="46" applyFont="1" applyFill="1" applyBorder="1" applyAlignment="1">
      <alignment horizontal="center" vertical="center" wrapText="1"/>
    </xf>
    <xf numFmtId="0" fontId="18" fillId="0" borderId="31" xfId="46" applyFont="1" applyFill="1" applyBorder="1" applyAlignment="1">
      <alignment horizontal="center" vertical="center" wrapText="1"/>
    </xf>
    <xf numFmtId="0" fontId="15" fillId="6" borderId="76" xfId="46" applyFont="1" applyFill="1" applyBorder="1" applyAlignment="1">
      <alignment horizontal="center" vertical="center" wrapText="1"/>
    </xf>
    <xf numFmtId="0" fontId="15" fillId="3" borderId="76" xfId="46" applyFont="1" applyFill="1" applyBorder="1" applyAlignment="1">
      <alignment horizontal="center" vertical="center" wrapText="1"/>
    </xf>
    <xf numFmtId="0" fontId="30" fillId="0" borderId="76" xfId="46" applyFont="1" applyBorder="1" applyAlignment="1">
      <alignment horizontal="center" vertical="center" textRotation="90"/>
    </xf>
    <xf numFmtId="0" fontId="30" fillId="0" borderId="76" xfId="46" applyFont="1" applyBorder="1" applyAlignment="1">
      <alignment horizontal="center" vertical="center" wrapText="1"/>
    </xf>
    <xf numFmtId="0" fontId="30" fillId="0" borderId="77" xfId="46" applyFont="1" applyBorder="1" applyAlignment="1">
      <alignment horizontal="center" vertical="center" wrapText="1"/>
    </xf>
    <xf numFmtId="0" fontId="44" fillId="0" borderId="2" xfId="46" applyFont="1" applyBorder="1" applyAlignment="1">
      <alignment horizontal="left" vertical="center" wrapText="1"/>
    </xf>
    <xf numFmtId="0" fontId="44" fillId="0" borderId="0" xfId="46" applyFont="1" applyBorder="1" applyAlignment="1">
      <alignment horizontal="left" vertical="center" wrapText="1"/>
    </xf>
    <xf numFmtId="0" fontId="14" fillId="0" borderId="6" xfId="72" applyFont="1" applyFill="1" applyBorder="1" applyAlignment="1" applyProtection="1">
      <alignment horizontal="center" vertical="center" wrapText="1"/>
      <protection hidden="1"/>
    </xf>
    <xf numFmtId="49" fontId="11" fillId="0" borderId="6" xfId="72" applyNumberFormat="1" applyFont="1" applyFill="1" applyBorder="1" applyAlignment="1" applyProtection="1">
      <alignment horizontal="center" vertical="center"/>
      <protection hidden="1"/>
    </xf>
    <xf numFmtId="0" fontId="14" fillId="0" borderId="76" xfId="72" applyFont="1" applyFill="1" applyBorder="1" applyAlignment="1" applyProtection="1">
      <alignment horizontal="center" vertical="center" wrapText="1"/>
      <protection hidden="1"/>
    </xf>
    <xf numFmtId="0" fontId="44" fillId="0" borderId="0" xfId="46" applyFont="1" applyBorder="1" applyAlignment="1">
      <alignment horizontal="left" vertical="top" wrapText="1" indent="1"/>
    </xf>
    <xf numFmtId="0" fontId="15" fillId="0" borderId="18" xfId="72" applyFont="1" applyFill="1" applyBorder="1" applyAlignment="1" applyProtection="1">
      <alignment horizontal="center" vertical="center"/>
      <protection hidden="1"/>
    </xf>
    <xf numFmtId="0" fontId="15" fillId="0" borderId="20" xfId="72" applyFont="1" applyFill="1" applyBorder="1" applyAlignment="1" applyProtection="1">
      <alignment horizontal="center" vertical="center"/>
      <protection hidden="1"/>
    </xf>
    <xf numFmtId="0" fontId="15" fillId="0" borderId="19" xfId="72" applyFont="1" applyFill="1" applyBorder="1" applyAlignment="1" applyProtection="1">
      <alignment horizontal="center" vertical="center"/>
      <protection hidden="1"/>
    </xf>
    <xf numFmtId="0" fontId="15" fillId="0" borderId="0" xfId="72" applyFont="1" applyFill="1" applyBorder="1" applyAlignment="1" applyProtection="1">
      <alignment horizontal="center" vertical="center"/>
      <protection hidden="1"/>
    </xf>
    <xf numFmtId="0" fontId="15" fillId="0" borderId="16" xfId="72" applyFont="1" applyFill="1" applyBorder="1" applyAlignment="1" applyProtection="1">
      <alignment horizontal="center" vertical="center"/>
      <protection hidden="1"/>
    </xf>
    <xf numFmtId="0" fontId="15" fillId="0" borderId="2" xfId="72" applyFont="1" applyFill="1" applyBorder="1" applyAlignment="1" applyProtection="1">
      <alignment horizontal="center" vertical="center"/>
      <protection hidden="1"/>
    </xf>
    <xf numFmtId="0" fontId="17" fillId="6" borderId="8" xfId="46" applyFont="1" applyFill="1" applyBorder="1" applyAlignment="1">
      <alignment horizontal="left" vertical="center" wrapText="1" indent="1"/>
    </xf>
    <xf numFmtId="0" fontId="17" fillId="6" borderId="7" xfId="46" applyFont="1" applyFill="1" applyBorder="1" applyAlignment="1">
      <alignment horizontal="left" vertical="center" wrapText="1" indent="1"/>
    </xf>
    <xf numFmtId="0" fontId="17" fillId="3" borderId="8" xfId="46" applyFont="1" applyFill="1" applyBorder="1" applyAlignment="1">
      <alignment horizontal="left" vertical="center" wrapText="1" indent="1"/>
    </xf>
    <xf numFmtId="0" fontId="17" fillId="3" borderId="7" xfId="46" applyFont="1" applyFill="1" applyBorder="1" applyAlignment="1">
      <alignment horizontal="left" vertical="center" wrapText="1" indent="1"/>
    </xf>
    <xf numFmtId="0" fontId="15" fillId="0" borderId="8" xfId="69" applyFont="1" applyFill="1" applyBorder="1" applyAlignment="1" applyProtection="1">
      <alignment horizontal="center" vertical="center" wrapText="1"/>
      <protection hidden="1"/>
    </xf>
    <xf numFmtId="0" fontId="15" fillId="0" borderId="7" xfId="69" applyFont="1" applyFill="1" applyBorder="1" applyAlignment="1" applyProtection="1">
      <alignment horizontal="center" vertical="center" wrapText="1"/>
      <protection hidden="1"/>
    </xf>
    <xf numFmtId="0" fontId="18" fillId="0" borderId="0" xfId="69" applyFont="1" applyFill="1" applyBorder="1" applyAlignment="1" applyProtection="1">
      <alignment horizontal="center" vertical="center" wrapText="1"/>
      <protection hidden="1"/>
    </xf>
    <xf numFmtId="41" fontId="60" fillId="6" borderId="76" xfId="69" applyNumberFormat="1" applyFont="1" applyFill="1" applyBorder="1" applyAlignment="1">
      <alignment horizontal="center" vertical="center" wrapText="1"/>
    </xf>
    <xf numFmtId="0" fontId="18" fillId="0" borderId="8" xfId="69" applyFont="1" applyFill="1" applyBorder="1" applyAlignment="1" applyProtection="1">
      <alignment horizontal="center" vertical="center" wrapText="1"/>
      <protection hidden="1"/>
    </xf>
    <xf numFmtId="0" fontId="18" fillId="0" borderId="9" xfId="69" applyFont="1" applyFill="1" applyBorder="1" applyAlignment="1" applyProtection="1">
      <alignment horizontal="center" vertical="center" wrapText="1"/>
      <protection hidden="1"/>
    </xf>
    <xf numFmtId="0" fontId="18" fillId="0" borderId="7" xfId="69" applyFont="1" applyFill="1" applyBorder="1" applyAlignment="1" applyProtection="1">
      <alignment horizontal="center" vertical="center" wrapText="1"/>
      <protection hidden="1"/>
    </xf>
    <xf numFmtId="0" fontId="28" fillId="0" borderId="12" xfId="69" applyFont="1" applyFill="1" applyBorder="1" applyAlignment="1" applyProtection="1">
      <alignment horizontal="center"/>
      <protection hidden="1"/>
    </xf>
    <xf numFmtId="0" fontId="28" fillId="0" borderId="13" xfId="69" applyFont="1" applyFill="1" applyBorder="1" applyAlignment="1" applyProtection="1">
      <alignment horizontal="center"/>
      <protection hidden="1"/>
    </xf>
    <xf numFmtId="0" fontId="28" fillId="0" borderId="167" xfId="69" applyFont="1" applyFill="1" applyBorder="1" applyAlignment="1" applyProtection="1">
      <alignment horizontal="center"/>
      <protection hidden="1"/>
    </xf>
    <xf numFmtId="0" fontId="28" fillId="0" borderId="119" xfId="69" applyFont="1" applyFill="1" applyBorder="1" applyAlignment="1" applyProtection="1">
      <alignment horizontal="center"/>
      <protection hidden="1"/>
    </xf>
    <xf numFmtId="0" fontId="28" fillId="0" borderId="18" xfId="69" applyFont="1" applyFill="1" applyBorder="1" applyAlignment="1" applyProtection="1">
      <alignment horizontal="center"/>
      <protection hidden="1"/>
    </xf>
    <xf numFmtId="0" fontId="28" fillId="0" borderId="16" xfId="69" applyFont="1" applyFill="1" applyBorder="1" applyAlignment="1" applyProtection="1">
      <alignment horizontal="center"/>
      <protection hidden="1"/>
    </xf>
    <xf numFmtId="0" fontId="18" fillId="0" borderId="1" xfId="69" applyFont="1" applyFill="1" applyBorder="1" applyAlignment="1" applyProtection="1">
      <alignment horizontal="center" vertical="center" wrapText="1"/>
      <protection hidden="1"/>
    </xf>
    <xf numFmtId="0" fontId="18" fillId="0" borderId="14" xfId="69" applyFont="1" applyFill="1" applyBorder="1" applyAlignment="1" applyProtection="1">
      <alignment horizontal="center" vertical="center" wrapText="1"/>
      <protection hidden="1"/>
    </xf>
    <xf numFmtId="0" fontId="7" fillId="0" borderId="8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60" fillId="0" borderId="0" xfId="6" applyFont="1" applyFill="1" applyBorder="1" applyAlignment="1">
      <alignment horizontal="left" vertical="center" wrapText="1"/>
    </xf>
    <xf numFmtId="0" fontId="14" fillId="0" borderId="12" xfId="46" applyFont="1" applyFill="1" applyBorder="1" applyAlignment="1">
      <alignment horizontal="center" vertical="center" textRotation="90" wrapText="1"/>
    </xf>
    <xf numFmtId="0" fontId="14" fillId="0" borderId="119" xfId="46" applyFont="1" applyFill="1" applyBorder="1" applyAlignment="1">
      <alignment horizontal="center" vertical="center" textRotation="90" wrapText="1"/>
    </xf>
    <xf numFmtId="0" fontId="60" fillId="0" borderId="0" xfId="6" applyFont="1" applyFill="1" applyBorder="1" applyAlignment="1">
      <alignment horizontal="left" vertical="top" wrapText="1"/>
    </xf>
    <xf numFmtId="0" fontId="14" fillId="0" borderId="8" xfId="0" applyFont="1" applyFill="1" applyBorder="1" applyAlignment="1">
      <alignment horizontal="center" wrapText="1"/>
    </xf>
    <xf numFmtId="0" fontId="14" fillId="0" borderId="9" xfId="0" applyFont="1" applyFill="1" applyBorder="1" applyAlignment="1">
      <alignment horizontal="center" wrapText="1"/>
    </xf>
    <xf numFmtId="0" fontId="14" fillId="0" borderId="7" xfId="0" applyFont="1" applyFill="1" applyBorder="1" applyAlignment="1">
      <alignment horizontal="center" wrapText="1"/>
    </xf>
    <xf numFmtId="0" fontId="31" fillId="0" borderId="6" xfId="71" applyFont="1" applyFill="1" applyBorder="1" applyAlignment="1">
      <alignment horizontal="center" vertical="center" wrapText="1"/>
    </xf>
    <xf numFmtId="0" fontId="55" fillId="0" borderId="6" xfId="71" applyFont="1" applyBorder="1" applyAlignment="1" applyProtection="1">
      <alignment horizontal="center" vertical="center"/>
      <protection hidden="1"/>
    </xf>
    <xf numFmtId="0" fontId="17" fillId="3" borderId="6" xfId="46" applyFont="1" applyFill="1" applyBorder="1" applyAlignment="1">
      <alignment horizontal="left" vertical="center" wrapText="1" indent="1"/>
    </xf>
    <xf numFmtId="0" fontId="11" fillId="0" borderId="6" xfId="58" applyFont="1" applyFill="1" applyBorder="1" applyAlignment="1" applyProtection="1">
      <alignment horizontal="center" vertical="center" wrapText="1"/>
      <protection hidden="1"/>
    </xf>
    <xf numFmtId="0" fontId="17" fillId="3" borderId="0" xfId="46" applyFont="1" applyFill="1" applyBorder="1" applyAlignment="1">
      <alignment horizontal="center" vertical="center" wrapText="1"/>
    </xf>
    <xf numFmtId="3" fontId="58" fillId="0" borderId="6" xfId="71" applyNumberFormat="1" applyFont="1" applyBorder="1" applyAlignment="1">
      <alignment horizontal="center" vertical="center"/>
    </xf>
    <xf numFmtId="0" fontId="31" fillId="0" borderId="6" xfId="71" applyFont="1" applyBorder="1" applyAlignment="1">
      <alignment horizontal="center" vertical="center" wrapText="1"/>
    </xf>
    <xf numFmtId="0" fontId="1" fillId="0" borderId="6" xfId="71" applyFont="1" applyBorder="1"/>
    <xf numFmtId="0" fontId="31" fillId="0" borderId="18" xfId="71" applyFont="1" applyFill="1" applyBorder="1" applyAlignment="1">
      <alignment horizontal="center" vertical="center"/>
    </xf>
    <xf numFmtId="0" fontId="31" fillId="0" borderId="17" xfId="71" applyFont="1" applyFill="1" applyBorder="1" applyAlignment="1">
      <alignment horizontal="center" vertical="center"/>
    </xf>
    <xf numFmtId="0" fontId="31" fillId="0" borderId="8" xfId="71" applyFont="1" applyFill="1" applyBorder="1" applyAlignment="1">
      <alignment horizontal="center" vertical="center"/>
    </xf>
    <xf numFmtId="0" fontId="31" fillId="0" borderId="7" xfId="71" applyFont="1" applyFill="1" applyBorder="1" applyAlignment="1">
      <alignment horizontal="center" vertical="center"/>
    </xf>
    <xf numFmtId="0" fontId="18" fillId="0" borderId="6" xfId="71" applyFont="1" applyFill="1" applyBorder="1" applyAlignment="1">
      <alignment horizontal="center" vertical="center" wrapText="1"/>
    </xf>
    <xf numFmtId="0" fontId="31" fillId="0" borderId="12" xfId="71" applyFont="1" applyFill="1" applyBorder="1" applyAlignment="1">
      <alignment horizontal="center" vertical="center" wrapText="1"/>
    </xf>
    <xf numFmtId="0" fontId="31" fillId="0" borderId="13" xfId="71" applyFont="1" applyFill="1" applyBorder="1" applyAlignment="1">
      <alignment horizontal="center" vertical="center" wrapText="1"/>
    </xf>
    <xf numFmtId="0" fontId="16" fillId="0" borderId="0" xfId="13" applyFont="1" applyFill="1" applyAlignment="1">
      <alignment horizontal="left" vertical="center" wrapText="1"/>
    </xf>
    <xf numFmtId="0" fontId="15" fillId="0" borderId="6" xfId="58" applyFont="1" applyFill="1" applyBorder="1" applyAlignment="1" applyProtection="1">
      <alignment horizontal="center" vertical="center" wrapText="1"/>
      <protection hidden="1"/>
    </xf>
    <xf numFmtId="0" fontId="31" fillId="0" borderId="16" xfId="71" applyFont="1" applyFill="1" applyBorder="1" applyAlignment="1">
      <alignment horizontal="center" vertical="center"/>
    </xf>
    <xf numFmtId="0" fontId="31" fillId="0" borderId="14" xfId="71" applyFont="1" applyFill="1" applyBorder="1" applyAlignment="1">
      <alignment horizontal="center" vertical="center"/>
    </xf>
    <xf numFmtId="0" fontId="31" fillId="0" borderId="8" xfId="71" applyFont="1" applyFill="1" applyBorder="1" applyAlignment="1">
      <alignment horizontal="center" vertical="center" wrapText="1"/>
    </xf>
    <xf numFmtId="0" fontId="31" fillId="0" borderId="7" xfId="71" applyFont="1" applyFill="1" applyBorder="1" applyAlignment="1">
      <alignment horizontal="center" vertical="center" wrapText="1"/>
    </xf>
    <xf numFmtId="0" fontId="31" fillId="0" borderId="9" xfId="71" applyFont="1" applyFill="1" applyBorder="1" applyAlignment="1">
      <alignment horizontal="center" vertical="center" wrapText="1"/>
    </xf>
    <xf numFmtId="0" fontId="5" fillId="0" borderId="6" xfId="71" applyFont="1" applyFill="1" applyBorder="1" applyAlignment="1" applyProtection="1">
      <alignment horizontal="center" vertical="center" wrapText="1"/>
      <protection hidden="1"/>
    </xf>
    <xf numFmtId="0" fontId="31" fillId="0" borderId="18" xfId="71" applyFont="1" applyFill="1" applyBorder="1" applyAlignment="1">
      <alignment horizontal="center" vertical="center" wrapText="1"/>
    </xf>
    <xf numFmtId="0" fontId="31" fillId="0" borderId="17" xfId="71" applyFont="1" applyFill="1" applyBorder="1" applyAlignment="1">
      <alignment horizontal="center" vertical="center" wrapText="1"/>
    </xf>
    <xf numFmtId="0" fontId="31" fillId="0" borderId="16" xfId="71" applyFont="1" applyFill="1" applyBorder="1" applyAlignment="1">
      <alignment horizontal="center" vertical="center" wrapText="1"/>
    </xf>
    <xf numFmtId="0" fontId="31" fillId="0" borderId="14" xfId="71" applyFont="1" applyFill="1" applyBorder="1" applyAlignment="1">
      <alignment horizontal="center" vertical="center" wrapText="1"/>
    </xf>
    <xf numFmtId="0" fontId="31" fillId="0" borderId="18" xfId="71" applyFont="1" applyFill="1" applyBorder="1" applyAlignment="1">
      <alignment horizontal="center" vertical="top" wrapText="1"/>
    </xf>
    <xf numFmtId="0" fontId="31" fillId="0" borderId="17" xfId="71" applyFont="1" applyFill="1" applyBorder="1" applyAlignment="1">
      <alignment horizontal="center" vertical="top" wrapText="1"/>
    </xf>
    <xf numFmtId="0" fontId="31" fillId="0" borderId="16" xfId="71" applyFont="1" applyFill="1" applyBorder="1" applyAlignment="1">
      <alignment horizontal="center" vertical="top" wrapText="1"/>
    </xf>
    <xf numFmtId="0" fontId="31" fillId="0" borderId="14" xfId="71" applyFont="1" applyFill="1" applyBorder="1" applyAlignment="1">
      <alignment horizontal="center" vertical="top" wrapText="1"/>
    </xf>
    <xf numFmtId="0" fontId="34" fillId="0" borderId="76" xfId="0" applyFont="1" applyBorder="1" applyAlignment="1">
      <alignment horizontal="center" vertical="center"/>
    </xf>
    <xf numFmtId="0" fontId="34" fillId="4" borderId="76" xfId="0" applyFont="1" applyFill="1" applyBorder="1" applyAlignment="1">
      <alignment horizontal="center" vertical="center"/>
    </xf>
    <xf numFmtId="0" fontId="287" fillId="0" borderId="64" xfId="74" applyFont="1" applyBorder="1" applyAlignment="1">
      <alignment horizontal="center" vertical="center" wrapText="1"/>
    </xf>
    <xf numFmtId="0" fontId="16" fillId="0" borderId="6" xfId="0" applyFont="1" applyBorder="1" applyAlignment="1">
      <alignment horizontal="left" vertical="center" wrapText="1" indent="1"/>
    </xf>
    <xf numFmtId="0" fontId="16" fillId="6" borderId="12" xfId="46" applyFont="1" applyFill="1" applyBorder="1" applyAlignment="1">
      <alignment horizontal="center" vertical="center" wrapText="1"/>
    </xf>
    <xf numFmtId="0" fontId="16" fillId="6" borderId="15" xfId="46" applyFont="1" applyFill="1" applyBorder="1" applyAlignment="1">
      <alignment horizontal="center" vertical="center" wrapText="1"/>
    </xf>
    <xf numFmtId="0" fontId="16" fillId="6" borderId="13" xfId="46" applyFont="1" applyFill="1" applyBorder="1" applyAlignment="1">
      <alignment horizontal="center" vertical="center" wrapText="1"/>
    </xf>
    <xf numFmtId="0" fontId="14" fillId="6" borderId="13" xfId="46" applyFont="1" applyFill="1" applyBorder="1" applyAlignment="1">
      <alignment horizontal="center" vertical="center" textRotation="90" wrapText="1"/>
    </xf>
    <xf numFmtId="0" fontId="15" fillId="0" borderId="64" xfId="46" applyFont="1" applyBorder="1" applyAlignment="1">
      <alignment horizontal="center" vertical="center" wrapText="1"/>
    </xf>
    <xf numFmtId="0" fontId="287" fillId="6" borderId="64" xfId="74" applyFont="1" applyFill="1" applyBorder="1" applyAlignment="1">
      <alignment horizontal="center" vertical="center"/>
    </xf>
    <xf numFmtId="0" fontId="287" fillId="0" borderId="64" xfId="74" applyFont="1" applyBorder="1" applyAlignment="1">
      <alignment horizontal="center" vertical="center"/>
    </xf>
    <xf numFmtId="0" fontId="14" fillId="0" borderId="64" xfId="46" applyFont="1" applyFill="1" applyBorder="1" applyAlignment="1">
      <alignment horizontal="center" vertical="center"/>
    </xf>
    <xf numFmtId="0" fontId="16" fillId="6" borderId="12" xfId="0" applyFont="1" applyFill="1" applyBorder="1" applyAlignment="1">
      <alignment horizontal="center" vertical="center"/>
    </xf>
    <xf numFmtId="0" fontId="16" fillId="6" borderId="15" xfId="0" applyFont="1" applyFill="1" applyBorder="1" applyAlignment="1">
      <alignment horizontal="center" vertical="center"/>
    </xf>
    <xf numFmtId="0" fontId="16" fillId="6" borderId="13" xfId="0" applyFont="1" applyFill="1" applyBorder="1" applyAlignment="1">
      <alignment horizontal="center" vertical="center"/>
    </xf>
    <xf numFmtId="0" fontId="88" fillId="6" borderId="64" xfId="74" applyFont="1" applyFill="1" applyBorder="1" applyAlignment="1">
      <alignment horizontal="center" vertical="center"/>
    </xf>
    <xf numFmtId="0" fontId="88" fillId="0" borderId="64" xfId="74" applyFont="1" applyBorder="1" applyAlignment="1">
      <alignment horizontal="center" vertical="center"/>
    </xf>
    <xf numFmtId="0" fontId="278" fillId="0" borderId="77" xfId="46" applyFont="1" applyBorder="1" applyAlignment="1">
      <alignment horizontal="center" vertical="center" wrapText="1"/>
    </xf>
    <xf numFmtId="0" fontId="278" fillId="0" borderId="75" xfId="46" applyFont="1" applyBorder="1" applyAlignment="1">
      <alignment horizontal="center" vertical="center" wrapText="1"/>
    </xf>
    <xf numFmtId="0" fontId="0" fillId="0" borderId="0" xfId="0" applyFont="1"/>
    <xf numFmtId="0" fontId="276" fillId="0" borderId="64" xfId="46" applyFont="1" applyBorder="1" applyAlignment="1">
      <alignment horizontal="center" vertical="center" wrapText="1"/>
    </xf>
    <xf numFmtId="0" fontId="276" fillId="0" borderId="18" xfId="46" applyFont="1" applyBorder="1" applyAlignment="1">
      <alignment horizontal="center" vertical="center" wrapText="1"/>
    </xf>
    <xf numFmtId="0" fontId="276" fillId="0" borderId="17" xfId="46" applyFont="1" applyBorder="1" applyAlignment="1">
      <alignment horizontal="center" vertical="center" wrapText="1"/>
    </xf>
    <xf numFmtId="0" fontId="276" fillId="0" borderId="16" xfId="46" applyFont="1" applyBorder="1" applyAlignment="1">
      <alignment horizontal="center" vertical="center" wrapText="1"/>
    </xf>
    <xf numFmtId="0" fontId="276" fillId="0" borderId="14" xfId="46" applyFont="1" applyBorder="1" applyAlignment="1">
      <alignment horizontal="center" vertical="center" wrapText="1"/>
    </xf>
    <xf numFmtId="0" fontId="277" fillId="0" borderId="12" xfId="46" applyFont="1" applyFill="1" applyBorder="1" applyAlignment="1">
      <alignment horizontal="center" vertical="center" textRotation="90" wrapText="1"/>
    </xf>
    <xf numFmtId="0" fontId="277" fillId="0" borderId="15" xfId="46" applyFont="1" applyFill="1" applyBorder="1" applyAlignment="1">
      <alignment horizontal="center" vertical="center" textRotation="90" wrapText="1"/>
    </xf>
    <xf numFmtId="0" fontId="277" fillId="0" borderId="113" xfId="46" applyFont="1" applyFill="1" applyBorder="1" applyAlignment="1">
      <alignment horizontal="center" vertical="center" textRotation="90"/>
    </xf>
    <xf numFmtId="0" fontId="14" fillId="3" borderId="77" xfId="46" applyFont="1" applyFill="1" applyBorder="1" applyAlignment="1">
      <alignment horizontal="center" vertical="center" wrapText="1"/>
    </xf>
    <xf numFmtId="0" fontId="14" fillId="3" borderId="75" xfId="46" applyFont="1" applyFill="1" applyBorder="1" applyAlignment="1">
      <alignment horizontal="center" vertical="center" wrapText="1"/>
    </xf>
    <xf numFmtId="0" fontId="18" fillId="0" borderId="77" xfId="46" applyFont="1" applyBorder="1" applyAlignment="1">
      <alignment horizontal="center" vertical="center" wrapText="1"/>
    </xf>
    <xf numFmtId="0" fontId="18" fillId="0" borderId="75" xfId="46" applyFont="1" applyBorder="1" applyAlignment="1">
      <alignment horizontal="center" vertical="center" wrapText="1"/>
    </xf>
    <xf numFmtId="0" fontId="14" fillId="0" borderId="15" xfId="46" applyFont="1" applyFill="1" applyBorder="1" applyAlignment="1">
      <alignment horizontal="center" vertical="center" textRotation="90" wrapText="1"/>
    </xf>
    <xf numFmtId="0" fontId="14" fillId="0" borderId="113" xfId="46" applyFont="1" applyFill="1" applyBorder="1" applyAlignment="1">
      <alignment horizontal="center" vertical="center" textRotation="90"/>
    </xf>
    <xf numFmtId="0" fontId="88" fillId="0" borderId="64" xfId="74" applyFont="1" applyBorder="1" applyAlignment="1">
      <alignment horizontal="center" vertical="center" wrapText="1"/>
    </xf>
    <xf numFmtId="0" fontId="15" fillId="0" borderId="18" xfId="46" applyFont="1" applyBorder="1" applyAlignment="1">
      <alignment horizontal="center" vertical="center" wrapText="1"/>
    </xf>
    <xf numFmtId="0" fontId="15" fillId="0" borderId="17" xfId="46" applyFont="1" applyBorder="1" applyAlignment="1">
      <alignment horizontal="center" vertical="center" wrapText="1"/>
    </xf>
    <xf numFmtId="0" fontId="15" fillId="0" borderId="16" xfId="46" applyFont="1" applyBorder="1" applyAlignment="1">
      <alignment horizontal="center" vertical="center" wrapText="1"/>
    </xf>
    <xf numFmtId="0" fontId="15" fillId="0" borderId="14" xfId="46" applyFont="1" applyBorder="1" applyAlignment="1">
      <alignment horizontal="center" vertical="center" wrapText="1"/>
    </xf>
    <xf numFmtId="0" fontId="277" fillId="3" borderId="77" xfId="46" applyFont="1" applyFill="1" applyBorder="1" applyAlignment="1">
      <alignment horizontal="center" vertical="center" wrapText="1"/>
    </xf>
    <xf numFmtId="0" fontId="277" fillId="3" borderId="75" xfId="46" applyFont="1" applyFill="1" applyBorder="1" applyAlignment="1">
      <alignment horizontal="center" vertical="center" wrapText="1"/>
    </xf>
    <xf numFmtId="0" fontId="15" fillId="0" borderId="6" xfId="46" applyFont="1" applyBorder="1" applyAlignment="1">
      <alignment horizontal="center" vertical="center" wrapText="1"/>
    </xf>
    <xf numFmtId="0" fontId="273" fillId="0" borderId="165" xfId="46" applyFont="1" applyFill="1" applyBorder="1" applyAlignment="1">
      <alignment horizontal="center" vertical="center" wrapText="1"/>
    </xf>
    <xf numFmtId="0" fontId="273" fillId="0" borderId="74" xfId="46" applyFont="1" applyFill="1" applyBorder="1" applyAlignment="1">
      <alignment horizontal="center" vertical="center" wrapText="1"/>
    </xf>
    <xf numFmtId="0" fontId="17" fillId="0" borderId="165" xfId="46" applyFont="1" applyBorder="1" applyAlignment="1">
      <alignment horizontal="center" vertical="center" wrapText="1"/>
    </xf>
    <xf numFmtId="0" fontId="17" fillId="0" borderId="74" xfId="46" applyFont="1" applyBorder="1" applyAlignment="1">
      <alignment horizontal="center" vertical="center" wrapText="1"/>
    </xf>
    <xf numFmtId="0" fontId="16" fillId="6" borderId="165" xfId="0" applyFont="1" applyFill="1" applyBorder="1" applyAlignment="1">
      <alignment horizontal="left" vertical="center" wrapText="1"/>
    </xf>
    <xf numFmtId="0" fontId="273" fillId="0" borderId="165" xfId="46" applyFont="1" applyFill="1" applyBorder="1" applyAlignment="1">
      <alignment horizontal="left" vertical="center" wrapText="1"/>
    </xf>
    <xf numFmtId="0" fontId="273" fillId="0" borderId="74" xfId="46" applyFont="1" applyFill="1" applyBorder="1" applyAlignment="1">
      <alignment horizontal="left" vertical="center" wrapText="1"/>
    </xf>
    <xf numFmtId="0" fontId="62" fillId="0" borderId="6" xfId="46" applyFont="1" applyFill="1" applyBorder="1" applyAlignment="1">
      <alignment horizontal="center" vertical="center" wrapText="1"/>
    </xf>
    <xf numFmtId="0" fontId="17" fillId="0" borderId="163" xfId="46" applyFont="1" applyBorder="1" applyAlignment="1">
      <alignment horizontal="center" vertical="center" wrapText="1"/>
    </xf>
    <xf numFmtId="0" fontId="17" fillId="0" borderId="20" xfId="46" applyFont="1" applyBorder="1" applyAlignment="1">
      <alignment horizontal="center" vertical="center" wrapText="1"/>
    </xf>
    <xf numFmtId="0" fontId="15" fillId="0" borderId="167" xfId="46" applyFont="1" applyBorder="1" applyAlignment="1">
      <alignment horizontal="center" vertical="center" wrapText="1"/>
    </xf>
    <xf numFmtId="168" fontId="16" fillId="8" borderId="168" xfId="0" applyNumberFormat="1" applyFont="1" applyFill="1" applyBorder="1" applyAlignment="1">
      <alignment horizontal="center" vertical="center" wrapText="1"/>
    </xf>
    <xf numFmtId="168" fontId="16" fillId="8" borderId="15" xfId="0" applyNumberFormat="1" applyFont="1" applyFill="1" applyBorder="1" applyAlignment="1">
      <alignment horizontal="center" vertical="center" wrapText="1"/>
    </xf>
    <xf numFmtId="168" fontId="16" fillId="8" borderId="119" xfId="0" applyNumberFormat="1" applyFont="1" applyFill="1" applyBorder="1" applyAlignment="1">
      <alignment horizontal="center" vertical="center" wrapText="1"/>
    </xf>
    <xf numFmtId="0" fontId="7" fillId="0" borderId="170" xfId="0" applyFont="1" applyBorder="1" applyAlignment="1">
      <alignment horizontal="center" vertical="center"/>
    </xf>
    <xf numFmtId="0" fontId="7" fillId="0" borderId="169" xfId="0" applyFont="1" applyBorder="1" applyAlignment="1">
      <alignment horizontal="center" vertical="center"/>
    </xf>
    <xf numFmtId="0" fontId="7" fillId="0" borderId="171" xfId="0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14" fillId="3" borderId="30" xfId="46" applyFont="1" applyFill="1" applyBorder="1" applyAlignment="1">
      <alignment horizontal="center" vertical="center" wrapText="1"/>
    </xf>
    <xf numFmtId="0" fontId="14" fillId="3" borderId="43" xfId="46" applyFont="1" applyFill="1" applyBorder="1" applyAlignment="1">
      <alignment horizontal="center" vertical="center" wrapText="1"/>
    </xf>
    <xf numFmtId="0" fontId="14" fillId="3" borderId="186" xfId="46" applyFont="1" applyFill="1" applyBorder="1" applyAlignment="1">
      <alignment horizontal="center" vertical="center" wrapText="1"/>
    </xf>
    <xf numFmtId="0" fontId="14" fillId="0" borderId="76" xfId="46" applyFont="1" applyFill="1" applyBorder="1" applyAlignment="1">
      <alignment horizontal="center" vertical="center"/>
    </xf>
    <xf numFmtId="0" fontId="14" fillId="0" borderId="165" xfId="46" applyFont="1" applyFill="1" applyBorder="1" applyAlignment="1">
      <alignment horizontal="center" vertical="center"/>
    </xf>
    <xf numFmtId="0" fontId="14" fillId="0" borderId="148" xfId="46" applyFont="1" applyFill="1" applyBorder="1" applyAlignment="1">
      <alignment horizontal="center" vertical="center" wrapText="1"/>
    </xf>
    <xf numFmtId="0" fontId="14" fillId="0" borderId="211" xfId="46" applyFont="1" applyFill="1" applyBorder="1" applyAlignment="1">
      <alignment horizontal="center" vertical="center" wrapText="1"/>
    </xf>
    <xf numFmtId="0" fontId="259" fillId="6" borderId="76" xfId="74" applyFont="1" applyFill="1" applyBorder="1" applyAlignment="1">
      <alignment horizontal="center" vertical="center"/>
    </xf>
    <xf numFmtId="0" fontId="42" fillId="0" borderId="0" xfId="46" applyAlignment="1">
      <alignment horizontal="center"/>
    </xf>
    <xf numFmtId="0" fontId="139" fillId="0" borderId="0" xfId="46" applyFont="1" applyAlignment="1">
      <alignment horizontal="center"/>
    </xf>
    <xf numFmtId="0" fontId="139" fillId="0" borderId="1" xfId="46" applyFont="1" applyBorder="1" applyAlignment="1">
      <alignment horizontal="center"/>
    </xf>
    <xf numFmtId="0" fontId="14" fillId="0" borderId="77" xfId="0" applyFont="1" applyFill="1" applyBorder="1" applyAlignment="1">
      <alignment horizontal="left" vertical="center"/>
    </xf>
    <xf numFmtId="0" fontId="14" fillId="0" borderId="74" xfId="0" applyFont="1" applyFill="1" applyBorder="1" applyAlignment="1">
      <alignment horizontal="left" vertical="center"/>
    </xf>
    <xf numFmtId="0" fontId="14" fillId="0" borderId="75" xfId="0" applyFont="1" applyFill="1" applyBorder="1" applyAlignment="1">
      <alignment horizontal="left" vertical="center"/>
    </xf>
    <xf numFmtId="168" fontId="14" fillId="0" borderId="76" xfId="0" applyNumberFormat="1" applyFont="1" applyFill="1" applyBorder="1" applyAlignment="1">
      <alignment horizontal="left" vertical="center" wrapText="1"/>
    </xf>
    <xf numFmtId="168" fontId="17" fillId="0" borderId="77" xfId="0" applyNumberFormat="1" applyFont="1" applyFill="1" applyBorder="1" applyAlignment="1">
      <alignment horizontal="left" vertical="center" wrapText="1"/>
    </xf>
    <xf numFmtId="168" fontId="17" fillId="0" borderId="75" xfId="0" applyNumberFormat="1" applyFont="1" applyFill="1" applyBorder="1" applyAlignment="1">
      <alignment horizontal="left" vertical="center" wrapText="1"/>
    </xf>
    <xf numFmtId="0" fontId="14" fillId="0" borderId="2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168" fontId="16" fillId="0" borderId="165" xfId="0" applyNumberFormat="1" applyFont="1" applyFill="1" applyBorder="1" applyAlignment="1">
      <alignment horizontal="center" vertical="center" wrapText="1"/>
    </xf>
    <xf numFmtId="168" fontId="16" fillId="0" borderId="169" xfId="0" applyNumberFormat="1" applyFont="1" applyFill="1" applyBorder="1" applyAlignment="1">
      <alignment horizontal="center" vertical="center" wrapText="1"/>
    </xf>
    <xf numFmtId="168" fontId="16" fillId="0" borderId="166" xfId="0" applyNumberFormat="1" applyFont="1" applyFill="1" applyBorder="1" applyAlignment="1">
      <alignment horizontal="center" vertical="center" wrapText="1"/>
    </xf>
    <xf numFmtId="0" fontId="63" fillId="0" borderId="168" xfId="76" applyFont="1" applyBorder="1" applyAlignment="1">
      <alignment horizontal="center" vertical="center"/>
    </xf>
    <xf numFmtId="41" fontId="60" fillId="6" borderId="64" xfId="69" applyNumberFormat="1" applyFont="1" applyFill="1" applyBorder="1" applyAlignment="1">
      <alignment horizontal="center" vertical="center" wrapText="1"/>
    </xf>
    <xf numFmtId="0" fontId="7" fillId="0" borderId="65" xfId="74" applyFont="1" applyFill="1" applyBorder="1" applyAlignment="1">
      <alignment horizontal="center" vertical="center"/>
    </xf>
    <xf numFmtId="0" fontId="7" fillId="0" borderId="74" xfId="74" applyFont="1" applyFill="1" applyBorder="1" applyAlignment="1">
      <alignment horizontal="center" vertical="center"/>
    </xf>
    <xf numFmtId="0" fontId="7" fillId="0" borderId="66" xfId="74" applyFont="1" applyFill="1" applyBorder="1" applyAlignment="1">
      <alignment horizontal="center" vertical="center"/>
    </xf>
    <xf numFmtId="0" fontId="7" fillId="0" borderId="67" xfId="74" applyFont="1" applyFill="1" applyBorder="1" applyAlignment="1">
      <alignment horizontal="center" vertical="center"/>
    </xf>
    <xf numFmtId="0" fontId="7" fillId="0" borderId="77" xfId="74" applyFont="1" applyFill="1" applyBorder="1" applyAlignment="1">
      <alignment horizontal="center" vertical="center"/>
    </xf>
    <xf numFmtId="0" fontId="7" fillId="0" borderId="75" xfId="74" applyFont="1" applyFill="1" applyBorder="1" applyAlignment="1">
      <alignment horizontal="center" vertical="center"/>
    </xf>
    <xf numFmtId="41" fontId="60" fillId="0" borderId="64" xfId="69" applyNumberFormat="1" applyFont="1" applyFill="1" applyBorder="1" applyAlignment="1">
      <alignment horizontal="center" vertical="center" wrapText="1"/>
    </xf>
    <xf numFmtId="0" fontId="30" fillId="0" borderId="18" xfId="74" applyFont="1" applyFill="1" applyBorder="1" applyAlignment="1">
      <alignment horizontal="center" vertical="center" wrapText="1"/>
    </xf>
    <xf numFmtId="0" fontId="30" fillId="0" borderId="17" xfId="74" applyFont="1" applyFill="1" applyBorder="1" applyAlignment="1">
      <alignment horizontal="center" vertical="center" wrapText="1"/>
    </xf>
    <xf numFmtId="0" fontId="30" fillId="0" borderId="19" xfId="74" applyFont="1" applyFill="1" applyBorder="1" applyAlignment="1">
      <alignment horizontal="center" vertical="center" wrapText="1"/>
    </xf>
    <xf numFmtId="0" fontId="30" fillId="0" borderId="1" xfId="74" applyFont="1" applyFill="1" applyBorder="1" applyAlignment="1">
      <alignment horizontal="center" vertical="center" wrapText="1"/>
    </xf>
    <xf numFmtId="0" fontId="30" fillId="0" borderId="16" xfId="74" applyFont="1" applyFill="1" applyBorder="1" applyAlignment="1">
      <alignment horizontal="center" vertical="center" wrapText="1"/>
    </xf>
    <xf numFmtId="0" fontId="30" fillId="0" borderId="14" xfId="74" applyFont="1" applyFill="1" applyBorder="1" applyAlignment="1">
      <alignment horizontal="center" vertical="center" wrapText="1"/>
    </xf>
    <xf numFmtId="0" fontId="7" fillId="0" borderId="12" xfId="74" applyFont="1" applyFill="1" applyBorder="1" applyAlignment="1">
      <alignment horizontal="center" vertical="center"/>
    </xf>
    <xf numFmtId="0" fontId="7" fillId="0" borderId="119" xfId="74" applyFont="1" applyFill="1" applyBorder="1" applyAlignment="1">
      <alignment horizontal="center" vertical="center"/>
    </xf>
    <xf numFmtId="0" fontId="14" fillId="0" borderId="12" xfId="72" applyFont="1" applyFill="1" applyBorder="1" applyAlignment="1" applyProtection="1">
      <alignment horizontal="center" vertical="center" wrapText="1"/>
      <protection hidden="1"/>
    </xf>
    <xf numFmtId="0" fontId="14" fillId="0" borderId="15" xfId="72" applyFont="1" applyFill="1" applyBorder="1" applyAlignment="1" applyProtection="1">
      <alignment horizontal="center" vertical="center" wrapText="1"/>
      <protection hidden="1"/>
    </xf>
    <xf numFmtId="0" fontId="14" fillId="0" borderId="214" xfId="72" applyFont="1" applyFill="1" applyBorder="1" applyAlignment="1" applyProtection="1">
      <alignment horizontal="center" vertical="center" wrapText="1"/>
      <protection hidden="1"/>
    </xf>
    <xf numFmtId="0" fontId="14" fillId="0" borderId="213" xfId="72" applyFont="1" applyFill="1" applyBorder="1" applyAlignment="1" applyProtection="1">
      <alignment horizontal="center" vertical="center" wrapText="1"/>
      <protection hidden="1"/>
    </xf>
    <xf numFmtId="0" fontId="14" fillId="0" borderId="16" xfId="72" applyFont="1" applyFill="1" applyBorder="1" applyAlignment="1" applyProtection="1">
      <alignment horizontal="center" vertical="center" wrapText="1"/>
      <protection hidden="1"/>
    </xf>
    <xf numFmtId="41" fontId="60" fillId="0" borderId="76" xfId="69" applyNumberFormat="1" applyFont="1" applyFill="1" applyBorder="1" applyAlignment="1">
      <alignment horizontal="center" vertical="center" wrapText="1"/>
    </xf>
    <xf numFmtId="0" fontId="7" fillId="0" borderId="12" xfId="74" applyFont="1" applyFill="1" applyBorder="1" applyAlignment="1">
      <alignment horizontal="center" vertical="center" wrapText="1"/>
    </xf>
    <xf numFmtId="0" fontId="7" fillId="0" borderId="119" xfId="74" applyFont="1" applyFill="1" applyBorder="1" applyAlignment="1">
      <alignment horizontal="center" vertical="center" wrapText="1"/>
    </xf>
    <xf numFmtId="0" fontId="14" fillId="0" borderId="18" xfId="72" applyFont="1" applyFill="1" applyBorder="1" applyAlignment="1" applyProtection="1">
      <alignment horizontal="center" vertical="center" wrapText="1"/>
      <protection hidden="1"/>
    </xf>
    <xf numFmtId="0" fontId="14" fillId="0" borderId="19" xfId="72" applyFont="1" applyFill="1" applyBorder="1" applyAlignment="1" applyProtection="1">
      <alignment horizontal="center" vertical="center" wrapText="1"/>
      <protection hidden="1"/>
    </xf>
    <xf numFmtId="0" fontId="55" fillId="0" borderId="0" xfId="46" applyFont="1" applyBorder="1" applyAlignment="1">
      <alignment horizontal="center" vertical="center" wrapText="1"/>
    </xf>
    <xf numFmtId="0" fontId="67" fillId="6" borderId="8" xfId="74" applyFont="1" applyFill="1" applyBorder="1" applyAlignment="1">
      <alignment horizontal="left" vertical="center" wrapText="1" indent="1"/>
    </xf>
    <xf numFmtId="0" fontId="67" fillId="6" borderId="7" xfId="74" applyFont="1" applyFill="1" applyBorder="1" applyAlignment="1">
      <alignment horizontal="left" vertical="center" wrapText="1" indent="1"/>
    </xf>
    <xf numFmtId="0" fontId="67" fillId="6" borderId="6" xfId="74" applyFont="1" applyFill="1" applyBorder="1" applyAlignment="1">
      <alignment horizontal="center" vertical="center" wrapText="1"/>
    </xf>
    <xf numFmtId="0" fontId="67" fillId="3" borderId="8" xfId="74" applyFont="1" applyFill="1" applyBorder="1" applyAlignment="1">
      <alignment horizontal="left" vertical="center" wrapText="1" indent="1"/>
    </xf>
    <xf numFmtId="0" fontId="67" fillId="3" borderId="7" xfId="74" applyFont="1" applyFill="1" applyBorder="1" applyAlignment="1">
      <alignment horizontal="left" vertical="center" wrapText="1" indent="1"/>
    </xf>
    <xf numFmtId="0" fontId="67" fillId="3" borderId="6" xfId="74" applyFont="1" applyFill="1" applyBorder="1" applyAlignment="1">
      <alignment horizontal="center" vertical="center" wrapText="1"/>
    </xf>
    <xf numFmtId="0" fontId="7" fillId="6" borderId="65" xfId="74" applyFont="1" applyFill="1" applyBorder="1" applyAlignment="1">
      <alignment horizontal="center" vertical="center"/>
    </xf>
    <xf numFmtId="0" fontId="7" fillId="6" borderId="66" xfId="74" applyFont="1" applyFill="1" applyBorder="1" applyAlignment="1">
      <alignment horizontal="center" vertical="center"/>
    </xf>
    <xf numFmtId="0" fontId="7" fillId="6" borderId="67" xfId="74" applyFont="1" applyFill="1" applyBorder="1" applyAlignment="1">
      <alignment horizontal="center" vertical="center"/>
    </xf>
    <xf numFmtId="0" fontId="8" fillId="6" borderId="64" xfId="0" applyFont="1" applyFill="1" applyBorder="1" applyAlignment="1">
      <alignment horizontal="center" vertical="center"/>
    </xf>
    <xf numFmtId="0" fontId="44" fillId="0" borderId="0" xfId="6" applyFont="1" applyFill="1" applyBorder="1" applyAlignment="1">
      <alignment horizontal="left" vertical="center" wrapText="1"/>
    </xf>
    <xf numFmtId="0" fontId="67" fillId="0" borderId="8" xfId="74" applyFont="1" applyFill="1" applyBorder="1" applyAlignment="1">
      <alignment horizontal="left" vertical="center" wrapText="1" indent="1"/>
    </xf>
    <xf numFmtId="0" fontId="67" fillId="0" borderId="7" xfId="74" applyFont="1" applyFill="1" applyBorder="1" applyAlignment="1">
      <alignment horizontal="left" vertical="center" wrapText="1" indent="1"/>
    </xf>
    <xf numFmtId="0" fontId="67" fillId="0" borderId="6" xfId="74" applyFont="1" applyFill="1" applyBorder="1" applyAlignment="1">
      <alignment horizontal="center" vertical="center" wrapText="1"/>
    </xf>
    <xf numFmtId="0" fontId="67" fillId="0" borderId="77" xfId="74" applyFont="1" applyFill="1" applyBorder="1" applyAlignment="1">
      <alignment horizontal="left" vertical="center" wrapText="1" indent="2"/>
    </xf>
    <xf numFmtId="0" fontId="67" fillId="0" borderId="74" xfId="74" applyFont="1" applyFill="1" applyBorder="1" applyAlignment="1">
      <alignment horizontal="left" vertical="center" wrapText="1" indent="2"/>
    </xf>
    <xf numFmtId="0" fontId="67" fillId="0" borderId="75" xfId="74" applyFont="1" applyFill="1" applyBorder="1" applyAlignment="1">
      <alignment horizontal="left" vertical="center" wrapText="1" indent="2"/>
    </xf>
    <xf numFmtId="0" fontId="67" fillId="0" borderId="8" xfId="74" applyFont="1" applyFill="1" applyBorder="1" applyAlignment="1">
      <alignment horizontal="left" vertical="center" wrapText="1" indent="3"/>
    </xf>
    <xf numFmtId="0" fontId="67" fillId="0" borderId="7" xfId="74" applyFont="1" applyFill="1" applyBorder="1" applyAlignment="1">
      <alignment horizontal="left" vertical="center" wrapText="1" indent="3"/>
    </xf>
    <xf numFmtId="0" fontId="8" fillId="6" borderId="77" xfId="0" applyFont="1" applyFill="1" applyBorder="1" applyAlignment="1">
      <alignment horizontal="center" vertical="center"/>
    </xf>
    <xf numFmtId="0" fontId="8" fillId="6" borderId="74" xfId="0" applyFont="1" applyFill="1" applyBorder="1" applyAlignment="1">
      <alignment horizontal="center" vertical="center"/>
    </xf>
    <xf numFmtId="0" fontId="8" fillId="6" borderId="75" xfId="0" applyFont="1" applyFill="1" applyBorder="1" applyAlignment="1">
      <alignment horizontal="center" vertical="center"/>
    </xf>
    <xf numFmtId="0" fontId="7" fillId="6" borderId="77" xfId="74" applyFont="1" applyFill="1" applyBorder="1" applyAlignment="1">
      <alignment horizontal="center" vertical="center"/>
    </xf>
    <xf numFmtId="0" fontId="7" fillId="6" borderId="74" xfId="74" applyFont="1" applyFill="1" applyBorder="1" applyAlignment="1">
      <alignment horizontal="center" vertical="center"/>
    </xf>
    <xf numFmtId="0" fontId="7" fillId="6" borderId="75" xfId="74" applyFont="1" applyFill="1" applyBorder="1" applyAlignment="1">
      <alignment horizontal="center" vertical="center"/>
    </xf>
    <xf numFmtId="0" fontId="20" fillId="0" borderId="77" xfId="74" applyFont="1" applyFill="1" applyBorder="1" applyAlignment="1">
      <alignment horizontal="center" vertical="center" wrapText="1"/>
    </xf>
    <xf numFmtId="0" fontId="20" fillId="0" borderId="74" xfId="74" applyFont="1" applyFill="1" applyBorder="1" applyAlignment="1">
      <alignment horizontal="center" vertical="center" wrapText="1"/>
    </xf>
    <xf numFmtId="0" fontId="20" fillId="0" borderId="75" xfId="74" applyFont="1" applyFill="1" applyBorder="1" applyAlignment="1">
      <alignment horizontal="center" vertical="center" wrapText="1"/>
    </xf>
    <xf numFmtId="9" fontId="20" fillId="0" borderId="77" xfId="74" applyNumberFormat="1" applyFont="1" applyFill="1" applyBorder="1" applyAlignment="1">
      <alignment horizontal="center" vertical="center" wrapText="1"/>
    </xf>
    <xf numFmtId="9" fontId="67" fillId="0" borderId="77" xfId="74" applyNumberFormat="1" applyFont="1" applyFill="1" applyBorder="1" applyAlignment="1">
      <alignment horizontal="center" vertical="center" wrapText="1"/>
    </xf>
    <xf numFmtId="0" fontId="67" fillId="0" borderId="74" xfId="74" applyFont="1" applyFill="1" applyBorder="1" applyAlignment="1">
      <alignment horizontal="center" vertical="center" wrapText="1"/>
    </xf>
    <xf numFmtId="0" fontId="67" fillId="0" borderId="75" xfId="74" applyFont="1" applyFill="1" applyBorder="1" applyAlignment="1">
      <alignment horizontal="center" vertical="center" wrapText="1"/>
    </xf>
    <xf numFmtId="0" fontId="20" fillId="6" borderId="77" xfId="74" applyFont="1" applyFill="1" applyBorder="1" applyAlignment="1">
      <alignment horizontal="center" vertical="center" wrapText="1"/>
    </xf>
    <xf numFmtId="0" fontId="20" fillId="6" borderId="74" xfId="74" applyFont="1" applyFill="1" applyBorder="1" applyAlignment="1">
      <alignment horizontal="center" vertical="center" wrapText="1"/>
    </xf>
    <xf numFmtId="0" fontId="20" fillId="6" borderId="75" xfId="74" applyFont="1" applyFill="1" applyBorder="1" applyAlignment="1">
      <alignment horizontal="center" vertical="center" wrapText="1"/>
    </xf>
    <xf numFmtId="9" fontId="20" fillId="6" borderId="77" xfId="74" applyNumberFormat="1" applyFont="1" applyFill="1" applyBorder="1" applyAlignment="1">
      <alignment horizontal="center" vertical="center" wrapText="1"/>
    </xf>
    <xf numFmtId="0" fontId="67" fillId="3" borderId="18" xfId="74" applyFont="1" applyFill="1" applyBorder="1" applyAlignment="1">
      <alignment horizontal="left" vertical="center" wrapText="1" indent="2"/>
    </xf>
    <xf numFmtId="0" fontId="67" fillId="3" borderId="17" xfId="74" applyFont="1" applyFill="1" applyBorder="1" applyAlignment="1">
      <alignment horizontal="left" vertical="center" wrapText="1" indent="2"/>
    </xf>
    <xf numFmtId="0" fontId="67" fillId="3" borderId="16" xfId="74" applyFont="1" applyFill="1" applyBorder="1" applyAlignment="1">
      <alignment horizontal="left" vertical="center" wrapText="1" indent="2"/>
    </xf>
    <xf numFmtId="0" fontId="67" fillId="3" borderId="14" xfId="74" applyFont="1" applyFill="1" applyBorder="1" applyAlignment="1">
      <alignment horizontal="left" vertical="center" wrapText="1" indent="2"/>
    </xf>
    <xf numFmtId="0" fontId="67" fillId="0" borderId="77" xfId="74" applyFont="1" applyFill="1" applyBorder="1" applyAlignment="1">
      <alignment horizontal="center" vertical="center" wrapText="1"/>
    </xf>
    <xf numFmtId="0" fontId="67" fillId="6" borderId="77" xfId="74" applyFont="1" applyFill="1" applyBorder="1" applyAlignment="1">
      <alignment horizontal="center" vertical="center" wrapText="1"/>
    </xf>
    <xf numFmtId="0" fontId="67" fillId="6" borderId="74" xfId="74" applyFont="1" applyFill="1" applyBorder="1" applyAlignment="1">
      <alignment horizontal="center" vertical="center" wrapText="1"/>
    </xf>
    <xf numFmtId="0" fontId="67" fillId="6" borderId="75" xfId="74" applyFont="1" applyFill="1" applyBorder="1" applyAlignment="1">
      <alignment horizontal="center" vertical="center" wrapText="1"/>
    </xf>
    <xf numFmtId="0" fontId="67" fillId="6" borderId="8" xfId="74" applyFont="1" applyFill="1" applyBorder="1" applyAlignment="1">
      <alignment horizontal="left" vertical="center" wrapText="1" indent="3"/>
    </xf>
    <xf numFmtId="0" fontId="67" fillId="6" borderId="7" xfId="74" applyFont="1" applyFill="1" applyBorder="1" applyAlignment="1">
      <alignment horizontal="left" vertical="center" wrapText="1" indent="3"/>
    </xf>
    <xf numFmtId="0" fontId="67" fillId="6" borderId="77" xfId="74" applyFont="1" applyFill="1" applyBorder="1" applyAlignment="1">
      <alignment horizontal="left" vertical="center" wrapText="1" indent="2"/>
    </xf>
    <xf numFmtId="0" fontId="67" fillId="6" borderId="74" xfId="74" applyFont="1" applyFill="1" applyBorder="1" applyAlignment="1">
      <alignment horizontal="left" vertical="center" wrapText="1" indent="2"/>
    </xf>
    <xf numFmtId="0" fontId="67" fillId="6" borderId="75" xfId="74" applyFont="1" applyFill="1" applyBorder="1" applyAlignment="1">
      <alignment horizontal="left" vertical="center" wrapText="1" indent="2"/>
    </xf>
    <xf numFmtId="0" fontId="67" fillId="0" borderId="18" xfId="74" applyFont="1" applyFill="1" applyBorder="1" applyAlignment="1">
      <alignment horizontal="left" vertical="center" wrapText="1" indent="2"/>
    </xf>
    <xf numFmtId="0" fontId="67" fillId="0" borderId="17" xfId="74" applyFont="1" applyFill="1" applyBorder="1" applyAlignment="1">
      <alignment horizontal="left" vertical="center" wrapText="1" indent="2"/>
    </xf>
    <xf numFmtId="0" fontId="67" fillId="0" borderId="19" xfId="74" applyFont="1" applyFill="1" applyBorder="1" applyAlignment="1">
      <alignment horizontal="left" vertical="center" wrapText="1" indent="2"/>
    </xf>
    <xf numFmtId="0" fontId="67" fillId="0" borderId="1" xfId="74" applyFont="1" applyFill="1" applyBorder="1" applyAlignment="1">
      <alignment horizontal="left" vertical="center" wrapText="1" indent="2"/>
    </xf>
    <xf numFmtId="0" fontId="67" fillId="0" borderId="16" xfId="74" applyFont="1" applyFill="1" applyBorder="1" applyAlignment="1">
      <alignment horizontal="left" vertical="center" wrapText="1" indent="2"/>
    </xf>
    <xf numFmtId="0" fontId="67" fillId="0" borderId="14" xfId="74" applyFont="1" applyFill="1" applyBorder="1" applyAlignment="1">
      <alignment horizontal="left" vertical="center" wrapText="1" indent="2"/>
    </xf>
    <xf numFmtId="0" fontId="67" fillId="6" borderId="19" xfId="74" applyFont="1" applyFill="1" applyBorder="1" applyAlignment="1">
      <alignment horizontal="left" vertical="center" wrapText="1"/>
    </xf>
    <xf numFmtId="0" fontId="67" fillId="6" borderId="1" xfId="74" applyFont="1" applyFill="1" applyBorder="1" applyAlignment="1">
      <alignment horizontal="left" vertical="center" wrapText="1"/>
    </xf>
    <xf numFmtId="0" fontId="67" fillId="6" borderId="16" xfId="74" applyFont="1" applyFill="1" applyBorder="1" applyAlignment="1">
      <alignment horizontal="left" vertical="center" wrapText="1"/>
    </xf>
    <xf numFmtId="0" fontId="67" fillId="6" borderId="14" xfId="74" applyFont="1" applyFill="1" applyBorder="1" applyAlignment="1">
      <alignment horizontal="left" vertical="center" wrapText="1"/>
    </xf>
    <xf numFmtId="0" fontId="0" fillId="0" borderId="0" xfId="0" applyBorder="1" applyAlignment="1">
      <alignment horizontal="center" vertical="center"/>
    </xf>
    <xf numFmtId="0" fontId="44" fillId="0" borderId="0" xfId="46" applyFont="1" applyAlignment="1">
      <alignment horizontal="left"/>
    </xf>
    <xf numFmtId="3" fontId="11" fillId="6" borderId="6" xfId="0" applyNumberFormat="1" applyFont="1" applyFill="1" applyBorder="1" applyAlignment="1">
      <alignment horizontal="left" vertical="center" indent="1"/>
    </xf>
    <xf numFmtId="0" fontId="11" fillId="6" borderId="6" xfId="0" applyFont="1" applyFill="1" applyBorder="1" applyAlignment="1">
      <alignment horizontal="left" vertical="center" indent="1"/>
    </xf>
    <xf numFmtId="0" fontId="11" fillId="0" borderId="6" xfId="0" applyFont="1" applyFill="1" applyBorder="1" applyAlignment="1">
      <alignment horizontal="left" vertical="center" wrapText="1" indent="1"/>
    </xf>
    <xf numFmtId="0" fontId="0" fillId="0" borderId="6" xfId="0" applyFont="1" applyFill="1" applyBorder="1" applyAlignment="1">
      <alignment horizontal="left" vertical="center" wrapText="1" indent="1"/>
    </xf>
    <xf numFmtId="0" fontId="11" fillId="0" borderId="6" xfId="0" applyFont="1" applyFill="1" applyBorder="1" applyAlignment="1">
      <alignment horizontal="left" vertical="center" indent="1"/>
    </xf>
    <xf numFmtId="0" fontId="0" fillId="6" borderId="6" xfId="0" applyFont="1" applyFill="1" applyBorder="1" applyAlignment="1">
      <alignment horizontal="left" vertical="center" wrapText="1" indent="1"/>
    </xf>
    <xf numFmtId="0" fontId="44" fillId="0" borderId="0" xfId="46" applyFont="1" applyAlignment="1">
      <alignment horizontal="left" wrapText="1"/>
    </xf>
    <xf numFmtId="0" fontId="60" fillId="3" borderId="41" xfId="46" applyFont="1" applyFill="1" applyBorder="1" applyAlignment="1">
      <alignment horizontal="center" vertical="center" wrapText="1"/>
    </xf>
    <xf numFmtId="0" fontId="60" fillId="3" borderId="44" xfId="46" applyFont="1" applyFill="1" applyBorder="1" applyAlignment="1">
      <alignment horizontal="center" vertical="center" wrapText="1"/>
    </xf>
    <xf numFmtId="0" fontId="60" fillId="3" borderId="42" xfId="46" applyFont="1" applyFill="1" applyBorder="1" applyAlignment="1">
      <alignment horizontal="center" vertical="center" wrapText="1"/>
    </xf>
    <xf numFmtId="0" fontId="160" fillId="0" borderId="8" xfId="46" applyFont="1" applyBorder="1" applyAlignment="1">
      <alignment horizontal="center" vertical="center" wrapText="1"/>
    </xf>
    <xf numFmtId="0" fontId="160" fillId="0" borderId="7" xfId="46" applyFont="1" applyBorder="1" applyAlignment="1">
      <alignment horizontal="center" vertical="center" wrapText="1"/>
    </xf>
    <xf numFmtId="0" fontId="60" fillId="6" borderId="144" xfId="46" applyFont="1" applyFill="1" applyBorder="1" applyAlignment="1">
      <alignment horizontal="center" vertical="center" wrapText="1"/>
    </xf>
    <xf numFmtId="0" fontId="60" fillId="6" borderId="170" xfId="46" applyFont="1" applyFill="1" applyBorder="1" applyAlignment="1">
      <alignment horizontal="center" vertical="center" wrapText="1"/>
    </xf>
    <xf numFmtId="0" fontId="60" fillId="6" borderId="183" xfId="46" applyFont="1" applyFill="1" applyBorder="1" applyAlignment="1">
      <alignment horizontal="center" vertical="center" wrapText="1"/>
    </xf>
    <xf numFmtId="0" fontId="60" fillId="6" borderId="172" xfId="46" applyFont="1" applyFill="1" applyBorder="1" applyAlignment="1">
      <alignment horizontal="center" vertical="center" wrapText="1"/>
    </xf>
    <xf numFmtId="0" fontId="60" fillId="0" borderId="6" xfId="46" applyFont="1" applyBorder="1" applyAlignment="1">
      <alignment horizontal="center" vertical="center"/>
    </xf>
    <xf numFmtId="0" fontId="60" fillId="6" borderId="30" xfId="46" applyFont="1" applyFill="1" applyBorder="1" applyAlignment="1">
      <alignment horizontal="center" vertical="center" wrapText="1"/>
    </xf>
    <xf numFmtId="0" fontId="67" fillId="0" borderId="6" xfId="46" applyFont="1" applyBorder="1" applyAlignment="1">
      <alignment horizontal="center" vertical="center" wrapText="1"/>
    </xf>
    <xf numFmtId="0" fontId="67" fillId="0" borderId="12" xfId="46" applyFont="1" applyBorder="1" applyAlignment="1">
      <alignment horizontal="center" vertical="center" wrapText="1"/>
    </xf>
    <xf numFmtId="0" fontId="159" fillId="0" borderId="6" xfId="46" applyFont="1" applyBorder="1" applyAlignment="1">
      <alignment horizontal="center" vertical="center" wrapText="1"/>
    </xf>
    <xf numFmtId="0" fontId="159" fillId="0" borderId="12" xfId="46" applyFont="1" applyBorder="1" applyAlignment="1">
      <alignment horizontal="center" vertical="center" wrapText="1"/>
    </xf>
    <xf numFmtId="0" fontId="160" fillId="0" borderId="6" xfId="46" applyFont="1" applyBorder="1" applyAlignment="1">
      <alignment horizontal="center" vertical="center" wrapText="1"/>
    </xf>
    <xf numFmtId="0" fontId="160" fillId="0" borderId="12" xfId="46" applyFont="1" applyBorder="1" applyAlignment="1">
      <alignment horizontal="center" vertical="center" wrapText="1"/>
    </xf>
    <xf numFmtId="9" fontId="20" fillId="0" borderId="169" xfId="74" applyNumberFormat="1" applyFont="1" applyFill="1" applyBorder="1" applyAlignment="1">
      <alignment horizontal="center" vertical="center" wrapText="1"/>
    </xf>
    <xf numFmtId="9" fontId="20" fillId="0" borderId="166" xfId="74" applyNumberFormat="1" applyFont="1" applyFill="1" applyBorder="1" applyAlignment="1">
      <alignment horizontal="center" vertical="center" wrapText="1"/>
    </xf>
    <xf numFmtId="9" fontId="20" fillId="6" borderId="169" xfId="74" applyNumberFormat="1" applyFont="1" applyFill="1" applyBorder="1" applyAlignment="1">
      <alignment horizontal="center" vertical="center" wrapText="1"/>
    </xf>
    <xf numFmtId="9" fontId="20" fillId="6" borderId="166" xfId="74" applyNumberFormat="1" applyFont="1" applyFill="1" applyBorder="1" applyAlignment="1">
      <alignment horizontal="center" vertical="center" wrapText="1"/>
    </xf>
    <xf numFmtId="9" fontId="67" fillId="0" borderId="165" xfId="74" applyNumberFormat="1" applyFont="1" applyFill="1" applyBorder="1" applyAlignment="1">
      <alignment horizontal="left" vertical="center" wrapText="1"/>
    </xf>
    <xf numFmtId="9" fontId="67" fillId="0" borderId="169" xfId="74" applyNumberFormat="1" applyFont="1" applyFill="1" applyBorder="1" applyAlignment="1">
      <alignment horizontal="left" vertical="center" wrapText="1"/>
    </xf>
    <xf numFmtId="9" fontId="67" fillId="0" borderId="166" xfId="74" applyNumberFormat="1" applyFont="1" applyFill="1" applyBorder="1" applyAlignment="1">
      <alignment horizontal="left" vertical="center" wrapText="1"/>
    </xf>
    <xf numFmtId="9" fontId="67" fillId="6" borderId="165" xfId="74" applyNumberFormat="1" applyFont="1" applyFill="1" applyBorder="1" applyAlignment="1">
      <alignment horizontal="left" vertical="center" wrapText="1"/>
    </xf>
    <xf numFmtId="9" fontId="67" fillId="6" borderId="169" xfId="74" applyNumberFormat="1" applyFont="1" applyFill="1" applyBorder="1" applyAlignment="1">
      <alignment horizontal="left" vertical="center" wrapText="1"/>
    </xf>
    <xf numFmtId="9" fontId="67" fillId="6" borderId="166" xfId="74" applyNumberFormat="1" applyFont="1" applyFill="1" applyBorder="1" applyAlignment="1">
      <alignment horizontal="left" vertical="center" wrapText="1"/>
    </xf>
    <xf numFmtId="0" fontId="0" fillId="0" borderId="44" xfId="0" applyFont="1" applyFill="1" applyBorder="1" applyAlignment="1">
      <alignment horizontal="left" vertical="center" wrapText="1"/>
    </xf>
    <xf numFmtId="0" fontId="0" fillId="0" borderId="42" xfId="0" applyFont="1" applyFill="1" applyBorder="1" applyAlignment="1">
      <alignment horizontal="left" vertical="center" wrapText="1"/>
    </xf>
    <xf numFmtId="0" fontId="0" fillId="6" borderId="41" xfId="0" applyFont="1" applyFill="1" applyBorder="1" applyAlignment="1">
      <alignment horizontal="left" vertical="center" wrapText="1"/>
    </xf>
    <xf numFmtId="0" fontId="0" fillId="6" borderId="42" xfId="0" applyFont="1" applyFill="1" applyBorder="1" applyAlignment="1">
      <alignment horizontal="left" vertical="center" wrapText="1"/>
    </xf>
    <xf numFmtId="0" fontId="44" fillId="0" borderId="163" xfId="46" applyFont="1" applyBorder="1" applyAlignment="1">
      <alignment horizontal="center" vertical="center"/>
    </xf>
    <xf numFmtId="0" fontId="44" fillId="0" borderId="20" xfId="46" applyFont="1" applyBorder="1" applyAlignment="1">
      <alignment horizontal="center" vertical="center"/>
    </xf>
    <xf numFmtId="0" fontId="44" fillId="0" borderId="164" xfId="46" applyFont="1" applyBorder="1" applyAlignment="1">
      <alignment horizontal="center" vertical="center"/>
    </xf>
    <xf numFmtId="0" fontId="11" fillId="6" borderId="43" xfId="0" applyFont="1" applyFill="1" applyBorder="1" applyAlignment="1">
      <alignment horizontal="left" vertical="center"/>
    </xf>
    <xf numFmtId="0" fontId="11" fillId="0" borderId="167" xfId="0" applyFont="1" applyFill="1" applyBorder="1" applyAlignment="1">
      <alignment horizontal="left" vertical="center" wrapText="1"/>
    </xf>
    <xf numFmtId="0" fontId="11" fillId="0" borderId="16" xfId="0" applyFont="1" applyFill="1" applyBorder="1" applyAlignment="1">
      <alignment horizontal="left" vertical="center"/>
    </xf>
    <xf numFmtId="0" fontId="11" fillId="0" borderId="2" xfId="0" applyFont="1" applyFill="1" applyBorder="1" applyAlignment="1">
      <alignment horizontal="left" vertical="center"/>
    </xf>
    <xf numFmtId="0" fontId="11" fillId="0" borderId="14" xfId="0" applyFont="1" applyFill="1" applyBorder="1" applyAlignment="1">
      <alignment horizontal="left" vertical="center"/>
    </xf>
    <xf numFmtId="3" fontId="11" fillId="6" borderId="165" xfId="0" applyNumberFormat="1" applyFont="1" applyFill="1" applyBorder="1" applyAlignment="1">
      <alignment horizontal="left" vertical="center"/>
    </xf>
    <xf numFmtId="3" fontId="11" fillId="6" borderId="169" xfId="0" applyNumberFormat="1" applyFont="1" applyFill="1" applyBorder="1" applyAlignment="1">
      <alignment horizontal="left" vertical="center"/>
    </xf>
    <xf numFmtId="3" fontId="11" fillId="6" borderId="166" xfId="0" applyNumberFormat="1" applyFont="1" applyFill="1" applyBorder="1" applyAlignment="1">
      <alignment horizontal="left" vertical="center"/>
    </xf>
    <xf numFmtId="0" fontId="11" fillId="0" borderId="165" xfId="0" applyFont="1" applyFill="1" applyBorder="1" applyAlignment="1">
      <alignment horizontal="left" vertical="center"/>
    </xf>
    <xf numFmtId="0" fontId="11" fillId="0" borderId="169" xfId="0" applyFont="1" applyFill="1" applyBorder="1" applyAlignment="1">
      <alignment horizontal="left" vertical="center"/>
    </xf>
    <xf numFmtId="0" fontId="11" fillId="0" borderId="166" xfId="0" applyFont="1" applyFill="1" applyBorder="1" applyAlignment="1">
      <alignment horizontal="left" vertical="center"/>
    </xf>
    <xf numFmtId="0" fontId="11" fillId="6" borderId="188" xfId="0" applyFont="1" applyFill="1" applyBorder="1" applyAlignment="1">
      <alignment horizontal="left" vertical="center"/>
    </xf>
    <xf numFmtId="0" fontId="11" fillId="6" borderId="189" xfId="0" applyFont="1" applyFill="1" applyBorder="1" applyAlignment="1">
      <alignment horizontal="left" vertical="center"/>
    </xf>
    <xf numFmtId="0" fontId="11" fillId="6" borderId="210" xfId="0" applyFont="1" applyFill="1" applyBorder="1" applyAlignment="1">
      <alignment horizontal="left" vertical="center"/>
    </xf>
    <xf numFmtId="0" fontId="11" fillId="6" borderId="173" xfId="0" applyFont="1" applyFill="1" applyBorder="1" applyAlignment="1">
      <alignment horizontal="left" vertical="center"/>
    </xf>
    <xf numFmtId="3" fontId="11" fillId="6" borderId="167" xfId="0" applyNumberFormat="1" applyFont="1" applyFill="1" applyBorder="1" applyAlignment="1">
      <alignment horizontal="left" vertical="center"/>
    </xf>
    <xf numFmtId="0" fontId="0" fillId="6" borderId="44" xfId="0" applyFont="1" applyFill="1" applyBorder="1" applyAlignment="1">
      <alignment horizontal="left" vertical="center" wrapText="1"/>
    </xf>
    <xf numFmtId="0" fontId="11" fillId="0" borderId="186" xfId="0" applyFont="1" applyFill="1" applyBorder="1" applyAlignment="1">
      <alignment horizontal="left" vertical="center"/>
    </xf>
    <xf numFmtId="0" fontId="11" fillId="0" borderId="187" xfId="0" applyFont="1" applyFill="1" applyBorder="1" applyAlignment="1">
      <alignment horizontal="left" vertical="center"/>
    </xf>
    <xf numFmtId="0" fontId="11" fillId="0" borderId="211" xfId="0" applyFont="1" applyFill="1" applyBorder="1" applyAlignment="1">
      <alignment horizontal="left" vertical="center"/>
    </xf>
    <xf numFmtId="0" fontId="160" fillId="0" borderId="167" xfId="46" applyFont="1" applyFill="1" applyBorder="1" applyAlignment="1">
      <alignment horizontal="center" vertical="center" wrapText="1"/>
    </xf>
    <xf numFmtId="0" fontId="60" fillId="6" borderId="148" xfId="46" applyFont="1" applyFill="1" applyBorder="1" applyAlignment="1">
      <alignment horizontal="center" vertical="center" wrapText="1"/>
    </xf>
    <xf numFmtId="0" fontId="60" fillId="6" borderId="184" xfId="46" applyFont="1" applyFill="1" applyBorder="1" applyAlignment="1">
      <alignment horizontal="center" vertical="center" wrapText="1"/>
    </xf>
    <xf numFmtId="0" fontId="60" fillId="6" borderId="185" xfId="46" applyFont="1" applyFill="1" applyBorder="1" applyAlignment="1">
      <alignment horizontal="center" vertical="center" wrapText="1"/>
    </xf>
    <xf numFmtId="0" fontId="44" fillId="0" borderId="165" xfId="46" applyFont="1" applyBorder="1" applyAlignment="1">
      <alignment horizontal="center" vertical="center"/>
    </xf>
    <xf numFmtId="0" fontId="44" fillId="0" borderId="169" xfId="46" applyFont="1" applyBorder="1" applyAlignment="1">
      <alignment horizontal="center" vertical="center"/>
    </xf>
    <xf numFmtId="0" fontId="44" fillId="0" borderId="166" xfId="46" applyFont="1" applyBorder="1" applyAlignment="1">
      <alignment horizontal="center" vertical="center"/>
    </xf>
    <xf numFmtId="0" fontId="67" fillId="0" borderId="165" xfId="74" applyFont="1" applyFill="1" applyBorder="1" applyAlignment="1">
      <alignment horizontal="left" vertical="center" wrapText="1"/>
    </xf>
    <xf numFmtId="0" fontId="67" fillId="0" borderId="169" xfId="74" applyFont="1" applyFill="1" applyBorder="1" applyAlignment="1">
      <alignment horizontal="left" vertical="center" wrapText="1"/>
    </xf>
    <xf numFmtId="0" fontId="67" fillId="0" borderId="166" xfId="74" applyFont="1" applyFill="1" applyBorder="1" applyAlignment="1">
      <alignment horizontal="left" vertical="center" wrapText="1"/>
    </xf>
    <xf numFmtId="0" fontId="20" fillId="0" borderId="169" xfId="0" applyFont="1" applyBorder="1" applyAlignment="1">
      <alignment horizontal="center" vertical="center"/>
    </xf>
    <xf numFmtId="0" fontId="20" fillId="0" borderId="166" xfId="0" applyFont="1" applyBorder="1" applyAlignment="1">
      <alignment horizontal="center" vertical="center"/>
    </xf>
    <xf numFmtId="0" fontId="15" fillId="0" borderId="131" xfId="46" applyFont="1" applyBorder="1" applyAlignment="1">
      <alignment horizontal="left" wrapText="1"/>
    </xf>
    <xf numFmtId="0" fontId="30" fillId="0" borderId="0" xfId="46" applyFont="1" applyAlignment="1">
      <alignment horizontal="right" wrapText="1"/>
    </xf>
    <xf numFmtId="0" fontId="15" fillId="0" borderId="0" xfId="46" applyFont="1" applyAlignment="1">
      <alignment horizontal="right"/>
    </xf>
    <xf numFmtId="0" fontId="31" fillId="0" borderId="0" xfId="46" applyFont="1" applyAlignment="1">
      <alignment horizontal="left"/>
    </xf>
    <xf numFmtId="0" fontId="66" fillId="0" borderId="99" xfId="0" applyFont="1" applyBorder="1" applyAlignment="1">
      <alignment horizontal="left" vertical="center" wrapText="1"/>
    </xf>
    <xf numFmtId="0" fontId="66" fillId="0" borderId="100" xfId="0" applyFont="1" applyBorder="1" applyAlignment="1">
      <alignment horizontal="left" vertical="center" wrapText="1"/>
    </xf>
    <xf numFmtId="0" fontId="66" fillId="0" borderId="200" xfId="0" applyFont="1" applyBorder="1" applyAlignment="1">
      <alignment horizontal="left" vertical="center" wrapText="1"/>
    </xf>
    <xf numFmtId="0" fontId="34" fillId="0" borderId="165" xfId="0" applyFont="1" applyBorder="1" applyAlignment="1">
      <alignment horizontal="right" wrapText="1"/>
    </xf>
    <xf numFmtId="0" fontId="34" fillId="0" borderId="201" xfId="0" applyFont="1" applyBorder="1" applyAlignment="1">
      <alignment horizontal="right" wrapText="1"/>
    </xf>
    <xf numFmtId="0" fontId="187" fillId="0" borderId="165" xfId="0" applyFont="1" applyBorder="1" applyAlignment="1">
      <alignment horizontal="left" wrapText="1"/>
    </xf>
    <xf numFmtId="0" fontId="187" fillId="0" borderId="166" xfId="0" applyFont="1" applyBorder="1" applyAlignment="1">
      <alignment horizontal="left" wrapText="1"/>
    </xf>
    <xf numFmtId="0" fontId="7" fillId="0" borderId="165" xfId="0" applyFont="1" applyBorder="1" applyAlignment="1">
      <alignment horizontal="left" wrapText="1"/>
    </xf>
    <xf numFmtId="0" fontId="7" fillId="0" borderId="166" xfId="0" applyFont="1" applyBorder="1" applyAlignment="1">
      <alignment horizontal="left" wrapText="1"/>
    </xf>
    <xf numFmtId="0" fontId="14" fillId="0" borderId="76" xfId="13" applyFont="1" applyFill="1" applyBorder="1" applyAlignment="1">
      <alignment horizontal="left" vertical="center"/>
    </xf>
    <xf numFmtId="0" fontId="68" fillId="0" borderId="76" xfId="13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left" vertical="center" wrapText="1"/>
    </xf>
    <xf numFmtId="0" fontId="0" fillId="0" borderId="0" xfId="0" applyAlignment="1">
      <alignment horizontal="left" vertical="top" wrapText="1"/>
    </xf>
    <xf numFmtId="0" fontId="34" fillId="0" borderId="167" xfId="0" applyFont="1" applyBorder="1" applyAlignment="1">
      <alignment horizontal="center"/>
    </xf>
    <xf numFmtId="0" fontId="187" fillId="0" borderId="165" xfId="0" applyFont="1" applyBorder="1" applyAlignment="1">
      <alignment horizontal="left" vertical="center" wrapText="1"/>
    </xf>
    <xf numFmtId="0" fontId="187" fillId="0" borderId="166" xfId="0" applyFont="1" applyBorder="1" applyAlignment="1">
      <alignment horizontal="left" vertical="center" wrapText="1"/>
    </xf>
    <xf numFmtId="0" fontId="14" fillId="0" borderId="165" xfId="13" applyFont="1" applyFill="1" applyBorder="1" applyAlignment="1">
      <alignment horizontal="left" vertical="center"/>
    </xf>
    <xf numFmtId="0" fontId="14" fillId="0" borderId="169" xfId="13" applyFont="1" applyFill="1" applyBorder="1" applyAlignment="1">
      <alignment horizontal="left" vertical="center"/>
    </xf>
    <xf numFmtId="0" fontId="14" fillId="0" borderId="166" xfId="13" applyFont="1" applyFill="1" applyBorder="1" applyAlignment="1">
      <alignment horizontal="left" vertical="center"/>
    </xf>
    <xf numFmtId="0" fontId="34" fillId="0" borderId="166" xfId="0" applyFont="1" applyBorder="1" applyAlignment="1">
      <alignment horizontal="right" wrapText="1"/>
    </xf>
    <xf numFmtId="0" fontId="187" fillId="0" borderId="165" xfId="0" applyFont="1" applyBorder="1" applyAlignment="1">
      <alignment horizontal="left"/>
    </xf>
    <xf numFmtId="0" fontId="187" fillId="0" borderId="166" xfId="0" applyFont="1" applyBorder="1" applyAlignment="1">
      <alignment horizontal="left"/>
    </xf>
    <xf numFmtId="0" fontId="34" fillId="0" borderId="165" xfId="13" applyFont="1" applyFill="1" applyBorder="1" applyAlignment="1">
      <alignment horizontal="right" vertical="center" wrapText="1"/>
    </xf>
    <xf numFmtId="0" fontId="34" fillId="0" borderId="166" xfId="13" applyFont="1" applyFill="1" applyBorder="1" applyAlignment="1">
      <alignment horizontal="right" vertical="center" wrapText="1"/>
    </xf>
    <xf numFmtId="0" fontId="14" fillId="0" borderId="165" xfId="13" applyFont="1" applyFill="1" applyBorder="1" applyAlignment="1">
      <alignment horizontal="center" vertical="center"/>
    </xf>
    <xf numFmtId="0" fontId="14" fillId="0" borderId="166" xfId="13" applyFont="1" applyFill="1" applyBorder="1" applyAlignment="1">
      <alignment horizontal="center" vertical="center"/>
    </xf>
    <xf numFmtId="0" fontId="14" fillId="0" borderId="167" xfId="13" applyFont="1" applyFill="1" applyBorder="1" applyAlignment="1">
      <alignment horizontal="left" vertical="center"/>
    </xf>
    <xf numFmtId="0" fontId="68" fillId="0" borderId="165" xfId="13" applyFont="1" applyFill="1" applyBorder="1" applyAlignment="1">
      <alignment horizontal="left" vertical="center" wrapText="1"/>
    </xf>
    <xf numFmtId="0" fontId="68" fillId="0" borderId="166" xfId="13" applyFont="1" applyFill="1" applyBorder="1" applyAlignment="1">
      <alignment horizontal="left" vertical="center" wrapText="1"/>
    </xf>
    <xf numFmtId="0" fontId="14" fillId="0" borderId="165" xfId="46" applyFont="1" applyFill="1" applyBorder="1" applyAlignment="1">
      <alignment horizontal="left" vertical="center" wrapText="1"/>
    </xf>
    <xf numFmtId="0" fontId="14" fillId="0" borderId="166" xfId="46" applyFont="1" applyFill="1" applyBorder="1" applyAlignment="1">
      <alignment horizontal="left" vertical="center" wrapText="1"/>
    </xf>
    <xf numFmtId="0" fontId="61" fillId="0" borderId="2" xfId="80" applyFont="1" applyBorder="1" applyAlignment="1">
      <alignment horizontal="center" vertical="center"/>
    </xf>
    <xf numFmtId="0" fontId="15" fillId="0" borderId="0" xfId="46" applyFont="1" applyFill="1" applyBorder="1" applyAlignment="1">
      <alignment horizontal="center" vertical="center" wrapText="1"/>
    </xf>
    <xf numFmtId="0" fontId="15" fillId="6" borderId="113" xfId="80" applyFont="1" applyFill="1" applyBorder="1" applyAlignment="1">
      <alignment horizontal="center" vertical="center" wrapText="1"/>
    </xf>
    <xf numFmtId="0" fontId="15" fillId="6" borderId="12" xfId="80" applyFont="1" applyFill="1" applyBorder="1" applyAlignment="1">
      <alignment horizontal="center" vertical="center" wrapText="1"/>
    </xf>
    <xf numFmtId="0" fontId="15" fillId="6" borderId="15" xfId="80" applyFont="1" applyFill="1" applyBorder="1" applyAlignment="1">
      <alignment horizontal="center" vertical="center" wrapText="1"/>
    </xf>
    <xf numFmtId="0" fontId="15" fillId="6" borderId="119" xfId="80" applyFont="1" applyFill="1" applyBorder="1" applyAlignment="1">
      <alignment horizontal="center" vertical="center" wrapText="1"/>
    </xf>
    <xf numFmtId="0" fontId="15" fillId="8" borderId="113" xfId="80" applyFont="1" applyFill="1" applyBorder="1" applyAlignment="1">
      <alignment horizontal="center" vertical="center" wrapText="1"/>
    </xf>
    <xf numFmtId="0" fontId="15" fillId="6" borderId="167" xfId="80" applyFont="1" applyFill="1" applyBorder="1" applyAlignment="1">
      <alignment horizontal="center" vertical="center" wrapText="1"/>
    </xf>
    <xf numFmtId="0" fontId="44" fillId="9" borderId="64" xfId="46" applyFont="1" applyFill="1" applyBorder="1" applyAlignment="1">
      <alignment horizontal="center" vertical="center"/>
    </xf>
  </cellXfs>
  <cellStyles count="327">
    <cellStyle name="20% - Accent1" xfId="192"/>
    <cellStyle name="20% - Accent2" xfId="193"/>
    <cellStyle name="20% - Accent3" xfId="194"/>
    <cellStyle name="20% - Accent4" xfId="195"/>
    <cellStyle name="20% - Accent5" xfId="196"/>
    <cellStyle name="20% - Accent6" xfId="197"/>
    <cellStyle name="20% - 强调文字颜色 1" xfId="198"/>
    <cellStyle name="20% - 强调文字颜色 2" xfId="199"/>
    <cellStyle name="20% - 强调文字颜色 3" xfId="200"/>
    <cellStyle name="20% - 强调文字颜色 4" xfId="201"/>
    <cellStyle name="20% - 强调文字颜色 5" xfId="202"/>
    <cellStyle name="20% - 强调文字颜色 6" xfId="203"/>
    <cellStyle name="40% - Accent1" xfId="204"/>
    <cellStyle name="40% - Accent2" xfId="205"/>
    <cellStyle name="40% - Accent3" xfId="206"/>
    <cellStyle name="40% - Accent4" xfId="207"/>
    <cellStyle name="40% - Accent5" xfId="208"/>
    <cellStyle name="40% - Accent6" xfId="209"/>
    <cellStyle name="40% - 强调文字颜色 1" xfId="210"/>
    <cellStyle name="40% - 强调文字颜色 2" xfId="211"/>
    <cellStyle name="40% - 强调文字颜色 3" xfId="212"/>
    <cellStyle name="40% - 强调文字颜色 4" xfId="213"/>
    <cellStyle name="40% - 强调文字颜色 5" xfId="214"/>
    <cellStyle name="40% - 强调文字颜色 6" xfId="215"/>
    <cellStyle name="60% - Accent1" xfId="216"/>
    <cellStyle name="60% - Accent2" xfId="217"/>
    <cellStyle name="60% - Accent3" xfId="218"/>
    <cellStyle name="60% - Accent4" xfId="219"/>
    <cellStyle name="60% - Accent5" xfId="220"/>
    <cellStyle name="60% - Accent6" xfId="221"/>
    <cellStyle name="60% - 强调文字颜色 1" xfId="222"/>
    <cellStyle name="60% - 强调文字颜色 2" xfId="223"/>
    <cellStyle name="60% - 强调文字颜色 3" xfId="224"/>
    <cellStyle name="60% - 强调文字颜色 4" xfId="225"/>
    <cellStyle name="60% - 强调文字颜色 5" xfId="226"/>
    <cellStyle name="60% - 强调文字颜色 6" xfId="227"/>
    <cellStyle name="Accent1" xfId="228"/>
    <cellStyle name="Accent2" xfId="229"/>
    <cellStyle name="Accent3" xfId="230"/>
    <cellStyle name="Accent4" xfId="231"/>
    <cellStyle name="Accent5" xfId="232"/>
    <cellStyle name="Accent6" xfId="233"/>
    <cellStyle name="Bad" xfId="234"/>
    <cellStyle name="Calculation" xfId="235"/>
    <cellStyle name="Calculation 2" xfId="300"/>
    <cellStyle name="Calculation 3" xfId="301"/>
    <cellStyle name="Calculation 4" xfId="302"/>
    <cellStyle name="Check Cell" xfId="236"/>
    <cellStyle name="Excel Built-in Normal" xfId="297"/>
    <cellStyle name="Explanatory Text" xfId="237"/>
    <cellStyle name="Good" xfId="238"/>
    <cellStyle name="Heading 1" xfId="239"/>
    <cellStyle name="Heading 2" xfId="240"/>
    <cellStyle name="Heading 3" xfId="241"/>
    <cellStyle name="Heading 4" xfId="242"/>
    <cellStyle name="Input" xfId="243"/>
    <cellStyle name="Input 2" xfId="303"/>
    <cellStyle name="Input 3" xfId="304"/>
    <cellStyle name="Input 4" xfId="305"/>
    <cellStyle name="Linked Cell" xfId="244"/>
    <cellStyle name="Neutral" xfId="245"/>
    <cellStyle name="Note" xfId="246"/>
    <cellStyle name="Note 2" xfId="306"/>
    <cellStyle name="Note 3" xfId="307"/>
    <cellStyle name="Note 4" xfId="308"/>
    <cellStyle name="Output" xfId="247"/>
    <cellStyle name="Output 2" xfId="309"/>
    <cellStyle name="Output 3" xfId="310"/>
    <cellStyle name="Title" xfId="248"/>
    <cellStyle name="Total" xfId="249"/>
    <cellStyle name="Total 2" xfId="311"/>
    <cellStyle name="Total 3" xfId="312"/>
    <cellStyle name="Warning Text" xfId="250"/>
    <cellStyle name="Гиперссылка" xfId="2" builtinId="8" hidden="1"/>
    <cellStyle name="Гиперссылка" xfId="4" builtinId="8" hidden="1"/>
    <cellStyle name="Гиперссылка" xfId="78" builtinId="8" hidden="1"/>
    <cellStyle name="Гиперссылка" xfId="79" builtinId="8" hidden="1"/>
    <cellStyle name="Гиперссылка" xfId="89" builtinId="8" hidden="1"/>
    <cellStyle name="Гиперссылка" xfId="144" builtinId="8" hidden="1"/>
    <cellStyle name="Гиперссылка" xfId="145" builtinId="8" hidden="1"/>
    <cellStyle name="Гиперссылка" xfId="142" builtinId="8" hidden="1"/>
    <cellStyle name="Гиперссылка" xfId="191" builtinId="8" hidden="1"/>
    <cellStyle name="Гиперссылка" xfId="284" builtinId="8"/>
    <cellStyle name="Гиперссылка 2" xfId="251"/>
    <cellStyle name="Гиперссылка 3" xfId="252"/>
    <cellStyle name="Гиперссылка 4" xfId="253"/>
    <cellStyle name="Гиперссылка 5" xfId="289"/>
    <cellStyle name="Гиперссылка 6" xfId="293"/>
    <cellStyle name="Денежный" xfId="81" builtinId="4"/>
    <cellStyle name="Денежный 2" xfId="16"/>
    <cellStyle name="Денежный 2 2" xfId="98"/>
    <cellStyle name="Денежный 2 3" xfId="147"/>
    <cellStyle name="Денежный 3" xfId="86"/>
    <cellStyle name="Денежный 4" xfId="285"/>
    <cellStyle name="Денежный 5" xfId="287"/>
    <cellStyle name="Денежный 6" xfId="294"/>
    <cellStyle name="Обычный" xfId="0" builtinId="0"/>
    <cellStyle name="Обычный 10" xfId="60"/>
    <cellStyle name="Обычный 11" xfId="64"/>
    <cellStyle name="Обычный 11 2" xfId="80"/>
    <cellStyle name="Обычный 11 3" xfId="138"/>
    <cellStyle name="Обычный 11 4" xfId="187"/>
    <cellStyle name="Обычный 11 5" xfId="298"/>
    <cellStyle name="Обычный 12" xfId="65"/>
    <cellStyle name="Обычный 12 2" xfId="139"/>
    <cellStyle name="Обычный 12 3" xfId="188"/>
    <cellStyle name="Обычный 13" xfId="254"/>
    <cellStyle name="Обычный 14" xfId="288"/>
    <cellStyle name="Обычный 15" xfId="299"/>
    <cellStyle name="Обычный 2" xfId="6"/>
    <cellStyle name="Обычный 2 2" xfId="13"/>
    <cellStyle name="Обычный 2 3" xfId="46"/>
    <cellStyle name="Обычный 2 4" xfId="286"/>
    <cellStyle name="Обычный 2 5" xfId="292"/>
    <cellStyle name="Обычный 2 6" xfId="296"/>
    <cellStyle name="Обычный 2 7" xfId="313"/>
    <cellStyle name="Обычный 3" xfId="9"/>
    <cellStyle name="Обычный 3 2" xfId="11"/>
    <cellStyle name="Обычный 3 3" xfId="17"/>
    <cellStyle name="Обычный 3 3 2" xfId="18"/>
    <cellStyle name="Обычный 3 3 2 2" xfId="74"/>
    <cellStyle name="Обычный 3 3 2 3" xfId="100"/>
    <cellStyle name="Обычный 3 3 2 4" xfId="149"/>
    <cellStyle name="Обычный 3 3 3" xfId="66"/>
    <cellStyle name="Обычный 3 3 3 2" xfId="140"/>
    <cellStyle name="Обычный 3 3 3 3" xfId="189"/>
    <cellStyle name="Обычный 3 3 4" xfId="73"/>
    <cellStyle name="Обычный 3 3 5" xfId="99"/>
    <cellStyle name="Обычный 3 3 6" xfId="148"/>
    <cellStyle name="Обычный 3 4" xfId="93"/>
    <cellStyle name="Обычный 3 5" xfId="91"/>
    <cellStyle name="Обычный 4" xfId="8"/>
    <cellStyle name="Обычный 4 2" xfId="10"/>
    <cellStyle name="Обычный 4 3" xfId="19"/>
    <cellStyle name="Обычный 4 3 2" xfId="20"/>
    <cellStyle name="Обычный 4 3 2 2" xfId="102"/>
    <cellStyle name="Обычный 4 3 2 3" xfId="151"/>
    <cellStyle name="Обычный 4 3 3" xfId="21"/>
    <cellStyle name="Обычный 4 3 3 2" xfId="48"/>
    <cellStyle name="Обычный 4 3 3 2 2" xfId="126"/>
    <cellStyle name="Обычный 4 3 3 2 3" xfId="175"/>
    <cellStyle name="Обычный 4 3 3 3" xfId="83"/>
    <cellStyle name="Обычный 4 3 3 4" xfId="103"/>
    <cellStyle name="Обычный 4 3 3 5" xfId="152"/>
    <cellStyle name="Обычный 4 3 4" xfId="49"/>
    <cellStyle name="Обычный 4 3 4 2" xfId="72"/>
    <cellStyle name="Обычный 4 3 4 3" xfId="127"/>
    <cellStyle name="Обычный 4 3 4 4" xfId="176"/>
    <cellStyle name="Обычный 4 3 5" xfId="69"/>
    <cellStyle name="Обычный 4 3 6" xfId="101"/>
    <cellStyle name="Обычный 4 3 7" xfId="150"/>
    <cellStyle name="Обычный 4 4" xfId="22"/>
    <cellStyle name="Обычный 4 4 2" xfId="23"/>
    <cellStyle name="Обычный 4 4 2 2" xfId="50"/>
    <cellStyle name="Обычный 4 4 2 2 2" xfId="128"/>
    <cellStyle name="Обычный 4 4 2 2 3" xfId="177"/>
    <cellStyle name="Обычный 4 4 2 3" xfId="59"/>
    <cellStyle name="Обычный 4 4 2 3 2" xfId="76"/>
    <cellStyle name="Обычный 4 4 2 3 3" xfId="136"/>
    <cellStyle name="Обычный 4 4 2 3 4" xfId="185"/>
    <cellStyle name="Обычный 4 4 2 4" xfId="105"/>
    <cellStyle name="Обычный 4 4 2 5" xfId="154"/>
    <cellStyle name="Обычный 4 4 3" xfId="104"/>
    <cellStyle name="Обычный 4 4 4" xfId="153"/>
    <cellStyle name="Обычный 4 5" xfId="92"/>
    <cellStyle name="Обычный 4 6" xfId="96"/>
    <cellStyle name="Обычный 4 7" xfId="290"/>
    <cellStyle name="Обычный 45" xfId="291"/>
    <cellStyle name="Обычный 5" xfId="24"/>
    <cellStyle name="Обычный 5 2" xfId="25"/>
    <cellStyle name="Обычный 5 2 2" xfId="12"/>
    <cellStyle name="Обычный 5 2 2 2" xfId="51"/>
    <cellStyle name="Обычный 5 2 2 2 2" xfId="129"/>
    <cellStyle name="Обычный 5 2 2 2 3" xfId="178"/>
    <cellStyle name="Обычный 5 2 2 3" xfId="84"/>
    <cellStyle name="Обычный 5 2 2 4" xfId="95"/>
    <cellStyle name="Обычный 5 2 2 5" xfId="87"/>
    <cellStyle name="Обычный 5 2 3" xfId="107"/>
    <cellStyle name="Обычный 5 2 4" xfId="156"/>
    <cellStyle name="Обычный 5 3" xfId="26"/>
    <cellStyle name="Обычный 5 3 2" xfId="108"/>
    <cellStyle name="Обычный 5 3 3" xfId="157"/>
    <cellStyle name="Обычный 5 4" xfId="106"/>
    <cellStyle name="Обычный 5 5" xfId="155"/>
    <cellStyle name="Обычный 6" xfId="27"/>
    <cellStyle name="Обычный 6 2" xfId="71"/>
    <cellStyle name="Обычный 6 3" xfId="109"/>
    <cellStyle name="Обычный 6 4" xfId="158"/>
    <cellStyle name="Обычный 7" xfId="28"/>
    <cellStyle name="Обычный 7 2" xfId="29"/>
    <cellStyle name="Обычный 7 2 2" xfId="52"/>
    <cellStyle name="Обычный 7 2 2 2" xfId="130"/>
    <cellStyle name="Обычный 7 2 2 3" xfId="179"/>
    <cellStyle name="Обычный 7 2 3" xfId="75"/>
    <cellStyle name="Обычный 7 2 4" xfId="111"/>
    <cellStyle name="Обычный 7 2 5" xfId="160"/>
    <cellStyle name="Обычный 7 3" xfId="110"/>
    <cellStyle name="Обычный 7 4" xfId="159"/>
    <cellStyle name="Обычный 8" xfId="53"/>
    <cellStyle name="Обычный 8 2" xfId="131"/>
    <cellStyle name="Обычный 8 3" xfId="180"/>
    <cellStyle name="Обычный 9" xfId="54"/>
    <cellStyle name="Обычный 9 2" xfId="132"/>
    <cellStyle name="Обычный 9 3" xfId="181"/>
    <cellStyle name="Обычный_Лист1" xfId="1"/>
    <cellStyle name="Обычный_прайс1_Прайс" xfId="58"/>
    <cellStyle name="Открывавшаяся гиперссылка" xfId="3" builtinId="9" hidden="1"/>
    <cellStyle name="Открывавшаяся гиперссылка" xfId="5" builtinId="9" hidden="1"/>
    <cellStyle name="Открывавшаяся гиперссылка" xfId="88" builtinId="9" hidden="1"/>
    <cellStyle name="Открывавшаяся гиперссылка" xfId="90" builtinId="9" hidden="1"/>
    <cellStyle name="Открывавшаяся гиперссылка" xfId="94" builtinId="9" hidden="1"/>
    <cellStyle name="Открывавшаяся гиперссылка" xfId="143" builtinId="9" hidden="1"/>
    <cellStyle name="Процентный" xfId="14" builtinId="5"/>
    <cellStyle name="Процентный 2" xfId="30"/>
    <cellStyle name="Процентный 2 2" xfId="31"/>
    <cellStyle name="Процентный 2 2 2" xfId="112"/>
    <cellStyle name="Процентный 2 2 2 2" xfId="295"/>
    <cellStyle name="Процентный 2 2 3" xfId="161"/>
    <cellStyle name="Процентный 2 3" xfId="32"/>
    <cellStyle name="Процентный 2 3 2" xfId="113"/>
    <cellStyle name="Процентный 2 3 3" xfId="162"/>
    <cellStyle name="Процентный 3" xfId="33"/>
    <cellStyle name="Процентный 3 2" xfId="34"/>
    <cellStyle name="Процентный 3 2 2" xfId="55"/>
    <cellStyle name="Процентный 3 2 2 2" xfId="133"/>
    <cellStyle name="Процентный 3 2 2 3" xfId="182"/>
    <cellStyle name="Процентный 3 2 3" xfId="115"/>
    <cellStyle name="Процентный 3 2 4" xfId="164"/>
    <cellStyle name="Процентный 3 3" xfId="35"/>
    <cellStyle name="Процентный 3 3 2" xfId="116"/>
    <cellStyle name="Процентный 3 3 3" xfId="165"/>
    <cellStyle name="Процентный 3 4" xfId="47"/>
    <cellStyle name="Процентный 3 5" xfId="114"/>
    <cellStyle name="Процентный 3 6" xfId="163"/>
    <cellStyle name="Процентный 4" xfId="36"/>
    <cellStyle name="Процентный 4 2" xfId="117"/>
    <cellStyle name="Процентный 4 3" xfId="166"/>
    <cellStyle name="Процентный 5" xfId="61"/>
    <cellStyle name="Процентный 6" xfId="68"/>
    <cellStyle name="Стиль 1" xfId="255"/>
    <cellStyle name="Финансовый" xfId="7" builtinId="3"/>
    <cellStyle name="Финансовый 2" xfId="15"/>
    <cellStyle name="Финансовый 2 2" xfId="37"/>
    <cellStyle name="Финансовый 2 2 2" xfId="118"/>
    <cellStyle name="Финансовый 2 2 3" xfId="167"/>
    <cellStyle name="Финансовый 2 3" xfId="67"/>
    <cellStyle name="Финансовый 2 3 2" xfId="141"/>
    <cellStyle name="Финансовый 2 3 3" xfId="190"/>
    <cellStyle name="Финансовый 2 4" xfId="70"/>
    <cellStyle name="Финансовый 2 5" xfId="97"/>
    <cellStyle name="Финансовый 2 6" xfId="146"/>
    <cellStyle name="Финансовый 3" xfId="38"/>
    <cellStyle name="Финансовый 3 2" xfId="39"/>
    <cellStyle name="Финансовый 3 2 2" xfId="40"/>
    <cellStyle name="Финансовый 3 2 2 2" xfId="62"/>
    <cellStyle name="Финансовый 3 2 2 2 2" xfId="77"/>
    <cellStyle name="Финансовый 3 2 2 2 3" xfId="137"/>
    <cellStyle name="Финансовый 3 2 2 2 4" xfId="186"/>
    <cellStyle name="Финансовый 3 2 2 3" xfId="120"/>
    <cellStyle name="Финансовый 3 2 2 4" xfId="169"/>
    <cellStyle name="Финансовый 3 2 3" xfId="119"/>
    <cellStyle name="Финансовый 3 2 4" xfId="168"/>
    <cellStyle name="Финансовый 4" xfId="41"/>
    <cellStyle name="Финансовый 4 2" xfId="42"/>
    <cellStyle name="Финансовый 4 2 2" xfId="56"/>
    <cellStyle name="Финансовый 4 2 2 2" xfId="82"/>
    <cellStyle name="Финансовый 4 2 2 3" xfId="134"/>
    <cellStyle name="Финансовый 4 2 2 4" xfId="183"/>
    <cellStyle name="Финансовый 4 2 3" xfId="122"/>
    <cellStyle name="Финансовый 4 2 4" xfId="171"/>
    <cellStyle name="Финансовый 4 3" xfId="43"/>
    <cellStyle name="Финансовый 4 3 2" xfId="123"/>
    <cellStyle name="Финансовый 4 3 3" xfId="172"/>
    <cellStyle name="Финансовый 4 4" xfId="121"/>
    <cellStyle name="Финансовый 4 5" xfId="170"/>
    <cellStyle name="Финансовый 5" xfId="44"/>
    <cellStyle name="Финансовый 5 2" xfId="124"/>
    <cellStyle name="Финансовый 5 3" xfId="173"/>
    <cellStyle name="Финансовый 6" xfId="45"/>
    <cellStyle name="Финансовый 6 2" xfId="125"/>
    <cellStyle name="Финансовый 6 3" xfId="174"/>
    <cellStyle name="Финансовый 7" xfId="57"/>
    <cellStyle name="Финансовый 7 2" xfId="135"/>
    <cellStyle name="Финансовый 7 3" xfId="184"/>
    <cellStyle name="Финансовый 8" xfId="63"/>
    <cellStyle name="Финансовый 9" xfId="85"/>
    <cellStyle name="好" xfId="256"/>
    <cellStyle name="好_Хуадонг 19.02." xfId="257"/>
    <cellStyle name="好_Хуадонг 21.10." xfId="258"/>
    <cellStyle name="差" xfId="259"/>
    <cellStyle name="差_Хуадонг 19.02." xfId="260"/>
    <cellStyle name="差_Хуадонг 21.10." xfId="261"/>
    <cellStyle name="常规_invoice_6" xfId="262"/>
    <cellStyle name="强调文字颜色 1" xfId="263"/>
    <cellStyle name="强调文字颜色 2" xfId="264"/>
    <cellStyle name="强调文字颜色 3" xfId="265"/>
    <cellStyle name="强调文字颜色 4" xfId="266"/>
    <cellStyle name="强调文字颜色 5" xfId="267"/>
    <cellStyle name="强调文字颜色 6" xfId="268"/>
    <cellStyle name="标题" xfId="269"/>
    <cellStyle name="标题 1" xfId="270"/>
    <cellStyle name="标题 2" xfId="271"/>
    <cellStyle name="标题 3" xfId="272"/>
    <cellStyle name="标题 4" xfId="273"/>
    <cellStyle name="检查单元格" xfId="274"/>
    <cellStyle name="汇总" xfId="275"/>
    <cellStyle name="汇总 2" xfId="314"/>
    <cellStyle name="汇总 3" xfId="315"/>
    <cellStyle name="注释" xfId="276"/>
    <cellStyle name="注释 2" xfId="316"/>
    <cellStyle name="注释 3" xfId="317"/>
    <cellStyle name="注释 4" xfId="318"/>
    <cellStyle name="解释性文本" xfId="277"/>
    <cellStyle name="警告文本" xfId="278"/>
    <cellStyle name="计算" xfId="279"/>
    <cellStyle name="计算 2" xfId="319"/>
    <cellStyle name="计算 3" xfId="320"/>
    <cellStyle name="计算 4" xfId="321"/>
    <cellStyle name="输入" xfId="280"/>
    <cellStyle name="输入 2" xfId="322"/>
    <cellStyle name="输入 3" xfId="323"/>
    <cellStyle name="输入 4" xfId="324"/>
    <cellStyle name="输出" xfId="281"/>
    <cellStyle name="输出 2" xfId="325"/>
    <cellStyle name="输出 3" xfId="326"/>
    <cellStyle name="适中" xfId="282"/>
    <cellStyle name="链接单元格" xfId="283"/>
  </cellStyles>
  <dxfs count="392"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theme="0"/>
      </font>
      <numFmt numFmtId="0" formatCode="General"/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rgb="FF0070C0"/>
      </font>
    </dxf>
    <dxf>
      <font>
        <color rgb="FFFF0000"/>
      </font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 tint="-0.34998626667073579"/>
        </patternFill>
      </fill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theme="3" tint="0.39994506668294322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9" defaultPivotStyle="PivotStyleLight16"/>
  <colors>
    <mruColors>
      <color rgb="FFFFFFCC"/>
      <color rgb="FFAE9675"/>
    </mruColors>
  </colors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jpeg"/><Relationship Id="rId2" Type="http://schemas.openxmlformats.org/officeDocument/2006/relationships/image" Target="../media/image34.png"/><Relationship Id="rId1" Type="http://schemas.openxmlformats.org/officeDocument/2006/relationships/image" Target="../media/image4.png"/><Relationship Id="rId4" Type="http://schemas.openxmlformats.org/officeDocument/2006/relationships/image" Target="../media/image36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jpeg"/><Relationship Id="rId13" Type="http://schemas.openxmlformats.org/officeDocument/2006/relationships/image" Target="../media/image50.jpeg"/><Relationship Id="rId18" Type="http://schemas.openxmlformats.org/officeDocument/2006/relationships/image" Target="../media/image55.jpeg"/><Relationship Id="rId26" Type="http://schemas.openxmlformats.org/officeDocument/2006/relationships/image" Target="../media/image34.png"/><Relationship Id="rId3" Type="http://schemas.openxmlformats.org/officeDocument/2006/relationships/image" Target="../media/image40.jpeg"/><Relationship Id="rId21" Type="http://schemas.openxmlformats.org/officeDocument/2006/relationships/image" Target="../media/image58.jpeg"/><Relationship Id="rId7" Type="http://schemas.openxmlformats.org/officeDocument/2006/relationships/image" Target="../media/image44.jpeg"/><Relationship Id="rId12" Type="http://schemas.openxmlformats.org/officeDocument/2006/relationships/image" Target="../media/image49.jpeg"/><Relationship Id="rId17" Type="http://schemas.openxmlformats.org/officeDocument/2006/relationships/image" Target="../media/image54.jpeg"/><Relationship Id="rId25" Type="http://schemas.openxmlformats.org/officeDocument/2006/relationships/image" Target="../media/image4.png"/><Relationship Id="rId2" Type="http://schemas.openxmlformats.org/officeDocument/2006/relationships/image" Target="../media/image39.jpeg"/><Relationship Id="rId16" Type="http://schemas.openxmlformats.org/officeDocument/2006/relationships/image" Target="../media/image53.jpeg"/><Relationship Id="rId20" Type="http://schemas.openxmlformats.org/officeDocument/2006/relationships/image" Target="../media/image57.jpeg"/><Relationship Id="rId1" Type="http://schemas.openxmlformats.org/officeDocument/2006/relationships/image" Target="../media/image38.jpeg"/><Relationship Id="rId6" Type="http://schemas.openxmlformats.org/officeDocument/2006/relationships/image" Target="../media/image43.jpeg"/><Relationship Id="rId11" Type="http://schemas.openxmlformats.org/officeDocument/2006/relationships/image" Target="../media/image48.jpeg"/><Relationship Id="rId24" Type="http://schemas.openxmlformats.org/officeDocument/2006/relationships/image" Target="../media/image61.jpeg"/><Relationship Id="rId5" Type="http://schemas.openxmlformats.org/officeDocument/2006/relationships/image" Target="../media/image42.jpeg"/><Relationship Id="rId15" Type="http://schemas.openxmlformats.org/officeDocument/2006/relationships/image" Target="../media/image52.jpeg"/><Relationship Id="rId23" Type="http://schemas.openxmlformats.org/officeDocument/2006/relationships/image" Target="../media/image60.jpeg"/><Relationship Id="rId10" Type="http://schemas.openxmlformats.org/officeDocument/2006/relationships/image" Target="../media/image47.jpeg"/><Relationship Id="rId19" Type="http://schemas.openxmlformats.org/officeDocument/2006/relationships/image" Target="../media/image56.jpeg"/><Relationship Id="rId4" Type="http://schemas.openxmlformats.org/officeDocument/2006/relationships/image" Target="../media/image41.jpeg"/><Relationship Id="rId9" Type="http://schemas.openxmlformats.org/officeDocument/2006/relationships/image" Target="../media/image46.jpeg"/><Relationship Id="rId14" Type="http://schemas.openxmlformats.org/officeDocument/2006/relationships/image" Target="../media/image51.jpeg"/><Relationship Id="rId22" Type="http://schemas.openxmlformats.org/officeDocument/2006/relationships/image" Target="../media/image59.jpeg"/><Relationship Id="rId27" Type="http://schemas.openxmlformats.org/officeDocument/2006/relationships/image" Target="../media/image6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jpeg"/><Relationship Id="rId2" Type="http://schemas.openxmlformats.org/officeDocument/2006/relationships/image" Target="../media/image44.jpeg"/><Relationship Id="rId1" Type="http://schemas.openxmlformats.org/officeDocument/2006/relationships/image" Target="../media/image39.jpeg"/><Relationship Id="rId5" Type="http://schemas.openxmlformats.org/officeDocument/2006/relationships/image" Target="../media/image63.jpeg"/><Relationship Id="rId4" Type="http://schemas.openxmlformats.org/officeDocument/2006/relationships/image" Target="../media/image48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jpeg"/><Relationship Id="rId2" Type="http://schemas.openxmlformats.org/officeDocument/2006/relationships/image" Target="../media/image34.png"/><Relationship Id="rId1" Type="http://schemas.openxmlformats.org/officeDocument/2006/relationships/image" Target="../media/image4.png"/><Relationship Id="rId4" Type="http://schemas.openxmlformats.org/officeDocument/2006/relationships/image" Target="../media/image65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6.jpeg"/><Relationship Id="rId2" Type="http://schemas.openxmlformats.org/officeDocument/2006/relationships/image" Target="../media/image34.png"/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4.png"/><Relationship Id="rId13" Type="http://schemas.openxmlformats.org/officeDocument/2006/relationships/image" Target="../media/image78.png"/><Relationship Id="rId3" Type="http://schemas.openxmlformats.org/officeDocument/2006/relationships/image" Target="../media/image69.png"/><Relationship Id="rId7" Type="http://schemas.openxmlformats.org/officeDocument/2006/relationships/image" Target="../media/image73.png"/><Relationship Id="rId12" Type="http://schemas.openxmlformats.org/officeDocument/2006/relationships/image" Target="../media/image77.png"/><Relationship Id="rId2" Type="http://schemas.openxmlformats.org/officeDocument/2006/relationships/image" Target="../media/image68.png"/><Relationship Id="rId16" Type="http://schemas.openxmlformats.org/officeDocument/2006/relationships/image" Target="../media/image81.png"/><Relationship Id="rId1" Type="http://schemas.openxmlformats.org/officeDocument/2006/relationships/image" Target="../media/image4.png"/><Relationship Id="rId6" Type="http://schemas.openxmlformats.org/officeDocument/2006/relationships/image" Target="../media/image72.png"/><Relationship Id="rId11" Type="http://schemas.openxmlformats.org/officeDocument/2006/relationships/image" Target="../media/image76.png"/><Relationship Id="rId5" Type="http://schemas.openxmlformats.org/officeDocument/2006/relationships/image" Target="../media/image71.png"/><Relationship Id="rId15" Type="http://schemas.openxmlformats.org/officeDocument/2006/relationships/image" Target="../media/image80.png"/><Relationship Id="rId10" Type="http://schemas.openxmlformats.org/officeDocument/2006/relationships/image" Target="../media/image75.png"/><Relationship Id="rId4" Type="http://schemas.openxmlformats.org/officeDocument/2006/relationships/image" Target="../media/image70.png"/><Relationship Id="rId9" Type="http://schemas.openxmlformats.org/officeDocument/2006/relationships/image" Target="../media/image34.png"/><Relationship Id="rId14" Type="http://schemas.openxmlformats.org/officeDocument/2006/relationships/image" Target="../media/image79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9.jpeg"/><Relationship Id="rId3" Type="http://schemas.openxmlformats.org/officeDocument/2006/relationships/image" Target="../media/image85.jpeg"/><Relationship Id="rId7" Type="http://schemas.openxmlformats.org/officeDocument/2006/relationships/image" Target="../media/image88.jpeg"/><Relationship Id="rId2" Type="http://schemas.openxmlformats.org/officeDocument/2006/relationships/image" Target="../media/image84.jpeg"/><Relationship Id="rId1" Type="http://schemas.openxmlformats.org/officeDocument/2006/relationships/image" Target="../media/image83.jpeg"/><Relationship Id="rId6" Type="http://schemas.openxmlformats.org/officeDocument/2006/relationships/image" Target="../media/image87.jpeg"/><Relationship Id="rId5" Type="http://schemas.openxmlformats.org/officeDocument/2006/relationships/image" Target="../media/image86.jpeg"/><Relationship Id="rId10" Type="http://schemas.openxmlformats.org/officeDocument/2006/relationships/image" Target="../media/image91.jpeg"/><Relationship Id="rId4" Type="http://schemas.openxmlformats.org/officeDocument/2006/relationships/image" Target="../media/image4.png"/><Relationship Id="rId9" Type="http://schemas.openxmlformats.org/officeDocument/2006/relationships/image" Target="../media/image90.jpe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5.png"/><Relationship Id="rId13" Type="http://schemas.openxmlformats.org/officeDocument/2006/relationships/image" Target="../media/image98.png"/><Relationship Id="rId3" Type="http://schemas.openxmlformats.org/officeDocument/2006/relationships/image" Target="../media/image70.png"/><Relationship Id="rId7" Type="http://schemas.openxmlformats.org/officeDocument/2006/relationships/image" Target="../media/image94.png"/><Relationship Id="rId12" Type="http://schemas.openxmlformats.org/officeDocument/2006/relationships/image" Target="../media/image97.png"/><Relationship Id="rId2" Type="http://schemas.openxmlformats.org/officeDocument/2006/relationships/image" Target="../media/image69.png"/><Relationship Id="rId1" Type="http://schemas.openxmlformats.org/officeDocument/2006/relationships/image" Target="../media/image68.png"/><Relationship Id="rId6" Type="http://schemas.openxmlformats.org/officeDocument/2006/relationships/image" Target="../media/image93.png"/><Relationship Id="rId11" Type="http://schemas.openxmlformats.org/officeDocument/2006/relationships/image" Target="../media/image96.png"/><Relationship Id="rId5" Type="http://schemas.openxmlformats.org/officeDocument/2006/relationships/image" Target="../media/image72.png"/><Relationship Id="rId15" Type="http://schemas.openxmlformats.org/officeDocument/2006/relationships/image" Target="../media/image4.png"/><Relationship Id="rId10" Type="http://schemas.openxmlformats.org/officeDocument/2006/relationships/image" Target="../media/image95.png"/><Relationship Id="rId4" Type="http://schemas.openxmlformats.org/officeDocument/2006/relationships/image" Target="../media/image71.png"/><Relationship Id="rId9" Type="http://schemas.openxmlformats.org/officeDocument/2006/relationships/image" Target="../media/image76.png"/><Relationship Id="rId14" Type="http://schemas.openxmlformats.org/officeDocument/2006/relationships/image" Target="../media/image99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6.png"/><Relationship Id="rId3" Type="http://schemas.openxmlformats.org/officeDocument/2006/relationships/image" Target="../media/image4.png"/><Relationship Id="rId7" Type="http://schemas.openxmlformats.org/officeDocument/2006/relationships/image" Target="../media/image105.jpeg"/><Relationship Id="rId2" Type="http://schemas.openxmlformats.org/officeDocument/2006/relationships/image" Target="NULL"/><Relationship Id="rId1" Type="http://schemas.openxmlformats.org/officeDocument/2006/relationships/image" Target="../media/image101.png"/><Relationship Id="rId6" Type="http://schemas.openxmlformats.org/officeDocument/2006/relationships/image" Target="../media/image104.jpeg"/><Relationship Id="rId5" Type="http://schemas.openxmlformats.org/officeDocument/2006/relationships/image" Target="../media/image103.jpeg"/><Relationship Id="rId4" Type="http://schemas.openxmlformats.org/officeDocument/2006/relationships/image" Target="../media/image102.png"/><Relationship Id="rId9" Type="http://schemas.openxmlformats.org/officeDocument/2006/relationships/image" Target="../media/image107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4.png"/><Relationship Id="rId13" Type="http://schemas.openxmlformats.org/officeDocument/2006/relationships/image" Target="../media/image119.png"/><Relationship Id="rId3" Type="http://schemas.openxmlformats.org/officeDocument/2006/relationships/image" Target="../media/image109.jpeg"/><Relationship Id="rId7" Type="http://schemas.openxmlformats.org/officeDocument/2006/relationships/image" Target="../media/image113.png"/><Relationship Id="rId12" Type="http://schemas.openxmlformats.org/officeDocument/2006/relationships/image" Target="../media/image118.png"/><Relationship Id="rId2" Type="http://schemas.openxmlformats.org/officeDocument/2006/relationships/image" Target="../media/image4.png"/><Relationship Id="rId1" Type="http://schemas.openxmlformats.org/officeDocument/2006/relationships/image" Target="NULL"/><Relationship Id="rId6" Type="http://schemas.openxmlformats.org/officeDocument/2006/relationships/image" Target="../media/image112.jpeg"/><Relationship Id="rId11" Type="http://schemas.openxmlformats.org/officeDocument/2006/relationships/image" Target="../media/image117.png"/><Relationship Id="rId5" Type="http://schemas.openxmlformats.org/officeDocument/2006/relationships/image" Target="../media/image111.jpeg"/><Relationship Id="rId10" Type="http://schemas.openxmlformats.org/officeDocument/2006/relationships/image" Target="../media/image116.png"/><Relationship Id="rId4" Type="http://schemas.openxmlformats.org/officeDocument/2006/relationships/image" Target="../media/image110.jpeg"/><Relationship Id="rId9" Type="http://schemas.openxmlformats.org/officeDocument/2006/relationships/image" Target="../media/image115.pn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7.jpeg"/><Relationship Id="rId3" Type="http://schemas.openxmlformats.org/officeDocument/2006/relationships/image" Target="../media/image122.jpeg"/><Relationship Id="rId7" Type="http://schemas.openxmlformats.org/officeDocument/2006/relationships/image" Target="../media/image126.jpeg"/><Relationship Id="rId12" Type="http://schemas.openxmlformats.org/officeDocument/2006/relationships/image" Target="../media/image130.jpeg"/><Relationship Id="rId2" Type="http://schemas.openxmlformats.org/officeDocument/2006/relationships/image" Target="../media/image121.jpeg"/><Relationship Id="rId1" Type="http://schemas.openxmlformats.org/officeDocument/2006/relationships/image" Target="../media/image4.png"/><Relationship Id="rId6" Type="http://schemas.openxmlformats.org/officeDocument/2006/relationships/image" Target="../media/image125.jpeg"/><Relationship Id="rId11" Type="http://schemas.openxmlformats.org/officeDocument/2006/relationships/image" Target="../media/image129.jpeg"/><Relationship Id="rId5" Type="http://schemas.openxmlformats.org/officeDocument/2006/relationships/image" Target="../media/image124.jpeg"/><Relationship Id="rId10" Type="http://schemas.openxmlformats.org/officeDocument/2006/relationships/image" Target="../media/image128.jpeg"/><Relationship Id="rId4" Type="http://schemas.openxmlformats.org/officeDocument/2006/relationships/image" Target="../media/image123.jpeg"/><Relationship Id="rId9" Type="http://schemas.openxmlformats.org/officeDocument/2006/relationships/image" Target="../media/image34.pn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png"/><Relationship Id="rId3" Type="http://schemas.openxmlformats.org/officeDocument/2006/relationships/image" Target="../media/image134.jpeg"/><Relationship Id="rId7" Type="http://schemas.openxmlformats.org/officeDocument/2006/relationships/image" Target="../media/image4.png"/><Relationship Id="rId2" Type="http://schemas.openxmlformats.org/officeDocument/2006/relationships/image" Target="../media/image133.jpeg"/><Relationship Id="rId1" Type="http://schemas.openxmlformats.org/officeDocument/2006/relationships/image" Target="../media/image132.jpeg"/><Relationship Id="rId6" Type="http://schemas.openxmlformats.org/officeDocument/2006/relationships/image" Target="../media/image137.jpeg"/><Relationship Id="rId5" Type="http://schemas.openxmlformats.org/officeDocument/2006/relationships/image" Target="../media/image136.jpeg"/><Relationship Id="rId4" Type="http://schemas.openxmlformats.org/officeDocument/2006/relationships/image" Target="../media/image135.jpe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png"/><Relationship Id="rId3" Type="http://schemas.openxmlformats.org/officeDocument/2006/relationships/image" Target="../media/image141.jpeg"/><Relationship Id="rId7" Type="http://schemas.openxmlformats.org/officeDocument/2006/relationships/image" Target="../media/image4.png"/><Relationship Id="rId2" Type="http://schemas.openxmlformats.org/officeDocument/2006/relationships/image" Target="../media/image140.jpeg"/><Relationship Id="rId1" Type="http://schemas.openxmlformats.org/officeDocument/2006/relationships/image" Target="../media/image139.jpeg"/><Relationship Id="rId6" Type="http://schemas.openxmlformats.org/officeDocument/2006/relationships/image" Target="../media/image144.jpeg"/><Relationship Id="rId5" Type="http://schemas.openxmlformats.org/officeDocument/2006/relationships/image" Target="../media/image143.jpeg"/><Relationship Id="rId4" Type="http://schemas.openxmlformats.org/officeDocument/2006/relationships/image" Target="../media/image142.jpeg"/><Relationship Id="rId9" Type="http://schemas.openxmlformats.org/officeDocument/2006/relationships/image" Target="../media/image145.jpe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2.png"/><Relationship Id="rId13" Type="http://schemas.openxmlformats.org/officeDocument/2006/relationships/image" Target="../media/image157.jpeg"/><Relationship Id="rId3" Type="http://schemas.openxmlformats.org/officeDocument/2006/relationships/image" Target="../media/image147.jpeg"/><Relationship Id="rId7" Type="http://schemas.openxmlformats.org/officeDocument/2006/relationships/image" Target="../media/image151.jpeg"/><Relationship Id="rId12" Type="http://schemas.openxmlformats.org/officeDocument/2006/relationships/image" Target="../media/image156.jpeg"/><Relationship Id="rId2" Type="http://schemas.openxmlformats.org/officeDocument/2006/relationships/image" Target="../media/image146.jpeg"/><Relationship Id="rId1" Type="http://schemas.openxmlformats.org/officeDocument/2006/relationships/image" Target="../media/image4.png"/><Relationship Id="rId6" Type="http://schemas.openxmlformats.org/officeDocument/2006/relationships/image" Target="../media/image150.jpeg"/><Relationship Id="rId11" Type="http://schemas.openxmlformats.org/officeDocument/2006/relationships/image" Target="../media/image155.jpeg"/><Relationship Id="rId5" Type="http://schemas.openxmlformats.org/officeDocument/2006/relationships/image" Target="../media/image149.jpeg"/><Relationship Id="rId10" Type="http://schemas.openxmlformats.org/officeDocument/2006/relationships/image" Target="../media/image154.png"/><Relationship Id="rId4" Type="http://schemas.openxmlformats.org/officeDocument/2006/relationships/image" Target="../media/image148.jpeg"/><Relationship Id="rId9" Type="http://schemas.openxmlformats.org/officeDocument/2006/relationships/image" Target="../media/image153.jpeg"/><Relationship Id="rId14" Type="http://schemas.openxmlformats.org/officeDocument/2006/relationships/image" Target="../media/image158.jpeg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4.jpeg"/><Relationship Id="rId3" Type="http://schemas.openxmlformats.org/officeDocument/2006/relationships/image" Target="../media/image159.jpeg"/><Relationship Id="rId7" Type="http://schemas.openxmlformats.org/officeDocument/2006/relationships/image" Target="../media/image163.jpeg"/><Relationship Id="rId2" Type="http://schemas.openxmlformats.org/officeDocument/2006/relationships/image" Target="../media/image34.png"/><Relationship Id="rId1" Type="http://schemas.openxmlformats.org/officeDocument/2006/relationships/image" Target="../media/image4.png"/><Relationship Id="rId6" Type="http://schemas.openxmlformats.org/officeDocument/2006/relationships/image" Target="../media/image162.jpeg"/><Relationship Id="rId5" Type="http://schemas.openxmlformats.org/officeDocument/2006/relationships/image" Target="../media/image161.jpeg"/><Relationship Id="rId4" Type="http://schemas.openxmlformats.org/officeDocument/2006/relationships/image" Target="../media/image160.jpe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4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6.png"/><Relationship Id="rId1" Type="http://schemas.openxmlformats.org/officeDocument/2006/relationships/image" Target="../media/image4.pn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4.png"/><Relationship Id="rId3" Type="http://schemas.openxmlformats.org/officeDocument/2006/relationships/image" Target="../media/image169.jpeg"/><Relationship Id="rId7" Type="http://schemas.openxmlformats.org/officeDocument/2006/relationships/image" Target="../media/image173.png"/><Relationship Id="rId2" Type="http://schemas.openxmlformats.org/officeDocument/2006/relationships/image" Target="../media/image34.png"/><Relationship Id="rId1" Type="http://schemas.openxmlformats.org/officeDocument/2006/relationships/image" Target="../media/image4.png"/><Relationship Id="rId6" Type="http://schemas.openxmlformats.org/officeDocument/2006/relationships/image" Target="../media/image172.png"/><Relationship Id="rId5" Type="http://schemas.openxmlformats.org/officeDocument/2006/relationships/image" Target="../media/image171.jpeg"/><Relationship Id="rId10" Type="http://schemas.openxmlformats.org/officeDocument/2006/relationships/image" Target="../media/image176.png"/><Relationship Id="rId4" Type="http://schemas.openxmlformats.org/officeDocument/2006/relationships/image" Target="../media/image170.jpeg"/><Relationship Id="rId9" Type="http://schemas.openxmlformats.org/officeDocument/2006/relationships/image" Target="../media/image175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2.jpeg"/><Relationship Id="rId13" Type="http://schemas.openxmlformats.org/officeDocument/2006/relationships/image" Target="../media/image184.jpeg"/><Relationship Id="rId3" Type="http://schemas.openxmlformats.org/officeDocument/2006/relationships/image" Target="../media/image163.jpeg"/><Relationship Id="rId7" Type="http://schemas.openxmlformats.org/officeDocument/2006/relationships/image" Target="../media/image181.jpeg"/><Relationship Id="rId12" Type="http://schemas.openxmlformats.org/officeDocument/2006/relationships/image" Target="../media/image114.png"/><Relationship Id="rId2" Type="http://schemas.openxmlformats.org/officeDocument/2006/relationships/image" Target="../media/image177.jpeg"/><Relationship Id="rId1" Type="http://schemas.openxmlformats.org/officeDocument/2006/relationships/image" Target="NULL"/><Relationship Id="rId6" Type="http://schemas.openxmlformats.org/officeDocument/2006/relationships/image" Target="../media/image180.jpeg"/><Relationship Id="rId11" Type="http://schemas.openxmlformats.org/officeDocument/2006/relationships/image" Target="../media/image4.png"/><Relationship Id="rId5" Type="http://schemas.openxmlformats.org/officeDocument/2006/relationships/image" Target="../media/image179.jpeg"/><Relationship Id="rId10" Type="http://schemas.openxmlformats.org/officeDocument/2006/relationships/image" Target="../media/image164.jpeg"/><Relationship Id="rId4" Type="http://schemas.openxmlformats.org/officeDocument/2006/relationships/image" Target="../media/image178.jpeg"/><Relationship Id="rId9" Type="http://schemas.openxmlformats.org/officeDocument/2006/relationships/image" Target="../media/image183.jpeg"/><Relationship Id="rId14" Type="http://schemas.openxmlformats.org/officeDocument/2006/relationships/image" Target="../media/image34.png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2.jpeg"/><Relationship Id="rId13" Type="http://schemas.openxmlformats.org/officeDocument/2006/relationships/image" Target="../media/image197.png"/><Relationship Id="rId18" Type="http://schemas.openxmlformats.org/officeDocument/2006/relationships/image" Target="../media/image202.jpeg"/><Relationship Id="rId26" Type="http://schemas.openxmlformats.org/officeDocument/2006/relationships/image" Target="../media/image210.png"/><Relationship Id="rId3" Type="http://schemas.openxmlformats.org/officeDocument/2006/relationships/image" Target="../media/image187.jpeg"/><Relationship Id="rId21" Type="http://schemas.openxmlformats.org/officeDocument/2006/relationships/image" Target="../media/image205.png"/><Relationship Id="rId7" Type="http://schemas.openxmlformats.org/officeDocument/2006/relationships/image" Target="../media/image191.jpeg"/><Relationship Id="rId12" Type="http://schemas.openxmlformats.org/officeDocument/2006/relationships/image" Target="../media/image196.png"/><Relationship Id="rId17" Type="http://schemas.openxmlformats.org/officeDocument/2006/relationships/image" Target="../media/image201.jpeg"/><Relationship Id="rId25" Type="http://schemas.openxmlformats.org/officeDocument/2006/relationships/image" Target="../media/image209.png"/><Relationship Id="rId2" Type="http://schemas.openxmlformats.org/officeDocument/2006/relationships/image" Target="../media/image186.jpeg"/><Relationship Id="rId16" Type="http://schemas.openxmlformats.org/officeDocument/2006/relationships/image" Target="../media/image200.jpeg"/><Relationship Id="rId20" Type="http://schemas.openxmlformats.org/officeDocument/2006/relationships/image" Target="../media/image204.jpeg"/><Relationship Id="rId1" Type="http://schemas.openxmlformats.org/officeDocument/2006/relationships/image" Target="../media/image185.jpeg"/><Relationship Id="rId6" Type="http://schemas.openxmlformats.org/officeDocument/2006/relationships/image" Target="../media/image190.jpeg"/><Relationship Id="rId11" Type="http://schemas.openxmlformats.org/officeDocument/2006/relationships/image" Target="../media/image195.jpeg"/><Relationship Id="rId24" Type="http://schemas.openxmlformats.org/officeDocument/2006/relationships/image" Target="../media/image208.png"/><Relationship Id="rId5" Type="http://schemas.openxmlformats.org/officeDocument/2006/relationships/image" Target="../media/image189.jpeg"/><Relationship Id="rId15" Type="http://schemas.openxmlformats.org/officeDocument/2006/relationships/image" Target="../media/image199.jpeg"/><Relationship Id="rId23" Type="http://schemas.openxmlformats.org/officeDocument/2006/relationships/image" Target="../media/image207.png"/><Relationship Id="rId28" Type="http://schemas.openxmlformats.org/officeDocument/2006/relationships/image" Target="../media/image212.png"/><Relationship Id="rId10" Type="http://schemas.openxmlformats.org/officeDocument/2006/relationships/image" Target="../media/image194.png"/><Relationship Id="rId19" Type="http://schemas.openxmlformats.org/officeDocument/2006/relationships/image" Target="../media/image203.jpeg"/><Relationship Id="rId4" Type="http://schemas.openxmlformats.org/officeDocument/2006/relationships/image" Target="../media/image188.jpeg"/><Relationship Id="rId9" Type="http://schemas.openxmlformats.org/officeDocument/2006/relationships/image" Target="../media/image193.png"/><Relationship Id="rId14" Type="http://schemas.openxmlformats.org/officeDocument/2006/relationships/image" Target="../media/image198.png"/><Relationship Id="rId22" Type="http://schemas.openxmlformats.org/officeDocument/2006/relationships/image" Target="../media/image206.png"/><Relationship Id="rId27" Type="http://schemas.openxmlformats.org/officeDocument/2006/relationships/image" Target="../media/image211.jpe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7.png"/><Relationship Id="rId2" Type="http://schemas.openxmlformats.org/officeDocument/2006/relationships/image" Target="../media/image216.png"/><Relationship Id="rId1" Type="http://schemas.openxmlformats.org/officeDocument/2006/relationships/image" Target="../media/image215.jpeg"/><Relationship Id="rId5" Type="http://schemas.openxmlformats.org/officeDocument/2006/relationships/image" Target="../media/image219.png"/><Relationship Id="rId4" Type="http://schemas.openxmlformats.org/officeDocument/2006/relationships/image" Target="../media/image218.jpe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1.png"/><Relationship Id="rId1" Type="http://schemas.openxmlformats.org/officeDocument/2006/relationships/image" Target="../media/image220.png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0.png"/><Relationship Id="rId3" Type="http://schemas.openxmlformats.org/officeDocument/2006/relationships/image" Target="../media/image225.png"/><Relationship Id="rId7" Type="http://schemas.openxmlformats.org/officeDocument/2006/relationships/image" Target="../media/image229.png"/><Relationship Id="rId2" Type="http://schemas.openxmlformats.org/officeDocument/2006/relationships/image" Target="../media/image224.png"/><Relationship Id="rId1" Type="http://schemas.openxmlformats.org/officeDocument/2006/relationships/image" Target="../media/image223.png"/><Relationship Id="rId6" Type="http://schemas.openxmlformats.org/officeDocument/2006/relationships/image" Target="../media/image228.png"/><Relationship Id="rId11" Type="http://schemas.openxmlformats.org/officeDocument/2006/relationships/image" Target="../media/image233.png"/><Relationship Id="rId5" Type="http://schemas.openxmlformats.org/officeDocument/2006/relationships/image" Target="../media/image227.png"/><Relationship Id="rId10" Type="http://schemas.openxmlformats.org/officeDocument/2006/relationships/image" Target="../media/image232.png"/><Relationship Id="rId4" Type="http://schemas.openxmlformats.org/officeDocument/2006/relationships/image" Target="../media/image226.png"/><Relationship Id="rId9" Type="http://schemas.openxmlformats.org/officeDocument/2006/relationships/image" Target="../media/image231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6.png"/><Relationship Id="rId2" Type="http://schemas.openxmlformats.org/officeDocument/2006/relationships/image" Target="../media/image235.jpeg"/><Relationship Id="rId1" Type="http://schemas.openxmlformats.org/officeDocument/2006/relationships/image" Target="../media/image4.png"/><Relationship Id="rId5" Type="http://schemas.openxmlformats.org/officeDocument/2006/relationships/image" Target="../media/image238.png"/><Relationship Id="rId4" Type="http://schemas.openxmlformats.org/officeDocument/2006/relationships/image" Target="../media/image237.pn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7.jpeg"/><Relationship Id="rId13" Type="http://schemas.openxmlformats.org/officeDocument/2006/relationships/image" Target="../media/image252.png"/><Relationship Id="rId18" Type="http://schemas.openxmlformats.org/officeDocument/2006/relationships/image" Target="../media/image257.png"/><Relationship Id="rId3" Type="http://schemas.openxmlformats.org/officeDocument/2006/relationships/image" Target="../media/image242.jpeg"/><Relationship Id="rId7" Type="http://schemas.openxmlformats.org/officeDocument/2006/relationships/image" Target="../media/image246.jpeg"/><Relationship Id="rId12" Type="http://schemas.openxmlformats.org/officeDocument/2006/relationships/image" Target="../media/image251.png"/><Relationship Id="rId17" Type="http://schemas.openxmlformats.org/officeDocument/2006/relationships/image" Target="../media/image256.png"/><Relationship Id="rId2" Type="http://schemas.openxmlformats.org/officeDocument/2006/relationships/image" Target="../media/image241.png"/><Relationship Id="rId16" Type="http://schemas.openxmlformats.org/officeDocument/2006/relationships/image" Target="../media/image255.png"/><Relationship Id="rId1" Type="http://schemas.openxmlformats.org/officeDocument/2006/relationships/image" Target="../media/image240.jpeg"/><Relationship Id="rId6" Type="http://schemas.openxmlformats.org/officeDocument/2006/relationships/image" Target="../media/image245.jpeg"/><Relationship Id="rId11" Type="http://schemas.openxmlformats.org/officeDocument/2006/relationships/image" Target="../media/image250.jpeg"/><Relationship Id="rId5" Type="http://schemas.openxmlformats.org/officeDocument/2006/relationships/image" Target="../media/image244.jpeg"/><Relationship Id="rId15" Type="http://schemas.openxmlformats.org/officeDocument/2006/relationships/image" Target="../media/image254.jpeg"/><Relationship Id="rId10" Type="http://schemas.openxmlformats.org/officeDocument/2006/relationships/image" Target="../media/image249.jpeg"/><Relationship Id="rId4" Type="http://schemas.openxmlformats.org/officeDocument/2006/relationships/image" Target="../media/image243.jpeg"/><Relationship Id="rId9" Type="http://schemas.openxmlformats.org/officeDocument/2006/relationships/image" Target="../media/image248.jpeg"/><Relationship Id="rId14" Type="http://schemas.openxmlformats.org/officeDocument/2006/relationships/image" Target="../media/image253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NULL"/><Relationship Id="rId1" Type="http://schemas.openxmlformats.org/officeDocument/2006/relationships/image" Target="../media/image260.jpeg"/><Relationship Id="rId4" Type="http://schemas.openxmlformats.org/officeDocument/2006/relationships/image" Target="../media/image261.png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9.png"/><Relationship Id="rId3" Type="http://schemas.openxmlformats.org/officeDocument/2006/relationships/image" Target="../media/image264.jpeg"/><Relationship Id="rId7" Type="http://schemas.openxmlformats.org/officeDocument/2006/relationships/image" Target="../media/image268.png"/><Relationship Id="rId2" Type="http://schemas.openxmlformats.org/officeDocument/2006/relationships/image" Target="../media/image263.jpeg"/><Relationship Id="rId1" Type="http://schemas.openxmlformats.org/officeDocument/2006/relationships/image" Target="../media/image4.png"/><Relationship Id="rId6" Type="http://schemas.openxmlformats.org/officeDocument/2006/relationships/image" Target="../media/image267.png"/><Relationship Id="rId5" Type="http://schemas.openxmlformats.org/officeDocument/2006/relationships/image" Target="../media/image266.png"/><Relationship Id="rId4" Type="http://schemas.openxmlformats.org/officeDocument/2006/relationships/image" Target="../media/image265.png"/><Relationship Id="rId9" Type="http://schemas.openxmlformats.org/officeDocument/2006/relationships/image" Target="../media/image270.jpeg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7.png"/><Relationship Id="rId13" Type="http://schemas.openxmlformats.org/officeDocument/2006/relationships/image" Target="../media/image277.jpeg"/><Relationship Id="rId3" Type="http://schemas.openxmlformats.org/officeDocument/2006/relationships/image" Target="../media/image272.jpeg"/><Relationship Id="rId7" Type="http://schemas.openxmlformats.org/officeDocument/2006/relationships/image" Target="../media/image266.png"/><Relationship Id="rId12" Type="http://schemas.openxmlformats.org/officeDocument/2006/relationships/image" Target="../media/image276.jpeg"/><Relationship Id="rId2" Type="http://schemas.openxmlformats.org/officeDocument/2006/relationships/image" Target="../media/image271.jpeg"/><Relationship Id="rId1" Type="http://schemas.openxmlformats.org/officeDocument/2006/relationships/image" Target="../media/image4.png"/><Relationship Id="rId6" Type="http://schemas.openxmlformats.org/officeDocument/2006/relationships/image" Target="../media/image265.png"/><Relationship Id="rId11" Type="http://schemas.openxmlformats.org/officeDocument/2006/relationships/image" Target="../media/image275.png"/><Relationship Id="rId5" Type="http://schemas.openxmlformats.org/officeDocument/2006/relationships/image" Target="../media/image264.jpeg"/><Relationship Id="rId10" Type="http://schemas.openxmlformats.org/officeDocument/2006/relationships/image" Target="../media/image269.png"/><Relationship Id="rId4" Type="http://schemas.openxmlformats.org/officeDocument/2006/relationships/image" Target="../media/image273.jpeg"/><Relationship Id="rId9" Type="http://schemas.openxmlformats.org/officeDocument/2006/relationships/image" Target="../media/image274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4.jpeg"/><Relationship Id="rId2" Type="http://schemas.openxmlformats.org/officeDocument/2006/relationships/image" Target="../media/image283.jpeg"/><Relationship Id="rId1" Type="http://schemas.openxmlformats.org/officeDocument/2006/relationships/image" Target="../media/image282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7" Type="http://schemas.openxmlformats.org/officeDocument/2006/relationships/image" Target="../media/image13.jpeg"/><Relationship Id="rId2" Type="http://schemas.openxmlformats.org/officeDocument/2006/relationships/image" Target="../media/image8.jpeg"/><Relationship Id="rId1" Type="http://schemas.openxmlformats.org/officeDocument/2006/relationships/image" Target="../media/image4.png"/><Relationship Id="rId6" Type="http://schemas.openxmlformats.org/officeDocument/2006/relationships/image" Target="../media/image12.png"/><Relationship Id="rId5" Type="http://schemas.openxmlformats.org/officeDocument/2006/relationships/image" Target="../media/image11.jpeg"/><Relationship Id="rId4" Type="http://schemas.openxmlformats.org/officeDocument/2006/relationships/image" Target="../media/image10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7" Type="http://schemas.openxmlformats.org/officeDocument/2006/relationships/image" Target="../media/image19.jpeg"/><Relationship Id="rId2" Type="http://schemas.openxmlformats.org/officeDocument/2006/relationships/image" Target="../media/image14.jpeg"/><Relationship Id="rId1" Type="http://schemas.openxmlformats.org/officeDocument/2006/relationships/image" Target="../media/image4.png"/><Relationship Id="rId6" Type="http://schemas.openxmlformats.org/officeDocument/2006/relationships/image" Target="../media/image18.jpeg"/><Relationship Id="rId5" Type="http://schemas.openxmlformats.org/officeDocument/2006/relationships/image" Target="../media/image17.jpeg"/><Relationship Id="rId4" Type="http://schemas.openxmlformats.org/officeDocument/2006/relationships/image" Target="../media/image16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4.png"/><Relationship Id="rId6" Type="http://schemas.openxmlformats.org/officeDocument/2006/relationships/image" Target="../media/image23.jpeg"/><Relationship Id="rId5" Type="http://schemas.openxmlformats.org/officeDocument/2006/relationships/image" Target="../media/image22.jpeg"/><Relationship Id="rId4" Type="http://schemas.microsoft.com/office/2007/relationships/hdphoto" Target="../media/hdphoto1.wdp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png"/><Relationship Id="rId1" Type="http://schemas.openxmlformats.org/officeDocument/2006/relationships/image" Target="../media/image4.png"/><Relationship Id="rId6" Type="http://schemas.openxmlformats.org/officeDocument/2006/relationships/image" Target="../media/image28.jpeg"/><Relationship Id="rId5" Type="http://schemas.microsoft.com/office/2007/relationships/hdphoto" Target="../media/hdphoto2.wdp"/><Relationship Id="rId4" Type="http://schemas.openxmlformats.org/officeDocument/2006/relationships/image" Target="../media/image2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2" Type="http://schemas.openxmlformats.org/officeDocument/2006/relationships/image" Target="../media/image29.png"/><Relationship Id="rId1" Type="http://schemas.openxmlformats.org/officeDocument/2006/relationships/image" Target="../media/image4.png"/><Relationship Id="rId5" Type="http://schemas.openxmlformats.org/officeDocument/2006/relationships/image" Target="../media/image32.png"/><Relationship Id="rId4" Type="http://schemas.openxmlformats.org/officeDocument/2006/relationships/image" Target="../media/image31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24.jpe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33.jpe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37.jpe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37.jpe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37.jpe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7.jpe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82.png"/><Relationship Id="rId1" Type="http://schemas.openxmlformats.org/officeDocument/2006/relationships/image" Target="../media/image7.jpeg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92.jpeg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0.png"/><Relationship Id="rId1" Type="http://schemas.openxmlformats.org/officeDocument/2006/relationships/image" Target="../media/image7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108.jpeg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0.png"/><Relationship Id="rId1" Type="http://schemas.openxmlformats.org/officeDocument/2006/relationships/image" Target="../media/image7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8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8.jpe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7.jpe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165.jpe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7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7.png"/><Relationship Id="rId1" Type="http://schemas.openxmlformats.org/officeDocument/2006/relationships/image" Target="../media/image7.jpeg"/></Relationships>
</file>

<file path=xl/drawings/_rels/vmlDrawing3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8.png"/><Relationship Id="rId1" Type="http://schemas.openxmlformats.org/officeDocument/2006/relationships/image" Target="../media/image7.jpeg"/></Relationships>
</file>

<file path=xl/drawings/_rels/vmlDrawing32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165.jpeg"/></Relationships>
</file>

<file path=xl/drawings/_rels/vmlDrawing33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165.jpeg"/></Relationships>
</file>

<file path=xl/drawings/_rels/vmlDrawing3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13.png"/><Relationship Id="rId1" Type="http://schemas.openxmlformats.org/officeDocument/2006/relationships/image" Target="../media/image7.jpe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214.jpeg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214.jpeg"/></Relationships>
</file>

<file path=xl/drawings/_rels/vmlDrawing3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8.png"/><Relationship Id="rId1" Type="http://schemas.openxmlformats.org/officeDocument/2006/relationships/image" Target="../media/image7.jpeg"/></Relationships>
</file>

<file path=xl/drawings/_rels/vmlDrawing3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22.png"/><Relationship Id="rId1" Type="http://schemas.openxmlformats.org/officeDocument/2006/relationships/image" Target="../media/image7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34.png"/><Relationship Id="rId1" Type="http://schemas.openxmlformats.org/officeDocument/2006/relationships/image" Target="../media/image7.jpeg"/></Relationships>
</file>

<file path=xl/drawings/_rels/vmlDrawing4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39.png"/><Relationship Id="rId1" Type="http://schemas.openxmlformats.org/officeDocument/2006/relationships/image" Target="../media/image7.jpeg"/></Relationships>
</file>

<file path=xl/drawings/_rels/vmlDrawing4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58.png"/><Relationship Id="rId1" Type="http://schemas.openxmlformats.org/officeDocument/2006/relationships/image" Target="../media/image7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259.jpeg"/></Relationships>
</file>

<file path=xl/drawings/_rels/vmlDrawing4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62.png"/><Relationship Id="rId1" Type="http://schemas.openxmlformats.org/officeDocument/2006/relationships/image" Target="../media/image7.jpeg"/></Relationships>
</file>

<file path=xl/drawings/_rels/vmlDrawing4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7.png"/><Relationship Id="rId1" Type="http://schemas.openxmlformats.org/officeDocument/2006/relationships/image" Target="../media/image7.jpeg"/></Relationships>
</file>

<file path=xl/drawings/_rels/vmlDrawing4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78.png"/><Relationship Id="rId1" Type="http://schemas.openxmlformats.org/officeDocument/2006/relationships/image" Target="../media/image7.jpeg"/></Relationships>
</file>

<file path=xl/drawings/_rels/vmlDrawing4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79.png"/><Relationship Id="rId1" Type="http://schemas.openxmlformats.org/officeDocument/2006/relationships/image" Target="../media/image7.jpeg"/></Relationships>
</file>

<file path=xl/drawings/_rels/vmlDrawing4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80.png"/><Relationship Id="rId1" Type="http://schemas.openxmlformats.org/officeDocument/2006/relationships/image" Target="../media/image7.jpeg"/></Relationships>
</file>

<file path=xl/drawings/_rels/vmlDrawing4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80.png"/><Relationship Id="rId1" Type="http://schemas.openxmlformats.org/officeDocument/2006/relationships/image" Target="../media/image7.jpe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_rels/vmlDrawing5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85.png"/><Relationship Id="rId1" Type="http://schemas.openxmlformats.org/officeDocument/2006/relationships/image" Target="../media/image7.jpeg"/></Relationships>
</file>

<file path=xl/drawings/_rels/vmlDrawing5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86.png"/><Relationship Id="rId1" Type="http://schemas.openxmlformats.org/officeDocument/2006/relationships/image" Target="../media/image7.jpeg"/></Relationships>
</file>

<file path=xl/drawings/_rels/vmlDrawing5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86.png"/><Relationship Id="rId1" Type="http://schemas.openxmlformats.org/officeDocument/2006/relationships/image" Target="../media/image7.jpeg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88.png"/><Relationship Id="rId1" Type="http://schemas.openxmlformats.org/officeDocument/2006/relationships/image" Target="../media/image7.jpeg"/></Relationships>
</file>

<file path=xl/drawings/_rels/vmlDrawing5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89.png"/><Relationship Id="rId1" Type="http://schemas.openxmlformats.org/officeDocument/2006/relationships/image" Target="../media/image7.jpeg"/></Relationships>
</file>

<file path=xl/drawings/_rels/vmlDrawing5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90.png"/><Relationship Id="rId1" Type="http://schemas.openxmlformats.org/officeDocument/2006/relationships/image" Target="../media/image7.jpeg"/></Relationships>
</file>

<file path=xl/drawings/_rels/vmlDrawing5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91.png"/><Relationship Id="rId1" Type="http://schemas.openxmlformats.org/officeDocument/2006/relationships/image" Target="../media/image7.jpe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2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51527</xdr:colOff>
      <xdr:row>31</xdr:row>
      <xdr:rowOff>171333</xdr:rowOff>
    </xdr:from>
    <xdr:ext cx="3098074" cy="460761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SpPr txBox="1"/>
      </xdr:nvSpPr>
      <xdr:spPr>
        <a:xfrm>
          <a:off x="6980647" y="5840613"/>
          <a:ext cx="3098074" cy="460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2000" b="1" baseline="0">
              <a:latin typeface="Montserrat" pitchFamily="50" charset="-52"/>
            </a:rPr>
            <a:t>Редакция от  23.09.19</a:t>
          </a:r>
        </a:p>
        <a:p>
          <a:pPr lvl="1">
            <a:lnSpc>
              <a:spcPts val="1080"/>
            </a:lnSpc>
          </a:pPr>
          <a:endParaRPr lang="ru-RU" sz="900" b="0" baseline="0">
            <a:latin typeface="Montserrat" pitchFamily="50" charset="-52"/>
          </a:endParaRPr>
        </a:p>
      </xdr:txBody>
    </xdr:sp>
    <xdr:clientData/>
  </xdr:oneCellAnchor>
  <xdr:twoCellAnchor>
    <xdr:from>
      <xdr:col>0</xdr:col>
      <xdr:colOff>11206</xdr:colOff>
      <xdr:row>1</xdr:row>
      <xdr:rowOff>1</xdr:rowOff>
    </xdr:from>
    <xdr:to>
      <xdr:col>17</xdr:col>
      <xdr:colOff>16323</xdr:colOff>
      <xdr:row>41</xdr:row>
      <xdr:rowOff>27915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1206" y="190501"/>
          <a:ext cx="10292117" cy="7647914"/>
        </a:xfrm>
        <a:prstGeom prst="rect">
          <a:avLst/>
        </a:prstGeom>
      </xdr:spPr>
    </xdr:pic>
    <xdr:clientData/>
  </xdr:twoCellAnchor>
  <xdr:twoCellAnchor>
    <xdr:from>
      <xdr:col>8</xdr:col>
      <xdr:colOff>335853</xdr:colOff>
      <xdr:row>14</xdr:row>
      <xdr:rowOff>163601</xdr:rowOff>
    </xdr:from>
    <xdr:to>
      <xdr:col>16</xdr:col>
      <xdr:colOff>481853</xdr:colOff>
      <xdr:row>24</xdr:row>
      <xdr:rowOff>44822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SpPr txBox="1"/>
      </xdr:nvSpPr>
      <xdr:spPr>
        <a:xfrm>
          <a:off x="5176794" y="2830601"/>
          <a:ext cx="4986941" cy="178622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4000" b="0">
              <a:solidFill>
                <a:sysClr val="windowText" lastClr="000000"/>
              </a:solidFill>
              <a:latin typeface="Montserrat" pitchFamily="50" charset="-52"/>
            </a:rPr>
            <a:t>ПРАЙС-ЛИСТ</a:t>
          </a:r>
          <a:r>
            <a:rPr lang="ru-RU" sz="4000" b="0" baseline="0">
              <a:solidFill>
                <a:sysClr val="windowText" lastClr="000000"/>
              </a:solidFill>
              <a:latin typeface="Montserrat" pitchFamily="50" charset="-52"/>
            </a:rPr>
            <a:t>  </a:t>
          </a:r>
        </a:p>
        <a:p>
          <a:pPr algn="l">
            <a:lnSpc>
              <a:spcPts val="2160"/>
            </a:lnSpc>
          </a:pPr>
          <a:r>
            <a:rPr lang="ru-RU" sz="1800" b="0" baseline="0">
              <a:solidFill>
                <a:sysClr val="windowText" lastClr="000000"/>
              </a:solidFill>
              <a:latin typeface="Montserrat" pitchFamily="50" charset="-52"/>
            </a:rPr>
            <a:t>от  16.02.24г. (редакция </a:t>
          </a:r>
          <a:r>
            <a:rPr lang="en-GB" sz="1800" b="0" baseline="0">
              <a:solidFill>
                <a:sysClr val="windowText" lastClr="000000"/>
              </a:solidFill>
              <a:latin typeface="Montserrat" pitchFamily="50" charset="-52"/>
            </a:rPr>
            <a:t>2</a:t>
          </a:r>
          <a:r>
            <a:rPr lang="ru-RU" sz="1800" b="0" baseline="0">
              <a:solidFill>
                <a:sysClr val="windowText" lastClr="000000"/>
              </a:solidFill>
              <a:latin typeface="Montserrat" pitchFamily="50" charset="-52"/>
            </a:rPr>
            <a:t>) </a:t>
          </a:r>
          <a:endParaRPr lang="en-US" sz="1800" b="0" baseline="0">
            <a:solidFill>
              <a:sysClr val="windowText" lastClr="000000"/>
            </a:solidFill>
            <a:latin typeface="Montserrat" pitchFamily="50" charset="-52"/>
          </a:endParaRPr>
        </a:p>
        <a:p>
          <a:pPr algn="l">
            <a:lnSpc>
              <a:spcPts val="2160"/>
            </a:lnSpc>
          </a:pPr>
          <a:endParaRPr lang="ru-RU" sz="1800" b="0" baseline="0">
            <a:solidFill>
              <a:sysClr val="windowText" lastClr="000000"/>
            </a:solidFill>
            <a:latin typeface="Montserrat" pitchFamily="50" charset="-52"/>
          </a:endParaRPr>
        </a:p>
        <a:p>
          <a:pPr algn="l">
            <a:lnSpc>
              <a:spcPts val="2160"/>
            </a:lnSpc>
          </a:pPr>
          <a:endParaRPr lang="ru-RU" sz="1800" b="0" baseline="0">
            <a:solidFill>
              <a:sysClr val="windowText" lastClr="000000"/>
            </a:solidFill>
            <a:latin typeface="Montserrat" pitchFamily="50" charset="-52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11</xdr:row>
      <xdr:rowOff>0</xdr:rowOff>
    </xdr:from>
    <xdr:to>
      <xdr:col>8</xdr:col>
      <xdr:colOff>5123</xdr:colOff>
      <xdr:row>11</xdr:row>
      <xdr:rowOff>47081</xdr:rowOff>
    </xdr:to>
    <xdr:pic>
      <xdr:nvPicPr>
        <xdr:cNvPr id="41" name="Рисунок 40" descr="галочка.png">
          <a:extLst>
            <a:ext uri="{FF2B5EF4-FFF2-40B4-BE49-F238E27FC236}">
              <a16:creationId xmlns:a16="http://schemas.microsoft.com/office/drawing/2014/main" xmlns="" id="{00000000-0008-0000-1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515225" y="687705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8</xdr:col>
      <xdr:colOff>729983</xdr:colOff>
      <xdr:row>11</xdr:row>
      <xdr:rowOff>0</xdr:rowOff>
    </xdr:from>
    <xdr:to>
      <xdr:col>8</xdr:col>
      <xdr:colOff>735106</xdr:colOff>
      <xdr:row>11</xdr:row>
      <xdr:rowOff>123281</xdr:rowOff>
    </xdr:to>
    <xdr:pic>
      <xdr:nvPicPr>
        <xdr:cNvPr id="46" name="Рисунок 45" descr="галочка.png">
          <a:extLst>
            <a:ext uri="{FF2B5EF4-FFF2-40B4-BE49-F238E27FC236}">
              <a16:creationId xmlns:a16="http://schemas.microsoft.com/office/drawing/2014/main" xmlns="" id="{00000000-0008-0000-16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45208" y="981075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11</xdr:row>
      <xdr:rowOff>0</xdr:rowOff>
    </xdr:from>
    <xdr:to>
      <xdr:col>5</xdr:col>
      <xdr:colOff>755516</xdr:colOff>
      <xdr:row>11</xdr:row>
      <xdr:rowOff>123281</xdr:rowOff>
    </xdr:to>
    <xdr:pic>
      <xdr:nvPicPr>
        <xdr:cNvPr id="47" name="Рисунок 46" descr="галочка.png">
          <a:extLst>
            <a:ext uri="{FF2B5EF4-FFF2-40B4-BE49-F238E27FC236}">
              <a16:creationId xmlns:a16="http://schemas.microsoft.com/office/drawing/2014/main" xmlns="" id="{00000000-0008-0000-1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68508" y="9810750"/>
          <a:ext cx="25533" cy="123281"/>
        </a:xfrm>
        <a:prstGeom prst="rect">
          <a:avLst/>
        </a:prstGeom>
      </xdr:spPr>
    </xdr:pic>
    <xdr:clientData/>
  </xdr:twoCellAnchor>
  <xdr:twoCellAnchor editAs="oneCell">
    <xdr:from>
      <xdr:col>6</xdr:col>
      <xdr:colOff>547084</xdr:colOff>
      <xdr:row>2</xdr:row>
      <xdr:rowOff>1</xdr:rowOff>
    </xdr:from>
    <xdr:to>
      <xdr:col>6</xdr:col>
      <xdr:colOff>1047749</xdr:colOff>
      <xdr:row>3</xdr:row>
      <xdr:rowOff>52619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764" t="22112" r="88998" b="2611"/>
        <a:stretch/>
      </xdr:blipFill>
      <xdr:spPr>
        <a:xfrm>
          <a:off x="5071459" y="452439"/>
          <a:ext cx="500665" cy="1195618"/>
        </a:xfrm>
        <a:prstGeom prst="rect">
          <a:avLst/>
        </a:prstGeom>
      </xdr:spPr>
    </xdr:pic>
    <xdr:clientData/>
  </xdr:twoCellAnchor>
  <xdr:twoCellAnchor editAs="oneCell">
    <xdr:from>
      <xdr:col>7</xdr:col>
      <xdr:colOff>535180</xdr:colOff>
      <xdr:row>1</xdr:row>
      <xdr:rowOff>211933</xdr:rowOff>
    </xdr:from>
    <xdr:to>
      <xdr:col>7</xdr:col>
      <xdr:colOff>1035843</xdr:colOff>
      <xdr:row>3</xdr:row>
      <xdr:rowOff>32352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26618" t="22112" r="63144" b="2989"/>
        <a:stretch/>
      </xdr:blipFill>
      <xdr:spPr>
        <a:xfrm>
          <a:off x="6702618" y="438152"/>
          <a:ext cx="500663" cy="1189638"/>
        </a:xfrm>
        <a:prstGeom prst="rect">
          <a:avLst/>
        </a:prstGeom>
      </xdr:spPr>
    </xdr:pic>
    <xdr:clientData/>
  </xdr:twoCellAnchor>
  <xdr:twoCellAnchor editAs="oneCell">
    <xdr:from>
      <xdr:col>8</xdr:col>
      <xdr:colOff>547086</xdr:colOff>
      <xdr:row>1</xdr:row>
      <xdr:rowOff>185738</xdr:rowOff>
    </xdr:from>
    <xdr:to>
      <xdr:col>8</xdr:col>
      <xdr:colOff>1047750</xdr:colOff>
      <xdr:row>3</xdr:row>
      <xdr:rowOff>178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52778" t="22112" r="36984" b="3365"/>
        <a:stretch/>
      </xdr:blipFill>
      <xdr:spPr>
        <a:xfrm>
          <a:off x="8357586" y="411957"/>
          <a:ext cx="500664" cy="1183659"/>
        </a:xfrm>
        <a:prstGeom prst="rect">
          <a:avLst/>
        </a:prstGeom>
      </xdr:spPr>
    </xdr:pic>
    <xdr:clientData/>
  </xdr:twoCellAnchor>
  <xdr:twoCellAnchor editAs="oneCell">
    <xdr:from>
      <xdr:col>9</xdr:col>
      <xdr:colOff>476248</xdr:colOff>
      <xdr:row>12</xdr:row>
      <xdr:rowOff>11908</xdr:rowOff>
    </xdr:from>
    <xdr:to>
      <xdr:col>9</xdr:col>
      <xdr:colOff>964405</xdr:colOff>
      <xdr:row>13</xdr:row>
      <xdr:rowOff>37526</xdr:rowOff>
    </xdr:to>
    <xdr:pic>
      <xdr:nvPicPr>
        <xdr:cNvPr id="19" name="Рисунок 18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89023" t="22393" r="892" b="3272"/>
        <a:stretch/>
      </xdr:blipFill>
      <xdr:spPr>
        <a:xfrm>
          <a:off x="9929811" y="4310064"/>
          <a:ext cx="488157" cy="1168618"/>
        </a:xfrm>
        <a:prstGeom prst="rect">
          <a:avLst/>
        </a:prstGeom>
      </xdr:spPr>
    </xdr:pic>
    <xdr:clientData/>
  </xdr:twoCellAnchor>
  <xdr:twoCellAnchor editAs="oneCell">
    <xdr:from>
      <xdr:col>9</xdr:col>
      <xdr:colOff>476174</xdr:colOff>
      <xdr:row>1</xdr:row>
      <xdr:rowOff>192883</xdr:rowOff>
    </xdr:from>
    <xdr:to>
      <xdr:col>9</xdr:col>
      <xdr:colOff>988218</xdr:colOff>
      <xdr:row>3</xdr:row>
      <xdr:rowOff>11906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78663" t="22112" r="10946" b="3647"/>
        <a:stretch/>
      </xdr:blipFill>
      <xdr:spPr>
        <a:xfrm>
          <a:off x="9929737" y="419102"/>
          <a:ext cx="512044" cy="1188242"/>
        </a:xfrm>
        <a:prstGeom prst="rect">
          <a:avLst/>
        </a:prstGeom>
      </xdr:spPr>
    </xdr:pic>
    <xdr:clientData/>
  </xdr:twoCellAnchor>
  <xdr:twoCellAnchor editAs="oneCell">
    <xdr:from>
      <xdr:col>6</xdr:col>
      <xdr:colOff>523877</xdr:colOff>
      <xdr:row>12</xdr:row>
      <xdr:rowOff>11907</xdr:rowOff>
    </xdr:from>
    <xdr:to>
      <xdr:col>6</xdr:col>
      <xdr:colOff>1001333</xdr:colOff>
      <xdr:row>13</xdr:row>
      <xdr:rowOff>11907</xdr:rowOff>
    </xdr:to>
    <xdr:pic>
      <xdr:nvPicPr>
        <xdr:cNvPr id="22" name="Рисунок 21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124" t="22488" r="78791" b="3177"/>
        <a:stretch/>
      </xdr:blipFill>
      <xdr:spPr>
        <a:xfrm>
          <a:off x="5048252" y="4310063"/>
          <a:ext cx="477456" cy="1143000"/>
        </a:xfrm>
        <a:prstGeom prst="rect">
          <a:avLst/>
        </a:prstGeom>
      </xdr:spPr>
    </xdr:pic>
    <xdr:clientData/>
  </xdr:twoCellAnchor>
  <xdr:twoCellAnchor editAs="oneCell">
    <xdr:from>
      <xdr:col>7</xdr:col>
      <xdr:colOff>619123</xdr:colOff>
      <xdr:row>11</xdr:row>
      <xdr:rowOff>214312</xdr:rowOff>
    </xdr:from>
    <xdr:to>
      <xdr:col>7</xdr:col>
      <xdr:colOff>1119186</xdr:colOff>
      <xdr:row>13</xdr:row>
      <xdr:rowOff>39275</xdr:rowOff>
    </xdr:to>
    <xdr:pic>
      <xdr:nvPicPr>
        <xdr:cNvPr id="23" name="Рисунок 22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36795" t="22018" r="52967" b="2707"/>
        <a:stretch/>
      </xdr:blipFill>
      <xdr:spPr>
        <a:xfrm>
          <a:off x="6786561" y="4286250"/>
          <a:ext cx="500063" cy="1194181"/>
        </a:xfrm>
        <a:prstGeom prst="rect">
          <a:avLst/>
        </a:prstGeom>
      </xdr:spPr>
    </xdr:pic>
    <xdr:clientData/>
  </xdr:twoCellAnchor>
  <xdr:twoCellAnchor editAs="oneCell">
    <xdr:from>
      <xdr:col>8</xdr:col>
      <xdr:colOff>535781</xdr:colOff>
      <xdr:row>11</xdr:row>
      <xdr:rowOff>226217</xdr:rowOff>
    </xdr:from>
    <xdr:to>
      <xdr:col>8</xdr:col>
      <xdr:colOff>1012030</xdr:colOff>
      <xdr:row>13</xdr:row>
      <xdr:rowOff>40684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6281" y="4298155"/>
          <a:ext cx="476249" cy="118368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99911</xdr:colOff>
      <xdr:row>2</xdr:row>
      <xdr:rowOff>0</xdr:rowOff>
    </xdr:from>
    <xdr:to>
      <xdr:col>10</xdr:col>
      <xdr:colOff>952498</xdr:colOff>
      <xdr:row>2</xdr:row>
      <xdr:rowOff>1132382</xdr:rowOff>
    </xdr:to>
    <xdr:grpSp>
      <xdr:nvGrpSpPr>
        <xdr:cNvPr id="20" name="Группа 19"/>
        <xdr:cNvGrpSpPr/>
      </xdr:nvGrpSpPr>
      <xdr:grpSpPr>
        <a:xfrm>
          <a:off x="10482161" y="462643"/>
          <a:ext cx="852587" cy="1132382"/>
          <a:chOff x="11041756" y="201557"/>
          <a:chExt cx="1246476" cy="1383262"/>
        </a:xfrm>
      </xdr:grpSpPr>
      <xdr:pic>
        <xdr:nvPicPr>
          <xdr:cNvPr id="26" name="Рисунок 25" descr="корсика.png">
            <a:extLst>
              <a:ext uri="{FF2B5EF4-FFF2-40B4-BE49-F238E27FC236}">
                <a16:creationId xmlns:a16="http://schemas.microsoft.com/office/drawing/2014/main" xmlns="" id="{00000000-0008-0000-16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>
          <a:xfrm>
            <a:off x="11671637" y="202406"/>
            <a:ext cx="616595" cy="1382413"/>
          </a:xfrm>
          <a:prstGeom prst="rect">
            <a:avLst/>
          </a:prstGeom>
        </xdr:spPr>
      </xdr:pic>
      <xdr:pic>
        <xdr:nvPicPr>
          <xdr:cNvPr id="34" name="Рисунок 33" descr="корсика.png">
            <a:extLst>
              <a:ext uri="{FF2B5EF4-FFF2-40B4-BE49-F238E27FC236}">
                <a16:creationId xmlns:a16="http://schemas.microsoft.com/office/drawing/2014/main" xmlns="" id="{00000000-0008-0000-1600-00002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1041756" y="201557"/>
            <a:ext cx="619649" cy="1381963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376941</xdr:colOff>
      <xdr:row>2</xdr:row>
      <xdr:rowOff>11905</xdr:rowOff>
    </xdr:from>
    <xdr:to>
      <xdr:col>12</xdr:col>
      <xdr:colOff>1345406</xdr:colOff>
      <xdr:row>3</xdr:row>
      <xdr:rowOff>3276</xdr:rowOff>
    </xdr:to>
    <xdr:grpSp>
      <xdr:nvGrpSpPr>
        <xdr:cNvPr id="9" name="Группа 8">
          <a:extLst>
            <a:ext uri="{FF2B5EF4-FFF2-40B4-BE49-F238E27FC236}">
              <a16:creationId xmlns:a16="http://schemas.microsoft.com/office/drawing/2014/main" xmlns="" id="{00000000-0008-0000-1600-000009000000}"/>
            </a:ext>
          </a:extLst>
        </xdr:cNvPr>
        <xdr:cNvGrpSpPr/>
      </xdr:nvGrpSpPr>
      <xdr:grpSpPr>
        <a:xfrm>
          <a:off x="12854691" y="474548"/>
          <a:ext cx="968465" cy="1134371"/>
          <a:chOff x="11570858" y="1138440"/>
          <a:chExt cx="1225804" cy="1389302"/>
        </a:xfrm>
      </xdr:grpSpPr>
      <xdr:pic>
        <xdr:nvPicPr>
          <xdr:cNvPr id="28" name="Рисунок 27" descr="корсика.png">
            <a:extLst>
              <a:ext uri="{FF2B5EF4-FFF2-40B4-BE49-F238E27FC236}">
                <a16:creationId xmlns:a16="http://schemas.microsoft.com/office/drawing/2014/main" xmlns="" id="{00000000-0008-0000-1600-00001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>
          <a:xfrm>
            <a:off x="12178440" y="1138440"/>
            <a:ext cx="618222" cy="1389302"/>
          </a:xfrm>
          <a:prstGeom prst="rect">
            <a:avLst/>
          </a:prstGeom>
        </xdr:spPr>
      </xdr:pic>
      <xdr:pic>
        <xdr:nvPicPr>
          <xdr:cNvPr id="36" name="Рисунок 35" descr="корсика.png">
            <a:extLst>
              <a:ext uri="{FF2B5EF4-FFF2-40B4-BE49-F238E27FC236}">
                <a16:creationId xmlns:a16="http://schemas.microsoft.com/office/drawing/2014/main" xmlns="" id="{00000000-0008-0000-1600-00002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/>
          <a:stretch>
            <a:fillRect/>
          </a:stretch>
        </xdr:blipFill>
        <xdr:spPr>
          <a:xfrm>
            <a:off x="11570858" y="1138667"/>
            <a:ext cx="619649" cy="1388850"/>
          </a:xfrm>
          <a:prstGeom prst="rect">
            <a:avLst/>
          </a:prstGeom>
        </xdr:spPr>
      </xdr:pic>
    </xdr:grpSp>
    <xdr:clientData/>
  </xdr:twoCellAnchor>
  <xdr:twoCellAnchor>
    <xdr:from>
      <xdr:col>13</xdr:col>
      <xdr:colOff>379011</xdr:colOff>
      <xdr:row>1</xdr:row>
      <xdr:rowOff>226217</xdr:rowOff>
    </xdr:from>
    <xdr:to>
      <xdr:col>13</xdr:col>
      <xdr:colOff>1238251</xdr:colOff>
      <xdr:row>3</xdr:row>
      <xdr:rowOff>28111</xdr:rowOff>
    </xdr:to>
    <xdr:grpSp>
      <xdr:nvGrpSpPr>
        <xdr:cNvPr id="10" name="Группа 9">
          <a:extLst>
            <a:ext uri="{FF2B5EF4-FFF2-40B4-BE49-F238E27FC236}">
              <a16:creationId xmlns:a16="http://schemas.microsoft.com/office/drawing/2014/main" xmlns="" id="{00000000-0008-0000-1600-00000A000000}"/>
            </a:ext>
          </a:extLst>
        </xdr:cNvPr>
        <xdr:cNvGrpSpPr/>
      </xdr:nvGrpSpPr>
      <xdr:grpSpPr>
        <a:xfrm>
          <a:off x="14571261" y="457538"/>
          <a:ext cx="859240" cy="1176216"/>
          <a:chOff x="13007458" y="1149325"/>
          <a:chExt cx="1218349" cy="1389304"/>
        </a:xfrm>
      </xdr:grpSpPr>
      <xdr:pic>
        <xdr:nvPicPr>
          <xdr:cNvPr id="29" name="Рисунок 28" descr="корсика.png">
            <a:extLst>
              <a:ext uri="{FF2B5EF4-FFF2-40B4-BE49-F238E27FC236}">
                <a16:creationId xmlns:a16="http://schemas.microsoft.com/office/drawing/2014/main" xmlns="" id="{00000000-0008-0000-1600-00001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13607584" y="1149325"/>
            <a:ext cx="618223" cy="1389304"/>
          </a:xfrm>
          <a:prstGeom prst="rect">
            <a:avLst/>
          </a:prstGeom>
        </xdr:spPr>
      </xdr:pic>
      <xdr:pic>
        <xdr:nvPicPr>
          <xdr:cNvPr id="37" name="Рисунок 36" descr="корсика.png">
            <a:extLst>
              <a:ext uri="{FF2B5EF4-FFF2-40B4-BE49-F238E27FC236}">
                <a16:creationId xmlns:a16="http://schemas.microsoft.com/office/drawing/2014/main" xmlns="" id="{00000000-0008-0000-1600-00002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/>
          <a:stretch>
            <a:fillRect/>
          </a:stretch>
        </xdr:blipFill>
        <xdr:spPr>
          <a:xfrm>
            <a:off x="13007458" y="1149326"/>
            <a:ext cx="619036" cy="1389302"/>
          </a:xfrm>
          <a:prstGeom prst="rect">
            <a:avLst/>
          </a:prstGeom>
        </xdr:spPr>
      </xdr:pic>
    </xdr:grpSp>
    <xdr:clientData/>
  </xdr:twoCellAnchor>
  <xdr:twoCellAnchor>
    <xdr:from>
      <xdr:col>7</xdr:col>
      <xdr:colOff>364244</xdr:colOff>
      <xdr:row>2</xdr:row>
      <xdr:rowOff>0</xdr:rowOff>
    </xdr:from>
    <xdr:to>
      <xdr:col>7</xdr:col>
      <xdr:colOff>1292505</xdr:colOff>
      <xdr:row>2</xdr:row>
      <xdr:rowOff>1137339</xdr:rowOff>
    </xdr:to>
    <xdr:grpSp>
      <xdr:nvGrpSpPr>
        <xdr:cNvPr id="8" name="Группа 7"/>
        <xdr:cNvGrpSpPr/>
      </xdr:nvGrpSpPr>
      <xdr:grpSpPr>
        <a:xfrm>
          <a:off x="6269744" y="462643"/>
          <a:ext cx="928261" cy="1137339"/>
          <a:chOff x="6162588" y="226219"/>
          <a:chExt cx="1278707" cy="1373818"/>
        </a:xfrm>
      </xdr:grpSpPr>
      <xdr:pic>
        <xdr:nvPicPr>
          <xdr:cNvPr id="33" name="Рисунок 32" descr="корсика.png">
            <a:extLst>
              <a:ext uri="{FF2B5EF4-FFF2-40B4-BE49-F238E27FC236}">
                <a16:creationId xmlns:a16="http://schemas.microsoft.com/office/drawing/2014/main" xmlns="" id="{00000000-0008-0000-1600-00002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/>
          <a:stretch>
            <a:fillRect/>
          </a:stretch>
        </xdr:blipFill>
        <xdr:spPr>
          <a:xfrm>
            <a:off x="6162588" y="226219"/>
            <a:ext cx="618023" cy="1371388"/>
          </a:xfrm>
          <a:prstGeom prst="rect">
            <a:avLst/>
          </a:prstGeom>
        </xdr:spPr>
      </xdr:pic>
      <xdr:pic>
        <xdr:nvPicPr>
          <xdr:cNvPr id="35" name="Рисунок 34" descr="корсика.png">
            <a:extLst>
              <a:ext uri="{FF2B5EF4-FFF2-40B4-BE49-F238E27FC236}">
                <a16:creationId xmlns:a16="http://schemas.microsoft.com/office/drawing/2014/main" xmlns="" id="{00000000-0008-0000-1600-00002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/>
          <a:stretch>
            <a:fillRect/>
          </a:stretch>
        </xdr:blipFill>
        <xdr:spPr>
          <a:xfrm>
            <a:off x="6822259" y="250031"/>
            <a:ext cx="619036" cy="1350006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385352</xdr:colOff>
      <xdr:row>2</xdr:row>
      <xdr:rowOff>59531</xdr:rowOff>
    </xdr:from>
    <xdr:to>
      <xdr:col>6</xdr:col>
      <xdr:colOff>1250156</xdr:colOff>
      <xdr:row>2</xdr:row>
      <xdr:rowOff>1135165</xdr:rowOff>
    </xdr:to>
    <xdr:grpSp>
      <xdr:nvGrpSpPr>
        <xdr:cNvPr id="4" name="Группа 3"/>
        <xdr:cNvGrpSpPr/>
      </xdr:nvGrpSpPr>
      <xdr:grpSpPr>
        <a:xfrm>
          <a:off x="4576352" y="522174"/>
          <a:ext cx="864804" cy="1075634"/>
          <a:chOff x="4445382" y="297656"/>
          <a:chExt cx="1209739" cy="1349478"/>
        </a:xfrm>
      </xdr:grpSpPr>
      <xdr:pic>
        <xdr:nvPicPr>
          <xdr:cNvPr id="19" name="Рисунок 18" descr="корсика.png">
            <a:extLst>
              <a:ext uri="{FF2B5EF4-FFF2-40B4-BE49-F238E27FC236}">
                <a16:creationId xmlns:a16="http://schemas.microsoft.com/office/drawing/2014/main" xmlns="" id="{00000000-0008-0000-16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/>
          <a:stretch>
            <a:fillRect/>
          </a:stretch>
        </xdr:blipFill>
        <xdr:spPr>
          <a:xfrm>
            <a:off x="4445382" y="297657"/>
            <a:ext cx="619649" cy="1349477"/>
          </a:xfrm>
          <a:prstGeom prst="rect">
            <a:avLst/>
          </a:prstGeom>
        </xdr:spPr>
      </xdr:pic>
      <xdr:pic>
        <xdr:nvPicPr>
          <xdr:cNvPr id="38" name="Рисунок 37" descr="корсика.png">
            <a:extLst>
              <a:ext uri="{FF2B5EF4-FFF2-40B4-BE49-F238E27FC236}">
                <a16:creationId xmlns:a16="http://schemas.microsoft.com/office/drawing/2014/main" xmlns="" id="{00000000-0008-0000-1600-00002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/>
          <a:stretch>
            <a:fillRect/>
          </a:stretch>
        </xdr:blipFill>
        <xdr:spPr>
          <a:xfrm>
            <a:off x="5085622" y="297656"/>
            <a:ext cx="569499" cy="1347661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156822</xdr:colOff>
      <xdr:row>2</xdr:row>
      <xdr:rowOff>-1</xdr:rowOff>
    </xdr:from>
    <xdr:to>
      <xdr:col>8</xdr:col>
      <xdr:colOff>1583529</xdr:colOff>
      <xdr:row>3</xdr:row>
      <xdr:rowOff>3053</xdr:rowOff>
    </xdr:to>
    <xdr:grpSp>
      <xdr:nvGrpSpPr>
        <xdr:cNvPr id="18" name="Группа 17"/>
        <xdr:cNvGrpSpPr/>
      </xdr:nvGrpSpPr>
      <xdr:grpSpPr>
        <a:xfrm>
          <a:off x="7776822" y="462642"/>
          <a:ext cx="1426707" cy="1146054"/>
          <a:chOff x="7586324" y="511969"/>
          <a:chExt cx="1319551" cy="1086522"/>
        </a:xfrm>
      </xdr:grpSpPr>
      <xdr:pic>
        <xdr:nvPicPr>
          <xdr:cNvPr id="25" name="Рисунок 24" descr="корсика.png">
            <a:extLst>
              <a:ext uri="{FF2B5EF4-FFF2-40B4-BE49-F238E27FC236}">
                <a16:creationId xmlns:a16="http://schemas.microsoft.com/office/drawing/2014/main" xmlns="" id="{00000000-0008-0000-1600-00001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/>
          <a:stretch>
            <a:fillRect/>
          </a:stretch>
        </xdr:blipFill>
        <xdr:spPr>
          <a:xfrm>
            <a:off x="7586324" y="511969"/>
            <a:ext cx="439357" cy="1084907"/>
          </a:xfrm>
          <a:prstGeom prst="rect">
            <a:avLst/>
          </a:prstGeom>
        </xdr:spPr>
      </xdr:pic>
      <xdr:pic>
        <xdr:nvPicPr>
          <xdr:cNvPr id="27" name="Рисунок 26" descr="корсика.png">
            <a:extLst>
              <a:ext uri="{FF2B5EF4-FFF2-40B4-BE49-F238E27FC236}">
                <a16:creationId xmlns:a16="http://schemas.microsoft.com/office/drawing/2014/main" xmlns="" id="{00000000-0008-0000-1600-00001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/>
          <a:stretch>
            <a:fillRect/>
          </a:stretch>
        </xdr:blipFill>
        <xdr:spPr>
          <a:xfrm>
            <a:off x="8046327" y="511969"/>
            <a:ext cx="438779" cy="1086522"/>
          </a:xfrm>
          <a:prstGeom prst="rect">
            <a:avLst/>
          </a:prstGeom>
        </xdr:spPr>
      </xdr:pic>
      <xdr:pic>
        <xdr:nvPicPr>
          <xdr:cNvPr id="39" name="Рисунок 38" descr="корсика.png">
            <a:extLst>
              <a:ext uri="{FF2B5EF4-FFF2-40B4-BE49-F238E27FC236}">
                <a16:creationId xmlns:a16="http://schemas.microsoft.com/office/drawing/2014/main" xmlns="" id="{00000000-0008-0000-1600-00002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/>
          <a:stretch>
            <a:fillRect/>
          </a:stretch>
        </xdr:blipFill>
        <xdr:spPr>
          <a:xfrm>
            <a:off x="8499948" y="512886"/>
            <a:ext cx="405927" cy="1084975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652950</xdr:colOff>
      <xdr:row>13</xdr:row>
      <xdr:rowOff>0</xdr:rowOff>
    </xdr:from>
    <xdr:to>
      <xdr:col>6</xdr:col>
      <xdr:colOff>1153196</xdr:colOff>
      <xdr:row>14</xdr:row>
      <xdr:rowOff>3634</xdr:rowOff>
    </xdr:to>
    <xdr:pic>
      <xdr:nvPicPr>
        <xdr:cNvPr id="164" name="Рисунок 163" descr="корсика.png">
          <a:extLst>
            <a:ext uri="{FF2B5EF4-FFF2-40B4-BE49-F238E27FC236}">
              <a16:creationId xmlns:a16="http://schemas.microsoft.com/office/drawing/2014/main" xmlns="" id="{00000000-0008-0000-16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891575" y="6203156"/>
          <a:ext cx="500246" cy="1146634"/>
        </a:xfrm>
        <a:prstGeom prst="rect">
          <a:avLst/>
        </a:prstGeom>
      </xdr:spPr>
    </xdr:pic>
    <xdr:clientData/>
  </xdr:twoCellAnchor>
  <xdr:twoCellAnchor>
    <xdr:from>
      <xdr:col>9</xdr:col>
      <xdr:colOff>47070</xdr:colOff>
      <xdr:row>13</xdr:row>
      <xdr:rowOff>59531</xdr:rowOff>
    </xdr:from>
    <xdr:to>
      <xdr:col>9</xdr:col>
      <xdr:colOff>976312</xdr:colOff>
      <xdr:row>14</xdr:row>
      <xdr:rowOff>17803</xdr:rowOff>
    </xdr:to>
    <xdr:grpSp>
      <xdr:nvGrpSpPr>
        <xdr:cNvPr id="16" name="Группа 15">
          <a:extLst>
            <a:ext uri="{FF2B5EF4-FFF2-40B4-BE49-F238E27FC236}">
              <a16:creationId xmlns:a16="http://schemas.microsoft.com/office/drawing/2014/main" xmlns="" id="{00000000-0008-0000-1600-000010000000}"/>
            </a:ext>
          </a:extLst>
        </xdr:cNvPr>
        <xdr:cNvGrpSpPr/>
      </xdr:nvGrpSpPr>
      <xdr:grpSpPr>
        <a:xfrm>
          <a:off x="9381570" y="4372995"/>
          <a:ext cx="929242" cy="1101272"/>
          <a:chOff x="7307159" y="11615280"/>
          <a:chExt cx="1230555" cy="1375232"/>
        </a:xfrm>
      </xdr:grpSpPr>
      <xdr:pic>
        <xdr:nvPicPr>
          <xdr:cNvPr id="166" name="Рисунок 165" descr="корсика.png">
            <a:extLst>
              <a:ext uri="{FF2B5EF4-FFF2-40B4-BE49-F238E27FC236}">
                <a16:creationId xmlns:a16="http://schemas.microsoft.com/office/drawing/2014/main" xmlns="" id="{00000000-0008-0000-1600-0000A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/>
          <a:stretch>
            <a:fillRect/>
          </a:stretch>
        </xdr:blipFill>
        <xdr:spPr>
          <a:xfrm>
            <a:off x="7946548" y="11625944"/>
            <a:ext cx="591166" cy="1364568"/>
          </a:xfrm>
          <a:prstGeom prst="rect">
            <a:avLst/>
          </a:prstGeom>
        </xdr:spPr>
      </xdr:pic>
      <xdr:pic>
        <xdr:nvPicPr>
          <xdr:cNvPr id="172" name="Рисунок 171" descr="корсика.png">
            <a:extLst>
              <a:ext uri="{FF2B5EF4-FFF2-40B4-BE49-F238E27FC236}">
                <a16:creationId xmlns:a16="http://schemas.microsoft.com/office/drawing/2014/main" xmlns="" id="{00000000-0008-0000-1600-0000A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/>
          <a:stretch>
            <a:fillRect/>
          </a:stretch>
        </xdr:blipFill>
        <xdr:spPr>
          <a:xfrm>
            <a:off x="7307159" y="11615280"/>
            <a:ext cx="594092" cy="1364124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308544</xdr:colOff>
      <xdr:row>13</xdr:row>
      <xdr:rowOff>59532</xdr:rowOff>
    </xdr:from>
    <xdr:to>
      <xdr:col>8</xdr:col>
      <xdr:colOff>1293555</xdr:colOff>
      <xdr:row>14</xdr:row>
      <xdr:rowOff>0</xdr:rowOff>
    </xdr:to>
    <xdr:grpSp>
      <xdr:nvGrpSpPr>
        <xdr:cNvPr id="21" name="Группа 20"/>
        <xdr:cNvGrpSpPr/>
      </xdr:nvGrpSpPr>
      <xdr:grpSpPr>
        <a:xfrm>
          <a:off x="7928544" y="4372996"/>
          <a:ext cx="985011" cy="1083468"/>
          <a:chOff x="7761856" y="6215063"/>
          <a:chExt cx="985011" cy="1083468"/>
        </a:xfrm>
      </xdr:grpSpPr>
      <xdr:pic>
        <xdr:nvPicPr>
          <xdr:cNvPr id="165" name="Рисунок 164" descr="корсика.png">
            <a:extLst>
              <a:ext uri="{FF2B5EF4-FFF2-40B4-BE49-F238E27FC236}">
                <a16:creationId xmlns:a16="http://schemas.microsoft.com/office/drawing/2014/main" xmlns="" id="{00000000-0008-0000-1600-0000A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/>
          <a:stretch>
            <a:fillRect/>
          </a:stretch>
        </xdr:blipFill>
        <xdr:spPr>
          <a:xfrm>
            <a:off x="7761856" y="6215064"/>
            <a:ext cx="465364" cy="1079280"/>
          </a:xfrm>
          <a:prstGeom prst="rect">
            <a:avLst/>
          </a:prstGeom>
        </xdr:spPr>
      </xdr:pic>
      <xdr:pic>
        <xdr:nvPicPr>
          <xdr:cNvPr id="167" name="Рисунок 166" descr="корсика.png">
            <a:extLst>
              <a:ext uri="{FF2B5EF4-FFF2-40B4-BE49-F238E27FC236}">
                <a16:creationId xmlns:a16="http://schemas.microsoft.com/office/drawing/2014/main" xmlns="" id="{00000000-0008-0000-1600-0000A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/>
          <a:stretch>
            <a:fillRect/>
          </a:stretch>
        </xdr:blipFill>
        <xdr:spPr>
          <a:xfrm>
            <a:off x="8272248" y="6215063"/>
            <a:ext cx="474619" cy="1083468"/>
          </a:xfrm>
          <a:prstGeom prst="rect">
            <a:avLst/>
          </a:prstGeom>
        </xdr:spPr>
      </xdr:pic>
    </xdr:grpSp>
    <xdr:clientData/>
  </xdr:twoCellAnchor>
  <xdr:twoCellAnchor>
    <xdr:from>
      <xdr:col>7</xdr:col>
      <xdr:colOff>341113</xdr:colOff>
      <xdr:row>13</xdr:row>
      <xdr:rowOff>23812</xdr:rowOff>
    </xdr:from>
    <xdr:to>
      <xdr:col>7</xdr:col>
      <xdr:colOff>1309687</xdr:colOff>
      <xdr:row>13</xdr:row>
      <xdr:rowOff>1089365</xdr:rowOff>
    </xdr:to>
    <xdr:grpSp>
      <xdr:nvGrpSpPr>
        <xdr:cNvPr id="31" name="Группа 30"/>
        <xdr:cNvGrpSpPr/>
      </xdr:nvGrpSpPr>
      <xdr:grpSpPr>
        <a:xfrm>
          <a:off x="6246613" y="4337276"/>
          <a:ext cx="968574" cy="1065553"/>
          <a:chOff x="6318051" y="6250781"/>
          <a:chExt cx="1008612" cy="1101272"/>
        </a:xfrm>
      </xdr:grpSpPr>
      <xdr:pic>
        <xdr:nvPicPr>
          <xdr:cNvPr id="171" name="Рисунок 170" descr="корсика.png">
            <a:extLst>
              <a:ext uri="{FF2B5EF4-FFF2-40B4-BE49-F238E27FC236}">
                <a16:creationId xmlns:a16="http://schemas.microsoft.com/office/drawing/2014/main" xmlns="" id="{00000000-0008-0000-1600-0000A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/>
          <a:stretch>
            <a:fillRect/>
          </a:stretch>
        </xdr:blipFill>
        <xdr:spPr>
          <a:xfrm>
            <a:off x="6318051" y="6250781"/>
            <a:ext cx="465364" cy="1079280"/>
          </a:xfrm>
          <a:prstGeom prst="rect">
            <a:avLst/>
          </a:prstGeom>
        </xdr:spPr>
      </xdr:pic>
      <xdr:pic>
        <xdr:nvPicPr>
          <xdr:cNvPr id="173" name="Рисунок 172" descr="корсика.png">
            <a:extLst>
              <a:ext uri="{FF2B5EF4-FFF2-40B4-BE49-F238E27FC236}">
                <a16:creationId xmlns:a16="http://schemas.microsoft.com/office/drawing/2014/main" xmlns="" id="{00000000-0008-0000-1600-0000A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/>
          <a:stretch>
            <a:fillRect/>
          </a:stretch>
        </xdr:blipFill>
        <xdr:spPr>
          <a:xfrm>
            <a:off x="6842973" y="6250781"/>
            <a:ext cx="483690" cy="1101272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256385</xdr:colOff>
      <xdr:row>13</xdr:row>
      <xdr:rowOff>23813</xdr:rowOff>
    </xdr:from>
    <xdr:to>
      <xdr:col>12</xdr:col>
      <xdr:colOff>1238250</xdr:colOff>
      <xdr:row>13</xdr:row>
      <xdr:rowOff>1135971</xdr:rowOff>
    </xdr:to>
    <xdr:grpSp>
      <xdr:nvGrpSpPr>
        <xdr:cNvPr id="14" name="Группа 13">
          <a:extLst>
            <a:ext uri="{FF2B5EF4-FFF2-40B4-BE49-F238E27FC236}">
              <a16:creationId xmlns:a16="http://schemas.microsoft.com/office/drawing/2014/main" xmlns="" id="{00000000-0008-0000-1600-00000E000000}"/>
            </a:ext>
          </a:extLst>
        </xdr:cNvPr>
        <xdr:cNvGrpSpPr/>
      </xdr:nvGrpSpPr>
      <xdr:grpSpPr>
        <a:xfrm>
          <a:off x="12734135" y="4337277"/>
          <a:ext cx="981865" cy="1112158"/>
          <a:chOff x="11506431" y="11615059"/>
          <a:chExt cx="1200540" cy="1364568"/>
        </a:xfrm>
      </xdr:grpSpPr>
      <xdr:pic>
        <xdr:nvPicPr>
          <xdr:cNvPr id="168" name="Рисунок 167" descr="корсика.png">
            <a:extLst>
              <a:ext uri="{FF2B5EF4-FFF2-40B4-BE49-F238E27FC236}">
                <a16:creationId xmlns:a16="http://schemas.microsoft.com/office/drawing/2014/main" xmlns="" id="{00000000-0008-0000-1600-0000A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/>
          <a:stretch>
            <a:fillRect/>
          </a:stretch>
        </xdr:blipFill>
        <xdr:spPr>
          <a:xfrm>
            <a:off x="12114246" y="11615059"/>
            <a:ext cx="592725" cy="1364568"/>
          </a:xfrm>
          <a:prstGeom prst="rect">
            <a:avLst/>
          </a:prstGeom>
        </xdr:spPr>
      </xdr:pic>
      <xdr:pic>
        <xdr:nvPicPr>
          <xdr:cNvPr id="174" name="Рисунок 173" descr="корсика.png">
            <a:extLst>
              <a:ext uri="{FF2B5EF4-FFF2-40B4-BE49-F238E27FC236}">
                <a16:creationId xmlns:a16="http://schemas.microsoft.com/office/drawing/2014/main" xmlns="" id="{00000000-0008-0000-1600-0000A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print"/>
          <a:stretch>
            <a:fillRect/>
          </a:stretch>
        </xdr:blipFill>
        <xdr:spPr>
          <a:xfrm>
            <a:off x="11506431" y="11615280"/>
            <a:ext cx="594092" cy="1364124"/>
          </a:xfrm>
          <a:prstGeom prst="rect">
            <a:avLst/>
          </a:prstGeom>
        </xdr:spPr>
      </xdr:pic>
    </xdr:grpSp>
    <xdr:clientData/>
  </xdr:twoCellAnchor>
  <xdr:twoCellAnchor>
    <xdr:from>
      <xdr:col>13</xdr:col>
      <xdr:colOff>307735</xdr:colOff>
      <xdr:row>13</xdr:row>
      <xdr:rowOff>11906</xdr:rowOff>
    </xdr:from>
    <xdr:to>
      <xdr:col>13</xdr:col>
      <xdr:colOff>1178719</xdr:colOff>
      <xdr:row>13</xdr:row>
      <xdr:rowOff>1114201</xdr:rowOff>
    </xdr:to>
    <xdr:grpSp>
      <xdr:nvGrpSpPr>
        <xdr:cNvPr id="13" name="Группа 12">
          <a:extLst>
            <a:ext uri="{FF2B5EF4-FFF2-40B4-BE49-F238E27FC236}">
              <a16:creationId xmlns:a16="http://schemas.microsoft.com/office/drawing/2014/main" xmlns="" id="{00000000-0008-0000-1600-00000D000000}"/>
            </a:ext>
          </a:extLst>
        </xdr:cNvPr>
        <xdr:cNvGrpSpPr/>
      </xdr:nvGrpSpPr>
      <xdr:grpSpPr>
        <a:xfrm>
          <a:off x="14499985" y="4325370"/>
          <a:ext cx="870984" cy="1102295"/>
          <a:chOff x="12935164" y="11636829"/>
          <a:chExt cx="1194496" cy="1364570"/>
        </a:xfrm>
      </xdr:grpSpPr>
      <xdr:pic>
        <xdr:nvPicPr>
          <xdr:cNvPr id="169" name="Рисунок 168" descr="корсика.png">
            <a:extLst>
              <a:ext uri="{FF2B5EF4-FFF2-40B4-BE49-F238E27FC236}">
                <a16:creationId xmlns:a16="http://schemas.microsoft.com/office/drawing/2014/main" xmlns="" id="{00000000-0008-0000-1600-0000A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print"/>
          <a:stretch>
            <a:fillRect/>
          </a:stretch>
        </xdr:blipFill>
        <xdr:spPr>
          <a:xfrm>
            <a:off x="13536934" y="11636829"/>
            <a:ext cx="592726" cy="1364570"/>
          </a:xfrm>
          <a:prstGeom prst="rect">
            <a:avLst/>
          </a:prstGeom>
        </xdr:spPr>
      </xdr:pic>
      <xdr:pic>
        <xdr:nvPicPr>
          <xdr:cNvPr id="175" name="Рисунок 174" descr="корсика.png">
            <a:extLst>
              <a:ext uri="{FF2B5EF4-FFF2-40B4-BE49-F238E27FC236}">
                <a16:creationId xmlns:a16="http://schemas.microsoft.com/office/drawing/2014/main" xmlns="" id="{00000000-0008-0000-1600-0000A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 cstate="print"/>
          <a:stretch>
            <a:fillRect/>
          </a:stretch>
        </xdr:blipFill>
        <xdr:spPr>
          <a:xfrm>
            <a:off x="12935164" y="11636830"/>
            <a:ext cx="593506" cy="1364568"/>
          </a:xfrm>
          <a:prstGeom prst="rect">
            <a:avLst/>
          </a:prstGeom>
        </xdr:spPr>
      </xdr:pic>
    </xdr:grpSp>
    <xdr:clientData/>
  </xdr:twoCellAnchor>
  <xdr:twoCellAnchor editAs="oneCell">
    <xdr:from>
      <xdr:col>9</xdr:col>
      <xdr:colOff>0</xdr:colOff>
      <xdr:row>12</xdr:row>
      <xdr:rowOff>0</xdr:rowOff>
    </xdr:from>
    <xdr:to>
      <xdr:col>9</xdr:col>
      <xdr:colOff>5123</xdr:colOff>
      <xdr:row>12</xdr:row>
      <xdr:rowOff>47081</xdr:rowOff>
    </xdr:to>
    <xdr:pic>
      <xdr:nvPicPr>
        <xdr:cNvPr id="41" name="Рисунок 40" descr="галочка.png">
          <a:extLst>
            <a:ext uri="{FF2B5EF4-FFF2-40B4-BE49-F238E27FC236}">
              <a16:creationId xmlns:a16="http://schemas.microsoft.com/office/drawing/2014/main" xmlns="" id="{00000000-0008-0000-1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178283" y="672727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12</xdr:row>
      <xdr:rowOff>0</xdr:rowOff>
    </xdr:from>
    <xdr:to>
      <xdr:col>4</xdr:col>
      <xdr:colOff>735106</xdr:colOff>
      <xdr:row>13</xdr:row>
      <xdr:rowOff>525713</xdr:rowOff>
    </xdr:to>
    <xdr:pic>
      <xdr:nvPicPr>
        <xdr:cNvPr id="57" name="Рисунок 56" descr="галочка.png">
          <a:extLst>
            <a:ext uri="{FF2B5EF4-FFF2-40B4-BE49-F238E27FC236}">
              <a16:creationId xmlns:a16="http://schemas.microsoft.com/office/drawing/2014/main" xmlns="" id="{00000000-0008-0000-1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480803" y="7201620"/>
          <a:ext cx="5123" cy="751931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12</xdr:row>
      <xdr:rowOff>0</xdr:rowOff>
    </xdr:from>
    <xdr:to>
      <xdr:col>4</xdr:col>
      <xdr:colOff>735106</xdr:colOff>
      <xdr:row>13</xdr:row>
      <xdr:rowOff>525713</xdr:rowOff>
    </xdr:to>
    <xdr:pic>
      <xdr:nvPicPr>
        <xdr:cNvPr id="58" name="Рисунок 57" descr="галочка.png">
          <a:extLst>
            <a:ext uri="{FF2B5EF4-FFF2-40B4-BE49-F238E27FC236}">
              <a16:creationId xmlns:a16="http://schemas.microsoft.com/office/drawing/2014/main" xmlns="" id="{00000000-0008-0000-16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480803" y="7201620"/>
          <a:ext cx="5123" cy="751931"/>
        </a:xfrm>
        <a:prstGeom prst="rect">
          <a:avLst/>
        </a:prstGeom>
      </xdr:spPr>
    </xdr:pic>
    <xdr:clientData/>
  </xdr:twoCellAnchor>
  <xdr:oneCellAnchor>
    <xdr:from>
      <xdr:col>4</xdr:col>
      <xdr:colOff>729983</xdr:colOff>
      <xdr:row>12</xdr:row>
      <xdr:rowOff>0</xdr:rowOff>
    </xdr:from>
    <xdr:ext cx="5123" cy="751931"/>
    <xdr:pic>
      <xdr:nvPicPr>
        <xdr:cNvPr id="59" name="Рисунок 58" descr="галочка.png">
          <a:extLst>
            <a:ext uri="{FF2B5EF4-FFF2-40B4-BE49-F238E27FC236}">
              <a16:creationId xmlns:a16="http://schemas.microsoft.com/office/drawing/2014/main" xmlns="" id="{00000000-0008-0000-16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480803" y="7011120"/>
          <a:ext cx="5123" cy="751931"/>
        </a:xfrm>
        <a:prstGeom prst="rect">
          <a:avLst/>
        </a:prstGeom>
      </xdr:spPr>
    </xdr:pic>
    <xdr:clientData/>
  </xdr:oneCellAnchor>
  <xdr:oneCellAnchor>
    <xdr:from>
      <xdr:col>4</xdr:col>
      <xdr:colOff>729983</xdr:colOff>
      <xdr:row>12</xdr:row>
      <xdr:rowOff>0</xdr:rowOff>
    </xdr:from>
    <xdr:ext cx="5123" cy="751931"/>
    <xdr:pic>
      <xdr:nvPicPr>
        <xdr:cNvPr id="60" name="Рисунок 59" descr="галочка.png">
          <a:extLst>
            <a:ext uri="{FF2B5EF4-FFF2-40B4-BE49-F238E27FC236}">
              <a16:creationId xmlns:a16="http://schemas.microsoft.com/office/drawing/2014/main" xmlns="" id="{00000000-0008-0000-16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480803" y="7011120"/>
          <a:ext cx="5123" cy="751931"/>
        </a:xfrm>
        <a:prstGeom prst="rect">
          <a:avLst/>
        </a:prstGeom>
      </xdr:spPr>
    </xdr:pic>
    <xdr:clientData/>
  </xdr:oneCellAnchor>
  <xdr:twoCellAnchor editAs="oneCell">
    <xdr:from>
      <xdr:col>9</xdr:col>
      <xdr:colOff>729983</xdr:colOff>
      <xdr:row>12</xdr:row>
      <xdr:rowOff>0</xdr:rowOff>
    </xdr:from>
    <xdr:to>
      <xdr:col>9</xdr:col>
      <xdr:colOff>735106</xdr:colOff>
      <xdr:row>12</xdr:row>
      <xdr:rowOff>123281</xdr:rowOff>
    </xdr:to>
    <xdr:pic>
      <xdr:nvPicPr>
        <xdr:cNvPr id="73" name="Рисунок 72" descr="галочка.png">
          <a:extLst>
            <a:ext uri="{FF2B5EF4-FFF2-40B4-BE49-F238E27FC236}">
              <a16:creationId xmlns:a16="http://schemas.microsoft.com/office/drawing/2014/main" xmlns="" id="{00000000-0008-0000-16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260323" y="992124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12</xdr:row>
      <xdr:rowOff>0</xdr:rowOff>
    </xdr:from>
    <xdr:to>
      <xdr:col>5</xdr:col>
      <xdr:colOff>755516</xdr:colOff>
      <xdr:row>12</xdr:row>
      <xdr:rowOff>123281</xdr:rowOff>
    </xdr:to>
    <xdr:pic>
      <xdr:nvPicPr>
        <xdr:cNvPr id="74" name="Рисунок 73" descr="галочка.png">
          <a:extLst>
            <a:ext uri="{FF2B5EF4-FFF2-40B4-BE49-F238E27FC236}">
              <a16:creationId xmlns:a16="http://schemas.microsoft.com/office/drawing/2014/main" xmlns="" id="{00000000-0008-0000-1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4288523" y="9921240"/>
          <a:ext cx="25533" cy="123281"/>
        </a:xfrm>
        <a:prstGeom prst="rect">
          <a:avLst/>
        </a:prstGeom>
      </xdr:spPr>
    </xdr:pic>
    <xdr:clientData/>
  </xdr:twoCellAnchor>
  <xdr:twoCellAnchor>
    <xdr:from>
      <xdr:col>10</xdr:col>
      <xdr:colOff>71440</xdr:colOff>
      <xdr:row>13</xdr:row>
      <xdr:rowOff>35718</xdr:rowOff>
    </xdr:from>
    <xdr:to>
      <xdr:col>10</xdr:col>
      <xdr:colOff>964406</xdr:colOff>
      <xdr:row>14</xdr:row>
      <xdr:rowOff>40862</xdr:rowOff>
    </xdr:to>
    <xdr:grpSp>
      <xdr:nvGrpSpPr>
        <xdr:cNvPr id="23" name="Группа 22"/>
        <xdr:cNvGrpSpPr/>
      </xdr:nvGrpSpPr>
      <xdr:grpSpPr>
        <a:xfrm>
          <a:off x="10453690" y="4349182"/>
          <a:ext cx="892966" cy="1148144"/>
          <a:chOff x="10501314" y="6203155"/>
          <a:chExt cx="962041" cy="1160051"/>
        </a:xfrm>
      </xdr:grpSpPr>
      <xdr:pic>
        <xdr:nvPicPr>
          <xdr:cNvPr id="52" name="Рисунок 51">
            <a:extLst>
              <a:ext uri="{FF2B5EF4-FFF2-40B4-BE49-F238E27FC236}">
                <a16:creationId xmlns:a16="http://schemas.microsoft.com/office/drawing/2014/main" xmlns="" id="{00000000-0008-0000-16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40293" t="268" r="54520" b="59641"/>
          <a:stretch/>
        </xdr:blipFill>
        <xdr:spPr>
          <a:xfrm>
            <a:off x="10501314" y="6213585"/>
            <a:ext cx="500062" cy="1149621"/>
          </a:xfrm>
          <a:prstGeom prst="rect">
            <a:avLst/>
          </a:prstGeom>
        </xdr:spPr>
      </xdr:pic>
      <xdr:pic>
        <xdr:nvPicPr>
          <xdr:cNvPr id="56" name="Рисунок 55">
            <a:extLst>
              <a:ext uri="{FF2B5EF4-FFF2-40B4-BE49-F238E27FC236}">
                <a16:creationId xmlns:a16="http://schemas.microsoft.com/office/drawing/2014/main" xmlns="" id="{00000000-0008-0000-16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62235" t="268" r="32898" b="61903"/>
          <a:stretch/>
        </xdr:blipFill>
        <xdr:spPr>
          <a:xfrm>
            <a:off x="10989469" y="6203155"/>
            <a:ext cx="473886" cy="1095375"/>
          </a:xfrm>
          <a:prstGeom prst="rect">
            <a:avLst/>
          </a:prstGeom>
        </xdr:spPr>
      </xdr:pic>
    </xdr:grpSp>
    <xdr:clientData/>
  </xdr:twoCellAnchor>
  <xdr:twoCellAnchor>
    <xdr:from>
      <xdr:col>11</xdr:col>
      <xdr:colOff>109408</xdr:colOff>
      <xdr:row>13</xdr:row>
      <xdr:rowOff>23812</xdr:rowOff>
    </xdr:from>
    <xdr:to>
      <xdr:col>11</xdr:col>
      <xdr:colOff>916781</xdr:colOff>
      <xdr:row>13</xdr:row>
      <xdr:rowOff>1142997</xdr:rowOff>
    </xdr:to>
    <xdr:grpSp>
      <xdr:nvGrpSpPr>
        <xdr:cNvPr id="24" name="Группа 23"/>
        <xdr:cNvGrpSpPr/>
      </xdr:nvGrpSpPr>
      <xdr:grpSpPr>
        <a:xfrm>
          <a:off x="11539408" y="4337276"/>
          <a:ext cx="807373" cy="1119185"/>
          <a:chOff x="11587033" y="6176964"/>
          <a:chExt cx="914528" cy="1169190"/>
        </a:xfrm>
      </xdr:grpSpPr>
      <xdr:pic>
        <xdr:nvPicPr>
          <xdr:cNvPr id="54" name="Рисунок 53">
            <a:extLst>
              <a:ext uri="{FF2B5EF4-FFF2-40B4-BE49-F238E27FC236}">
                <a16:creationId xmlns:a16="http://schemas.microsoft.com/office/drawing/2014/main" xmlns="" id="{00000000-0008-0000-16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45568" t="-537" r="49645" b="60831"/>
          <a:stretch/>
        </xdr:blipFill>
        <xdr:spPr>
          <a:xfrm>
            <a:off x="11587033" y="6176964"/>
            <a:ext cx="473997" cy="1169190"/>
          </a:xfrm>
          <a:prstGeom prst="rect">
            <a:avLst/>
          </a:prstGeom>
        </xdr:spPr>
      </xdr:pic>
      <xdr:pic>
        <xdr:nvPicPr>
          <xdr:cNvPr id="61" name="Рисунок 60">
            <a:extLst>
              <a:ext uri="{FF2B5EF4-FFF2-40B4-BE49-F238E27FC236}">
                <a16:creationId xmlns:a16="http://schemas.microsoft.com/office/drawing/2014/main" xmlns="" id="{00000000-0008-0000-16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67101" t="268" r="28032" b="61250"/>
          <a:stretch/>
        </xdr:blipFill>
        <xdr:spPr>
          <a:xfrm>
            <a:off x="12013404" y="6187707"/>
            <a:ext cx="488157" cy="1147825"/>
          </a:xfrm>
          <a:prstGeom prst="rect">
            <a:avLst/>
          </a:prstGeom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71336</xdr:colOff>
      <xdr:row>2</xdr:row>
      <xdr:rowOff>19050</xdr:rowOff>
    </xdr:from>
    <xdr:to>
      <xdr:col>10</xdr:col>
      <xdr:colOff>561975</xdr:colOff>
      <xdr:row>3</xdr:row>
      <xdr:rowOff>8461</xdr:rowOff>
    </xdr:to>
    <xdr:pic>
      <xdr:nvPicPr>
        <xdr:cNvPr id="2" name="Рисунок 1" descr="корсика.png">
          <a:extLst>
            <a:ext uri="{FF2B5EF4-FFF2-40B4-BE49-F238E27FC236}">
              <a16:creationId xmlns:a16="http://schemas.microsoft.com/office/drawing/2014/main" xmlns="" id="{00000000-0008-0000-1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510361" y="476250"/>
          <a:ext cx="490639" cy="1132411"/>
        </a:xfrm>
        <a:prstGeom prst="rect">
          <a:avLst/>
        </a:prstGeom>
      </xdr:spPr>
    </xdr:pic>
    <xdr:clientData/>
  </xdr:twoCellAnchor>
  <xdr:twoCellAnchor>
    <xdr:from>
      <xdr:col>7</xdr:col>
      <xdr:colOff>304800</xdr:colOff>
      <xdr:row>2</xdr:row>
      <xdr:rowOff>0</xdr:rowOff>
    </xdr:from>
    <xdr:to>
      <xdr:col>7</xdr:col>
      <xdr:colOff>809625</xdr:colOff>
      <xdr:row>3</xdr:row>
      <xdr:rowOff>1835</xdr:rowOff>
    </xdr:to>
    <xdr:pic>
      <xdr:nvPicPr>
        <xdr:cNvPr id="3" name="Рисунок 2" descr="корсика.png">
          <a:extLst>
            <a:ext uri="{FF2B5EF4-FFF2-40B4-BE49-F238E27FC236}">
              <a16:creationId xmlns:a16="http://schemas.microsoft.com/office/drawing/2014/main" xmlns="" id="{00000000-0008-0000-1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943475" y="457200"/>
          <a:ext cx="504825" cy="1144835"/>
        </a:xfrm>
        <a:prstGeom prst="rect">
          <a:avLst/>
        </a:prstGeom>
      </xdr:spPr>
    </xdr:pic>
    <xdr:clientData/>
  </xdr:twoCellAnchor>
  <xdr:twoCellAnchor>
    <xdr:from>
      <xdr:col>6</xdr:col>
      <xdr:colOff>385352</xdr:colOff>
      <xdr:row>2</xdr:row>
      <xdr:rowOff>28575</xdr:rowOff>
    </xdr:from>
    <xdr:to>
      <xdr:col>6</xdr:col>
      <xdr:colOff>847725</xdr:colOff>
      <xdr:row>3</xdr:row>
      <xdr:rowOff>1690</xdr:rowOff>
    </xdr:to>
    <xdr:pic>
      <xdr:nvPicPr>
        <xdr:cNvPr id="4" name="Рисунок 3" descr="корсика.png">
          <a:extLst>
            <a:ext uri="{FF2B5EF4-FFF2-40B4-BE49-F238E27FC236}">
              <a16:creationId xmlns:a16="http://schemas.microsoft.com/office/drawing/2014/main" xmlns="" id="{00000000-0008-0000-1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42952" y="485775"/>
          <a:ext cx="462373" cy="1116115"/>
        </a:xfrm>
        <a:prstGeom prst="rect">
          <a:avLst/>
        </a:prstGeom>
      </xdr:spPr>
    </xdr:pic>
    <xdr:clientData/>
  </xdr:twoCellAnchor>
  <xdr:twoCellAnchor>
    <xdr:from>
      <xdr:col>8</xdr:col>
      <xdr:colOff>156822</xdr:colOff>
      <xdr:row>1</xdr:row>
      <xdr:rowOff>228599</xdr:rowOff>
    </xdr:from>
    <xdr:to>
      <xdr:col>8</xdr:col>
      <xdr:colOff>704850</xdr:colOff>
      <xdr:row>3</xdr:row>
      <xdr:rowOff>49362</xdr:rowOff>
    </xdr:to>
    <xdr:pic>
      <xdr:nvPicPr>
        <xdr:cNvPr id="5" name="Рисунок 4" descr="корсика.png">
          <a:extLst>
            <a:ext uri="{FF2B5EF4-FFF2-40B4-BE49-F238E27FC236}">
              <a16:creationId xmlns:a16="http://schemas.microsoft.com/office/drawing/2014/main" xmlns="" id="{00000000-0008-0000-1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09922" y="457199"/>
          <a:ext cx="548028" cy="1192363"/>
        </a:xfrm>
        <a:prstGeom prst="rect">
          <a:avLst/>
        </a:prstGeom>
      </xdr:spPr>
    </xdr:pic>
    <xdr:clientData/>
  </xdr:twoCellAnchor>
  <xdr:twoCellAnchor>
    <xdr:from>
      <xdr:col>10</xdr:col>
      <xdr:colOff>71336</xdr:colOff>
      <xdr:row>2</xdr:row>
      <xdr:rowOff>19050</xdr:rowOff>
    </xdr:from>
    <xdr:to>
      <xdr:col>10</xdr:col>
      <xdr:colOff>561975</xdr:colOff>
      <xdr:row>3</xdr:row>
      <xdr:rowOff>8461</xdr:rowOff>
    </xdr:to>
    <xdr:pic>
      <xdr:nvPicPr>
        <xdr:cNvPr id="6" name="Рисунок 5" descr="корсика.png">
          <a:extLst>
            <a:ext uri="{FF2B5EF4-FFF2-40B4-BE49-F238E27FC236}">
              <a16:creationId xmlns="" xmlns:a16="http://schemas.microsoft.com/office/drawing/2014/main" id="{00000000-0008-0000-1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510361" y="476250"/>
          <a:ext cx="490639" cy="1132411"/>
        </a:xfrm>
        <a:prstGeom prst="rect">
          <a:avLst/>
        </a:prstGeom>
      </xdr:spPr>
    </xdr:pic>
    <xdr:clientData/>
  </xdr:twoCellAnchor>
  <xdr:twoCellAnchor>
    <xdr:from>
      <xdr:col>7</xdr:col>
      <xdr:colOff>304800</xdr:colOff>
      <xdr:row>2</xdr:row>
      <xdr:rowOff>0</xdr:rowOff>
    </xdr:from>
    <xdr:to>
      <xdr:col>7</xdr:col>
      <xdr:colOff>809625</xdr:colOff>
      <xdr:row>3</xdr:row>
      <xdr:rowOff>1835</xdr:rowOff>
    </xdr:to>
    <xdr:pic>
      <xdr:nvPicPr>
        <xdr:cNvPr id="7" name="Рисунок 6" descr="корсика.png">
          <a:extLst>
            <a:ext uri="{FF2B5EF4-FFF2-40B4-BE49-F238E27FC236}">
              <a16:creationId xmlns="" xmlns:a16="http://schemas.microsoft.com/office/drawing/2014/main" id="{00000000-0008-0000-1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943475" y="457200"/>
          <a:ext cx="504825" cy="1144835"/>
        </a:xfrm>
        <a:prstGeom prst="rect">
          <a:avLst/>
        </a:prstGeom>
      </xdr:spPr>
    </xdr:pic>
    <xdr:clientData/>
  </xdr:twoCellAnchor>
  <xdr:twoCellAnchor>
    <xdr:from>
      <xdr:col>6</xdr:col>
      <xdr:colOff>385352</xdr:colOff>
      <xdr:row>2</xdr:row>
      <xdr:rowOff>28575</xdr:rowOff>
    </xdr:from>
    <xdr:to>
      <xdr:col>6</xdr:col>
      <xdr:colOff>847725</xdr:colOff>
      <xdr:row>3</xdr:row>
      <xdr:rowOff>1690</xdr:rowOff>
    </xdr:to>
    <xdr:pic>
      <xdr:nvPicPr>
        <xdr:cNvPr id="8" name="Рисунок 7" descr="корсика.png">
          <a:extLst>
            <a:ext uri="{FF2B5EF4-FFF2-40B4-BE49-F238E27FC236}">
              <a16:creationId xmlns="" xmlns:a16="http://schemas.microsoft.com/office/drawing/2014/main" id="{00000000-0008-0000-1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42952" y="485775"/>
          <a:ext cx="462373" cy="1116115"/>
        </a:xfrm>
        <a:prstGeom prst="rect">
          <a:avLst/>
        </a:prstGeom>
      </xdr:spPr>
    </xdr:pic>
    <xdr:clientData/>
  </xdr:twoCellAnchor>
  <xdr:twoCellAnchor>
    <xdr:from>
      <xdr:col>8</xdr:col>
      <xdr:colOff>156822</xdr:colOff>
      <xdr:row>1</xdr:row>
      <xdr:rowOff>228599</xdr:rowOff>
    </xdr:from>
    <xdr:to>
      <xdr:col>8</xdr:col>
      <xdr:colOff>704850</xdr:colOff>
      <xdr:row>3</xdr:row>
      <xdr:rowOff>49362</xdr:rowOff>
    </xdr:to>
    <xdr:pic>
      <xdr:nvPicPr>
        <xdr:cNvPr id="9" name="Рисунок 8" descr="корсика.png">
          <a:extLst>
            <a:ext uri="{FF2B5EF4-FFF2-40B4-BE49-F238E27FC236}">
              <a16:creationId xmlns="" xmlns:a16="http://schemas.microsoft.com/office/drawing/2014/main" id="{00000000-0008-0000-1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909922" y="457199"/>
          <a:ext cx="548028" cy="1192363"/>
        </a:xfrm>
        <a:prstGeom prst="rect">
          <a:avLst/>
        </a:prstGeom>
      </xdr:spPr>
    </xdr:pic>
    <xdr:clientData/>
  </xdr:twoCellAnchor>
  <xdr:oneCellAnchor>
    <xdr:from>
      <xdr:col>11</xdr:col>
      <xdr:colOff>0</xdr:colOff>
      <xdr:row>6</xdr:row>
      <xdr:rowOff>0</xdr:rowOff>
    </xdr:from>
    <xdr:ext cx="184731" cy="264560"/>
    <xdr:sp macro="" textlink="">
      <xdr:nvSpPr>
        <xdr:cNvPr id="10" name="TextBox 9">
          <a:extLst>
            <a:ext uri="{FF2B5EF4-FFF2-40B4-BE49-F238E27FC236}">
              <a16:creationId xmlns="" xmlns:a16="http://schemas.microsoft.com/office/drawing/2014/main" id="{00000000-0008-0000-1E00-00000C000000}"/>
            </a:ext>
          </a:extLst>
        </xdr:cNvPr>
        <xdr:cNvSpPr txBox="1"/>
      </xdr:nvSpPr>
      <xdr:spPr>
        <a:xfrm>
          <a:off x="8048625" y="217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</xdr:col>
      <xdr:colOff>291353</xdr:colOff>
      <xdr:row>17</xdr:row>
      <xdr:rowOff>89647</xdr:rowOff>
    </xdr:from>
    <xdr:to>
      <xdr:col>5</xdr:col>
      <xdr:colOff>125300</xdr:colOff>
      <xdr:row>32</xdr:row>
      <xdr:rowOff>118782</xdr:rowOff>
    </xdr:to>
    <xdr:pic>
      <xdr:nvPicPr>
        <xdr:cNvPr id="14" name="Рисунок 13" descr="C:\Users\User\Downloads\20231215_162651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950" r="-1"/>
        <a:stretch/>
      </xdr:blipFill>
      <xdr:spPr bwMode="auto">
        <a:xfrm>
          <a:off x="896471" y="4594412"/>
          <a:ext cx="2254417" cy="288663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8</xdr:col>
      <xdr:colOff>5123</xdr:colOff>
      <xdr:row>10</xdr:row>
      <xdr:rowOff>47081</xdr:rowOff>
    </xdr:to>
    <xdr:pic>
      <xdr:nvPicPr>
        <xdr:cNvPr id="15" name="Рисунок 14" descr="галочка.png">
          <a:extLst>
            <a:ext uri="{FF2B5EF4-FFF2-40B4-BE49-F238E27FC236}">
              <a16:creationId xmlns:a16="http://schemas.microsoft.com/office/drawing/2014/main" xmlns="" id="{00000000-0008-0000-1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800975" y="687705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8</xdr:col>
      <xdr:colOff>729983</xdr:colOff>
      <xdr:row>10</xdr:row>
      <xdr:rowOff>0</xdr:rowOff>
    </xdr:from>
    <xdr:to>
      <xdr:col>8</xdr:col>
      <xdr:colOff>735106</xdr:colOff>
      <xdr:row>10</xdr:row>
      <xdr:rowOff>123281</xdr:rowOff>
    </xdr:to>
    <xdr:pic>
      <xdr:nvPicPr>
        <xdr:cNvPr id="20" name="Рисунок 19" descr="галочка.png">
          <a:extLst>
            <a:ext uri="{FF2B5EF4-FFF2-40B4-BE49-F238E27FC236}">
              <a16:creationId xmlns:a16="http://schemas.microsoft.com/office/drawing/2014/main" xmlns="" id="{00000000-0008-0000-16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30958" y="981075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10</xdr:row>
      <xdr:rowOff>0</xdr:rowOff>
    </xdr:from>
    <xdr:to>
      <xdr:col>5</xdr:col>
      <xdr:colOff>755516</xdr:colOff>
      <xdr:row>10</xdr:row>
      <xdr:rowOff>123281</xdr:rowOff>
    </xdr:to>
    <xdr:pic>
      <xdr:nvPicPr>
        <xdr:cNvPr id="21" name="Рисунок 20" descr="галочка.png">
          <a:extLst>
            <a:ext uri="{FF2B5EF4-FFF2-40B4-BE49-F238E27FC236}">
              <a16:creationId xmlns:a16="http://schemas.microsoft.com/office/drawing/2014/main" xmlns="" id="{00000000-0008-0000-1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68508" y="9810750"/>
          <a:ext cx="25533" cy="123281"/>
        </a:xfrm>
        <a:prstGeom prst="rect">
          <a:avLst/>
        </a:prstGeom>
      </xdr:spPr>
    </xdr:pic>
    <xdr:clientData/>
  </xdr:twoCellAnchor>
  <xdr:twoCellAnchor editAs="oneCell">
    <xdr:from>
      <xdr:col>6</xdr:col>
      <xdr:colOff>490900</xdr:colOff>
      <xdr:row>1</xdr:row>
      <xdr:rowOff>199919</xdr:rowOff>
    </xdr:from>
    <xdr:to>
      <xdr:col>6</xdr:col>
      <xdr:colOff>1034141</xdr:colOff>
      <xdr:row>3</xdr:row>
      <xdr:rowOff>49523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916" t="20941" r="90493" b="4273"/>
        <a:stretch/>
      </xdr:blipFill>
      <xdr:spPr>
        <a:xfrm>
          <a:off x="4967650" y="431240"/>
          <a:ext cx="543241" cy="1223926"/>
        </a:xfrm>
        <a:prstGeom prst="rect">
          <a:avLst/>
        </a:prstGeom>
      </xdr:spPr>
    </xdr:pic>
    <xdr:clientData/>
  </xdr:twoCellAnchor>
  <xdr:twoCellAnchor editAs="oneCell">
    <xdr:from>
      <xdr:col>7</xdr:col>
      <xdr:colOff>478133</xdr:colOff>
      <xdr:row>1</xdr:row>
      <xdr:rowOff>212272</xdr:rowOff>
    </xdr:from>
    <xdr:to>
      <xdr:col>7</xdr:col>
      <xdr:colOff>993321</xdr:colOff>
      <xdr:row>3</xdr:row>
      <xdr:rowOff>40821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22585" t="20902" r="68946" b="3975"/>
        <a:stretch/>
      </xdr:blipFill>
      <xdr:spPr>
        <a:xfrm>
          <a:off x="6601347" y="443593"/>
          <a:ext cx="515188" cy="1202871"/>
        </a:xfrm>
        <a:prstGeom prst="rect">
          <a:avLst/>
        </a:prstGeom>
      </xdr:spPr>
    </xdr:pic>
    <xdr:clientData/>
  </xdr:twoCellAnchor>
  <xdr:twoCellAnchor editAs="oneCell">
    <xdr:from>
      <xdr:col>8</xdr:col>
      <xdr:colOff>508909</xdr:colOff>
      <xdr:row>1</xdr:row>
      <xdr:rowOff>198664</xdr:rowOff>
    </xdr:from>
    <xdr:to>
      <xdr:col>8</xdr:col>
      <xdr:colOff>993323</xdr:colOff>
      <xdr:row>3</xdr:row>
      <xdr:rowOff>29571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4223" t="20363" r="47660" b="4448"/>
        <a:stretch/>
      </xdr:blipFill>
      <xdr:spPr>
        <a:xfrm>
          <a:off x="8278588" y="429985"/>
          <a:ext cx="484414" cy="1205229"/>
        </a:xfrm>
        <a:prstGeom prst="rect">
          <a:avLst/>
        </a:prstGeom>
      </xdr:spPr>
    </xdr:pic>
    <xdr:clientData/>
  </xdr:twoCellAnchor>
  <xdr:twoCellAnchor editAs="oneCell">
    <xdr:from>
      <xdr:col>10</xdr:col>
      <xdr:colOff>249621</xdr:colOff>
      <xdr:row>1</xdr:row>
      <xdr:rowOff>229913</xdr:rowOff>
    </xdr:from>
    <xdr:to>
      <xdr:col>10</xdr:col>
      <xdr:colOff>747923</xdr:colOff>
      <xdr:row>3</xdr:row>
      <xdr:rowOff>54428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65276" t="21104" r="26071" b="3240"/>
        <a:stretch/>
      </xdr:blipFill>
      <xdr:spPr>
        <a:xfrm>
          <a:off x="10713514" y="461234"/>
          <a:ext cx="498302" cy="1198837"/>
        </a:xfrm>
        <a:prstGeom prst="rect">
          <a:avLst/>
        </a:prstGeom>
      </xdr:spPr>
    </xdr:pic>
    <xdr:clientData/>
  </xdr:twoCellAnchor>
  <xdr:twoCellAnchor editAs="oneCell">
    <xdr:from>
      <xdr:col>6</xdr:col>
      <xdr:colOff>526675</xdr:colOff>
      <xdr:row>11</xdr:row>
      <xdr:rowOff>198783</xdr:rowOff>
    </xdr:from>
    <xdr:to>
      <xdr:col>6</xdr:col>
      <xdr:colOff>1030941</xdr:colOff>
      <xdr:row>13</xdr:row>
      <xdr:rowOff>93600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9643" t="20732" r="82022" b="3049"/>
        <a:stretch/>
      </xdr:blipFill>
      <xdr:spPr>
        <a:xfrm>
          <a:off x="5024132" y="4133022"/>
          <a:ext cx="504266" cy="1269730"/>
        </a:xfrm>
        <a:prstGeom prst="rect">
          <a:avLst/>
        </a:prstGeom>
      </xdr:spPr>
    </xdr:pic>
    <xdr:clientData/>
  </xdr:twoCellAnchor>
  <xdr:twoCellAnchor editAs="oneCell">
    <xdr:from>
      <xdr:col>7</xdr:col>
      <xdr:colOff>481853</xdr:colOff>
      <xdr:row>11</xdr:row>
      <xdr:rowOff>201706</xdr:rowOff>
    </xdr:from>
    <xdr:to>
      <xdr:col>7</xdr:col>
      <xdr:colOff>1019736</xdr:colOff>
      <xdr:row>13</xdr:row>
      <xdr:rowOff>173320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31015" t="20000" r="60370"/>
        <a:stretch/>
      </xdr:blipFill>
      <xdr:spPr>
        <a:xfrm>
          <a:off x="6645088" y="4112559"/>
          <a:ext cx="537883" cy="1338732"/>
        </a:xfrm>
        <a:prstGeom prst="rect">
          <a:avLst/>
        </a:prstGeom>
      </xdr:spPr>
    </xdr:pic>
    <xdr:clientData/>
  </xdr:twoCellAnchor>
  <xdr:twoCellAnchor editAs="oneCell">
    <xdr:from>
      <xdr:col>9</xdr:col>
      <xdr:colOff>190499</xdr:colOff>
      <xdr:row>11</xdr:row>
      <xdr:rowOff>207065</xdr:rowOff>
    </xdr:from>
    <xdr:to>
      <xdr:col>9</xdr:col>
      <xdr:colOff>712303</xdr:colOff>
      <xdr:row>13</xdr:row>
      <xdr:rowOff>82826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73925" t="21000" r="17632" b="3500"/>
        <a:stretch/>
      </xdr:blipFill>
      <xdr:spPr>
        <a:xfrm>
          <a:off x="9632673" y="4141304"/>
          <a:ext cx="521804" cy="1250674"/>
        </a:xfrm>
        <a:prstGeom prst="rect">
          <a:avLst/>
        </a:prstGeom>
      </xdr:spPr>
    </xdr:pic>
    <xdr:clientData/>
  </xdr:twoCellAnchor>
  <xdr:twoCellAnchor editAs="oneCell">
    <xdr:from>
      <xdr:col>10</xdr:col>
      <xdr:colOff>223632</xdr:colOff>
      <xdr:row>11</xdr:row>
      <xdr:rowOff>192328</xdr:rowOff>
    </xdr:from>
    <xdr:to>
      <xdr:col>10</xdr:col>
      <xdr:colOff>728870</xdr:colOff>
      <xdr:row>13</xdr:row>
      <xdr:rowOff>82826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82338" t="20968" r="9160" b="3226"/>
        <a:stretch/>
      </xdr:blipFill>
      <xdr:spPr>
        <a:xfrm>
          <a:off x="10717697" y="4126567"/>
          <a:ext cx="505238" cy="1265411"/>
        </a:xfrm>
        <a:prstGeom prst="rect">
          <a:avLst/>
        </a:prstGeom>
      </xdr:spPr>
    </xdr:pic>
    <xdr:clientData/>
  </xdr:twoCellAnchor>
  <xdr:twoCellAnchor editAs="oneCell">
    <xdr:from>
      <xdr:col>11</xdr:col>
      <xdr:colOff>223629</xdr:colOff>
      <xdr:row>11</xdr:row>
      <xdr:rowOff>179294</xdr:rowOff>
    </xdr:from>
    <xdr:to>
      <xdr:col>11</xdr:col>
      <xdr:colOff>739588</xdr:colOff>
      <xdr:row>13</xdr:row>
      <xdr:rowOff>56030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90672" t="20213" r="916" b="4787"/>
        <a:stretch/>
      </xdr:blipFill>
      <xdr:spPr>
        <a:xfrm>
          <a:off x="11788100" y="4090147"/>
          <a:ext cx="515959" cy="1243854"/>
        </a:xfrm>
        <a:prstGeom prst="rect">
          <a:avLst/>
        </a:prstGeom>
      </xdr:spPr>
    </xdr:pic>
    <xdr:clientData/>
  </xdr:twoCellAnchor>
  <xdr:twoCellAnchor editAs="oneCell">
    <xdr:from>
      <xdr:col>8</xdr:col>
      <xdr:colOff>639536</xdr:colOff>
      <xdr:row>11</xdr:row>
      <xdr:rowOff>190499</xdr:rowOff>
    </xdr:from>
    <xdr:to>
      <xdr:col>8</xdr:col>
      <xdr:colOff>1129392</xdr:colOff>
      <xdr:row>13</xdr:row>
      <xdr:rowOff>33683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9215" y="4122963"/>
          <a:ext cx="489856" cy="121750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729983</xdr:colOff>
      <xdr:row>10</xdr:row>
      <xdr:rowOff>0</xdr:rowOff>
    </xdr:from>
    <xdr:to>
      <xdr:col>7</xdr:col>
      <xdr:colOff>735106</xdr:colOff>
      <xdr:row>10</xdr:row>
      <xdr:rowOff>123281</xdr:rowOff>
    </xdr:to>
    <xdr:pic>
      <xdr:nvPicPr>
        <xdr:cNvPr id="2" name="Рисунок 1" descr="галочка.png">
          <a:extLst>
            <a:ext uri="{FF2B5EF4-FFF2-40B4-BE49-F238E27FC236}">
              <a16:creationId xmlns:a16="http://schemas.microsoft.com/office/drawing/2014/main" xmlns="" id="{00000000-0008-0000-1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330683" y="533400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10</xdr:row>
      <xdr:rowOff>0</xdr:rowOff>
    </xdr:from>
    <xdr:to>
      <xdr:col>5</xdr:col>
      <xdr:colOff>755516</xdr:colOff>
      <xdr:row>10</xdr:row>
      <xdr:rowOff>123281</xdr:rowOff>
    </xdr:to>
    <xdr:pic>
      <xdr:nvPicPr>
        <xdr:cNvPr id="3" name="Рисунок 2" descr="галочка.png">
          <a:extLst>
            <a:ext uri="{FF2B5EF4-FFF2-40B4-BE49-F238E27FC236}">
              <a16:creationId xmlns:a16="http://schemas.microsoft.com/office/drawing/2014/main" xmlns="" id="{00000000-0008-0000-1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35133" y="5334000"/>
          <a:ext cx="25533" cy="123281"/>
        </a:xfrm>
        <a:prstGeom prst="rect">
          <a:avLst/>
        </a:prstGeom>
      </xdr:spPr>
    </xdr:pic>
    <xdr:clientData/>
  </xdr:twoCellAnchor>
  <xdr:twoCellAnchor editAs="oneCell">
    <xdr:from>
      <xdr:col>6</xdr:col>
      <xdr:colOff>639219</xdr:colOff>
      <xdr:row>1</xdr:row>
      <xdr:rowOff>107154</xdr:rowOff>
    </xdr:from>
    <xdr:to>
      <xdr:col>6</xdr:col>
      <xdr:colOff>1166811</xdr:colOff>
      <xdr:row>3</xdr:row>
      <xdr:rowOff>20450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914" t="22152" r="92385"/>
        <a:stretch/>
      </xdr:blipFill>
      <xdr:spPr>
        <a:xfrm>
          <a:off x="4585290" y="338475"/>
          <a:ext cx="527592" cy="1246796"/>
        </a:xfrm>
        <a:prstGeom prst="rect">
          <a:avLst/>
        </a:prstGeom>
      </xdr:spPr>
    </xdr:pic>
    <xdr:clientData/>
  </xdr:twoCellAnchor>
  <xdr:twoCellAnchor editAs="oneCell">
    <xdr:from>
      <xdr:col>7</xdr:col>
      <xdr:colOff>615408</xdr:colOff>
      <xdr:row>1</xdr:row>
      <xdr:rowOff>119063</xdr:rowOff>
    </xdr:from>
    <xdr:to>
      <xdr:col>7</xdr:col>
      <xdr:colOff>1142999</xdr:colOff>
      <xdr:row>3</xdr:row>
      <xdr:rowOff>44991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8122" t="22719" r="74842"/>
        <a:stretch/>
      </xdr:blipFill>
      <xdr:spPr>
        <a:xfrm>
          <a:off x="6207944" y="350384"/>
          <a:ext cx="527591" cy="1259428"/>
        </a:xfrm>
        <a:prstGeom prst="rect">
          <a:avLst/>
        </a:prstGeom>
      </xdr:spPr>
    </xdr:pic>
    <xdr:clientData/>
  </xdr:twoCellAnchor>
  <xdr:twoCellAnchor editAs="oneCell">
    <xdr:from>
      <xdr:col>9</xdr:col>
      <xdr:colOff>294094</xdr:colOff>
      <xdr:row>1</xdr:row>
      <xdr:rowOff>132671</xdr:rowOff>
    </xdr:from>
    <xdr:to>
      <xdr:col>10</xdr:col>
      <xdr:colOff>529455</xdr:colOff>
      <xdr:row>3</xdr:row>
      <xdr:rowOff>74183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60299" t="22369" r="32695"/>
        <a:stretch/>
      </xdr:blipFill>
      <xdr:spPr>
        <a:xfrm>
          <a:off x="8199844" y="363992"/>
          <a:ext cx="529455" cy="1275012"/>
        </a:xfrm>
        <a:prstGeom prst="rect">
          <a:avLst/>
        </a:prstGeom>
      </xdr:spPr>
    </xdr:pic>
    <xdr:clientData/>
  </xdr:twoCellAnchor>
  <xdr:twoCellAnchor editAs="oneCell">
    <xdr:from>
      <xdr:col>8</xdr:col>
      <xdr:colOff>349343</xdr:colOff>
      <xdr:row>1</xdr:row>
      <xdr:rowOff>130969</xdr:rowOff>
    </xdr:from>
    <xdr:to>
      <xdr:col>8</xdr:col>
      <xdr:colOff>888635</xdr:colOff>
      <xdr:row>3</xdr:row>
      <xdr:rowOff>83472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36320" t="23457" r="56704"/>
        <a:stretch/>
      </xdr:blipFill>
      <xdr:spPr>
        <a:xfrm>
          <a:off x="7588343" y="362290"/>
          <a:ext cx="539292" cy="1286003"/>
        </a:xfrm>
        <a:prstGeom prst="rect">
          <a:avLst/>
        </a:prstGeom>
      </xdr:spPr>
    </xdr:pic>
    <xdr:clientData/>
  </xdr:twoCellAnchor>
  <xdr:twoCellAnchor editAs="oneCell">
    <xdr:from>
      <xdr:col>11</xdr:col>
      <xdr:colOff>489672</xdr:colOff>
      <xdr:row>1</xdr:row>
      <xdr:rowOff>134372</xdr:rowOff>
    </xdr:from>
    <xdr:to>
      <xdr:col>11</xdr:col>
      <xdr:colOff>1002320</xdr:colOff>
      <xdr:row>3</xdr:row>
      <xdr:rowOff>68036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78030" t="22222" r="15010"/>
        <a:stretch/>
      </xdr:blipFill>
      <xdr:spPr>
        <a:xfrm>
          <a:off x="9728922" y="365693"/>
          <a:ext cx="512648" cy="1267164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476250</xdr:colOff>
      <xdr:row>10</xdr:row>
      <xdr:rowOff>35720</xdr:rowOff>
    </xdr:from>
    <xdr:to>
      <xdr:col>6</xdr:col>
      <xdr:colOff>1021925</xdr:colOff>
      <xdr:row>11</xdr:row>
      <xdr:rowOff>0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7739" t="22353" r="85229"/>
        <a:stretch/>
      </xdr:blipFill>
      <xdr:spPr>
        <a:xfrm>
          <a:off x="4443132" y="3419896"/>
          <a:ext cx="545675" cy="1308986"/>
        </a:xfrm>
        <a:prstGeom prst="rect">
          <a:avLst/>
        </a:prstGeom>
      </xdr:spPr>
    </xdr:pic>
    <xdr:clientData/>
  </xdr:twoCellAnchor>
  <xdr:twoCellAnchor editAs="oneCell">
    <xdr:from>
      <xdr:col>7</xdr:col>
      <xdr:colOff>542786</xdr:colOff>
      <xdr:row>10</xdr:row>
      <xdr:rowOff>28575</xdr:rowOff>
    </xdr:from>
    <xdr:to>
      <xdr:col>7</xdr:col>
      <xdr:colOff>1110118</xdr:colOff>
      <xdr:row>11</xdr:row>
      <xdr:rowOff>11206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25245" t="21739" r="67668"/>
        <a:stretch/>
      </xdr:blipFill>
      <xdr:spPr>
        <a:xfrm>
          <a:off x="6156933" y="3412751"/>
          <a:ext cx="567332" cy="1327337"/>
        </a:xfrm>
        <a:prstGeom prst="rect">
          <a:avLst/>
        </a:prstGeom>
      </xdr:spPr>
    </xdr:pic>
    <xdr:clientData/>
  </xdr:twoCellAnchor>
  <xdr:twoCellAnchor editAs="oneCell">
    <xdr:from>
      <xdr:col>8</xdr:col>
      <xdr:colOff>480932</xdr:colOff>
      <xdr:row>10</xdr:row>
      <xdr:rowOff>28578</xdr:rowOff>
    </xdr:from>
    <xdr:to>
      <xdr:col>10</xdr:col>
      <xdr:colOff>40821</xdr:colOff>
      <xdr:row>10</xdr:row>
      <xdr:rowOff>1322298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67113" t="21949" r="25932" b="1128"/>
        <a:stretch/>
      </xdr:blipFill>
      <xdr:spPr>
        <a:xfrm>
          <a:off x="8141753" y="3702507"/>
          <a:ext cx="539604" cy="1293720"/>
        </a:xfrm>
        <a:prstGeom prst="rect">
          <a:avLst/>
        </a:prstGeom>
      </xdr:spPr>
    </xdr:pic>
    <xdr:clientData/>
  </xdr:twoCellAnchor>
  <xdr:twoCellAnchor editAs="oneCell">
    <xdr:from>
      <xdr:col>7</xdr:col>
      <xdr:colOff>1783096</xdr:colOff>
      <xdr:row>10</xdr:row>
      <xdr:rowOff>34739</xdr:rowOff>
    </xdr:from>
    <xdr:to>
      <xdr:col>8</xdr:col>
      <xdr:colOff>398608</xdr:colOff>
      <xdr:row>11</xdr:row>
      <xdr:rowOff>0</xdr:rowOff>
    </xdr:to>
    <xdr:pic>
      <xdr:nvPicPr>
        <xdr:cNvPr id="24" name="Рисунок 2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3094" t="22930" r="49985"/>
        <a:stretch/>
      </xdr:blipFill>
      <xdr:spPr>
        <a:xfrm>
          <a:off x="7606953" y="3708668"/>
          <a:ext cx="520512" cy="1312368"/>
        </a:xfrm>
        <a:prstGeom prst="rect">
          <a:avLst/>
        </a:prstGeom>
      </xdr:spPr>
    </xdr:pic>
    <xdr:clientData/>
  </xdr:twoCellAnchor>
  <xdr:twoCellAnchor editAs="oneCell">
    <xdr:from>
      <xdr:col>10</xdr:col>
      <xdr:colOff>245404</xdr:colOff>
      <xdr:row>10</xdr:row>
      <xdr:rowOff>11607</xdr:rowOff>
    </xdr:from>
    <xdr:to>
      <xdr:col>10</xdr:col>
      <xdr:colOff>772582</xdr:colOff>
      <xdr:row>10</xdr:row>
      <xdr:rowOff>1333500</xdr:rowOff>
    </xdr:to>
    <xdr:pic>
      <xdr:nvPicPr>
        <xdr:cNvPr id="25" name="Рисунок 2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50177" t="22360" r="43074"/>
        <a:stretch/>
      </xdr:blipFill>
      <xdr:spPr>
        <a:xfrm>
          <a:off x="8885940" y="3685536"/>
          <a:ext cx="527178" cy="1321893"/>
        </a:xfrm>
        <a:prstGeom prst="rect">
          <a:avLst/>
        </a:prstGeom>
      </xdr:spPr>
    </xdr:pic>
    <xdr:clientData/>
  </xdr:twoCellAnchor>
  <xdr:twoCellAnchor editAs="oneCell">
    <xdr:from>
      <xdr:col>11</xdr:col>
      <xdr:colOff>180975</xdr:colOff>
      <xdr:row>10</xdr:row>
      <xdr:rowOff>38101</xdr:rowOff>
    </xdr:from>
    <xdr:to>
      <xdr:col>11</xdr:col>
      <xdr:colOff>733985</xdr:colOff>
      <xdr:row>11</xdr:row>
      <xdr:rowOff>4611</xdr:rowOff>
    </xdr:to>
    <xdr:pic>
      <xdr:nvPicPr>
        <xdr:cNvPr id="26" name="Рисунок 25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84854" t="22467" r="8031"/>
        <a:stretch/>
      </xdr:blipFill>
      <xdr:spPr>
        <a:xfrm>
          <a:off x="9420225" y="3712030"/>
          <a:ext cx="553010" cy="1313617"/>
        </a:xfrm>
        <a:prstGeom prst="rect">
          <a:avLst/>
        </a:prstGeom>
      </xdr:spPr>
    </xdr:pic>
    <xdr:clientData/>
  </xdr:twoCellAnchor>
  <xdr:twoCellAnchor editAs="oneCell">
    <xdr:from>
      <xdr:col>12</xdr:col>
      <xdr:colOff>54042</xdr:colOff>
      <xdr:row>10</xdr:row>
      <xdr:rowOff>38099</xdr:rowOff>
    </xdr:from>
    <xdr:to>
      <xdr:col>12</xdr:col>
      <xdr:colOff>576683</xdr:colOff>
      <xdr:row>11</xdr:row>
      <xdr:rowOff>0</xdr:rowOff>
    </xdr:to>
    <xdr:pic>
      <xdr:nvPicPr>
        <xdr:cNvPr id="27" name="Рисунок 26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92063" t="22941" r="1161"/>
        <a:stretch/>
      </xdr:blipFill>
      <xdr:spPr>
        <a:xfrm>
          <a:off x="10068899" y="3712028"/>
          <a:ext cx="522641" cy="130900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28</xdr:row>
      <xdr:rowOff>0</xdr:rowOff>
    </xdr:from>
    <xdr:ext cx="5123" cy="47081"/>
    <xdr:pic>
      <xdr:nvPicPr>
        <xdr:cNvPr id="14" name="Рисунок 13" descr="галочка.png">
          <a:extLst>
            <a:ext uri="{FF2B5EF4-FFF2-40B4-BE49-F238E27FC236}">
              <a16:creationId xmlns:a16="http://schemas.microsoft.com/office/drawing/2014/main" xmlns="" id="{00000000-0008-0000-1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49308" y="5250900"/>
          <a:ext cx="5123" cy="47081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28</xdr:row>
      <xdr:rowOff>0</xdr:rowOff>
    </xdr:from>
    <xdr:ext cx="5123" cy="142331"/>
    <xdr:pic>
      <xdr:nvPicPr>
        <xdr:cNvPr id="15" name="Рисунок 14" descr="галочка.png">
          <a:extLst>
            <a:ext uri="{FF2B5EF4-FFF2-40B4-BE49-F238E27FC236}">
              <a16:creationId xmlns:a16="http://schemas.microsoft.com/office/drawing/2014/main" xmlns="" id="{00000000-0008-0000-1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58758" y="5250900"/>
          <a:ext cx="5123" cy="142331"/>
        </a:xfrm>
        <a:prstGeom prst="rect">
          <a:avLst/>
        </a:prstGeom>
      </xdr:spPr>
    </xdr:pic>
    <xdr:clientData/>
  </xdr:oneCellAnchor>
  <xdr:twoCellAnchor>
    <xdr:from>
      <xdr:col>6</xdr:col>
      <xdr:colOff>487680</xdr:colOff>
      <xdr:row>1</xdr:row>
      <xdr:rowOff>182880</xdr:rowOff>
    </xdr:from>
    <xdr:to>
      <xdr:col>6</xdr:col>
      <xdr:colOff>973463</xdr:colOff>
      <xdr:row>3</xdr:row>
      <xdr:rowOff>36928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1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4726305" y="409099"/>
          <a:ext cx="485783" cy="1056579"/>
        </a:xfrm>
        <a:prstGeom prst="rect">
          <a:avLst/>
        </a:prstGeom>
      </xdr:spPr>
    </xdr:pic>
    <xdr:clientData/>
  </xdr:twoCellAnchor>
  <xdr:twoCellAnchor>
    <xdr:from>
      <xdr:col>7</xdr:col>
      <xdr:colOff>480997</xdr:colOff>
      <xdr:row>1</xdr:row>
      <xdr:rowOff>182880</xdr:rowOff>
    </xdr:from>
    <xdr:to>
      <xdr:col>7</xdr:col>
      <xdr:colOff>966779</xdr:colOff>
      <xdr:row>3</xdr:row>
      <xdr:rowOff>36928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1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6100747" y="409099"/>
          <a:ext cx="485782" cy="1056579"/>
        </a:xfrm>
        <a:prstGeom prst="rect">
          <a:avLst/>
        </a:prstGeom>
      </xdr:spPr>
    </xdr:pic>
    <xdr:clientData/>
  </xdr:twoCellAnchor>
  <xdr:twoCellAnchor>
    <xdr:from>
      <xdr:col>8</xdr:col>
      <xdr:colOff>409377</xdr:colOff>
      <xdr:row>1</xdr:row>
      <xdr:rowOff>182882</xdr:rowOff>
    </xdr:from>
    <xdr:to>
      <xdr:col>8</xdr:col>
      <xdr:colOff>895158</xdr:colOff>
      <xdr:row>3</xdr:row>
      <xdr:rowOff>36927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1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7410252" y="409101"/>
          <a:ext cx="485781" cy="1056576"/>
        </a:xfrm>
        <a:prstGeom prst="rect">
          <a:avLst/>
        </a:prstGeom>
      </xdr:spPr>
    </xdr:pic>
    <xdr:clientData/>
  </xdr:twoCellAnchor>
  <xdr:twoCellAnchor>
    <xdr:from>
      <xdr:col>9</xdr:col>
      <xdr:colOff>359772</xdr:colOff>
      <xdr:row>1</xdr:row>
      <xdr:rowOff>182882</xdr:rowOff>
    </xdr:from>
    <xdr:to>
      <xdr:col>9</xdr:col>
      <xdr:colOff>845553</xdr:colOff>
      <xdr:row>3</xdr:row>
      <xdr:rowOff>36926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00000000-0008-0000-1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8741772" y="409101"/>
          <a:ext cx="485781" cy="1056575"/>
        </a:xfrm>
        <a:prstGeom prst="rect">
          <a:avLst/>
        </a:prstGeom>
      </xdr:spPr>
    </xdr:pic>
    <xdr:clientData/>
  </xdr:twoCellAnchor>
  <xdr:twoCellAnchor>
    <xdr:from>
      <xdr:col>10</xdr:col>
      <xdr:colOff>353088</xdr:colOff>
      <xdr:row>1</xdr:row>
      <xdr:rowOff>182882</xdr:rowOff>
    </xdr:from>
    <xdr:to>
      <xdr:col>10</xdr:col>
      <xdr:colOff>838868</xdr:colOff>
      <xdr:row>3</xdr:row>
      <xdr:rowOff>36926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00000000-0008-0000-15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10116213" y="409101"/>
          <a:ext cx="485780" cy="1056575"/>
        </a:xfrm>
        <a:prstGeom prst="rect">
          <a:avLst/>
        </a:prstGeom>
      </xdr:spPr>
    </xdr:pic>
    <xdr:clientData/>
  </xdr:twoCellAnchor>
  <xdr:twoCellAnchor>
    <xdr:from>
      <xdr:col>11</xdr:col>
      <xdr:colOff>533416</xdr:colOff>
      <xdr:row>2</xdr:row>
      <xdr:rowOff>9899</xdr:rowOff>
    </xdr:from>
    <xdr:to>
      <xdr:col>11</xdr:col>
      <xdr:colOff>1019196</xdr:colOff>
      <xdr:row>3</xdr:row>
      <xdr:rowOff>58134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xmlns="" id="{00000000-0008-0000-1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11677666" y="426618"/>
          <a:ext cx="485780" cy="1060266"/>
        </a:xfrm>
        <a:prstGeom prst="rect">
          <a:avLst/>
        </a:prstGeom>
      </xdr:spPr>
    </xdr:pic>
    <xdr:clientData/>
  </xdr:twoCellAnchor>
  <xdr:twoCellAnchor>
    <xdr:from>
      <xdr:col>12</xdr:col>
      <xdr:colOff>612573</xdr:colOff>
      <xdr:row>2</xdr:row>
      <xdr:rowOff>3085</xdr:rowOff>
    </xdr:from>
    <xdr:to>
      <xdr:col>12</xdr:col>
      <xdr:colOff>1098352</xdr:colOff>
      <xdr:row>3</xdr:row>
      <xdr:rowOff>47626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00000000-0008-0000-1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13137948" y="419804"/>
          <a:ext cx="485779" cy="1056572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28</xdr:row>
      <xdr:rowOff>0</xdr:rowOff>
    </xdr:from>
    <xdr:to>
      <xdr:col>4</xdr:col>
      <xdr:colOff>735106</xdr:colOff>
      <xdr:row>28</xdr:row>
      <xdr:rowOff>180431</xdr:rowOff>
    </xdr:to>
    <xdr:pic>
      <xdr:nvPicPr>
        <xdr:cNvPr id="38" name="Рисунок 37" descr="галочка.png">
          <a:extLst>
            <a:ext uri="{FF2B5EF4-FFF2-40B4-BE49-F238E27FC236}">
              <a16:creationId xmlns:a16="http://schemas.microsoft.com/office/drawing/2014/main" xmlns="" id="{00000000-0008-0000-1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80803" y="7323540"/>
          <a:ext cx="5123" cy="751931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28</xdr:row>
      <xdr:rowOff>0</xdr:rowOff>
    </xdr:from>
    <xdr:to>
      <xdr:col>4</xdr:col>
      <xdr:colOff>735106</xdr:colOff>
      <xdr:row>28</xdr:row>
      <xdr:rowOff>180431</xdr:rowOff>
    </xdr:to>
    <xdr:pic>
      <xdr:nvPicPr>
        <xdr:cNvPr id="39" name="Рисунок 38" descr="галочка.png">
          <a:extLst>
            <a:ext uri="{FF2B5EF4-FFF2-40B4-BE49-F238E27FC236}">
              <a16:creationId xmlns:a16="http://schemas.microsoft.com/office/drawing/2014/main" xmlns="" id="{00000000-0008-0000-1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80803" y="7323540"/>
          <a:ext cx="5123" cy="751931"/>
        </a:xfrm>
        <a:prstGeom prst="rect">
          <a:avLst/>
        </a:prstGeom>
      </xdr:spPr>
    </xdr:pic>
    <xdr:clientData/>
  </xdr:twoCellAnchor>
  <xdr:oneCellAnchor>
    <xdr:from>
      <xdr:col>4</xdr:col>
      <xdr:colOff>729983</xdr:colOff>
      <xdr:row>28</xdr:row>
      <xdr:rowOff>0</xdr:rowOff>
    </xdr:from>
    <xdr:ext cx="5123" cy="751931"/>
    <xdr:pic>
      <xdr:nvPicPr>
        <xdr:cNvPr id="40" name="Рисунок 39" descr="галочка.png">
          <a:extLst>
            <a:ext uri="{FF2B5EF4-FFF2-40B4-BE49-F238E27FC236}">
              <a16:creationId xmlns:a16="http://schemas.microsoft.com/office/drawing/2014/main" xmlns="" id="{00000000-0008-0000-15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80803" y="7133040"/>
          <a:ext cx="5123" cy="751931"/>
        </a:xfrm>
        <a:prstGeom prst="rect">
          <a:avLst/>
        </a:prstGeom>
      </xdr:spPr>
    </xdr:pic>
    <xdr:clientData/>
  </xdr:oneCellAnchor>
  <xdr:oneCellAnchor>
    <xdr:from>
      <xdr:col>4</xdr:col>
      <xdr:colOff>729983</xdr:colOff>
      <xdr:row>28</xdr:row>
      <xdr:rowOff>0</xdr:rowOff>
    </xdr:from>
    <xdr:ext cx="5123" cy="751931"/>
    <xdr:pic>
      <xdr:nvPicPr>
        <xdr:cNvPr id="41" name="Рисунок 40" descr="галочка.png">
          <a:extLst>
            <a:ext uri="{FF2B5EF4-FFF2-40B4-BE49-F238E27FC236}">
              <a16:creationId xmlns:a16="http://schemas.microsoft.com/office/drawing/2014/main" xmlns="" id="{00000000-0008-0000-15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80803" y="7133040"/>
          <a:ext cx="5123" cy="751931"/>
        </a:xfrm>
        <a:prstGeom prst="rect">
          <a:avLst/>
        </a:prstGeom>
      </xdr:spPr>
    </xdr:pic>
    <xdr:clientData/>
  </xdr:oneCellAnchor>
  <xdr:twoCellAnchor editAs="oneCell">
    <xdr:from>
      <xdr:col>4</xdr:col>
      <xdr:colOff>729983</xdr:colOff>
      <xdr:row>28</xdr:row>
      <xdr:rowOff>0</xdr:rowOff>
    </xdr:from>
    <xdr:to>
      <xdr:col>4</xdr:col>
      <xdr:colOff>735106</xdr:colOff>
      <xdr:row>32</xdr:row>
      <xdr:rowOff>5171</xdr:rowOff>
    </xdr:to>
    <xdr:pic>
      <xdr:nvPicPr>
        <xdr:cNvPr id="42" name="Рисунок 41" descr="галочка.png">
          <a:extLst>
            <a:ext uri="{FF2B5EF4-FFF2-40B4-BE49-F238E27FC236}">
              <a16:creationId xmlns:a16="http://schemas.microsoft.com/office/drawing/2014/main" xmlns="" id="{00000000-0008-0000-15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80803" y="7323540"/>
          <a:ext cx="5123" cy="751931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28</xdr:row>
      <xdr:rowOff>0</xdr:rowOff>
    </xdr:from>
    <xdr:to>
      <xdr:col>4</xdr:col>
      <xdr:colOff>735106</xdr:colOff>
      <xdr:row>32</xdr:row>
      <xdr:rowOff>5171</xdr:rowOff>
    </xdr:to>
    <xdr:pic>
      <xdr:nvPicPr>
        <xdr:cNvPr id="43" name="Рисунок 42" descr="галочка.png">
          <a:extLst>
            <a:ext uri="{FF2B5EF4-FFF2-40B4-BE49-F238E27FC236}">
              <a16:creationId xmlns:a16="http://schemas.microsoft.com/office/drawing/2014/main" xmlns="" id="{00000000-0008-0000-15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80803" y="7323540"/>
          <a:ext cx="5123" cy="751931"/>
        </a:xfrm>
        <a:prstGeom prst="rect">
          <a:avLst/>
        </a:prstGeom>
      </xdr:spPr>
    </xdr:pic>
    <xdr:clientData/>
  </xdr:twoCellAnchor>
  <xdr:oneCellAnchor>
    <xdr:from>
      <xdr:col>4</xdr:col>
      <xdr:colOff>729983</xdr:colOff>
      <xdr:row>28</xdr:row>
      <xdr:rowOff>0</xdr:rowOff>
    </xdr:from>
    <xdr:ext cx="5123" cy="751931"/>
    <xdr:pic>
      <xdr:nvPicPr>
        <xdr:cNvPr id="44" name="Рисунок 43" descr="галочка.png">
          <a:extLst>
            <a:ext uri="{FF2B5EF4-FFF2-40B4-BE49-F238E27FC236}">
              <a16:creationId xmlns:a16="http://schemas.microsoft.com/office/drawing/2014/main" xmlns="" id="{00000000-0008-0000-15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80803" y="7133040"/>
          <a:ext cx="5123" cy="751931"/>
        </a:xfrm>
        <a:prstGeom prst="rect">
          <a:avLst/>
        </a:prstGeom>
      </xdr:spPr>
    </xdr:pic>
    <xdr:clientData/>
  </xdr:oneCellAnchor>
  <xdr:oneCellAnchor>
    <xdr:from>
      <xdr:col>4</xdr:col>
      <xdr:colOff>729983</xdr:colOff>
      <xdr:row>28</xdr:row>
      <xdr:rowOff>0</xdr:rowOff>
    </xdr:from>
    <xdr:ext cx="5123" cy="751931"/>
    <xdr:pic>
      <xdr:nvPicPr>
        <xdr:cNvPr id="45" name="Рисунок 44" descr="галочка.png">
          <a:extLst>
            <a:ext uri="{FF2B5EF4-FFF2-40B4-BE49-F238E27FC236}">
              <a16:creationId xmlns:a16="http://schemas.microsoft.com/office/drawing/2014/main" xmlns="" id="{00000000-0008-0000-15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80803" y="7133040"/>
          <a:ext cx="5123" cy="751931"/>
        </a:xfrm>
        <a:prstGeom prst="rect">
          <a:avLst/>
        </a:prstGeom>
      </xdr:spPr>
    </xdr:pic>
    <xdr:clientData/>
  </xdr:oneCellAnchor>
  <xdr:twoCellAnchor editAs="oneCell">
    <xdr:from>
      <xdr:col>8</xdr:col>
      <xdr:colOff>0</xdr:colOff>
      <xdr:row>28</xdr:row>
      <xdr:rowOff>0</xdr:rowOff>
    </xdr:from>
    <xdr:to>
      <xdr:col>8</xdr:col>
      <xdr:colOff>5123</xdr:colOff>
      <xdr:row>28</xdr:row>
      <xdr:rowOff>123281</xdr:rowOff>
    </xdr:to>
    <xdr:pic>
      <xdr:nvPicPr>
        <xdr:cNvPr id="46" name="Рисунок 45" descr="галочка.png">
          <a:extLst>
            <a:ext uri="{FF2B5EF4-FFF2-40B4-BE49-F238E27FC236}">
              <a16:creationId xmlns:a16="http://schemas.microsoft.com/office/drawing/2014/main" xmlns="" id="{00000000-0008-0000-15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260323" y="992124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28</xdr:row>
      <xdr:rowOff>0</xdr:rowOff>
    </xdr:from>
    <xdr:to>
      <xdr:col>5</xdr:col>
      <xdr:colOff>755516</xdr:colOff>
      <xdr:row>28</xdr:row>
      <xdr:rowOff>123281</xdr:rowOff>
    </xdr:to>
    <xdr:pic>
      <xdr:nvPicPr>
        <xdr:cNvPr id="47" name="Рисунок 46" descr="галочка.png">
          <a:extLst>
            <a:ext uri="{FF2B5EF4-FFF2-40B4-BE49-F238E27FC236}">
              <a16:creationId xmlns:a16="http://schemas.microsoft.com/office/drawing/2014/main" xmlns="" id="{00000000-0008-0000-15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288523" y="9921240"/>
          <a:ext cx="25533" cy="123281"/>
        </a:xfrm>
        <a:prstGeom prst="rect">
          <a:avLst/>
        </a:prstGeom>
      </xdr:spPr>
    </xdr:pic>
    <xdr:clientData/>
  </xdr:twoCellAnchor>
  <xdr:twoCellAnchor>
    <xdr:from>
      <xdr:col>6</xdr:col>
      <xdr:colOff>309563</xdr:colOff>
      <xdr:row>19</xdr:row>
      <xdr:rowOff>23811</xdr:rowOff>
    </xdr:from>
    <xdr:to>
      <xdr:col>6</xdr:col>
      <xdr:colOff>762607</xdr:colOff>
      <xdr:row>20</xdr:row>
      <xdr:rowOff>35720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xmlns="" id="{00000000-0008-0000-1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4548188" y="5726905"/>
          <a:ext cx="453044" cy="1023940"/>
        </a:xfrm>
        <a:prstGeom prst="rect">
          <a:avLst/>
        </a:prstGeom>
      </xdr:spPr>
    </xdr:pic>
    <xdr:clientData/>
  </xdr:twoCellAnchor>
  <xdr:twoCellAnchor>
    <xdr:from>
      <xdr:col>7</xdr:col>
      <xdr:colOff>309563</xdr:colOff>
      <xdr:row>19</xdr:row>
      <xdr:rowOff>23811</xdr:rowOff>
    </xdr:from>
    <xdr:to>
      <xdr:col>7</xdr:col>
      <xdr:colOff>762607</xdr:colOff>
      <xdr:row>20</xdr:row>
      <xdr:rowOff>0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xmlns="" id="{00000000-0008-0000-1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5929313" y="5726905"/>
          <a:ext cx="453044" cy="988220"/>
        </a:xfrm>
        <a:prstGeom prst="rect">
          <a:avLst/>
        </a:prstGeom>
      </xdr:spPr>
    </xdr:pic>
    <xdr:clientData/>
  </xdr:twoCellAnchor>
  <xdr:twoCellAnchor>
    <xdr:from>
      <xdr:col>8</xdr:col>
      <xdr:colOff>300039</xdr:colOff>
      <xdr:row>19</xdr:row>
      <xdr:rowOff>23810</xdr:rowOff>
    </xdr:from>
    <xdr:to>
      <xdr:col>8</xdr:col>
      <xdr:colOff>753083</xdr:colOff>
      <xdr:row>19</xdr:row>
      <xdr:rowOff>1000125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xmlns="" id="{00000000-0008-0000-1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7300914" y="5726904"/>
          <a:ext cx="453044" cy="976315"/>
        </a:xfrm>
        <a:prstGeom prst="rect">
          <a:avLst/>
        </a:prstGeom>
      </xdr:spPr>
    </xdr:pic>
    <xdr:clientData/>
  </xdr:twoCellAnchor>
  <xdr:twoCellAnchor>
    <xdr:from>
      <xdr:col>9</xdr:col>
      <xdr:colOff>319088</xdr:colOff>
      <xdr:row>19</xdr:row>
      <xdr:rowOff>23810</xdr:rowOff>
    </xdr:from>
    <xdr:to>
      <xdr:col>9</xdr:col>
      <xdr:colOff>772131</xdr:colOff>
      <xdr:row>20</xdr:row>
      <xdr:rowOff>11906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xmlns="" id="{00000000-0008-0000-1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8701088" y="5726904"/>
          <a:ext cx="453043" cy="1000127"/>
        </a:xfrm>
        <a:prstGeom prst="rect">
          <a:avLst/>
        </a:prstGeom>
      </xdr:spPr>
    </xdr:pic>
    <xdr:clientData/>
  </xdr:twoCellAnchor>
  <xdr:twoCellAnchor>
    <xdr:from>
      <xdr:col>10</xdr:col>
      <xdr:colOff>319088</xdr:colOff>
      <xdr:row>19</xdr:row>
      <xdr:rowOff>23812</xdr:rowOff>
    </xdr:from>
    <xdr:to>
      <xdr:col>10</xdr:col>
      <xdr:colOff>772131</xdr:colOff>
      <xdr:row>19</xdr:row>
      <xdr:rowOff>988218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xmlns="" id="{00000000-0008-0000-1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10082213" y="5726906"/>
          <a:ext cx="453043" cy="964406"/>
        </a:xfrm>
        <a:prstGeom prst="rect">
          <a:avLst/>
        </a:prstGeom>
      </xdr:spPr>
    </xdr:pic>
    <xdr:clientData/>
  </xdr:twoCellAnchor>
  <xdr:twoCellAnchor>
    <xdr:from>
      <xdr:col>11</xdr:col>
      <xdr:colOff>357187</xdr:colOff>
      <xdr:row>18</xdr:row>
      <xdr:rowOff>161596</xdr:rowOff>
    </xdr:from>
    <xdr:to>
      <xdr:col>11</xdr:col>
      <xdr:colOff>845344</xdr:colOff>
      <xdr:row>20</xdr:row>
      <xdr:rowOff>24518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1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11501437" y="5674190"/>
          <a:ext cx="488157" cy="1065453"/>
        </a:xfrm>
        <a:prstGeom prst="rect">
          <a:avLst/>
        </a:prstGeom>
      </xdr:spPr>
    </xdr:pic>
    <xdr:clientData/>
  </xdr:twoCellAnchor>
  <xdr:twoCellAnchor>
    <xdr:from>
      <xdr:col>12</xdr:col>
      <xdr:colOff>436345</xdr:colOff>
      <xdr:row>18</xdr:row>
      <xdr:rowOff>154781</xdr:rowOff>
    </xdr:from>
    <xdr:to>
      <xdr:col>12</xdr:col>
      <xdr:colOff>924501</xdr:colOff>
      <xdr:row>20</xdr:row>
      <xdr:rowOff>13991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00000000-0008-0000-1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12961720" y="5667375"/>
          <a:ext cx="488156" cy="106174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632395</xdr:colOff>
      <xdr:row>19</xdr:row>
      <xdr:rowOff>47625</xdr:rowOff>
    </xdr:from>
    <xdr:to>
      <xdr:col>6</xdr:col>
      <xdr:colOff>1060763</xdr:colOff>
      <xdr:row>20</xdr:row>
      <xdr:rowOff>4763</xdr:rowOff>
    </xdr:to>
    <xdr:pic>
      <xdr:nvPicPr>
        <xdr:cNvPr id="14" name="Рисунок 13" descr="корсика.png">
          <a:extLst>
            <a:ext uri="{FF2B5EF4-FFF2-40B4-BE49-F238E27FC236}">
              <a16:creationId xmlns:a16="http://schemas.microsoft.com/office/drawing/2014/main" xmlns="" id="{00000000-0008-0000-1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71020" y="6322219"/>
          <a:ext cx="428368" cy="1100138"/>
        </a:xfrm>
        <a:prstGeom prst="rect">
          <a:avLst/>
        </a:prstGeom>
      </xdr:spPr>
    </xdr:pic>
    <xdr:clientData/>
  </xdr:twoCellAnchor>
  <xdr:twoCellAnchor>
    <xdr:from>
      <xdr:col>7</xdr:col>
      <xdr:colOff>706864</xdr:colOff>
      <xdr:row>19</xdr:row>
      <xdr:rowOff>47625</xdr:rowOff>
    </xdr:from>
    <xdr:to>
      <xdr:col>7</xdr:col>
      <xdr:colOff>1135232</xdr:colOff>
      <xdr:row>20</xdr:row>
      <xdr:rowOff>4761</xdr:rowOff>
    </xdr:to>
    <xdr:pic>
      <xdr:nvPicPr>
        <xdr:cNvPr id="15" name="Рисунок 14" descr="корсика.png">
          <a:extLst>
            <a:ext uri="{FF2B5EF4-FFF2-40B4-BE49-F238E27FC236}">
              <a16:creationId xmlns:a16="http://schemas.microsoft.com/office/drawing/2014/main" xmlns="" id="{00000000-0008-0000-1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59989" y="6322219"/>
          <a:ext cx="428368" cy="1100136"/>
        </a:xfrm>
        <a:prstGeom prst="rect">
          <a:avLst/>
        </a:prstGeom>
      </xdr:spPr>
    </xdr:pic>
    <xdr:clientData/>
  </xdr:twoCellAnchor>
  <xdr:twoCellAnchor>
    <xdr:from>
      <xdr:col>8</xdr:col>
      <xdr:colOff>328895</xdr:colOff>
      <xdr:row>19</xdr:row>
      <xdr:rowOff>59532</xdr:rowOff>
    </xdr:from>
    <xdr:to>
      <xdr:col>8</xdr:col>
      <xdr:colOff>757262</xdr:colOff>
      <xdr:row>20</xdr:row>
      <xdr:rowOff>16668</xdr:rowOff>
    </xdr:to>
    <xdr:pic>
      <xdr:nvPicPr>
        <xdr:cNvPr id="16" name="Рисунок 15" descr="корсика.png">
          <a:extLst>
            <a:ext uri="{FF2B5EF4-FFF2-40B4-BE49-F238E27FC236}">
              <a16:creationId xmlns:a16="http://schemas.microsoft.com/office/drawing/2014/main" xmlns="" id="{00000000-0008-0000-1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996520" y="5655470"/>
          <a:ext cx="428367" cy="1100136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19</xdr:row>
      <xdr:rowOff>0</xdr:rowOff>
    </xdr:from>
    <xdr:to>
      <xdr:col>4</xdr:col>
      <xdr:colOff>735106</xdr:colOff>
      <xdr:row>19</xdr:row>
      <xdr:rowOff>47081</xdr:rowOff>
    </xdr:to>
    <xdr:pic>
      <xdr:nvPicPr>
        <xdr:cNvPr id="23" name="Рисунок 22" descr="галочка.png">
          <a:extLst>
            <a:ext uri="{FF2B5EF4-FFF2-40B4-BE49-F238E27FC236}">
              <a16:creationId xmlns:a16="http://schemas.microsoft.com/office/drawing/2014/main" xmlns="" id="{00000000-0008-0000-1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35283" y="7232100"/>
          <a:ext cx="5123" cy="123281"/>
        </a:xfrm>
        <a:prstGeom prst="rect">
          <a:avLst/>
        </a:prstGeom>
      </xdr:spPr>
    </xdr:pic>
    <xdr:clientData/>
  </xdr:twoCellAnchor>
  <xdr:twoCellAnchor>
    <xdr:from>
      <xdr:col>6</xdr:col>
      <xdr:colOff>490538</xdr:colOff>
      <xdr:row>2</xdr:row>
      <xdr:rowOff>11906</xdr:rowOff>
    </xdr:from>
    <xdr:to>
      <xdr:col>6</xdr:col>
      <xdr:colOff>884834</xdr:colOff>
      <xdr:row>3</xdr:row>
      <xdr:rowOff>2829</xdr:rowOff>
    </xdr:to>
    <xdr:pic>
      <xdr:nvPicPr>
        <xdr:cNvPr id="35" name="Рисунок 34" descr="корсика.png">
          <a:extLst>
            <a:ext uri="{FF2B5EF4-FFF2-40B4-BE49-F238E27FC236}">
              <a16:creationId xmlns:a16="http://schemas.microsoft.com/office/drawing/2014/main" xmlns="" id="{00000000-0008-0000-1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729163" y="428625"/>
          <a:ext cx="394296" cy="1002954"/>
        </a:xfrm>
        <a:prstGeom prst="rect">
          <a:avLst/>
        </a:prstGeom>
      </xdr:spPr>
    </xdr:pic>
    <xdr:clientData/>
  </xdr:twoCellAnchor>
  <xdr:twoCellAnchor>
    <xdr:from>
      <xdr:col>7</xdr:col>
      <xdr:colOff>482190</xdr:colOff>
      <xdr:row>1</xdr:row>
      <xdr:rowOff>178593</xdr:rowOff>
    </xdr:from>
    <xdr:to>
      <xdr:col>7</xdr:col>
      <xdr:colOff>977933</xdr:colOff>
      <xdr:row>3</xdr:row>
      <xdr:rowOff>15974</xdr:rowOff>
    </xdr:to>
    <xdr:pic>
      <xdr:nvPicPr>
        <xdr:cNvPr id="36" name="Рисунок 35" descr="корсика.png">
          <a:extLst>
            <a:ext uri="{FF2B5EF4-FFF2-40B4-BE49-F238E27FC236}">
              <a16:creationId xmlns:a16="http://schemas.microsoft.com/office/drawing/2014/main" xmlns="" id="{00000000-0008-0000-1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435315" y="404812"/>
          <a:ext cx="495743" cy="1039912"/>
        </a:xfrm>
        <a:prstGeom prst="rect">
          <a:avLst/>
        </a:prstGeom>
      </xdr:spPr>
    </xdr:pic>
    <xdr:clientData/>
  </xdr:twoCellAnchor>
  <xdr:twoCellAnchor>
    <xdr:from>
      <xdr:col>8</xdr:col>
      <xdr:colOff>1077101</xdr:colOff>
      <xdr:row>2</xdr:row>
      <xdr:rowOff>11906</xdr:rowOff>
    </xdr:from>
    <xdr:to>
      <xdr:col>9</xdr:col>
      <xdr:colOff>243919</xdr:colOff>
      <xdr:row>3</xdr:row>
      <xdr:rowOff>4459</xdr:rowOff>
    </xdr:to>
    <xdr:pic>
      <xdr:nvPicPr>
        <xdr:cNvPr id="37" name="Рисунок 36" descr="корсика.png">
          <a:extLst>
            <a:ext uri="{FF2B5EF4-FFF2-40B4-BE49-F238E27FC236}">
              <a16:creationId xmlns:a16="http://schemas.microsoft.com/office/drawing/2014/main" xmlns="" id="{00000000-0008-0000-1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744726" y="428625"/>
          <a:ext cx="476506" cy="1004584"/>
        </a:xfrm>
        <a:prstGeom prst="rect">
          <a:avLst/>
        </a:prstGeom>
      </xdr:spPr>
    </xdr:pic>
    <xdr:clientData/>
  </xdr:twoCellAnchor>
  <xdr:twoCellAnchor>
    <xdr:from>
      <xdr:col>10</xdr:col>
      <xdr:colOff>1111625</xdr:colOff>
      <xdr:row>1</xdr:row>
      <xdr:rowOff>166687</xdr:rowOff>
    </xdr:from>
    <xdr:to>
      <xdr:col>11</xdr:col>
      <xdr:colOff>290123</xdr:colOff>
      <xdr:row>2</xdr:row>
      <xdr:rowOff>1008173</xdr:rowOff>
    </xdr:to>
    <xdr:pic>
      <xdr:nvPicPr>
        <xdr:cNvPr id="38" name="Рисунок 37" descr="корсика.png">
          <a:extLst>
            <a:ext uri="{FF2B5EF4-FFF2-40B4-BE49-F238E27FC236}">
              <a16:creationId xmlns:a16="http://schemas.microsoft.com/office/drawing/2014/main" xmlns="" id="{00000000-0008-0000-1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398625" y="392906"/>
          <a:ext cx="488186" cy="1031986"/>
        </a:xfrm>
        <a:prstGeom prst="rect">
          <a:avLst/>
        </a:prstGeom>
      </xdr:spPr>
    </xdr:pic>
    <xdr:clientData/>
  </xdr:twoCellAnchor>
  <xdr:twoCellAnchor editAs="oneCell">
    <xdr:from>
      <xdr:col>8</xdr:col>
      <xdr:colOff>729983</xdr:colOff>
      <xdr:row>19</xdr:row>
      <xdr:rowOff>0</xdr:rowOff>
    </xdr:from>
    <xdr:to>
      <xdr:col>8</xdr:col>
      <xdr:colOff>735106</xdr:colOff>
      <xdr:row>19</xdr:row>
      <xdr:rowOff>123281</xdr:rowOff>
    </xdr:to>
    <xdr:pic>
      <xdr:nvPicPr>
        <xdr:cNvPr id="44" name="Рисунок 43" descr="галочка.png">
          <a:extLst>
            <a:ext uri="{FF2B5EF4-FFF2-40B4-BE49-F238E27FC236}">
              <a16:creationId xmlns:a16="http://schemas.microsoft.com/office/drawing/2014/main" xmlns="" id="{00000000-0008-0000-1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60323" y="992124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11</xdr:col>
      <xdr:colOff>607219</xdr:colOff>
      <xdr:row>19</xdr:row>
      <xdr:rowOff>47625</xdr:rowOff>
    </xdr:from>
    <xdr:to>
      <xdr:col>11</xdr:col>
      <xdr:colOff>1062079</xdr:colOff>
      <xdr:row>20</xdr:row>
      <xdr:rowOff>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14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 l="78030" r="15703" b="21198"/>
        <a:stretch/>
      </xdr:blipFill>
      <xdr:spPr>
        <a:xfrm>
          <a:off x="12084844" y="6322219"/>
          <a:ext cx="454860" cy="1095375"/>
        </a:xfrm>
        <a:prstGeom prst="rect">
          <a:avLst/>
        </a:prstGeom>
      </xdr:spPr>
    </xdr:pic>
    <xdr:clientData/>
  </xdr:twoCellAnchor>
  <xdr:twoCellAnchor>
    <xdr:from>
      <xdr:col>9</xdr:col>
      <xdr:colOff>23812</xdr:colOff>
      <xdr:row>19</xdr:row>
      <xdr:rowOff>23813</xdr:rowOff>
    </xdr:from>
    <xdr:to>
      <xdr:col>9</xdr:col>
      <xdr:colOff>1012031</xdr:colOff>
      <xdr:row>20</xdr:row>
      <xdr:rowOff>11907</xdr:rowOff>
    </xdr:to>
    <xdr:grpSp>
      <xdr:nvGrpSpPr>
        <xdr:cNvPr id="2" name="Группа 1"/>
        <xdr:cNvGrpSpPr/>
      </xdr:nvGrpSpPr>
      <xdr:grpSpPr>
        <a:xfrm>
          <a:off x="9001125" y="5369719"/>
          <a:ext cx="988219" cy="1131094"/>
          <a:chOff x="15490030" y="7608094"/>
          <a:chExt cx="1214441" cy="1440655"/>
        </a:xfrm>
      </xdr:grpSpPr>
      <xdr:pic>
        <xdr:nvPicPr>
          <xdr:cNvPr id="25" name="Рисунок 24">
            <a:extLst>
              <a:ext uri="{FF2B5EF4-FFF2-40B4-BE49-F238E27FC236}">
                <a16:creationId xmlns:a16="http://schemas.microsoft.com/office/drawing/2014/main" xmlns="" id="{00000000-0008-0000-1400-00001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41446" r="52287" b="19862"/>
          <a:stretch/>
        </xdr:blipFill>
        <xdr:spPr>
          <a:xfrm>
            <a:off x="15490030" y="7620000"/>
            <a:ext cx="583406" cy="1428749"/>
          </a:xfrm>
          <a:prstGeom prst="rect">
            <a:avLst/>
          </a:prstGeom>
        </xdr:spPr>
      </xdr:pic>
      <xdr:pic>
        <xdr:nvPicPr>
          <xdr:cNvPr id="28" name="Рисунок 27">
            <a:extLst>
              <a:ext uri="{FF2B5EF4-FFF2-40B4-BE49-F238E27FC236}">
                <a16:creationId xmlns:a16="http://schemas.microsoft.com/office/drawing/2014/main" xmlns="" id="{00000000-0008-0000-1400-00001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47841" r="45763" b="21198"/>
          <a:stretch/>
        </xdr:blipFill>
        <xdr:spPr>
          <a:xfrm>
            <a:off x="16109157" y="7608094"/>
            <a:ext cx="595314" cy="1404937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380637</xdr:colOff>
      <xdr:row>19</xdr:row>
      <xdr:rowOff>23007</xdr:rowOff>
    </xdr:from>
    <xdr:to>
      <xdr:col>10</xdr:col>
      <xdr:colOff>1203614</xdr:colOff>
      <xdr:row>19</xdr:row>
      <xdr:rowOff>1135422</xdr:rowOff>
    </xdr:to>
    <xdr:grpSp>
      <xdr:nvGrpSpPr>
        <xdr:cNvPr id="4" name="Группа 3"/>
        <xdr:cNvGrpSpPr/>
      </xdr:nvGrpSpPr>
      <xdr:grpSpPr>
        <a:xfrm>
          <a:off x="10667637" y="5368913"/>
          <a:ext cx="822977" cy="1112415"/>
          <a:chOff x="10684955" y="5651416"/>
          <a:chExt cx="822977" cy="1112415"/>
        </a:xfrm>
      </xdr:grpSpPr>
      <xdr:pic>
        <xdr:nvPicPr>
          <xdr:cNvPr id="17" name="Рисунок 16" descr="корсика.png">
            <a:extLst>
              <a:ext uri="{FF2B5EF4-FFF2-40B4-BE49-F238E27FC236}">
                <a16:creationId xmlns:a16="http://schemas.microsoft.com/office/drawing/2014/main" xmlns="" id="{00000000-0008-0000-14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/>
          <a:stretch>
            <a:fillRect/>
          </a:stretch>
        </xdr:blipFill>
        <xdr:spPr>
          <a:xfrm>
            <a:off x="10684955" y="5661962"/>
            <a:ext cx="385754" cy="1101495"/>
          </a:xfrm>
          <a:prstGeom prst="rect">
            <a:avLst/>
          </a:prstGeom>
        </xdr:spPr>
      </xdr:pic>
      <xdr:pic>
        <xdr:nvPicPr>
          <xdr:cNvPr id="29" name="Рисунок 28">
            <a:extLst>
              <a:ext uri="{FF2B5EF4-FFF2-40B4-BE49-F238E27FC236}">
                <a16:creationId xmlns:a16="http://schemas.microsoft.com/office/drawing/2014/main" xmlns="" id="{00000000-0008-0000-1400-00001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71250" r="22482" b="20530"/>
          <a:stretch/>
        </xdr:blipFill>
        <xdr:spPr>
          <a:xfrm>
            <a:off x="11095953" y="5651416"/>
            <a:ext cx="411979" cy="1112415"/>
          </a:xfrm>
          <a:prstGeom prst="rect">
            <a:avLst/>
          </a:prstGeom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413058</xdr:colOff>
      <xdr:row>1</xdr:row>
      <xdr:rowOff>193255</xdr:rowOff>
    </xdr:from>
    <xdr:to>
      <xdr:col>6</xdr:col>
      <xdr:colOff>870832</xdr:colOff>
      <xdr:row>3</xdr:row>
      <xdr:rowOff>12439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1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4651683" y="419474"/>
          <a:ext cx="457774" cy="1057434"/>
        </a:xfrm>
        <a:prstGeom prst="rect">
          <a:avLst/>
        </a:prstGeom>
      </xdr:spPr>
    </xdr:pic>
    <xdr:clientData/>
  </xdr:twoCellAnchor>
  <xdr:twoCellAnchor>
    <xdr:from>
      <xdr:col>7</xdr:col>
      <xdr:colOff>415616</xdr:colOff>
      <xdr:row>1</xdr:row>
      <xdr:rowOff>193255</xdr:rowOff>
    </xdr:from>
    <xdr:to>
      <xdr:col>7</xdr:col>
      <xdr:colOff>873389</xdr:colOff>
      <xdr:row>3</xdr:row>
      <xdr:rowOff>12439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1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6035366" y="419474"/>
          <a:ext cx="457773" cy="1057434"/>
        </a:xfrm>
        <a:prstGeom prst="rect">
          <a:avLst/>
        </a:prstGeom>
      </xdr:spPr>
    </xdr:pic>
    <xdr:clientData/>
  </xdr:twoCellAnchor>
  <xdr:twoCellAnchor>
    <xdr:from>
      <xdr:col>8</xdr:col>
      <xdr:colOff>361936</xdr:colOff>
      <xdr:row>1</xdr:row>
      <xdr:rowOff>193256</xdr:rowOff>
    </xdr:from>
    <xdr:to>
      <xdr:col>8</xdr:col>
      <xdr:colOff>819708</xdr:colOff>
      <xdr:row>3</xdr:row>
      <xdr:rowOff>12438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1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7362811" y="419475"/>
          <a:ext cx="457772" cy="1057432"/>
        </a:xfrm>
        <a:prstGeom prst="rect">
          <a:avLst/>
        </a:prstGeom>
      </xdr:spPr>
    </xdr:pic>
    <xdr:clientData/>
  </xdr:twoCellAnchor>
  <xdr:twoCellAnchor>
    <xdr:from>
      <xdr:col>9</xdr:col>
      <xdr:colOff>321170</xdr:colOff>
      <xdr:row>1</xdr:row>
      <xdr:rowOff>193257</xdr:rowOff>
    </xdr:from>
    <xdr:to>
      <xdr:col>9</xdr:col>
      <xdr:colOff>778942</xdr:colOff>
      <xdr:row>3</xdr:row>
      <xdr:rowOff>12437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1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8703170" y="419476"/>
          <a:ext cx="457772" cy="1057430"/>
        </a:xfrm>
        <a:prstGeom prst="rect">
          <a:avLst/>
        </a:prstGeom>
      </xdr:spPr>
    </xdr:pic>
    <xdr:clientData/>
  </xdr:twoCellAnchor>
  <xdr:twoCellAnchor>
    <xdr:from>
      <xdr:col>10</xdr:col>
      <xdr:colOff>323729</xdr:colOff>
      <xdr:row>1</xdr:row>
      <xdr:rowOff>193257</xdr:rowOff>
    </xdr:from>
    <xdr:to>
      <xdr:col>10</xdr:col>
      <xdr:colOff>781500</xdr:colOff>
      <xdr:row>3</xdr:row>
      <xdr:rowOff>12437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1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10086854" y="419476"/>
          <a:ext cx="457771" cy="1057430"/>
        </a:xfrm>
        <a:prstGeom prst="rect">
          <a:avLst/>
        </a:prstGeom>
      </xdr:spPr>
    </xdr:pic>
    <xdr:clientData/>
  </xdr:twoCellAnchor>
  <xdr:twoCellAnchor>
    <xdr:from>
      <xdr:col>11</xdr:col>
      <xdr:colOff>515057</xdr:colOff>
      <xdr:row>1</xdr:row>
      <xdr:rowOff>216010</xdr:rowOff>
    </xdr:from>
    <xdr:to>
      <xdr:col>11</xdr:col>
      <xdr:colOff>972828</xdr:colOff>
      <xdr:row>3</xdr:row>
      <xdr:rowOff>35187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1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11659307" y="442229"/>
          <a:ext cx="457771" cy="1057427"/>
        </a:xfrm>
        <a:prstGeom prst="rect">
          <a:avLst/>
        </a:prstGeom>
      </xdr:spPr>
    </xdr:pic>
    <xdr:clientData/>
  </xdr:twoCellAnchor>
  <xdr:twoCellAnchor>
    <xdr:from>
      <xdr:col>12</xdr:col>
      <xdr:colOff>604265</xdr:colOff>
      <xdr:row>1</xdr:row>
      <xdr:rowOff>204634</xdr:rowOff>
    </xdr:from>
    <xdr:to>
      <xdr:col>12</xdr:col>
      <xdr:colOff>1062035</xdr:colOff>
      <xdr:row>3</xdr:row>
      <xdr:rowOff>23811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1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13129640" y="430853"/>
          <a:ext cx="457770" cy="1057427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19</xdr:row>
      <xdr:rowOff>142875</xdr:rowOff>
    </xdr:from>
    <xdr:to>
      <xdr:col>6</xdr:col>
      <xdr:colOff>805657</xdr:colOff>
      <xdr:row>21</xdr:row>
      <xdr:rowOff>93972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1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5410200" y="13335000"/>
          <a:ext cx="529432" cy="1322697"/>
        </a:xfrm>
        <a:prstGeom prst="rect">
          <a:avLst/>
        </a:prstGeom>
      </xdr:spPr>
    </xdr:pic>
    <xdr:clientData/>
  </xdr:twoCellAnchor>
  <xdr:twoCellAnchor>
    <xdr:from>
      <xdr:col>7</xdr:col>
      <xdr:colOff>276225</xdr:colOff>
      <xdr:row>19</xdr:row>
      <xdr:rowOff>142876</xdr:rowOff>
    </xdr:from>
    <xdr:to>
      <xdr:col>7</xdr:col>
      <xdr:colOff>805657</xdr:colOff>
      <xdr:row>21</xdr:row>
      <xdr:rowOff>93970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1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6505575" y="13335001"/>
          <a:ext cx="529432" cy="1322694"/>
        </a:xfrm>
        <a:prstGeom prst="rect">
          <a:avLst/>
        </a:prstGeom>
      </xdr:spPr>
    </xdr:pic>
    <xdr:clientData/>
  </xdr:twoCellAnchor>
  <xdr:twoCellAnchor>
    <xdr:from>
      <xdr:col>8</xdr:col>
      <xdr:colOff>266700</xdr:colOff>
      <xdr:row>19</xdr:row>
      <xdr:rowOff>142877</xdr:rowOff>
    </xdr:from>
    <xdr:to>
      <xdr:col>8</xdr:col>
      <xdr:colOff>796131</xdr:colOff>
      <xdr:row>21</xdr:row>
      <xdr:rowOff>93969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0000000-0008-0000-1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8686800" y="13335002"/>
          <a:ext cx="529431" cy="1322692"/>
        </a:xfrm>
        <a:prstGeom prst="rect">
          <a:avLst/>
        </a:prstGeom>
      </xdr:spPr>
    </xdr:pic>
    <xdr:clientData/>
  </xdr:twoCellAnchor>
  <xdr:twoCellAnchor>
    <xdr:from>
      <xdr:col>9</xdr:col>
      <xdr:colOff>285750</xdr:colOff>
      <xdr:row>19</xdr:row>
      <xdr:rowOff>142877</xdr:rowOff>
    </xdr:from>
    <xdr:to>
      <xdr:col>9</xdr:col>
      <xdr:colOff>815180</xdr:colOff>
      <xdr:row>21</xdr:row>
      <xdr:rowOff>93969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1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9801225" y="13335002"/>
          <a:ext cx="529430" cy="1322692"/>
        </a:xfrm>
        <a:prstGeom prst="rect">
          <a:avLst/>
        </a:prstGeom>
      </xdr:spPr>
    </xdr:pic>
    <xdr:clientData/>
  </xdr:twoCellAnchor>
  <xdr:twoCellAnchor>
    <xdr:from>
      <xdr:col>10</xdr:col>
      <xdr:colOff>285750</xdr:colOff>
      <xdr:row>19</xdr:row>
      <xdr:rowOff>142878</xdr:rowOff>
    </xdr:from>
    <xdr:to>
      <xdr:col>10</xdr:col>
      <xdr:colOff>815180</xdr:colOff>
      <xdr:row>21</xdr:row>
      <xdr:rowOff>93967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1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10896600" y="13335003"/>
          <a:ext cx="529430" cy="1322689"/>
        </a:xfrm>
        <a:prstGeom prst="rect">
          <a:avLst/>
        </a:prstGeom>
      </xdr:spPr>
    </xdr:pic>
    <xdr:clientData/>
  </xdr:twoCellAnchor>
  <xdr:twoCellAnchor>
    <xdr:from>
      <xdr:col>11</xdr:col>
      <xdr:colOff>454025</xdr:colOff>
      <xdr:row>19</xdr:row>
      <xdr:rowOff>180978</xdr:rowOff>
    </xdr:from>
    <xdr:to>
      <xdr:col>11</xdr:col>
      <xdr:colOff>983455</xdr:colOff>
      <xdr:row>21</xdr:row>
      <xdr:rowOff>132067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1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13382625" y="10671178"/>
          <a:ext cx="529430" cy="1322689"/>
        </a:xfrm>
        <a:prstGeom prst="rect">
          <a:avLst/>
        </a:prstGeom>
      </xdr:spPr>
    </xdr:pic>
    <xdr:clientData/>
  </xdr:twoCellAnchor>
  <xdr:twoCellAnchor>
    <xdr:from>
      <xdr:col>12</xdr:col>
      <xdr:colOff>415925</xdr:colOff>
      <xdr:row>19</xdr:row>
      <xdr:rowOff>168278</xdr:rowOff>
    </xdr:from>
    <xdr:to>
      <xdr:col>12</xdr:col>
      <xdr:colOff>945354</xdr:colOff>
      <xdr:row>21</xdr:row>
      <xdr:rowOff>119367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00000000-0008-0000-1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14766925" y="10658478"/>
          <a:ext cx="529429" cy="1322689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</xdr:row>
      <xdr:rowOff>0</xdr:rowOff>
    </xdr:from>
    <xdr:to>
      <xdr:col>9</xdr:col>
      <xdr:colOff>5123</xdr:colOff>
      <xdr:row>19</xdr:row>
      <xdr:rowOff>123281</xdr:rowOff>
    </xdr:to>
    <xdr:pic>
      <xdr:nvPicPr>
        <xdr:cNvPr id="41" name="Рисунок 40" descr="галочка.png">
          <a:extLst>
            <a:ext uri="{FF2B5EF4-FFF2-40B4-BE49-F238E27FC236}">
              <a16:creationId xmlns:a16="http://schemas.microsoft.com/office/drawing/2014/main" xmlns="" id="{00000000-0008-0000-1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260323" y="9921240"/>
          <a:ext cx="5123" cy="12328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309564</xdr:colOff>
      <xdr:row>2</xdr:row>
      <xdr:rowOff>0</xdr:rowOff>
    </xdr:from>
    <xdr:to>
      <xdr:col>11</xdr:col>
      <xdr:colOff>796152</xdr:colOff>
      <xdr:row>3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88752" b="19639"/>
        <a:stretch/>
      </xdr:blipFill>
      <xdr:spPr>
        <a:xfrm>
          <a:off x="11453814" y="416719"/>
          <a:ext cx="486588" cy="1143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11206</xdr:colOff>
      <xdr:row>21</xdr:row>
      <xdr:rowOff>134471</xdr:rowOff>
    </xdr:from>
    <xdr:to>
      <xdr:col>13</xdr:col>
      <xdr:colOff>11206</xdr:colOff>
      <xdr:row>22</xdr:row>
      <xdr:rowOff>124504</xdr:rowOff>
    </xdr:to>
    <xdr:pic>
      <xdr:nvPicPr>
        <xdr:cNvPr id="4" name="Рисунок 3" descr="накладка на входную дверь.jpg">
          <a:extLst>
            <a:ext uri="{FF2B5EF4-FFF2-40B4-BE49-F238E27FC236}">
              <a16:creationId xmlns:a16="http://schemas.microsoft.com/office/drawing/2014/main" xmlns="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777882" y="9155206"/>
          <a:ext cx="0" cy="49654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15</xdr:row>
      <xdr:rowOff>107400</xdr:rowOff>
    </xdr:from>
    <xdr:to>
      <xdr:col>13</xdr:col>
      <xdr:colOff>0</xdr:colOff>
      <xdr:row>16</xdr:row>
      <xdr:rowOff>145053</xdr:rowOff>
    </xdr:to>
    <xdr:pic>
      <xdr:nvPicPr>
        <xdr:cNvPr id="8" name="Рисунок 7" descr="галочка.png">
          <a:extLst>
            <a:ext uri="{FF2B5EF4-FFF2-40B4-BE49-F238E27FC236}">
              <a16:creationId xmlns:a16="http://schemas.microsoft.com/office/drawing/2014/main" xmlns="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182975" y="691777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16</xdr:row>
      <xdr:rowOff>107400</xdr:rowOff>
    </xdr:from>
    <xdr:to>
      <xdr:col>13</xdr:col>
      <xdr:colOff>0</xdr:colOff>
      <xdr:row>16</xdr:row>
      <xdr:rowOff>254833</xdr:rowOff>
    </xdr:to>
    <xdr:pic>
      <xdr:nvPicPr>
        <xdr:cNvPr id="9" name="Рисунок 8" descr="галочка.png">
          <a:extLst>
            <a:ext uri="{FF2B5EF4-FFF2-40B4-BE49-F238E27FC236}">
              <a16:creationId xmlns:a16="http://schemas.microsoft.com/office/drawing/2014/main" xmlns="" id="{00000000-0008-0000-1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182975" y="7232100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18</xdr:row>
      <xdr:rowOff>0</xdr:rowOff>
    </xdr:from>
    <xdr:to>
      <xdr:col>13</xdr:col>
      <xdr:colOff>0</xdr:colOff>
      <xdr:row>18</xdr:row>
      <xdr:rowOff>142331</xdr:rowOff>
    </xdr:to>
    <xdr:pic>
      <xdr:nvPicPr>
        <xdr:cNvPr id="10" name="Рисунок 9" descr="галочка.png">
          <a:extLst>
            <a:ext uri="{FF2B5EF4-FFF2-40B4-BE49-F238E27FC236}">
              <a16:creationId xmlns:a16="http://schemas.microsoft.com/office/drawing/2014/main" xmlns="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182975" y="743902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18</xdr:row>
      <xdr:rowOff>0</xdr:rowOff>
    </xdr:from>
    <xdr:to>
      <xdr:col>13</xdr:col>
      <xdr:colOff>0</xdr:colOff>
      <xdr:row>18</xdr:row>
      <xdr:rowOff>142331</xdr:rowOff>
    </xdr:to>
    <xdr:pic>
      <xdr:nvPicPr>
        <xdr:cNvPr id="11" name="Рисунок 10" descr="галочка.png">
          <a:extLst>
            <a:ext uri="{FF2B5EF4-FFF2-40B4-BE49-F238E27FC236}">
              <a16:creationId xmlns:a16="http://schemas.microsoft.com/office/drawing/2014/main" xmlns="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182975" y="743902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5</xdr:col>
      <xdr:colOff>685533</xdr:colOff>
      <xdr:row>15</xdr:row>
      <xdr:rowOff>107400</xdr:rowOff>
    </xdr:from>
    <xdr:to>
      <xdr:col>5</xdr:col>
      <xdr:colOff>690656</xdr:colOff>
      <xdr:row>16</xdr:row>
      <xdr:rowOff>123281</xdr:rowOff>
    </xdr:to>
    <xdr:pic>
      <xdr:nvPicPr>
        <xdr:cNvPr id="16" name="Рисунок 15" descr="галочка.png">
          <a:extLst>
            <a:ext uri="{FF2B5EF4-FFF2-40B4-BE49-F238E27FC236}">
              <a16:creationId xmlns:a16="http://schemas.microsoft.com/office/drawing/2014/main" xmlns="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060433" y="603830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660133</xdr:colOff>
      <xdr:row>15</xdr:row>
      <xdr:rowOff>107400</xdr:rowOff>
    </xdr:from>
    <xdr:to>
      <xdr:col>5</xdr:col>
      <xdr:colOff>662081</xdr:colOff>
      <xdr:row>16</xdr:row>
      <xdr:rowOff>123281</xdr:rowOff>
    </xdr:to>
    <xdr:pic>
      <xdr:nvPicPr>
        <xdr:cNvPr id="18" name="Рисунок 17" descr="галочка.png">
          <a:extLst>
            <a:ext uri="{FF2B5EF4-FFF2-40B4-BE49-F238E27FC236}">
              <a16:creationId xmlns:a16="http://schemas.microsoft.com/office/drawing/2014/main" xmlns="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035033" y="6038300"/>
          <a:ext cx="1948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16</xdr:row>
      <xdr:rowOff>107400</xdr:rowOff>
    </xdr:from>
    <xdr:to>
      <xdr:col>5</xdr:col>
      <xdr:colOff>731931</xdr:colOff>
      <xdr:row>16</xdr:row>
      <xdr:rowOff>192581</xdr:rowOff>
    </xdr:to>
    <xdr:pic>
      <xdr:nvPicPr>
        <xdr:cNvPr id="19" name="Рисунок 18" descr="галочка.png">
          <a:extLst>
            <a:ext uri="{FF2B5EF4-FFF2-40B4-BE49-F238E27FC236}">
              <a16:creationId xmlns:a16="http://schemas.microsoft.com/office/drawing/2014/main" xmlns="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587483" y="723210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12</xdr:col>
      <xdr:colOff>729983</xdr:colOff>
      <xdr:row>16</xdr:row>
      <xdr:rowOff>107400</xdr:rowOff>
    </xdr:from>
    <xdr:to>
      <xdr:col>12</xdr:col>
      <xdr:colOff>735106</xdr:colOff>
      <xdr:row>16</xdr:row>
      <xdr:rowOff>192581</xdr:rowOff>
    </xdr:to>
    <xdr:pic>
      <xdr:nvPicPr>
        <xdr:cNvPr id="20" name="Рисунок 19" descr="галочка.png">
          <a:extLst>
            <a:ext uri="{FF2B5EF4-FFF2-40B4-BE49-F238E27FC236}">
              <a16:creationId xmlns:a16="http://schemas.microsoft.com/office/drawing/2014/main" xmlns="" id="{00000000-0008-0000-1A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64183" y="723210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16</xdr:row>
      <xdr:rowOff>107400</xdr:rowOff>
    </xdr:from>
    <xdr:to>
      <xdr:col>6</xdr:col>
      <xdr:colOff>0</xdr:colOff>
      <xdr:row>16</xdr:row>
      <xdr:rowOff>192581</xdr:rowOff>
    </xdr:to>
    <xdr:pic>
      <xdr:nvPicPr>
        <xdr:cNvPr id="24" name="Рисунок 23" descr="галочка.png">
          <a:extLst>
            <a:ext uri="{FF2B5EF4-FFF2-40B4-BE49-F238E27FC236}">
              <a16:creationId xmlns:a16="http://schemas.microsoft.com/office/drawing/2014/main" xmlns="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172325" y="7460700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8</xdr:col>
      <xdr:colOff>357187</xdr:colOff>
      <xdr:row>1</xdr:row>
      <xdr:rowOff>178593</xdr:rowOff>
    </xdr:from>
    <xdr:to>
      <xdr:col>8</xdr:col>
      <xdr:colOff>831498</xdr:colOff>
      <xdr:row>3</xdr:row>
      <xdr:rowOff>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1A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9190" r="39996" b="19193"/>
        <a:stretch/>
      </xdr:blipFill>
      <xdr:spPr>
        <a:xfrm>
          <a:off x="7358062" y="404812"/>
          <a:ext cx="474311" cy="1154907"/>
        </a:xfrm>
        <a:prstGeom prst="rect">
          <a:avLst/>
        </a:prstGeom>
      </xdr:spPr>
    </xdr:pic>
    <xdr:clientData/>
  </xdr:twoCellAnchor>
  <xdr:twoCellAnchor>
    <xdr:from>
      <xdr:col>12</xdr:col>
      <xdr:colOff>608692</xdr:colOff>
      <xdr:row>2</xdr:row>
      <xdr:rowOff>0</xdr:rowOff>
    </xdr:from>
    <xdr:to>
      <xdr:col>12</xdr:col>
      <xdr:colOff>1087743</xdr:colOff>
      <xdr:row>3</xdr:row>
      <xdr:rowOff>1326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3134067" y="416719"/>
          <a:ext cx="479051" cy="1144326"/>
        </a:xfrm>
        <a:prstGeom prst="rect">
          <a:avLst/>
        </a:prstGeom>
      </xdr:spPr>
    </xdr:pic>
    <xdr:clientData/>
  </xdr:twoCellAnchor>
  <xdr:twoCellAnchor>
    <xdr:from>
      <xdr:col>7</xdr:col>
      <xdr:colOff>328613</xdr:colOff>
      <xdr:row>2</xdr:row>
      <xdr:rowOff>0</xdr:rowOff>
    </xdr:from>
    <xdr:to>
      <xdr:col>7</xdr:col>
      <xdr:colOff>807987</xdr:colOff>
      <xdr:row>3</xdr:row>
      <xdr:rowOff>3609</xdr:rowOff>
    </xdr:to>
    <xdr:pic>
      <xdr:nvPicPr>
        <xdr:cNvPr id="31" name="Рисунок 30" descr="корсика.png">
          <a:extLst>
            <a:ext uri="{FF2B5EF4-FFF2-40B4-BE49-F238E27FC236}">
              <a16:creationId xmlns:a16="http://schemas.microsoft.com/office/drawing/2014/main" xmlns="" id="{00000000-0008-0000-1A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5948363" y="416719"/>
          <a:ext cx="479374" cy="1146609"/>
        </a:xfrm>
        <a:prstGeom prst="rect">
          <a:avLst/>
        </a:prstGeom>
      </xdr:spPr>
    </xdr:pic>
    <xdr:clientData/>
  </xdr:twoCellAnchor>
  <xdr:twoCellAnchor>
    <xdr:from>
      <xdr:col>10</xdr:col>
      <xdr:colOff>332065</xdr:colOff>
      <xdr:row>1</xdr:row>
      <xdr:rowOff>178593</xdr:rowOff>
    </xdr:from>
    <xdr:to>
      <xdr:col>10</xdr:col>
      <xdr:colOff>819312</xdr:colOff>
      <xdr:row>3</xdr:row>
      <xdr:rowOff>10497</xdr:rowOff>
    </xdr:to>
    <xdr:pic>
      <xdr:nvPicPr>
        <xdr:cNvPr id="33" name="Рисунок 32" descr="корсика.png">
          <a:extLst>
            <a:ext uri="{FF2B5EF4-FFF2-40B4-BE49-F238E27FC236}">
              <a16:creationId xmlns:a16="http://schemas.microsoft.com/office/drawing/2014/main" xmlns="" id="{00000000-0008-0000-1A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095190" y="404812"/>
          <a:ext cx="487247" cy="1165404"/>
        </a:xfrm>
        <a:prstGeom prst="rect">
          <a:avLst/>
        </a:prstGeom>
      </xdr:spPr>
    </xdr:pic>
    <xdr:clientData/>
  </xdr:twoCellAnchor>
  <xdr:twoCellAnchor>
    <xdr:from>
      <xdr:col>6</xdr:col>
      <xdr:colOff>448016</xdr:colOff>
      <xdr:row>2</xdr:row>
      <xdr:rowOff>0</xdr:rowOff>
    </xdr:from>
    <xdr:to>
      <xdr:col>6</xdr:col>
      <xdr:colOff>935508</xdr:colOff>
      <xdr:row>3</xdr:row>
      <xdr:rowOff>15042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686641" y="416719"/>
          <a:ext cx="487492" cy="1158042"/>
        </a:xfrm>
        <a:prstGeom prst="rect">
          <a:avLst/>
        </a:prstGeom>
      </xdr:spPr>
    </xdr:pic>
    <xdr:clientData/>
  </xdr:twoCellAnchor>
  <xdr:twoCellAnchor editAs="oneCell">
    <xdr:from>
      <xdr:col>9</xdr:col>
      <xdr:colOff>416721</xdr:colOff>
      <xdr:row>2</xdr:row>
      <xdr:rowOff>0</xdr:rowOff>
    </xdr:from>
    <xdr:to>
      <xdr:col>9</xdr:col>
      <xdr:colOff>893517</xdr:colOff>
      <xdr:row>3</xdr:row>
      <xdr:rowOff>11906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00000000-0008-0000-1A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60416" r="28770" b="19614"/>
        <a:stretch/>
      </xdr:blipFill>
      <xdr:spPr>
        <a:xfrm>
          <a:off x="8798721" y="416719"/>
          <a:ext cx="476796" cy="115490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22</xdr:row>
      <xdr:rowOff>0</xdr:rowOff>
    </xdr:from>
    <xdr:to>
      <xdr:col>11</xdr:col>
      <xdr:colOff>0</xdr:colOff>
      <xdr:row>23</xdr:row>
      <xdr:rowOff>256311</xdr:rowOff>
    </xdr:to>
    <xdr:pic>
      <xdr:nvPicPr>
        <xdr:cNvPr id="32" name="Рисунок 31" descr="накладка на входную дверь.jpg">
          <a:extLst>
            <a:ext uri="{FF2B5EF4-FFF2-40B4-BE49-F238E27FC236}">
              <a16:creationId xmlns:a16="http://schemas.microsoft.com/office/drawing/2014/main" xmlns="" id="{00000000-0008-0000-19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276490" y="5879646"/>
          <a:ext cx="280416" cy="51511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35</xdr:row>
      <xdr:rowOff>0</xdr:rowOff>
    </xdr:from>
    <xdr:to>
      <xdr:col>8</xdr:col>
      <xdr:colOff>0</xdr:colOff>
      <xdr:row>35</xdr:row>
      <xdr:rowOff>142331</xdr:rowOff>
    </xdr:to>
    <xdr:pic>
      <xdr:nvPicPr>
        <xdr:cNvPr id="34" name="Рисунок 33" descr="галочка.png">
          <a:extLst>
            <a:ext uri="{FF2B5EF4-FFF2-40B4-BE49-F238E27FC236}">
              <a16:creationId xmlns:a16="http://schemas.microsoft.com/office/drawing/2014/main" xmlns="" id="{00000000-0008-0000-19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227034" y="8117925"/>
          <a:ext cx="138473" cy="14233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35</xdr:row>
      <xdr:rowOff>0</xdr:rowOff>
    </xdr:from>
    <xdr:to>
      <xdr:col>8</xdr:col>
      <xdr:colOff>0</xdr:colOff>
      <xdr:row>35</xdr:row>
      <xdr:rowOff>137149</xdr:rowOff>
    </xdr:to>
    <xdr:pic>
      <xdr:nvPicPr>
        <xdr:cNvPr id="35" name="Рисунок 34" descr="галочка.png">
          <a:extLst>
            <a:ext uri="{FF2B5EF4-FFF2-40B4-BE49-F238E27FC236}">
              <a16:creationId xmlns:a16="http://schemas.microsoft.com/office/drawing/2014/main" xmlns="" id="{00000000-0008-0000-19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227034" y="8470350"/>
          <a:ext cx="138473" cy="14233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0</xdr:colOff>
      <xdr:row>19</xdr:row>
      <xdr:rowOff>142331</xdr:rowOff>
    </xdr:to>
    <xdr:pic>
      <xdr:nvPicPr>
        <xdr:cNvPr id="51" name="Рисунок 50" descr="галочка.png">
          <a:extLst>
            <a:ext uri="{FF2B5EF4-FFF2-40B4-BE49-F238E27FC236}">
              <a16:creationId xmlns:a16="http://schemas.microsoft.com/office/drawing/2014/main" xmlns="" id="{00000000-0008-0000-19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227034" y="8822775"/>
          <a:ext cx="138473" cy="14233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0</xdr:colOff>
      <xdr:row>19</xdr:row>
      <xdr:rowOff>142331</xdr:rowOff>
    </xdr:to>
    <xdr:pic>
      <xdr:nvPicPr>
        <xdr:cNvPr id="52" name="Рисунок 51" descr="галочка.png">
          <a:extLst>
            <a:ext uri="{FF2B5EF4-FFF2-40B4-BE49-F238E27FC236}">
              <a16:creationId xmlns:a16="http://schemas.microsoft.com/office/drawing/2014/main" xmlns="" id="{00000000-0008-0000-19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227034" y="9175200"/>
          <a:ext cx="138473" cy="142331"/>
        </a:xfrm>
        <a:prstGeom prst="rect">
          <a:avLst/>
        </a:prstGeom>
      </xdr:spPr>
    </xdr:pic>
    <xdr:clientData/>
  </xdr:twoCellAnchor>
  <xdr:oneCellAnchor>
    <xdr:from>
      <xdr:col>8</xdr:col>
      <xdr:colOff>0</xdr:colOff>
      <xdr:row>35</xdr:row>
      <xdr:rowOff>0</xdr:rowOff>
    </xdr:from>
    <xdr:ext cx="0" cy="142331"/>
    <xdr:pic>
      <xdr:nvPicPr>
        <xdr:cNvPr id="33" name="Рисунок 32" descr="галочка.png">
          <a:extLst>
            <a:ext uri="{FF2B5EF4-FFF2-40B4-BE49-F238E27FC236}">
              <a16:creationId xmlns:a16="http://schemas.microsoft.com/office/drawing/2014/main" xmlns="" id="{00000000-0008-0000-19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191500" y="7603575"/>
          <a:ext cx="0" cy="142331"/>
        </a:xfrm>
        <a:prstGeom prst="rect">
          <a:avLst/>
        </a:prstGeom>
      </xdr:spPr>
    </xdr:pic>
    <xdr:clientData/>
  </xdr:oneCellAnchor>
  <xdr:twoCellAnchor editAs="oneCell">
    <xdr:from>
      <xdr:col>7</xdr:col>
      <xdr:colOff>0</xdr:colOff>
      <xdr:row>35</xdr:row>
      <xdr:rowOff>0</xdr:rowOff>
    </xdr:from>
    <xdr:to>
      <xdr:col>7</xdr:col>
      <xdr:colOff>0</xdr:colOff>
      <xdr:row>35</xdr:row>
      <xdr:rowOff>142331</xdr:rowOff>
    </xdr:to>
    <xdr:pic>
      <xdr:nvPicPr>
        <xdr:cNvPr id="38" name="Рисунок 37" descr="галочка.png">
          <a:extLst>
            <a:ext uri="{FF2B5EF4-FFF2-40B4-BE49-F238E27FC236}">
              <a16:creationId xmlns:a16="http://schemas.microsoft.com/office/drawing/2014/main" xmlns="" id="{00000000-0008-0000-19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172325" y="691777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0</xdr:colOff>
      <xdr:row>35</xdr:row>
      <xdr:rowOff>137149</xdr:rowOff>
    </xdr:to>
    <xdr:pic>
      <xdr:nvPicPr>
        <xdr:cNvPr id="39" name="Рисунок 38" descr="галочка.png">
          <a:extLst>
            <a:ext uri="{FF2B5EF4-FFF2-40B4-BE49-F238E27FC236}">
              <a16:creationId xmlns:a16="http://schemas.microsoft.com/office/drawing/2014/main" xmlns="" id="{00000000-0008-0000-19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172325" y="7460700"/>
          <a:ext cx="0" cy="142331"/>
        </a:xfrm>
        <a:prstGeom prst="rect">
          <a:avLst/>
        </a:prstGeom>
      </xdr:spPr>
    </xdr:pic>
    <xdr:clientData/>
  </xdr:twoCellAnchor>
  <xdr:twoCellAnchor>
    <xdr:from>
      <xdr:col>10</xdr:col>
      <xdr:colOff>479421</xdr:colOff>
      <xdr:row>1</xdr:row>
      <xdr:rowOff>178593</xdr:rowOff>
    </xdr:from>
    <xdr:to>
      <xdr:col>10</xdr:col>
      <xdr:colOff>961240</xdr:colOff>
      <xdr:row>3</xdr:row>
      <xdr:rowOff>19598</xdr:rowOff>
    </xdr:to>
    <xdr:pic>
      <xdr:nvPicPr>
        <xdr:cNvPr id="46" name="Рисунок 45" descr="корсика.png">
          <a:extLst>
            <a:ext uri="{FF2B5EF4-FFF2-40B4-BE49-F238E27FC236}">
              <a16:creationId xmlns:a16="http://schemas.microsoft.com/office/drawing/2014/main" xmlns="" id="{00000000-0008-0000-19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4385921" y="1500187"/>
          <a:ext cx="481819" cy="1174505"/>
        </a:xfrm>
        <a:prstGeom prst="rect">
          <a:avLst/>
        </a:prstGeom>
      </xdr:spPr>
    </xdr:pic>
    <xdr:clientData/>
  </xdr:twoCellAnchor>
  <xdr:twoCellAnchor>
    <xdr:from>
      <xdr:col>7</xdr:col>
      <xdr:colOff>107150</xdr:colOff>
      <xdr:row>1</xdr:row>
      <xdr:rowOff>142875</xdr:rowOff>
    </xdr:from>
    <xdr:to>
      <xdr:col>7</xdr:col>
      <xdr:colOff>1654969</xdr:colOff>
      <xdr:row>2</xdr:row>
      <xdr:rowOff>1119187</xdr:rowOff>
    </xdr:to>
    <xdr:grpSp>
      <xdr:nvGrpSpPr>
        <xdr:cNvPr id="4" name="Группа 3"/>
        <xdr:cNvGrpSpPr/>
      </xdr:nvGrpSpPr>
      <xdr:grpSpPr>
        <a:xfrm>
          <a:off x="5726900" y="369094"/>
          <a:ext cx="1547819" cy="1166812"/>
          <a:chOff x="5691180" y="1547812"/>
          <a:chExt cx="1547819" cy="1166812"/>
        </a:xfrm>
      </xdr:grpSpPr>
      <xdr:pic>
        <xdr:nvPicPr>
          <xdr:cNvPr id="48" name="Рисунок 47" descr="корсика.png">
            <a:extLst>
              <a:ext uri="{FF2B5EF4-FFF2-40B4-BE49-F238E27FC236}">
                <a16:creationId xmlns:a16="http://schemas.microsoft.com/office/drawing/2014/main" xmlns="" id="{00000000-0008-0000-1900-00003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/>
          <a:stretch>
            <a:fillRect/>
          </a:stretch>
        </xdr:blipFill>
        <xdr:spPr>
          <a:xfrm>
            <a:off x="5691180" y="1547812"/>
            <a:ext cx="473358" cy="1153490"/>
          </a:xfrm>
          <a:prstGeom prst="rect">
            <a:avLst/>
          </a:prstGeom>
        </xdr:spPr>
      </xdr:pic>
      <xdr:pic>
        <xdr:nvPicPr>
          <xdr:cNvPr id="49" name="Рисунок 48" descr="корсика.png">
            <a:extLst>
              <a:ext uri="{FF2B5EF4-FFF2-40B4-BE49-F238E27FC236}">
                <a16:creationId xmlns:a16="http://schemas.microsoft.com/office/drawing/2014/main" xmlns="" id="{00000000-0008-0000-1900-00003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6218474" y="1559718"/>
            <a:ext cx="471865" cy="1150220"/>
          </a:xfrm>
          <a:prstGeom prst="rect">
            <a:avLst/>
          </a:prstGeom>
        </xdr:spPr>
      </xdr:pic>
      <xdr:pic>
        <xdr:nvPicPr>
          <xdr:cNvPr id="50" name="Рисунок 49" descr="корсика.png">
            <a:extLst>
              <a:ext uri="{FF2B5EF4-FFF2-40B4-BE49-F238E27FC236}">
                <a16:creationId xmlns:a16="http://schemas.microsoft.com/office/drawing/2014/main" xmlns="" id="{00000000-0008-0000-1900-00003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/>
          <a:stretch>
            <a:fillRect/>
          </a:stretch>
        </xdr:blipFill>
        <xdr:spPr>
          <a:xfrm>
            <a:off x="6765291" y="1559911"/>
            <a:ext cx="473708" cy="1154713"/>
          </a:xfrm>
          <a:prstGeom prst="rect">
            <a:avLst/>
          </a:prstGeom>
        </xdr:spPr>
      </xdr:pic>
    </xdr:grpSp>
    <xdr:clientData/>
  </xdr:twoCellAnchor>
  <xdr:twoCellAnchor editAs="oneCell">
    <xdr:from>
      <xdr:col>6</xdr:col>
      <xdr:colOff>488156</xdr:colOff>
      <xdr:row>2</xdr:row>
      <xdr:rowOff>0</xdr:rowOff>
    </xdr:from>
    <xdr:to>
      <xdr:col>6</xdr:col>
      <xdr:colOff>955395</xdr:colOff>
      <xdr:row>3</xdr:row>
      <xdr:rowOff>18115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726781" y="1512094"/>
          <a:ext cx="467239" cy="1161115"/>
        </a:xfrm>
        <a:prstGeom prst="rect">
          <a:avLst/>
        </a:prstGeom>
      </xdr:spPr>
    </xdr:pic>
    <xdr:clientData/>
  </xdr:twoCellAnchor>
  <xdr:twoCellAnchor editAs="oneCell">
    <xdr:from>
      <xdr:col>11</xdr:col>
      <xdr:colOff>729983</xdr:colOff>
      <xdr:row>35</xdr:row>
      <xdr:rowOff>0</xdr:rowOff>
    </xdr:from>
    <xdr:to>
      <xdr:col>11</xdr:col>
      <xdr:colOff>738644</xdr:colOff>
      <xdr:row>35</xdr:row>
      <xdr:rowOff>131125</xdr:rowOff>
    </xdr:to>
    <xdr:pic>
      <xdr:nvPicPr>
        <xdr:cNvPr id="37" name="Рисунок 36" descr="галочка.png">
          <a:extLst>
            <a:ext uri="{FF2B5EF4-FFF2-40B4-BE49-F238E27FC236}">
              <a16:creationId xmlns:a16="http://schemas.microsoft.com/office/drawing/2014/main" xmlns="" id="{00000000-0008-0000-19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5779483" y="15192619"/>
          <a:ext cx="138473" cy="142331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35</xdr:row>
      <xdr:rowOff>0</xdr:rowOff>
    </xdr:from>
    <xdr:to>
      <xdr:col>6</xdr:col>
      <xdr:colOff>9109</xdr:colOff>
      <xdr:row>35</xdr:row>
      <xdr:rowOff>56606</xdr:rowOff>
    </xdr:to>
    <xdr:pic>
      <xdr:nvPicPr>
        <xdr:cNvPr id="27" name="Рисунок 26" descr="галочка.png">
          <a:extLst>
            <a:ext uri="{FF2B5EF4-FFF2-40B4-BE49-F238E27FC236}">
              <a16:creationId xmlns:a16="http://schemas.microsoft.com/office/drawing/2014/main" xmlns="" id="{00000000-0008-0000-19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59183" y="9108525"/>
          <a:ext cx="5123" cy="5660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35</xdr:row>
      <xdr:rowOff>0</xdr:rowOff>
    </xdr:from>
    <xdr:to>
      <xdr:col>10</xdr:col>
      <xdr:colOff>5123</xdr:colOff>
      <xdr:row>35</xdr:row>
      <xdr:rowOff>47081</xdr:rowOff>
    </xdr:to>
    <xdr:pic>
      <xdr:nvPicPr>
        <xdr:cNvPr id="28" name="Рисунок 27" descr="галочка.png">
          <a:extLst>
            <a:ext uri="{FF2B5EF4-FFF2-40B4-BE49-F238E27FC236}">
              <a16:creationId xmlns:a16="http://schemas.microsoft.com/office/drawing/2014/main" xmlns="" id="{00000000-0008-0000-19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54933" y="910852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35</xdr:row>
      <xdr:rowOff>0</xdr:rowOff>
    </xdr:from>
    <xdr:to>
      <xdr:col>5</xdr:col>
      <xdr:colOff>730063</xdr:colOff>
      <xdr:row>35</xdr:row>
      <xdr:rowOff>56606</xdr:rowOff>
    </xdr:to>
    <xdr:pic>
      <xdr:nvPicPr>
        <xdr:cNvPr id="29" name="Рисунок 28" descr="галочка.png">
          <a:extLst>
            <a:ext uri="{FF2B5EF4-FFF2-40B4-BE49-F238E27FC236}">
              <a16:creationId xmlns:a16="http://schemas.microsoft.com/office/drawing/2014/main" xmlns="" id="{00000000-0008-0000-19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940033" y="9108525"/>
          <a:ext cx="5123" cy="5660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35</xdr:row>
      <xdr:rowOff>0</xdr:rowOff>
    </xdr:from>
    <xdr:to>
      <xdr:col>10</xdr:col>
      <xdr:colOff>5123</xdr:colOff>
      <xdr:row>35</xdr:row>
      <xdr:rowOff>47081</xdr:rowOff>
    </xdr:to>
    <xdr:pic>
      <xdr:nvPicPr>
        <xdr:cNvPr id="30" name="Рисунок 29" descr="галочка.png">
          <a:extLst>
            <a:ext uri="{FF2B5EF4-FFF2-40B4-BE49-F238E27FC236}">
              <a16:creationId xmlns:a16="http://schemas.microsoft.com/office/drawing/2014/main" xmlns="" id="{00000000-0008-0000-19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54933" y="910852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35</xdr:row>
      <xdr:rowOff>0</xdr:rowOff>
    </xdr:from>
    <xdr:to>
      <xdr:col>4</xdr:col>
      <xdr:colOff>735106</xdr:colOff>
      <xdr:row>35</xdr:row>
      <xdr:rowOff>142331</xdr:rowOff>
    </xdr:to>
    <xdr:pic>
      <xdr:nvPicPr>
        <xdr:cNvPr id="59" name="Рисунок 58" descr="галочка.png">
          <a:extLst>
            <a:ext uri="{FF2B5EF4-FFF2-40B4-BE49-F238E27FC236}">
              <a16:creationId xmlns:a16="http://schemas.microsoft.com/office/drawing/2014/main" xmlns="" id="{00000000-0008-0000-19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480803" y="6492960"/>
          <a:ext cx="5123" cy="142331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35</xdr:row>
      <xdr:rowOff>0</xdr:rowOff>
    </xdr:from>
    <xdr:to>
      <xdr:col>4</xdr:col>
      <xdr:colOff>735106</xdr:colOff>
      <xdr:row>35</xdr:row>
      <xdr:rowOff>142331</xdr:rowOff>
    </xdr:to>
    <xdr:pic>
      <xdr:nvPicPr>
        <xdr:cNvPr id="60" name="Рисунок 59" descr="галочка.png">
          <a:extLst>
            <a:ext uri="{FF2B5EF4-FFF2-40B4-BE49-F238E27FC236}">
              <a16:creationId xmlns:a16="http://schemas.microsoft.com/office/drawing/2014/main" xmlns="" id="{00000000-0008-0000-19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480803" y="6492960"/>
          <a:ext cx="5123" cy="142331"/>
        </a:xfrm>
        <a:prstGeom prst="rect">
          <a:avLst/>
        </a:prstGeom>
      </xdr:spPr>
    </xdr:pic>
    <xdr:clientData/>
  </xdr:twoCellAnchor>
  <xdr:twoCellAnchor editAs="oneCell">
    <xdr:from>
      <xdr:col>9</xdr:col>
      <xdr:colOff>559595</xdr:colOff>
      <xdr:row>2</xdr:row>
      <xdr:rowOff>15067</xdr:rowOff>
    </xdr:from>
    <xdr:to>
      <xdr:col>9</xdr:col>
      <xdr:colOff>1023939</xdr:colOff>
      <xdr:row>3</xdr:row>
      <xdr:rowOff>22102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xmlns="" id="{00000000-0008-0000-1900-00004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94031" b="19716"/>
        <a:stretch/>
      </xdr:blipFill>
      <xdr:spPr>
        <a:xfrm>
          <a:off x="9608345" y="1527161"/>
          <a:ext cx="464344" cy="1150035"/>
        </a:xfrm>
        <a:prstGeom prst="rect">
          <a:avLst/>
        </a:prstGeom>
      </xdr:spPr>
    </xdr:pic>
    <xdr:clientData/>
  </xdr:twoCellAnchor>
  <xdr:twoCellAnchor>
    <xdr:from>
      <xdr:col>8</xdr:col>
      <xdr:colOff>166687</xdr:colOff>
      <xdr:row>1</xdr:row>
      <xdr:rowOff>142875</xdr:rowOff>
    </xdr:from>
    <xdr:to>
      <xdr:col>8</xdr:col>
      <xdr:colOff>1589066</xdr:colOff>
      <xdr:row>2</xdr:row>
      <xdr:rowOff>1131095</xdr:rowOff>
    </xdr:to>
    <xdr:grpSp>
      <xdr:nvGrpSpPr>
        <xdr:cNvPr id="7" name="Группа 6"/>
        <xdr:cNvGrpSpPr/>
      </xdr:nvGrpSpPr>
      <xdr:grpSpPr>
        <a:xfrm>
          <a:off x="7500937" y="369094"/>
          <a:ext cx="1422379" cy="1178720"/>
          <a:chOff x="7405687" y="357187"/>
          <a:chExt cx="1422379" cy="1178720"/>
        </a:xfrm>
      </xdr:grpSpPr>
      <xdr:pic>
        <xdr:nvPicPr>
          <xdr:cNvPr id="76" name="Рисунок 75">
            <a:extLst>
              <a:ext uri="{FF2B5EF4-FFF2-40B4-BE49-F238E27FC236}">
                <a16:creationId xmlns:a16="http://schemas.microsoft.com/office/drawing/2014/main" xmlns="" id="{00000000-0008-0000-1900-00004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 l="87771" r="6254" b="19716"/>
          <a:stretch/>
        </xdr:blipFill>
        <xdr:spPr>
          <a:xfrm>
            <a:off x="7893845" y="392907"/>
            <a:ext cx="462021" cy="1143000"/>
          </a:xfrm>
          <a:prstGeom prst="rect">
            <a:avLst/>
          </a:prstGeom>
        </xdr:spPr>
      </xdr:pic>
      <xdr:pic>
        <xdr:nvPicPr>
          <xdr:cNvPr id="45" name="Рисунок 44">
            <a:extLst>
              <a:ext uri="{FF2B5EF4-FFF2-40B4-BE49-F238E27FC236}">
                <a16:creationId xmlns:a16="http://schemas.microsoft.com/office/drawing/2014/main" xmlns="" id="{00000000-0008-0000-1900-00004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 l="33673" r="60541" b="19128"/>
          <a:stretch/>
        </xdr:blipFill>
        <xdr:spPr>
          <a:xfrm>
            <a:off x="8370091" y="357187"/>
            <a:ext cx="457975" cy="1178719"/>
          </a:xfrm>
          <a:prstGeom prst="rect">
            <a:avLst/>
          </a:prstGeom>
        </xdr:spPr>
      </xdr:pic>
      <xdr:pic>
        <xdr:nvPicPr>
          <xdr:cNvPr id="55" name="Рисунок 54">
            <a:extLst>
              <a:ext uri="{FF2B5EF4-FFF2-40B4-BE49-F238E27FC236}">
                <a16:creationId xmlns:a16="http://schemas.microsoft.com/office/drawing/2014/main" xmlns="" id="{00000000-0008-0000-1900-00004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 l="16978" r="77331" b="19643"/>
          <a:stretch/>
        </xdr:blipFill>
        <xdr:spPr>
          <a:xfrm>
            <a:off x="7405687" y="392906"/>
            <a:ext cx="439615" cy="1143000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79375</xdr:colOff>
      <xdr:row>41</xdr:row>
      <xdr:rowOff>349250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SpPr txBox="1"/>
      </xdr:nvSpPr>
      <xdr:spPr>
        <a:xfrm>
          <a:off x="6381750" y="1292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729983</xdr:colOff>
      <xdr:row>19</xdr:row>
      <xdr:rowOff>0</xdr:rowOff>
    </xdr:from>
    <xdr:to>
      <xdr:col>4</xdr:col>
      <xdr:colOff>735106</xdr:colOff>
      <xdr:row>19</xdr:row>
      <xdr:rowOff>142331</xdr:rowOff>
    </xdr:to>
    <xdr:pic>
      <xdr:nvPicPr>
        <xdr:cNvPr id="54" name="Рисунок 53" descr="галочка.png">
          <a:extLst>
            <a:ext uri="{FF2B5EF4-FFF2-40B4-BE49-F238E27FC236}">
              <a16:creationId xmlns:a16="http://schemas.microsoft.com/office/drawing/2014/main" xmlns="" id="{00000000-0008-0000-1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835512" y="7817047"/>
          <a:ext cx="138473" cy="142331"/>
        </a:xfrm>
        <a:prstGeom prst="rect">
          <a:avLst/>
        </a:prstGeom>
      </xdr:spPr>
    </xdr:pic>
    <xdr:clientData/>
  </xdr:twoCellAnchor>
  <xdr:twoCellAnchor>
    <xdr:from>
      <xdr:col>10</xdr:col>
      <xdr:colOff>445060</xdr:colOff>
      <xdr:row>21</xdr:row>
      <xdr:rowOff>209547</xdr:rowOff>
    </xdr:from>
    <xdr:to>
      <xdr:col>10</xdr:col>
      <xdr:colOff>1053015</xdr:colOff>
      <xdr:row>24</xdr:row>
      <xdr:rowOff>2462</xdr:rowOff>
    </xdr:to>
    <xdr:pic>
      <xdr:nvPicPr>
        <xdr:cNvPr id="50" name="Рисунок 49" descr="корсика.png">
          <a:extLst>
            <a:ext uri="{FF2B5EF4-FFF2-40B4-BE49-F238E27FC236}">
              <a16:creationId xmlns:a16="http://schemas.microsoft.com/office/drawing/2014/main" xmlns="" id="{00000000-0008-0000-1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208185" y="7150891"/>
          <a:ext cx="607955" cy="1388352"/>
        </a:xfrm>
        <a:prstGeom prst="rect">
          <a:avLst/>
        </a:prstGeom>
      </xdr:spPr>
    </xdr:pic>
    <xdr:clientData/>
  </xdr:twoCellAnchor>
  <xdr:twoCellAnchor>
    <xdr:from>
      <xdr:col>9</xdr:col>
      <xdr:colOff>379720</xdr:colOff>
      <xdr:row>22</xdr:row>
      <xdr:rowOff>6508</xdr:rowOff>
    </xdr:from>
    <xdr:to>
      <xdr:col>9</xdr:col>
      <xdr:colOff>987675</xdr:colOff>
      <xdr:row>24</xdr:row>
      <xdr:rowOff>25642</xdr:rowOff>
    </xdr:to>
    <xdr:pic>
      <xdr:nvPicPr>
        <xdr:cNvPr id="51" name="Рисунок 50" descr="корсика.png">
          <a:extLst>
            <a:ext uri="{FF2B5EF4-FFF2-40B4-BE49-F238E27FC236}">
              <a16:creationId xmlns:a16="http://schemas.microsoft.com/office/drawing/2014/main" xmlns="" id="{00000000-0008-0000-1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761720" y="7174071"/>
          <a:ext cx="607955" cy="1388352"/>
        </a:xfrm>
        <a:prstGeom prst="rect">
          <a:avLst/>
        </a:prstGeom>
      </xdr:spPr>
    </xdr:pic>
    <xdr:clientData/>
  </xdr:twoCellAnchor>
  <xdr:twoCellAnchor>
    <xdr:from>
      <xdr:col>6</xdr:col>
      <xdr:colOff>425824</xdr:colOff>
      <xdr:row>1</xdr:row>
      <xdr:rowOff>139700</xdr:rowOff>
    </xdr:from>
    <xdr:to>
      <xdr:col>8</xdr:col>
      <xdr:colOff>902152</xdr:colOff>
      <xdr:row>3</xdr:row>
      <xdr:rowOff>73948</xdr:rowOff>
    </xdr:to>
    <xdr:grpSp>
      <xdr:nvGrpSpPr>
        <xdr:cNvPr id="39" name="Группа 38">
          <a:extLst>
            <a:ext uri="{FF2B5EF4-FFF2-40B4-BE49-F238E27FC236}">
              <a16:creationId xmlns:a16="http://schemas.microsoft.com/office/drawing/2014/main" xmlns="" id="{00000000-0008-0000-1100-000027000000}"/>
            </a:ext>
          </a:extLst>
        </xdr:cNvPr>
        <xdr:cNvGrpSpPr/>
      </xdr:nvGrpSpPr>
      <xdr:grpSpPr>
        <a:xfrm>
          <a:off x="4664449" y="377825"/>
          <a:ext cx="3238578" cy="1172498"/>
          <a:chOff x="9396853" y="1243255"/>
          <a:chExt cx="3221770" cy="1396242"/>
        </a:xfrm>
      </xdr:grpSpPr>
      <xdr:pic>
        <xdr:nvPicPr>
          <xdr:cNvPr id="40" name="Рисунок 39" descr="корсика.png">
            <a:extLst>
              <a:ext uri="{FF2B5EF4-FFF2-40B4-BE49-F238E27FC236}">
                <a16:creationId xmlns:a16="http://schemas.microsoft.com/office/drawing/2014/main" xmlns="" id="{00000000-0008-0000-1100-00002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/>
          <a:stretch>
            <a:fillRect/>
          </a:stretch>
        </xdr:blipFill>
        <xdr:spPr>
          <a:xfrm>
            <a:off x="9396853" y="1255162"/>
            <a:ext cx="525549" cy="1372429"/>
          </a:xfrm>
          <a:prstGeom prst="rect">
            <a:avLst/>
          </a:prstGeom>
        </xdr:spPr>
      </xdr:pic>
      <xdr:pic>
        <xdr:nvPicPr>
          <xdr:cNvPr id="43" name="Рисунок 42" descr="корсика.png">
            <a:extLst>
              <a:ext uri="{FF2B5EF4-FFF2-40B4-BE49-F238E27FC236}">
                <a16:creationId xmlns:a16="http://schemas.microsoft.com/office/drawing/2014/main" xmlns="" id="{00000000-0008-0000-1100-00002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10750673" y="1267068"/>
            <a:ext cx="525549" cy="1372429"/>
          </a:xfrm>
          <a:prstGeom prst="rect">
            <a:avLst/>
          </a:prstGeom>
        </xdr:spPr>
      </xdr:pic>
      <xdr:pic>
        <xdr:nvPicPr>
          <xdr:cNvPr id="44" name="Рисунок 43" descr="корсика.png">
            <a:extLst>
              <a:ext uri="{FF2B5EF4-FFF2-40B4-BE49-F238E27FC236}">
                <a16:creationId xmlns:a16="http://schemas.microsoft.com/office/drawing/2014/main" xmlns="" id="{00000000-0008-0000-1100-00002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/>
          <a:stretch>
            <a:fillRect/>
          </a:stretch>
        </xdr:blipFill>
        <xdr:spPr>
          <a:xfrm>
            <a:off x="12093074" y="1243255"/>
            <a:ext cx="525549" cy="1372429"/>
          </a:xfrm>
          <a:prstGeom prst="rect">
            <a:avLst/>
          </a:prstGeom>
        </xdr:spPr>
      </xdr:pic>
    </xdr:grpSp>
    <xdr:clientData/>
  </xdr:twoCellAnchor>
  <xdr:twoCellAnchor>
    <xdr:from>
      <xdr:col>9</xdr:col>
      <xdr:colOff>383560</xdr:colOff>
      <xdr:row>1</xdr:row>
      <xdr:rowOff>125287</xdr:rowOff>
    </xdr:from>
    <xdr:to>
      <xdr:col>9</xdr:col>
      <xdr:colOff>921211</xdr:colOff>
      <xdr:row>3</xdr:row>
      <xdr:rowOff>62434</xdr:rowOff>
    </xdr:to>
    <xdr:pic>
      <xdr:nvPicPr>
        <xdr:cNvPr id="55" name="Рисунок 54" descr="корсика.png">
          <a:extLst>
            <a:ext uri="{FF2B5EF4-FFF2-40B4-BE49-F238E27FC236}">
              <a16:creationId xmlns:a16="http://schemas.microsoft.com/office/drawing/2014/main" xmlns="" id="{00000000-0008-0000-1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765560" y="1494506"/>
          <a:ext cx="537651" cy="1175397"/>
        </a:xfrm>
        <a:prstGeom prst="rect">
          <a:avLst/>
        </a:prstGeom>
      </xdr:spPr>
    </xdr:pic>
    <xdr:clientData/>
  </xdr:twoCellAnchor>
  <xdr:twoCellAnchor>
    <xdr:from>
      <xdr:col>10</xdr:col>
      <xdr:colOff>451892</xdr:colOff>
      <xdr:row>1</xdr:row>
      <xdr:rowOff>114300</xdr:rowOff>
    </xdr:from>
    <xdr:to>
      <xdr:col>10</xdr:col>
      <xdr:colOff>989033</xdr:colOff>
      <xdr:row>3</xdr:row>
      <xdr:rowOff>72630</xdr:rowOff>
    </xdr:to>
    <xdr:pic>
      <xdr:nvPicPr>
        <xdr:cNvPr id="56" name="Рисунок 55" descr="корсика.png">
          <a:extLst>
            <a:ext uri="{FF2B5EF4-FFF2-40B4-BE49-F238E27FC236}">
              <a16:creationId xmlns:a16="http://schemas.microsoft.com/office/drawing/2014/main" xmlns="" id="{00000000-0008-0000-1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215017" y="1483519"/>
          <a:ext cx="537141" cy="1196580"/>
        </a:xfrm>
        <a:prstGeom prst="rect">
          <a:avLst/>
        </a:prstGeom>
      </xdr:spPr>
    </xdr:pic>
    <xdr:clientData/>
  </xdr:twoCellAnchor>
  <xdr:twoCellAnchor editAs="oneCell">
    <xdr:from>
      <xdr:col>8</xdr:col>
      <xdr:colOff>575201</xdr:colOff>
      <xdr:row>32</xdr:row>
      <xdr:rowOff>166688</xdr:rowOff>
    </xdr:from>
    <xdr:to>
      <xdr:col>8</xdr:col>
      <xdr:colOff>580324</xdr:colOff>
      <xdr:row>33</xdr:row>
      <xdr:rowOff>99469</xdr:rowOff>
    </xdr:to>
    <xdr:pic>
      <xdr:nvPicPr>
        <xdr:cNvPr id="25" name="Рисунок 24" descr="галочка.png">
          <a:extLst>
            <a:ext uri="{FF2B5EF4-FFF2-40B4-BE49-F238E27FC236}">
              <a16:creationId xmlns:a16="http://schemas.microsoft.com/office/drawing/2014/main" xmlns="" id="{00000000-0008-0000-1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576076" y="9322594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19</xdr:row>
      <xdr:rowOff>0</xdr:rowOff>
    </xdr:from>
    <xdr:to>
      <xdr:col>5</xdr:col>
      <xdr:colOff>755516</xdr:colOff>
      <xdr:row>19</xdr:row>
      <xdr:rowOff>123281</xdr:rowOff>
    </xdr:to>
    <xdr:pic>
      <xdr:nvPicPr>
        <xdr:cNvPr id="27" name="Рисунок 26" descr="галочка.png">
          <a:extLst>
            <a:ext uri="{FF2B5EF4-FFF2-40B4-BE49-F238E27FC236}">
              <a16:creationId xmlns:a16="http://schemas.microsoft.com/office/drawing/2014/main" xmlns="" id="{00000000-0008-0000-1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288523" y="9921240"/>
          <a:ext cx="25533" cy="123281"/>
        </a:xfrm>
        <a:prstGeom prst="rect">
          <a:avLst/>
        </a:prstGeom>
      </xdr:spPr>
    </xdr:pic>
    <xdr:clientData/>
  </xdr:twoCellAnchor>
  <xdr:twoCellAnchor>
    <xdr:from>
      <xdr:col>11</xdr:col>
      <xdr:colOff>392906</xdr:colOff>
      <xdr:row>1</xdr:row>
      <xdr:rowOff>131851</xdr:rowOff>
    </xdr:from>
    <xdr:to>
      <xdr:col>11</xdr:col>
      <xdr:colOff>912242</xdr:colOff>
      <xdr:row>3</xdr:row>
      <xdr:rowOff>79356</xdr:rowOff>
    </xdr:to>
    <xdr:pic>
      <xdr:nvPicPr>
        <xdr:cNvPr id="24" name="Рисунок 23" descr="корсика.png">
          <a:extLst>
            <a:ext uri="{FF2B5EF4-FFF2-40B4-BE49-F238E27FC236}">
              <a16:creationId xmlns:a16="http://schemas.microsoft.com/office/drawing/2014/main" xmlns="" id="{00000000-0008-0000-1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2918281" y="1501070"/>
          <a:ext cx="519336" cy="1185755"/>
        </a:xfrm>
        <a:prstGeom prst="rect">
          <a:avLst/>
        </a:prstGeom>
      </xdr:spPr>
    </xdr:pic>
    <xdr:clientData/>
  </xdr:twoCellAnchor>
  <xdr:twoCellAnchor>
    <xdr:from>
      <xdr:col>12</xdr:col>
      <xdr:colOff>260711</xdr:colOff>
      <xdr:row>1</xdr:row>
      <xdr:rowOff>119293</xdr:rowOff>
    </xdr:from>
    <xdr:to>
      <xdr:col>12</xdr:col>
      <xdr:colOff>780047</xdr:colOff>
      <xdr:row>3</xdr:row>
      <xdr:rowOff>66798</xdr:rowOff>
    </xdr:to>
    <xdr:pic>
      <xdr:nvPicPr>
        <xdr:cNvPr id="26" name="Рисунок 25" descr="корсика.png">
          <a:extLst>
            <a:ext uri="{FF2B5EF4-FFF2-40B4-BE49-F238E27FC236}">
              <a16:creationId xmlns:a16="http://schemas.microsoft.com/office/drawing/2014/main" xmlns="" id="{00000000-0008-0000-1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4167211" y="1488512"/>
          <a:ext cx="519336" cy="1185755"/>
        </a:xfrm>
        <a:prstGeom prst="rect">
          <a:avLst/>
        </a:prstGeom>
      </xdr:spPr>
    </xdr:pic>
    <xdr:clientData/>
  </xdr:twoCellAnchor>
  <xdr:twoCellAnchor>
    <xdr:from>
      <xdr:col>13</xdr:col>
      <xdr:colOff>218507</xdr:colOff>
      <xdr:row>1</xdr:row>
      <xdr:rowOff>130969</xdr:rowOff>
    </xdr:from>
    <xdr:to>
      <xdr:col>13</xdr:col>
      <xdr:colOff>769805</xdr:colOff>
      <xdr:row>3</xdr:row>
      <xdr:rowOff>92672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00000000-0008-0000-1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3624945" y="369094"/>
          <a:ext cx="551298" cy="119995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321016</xdr:colOff>
      <xdr:row>1</xdr:row>
      <xdr:rowOff>211929</xdr:rowOff>
    </xdr:from>
    <xdr:to>
      <xdr:col>6</xdr:col>
      <xdr:colOff>809212</xdr:colOff>
      <xdr:row>3</xdr:row>
      <xdr:rowOff>14505</xdr:rowOff>
    </xdr:to>
    <xdr:pic>
      <xdr:nvPicPr>
        <xdr:cNvPr id="8" name="Рисунок 7" descr="корсика.png">
          <a:extLst>
            <a:ext uri="{FF2B5EF4-FFF2-40B4-BE49-F238E27FC236}">
              <a16:creationId xmlns:a16="http://schemas.microsoft.com/office/drawing/2014/main" xmlns="" id="{00000000-0008-0000-1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559641" y="450054"/>
          <a:ext cx="488196" cy="1100357"/>
        </a:xfrm>
        <a:prstGeom prst="rect">
          <a:avLst/>
        </a:prstGeom>
      </xdr:spPr>
    </xdr:pic>
    <xdr:clientData/>
  </xdr:twoCellAnchor>
  <xdr:twoCellAnchor>
    <xdr:from>
      <xdr:col>8</xdr:col>
      <xdr:colOff>493448</xdr:colOff>
      <xdr:row>2</xdr:row>
      <xdr:rowOff>9523</xdr:rowOff>
    </xdr:from>
    <xdr:to>
      <xdr:col>8</xdr:col>
      <xdr:colOff>981644</xdr:colOff>
      <xdr:row>3</xdr:row>
      <xdr:rowOff>23812</xdr:rowOff>
    </xdr:to>
    <xdr:pic>
      <xdr:nvPicPr>
        <xdr:cNvPr id="9" name="Рисунок 8" descr="корсика.png">
          <a:extLst>
            <a:ext uri="{FF2B5EF4-FFF2-40B4-BE49-F238E27FC236}">
              <a16:creationId xmlns:a16="http://schemas.microsoft.com/office/drawing/2014/main" xmlns="" id="{00000000-0008-0000-1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7494323" y="473867"/>
          <a:ext cx="488196" cy="1085851"/>
        </a:xfrm>
        <a:prstGeom prst="rect">
          <a:avLst/>
        </a:prstGeom>
      </xdr:spPr>
    </xdr:pic>
    <xdr:clientData/>
  </xdr:twoCellAnchor>
  <xdr:twoCellAnchor>
    <xdr:from>
      <xdr:col>10</xdr:col>
      <xdr:colOff>388580</xdr:colOff>
      <xdr:row>1</xdr:row>
      <xdr:rowOff>200023</xdr:rowOff>
    </xdr:from>
    <xdr:to>
      <xdr:col>10</xdr:col>
      <xdr:colOff>876776</xdr:colOff>
      <xdr:row>3</xdr:row>
      <xdr:rowOff>2599</xdr:rowOff>
    </xdr:to>
    <xdr:pic>
      <xdr:nvPicPr>
        <xdr:cNvPr id="10" name="Рисунок 9" descr="корсика.png">
          <a:extLst>
            <a:ext uri="{FF2B5EF4-FFF2-40B4-BE49-F238E27FC236}">
              <a16:creationId xmlns:a16="http://schemas.microsoft.com/office/drawing/2014/main" xmlns="" id="{00000000-0008-0000-1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0151705" y="438148"/>
          <a:ext cx="488196" cy="1100357"/>
        </a:xfrm>
        <a:prstGeom prst="rect">
          <a:avLst/>
        </a:prstGeom>
      </xdr:spPr>
    </xdr:pic>
    <xdr:clientData/>
  </xdr:twoCellAnchor>
  <xdr:twoCellAnchor>
    <xdr:from>
      <xdr:col>7</xdr:col>
      <xdr:colOff>390257</xdr:colOff>
      <xdr:row>1</xdr:row>
      <xdr:rowOff>226216</xdr:rowOff>
    </xdr:from>
    <xdr:to>
      <xdr:col>7</xdr:col>
      <xdr:colOff>855283</xdr:colOff>
      <xdr:row>2</xdr:row>
      <xdr:rowOff>1059656</xdr:rowOff>
    </xdr:to>
    <xdr:pic>
      <xdr:nvPicPr>
        <xdr:cNvPr id="17" name="Рисунок 16" descr="корсика.png">
          <a:extLst>
            <a:ext uri="{FF2B5EF4-FFF2-40B4-BE49-F238E27FC236}">
              <a16:creationId xmlns:a16="http://schemas.microsoft.com/office/drawing/2014/main" xmlns="" id="{00000000-0008-0000-1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10007" y="464341"/>
          <a:ext cx="465026" cy="1059659"/>
        </a:xfrm>
        <a:prstGeom prst="rect">
          <a:avLst/>
        </a:prstGeom>
      </xdr:spPr>
    </xdr:pic>
    <xdr:clientData/>
  </xdr:twoCellAnchor>
  <xdr:twoCellAnchor>
    <xdr:from>
      <xdr:col>9</xdr:col>
      <xdr:colOff>523984</xdr:colOff>
      <xdr:row>1</xdr:row>
      <xdr:rowOff>216912</xdr:rowOff>
    </xdr:from>
    <xdr:to>
      <xdr:col>9</xdr:col>
      <xdr:colOff>987142</xdr:colOff>
      <xdr:row>3</xdr:row>
      <xdr:rowOff>0</xdr:rowOff>
    </xdr:to>
    <xdr:pic>
      <xdr:nvPicPr>
        <xdr:cNvPr id="18" name="Рисунок 17" descr="корсика.png">
          <a:extLst>
            <a:ext uri="{FF2B5EF4-FFF2-40B4-BE49-F238E27FC236}">
              <a16:creationId xmlns:a16="http://schemas.microsoft.com/office/drawing/2014/main" xmlns="" id="{00000000-0008-0000-1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905984" y="455037"/>
          <a:ext cx="463158" cy="1080869"/>
        </a:xfrm>
        <a:prstGeom prst="rect">
          <a:avLst/>
        </a:prstGeom>
      </xdr:spPr>
    </xdr:pic>
    <xdr:clientData/>
  </xdr:twoCellAnchor>
  <xdr:twoCellAnchor>
    <xdr:from>
      <xdr:col>11</xdr:col>
      <xdr:colOff>376592</xdr:colOff>
      <xdr:row>1</xdr:row>
      <xdr:rowOff>216911</xdr:rowOff>
    </xdr:from>
    <xdr:to>
      <xdr:col>11</xdr:col>
      <xdr:colOff>821531</xdr:colOff>
      <xdr:row>3</xdr:row>
      <xdr:rowOff>18393</xdr:rowOff>
    </xdr:to>
    <xdr:pic>
      <xdr:nvPicPr>
        <xdr:cNvPr id="19" name="Рисунок 18" descr="корсика.png">
          <a:extLst>
            <a:ext uri="{FF2B5EF4-FFF2-40B4-BE49-F238E27FC236}">
              <a16:creationId xmlns:a16="http://schemas.microsoft.com/office/drawing/2014/main" xmlns="" id="{00000000-0008-0000-1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520842" y="455036"/>
          <a:ext cx="444939" cy="1099263"/>
        </a:xfrm>
        <a:prstGeom prst="rect">
          <a:avLst/>
        </a:prstGeom>
      </xdr:spPr>
    </xdr:pic>
    <xdr:clientData/>
  </xdr:twoCellAnchor>
  <xdr:twoCellAnchor editAs="oneCell">
    <xdr:from>
      <xdr:col>9</xdr:col>
      <xdr:colOff>729983</xdr:colOff>
      <xdr:row>24</xdr:row>
      <xdr:rowOff>0</xdr:rowOff>
    </xdr:from>
    <xdr:to>
      <xdr:col>9</xdr:col>
      <xdr:colOff>735106</xdr:colOff>
      <xdr:row>24</xdr:row>
      <xdr:rowOff>123281</xdr:rowOff>
    </xdr:to>
    <xdr:pic>
      <xdr:nvPicPr>
        <xdr:cNvPr id="21" name="Рисунок 20" descr="галочка.png">
          <a:extLst>
            <a:ext uri="{FF2B5EF4-FFF2-40B4-BE49-F238E27FC236}">
              <a16:creationId xmlns:a16="http://schemas.microsoft.com/office/drawing/2014/main" xmlns="" id="{00000000-0008-0000-1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711808" y="9229725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24</xdr:row>
      <xdr:rowOff>0</xdr:rowOff>
    </xdr:from>
    <xdr:to>
      <xdr:col>5</xdr:col>
      <xdr:colOff>755516</xdr:colOff>
      <xdr:row>24</xdr:row>
      <xdr:rowOff>123281</xdr:rowOff>
    </xdr:to>
    <xdr:pic>
      <xdr:nvPicPr>
        <xdr:cNvPr id="22" name="Рисунок 21" descr="галочка.png">
          <a:extLst>
            <a:ext uri="{FF2B5EF4-FFF2-40B4-BE49-F238E27FC236}">
              <a16:creationId xmlns:a16="http://schemas.microsoft.com/office/drawing/2014/main" xmlns="" id="{00000000-0008-0000-1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168508" y="9229725"/>
          <a:ext cx="25533" cy="12328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542986</xdr:colOff>
      <xdr:row>1</xdr:row>
      <xdr:rowOff>202406</xdr:rowOff>
    </xdr:from>
    <xdr:to>
      <xdr:col>6</xdr:col>
      <xdr:colOff>1078230</xdr:colOff>
      <xdr:row>2</xdr:row>
      <xdr:rowOff>1067844</xdr:rowOff>
    </xdr:to>
    <xdr:pic>
      <xdr:nvPicPr>
        <xdr:cNvPr id="4" name="Рисунок 3" descr="корсика.png"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781611" y="440531"/>
          <a:ext cx="535244" cy="1091657"/>
        </a:xfrm>
        <a:prstGeom prst="rect">
          <a:avLst/>
        </a:prstGeom>
      </xdr:spPr>
    </xdr:pic>
    <xdr:clientData/>
  </xdr:twoCellAnchor>
  <xdr:twoCellAnchor>
    <xdr:from>
      <xdr:col>7</xdr:col>
      <xdr:colOff>712185</xdr:colOff>
      <xdr:row>1</xdr:row>
      <xdr:rowOff>190500</xdr:rowOff>
    </xdr:from>
    <xdr:to>
      <xdr:col>7</xdr:col>
      <xdr:colOff>1247067</xdr:colOff>
      <xdr:row>2</xdr:row>
      <xdr:rowOff>1055938</xdr:rowOff>
    </xdr:to>
    <xdr:pic>
      <xdr:nvPicPr>
        <xdr:cNvPr id="5" name="Рисунок 4" descr="корсика.png">
          <a:extLst>
            <a:ext uri="{FF2B5EF4-FFF2-40B4-BE49-F238E27FC236}">
              <a16:creationId xmlns:a16="http://schemas.microsoft.com/office/drawing/2014/main" xmlns="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6772466" y="428625"/>
          <a:ext cx="534882" cy="1091657"/>
        </a:xfrm>
        <a:prstGeom prst="rect">
          <a:avLst/>
        </a:prstGeom>
      </xdr:spPr>
    </xdr:pic>
    <xdr:clientData/>
  </xdr:twoCellAnchor>
  <xdr:twoCellAnchor>
    <xdr:from>
      <xdr:col>9</xdr:col>
      <xdr:colOff>377777</xdr:colOff>
      <xdr:row>1</xdr:row>
      <xdr:rowOff>202406</xdr:rowOff>
    </xdr:from>
    <xdr:to>
      <xdr:col>9</xdr:col>
      <xdr:colOff>912659</xdr:colOff>
      <xdr:row>2</xdr:row>
      <xdr:rowOff>1067844</xdr:rowOff>
    </xdr:to>
    <xdr:pic>
      <xdr:nvPicPr>
        <xdr:cNvPr id="6" name="Рисунок 5" descr="корсика.png">
          <a:extLst>
            <a:ext uri="{FF2B5EF4-FFF2-40B4-BE49-F238E27FC236}">
              <a16:creationId xmlns:a16="http://schemas.microsoft.com/office/drawing/2014/main" xmlns="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8759777" y="440531"/>
          <a:ext cx="534882" cy="1091657"/>
        </a:xfrm>
        <a:prstGeom prst="rect">
          <a:avLst/>
        </a:prstGeom>
      </xdr:spPr>
    </xdr:pic>
    <xdr:clientData/>
  </xdr:twoCellAnchor>
  <xdr:twoCellAnchor>
    <xdr:from>
      <xdr:col>6</xdr:col>
      <xdr:colOff>633052</xdr:colOff>
      <xdr:row>27</xdr:row>
      <xdr:rowOff>11908</xdr:rowOff>
    </xdr:from>
    <xdr:to>
      <xdr:col>6</xdr:col>
      <xdr:colOff>1076180</xdr:colOff>
      <xdr:row>27</xdr:row>
      <xdr:rowOff>1107282</xdr:rowOff>
    </xdr:to>
    <xdr:pic>
      <xdr:nvPicPr>
        <xdr:cNvPr id="50" name="Рисунок 49" descr="корсика.png">
          <a:extLst>
            <a:ext uri="{FF2B5EF4-FFF2-40B4-BE49-F238E27FC236}">
              <a16:creationId xmlns:a16="http://schemas.microsoft.com/office/drawing/2014/main" xmlns="" id="{00000000-0008-0000-1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71677" y="8096252"/>
          <a:ext cx="443128" cy="1095374"/>
        </a:xfrm>
        <a:prstGeom prst="rect">
          <a:avLst/>
        </a:prstGeom>
      </xdr:spPr>
    </xdr:pic>
    <xdr:clientData/>
  </xdr:twoCellAnchor>
  <xdr:twoCellAnchor>
    <xdr:from>
      <xdr:col>7</xdr:col>
      <xdr:colOff>709495</xdr:colOff>
      <xdr:row>27</xdr:row>
      <xdr:rowOff>18614</xdr:rowOff>
    </xdr:from>
    <xdr:to>
      <xdr:col>7</xdr:col>
      <xdr:colOff>1164360</xdr:colOff>
      <xdr:row>28</xdr:row>
      <xdr:rowOff>0</xdr:rowOff>
    </xdr:to>
    <xdr:pic>
      <xdr:nvPicPr>
        <xdr:cNvPr id="51" name="Рисунок 50" descr="корсика.png">
          <a:extLst>
            <a:ext uri="{FF2B5EF4-FFF2-40B4-BE49-F238E27FC236}">
              <a16:creationId xmlns:a16="http://schemas.microsoft.com/office/drawing/2014/main" xmlns="" id="{00000000-0008-0000-1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9776" y="8102958"/>
          <a:ext cx="454865" cy="1124386"/>
        </a:xfrm>
        <a:prstGeom prst="rect">
          <a:avLst/>
        </a:prstGeom>
      </xdr:spPr>
    </xdr:pic>
    <xdr:clientData/>
  </xdr:twoCellAnchor>
  <xdr:twoCellAnchor>
    <xdr:from>
      <xdr:col>8</xdr:col>
      <xdr:colOff>133885</xdr:colOff>
      <xdr:row>27</xdr:row>
      <xdr:rowOff>0</xdr:rowOff>
    </xdr:from>
    <xdr:to>
      <xdr:col>8</xdr:col>
      <xdr:colOff>600159</xdr:colOff>
      <xdr:row>28</xdr:row>
      <xdr:rowOff>11906</xdr:rowOff>
    </xdr:to>
    <xdr:pic>
      <xdr:nvPicPr>
        <xdr:cNvPr id="52" name="Рисунок 51" descr="корсика.png">
          <a:extLst>
            <a:ext uri="{FF2B5EF4-FFF2-40B4-BE49-F238E27FC236}">
              <a16:creationId xmlns:a16="http://schemas.microsoft.com/office/drawing/2014/main" xmlns="" id="{00000000-0008-0000-1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34760" y="8536781"/>
          <a:ext cx="466274" cy="1154906"/>
        </a:xfrm>
        <a:prstGeom prst="rect">
          <a:avLst/>
        </a:prstGeom>
      </xdr:spPr>
    </xdr:pic>
    <xdr:clientData/>
  </xdr:twoCellAnchor>
  <xdr:twoCellAnchor editAs="oneCell">
    <xdr:from>
      <xdr:col>8</xdr:col>
      <xdr:colOff>729983</xdr:colOff>
      <xdr:row>27</xdr:row>
      <xdr:rowOff>0</xdr:rowOff>
    </xdr:from>
    <xdr:to>
      <xdr:col>8</xdr:col>
      <xdr:colOff>735106</xdr:colOff>
      <xdr:row>27</xdr:row>
      <xdr:rowOff>123281</xdr:rowOff>
    </xdr:to>
    <xdr:pic>
      <xdr:nvPicPr>
        <xdr:cNvPr id="31" name="Рисунок 30" descr="галочка.png">
          <a:extLst>
            <a:ext uri="{FF2B5EF4-FFF2-40B4-BE49-F238E27FC236}">
              <a16:creationId xmlns:a16="http://schemas.microsoft.com/office/drawing/2014/main" xmlns="" id="{00000000-0008-0000-1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260323" y="992124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27</xdr:row>
      <xdr:rowOff>0</xdr:rowOff>
    </xdr:from>
    <xdr:to>
      <xdr:col>5</xdr:col>
      <xdr:colOff>755516</xdr:colOff>
      <xdr:row>27</xdr:row>
      <xdr:rowOff>123281</xdr:rowOff>
    </xdr:to>
    <xdr:pic>
      <xdr:nvPicPr>
        <xdr:cNvPr id="32" name="Рисунок 31" descr="галочка.png">
          <a:extLst>
            <a:ext uri="{FF2B5EF4-FFF2-40B4-BE49-F238E27FC236}">
              <a16:creationId xmlns:a16="http://schemas.microsoft.com/office/drawing/2014/main" xmlns="" id="{00000000-0008-0000-1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288523" y="9921240"/>
          <a:ext cx="25533" cy="123281"/>
        </a:xfrm>
        <a:prstGeom prst="rect">
          <a:avLst/>
        </a:prstGeom>
      </xdr:spPr>
    </xdr:pic>
    <xdr:clientData/>
  </xdr:twoCellAnchor>
  <xdr:twoCellAnchor editAs="oneCell">
    <xdr:from>
      <xdr:col>9</xdr:col>
      <xdr:colOff>202407</xdr:colOff>
      <xdr:row>27</xdr:row>
      <xdr:rowOff>0</xdr:rowOff>
    </xdr:from>
    <xdr:to>
      <xdr:col>9</xdr:col>
      <xdr:colOff>678657</xdr:colOff>
      <xdr:row>28</xdr:row>
      <xdr:rowOff>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00000000-0008-0000-10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 l="53190" r="38392" b="61648"/>
        <a:stretch/>
      </xdr:blipFill>
      <xdr:spPr>
        <a:xfrm>
          <a:off x="8048626" y="8524876"/>
          <a:ext cx="47625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160003</xdr:colOff>
      <xdr:row>27</xdr:row>
      <xdr:rowOff>11906</xdr:rowOff>
    </xdr:from>
    <xdr:to>
      <xdr:col>10</xdr:col>
      <xdr:colOff>654843</xdr:colOff>
      <xdr:row>28</xdr:row>
      <xdr:rowOff>20167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10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 l="61428" r="29796" b="61241"/>
        <a:stretch/>
      </xdr:blipFill>
      <xdr:spPr>
        <a:xfrm>
          <a:off x="8851566" y="8548687"/>
          <a:ext cx="494840" cy="115126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729983</xdr:colOff>
      <xdr:row>18</xdr:row>
      <xdr:rowOff>0</xdr:rowOff>
    </xdr:from>
    <xdr:to>
      <xdr:col>7</xdr:col>
      <xdr:colOff>735106</xdr:colOff>
      <xdr:row>18</xdr:row>
      <xdr:rowOff>123281</xdr:rowOff>
    </xdr:to>
    <xdr:pic>
      <xdr:nvPicPr>
        <xdr:cNvPr id="24" name="Рисунок 23" descr="галочка.png">
          <a:extLst>
            <a:ext uri="{FF2B5EF4-FFF2-40B4-BE49-F238E27FC236}">
              <a16:creationId xmlns:a16="http://schemas.microsoft.com/office/drawing/2014/main" xmlns="" id="{00000000-0008-0000-1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35283" y="7232100"/>
          <a:ext cx="5123" cy="123281"/>
        </a:xfrm>
        <a:prstGeom prst="rect">
          <a:avLst/>
        </a:prstGeom>
      </xdr:spPr>
    </xdr:pic>
    <xdr:clientData/>
  </xdr:twoCellAnchor>
  <xdr:twoCellAnchor>
    <xdr:from>
      <xdr:col>6</xdr:col>
      <xdr:colOff>452009</xdr:colOff>
      <xdr:row>18</xdr:row>
      <xdr:rowOff>9525</xdr:rowOff>
    </xdr:from>
    <xdr:to>
      <xdr:col>6</xdr:col>
      <xdr:colOff>987027</xdr:colOff>
      <xdr:row>19</xdr:row>
      <xdr:rowOff>6829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xmlns="" id="{00000000-0008-0000-1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1559" y="9048750"/>
          <a:ext cx="535018" cy="1264129"/>
        </a:xfrm>
        <a:prstGeom prst="rect">
          <a:avLst/>
        </a:prstGeom>
      </xdr:spPr>
    </xdr:pic>
    <xdr:clientData/>
  </xdr:twoCellAnchor>
  <xdr:twoCellAnchor>
    <xdr:from>
      <xdr:col>7</xdr:col>
      <xdr:colOff>584527</xdr:colOff>
      <xdr:row>17</xdr:row>
      <xdr:rowOff>228600</xdr:rowOff>
    </xdr:from>
    <xdr:to>
      <xdr:col>7</xdr:col>
      <xdr:colOff>1146129</xdr:colOff>
      <xdr:row>19</xdr:row>
      <xdr:rowOff>20725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xmlns="" id="{00000000-0008-0000-1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1902" y="9029700"/>
          <a:ext cx="561602" cy="1297075"/>
        </a:xfrm>
        <a:prstGeom prst="rect">
          <a:avLst/>
        </a:prstGeom>
      </xdr:spPr>
    </xdr:pic>
    <xdr:clientData/>
  </xdr:twoCellAnchor>
  <xdr:twoCellAnchor>
    <xdr:from>
      <xdr:col>11</xdr:col>
      <xdr:colOff>80236</xdr:colOff>
      <xdr:row>18</xdr:row>
      <xdr:rowOff>9525</xdr:rowOff>
    </xdr:from>
    <xdr:to>
      <xdr:col>12</xdr:col>
      <xdr:colOff>0</xdr:colOff>
      <xdr:row>19</xdr:row>
      <xdr:rowOff>45104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xmlns="" id="{00000000-0008-0000-1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1936" y="9172575"/>
          <a:ext cx="500789" cy="1302404"/>
        </a:xfrm>
        <a:prstGeom prst="rect">
          <a:avLst/>
        </a:prstGeom>
      </xdr:spPr>
    </xdr:pic>
    <xdr:clientData/>
  </xdr:twoCellAnchor>
  <xdr:twoCellAnchor>
    <xdr:from>
      <xdr:col>6</xdr:col>
      <xdr:colOff>493208</xdr:colOff>
      <xdr:row>2</xdr:row>
      <xdr:rowOff>11677</xdr:rowOff>
    </xdr:from>
    <xdr:to>
      <xdr:col>6</xdr:col>
      <xdr:colOff>1031765</xdr:colOff>
      <xdr:row>3</xdr:row>
      <xdr:rowOff>30761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1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2758" y="430777"/>
          <a:ext cx="538557" cy="1162084"/>
        </a:xfrm>
        <a:prstGeom prst="rect">
          <a:avLst/>
        </a:prstGeom>
      </xdr:spPr>
    </xdr:pic>
    <xdr:clientData/>
  </xdr:twoCellAnchor>
  <xdr:twoCellAnchor>
    <xdr:from>
      <xdr:col>7</xdr:col>
      <xdr:colOff>497701</xdr:colOff>
      <xdr:row>1</xdr:row>
      <xdr:rowOff>143592</xdr:rowOff>
    </xdr:from>
    <xdr:to>
      <xdr:col>7</xdr:col>
      <xdr:colOff>1036256</xdr:colOff>
      <xdr:row>2</xdr:row>
      <xdr:rowOff>1142617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1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5076" y="372192"/>
          <a:ext cx="538555" cy="1189525"/>
        </a:xfrm>
        <a:prstGeom prst="rect">
          <a:avLst/>
        </a:prstGeom>
      </xdr:spPr>
    </xdr:pic>
    <xdr:clientData/>
  </xdr:twoCellAnchor>
  <xdr:twoCellAnchor>
    <xdr:from>
      <xdr:col>12</xdr:col>
      <xdr:colOff>78505</xdr:colOff>
      <xdr:row>2</xdr:row>
      <xdr:rowOff>17689</xdr:rowOff>
    </xdr:from>
    <xdr:to>
      <xdr:col>12</xdr:col>
      <xdr:colOff>617061</xdr:colOff>
      <xdr:row>3</xdr:row>
      <xdr:rowOff>46598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1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1076" y="439510"/>
          <a:ext cx="538556" cy="1171909"/>
        </a:xfrm>
        <a:prstGeom prst="rect">
          <a:avLst/>
        </a:prstGeom>
      </xdr:spPr>
    </xdr:pic>
    <xdr:clientData/>
  </xdr:twoCellAnchor>
  <xdr:twoCellAnchor editAs="oneCell">
    <xdr:from>
      <xdr:col>13</xdr:col>
      <xdr:colOff>93784</xdr:colOff>
      <xdr:row>18</xdr:row>
      <xdr:rowOff>52752</xdr:rowOff>
    </xdr:from>
    <xdr:to>
      <xdr:col>13</xdr:col>
      <xdr:colOff>584688</xdr:colOff>
      <xdr:row>19</xdr:row>
      <xdr:rowOff>38830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65371" t="8356" r="29741" b="27557"/>
        <a:stretch/>
      </xdr:blipFill>
      <xdr:spPr>
        <a:xfrm>
          <a:off x="8725815" y="9089596"/>
          <a:ext cx="490904" cy="1248141"/>
        </a:xfrm>
        <a:prstGeom prst="rect">
          <a:avLst/>
        </a:prstGeom>
      </xdr:spPr>
    </xdr:pic>
    <xdr:clientData/>
  </xdr:twoCellAnchor>
  <xdr:twoCellAnchor>
    <xdr:from>
      <xdr:col>14</xdr:col>
      <xdr:colOff>540439</xdr:colOff>
      <xdr:row>2</xdr:row>
      <xdr:rowOff>1435</xdr:rowOff>
    </xdr:from>
    <xdr:to>
      <xdr:col>14</xdr:col>
      <xdr:colOff>1030076</xdr:colOff>
      <xdr:row>3</xdr:row>
      <xdr:rowOff>21535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1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8714" y="420535"/>
          <a:ext cx="489637" cy="1163100"/>
        </a:xfrm>
        <a:prstGeom prst="rect">
          <a:avLst/>
        </a:prstGeom>
      </xdr:spPr>
    </xdr:pic>
    <xdr:clientData/>
  </xdr:twoCellAnchor>
  <xdr:twoCellAnchor editAs="oneCell">
    <xdr:from>
      <xdr:col>14</xdr:col>
      <xdr:colOff>501283</xdr:colOff>
      <xdr:row>17</xdr:row>
      <xdr:rowOff>200025</xdr:rowOff>
    </xdr:from>
    <xdr:to>
      <xdr:col>14</xdr:col>
      <xdr:colOff>1037065</xdr:colOff>
      <xdr:row>19</xdr:row>
      <xdr:rowOff>17795</xdr:rowOff>
    </xdr:to>
    <xdr:pic>
      <xdr:nvPicPr>
        <xdr:cNvPr id="22" name="Рисунок 21" descr="для прайса_исполнение_florence.png">
          <a:extLst>
            <a:ext uri="{FF2B5EF4-FFF2-40B4-BE49-F238E27FC236}">
              <a16:creationId xmlns:a16="http://schemas.microsoft.com/office/drawing/2014/main" xmlns="" id="{00000000-0008-0000-18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40351" t="4545" r="49407" b="24502"/>
        <a:stretch/>
      </xdr:blipFill>
      <xdr:spPr>
        <a:xfrm>
          <a:off x="9559558" y="9001125"/>
          <a:ext cx="535782" cy="1322721"/>
        </a:xfrm>
        <a:prstGeom prst="rect">
          <a:avLst/>
        </a:prstGeom>
      </xdr:spPr>
    </xdr:pic>
    <xdr:clientData/>
  </xdr:twoCellAnchor>
  <xdr:twoCellAnchor editAs="oneCell">
    <xdr:from>
      <xdr:col>12</xdr:col>
      <xdr:colOff>103528</xdr:colOff>
      <xdr:row>18</xdr:row>
      <xdr:rowOff>38100</xdr:rowOff>
    </xdr:from>
    <xdr:to>
      <xdr:col>12</xdr:col>
      <xdr:colOff>618587</xdr:colOff>
      <xdr:row>19</xdr:row>
      <xdr:rowOff>60017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1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59670" t="7253" r="34824" b="24453"/>
        <a:stretch/>
      </xdr:blipFill>
      <xdr:spPr>
        <a:xfrm>
          <a:off x="8068809" y="9074944"/>
          <a:ext cx="515059" cy="1283980"/>
        </a:xfrm>
        <a:prstGeom prst="rect">
          <a:avLst/>
        </a:prstGeom>
      </xdr:spPr>
    </xdr:pic>
    <xdr:clientData/>
  </xdr:twoCellAnchor>
  <xdr:twoCellAnchor>
    <xdr:from>
      <xdr:col>8</xdr:col>
      <xdr:colOff>95250</xdr:colOff>
      <xdr:row>18</xdr:row>
      <xdr:rowOff>0</xdr:rowOff>
    </xdr:from>
    <xdr:to>
      <xdr:col>8</xdr:col>
      <xdr:colOff>721180</xdr:colOff>
      <xdr:row>19</xdr:row>
      <xdr:rowOff>70201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1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0" y="5347607"/>
          <a:ext cx="625930" cy="1335665"/>
        </a:xfrm>
        <a:prstGeom prst="rect">
          <a:avLst/>
        </a:prstGeom>
      </xdr:spPr>
    </xdr:pic>
    <xdr:clientData/>
  </xdr:twoCellAnchor>
  <xdr:twoCellAnchor>
    <xdr:from>
      <xdr:col>9</xdr:col>
      <xdr:colOff>0</xdr:colOff>
      <xdr:row>2</xdr:row>
      <xdr:rowOff>1</xdr:rowOff>
    </xdr:from>
    <xdr:to>
      <xdr:col>9</xdr:col>
      <xdr:colOff>585108</xdr:colOff>
      <xdr:row>2</xdr:row>
      <xdr:rowOff>1115787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1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4607" y="421822"/>
          <a:ext cx="585108" cy="1115786"/>
        </a:xfrm>
        <a:prstGeom prst="rect">
          <a:avLst/>
        </a:prstGeom>
      </xdr:spPr>
    </xdr:pic>
    <xdr:clientData/>
  </xdr:twoCellAnchor>
  <xdr:twoCellAnchor editAs="oneCell">
    <xdr:from>
      <xdr:col>10</xdr:col>
      <xdr:colOff>68036</xdr:colOff>
      <xdr:row>17</xdr:row>
      <xdr:rowOff>231321</xdr:rowOff>
    </xdr:from>
    <xdr:to>
      <xdr:col>10</xdr:col>
      <xdr:colOff>639536</xdr:colOff>
      <xdr:row>19</xdr:row>
      <xdr:rowOff>54429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0" y="5334000"/>
          <a:ext cx="571500" cy="1333500"/>
        </a:xfrm>
        <a:prstGeom prst="rect">
          <a:avLst/>
        </a:prstGeom>
      </xdr:spPr>
    </xdr:pic>
    <xdr:clientData/>
  </xdr:twoCellAnchor>
  <xdr:twoCellAnchor editAs="oneCell">
    <xdr:from>
      <xdr:col>9</xdr:col>
      <xdr:colOff>40820</xdr:colOff>
      <xdr:row>18</xdr:row>
      <xdr:rowOff>81642</xdr:rowOff>
    </xdr:from>
    <xdr:to>
      <xdr:col>9</xdr:col>
      <xdr:colOff>707571</xdr:colOff>
      <xdr:row>19</xdr:row>
      <xdr:rowOff>108247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5427" y="5429249"/>
          <a:ext cx="666751" cy="129206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44</xdr:row>
      <xdr:rowOff>0</xdr:rowOff>
    </xdr:from>
    <xdr:to>
      <xdr:col>11</xdr:col>
      <xdr:colOff>5123</xdr:colOff>
      <xdr:row>44</xdr:row>
      <xdr:rowOff>47081</xdr:rowOff>
    </xdr:to>
    <xdr:pic>
      <xdr:nvPicPr>
        <xdr:cNvPr id="26" name="Рисунок 25" descr="галочка.png">
          <a:extLst>
            <a:ext uri="{FF2B5EF4-FFF2-40B4-BE49-F238E27FC236}">
              <a16:creationId xmlns:a16="http://schemas.microsoft.com/office/drawing/2014/main" xmlns="" id="{00000000-0008-0000-1B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673958" y="686062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7</xdr:col>
      <xdr:colOff>729983</xdr:colOff>
      <xdr:row>41</xdr:row>
      <xdr:rowOff>0</xdr:rowOff>
    </xdr:from>
    <xdr:to>
      <xdr:col>7</xdr:col>
      <xdr:colOff>735106</xdr:colOff>
      <xdr:row>41</xdr:row>
      <xdr:rowOff>123281</xdr:rowOff>
    </xdr:to>
    <xdr:pic>
      <xdr:nvPicPr>
        <xdr:cNvPr id="36" name="Рисунок 35" descr="галочка.png">
          <a:extLst>
            <a:ext uri="{FF2B5EF4-FFF2-40B4-BE49-F238E27FC236}">
              <a16:creationId xmlns:a16="http://schemas.microsoft.com/office/drawing/2014/main" xmlns="" id="{00000000-0008-0000-1B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045058" y="994410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41</xdr:row>
      <xdr:rowOff>0</xdr:rowOff>
    </xdr:from>
    <xdr:to>
      <xdr:col>5</xdr:col>
      <xdr:colOff>755516</xdr:colOff>
      <xdr:row>41</xdr:row>
      <xdr:rowOff>123281</xdr:rowOff>
    </xdr:to>
    <xdr:pic>
      <xdr:nvPicPr>
        <xdr:cNvPr id="37" name="Рисунок 36" descr="галочка.png">
          <a:extLst>
            <a:ext uri="{FF2B5EF4-FFF2-40B4-BE49-F238E27FC236}">
              <a16:creationId xmlns:a16="http://schemas.microsoft.com/office/drawing/2014/main" xmlns="" id="{00000000-0008-0000-1B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68508" y="9944100"/>
          <a:ext cx="25533" cy="123281"/>
        </a:xfrm>
        <a:prstGeom prst="rect">
          <a:avLst/>
        </a:prstGeom>
      </xdr:spPr>
    </xdr:pic>
    <xdr:clientData/>
  </xdr:twoCellAnchor>
  <xdr:twoCellAnchor>
    <xdr:from>
      <xdr:col>8</xdr:col>
      <xdr:colOff>450630</xdr:colOff>
      <xdr:row>2</xdr:row>
      <xdr:rowOff>20786</xdr:rowOff>
    </xdr:from>
    <xdr:to>
      <xdr:col>8</xdr:col>
      <xdr:colOff>892969</xdr:colOff>
      <xdr:row>2</xdr:row>
      <xdr:rowOff>1007470</xdr:rowOff>
    </xdr:to>
    <xdr:pic>
      <xdr:nvPicPr>
        <xdr:cNvPr id="101" name="Рисунок 106" descr="корсика.png">
          <a:extLst>
            <a:ext uri="{FF2B5EF4-FFF2-40B4-BE49-F238E27FC236}">
              <a16:creationId xmlns:a16="http://schemas.microsoft.com/office/drawing/2014/main" xmlns="" id="{00000000-0008-0000-1B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451505" y="258911"/>
          <a:ext cx="442339" cy="986684"/>
        </a:xfrm>
        <a:prstGeom prst="rect">
          <a:avLst/>
        </a:prstGeom>
      </xdr:spPr>
    </xdr:pic>
    <xdr:clientData/>
  </xdr:twoCellAnchor>
  <xdr:twoCellAnchor>
    <xdr:from>
      <xdr:col>9</xdr:col>
      <xdr:colOff>363446</xdr:colOff>
      <xdr:row>2</xdr:row>
      <xdr:rowOff>17248</xdr:rowOff>
    </xdr:from>
    <xdr:to>
      <xdr:col>9</xdr:col>
      <xdr:colOff>809625</xdr:colOff>
      <xdr:row>3</xdr:row>
      <xdr:rowOff>20453</xdr:rowOff>
    </xdr:to>
    <xdr:pic>
      <xdr:nvPicPr>
        <xdr:cNvPr id="102" name="Рисунок 108" descr="корсика.png">
          <a:extLst>
            <a:ext uri="{FF2B5EF4-FFF2-40B4-BE49-F238E27FC236}">
              <a16:creationId xmlns:a16="http://schemas.microsoft.com/office/drawing/2014/main" xmlns="" id="{00000000-0008-0000-1B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45446" y="255373"/>
          <a:ext cx="446179" cy="1015236"/>
        </a:xfrm>
        <a:prstGeom prst="rect">
          <a:avLst/>
        </a:prstGeom>
      </xdr:spPr>
    </xdr:pic>
    <xdr:clientData/>
  </xdr:twoCellAnchor>
  <xdr:twoCellAnchor>
    <xdr:from>
      <xdr:col>6</xdr:col>
      <xdr:colOff>426105</xdr:colOff>
      <xdr:row>2</xdr:row>
      <xdr:rowOff>35719</xdr:rowOff>
    </xdr:from>
    <xdr:to>
      <xdr:col>6</xdr:col>
      <xdr:colOff>866214</xdr:colOff>
      <xdr:row>3</xdr:row>
      <xdr:rowOff>35916</xdr:rowOff>
    </xdr:to>
    <xdr:pic>
      <xdr:nvPicPr>
        <xdr:cNvPr id="103" name="Рисунок 99" descr="корсика.png">
          <a:extLst>
            <a:ext uri="{FF2B5EF4-FFF2-40B4-BE49-F238E27FC236}">
              <a16:creationId xmlns:a16="http://schemas.microsoft.com/office/drawing/2014/main" xmlns="" id="{00000000-0008-0000-1B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664730" y="273844"/>
          <a:ext cx="440109" cy="1012228"/>
        </a:xfrm>
        <a:prstGeom prst="rect">
          <a:avLst/>
        </a:prstGeom>
      </xdr:spPr>
    </xdr:pic>
    <xdr:clientData/>
  </xdr:twoCellAnchor>
  <xdr:twoCellAnchor>
    <xdr:from>
      <xdr:col>7</xdr:col>
      <xdr:colOff>486812</xdr:colOff>
      <xdr:row>1</xdr:row>
      <xdr:rowOff>237760</xdr:rowOff>
    </xdr:from>
    <xdr:to>
      <xdr:col>7</xdr:col>
      <xdr:colOff>904876</xdr:colOff>
      <xdr:row>3</xdr:row>
      <xdr:rowOff>42583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6562" y="237760"/>
          <a:ext cx="418064" cy="1054979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38</xdr:row>
      <xdr:rowOff>0</xdr:rowOff>
    </xdr:from>
    <xdr:to>
      <xdr:col>11</xdr:col>
      <xdr:colOff>5123</xdr:colOff>
      <xdr:row>38</xdr:row>
      <xdr:rowOff>123281</xdr:rowOff>
    </xdr:to>
    <xdr:pic>
      <xdr:nvPicPr>
        <xdr:cNvPr id="19" name="Рисунок 18" descr="галочка.png">
          <a:extLst>
            <a:ext uri="{FF2B5EF4-FFF2-40B4-BE49-F238E27FC236}">
              <a16:creationId xmlns:a16="http://schemas.microsoft.com/office/drawing/2014/main" xmlns="" id="{00000000-0008-0000-1D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78483" y="9667875"/>
          <a:ext cx="5123" cy="123281"/>
        </a:xfrm>
        <a:prstGeom prst="rect">
          <a:avLst/>
        </a:prstGeom>
      </xdr:spPr>
    </xdr:pic>
    <xdr:clientData/>
  </xdr:twoCellAnchor>
  <xdr:twoCellAnchor>
    <xdr:from>
      <xdr:col>10</xdr:col>
      <xdr:colOff>504264</xdr:colOff>
      <xdr:row>1</xdr:row>
      <xdr:rowOff>226219</xdr:rowOff>
    </xdr:from>
    <xdr:to>
      <xdr:col>10</xdr:col>
      <xdr:colOff>970741</xdr:colOff>
      <xdr:row>2</xdr:row>
      <xdr:rowOff>1001732</xdr:rowOff>
    </xdr:to>
    <xdr:pic>
      <xdr:nvPicPr>
        <xdr:cNvPr id="21" name="Рисунок 42" descr="корсика.png">
          <a:extLst>
            <a:ext uri="{FF2B5EF4-FFF2-40B4-BE49-F238E27FC236}">
              <a16:creationId xmlns:a16="http://schemas.microsoft.com/office/drawing/2014/main" xmlns="" id="{00000000-0008-0000-1D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267389" y="226219"/>
          <a:ext cx="466477" cy="10136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4</xdr:col>
      <xdr:colOff>445510</xdr:colOff>
      <xdr:row>50</xdr:row>
      <xdr:rowOff>103005</xdr:rowOff>
    </xdr:to>
    <xdr:pic>
      <xdr:nvPicPr>
        <xdr:cNvPr id="24" name="Рисунок 23" descr="корсика.png">
          <a:extLst>
            <a:ext uri="{FF2B5EF4-FFF2-40B4-BE49-F238E27FC236}">
              <a16:creationId xmlns:a16="http://schemas.microsoft.com/office/drawing/2014/main" xmlns="" id="{00000000-0008-0000-1D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 r="54249" b="50923"/>
        <a:stretch>
          <a:fillRect/>
        </a:stretch>
      </xdr:blipFill>
      <xdr:spPr>
        <a:xfrm>
          <a:off x="313765" y="13570324"/>
          <a:ext cx="2798745" cy="1806302"/>
        </a:xfrm>
        <a:prstGeom prst="rect">
          <a:avLst/>
        </a:prstGeom>
      </xdr:spPr>
    </xdr:pic>
    <xdr:clientData/>
  </xdr:twoCellAnchor>
  <xdr:oneCellAnchor>
    <xdr:from>
      <xdr:col>7</xdr:col>
      <xdr:colOff>729983</xdr:colOff>
      <xdr:row>43</xdr:row>
      <xdr:rowOff>0</xdr:rowOff>
    </xdr:from>
    <xdr:ext cx="5123" cy="47081"/>
    <xdr:pic>
      <xdr:nvPicPr>
        <xdr:cNvPr id="25" name="Рисунок 24" descr="галочка.png">
          <a:extLst>
            <a:ext uri="{FF2B5EF4-FFF2-40B4-BE49-F238E27FC236}">
              <a16:creationId xmlns:a16="http://schemas.microsoft.com/office/drawing/2014/main" xmlns="" id="{00000000-0008-0000-1D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921858" y="16887825"/>
          <a:ext cx="5123" cy="47081"/>
        </a:xfrm>
        <a:prstGeom prst="rect">
          <a:avLst/>
        </a:prstGeom>
      </xdr:spPr>
    </xdr:pic>
    <xdr:clientData/>
  </xdr:oneCellAnchor>
  <xdr:oneCellAnchor>
    <xdr:from>
      <xdr:col>8</xdr:col>
      <xdr:colOff>729983</xdr:colOff>
      <xdr:row>43</xdr:row>
      <xdr:rowOff>0</xdr:rowOff>
    </xdr:from>
    <xdr:ext cx="5123" cy="47081"/>
    <xdr:pic>
      <xdr:nvPicPr>
        <xdr:cNvPr id="27" name="Рисунок 26" descr="галочка.png">
          <a:extLst>
            <a:ext uri="{FF2B5EF4-FFF2-40B4-BE49-F238E27FC236}">
              <a16:creationId xmlns:a16="http://schemas.microsoft.com/office/drawing/2014/main" xmlns="" id="{00000000-0008-0000-1D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302983" y="16887825"/>
          <a:ext cx="5123" cy="47081"/>
        </a:xfrm>
        <a:prstGeom prst="rect">
          <a:avLst/>
        </a:prstGeom>
      </xdr:spPr>
    </xdr:pic>
    <xdr:clientData/>
  </xdr:oneCellAnchor>
  <xdr:oneCellAnchor>
    <xdr:from>
      <xdr:col>9</xdr:col>
      <xdr:colOff>729983</xdr:colOff>
      <xdr:row>43</xdr:row>
      <xdr:rowOff>0</xdr:rowOff>
    </xdr:from>
    <xdr:ext cx="5123" cy="47081"/>
    <xdr:pic>
      <xdr:nvPicPr>
        <xdr:cNvPr id="28" name="Рисунок 27" descr="галочка.png">
          <a:extLst>
            <a:ext uri="{FF2B5EF4-FFF2-40B4-BE49-F238E27FC236}">
              <a16:creationId xmlns:a16="http://schemas.microsoft.com/office/drawing/2014/main" xmlns="" id="{00000000-0008-0000-1D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684108" y="16887825"/>
          <a:ext cx="5123" cy="47081"/>
        </a:xfrm>
        <a:prstGeom prst="rect">
          <a:avLst/>
        </a:prstGeom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729983</xdr:colOff>
      <xdr:row>10</xdr:row>
      <xdr:rowOff>0</xdr:rowOff>
    </xdr:from>
    <xdr:to>
      <xdr:col>8</xdr:col>
      <xdr:colOff>735106</xdr:colOff>
      <xdr:row>10</xdr:row>
      <xdr:rowOff>123281</xdr:rowOff>
    </xdr:to>
    <xdr:pic>
      <xdr:nvPicPr>
        <xdr:cNvPr id="2" name="Рисунок 1" descr="галочка.png">
          <a:extLst>
            <a:ext uri="{FF2B5EF4-FFF2-40B4-BE49-F238E27FC236}">
              <a16:creationId xmlns:a16="http://schemas.microsoft.com/office/drawing/2014/main" xmlns="" id="{00000000-0008-0000-1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330683" y="533400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6</xdr:col>
      <xdr:colOff>729983</xdr:colOff>
      <xdr:row>10</xdr:row>
      <xdr:rowOff>0</xdr:rowOff>
    </xdr:from>
    <xdr:to>
      <xdr:col>6</xdr:col>
      <xdr:colOff>755516</xdr:colOff>
      <xdr:row>10</xdr:row>
      <xdr:rowOff>123281</xdr:rowOff>
    </xdr:to>
    <xdr:pic>
      <xdr:nvPicPr>
        <xdr:cNvPr id="3" name="Рисунок 2" descr="галочка.png">
          <a:extLst>
            <a:ext uri="{FF2B5EF4-FFF2-40B4-BE49-F238E27FC236}">
              <a16:creationId xmlns:a16="http://schemas.microsoft.com/office/drawing/2014/main" xmlns="" id="{00000000-0008-0000-1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35133" y="5334000"/>
          <a:ext cx="25533" cy="123281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40</xdr:row>
      <xdr:rowOff>0</xdr:rowOff>
    </xdr:from>
    <xdr:to>
      <xdr:col>0</xdr:col>
      <xdr:colOff>0</xdr:colOff>
      <xdr:row>40</xdr:row>
      <xdr:rowOff>47081</xdr:rowOff>
    </xdr:to>
    <xdr:pic>
      <xdr:nvPicPr>
        <xdr:cNvPr id="2" name="Рисунок 1" descr="галочка.png">
          <a:extLst>
            <a:ext uri="{FF2B5EF4-FFF2-40B4-BE49-F238E27FC236}">
              <a16:creationId xmlns:a16="http://schemas.microsoft.com/office/drawing/2014/main" xmlns="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8420100"/>
          <a:ext cx="0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0</xdr:colOff>
      <xdr:row>40</xdr:row>
      <xdr:rowOff>47081</xdr:rowOff>
    </xdr:to>
    <xdr:pic>
      <xdr:nvPicPr>
        <xdr:cNvPr id="3" name="Рисунок 2" descr="галочка.png">
          <a:extLst>
            <a:ext uri="{FF2B5EF4-FFF2-40B4-BE49-F238E27FC236}">
              <a16:creationId xmlns:a16="http://schemas.microsoft.com/office/drawing/2014/main" xmlns="" id="{00000000-0008-0000-2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8420100"/>
          <a:ext cx="0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320</xdr:colOff>
      <xdr:row>36</xdr:row>
      <xdr:rowOff>47081</xdr:rowOff>
    </xdr:to>
    <xdr:pic>
      <xdr:nvPicPr>
        <xdr:cNvPr id="4" name="Рисунок 3" descr="галочка.png">
          <a:extLst>
            <a:ext uri="{FF2B5EF4-FFF2-40B4-BE49-F238E27FC236}">
              <a16:creationId xmlns:a16="http://schemas.microsoft.com/office/drawing/2014/main" xmlns="" id="{00000000-0008-0000-2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7200900"/>
          <a:ext cx="320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0</xdr:colOff>
      <xdr:row>40</xdr:row>
      <xdr:rowOff>47081</xdr:rowOff>
    </xdr:to>
    <xdr:pic>
      <xdr:nvPicPr>
        <xdr:cNvPr id="5" name="Рисунок 4" descr="галочка.png">
          <a:extLst>
            <a:ext uri="{FF2B5EF4-FFF2-40B4-BE49-F238E27FC236}">
              <a16:creationId xmlns:a16="http://schemas.microsoft.com/office/drawing/2014/main" xmlns="" id="{00000000-0008-0000-2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8420100"/>
          <a:ext cx="0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0</xdr:colOff>
      <xdr:row>40</xdr:row>
      <xdr:rowOff>47081</xdr:rowOff>
    </xdr:to>
    <xdr:pic>
      <xdr:nvPicPr>
        <xdr:cNvPr id="6" name="Рисунок 5" descr="галочка.png">
          <a:extLst>
            <a:ext uri="{FF2B5EF4-FFF2-40B4-BE49-F238E27FC236}">
              <a16:creationId xmlns:a16="http://schemas.microsoft.com/office/drawing/2014/main" xmlns="" id="{00000000-0008-0000-2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8420100"/>
          <a:ext cx="0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5123</xdr:colOff>
      <xdr:row>36</xdr:row>
      <xdr:rowOff>47081</xdr:rowOff>
    </xdr:to>
    <xdr:pic>
      <xdr:nvPicPr>
        <xdr:cNvPr id="7" name="Рисунок 6" descr="галочка.png">
          <a:extLst>
            <a:ext uri="{FF2B5EF4-FFF2-40B4-BE49-F238E27FC236}">
              <a16:creationId xmlns:a16="http://schemas.microsoft.com/office/drawing/2014/main" xmlns="" id="{00000000-0008-0000-2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720090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592</xdr:colOff>
      <xdr:row>11</xdr:row>
      <xdr:rowOff>85181</xdr:rowOff>
    </xdr:to>
    <xdr:pic>
      <xdr:nvPicPr>
        <xdr:cNvPr id="8" name="Рисунок 7" descr="галочка.png">
          <a:extLst>
            <a:ext uri="{FF2B5EF4-FFF2-40B4-BE49-F238E27FC236}">
              <a16:creationId xmlns:a16="http://schemas.microsoft.com/office/drawing/2014/main" xmlns="" id="{00000000-0008-0000-2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714750"/>
          <a:ext cx="592" cy="85181"/>
        </a:xfrm>
        <a:prstGeom prst="rect">
          <a:avLst/>
        </a:prstGeom>
      </xdr:spPr>
    </xdr:pic>
    <xdr:clientData/>
  </xdr:twoCellAnchor>
  <xdr:twoCellAnchor editAs="oneCell">
    <xdr:from>
      <xdr:col>0</xdr:col>
      <xdr:colOff>323849</xdr:colOff>
      <xdr:row>35</xdr:row>
      <xdr:rowOff>23493</xdr:rowOff>
    </xdr:from>
    <xdr:to>
      <xdr:col>6</xdr:col>
      <xdr:colOff>104775</xdr:colOff>
      <xdr:row>42</xdr:row>
      <xdr:rowOff>39245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b="7901"/>
        <a:stretch/>
      </xdr:blipFill>
      <xdr:spPr>
        <a:xfrm>
          <a:off x="323849" y="7605393"/>
          <a:ext cx="5381626" cy="1434977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729983</xdr:colOff>
      <xdr:row>23</xdr:row>
      <xdr:rowOff>0</xdr:rowOff>
    </xdr:from>
    <xdr:to>
      <xdr:col>10</xdr:col>
      <xdr:colOff>735106</xdr:colOff>
      <xdr:row>23</xdr:row>
      <xdr:rowOff>47081</xdr:rowOff>
    </xdr:to>
    <xdr:pic>
      <xdr:nvPicPr>
        <xdr:cNvPr id="13" name="Рисунок 12" descr="галочка.png">
          <a:extLst>
            <a:ext uri="{FF2B5EF4-FFF2-40B4-BE49-F238E27FC236}">
              <a16:creationId xmlns:a16="http://schemas.microsoft.com/office/drawing/2014/main" xmlns="" id="{00000000-0008-0000-1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313008" y="1603320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27</xdr:row>
      <xdr:rowOff>107400</xdr:rowOff>
    </xdr:from>
    <xdr:to>
      <xdr:col>4</xdr:col>
      <xdr:colOff>735106</xdr:colOff>
      <xdr:row>28</xdr:row>
      <xdr:rowOff>97331</xdr:rowOff>
    </xdr:to>
    <xdr:pic>
      <xdr:nvPicPr>
        <xdr:cNvPr id="28" name="Рисунок 27" descr="галочка.png">
          <a:extLst>
            <a:ext uri="{FF2B5EF4-FFF2-40B4-BE49-F238E27FC236}">
              <a16:creationId xmlns:a16="http://schemas.microsoft.com/office/drawing/2014/main" xmlns="" id="{00000000-0008-0000-1C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87458" y="7765500"/>
          <a:ext cx="5123" cy="180431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27</xdr:row>
      <xdr:rowOff>107400</xdr:rowOff>
    </xdr:from>
    <xdr:to>
      <xdr:col>4</xdr:col>
      <xdr:colOff>735106</xdr:colOff>
      <xdr:row>28</xdr:row>
      <xdr:rowOff>97331</xdr:rowOff>
    </xdr:to>
    <xdr:pic>
      <xdr:nvPicPr>
        <xdr:cNvPr id="29" name="Рисунок 28" descr="галочка.png">
          <a:extLst>
            <a:ext uri="{FF2B5EF4-FFF2-40B4-BE49-F238E27FC236}">
              <a16:creationId xmlns:a16="http://schemas.microsoft.com/office/drawing/2014/main" xmlns="" id="{00000000-0008-0000-1C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87458" y="7765500"/>
          <a:ext cx="5123" cy="180431"/>
        </a:xfrm>
        <a:prstGeom prst="rect">
          <a:avLst/>
        </a:prstGeom>
      </xdr:spPr>
    </xdr:pic>
    <xdr:clientData/>
  </xdr:twoCellAnchor>
  <xdr:oneCellAnchor>
    <xdr:from>
      <xdr:col>4</xdr:col>
      <xdr:colOff>729983</xdr:colOff>
      <xdr:row>26</xdr:row>
      <xdr:rowOff>107400</xdr:rowOff>
    </xdr:from>
    <xdr:ext cx="5123" cy="751931"/>
    <xdr:pic>
      <xdr:nvPicPr>
        <xdr:cNvPr id="30" name="Рисунок 29" descr="галочка.png">
          <a:extLst>
            <a:ext uri="{FF2B5EF4-FFF2-40B4-BE49-F238E27FC236}">
              <a16:creationId xmlns:a16="http://schemas.microsoft.com/office/drawing/2014/main" xmlns="" id="{00000000-0008-0000-1C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87458" y="7575000"/>
          <a:ext cx="5123" cy="751931"/>
        </a:xfrm>
        <a:prstGeom prst="rect">
          <a:avLst/>
        </a:prstGeom>
      </xdr:spPr>
    </xdr:pic>
    <xdr:clientData/>
  </xdr:oneCellAnchor>
  <xdr:oneCellAnchor>
    <xdr:from>
      <xdr:col>4</xdr:col>
      <xdr:colOff>729983</xdr:colOff>
      <xdr:row>26</xdr:row>
      <xdr:rowOff>107400</xdr:rowOff>
    </xdr:from>
    <xdr:ext cx="5123" cy="751931"/>
    <xdr:pic>
      <xdr:nvPicPr>
        <xdr:cNvPr id="31" name="Рисунок 30" descr="галочка.png">
          <a:extLst>
            <a:ext uri="{FF2B5EF4-FFF2-40B4-BE49-F238E27FC236}">
              <a16:creationId xmlns:a16="http://schemas.microsoft.com/office/drawing/2014/main" xmlns="" id="{00000000-0008-0000-1C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87458" y="7575000"/>
          <a:ext cx="5123" cy="751931"/>
        </a:xfrm>
        <a:prstGeom prst="rect">
          <a:avLst/>
        </a:prstGeom>
      </xdr:spPr>
    </xdr:pic>
    <xdr:clientData/>
  </xdr:oneCellAnchor>
  <xdr:twoCellAnchor editAs="oneCell">
    <xdr:from>
      <xdr:col>8</xdr:col>
      <xdr:colOff>729983</xdr:colOff>
      <xdr:row>36</xdr:row>
      <xdr:rowOff>0</xdr:rowOff>
    </xdr:from>
    <xdr:to>
      <xdr:col>8</xdr:col>
      <xdr:colOff>735106</xdr:colOff>
      <xdr:row>36</xdr:row>
      <xdr:rowOff>123281</xdr:rowOff>
    </xdr:to>
    <xdr:pic>
      <xdr:nvPicPr>
        <xdr:cNvPr id="32" name="Рисунок 31" descr="галочка.png">
          <a:extLst>
            <a:ext uri="{FF2B5EF4-FFF2-40B4-BE49-F238E27FC236}">
              <a16:creationId xmlns:a16="http://schemas.microsoft.com/office/drawing/2014/main" xmlns="" id="{00000000-0008-0000-1C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11808" y="10182225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36</xdr:row>
      <xdr:rowOff>0</xdr:rowOff>
    </xdr:from>
    <xdr:to>
      <xdr:col>5</xdr:col>
      <xdr:colOff>755516</xdr:colOff>
      <xdr:row>36</xdr:row>
      <xdr:rowOff>123281</xdr:rowOff>
    </xdr:to>
    <xdr:pic>
      <xdr:nvPicPr>
        <xdr:cNvPr id="33" name="Рисунок 32" descr="галочка.png">
          <a:extLst>
            <a:ext uri="{FF2B5EF4-FFF2-40B4-BE49-F238E27FC236}">
              <a16:creationId xmlns:a16="http://schemas.microsoft.com/office/drawing/2014/main" xmlns="" id="{00000000-0008-0000-1C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68508" y="10182225"/>
          <a:ext cx="25533" cy="123281"/>
        </a:xfrm>
        <a:prstGeom prst="rect">
          <a:avLst/>
        </a:prstGeom>
      </xdr:spPr>
    </xdr:pic>
    <xdr:clientData/>
  </xdr:twoCellAnchor>
  <xdr:twoCellAnchor>
    <xdr:from>
      <xdr:col>6</xdr:col>
      <xdr:colOff>522768</xdr:colOff>
      <xdr:row>5</xdr:row>
      <xdr:rowOff>208221</xdr:rowOff>
    </xdr:from>
    <xdr:to>
      <xdr:col>13</xdr:col>
      <xdr:colOff>896523</xdr:colOff>
      <xdr:row>8</xdr:row>
      <xdr:rowOff>79745</xdr:rowOff>
    </xdr:to>
    <xdr:grpSp>
      <xdr:nvGrpSpPr>
        <xdr:cNvPr id="2" name="Группа 1">
          <a:extLst>
            <a:ext uri="{FF2B5EF4-FFF2-40B4-BE49-F238E27FC236}">
              <a16:creationId xmlns:a16="http://schemas.microsoft.com/office/drawing/2014/main" xmlns="" id="{00000000-0008-0000-1C00-000002000000}"/>
            </a:ext>
          </a:extLst>
        </xdr:cNvPr>
        <xdr:cNvGrpSpPr/>
      </xdr:nvGrpSpPr>
      <xdr:grpSpPr>
        <a:xfrm>
          <a:off x="4764716" y="1138570"/>
          <a:ext cx="10064888" cy="1300274"/>
          <a:chOff x="4828954" y="1129709"/>
          <a:chExt cx="10297476" cy="1298059"/>
        </a:xfrm>
      </xdr:grpSpPr>
      <xdr:pic>
        <xdr:nvPicPr>
          <xdr:cNvPr id="4" name="Рисунок 101" descr="корсика.png">
            <a:extLst>
              <a:ext uri="{FF2B5EF4-FFF2-40B4-BE49-F238E27FC236}">
                <a16:creationId xmlns:a16="http://schemas.microsoft.com/office/drawing/2014/main" xmlns="" id="{00000000-0008-0000-1C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118906" y="1154251"/>
            <a:ext cx="561896" cy="1227941"/>
          </a:xfrm>
          <a:prstGeom prst="rect">
            <a:avLst/>
          </a:prstGeom>
        </xdr:spPr>
      </xdr:pic>
      <xdr:pic>
        <xdr:nvPicPr>
          <xdr:cNvPr id="6" name="Рисунок 104" descr="корсика.png">
            <a:extLst>
              <a:ext uri="{FF2B5EF4-FFF2-40B4-BE49-F238E27FC236}">
                <a16:creationId xmlns:a16="http://schemas.microsoft.com/office/drawing/2014/main" xmlns="" id="{00000000-0008-0000-1C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/>
          <a:stretch>
            <a:fillRect/>
          </a:stretch>
        </xdr:blipFill>
        <xdr:spPr>
          <a:xfrm>
            <a:off x="14553747" y="1175749"/>
            <a:ext cx="572683" cy="1226978"/>
          </a:xfrm>
          <a:prstGeom prst="rect">
            <a:avLst/>
          </a:prstGeom>
        </xdr:spPr>
      </xdr:pic>
      <xdr:pic>
        <xdr:nvPicPr>
          <xdr:cNvPr id="27" name="Рисунок 103" descr="корсика.png">
            <a:extLst>
              <a:ext uri="{FF2B5EF4-FFF2-40B4-BE49-F238E27FC236}">
                <a16:creationId xmlns:a16="http://schemas.microsoft.com/office/drawing/2014/main" xmlns="" id="{00000000-0008-0000-1C00-00001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11731256" y="1197075"/>
            <a:ext cx="573077" cy="1227941"/>
          </a:xfrm>
          <a:prstGeom prst="rect">
            <a:avLst/>
          </a:prstGeom>
        </xdr:spPr>
      </xdr:pic>
      <xdr:pic>
        <xdr:nvPicPr>
          <xdr:cNvPr id="34" name="Рисунок 33">
            <a:extLst>
              <a:ext uri="{FF2B5EF4-FFF2-40B4-BE49-F238E27FC236}">
                <a16:creationId xmlns:a16="http://schemas.microsoft.com/office/drawing/2014/main" xmlns="" id="{00000000-0008-0000-1C00-00002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828954" y="1129709"/>
            <a:ext cx="553779" cy="1271477"/>
          </a:xfrm>
          <a:prstGeom prst="rect">
            <a:avLst/>
          </a:prstGeom>
        </xdr:spPr>
      </xdr:pic>
      <xdr:pic>
        <xdr:nvPicPr>
          <xdr:cNvPr id="35" name="Рисунок 34">
            <a:extLst>
              <a:ext uri="{FF2B5EF4-FFF2-40B4-BE49-F238E27FC236}">
                <a16:creationId xmlns:a16="http://schemas.microsoft.com/office/drawing/2014/main" xmlns="" id="{00000000-0008-0000-1C00-00002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586774" y="1158505"/>
            <a:ext cx="575930" cy="1269263"/>
          </a:xfrm>
          <a:prstGeom prst="rect">
            <a:avLst/>
          </a:prstGeom>
        </xdr:spPr>
      </xdr:pic>
      <xdr:pic>
        <xdr:nvPicPr>
          <xdr:cNvPr id="36" name="Рисунок 35">
            <a:extLst>
              <a:ext uri="{FF2B5EF4-FFF2-40B4-BE49-F238E27FC236}">
                <a16:creationId xmlns:a16="http://schemas.microsoft.com/office/drawing/2014/main" xmlns="" id="{00000000-0008-0000-1C00-00002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66792" y="1152971"/>
            <a:ext cx="575929" cy="1274797"/>
          </a:xfrm>
          <a:prstGeom prst="rect">
            <a:avLst/>
          </a:prstGeom>
        </xdr:spPr>
      </xdr:pic>
      <xdr:pic>
        <xdr:nvPicPr>
          <xdr:cNvPr id="37" name="Рисунок 36">
            <a:extLst>
              <a:ext uri="{FF2B5EF4-FFF2-40B4-BE49-F238E27FC236}">
                <a16:creationId xmlns:a16="http://schemas.microsoft.com/office/drawing/2014/main" xmlns="" id="{00000000-0008-0000-1C00-00002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349023" y="1162935"/>
            <a:ext cx="553780" cy="1238251"/>
          </a:xfrm>
          <a:prstGeom prst="rect">
            <a:avLst/>
          </a:prstGeom>
        </xdr:spPr>
      </xdr:pic>
      <xdr:pic>
        <xdr:nvPicPr>
          <xdr:cNvPr id="38" name="Рисунок 37">
            <a:extLst>
              <a:ext uri="{FF2B5EF4-FFF2-40B4-BE49-F238E27FC236}">
                <a16:creationId xmlns:a16="http://schemas.microsoft.com/office/drawing/2014/main" xmlns="" id="{00000000-0008-0000-1C00-00002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182158" y="1158505"/>
            <a:ext cx="555994" cy="1242681"/>
          </a:xfrm>
          <a:prstGeom prst="rect">
            <a:avLst/>
          </a:prstGeom>
        </xdr:spPr>
      </xdr:pic>
    </xdr:grp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35</xdr:row>
      <xdr:rowOff>0</xdr:rowOff>
    </xdr:from>
    <xdr:to>
      <xdr:col>14</xdr:col>
      <xdr:colOff>4191</xdr:colOff>
      <xdr:row>37</xdr:row>
      <xdr:rowOff>143715</xdr:rowOff>
    </xdr:to>
    <xdr:pic>
      <xdr:nvPicPr>
        <xdr:cNvPr id="3" name="Рисунок 14" descr="накладка на входную дверь.jpg">
          <a:extLst>
            <a:ext uri="{FF2B5EF4-FFF2-40B4-BE49-F238E27FC236}">
              <a16:creationId xmlns:a16="http://schemas.microsoft.com/office/drawing/2014/main" xmlns="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954375" y="22879050"/>
          <a:ext cx="4191" cy="491097"/>
        </a:xfrm>
        <a:prstGeom prst="rect">
          <a:avLst/>
        </a:prstGeom>
      </xdr:spPr>
    </xdr:pic>
    <xdr:clientData/>
  </xdr:twoCellAnchor>
  <xdr:twoCellAnchor>
    <xdr:from>
      <xdr:col>7</xdr:col>
      <xdr:colOff>275613</xdr:colOff>
      <xdr:row>5</xdr:row>
      <xdr:rowOff>61315</xdr:rowOff>
    </xdr:from>
    <xdr:to>
      <xdr:col>7</xdr:col>
      <xdr:colOff>836261</xdr:colOff>
      <xdr:row>7</xdr:row>
      <xdr:rowOff>862284</xdr:rowOff>
    </xdr:to>
    <xdr:pic>
      <xdr:nvPicPr>
        <xdr:cNvPr id="26" name="Рисунок 39" descr="корсика.png">
          <a:extLst>
            <a:ext uri="{FF2B5EF4-FFF2-40B4-BE49-F238E27FC236}">
              <a16:creationId xmlns:a16="http://schemas.microsoft.com/office/drawing/2014/main" xmlns="" id="{00000000-0008-0000-1D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956995" y="957786"/>
          <a:ext cx="560648" cy="1215586"/>
        </a:xfrm>
        <a:prstGeom prst="rect">
          <a:avLst/>
        </a:prstGeom>
      </xdr:spPr>
    </xdr:pic>
    <xdr:clientData/>
  </xdr:twoCellAnchor>
  <xdr:twoCellAnchor>
    <xdr:from>
      <xdr:col>8</xdr:col>
      <xdr:colOff>247895</xdr:colOff>
      <xdr:row>5</xdr:row>
      <xdr:rowOff>61785</xdr:rowOff>
    </xdr:from>
    <xdr:to>
      <xdr:col>8</xdr:col>
      <xdr:colOff>808164</xdr:colOff>
      <xdr:row>7</xdr:row>
      <xdr:rowOff>861812</xdr:rowOff>
    </xdr:to>
    <xdr:pic>
      <xdr:nvPicPr>
        <xdr:cNvPr id="27" name="Рисунок 42" descr="корсика.png">
          <a:extLst>
            <a:ext uri="{FF2B5EF4-FFF2-40B4-BE49-F238E27FC236}">
              <a16:creationId xmlns:a16="http://schemas.microsoft.com/office/drawing/2014/main" xmlns="" id="{00000000-0008-0000-1D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307601" y="958256"/>
          <a:ext cx="560269" cy="1214644"/>
        </a:xfrm>
        <a:prstGeom prst="rect">
          <a:avLst/>
        </a:prstGeom>
      </xdr:spPr>
    </xdr:pic>
    <xdr:clientData/>
  </xdr:twoCellAnchor>
  <xdr:twoCellAnchor>
    <xdr:from>
      <xdr:col>9</xdr:col>
      <xdr:colOff>263795</xdr:colOff>
      <xdr:row>5</xdr:row>
      <xdr:rowOff>61785</xdr:rowOff>
    </xdr:from>
    <xdr:to>
      <xdr:col>9</xdr:col>
      <xdr:colOff>824064</xdr:colOff>
      <xdr:row>7</xdr:row>
      <xdr:rowOff>861812</xdr:rowOff>
    </xdr:to>
    <xdr:pic>
      <xdr:nvPicPr>
        <xdr:cNvPr id="28" name="Рисунок 43" descr="корсика.png">
          <a:extLst>
            <a:ext uri="{FF2B5EF4-FFF2-40B4-BE49-F238E27FC236}">
              <a16:creationId xmlns:a16="http://schemas.microsoft.com/office/drawing/2014/main" xmlns="" id="{00000000-0008-0000-1D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01824" y="958256"/>
          <a:ext cx="560269" cy="1214644"/>
        </a:xfrm>
        <a:prstGeom prst="rect">
          <a:avLst/>
        </a:prstGeom>
      </xdr:spPr>
    </xdr:pic>
    <xdr:clientData/>
  </xdr:twoCellAnchor>
  <xdr:twoCellAnchor>
    <xdr:from>
      <xdr:col>6</xdr:col>
      <xdr:colOff>268024</xdr:colOff>
      <xdr:row>5</xdr:row>
      <xdr:rowOff>61785</xdr:rowOff>
    </xdr:from>
    <xdr:to>
      <xdr:col>6</xdr:col>
      <xdr:colOff>829030</xdr:colOff>
      <xdr:row>7</xdr:row>
      <xdr:rowOff>861812</xdr:rowOff>
    </xdr:to>
    <xdr:pic>
      <xdr:nvPicPr>
        <xdr:cNvPr id="29" name="Рисунок 44" descr="корсика.png">
          <a:extLst>
            <a:ext uri="{FF2B5EF4-FFF2-40B4-BE49-F238E27FC236}">
              <a16:creationId xmlns:a16="http://schemas.microsoft.com/office/drawing/2014/main" xmlns="" id="{00000000-0008-0000-1D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571083" y="958256"/>
          <a:ext cx="561006" cy="1214644"/>
        </a:xfrm>
        <a:prstGeom prst="rect">
          <a:avLst/>
        </a:prstGeom>
      </xdr:spPr>
    </xdr:pic>
    <xdr:clientData/>
  </xdr:twoCellAnchor>
  <xdr:twoCellAnchor>
    <xdr:from>
      <xdr:col>10</xdr:col>
      <xdr:colOff>254578</xdr:colOff>
      <xdr:row>5</xdr:row>
      <xdr:rowOff>62264</xdr:rowOff>
    </xdr:from>
    <xdr:to>
      <xdr:col>10</xdr:col>
      <xdr:colOff>815198</xdr:colOff>
      <xdr:row>7</xdr:row>
      <xdr:rowOff>861335</xdr:rowOff>
    </xdr:to>
    <xdr:pic>
      <xdr:nvPicPr>
        <xdr:cNvPr id="31" name="Рисунок 48" descr="корсика.png">
          <a:extLst>
            <a:ext uri="{FF2B5EF4-FFF2-40B4-BE49-F238E27FC236}">
              <a16:creationId xmlns:a16="http://schemas.microsoft.com/office/drawing/2014/main" xmlns="" id="{00000000-0008-0000-1D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 flipH="1">
          <a:off x="10070931" y="958735"/>
          <a:ext cx="560620" cy="1213688"/>
        </a:xfrm>
        <a:prstGeom prst="rect">
          <a:avLst/>
        </a:prstGeom>
      </xdr:spPr>
    </xdr:pic>
    <xdr:clientData/>
  </xdr:twoCellAnchor>
  <xdr:twoCellAnchor>
    <xdr:from>
      <xdr:col>11</xdr:col>
      <xdr:colOff>260315</xdr:colOff>
      <xdr:row>5</xdr:row>
      <xdr:rowOff>66808</xdr:rowOff>
    </xdr:from>
    <xdr:to>
      <xdr:col>11</xdr:col>
      <xdr:colOff>816540</xdr:colOff>
      <xdr:row>7</xdr:row>
      <xdr:rowOff>856791</xdr:rowOff>
    </xdr:to>
    <xdr:pic>
      <xdr:nvPicPr>
        <xdr:cNvPr id="32" name="Рисунок 49" descr="корсика.png">
          <a:extLst>
            <a:ext uri="{FF2B5EF4-FFF2-40B4-BE49-F238E27FC236}">
              <a16:creationId xmlns:a16="http://schemas.microsoft.com/office/drawing/2014/main" xmlns="" id="{00000000-0008-0000-1D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1454991" y="963279"/>
          <a:ext cx="556225" cy="1204600"/>
        </a:xfrm>
        <a:prstGeom prst="rect">
          <a:avLst/>
        </a:prstGeom>
      </xdr:spPr>
    </xdr:pic>
    <xdr:clientData/>
  </xdr:twoCellAnchor>
  <xdr:twoCellAnchor>
    <xdr:from>
      <xdr:col>12</xdr:col>
      <xdr:colOff>278070</xdr:colOff>
      <xdr:row>5</xdr:row>
      <xdr:rowOff>66808</xdr:rowOff>
    </xdr:from>
    <xdr:to>
      <xdr:col>12</xdr:col>
      <xdr:colOff>834295</xdr:colOff>
      <xdr:row>7</xdr:row>
      <xdr:rowOff>856791</xdr:rowOff>
    </xdr:to>
    <xdr:pic>
      <xdr:nvPicPr>
        <xdr:cNvPr id="33" name="Рисунок 50" descr="корсика.png">
          <a:extLst>
            <a:ext uri="{FF2B5EF4-FFF2-40B4-BE49-F238E27FC236}">
              <a16:creationId xmlns:a16="http://schemas.microsoft.com/office/drawing/2014/main" xmlns="" id="{00000000-0008-0000-1D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2851070" y="963279"/>
          <a:ext cx="556225" cy="1204600"/>
        </a:xfrm>
        <a:prstGeom prst="rect">
          <a:avLst/>
        </a:prstGeom>
      </xdr:spPr>
    </xdr:pic>
    <xdr:clientData/>
  </xdr:twoCellAnchor>
  <xdr:twoCellAnchor>
    <xdr:from>
      <xdr:col>13</xdr:col>
      <xdr:colOff>265260</xdr:colOff>
      <xdr:row>5</xdr:row>
      <xdr:rowOff>66808</xdr:rowOff>
    </xdr:from>
    <xdr:to>
      <xdr:col>13</xdr:col>
      <xdr:colOff>821485</xdr:colOff>
      <xdr:row>7</xdr:row>
      <xdr:rowOff>856791</xdr:rowOff>
    </xdr:to>
    <xdr:pic>
      <xdr:nvPicPr>
        <xdr:cNvPr id="34" name="Рисунок 51" descr="корсика.png">
          <a:extLst>
            <a:ext uri="{FF2B5EF4-FFF2-40B4-BE49-F238E27FC236}">
              <a16:creationId xmlns:a16="http://schemas.microsoft.com/office/drawing/2014/main" xmlns="" id="{00000000-0008-0000-1D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4216584" y="963279"/>
          <a:ext cx="556225" cy="1204600"/>
        </a:xfrm>
        <a:prstGeom prst="rect">
          <a:avLst/>
        </a:prstGeom>
      </xdr:spPr>
    </xdr:pic>
    <xdr:clientData/>
  </xdr:twoCellAnchor>
  <xdr:twoCellAnchor editAs="oneCell">
    <xdr:from>
      <xdr:col>1</xdr:col>
      <xdr:colOff>95932</xdr:colOff>
      <xdr:row>71</xdr:row>
      <xdr:rowOff>11899</xdr:rowOff>
    </xdr:from>
    <xdr:to>
      <xdr:col>4</xdr:col>
      <xdr:colOff>541442</xdr:colOff>
      <xdr:row>80</xdr:row>
      <xdr:rowOff>204554</xdr:rowOff>
    </xdr:to>
    <xdr:pic>
      <xdr:nvPicPr>
        <xdr:cNvPr id="44" name="Рисунок 43" descr="корсика.png">
          <a:extLst>
            <a:ext uri="{FF2B5EF4-FFF2-40B4-BE49-F238E27FC236}">
              <a16:creationId xmlns:a16="http://schemas.microsoft.com/office/drawing/2014/main" xmlns="" id="{00000000-0008-0000-1D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r="54249" b="50923"/>
        <a:stretch>
          <a:fillRect/>
        </a:stretch>
      </xdr:blipFill>
      <xdr:spPr>
        <a:xfrm>
          <a:off x="607901" y="18311805"/>
          <a:ext cx="2798045" cy="18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70</xdr:row>
      <xdr:rowOff>0</xdr:rowOff>
    </xdr:from>
    <xdr:to>
      <xdr:col>10</xdr:col>
      <xdr:colOff>5123</xdr:colOff>
      <xdr:row>70</xdr:row>
      <xdr:rowOff>47081</xdr:rowOff>
    </xdr:to>
    <xdr:pic>
      <xdr:nvPicPr>
        <xdr:cNvPr id="43" name="Рисунок 42" descr="галочка.png">
          <a:extLst>
            <a:ext uri="{FF2B5EF4-FFF2-40B4-BE49-F238E27FC236}">
              <a16:creationId xmlns:a16="http://schemas.microsoft.com/office/drawing/2014/main" xmlns="" id="{00000000-0008-0000-1D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359758" y="17538150"/>
          <a:ext cx="5123" cy="47081"/>
        </a:xfrm>
        <a:prstGeom prst="rect">
          <a:avLst/>
        </a:prstGeom>
      </xdr:spPr>
    </xdr:pic>
    <xdr:clientData/>
  </xdr:twoCellAnchor>
  <xdr:oneCellAnchor>
    <xdr:from>
      <xdr:col>10</xdr:col>
      <xdr:colOff>729983</xdr:colOff>
      <xdr:row>70</xdr:row>
      <xdr:rowOff>0</xdr:rowOff>
    </xdr:from>
    <xdr:ext cx="5123" cy="47081"/>
    <xdr:pic>
      <xdr:nvPicPr>
        <xdr:cNvPr id="45" name="Рисунок 44" descr="галочка.png">
          <a:extLst>
            <a:ext uri="{FF2B5EF4-FFF2-40B4-BE49-F238E27FC236}">
              <a16:creationId xmlns:a16="http://schemas.microsoft.com/office/drawing/2014/main" xmlns="" id="{00000000-0008-0000-1D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464533" y="17138100"/>
          <a:ext cx="5123" cy="47081"/>
        </a:xfrm>
        <a:prstGeom prst="rect">
          <a:avLst/>
        </a:prstGeom>
      </xdr:spPr>
    </xdr:pic>
    <xdr:clientData/>
  </xdr:oneCellAnchor>
  <xdr:oneCellAnchor>
    <xdr:from>
      <xdr:col>11</xdr:col>
      <xdr:colOff>729983</xdr:colOff>
      <xdr:row>70</xdr:row>
      <xdr:rowOff>0</xdr:rowOff>
    </xdr:from>
    <xdr:ext cx="5123" cy="47081"/>
    <xdr:pic>
      <xdr:nvPicPr>
        <xdr:cNvPr id="46" name="Рисунок 45" descr="галочка.png">
          <a:extLst>
            <a:ext uri="{FF2B5EF4-FFF2-40B4-BE49-F238E27FC236}">
              <a16:creationId xmlns:a16="http://schemas.microsoft.com/office/drawing/2014/main" xmlns="" id="{00000000-0008-0000-1D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464533" y="17138100"/>
          <a:ext cx="5123" cy="47081"/>
        </a:xfrm>
        <a:prstGeom prst="rect">
          <a:avLst/>
        </a:prstGeom>
      </xdr:spPr>
    </xdr:pic>
    <xdr:clientData/>
  </xdr:oneCellAnchor>
  <xdr:oneCellAnchor>
    <xdr:from>
      <xdr:col>12</xdr:col>
      <xdr:colOff>729983</xdr:colOff>
      <xdr:row>70</xdr:row>
      <xdr:rowOff>0</xdr:rowOff>
    </xdr:from>
    <xdr:ext cx="5123" cy="47081"/>
    <xdr:pic>
      <xdr:nvPicPr>
        <xdr:cNvPr id="47" name="Рисунок 46" descr="галочка.png">
          <a:extLst>
            <a:ext uri="{FF2B5EF4-FFF2-40B4-BE49-F238E27FC236}">
              <a16:creationId xmlns:a16="http://schemas.microsoft.com/office/drawing/2014/main" xmlns="" id="{00000000-0008-0000-1D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464533" y="17138100"/>
          <a:ext cx="5123" cy="47081"/>
        </a:xfrm>
        <a:prstGeom prst="rect">
          <a:avLst/>
        </a:prstGeom>
      </xdr:spPr>
    </xdr:pic>
    <xdr:clientData/>
  </xdr:oneCellAnchor>
  <xdr:oneCellAnchor>
    <xdr:from>
      <xdr:col>13</xdr:col>
      <xdr:colOff>729983</xdr:colOff>
      <xdr:row>70</xdr:row>
      <xdr:rowOff>0</xdr:rowOff>
    </xdr:from>
    <xdr:ext cx="5123" cy="47081"/>
    <xdr:pic>
      <xdr:nvPicPr>
        <xdr:cNvPr id="48" name="Рисунок 47" descr="галочка.png">
          <a:extLst>
            <a:ext uri="{FF2B5EF4-FFF2-40B4-BE49-F238E27FC236}">
              <a16:creationId xmlns:a16="http://schemas.microsoft.com/office/drawing/2014/main" xmlns="" id="{00000000-0008-0000-1D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464533" y="17138100"/>
          <a:ext cx="5123" cy="47081"/>
        </a:xfrm>
        <a:prstGeom prst="rect">
          <a:avLst/>
        </a:prstGeom>
      </xdr:spPr>
    </xdr:pic>
    <xdr:clientData/>
  </xdr:oneCellAnchor>
  <xdr:twoCellAnchor editAs="oneCell">
    <xdr:from>
      <xdr:col>9</xdr:col>
      <xdr:colOff>616744</xdr:colOff>
      <xdr:row>54</xdr:row>
      <xdr:rowOff>73260</xdr:rowOff>
    </xdr:from>
    <xdr:to>
      <xdr:col>9</xdr:col>
      <xdr:colOff>755217</xdr:colOff>
      <xdr:row>54</xdr:row>
      <xdr:rowOff>215591</xdr:rowOff>
    </xdr:to>
    <xdr:pic>
      <xdr:nvPicPr>
        <xdr:cNvPr id="35" name="Рисунок 34" descr="галочка.png">
          <a:extLst>
            <a:ext uri="{FF2B5EF4-FFF2-40B4-BE49-F238E27FC236}">
              <a16:creationId xmlns:a16="http://schemas.microsoft.com/office/drawing/2014/main" xmlns="" id="{00000000-0008-0000-1D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054773" y="13856495"/>
          <a:ext cx="138473" cy="142331"/>
        </a:xfrm>
        <a:prstGeom prst="rect">
          <a:avLst/>
        </a:prstGeom>
      </xdr:spPr>
    </xdr:pic>
    <xdr:clientData/>
  </xdr:twoCellAnchor>
  <xdr:twoCellAnchor editAs="oneCell">
    <xdr:from>
      <xdr:col>10</xdr:col>
      <xdr:colOff>610302</xdr:colOff>
      <xdr:row>56</xdr:row>
      <xdr:rowOff>40623</xdr:rowOff>
    </xdr:from>
    <xdr:to>
      <xdr:col>10</xdr:col>
      <xdr:colOff>748775</xdr:colOff>
      <xdr:row>56</xdr:row>
      <xdr:rowOff>182954</xdr:rowOff>
    </xdr:to>
    <xdr:pic>
      <xdr:nvPicPr>
        <xdr:cNvPr id="38" name="Рисунок 37" descr="галочка.png">
          <a:extLst>
            <a:ext uri="{FF2B5EF4-FFF2-40B4-BE49-F238E27FC236}">
              <a16:creationId xmlns:a16="http://schemas.microsoft.com/office/drawing/2014/main" xmlns="" id="{00000000-0008-0000-1D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0426655" y="14395358"/>
          <a:ext cx="138473" cy="142331"/>
        </a:xfrm>
        <a:prstGeom prst="rect">
          <a:avLst/>
        </a:prstGeom>
      </xdr:spPr>
    </xdr:pic>
    <xdr:clientData/>
  </xdr:twoCellAnchor>
  <xdr:twoCellAnchor editAs="oneCell">
    <xdr:from>
      <xdr:col>12</xdr:col>
      <xdr:colOff>678657</xdr:colOff>
      <xdr:row>56</xdr:row>
      <xdr:rowOff>40622</xdr:rowOff>
    </xdr:from>
    <xdr:to>
      <xdr:col>12</xdr:col>
      <xdr:colOff>817130</xdr:colOff>
      <xdr:row>56</xdr:row>
      <xdr:rowOff>182953</xdr:rowOff>
    </xdr:to>
    <xdr:pic>
      <xdr:nvPicPr>
        <xdr:cNvPr id="39" name="Рисунок 38" descr="галочка.png">
          <a:extLst>
            <a:ext uri="{FF2B5EF4-FFF2-40B4-BE49-F238E27FC236}">
              <a16:creationId xmlns:a16="http://schemas.microsoft.com/office/drawing/2014/main" xmlns="" id="{00000000-0008-0000-1D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3251657" y="14395357"/>
          <a:ext cx="138473" cy="142331"/>
        </a:xfrm>
        <a:prstGeom prst="rect">
          <a:avLst/>
        </a:prstGeom>
      </xdr:spPr>
    </xdr:pic>
    <xdr:clientData/>
  </xdr:twoCellAnchor>
  <xdr:twoCellAnchor editAs="oneCell">
    <xdr:from>
      <xdr:col>13</xdr:col>
      <xdr:colOff>604839</xdr:colOff>
      <xdr:row>56</xdr:row>
      <xdr:rowOff>51828</xdr:rowOff>
    </xdr:from>
    <xdr:to>
      <xdr:col>13</xdr:col>
      <xdr:colOff>743312</xdr:colOff>
      <xdr:row>57</xdr:row>
      <xdr:rowOff>3659</xdr:rowOff>
    </xdr:to>
    <xdr:pic>
      <xdr:nvPicPr>
        <xdr:cNvPr id="40" name="Рисунок 39" descr="галочка.png">
          <a:extLst>
            <a:ext uri="{FF2B5EF4-FFF2-40B4-BE49-F238E27FC236}">
              <a16:creationId xmlns:a16="http://schemas.microsoft.com/office/drawing/2014/main" xmlns="" id="{00000000-0008-0000-1D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4556163" y="14406563"/>
          <a:ext cx="138473" cy="142331"/>
        </a:xfrm>
        <a:prstGeom prst="rect">
          <a:avLst/>
        </a:prstGeom>
      </xdr:spPr>
    </xdr:pic>
    <xdr:clientData/>
  </xdr:twoCellAnchor>
  <xdr:twoCellAnchor editAs="oneCell">
    <xdr:from>
      <xdr:col>4</xdr:col>
      <xdr:colOff>474556</xdr:colOff>
      <xdr:row>70</xdr:row>
      <xdr:rowOff>154775</xdr:rowOff>
    </xdr:from>
    <xdr:to>
      <xdr:col>7</xdr:col>
      <xdr:colOff>739589</xdr:colOff>
      <xdr:row>81</xdr:row>
      <xdr:rowOff>2711</xdr:rowOff>
    </xdr:to>
    <xdr:pic>
      <xdr:nvPicPr>
        <xdr:cNvPr id="30" name="Рисунок 29" descr="корсика.png">
          <a:extLst>
            <a:ext uri="{FF2B5EF4-FFF2-40B4-BE49-F238E27FC236}">
              <a16:creationId xmlns:a16="http://schemas.microsoft.com/office/drawing/2014/main" xmlns="" id="{00000000-0008-0000-1D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/>
        <a:srcRect t="49774" r="48439"/>
        <a:stretch/>
      </xdr:blipFill>
      <xdr:spPr>
        <a:xfrm>
          <a:off x="3208791" y="17804040"/>
          <a:ext cx="3212180" cy="1876201"/>
        </a:xfrm>
        <a:prstGeom prst="rect">
          <a:avLst/>
        </a:prstGeom>
      </xdr:spPr>
    </xdr:pic>
    <xdr:clientData/>
  </xdr:twoCellAnchor>
  <xdr:twoCellAnchor editAs="oneCell">
    <xdr:from>
      <xdr:col>8</xdr:col>
      <xdr:colOff>729983</xdr:colOff>
      <xdr:row>36</xdr:row>
      <xdr:rowOff>0</xdr:rowOff>
    </xdr:from>
    <xdr:to>
      <xdr:col>8</xdr:col>
      <xdr:colOff>735106</xdr:colOff>
      <xdr:row>36</xdr:row>
      <xdr:rowOff>123281</xdr:rowOff>
    </xdr:to>
    <xdr:pic>
      <xdr:nvPicPr>
        <xdr:cNvPr id="25" name="Рисунок 24" descr="галочка.png">
          <a:extLst>
            <a:ext uri="{FF2B5EF4-FFF2-40B4-BE49-F238E27FC236}">
              <a16:creationId xmlns:a16="http://schemas.microsoft.com/office/drawing/2014/main" xmlns="" id="{00000000-0008-0000-1D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711808" y="1036320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36</xdr:row>
      <xdr:rowOff>0</xdr:rowOff>
    </xdr:from>
    <xdr:to>
      <xdr:col>5</xdr:col>
      <xdr:colOff>755516</xdr:colOff>
      <xdr:row>36</xdr:row>
      <xdr:rowOff>123281</xdr:rowOff>
    </xdr:to>
    <xdr:pic>
      <xdr:nvPicPr>
        <xdr:cNvPr id="37" name="Рисунок 36" descr="галочка.png">
          <a:extLst>
            <a:ext uri="{FF2B5EF4-FFF2-40B4-BE49-F238E27FC236}">
              <a16:creationId xmlns:a16="http://schemas.microsoft.com/office/drawing/2014/main" xmlns="" id="{00000000-0008-0000-1D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168508" y="10363200"/>
          <a:ext cx="25533" cy="123281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30</xdr:row>
      <xdr:rowOff>107400</xdr:rowOff>
    </xdr:from>
    <xdr:to>
      <xdr:col>4</xdr:col>
      <xdr:colOff>735106</xdr:colOff>
      <xdr:row>31</xdr:row>
      <xdr:rowOff>164566</xdr:rowOff>
    </xdr:to>
    <xdr:pic>
      <xdr:nvPicPr>
        <xdr:cNvPr id="41" name="Рисунок 40" descr="галочка.png">
          <a:extLst>
            <a:ext uri="{FF2B5EF4-FFF2-40B4-BE49-F238E27FC236}">
              <a16:creationId xmlns:a16="http://schemas.microsoft.com/office/drawing/2014/main" xmlns="" id="{00000000-0008-0000-1D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387458" y="7765500"/>
          <a:ext cx="5123" cy="751931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30</xdr:row>
      <xdr:rowOff>107400</xdr:rowOff>
    </xdr:from>
    <xdr:to>
      <xdr:col>4</xdr:col>
      <xdr:colOff>735106</xdr:colOff>
      <xdr:row>31</xdr:row>
      <xdr:rowOff>164566</xdr:rowOff>
    </xdr:to>
    <xdr:pic>
      <xdr:nvPicPr>
        <xdr:cNvPr id="42" name="Рисунок 41" descr="галочка.png">
          <a:extLst>
            <a:ext uri="{FF2B5EF4-FFF2-40B4-BE49-F238E27FC236}">
              <a16:creationId xmlns:a16="http://schemas.microsoft.com/office/drawing/2014/main" xmlns="" id="{00000000-0008-0000-1D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387458" y="7765500"/>
          <a:ext cx="5123" cy="751931"/>
        </a:xfrm>
        <a:prstGeom prst="rect">
          <a:avLst/>
        </a:prstGeom>
      </xdr:spPr>
    </xdr:pic>
    <xdr:clientData/>
  </xdr:twoCellAnchor>
  <xdr:oneCellAnchor>
    <xdr:from>
      <xdr:col>4</xdr:col>
      <xdr:colOff>729983</xdr:colOff>
      <xdr:row>29</xdr:row>
      <xdr:rowOff>107400</xdr:rowOff>
    </xdr:from>
    <xdr:ext cx="5123" cy="751931"/>
    <xdr:pic>
      <xdr:nvPicPr>
        <xdr:cNvPr id="51" name="Рисунок 50" descr="галочка.png">
          <a:extLst>
            <a:ext uri="{FF2B5EF4-FFF2-40B4-BE49-F238E27FC236}">
              <a16:creationId xmlns:a16="http://schemas.microsoft.com/office/drawing/2014/main" xmlns="" id="{00000000-0008-0000-1D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387458" y="7575000"/>
          <a:ext cx="5123" cy="751931"/>
        </a:xfrm>
        <a:prstGeom prst="rect">
          <a:avLst/>
        </a:prstGeom>
      </xdr:spPr>
    </xdr:pic>
    <xdr:clientData/>
  </xdr:oneCellAnchor>
  <xdr:oneCellAnchor>
    <xdr:from>
      <xdr:col>4</xdr:col>
      <xdr:colOff>729983</xdr:colOff>
      <xdr:row>29</xdr:row>
      <xdr:rowOff>107400</xdr:rowOff>
    </xdr:from>
    <xdr:ext cx="5123" cy="751931"/>
    <xdr:pic>
      <xdr:nvPicPr>
        <xdr:cNvPr id="52" name="Рисунок 51" descr="галочка.png">
          <a:extLst>
            <a:ext uri="{FF2B5EF4-FFF2-40B4-BE49-F238E27FC236}">
              <a16:creationId xmlns:a16="http://schemas.microsoft.com/office/drawing/2014/main" xmlns="" id="{00000000-0008-0000-1D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387458" y="7575000"/>
          <a:ext cx="5123" cy="751931"/>
        </a:xfrm>
        <a:prstGeom prst="rect">
          <a:avLst/>
        </a:prstGeom>
      </xdr:spPr>
    </xdr:pic>
    <xdr:clientData/>
  </xdr:oneCellAnchor>
  <xdr:twoCellAnchor editAs="oneCell">
    <xdr:from>
      <xdr:col>12</xdr:col>
      <xdr:colOff>683559</xdr:colOff>
      <xdr:row>61</xdr:row>
      <xdr:rowOff>33618</xdr:rowOff>
    </xdr:from>
    <xdr:to>
      <xdr:col>12</xdr:col>
      <xdr:colOff>822032</xdr:colOff>
      <xdr:row>61</xdr:row>
      <xdr:rowOff>175949</xdr:rowOff>
    </xdr:to>
    <xdr:pic>
      <xdr:nvPicPr>
        <xdr:cNvPr id="60" name="Рисунок 59" descr="галочка.png">
          <a:extLst>
            <a:ext uri="{FF2B5EF4-FFF2-40B4-BE49-F238E27FC236}">
              <a16:creationId xmlns:a16="http://schemas.microsoft.com/office/drawing/2014/main" xmlns="" id="{00000000-0008-0000-1D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3256559" y="15273618"/>
          <a:ext cx="138473" cy="14233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290355</xdr:colOff>
      <xdr:row>8</xdr:row>
      <xdr:rowOff>155175</xdr:rowOff>
    </xdr:from>
    <xdr:to>
      <xdr:col>5</xdr:col>
      <xdr:colOff>323850</xdr:colOff>
      <xdr:row>9</xdr:row>
      <xdr:rowOff>154779</xdr:rowOff>
    </xdr:to>
    <xdr:pic>
      <xdr:nvPicPr>
        <xdr:cNvPr id="43" name="Рисунок 42" descr="Погонаж_L коробка.jpg">
          <a:extLst>
            <a:ext uri="{FF2B5EF4-FFF2-40B4-BE49-F238E27FC236}">
              <a16:creationId xmlns:a16="http://schemas.microsoft.com/office/drawing/2014/main" xmlns="" id="{00000000-0008-0000-22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805080" y="2336400"/>
          <a:ext cx="881220" cy="418704"/>
        </a:xfrm>
        <a:prstGeom prst="rect">
          <a:avLst/>
        </a:prstGeom>
      </xdr:spPr>
    </xdr:pic>
    <xdr:clientData/>
  </xdr:twoCellAnchor>
  <xdr:twoCellAnchor>
    <xdr:from>
      <xdr:col>9</xdr:col>
      <xdr:colOff>44705</xdr:colOff>
      <xdr:row>8</xdr:row>
      <xdr:rowOff>157558</xdr:rowOff>
    </xdr:from>
    <xdr:to>
      <xdr:col>9</xdr:col>
      <xdr:colOff>927728</xdr:colOff>
      <xdr:row>9</xdr:row>
      <xdr:rowOff>88718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xmlns="" id="{00000000-0008-0000-2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7817105" y="2338783"/>
          <a:ext cx="883023" cy="350260"/>
        </a:xfrm>
        <a:prstGeom prst="rect">
          <a:avLst/>
        </a:prstGeom>
      </xdr:spPr>
    </xdr:pic>
    <xdr:clientData/>
  </xdr:twoCellAnchor>
  <xdr:twoCellAnchor>
    <xdr:from>
      <xdr:col>13</xdr:col>
      <xdr:colOff>81646</xdr:colOff>
      <xdr:row>8</xdr:row>
      <xdr:rowOff>209551</xdr:rowOff>
    </xdr:from>
    <xdr:to>
      <xdr:col>13</xdr:col>
      <xdr:colOff>964408</xdr:colOff>
      <xdr:row>9</xdr:row>
      <xdr:rowOff>180975</xdr:rowOff>
    </xdr:to>
    <xdr:pic>
      <xdr:nvPicPr>
        <xdr:cNvPr id="57" name="Рисунок 56" descr="Погонаж_L коробка.jpg">
          <a:extLst>
            <a:ext uri="{FF2B5EF4-FFF2-40B4-BE49-F238E27FC236}">
              <a16:creationId xmlns:a16="http://schemas.microsoft.com/office/drawing/2014/main" xmlns="" id="{00000000-0008-0000-22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1921221" y="2390776"/>
          <a:ext cx="882762" cy="390524"/>
        </a:xfrm>
        <a:prstGeom prst="rect">
          <a:avLst/>
        </a:prstGeom>
      </xdr:spPr>
    </xdr:pic>
    <xdr:clientData/>
  </xdr:twoCellAnchor>
  <xdr:twoCellAnchor>
    <xdr:from>
      <xdr:col>3</xdr:col>
      <xdr:colOff>689204</xdr:colOff>
      <xdr:row>36</xdr:row>
      <xdr:rowOff>134174</xdr:rowOff>
    </xdr:from>
    <xdr:to>
      <xdr:col>5</xdr:col>
      <xdr:colOff>23812</xdr:colOff>
      <xdr:row>36</xdr:row>
      <xdr:rowOff>549090</xdr:rowOff>
    </xdr:to>
    <xdr:pic>
      <xdr:nvPicPr>
        <xdr:cNvPr id="108" name="Рисунок 107" descr="Погонаж_L коробка.jpg">
          <a:extLst>
            <a:ext uri="{FF2B5EF4-FFF2-40B4-BE49-F238E27FC236}">
              <a16:creationId xmlns:a16="http://schemas.microsoft.com/office/drawing/2014/main" xmlns="" id="{00000000-0008-0000-22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 b="53552"/>
        <a:stretch/>
      </xdr:blipFill>
      <xdr:spPr>
        <a:xfrm>
          <a:off x="3300175" y="12382203"/>
          <a:ext cx="1093931" cy="414916"/>
        </a:xfrm>
        <a:prstGeom prst="rect">
          <a:avLst/>
        </a:prstGeom>
      </xdr:spPr>
    </xdr:pic>
    <xdr:clientData/>
  </xdr:twoCellAnchor>
  <xdr:twoCellAnchor>
    <xdr:from>
      <xdr:col>3</xdr:col>
      <xdr:colOff>257732</xdr:colOff>
      <xdr:row>54</xdr:row>
      <xdr:rowOff>90406</xdr:rowOff>
    </xdr:from>
    <xdr:to>
      <xdr:col>4</xdr:col>
      <xdr:colOff>447251</xdr:colOff>
      <xdr:row>54</xdr:row>
      <xdr:rowOff>621703</xdr:rowOff>
    </xdr:to>
    <xdr:pic>
      <xdr:nvPicPr>
        <xdr:cNvPr id="114" name="Рисунок 113" descr="Погонаж_L коробка.jpg">
          <a:extLst>
            <a:ext uri="{FF2B5EF4-FFF2-40B4-BE49-F238E27FC236}">
              <a16:creationId xmlns:a16="http://schemas.microsoft.com/office/drawing/2014/main" xmlns="" id="{00000000-0008-0000-22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363007" y="19073731"/>
          <a:ext cx="1037244" cy="531297"/>
        </a:xfrm>
        <a:prstGeom prst="rect">
          <a:avLst/>
        </a:prstGeom>
      </xdr:spPr>
    </xdr:pic>
    <xdr:clientData/>
  </xdr:twoCellAnchor>
  <xdr:twoCellAnchor editAs="oneCell">
    <xdr:from>
      <xdr:col>2</xdr:col>
      <xdr:colOff>71437</xdr:colOff>
      <xdr:row>54</xdr:row>
      <xdr:rowOff>87087</xdr:rowOff>
    </xdr:from>
    <xdr:to>
      <xdr:col>2</xdr:col>
      <xdr:colOff>941294</xdr:colOff>
      <xdr:row>54</xdr:row>
      <xdr:rowOff>629799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2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673878" y="17713940"/>
          <a:ext cx="869857" cy="542712"/>
        </a:xfrm>
        <a:prstGeom prst="rect">
          <a:avLst/>
        </a:prstGeom>
      </xdr:spPr>
    </xdr:pic>
    <xdr:clientData/>
  </xdr:twoCellAnchor>
  <xdr:twoCellAnchor editAs="oneCell">
    <xdr:from>
      <xdr:col>8</xdr:col>
      <xdr:colOff>164585</xdr:colOff>
      <xdr:row>36</xdr:row>
      <xdr:rowOff>78443</xdr:rowOff>
    </xdr:from>
    <xdr:to>
      <xdr:col>9</xdr:col>
      <xdr:colOff>455235</xdr:colOff>
      <xdr:row>36</xdr:row>
      <xdr:rowOff>504264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22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b="43684"/>
        <a:stretch/>
      </xdr:blipFill>
      <xdr:spPr>
        <a:xfrm>
          <a:off x="7101026" y="11642914"/>
          <a:ext cx="1131091" cy="425821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142874</xdr:colOff>
      <xdr:row>36</xdr:row>
      <xdr:rowOff>119754</xdr:rowOff>
    </xdr:from>
    <xdr:to>
      <xdr:col>6</xdr:col>
      <xdr:colOff>940594</xdr:colOff>
      <xdr:row>36</xdr:row>
      <xdr:rowOff>628076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2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4155" y="13454754"/>
          <a:ext cx="797720" cy="508322"/>
        </a:xfrm>
        <a:prstGeom prst="rect">
          <a:avLst/>
        </a:prstGeom>
      </xdr:spPr>
    </xdr:pic>
    <xdr:clientData/>
  </xdr:twoCellAnchor>
  <xdr:oneCellAnchor>
    <xdr:from>
      <xdr:col>24</xdr:col>
      <xdr:colOff>61912</xdr:colOff>
      <xdr:row>8</xdr:row>
      <xdr:rowOff>214709</xdr:rowOff>
    </xdr:from>
    <xdr:ext cx="831057" cy="526257"/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00000000-0008-0000-2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8552318" y="2405459"/>
          <a:ext cx="831057" cy="526257"/>
        </a:xfrm>
        <a:prstGeom prst="rect">
          <a:avLst/>
        </a:prstGeom>
      </xdr:spPr>
    </xdr:pic>
    <xdr:clientData/>
  </xdr:oneCellAnchor>
  <xdr:twoCellAnchor editAs="oneCell">
    <xdr:from>
      <xdr:col>11</xdr:col>
      <xdr:colOff>71437</xdr:colOff>
      <xdr:row>8</xdr:row>
      <xdr:rowOff>142875</xdr:rowOff>
    </xdr:from>
    <xdr:to>
      <xdr:col>11</xdr:col>
      <xdr:colOff>994426</xdr:colOff>
      <xdr:row>9</xdr:row>
      <xdr:rowOff>224275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2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5987" y="2324100"/>
          <a:ext cx="922989" cy="500500"/>
        </a:xfrm>
        <a:prstGeom prst="rect">
          <a:avLst/>
        </a:prstGeom>
      </xdr:spPr>
    </xdr:pic>
    <xdr:clientData/>
  </xdr:twoCellAnchor>
  <xdr:twoCellAnchor editAs="oneCell">
    <xdr:from>
      <xdr:col>7</xdr:col>
      <xdr:colOff>638430</xdr:colOff>
      <xdr:row>50</xdr:row>
      <xdr:rowOff>97651</xdr:rowOff>
    </xdr:from>
    <xdr:to>
      <xdr:col>11</xdr:col>
      <xdr:colOff>32416</xdr:colOff>
      <xdr:row>55</xdr:row>
      <xdr:rowOff>577724</xdr:rowOff>
    </xdr:to>
    <xdr:pic>
      <xdr:nvPicPr>
        <xdr:cNvPr id="31" name="Рисунок 30" descr="м.jpg">
          <a:extLst>
            <a:ext uri="{FF2B5EF4-FFF2-40B4-BE49-F238E27FC236}">
              <a16:creationId xmlns:a16="http://schemas.microsoft.com/office/drawing/2014/main" xmlns="" id="{00000000-0008-0000-2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843287" y="17065758"/>
          <a:ext cx="2972665" cy="2085716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95251</xdr:colOff>
      <xdr:row>8</xdr:row>
      <xdr:rowOff>153681</xdr:rowOff>
    </xdr:from>
    <xdr:to>
      <xdr:col>12</xdr:col>
      <xdr:colOff>933450</xdr:colOff>
      <xdr:row>9</xdr:row>
      <xdr:rowOff>219036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2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7551" y="2334906"/>
          <a:ext cx="838199" cy="484455"/>
        </a:xfrm>
        <a:prstGeom prst="rect">
          <a:avLst/>
        </a:prstGeom>
      </xdr:spPr>
    </xdr:pic>
    <xdr:clientData/>
  </xdr:twoCellAnchor>
  <xdr:twoCellAnchor editAs="oneCell">
    <xdr:from>
      <xdr:col>10</xdr:col>
      <xdr:colOff>11907</xdr:colOff>
      <xdr:row>8</xdr:row>
      <xdr:rowOff>27455</xdr:rowOff>
    </xdr:from>
    <xdr:to>
      <xdr:col>10</xdr:col>
      <xdr:colOff>984853</xdr:colOff>
      <xdr:row>9</xdr:row>
      <xdr:rowOff>202406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2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9188" y="2218205"/>
          <a:ext cx="972946" cy="591670"/>
        </a:xfrm>
        <a:prstGeom prst="rect">
          <a:avLst/>
        </a:prstGeom>
      </xdr:spPr>
    </xdr:pic>
    <xdr:clientData/>
  </xdr:twoCellAnchor>
  <xdr:twoCellAnchor editAs="oneCell">
    <xdr:from>
      <xdr:col>3</xdr:col>
      <xdr:colOff>7143</xdr:colOff>
      <xdr:row>8</xdr:row>
      <xdr:rowOff>76200</xdr:rowOff>
    </xdr:from>
    <xdr:to>
      <xdr:col>3</xdr:col>
      <xdr:colOff>894240</xdr:colOff>
      <xdr:row>9</xdr:row>
      <xdr:rowOff>47625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2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4612" y="2266950"/>
          <a:ext cx="887097" cy="388144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119062</xdr:colOff>
      <xdr:row>8</xdr:row>
      <xdr:rowOff>142875</xdr:rowOff>
    </xdr:from>
    <xdr:to>
      <xdr:col>2</xdr:col>
      <xdr:colOff>938974</xdr:colOff>
      <xdr:row>9</xdr:row>
      <xdr:rowOff>253460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0" y="2333625"/>
          <a:ext cx="819912" cy="527304"/>
        </a:xfrm>
        <a:prstGeom prst="rect">
          <a:avLst/>
        </a:prstGeom>
      </xdr:spPr>
    </xdr:pic>
    <xdr:clientData/>
  </xdr:twoCellAnchor>
  <xdr:twoCellAnchor editAs="oneCell">
    <xdr:from>
      <xdr:col>6</xdr:col>
      <xdr:colOff>766763</xdr:colOff>
      <xdr:row>8</xdr:row>
      <xdr:rowOff>95250</xdr:rowOff>
    </xdr:from>
    <xdr:to>
      <xdr:col>7</xdr:col>
      <xdr:colOff>689992</xdr:colOff>
      <xdr:row>9</xdr:row>
      <xdr:rowOff>199739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0732" y="2286000"/>
          <a:ext cx="1042416" cy="521208"/>
        </a:xfrm>
        <a:prstGeom prst="rect">
          <a:avLst/>
        </a:prstGeom>
      </xdr:spPr>
    </xdr:pic>
    <xdr:clientData/>
  </xdr:twoCellAnchor>
  <xdr:twoCellAnchor editAs="oneCell">
    <xdr:from>
      <xdr:col>19</xdr:col>
      <xdr:colOff>17009</xdr:colOff>
      <xdr:row>9</xdr:row>
      <xdr:rowOff>64634</xdr:rowOff>
    </xdr:from>
    <xdr:to>
      <xdr:col>19</xdr:col>
      <xdr:colOff>870449</xdr:colOff>
      <xdr:row>9</xdr:row>
      <xdr:rowOff>485258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1830" y="2677205"/>
          <a:ext cx="853440" cy="420624"/>
        </a:xfrm>
        <a:prstGeom prst="rect">
          <a:avLst/>
        </a:prstGeom>
      </xdr:spPr>
    </xdr:pic>
    <xdr:clientData/>
  </xdr:twoCellAnchor>
  <xdr:twoCellAnchor editAs="oneCell">
    <xdr:from>
      <xdr:col>17</xdr:col>
      <xdr:colOff>226219</xdr:colOff>
      <xdr:row>9</xdr:row>
      <xdr:rowOff>83344</xdr:rowOff>
    </xdr:from>
    <xdr:to>
      <xdr:col>18</xdr:col>
      <xdr:colOff>436722</xdr:colOff>
      <xdr:row>9</xdr:row>
      <xdr:rowOff>503968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11375" y="3095625"/>
          <a:ext cx="853440" cy="420624"/>
        </a:xfrm>
        <a:prstGeom prst="rect">
          <a:avLst/>
        </a:prstGeom>
      </xdr:spPr>
    </xdr:pic>
    <xdr:clientData/>
  </xdr:twoCellAnchor>
  <xdr:twoCellAnchor editAs="oneCell">
    <xdr:from>
      <xdr:col>23</xdr:col>
      <xdr:colOff>44348</xdr:colOff>
      <xdr:row>8</xdr:row>
      <xdr:rowOff>324631</xdr:rowOff>
    </xdr:from>
    <xdr:to>
      <xdr:col>23</xdr:col>
      <xdr:colOff>738189</xdr:colOff>
      <xdr:row>9</xdr:row>
      <xdr:rowOff>166688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8271" r="9774" b="6873"/>
        <a:stretch/>
      </xdr:blipFill>
      <xdr:spPr>
        <a:xfrm>
          <a:off x="17737036" y="2515381"/>
          <a:ext cx="693841" cy="258776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36</xdr:row>
      <xdr:rowOff>23813</xdr:rowOff>
    </xdr:from>
    <xdr:to>
      <xdr:col>2</xdr:col>
      <xdr:colOff>998601</xdr:colOff>
      <xdr:row>36</xdr:row>
      <xdr:rowOff>599885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8313" y="13430251"/>
          <a:ext cx="950976" cy="576072"/>
        </a:xfrm>
        <a:prstGeom prst="rect">
          <a:avLst/>
        </a:prstGeom>
      </xdr:spPr>
    </xdr:pic>
    <xdr:clientData/>
  </xdr:twoCellAnchor>
  <xdr:twoCellAnchor editAs="oneCell">
    <xdr:from>
      <xdr:col>15</xdr:col>
      <xdr:colOff>47625</xdr:colOff>
      <xdr:row>8</xdr:row>
      <xdr:rowOff>304800</xdr:rowOff>
    </xdr:from>
    <xdr:to>
      <xdr:col>15</xdr:col>
      <xdr:colOff>773971</xdr:colOff>
      <xdr:row>9</xdr:row>
      <xdr:rowOff>133734</xdr:rowOff>
    </xdr:to>
    <xdr:pic>
      <xdr:nvPicPr>
        <xdr:cNvPr id="28" name="Рисунок 27" descr="ЭТНА.pn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3954125" y="2486025"/>
          <a:ext cx="726346" cy="248034"/>
        </a:xfrm>
        <a:prstGeom prst="rect">
          <a:avLst/>
        </a:prstGeom>
      </xdr:spPr>
    </xdr:pic>
    <xdr:clientData/>
  </xdr:twoCellAnchor>
  <xdr:twoCellAnchor editAs="oneCell">
    <xdr:from>
      <xdr:col>16</xdr:col>
      <xdr:colOff>7205</xdr:colOff>
      <xdr:row>8</xdr:row>
      <xdr:rowOff>323849</xdr:rowOff>
    </xdr:from>
    <xdr:to>
      <xdr:col>16</xdr:col>
      <xdr:colOff>787326</xdr:colOff>
      <xdr:row>9</xdr:row>
      <xdr:rowOff>123824</xdr:rowOff>
    </xdr:to>
    <xdr:pic>
      <xdr:nvPicPr>
        <xdr:cNvPr id="29" name="Рисунок 28" descr="ЛАЦИО.pn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4713805" y="2505074"/>
          <a:ext cx="780121" cy="219075"/>
        </a:xfrm>
        <a:prstGeom prst="rect">
          <a:avLst/>
        </a:prstGeom>
      </xdr:spPr>
    </xdr:pic>
    <xdr:clientData/>
  </xdr:twoCellAnchor>
  <xdr:twoCellAnchor editAs="oneCell">
    <xdr:from>
      <xdr:col>14</xdr:col>
      <xdr:colOff>66674</xdr:colOff>
      <xdr:row>8</xdr:row>
      <xdr:rowOff>258413</xdr:rowOff>
    </xdr:from>
    <xdr:to>
      <xdr:col>14</xdr:col>
      <xdr:colOff>885439</xdr:colOff>
      <xdr:row>9</xdr:row>
      <xdr:rowOff>133351</xdr:rowOff>
    </xdr:to>
    <xdr:pic>
      <xdr:nvPicPr>
        <xdr:cNvPr id="30" name="Рисунок 29" descr="КОМО.pn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2963524" y="2439638"/>
          <a:ext cx="818765" cy="294038"/>
        </a:xfrm>
        <a:prstGeom prst="rect">
          <a:avLst/>
        </a:prstGeom>
      </xdr:spPr>
    </xdr:pic>
    <xdr:clientData/>
  </xdr:twoCellAnchor>
  <xdr:twoCellAnchor editAs="oneCell">
    <xdr:from>
      <xdr:col>10</xdr:col>
      <xdr:colOff>8563</xdr:colOff>
      <xdr:row>36</xdr:row>
      <xdr:rowOff>142686</xdr:rowOff>
    </xdr:from>
    <xdr:to>
      <xdr:col>11</xdr:col>
      <xdr:colOff>2721</xdr:colOff>
      <xdr:row>36</xdr:row>
      <xdr:rowOff>585107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4349" y="11763186"/>
          <a:ext cx="1041908" cy="442421"/>
        </a:xfrm>
        <a:prstGeom prst="rect">
          <a:avLst/>
        </a:prstGeom>
      </xdr:spPr>
    </xdr:pic>
    <xdr:clientData/>
  </xdr:twoCellAnchor>
  <xdr:twoCellAnchor editAs="oneCell">
    <xdr:from>
      <xdr:col>20</xdr:col>
      <xdr:colOff>51717</xdr:colOff>
      <xdr:row>9</xdr:row>
      <xdr:rowOff>54429</xdr:rowOff>
    </xdr:from>
    <xdr:to>
      <xdr:col>21</xdr:col>
      <xdr:colOff>489858</xdr:colOff>
      <xdr:row>9</xdr:row>
      <xdr:rowOff>466420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8217" y="2667000"/>
          <a:ext cx="1186534" cy="411991"/>
        </a:xfrm>
        <a:prstGeom prst="rect">
          <a:avLst/>
        </a:prstGeom>
      </xdr:spPr>
    </xdr:pic>
    <xdr:clientData/>
  </xdr:twoCellAnchor>
  <xdr:twoCellAnchor editAs="oneCell">
    <xdr:from>
      <xdr:col>22</xdr:col>
      <xdr:colOff>13608</xdr:colOff>
      <xdr:row>9</xdr:row>
      <xdr:rowOff>54429</xdr:rowOff>
    </xdr:from>
    <xdr:to>
      <xdr:col>23</xdr:col>
      <xdr:colOff>-1</xdr:colOff>
      <xdr:row>9</xdr:row>
      <xdr:rowOff>489858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99679" y="2667000"/>
          <a:ext cx="966106" cy="435429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54</xdr:row>
      <xdr:rowOff>81643</xdr:rowOff>
    </xdr:from>
    <xdr:to>
      <xdr:col>6</xdr:col>
      <xdr:colOff>792454</xdr:colOff>
      <xdr:row>54</xdr:row>
      <xdr:rowOff>462643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4143" y="17811750"/>
          <a:ext cx="1037382" cy="381000"/>
        </a:xfrm>
        <a:prstGeom prst="rect">
          <a:avLst/>
        </a:prstGeom>
      </xdr:spPr>
    </xdr:pic>
    <xdr:clientData/>
  </xdr:twoCellAnchor>
  <xdr:twoCellAnchor editAs="oneCell">
    <xdr:from>
      <xdr:col>11</xdr:col>
      <xdr:colOff>40820</xdr:colOff>
      <xdr:row>36</xdr:row>
      <xdr:rowOff>272145</xdr:rowOff>
    </xdr:from>
    <xdr:to>
      <xdr:col>11</xdr:col>
      <xdr:colOff>993369</xdr:colOff>
      <xdr:row>36</xdr:row>
      <xdr:rowOff>469615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24356" y="12518574"/>
          <a:ext cx="952549" cy="197470"/>
        </a:xfrm>
        <a:prstGeom prst="rect">
          <a:avLst/>
        </a:prstGeom>
      </xdr:spPr>
    </xdr:pic>
    <xdr:clientData/>
  </xdr:twoCellAnchor>
  <xdr:twoCellAnchor editAs="oneCell">
    <xdr:from>
      <xdr:col>12</xdr:col>
      <xdr:colOff>54428</xdr:colOff>
      <xdr:row>36</xdr:row>
      <xdr:rowOff>299357</xdr:rowOff>
    </xdr:from>
    <xdr:to>
      <xdr:col>12</xdr:col>
      <xdr:colOff>1006977</xdr:colOff>
      <xdr:row>36</xdr:row>
      <xdr:rowOff>496827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14" y="12545786"/>
          <a:ext cx="952549" cy="1974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79375</xdr:colOff>
      <xdr:row>39</xdr:row>
      <xdr:rowOff>349250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SpPr txBox="1"/>
      </xdr:nvSpPr>
      <xdr:spPr>
        <a:xfrm>
          <a:off x="6384925" y="15160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221116</xdr:colOff>
      <xdr:row>9</xdr:row>
      <xdr:rowOff>316365</xdr:rowOff>
    </xdr:from>
    <xdr:to>
      <xdr:col>3</xdr:col>
      <xdr:colOff>1393072</xdr:colOff>
      <xdr:row>9</xdr:row>
      <xdr:rowOff>839097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2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8723" y="3731758"/>
          <a:ext cx="1238291" cy="522732"/>
        </a:xfrm>
        <a:prstGeom prst="rect">
          <a:avLst/>
        </a:prstGeom>
      </xdr:spPr>
    </xdr:pic>
    <xdr:clientData/>
  </xdr:twoCellAnchor>
  <xdr:twoCellAnchor editAs="oneCell">
    <xdr:from>
      <xdr:col>2</xdr:col>
      <xdr:colOff>237505</xdr:colOff>
      <xdr:row>9</xdr:row>
      <xdr:rowOff>136071</xdr:rowOff>
    </xdr:from>
    <xdr:to>
      <xdr:col>2</xdr:col>
      <xdr:colOff>1646745</xdr:colOff>
      <xdr:row>9</xdr:row>
      <xdr:rowOff>804386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0869" y="3599707"/>
          <a:ext cx="1404910" cy="668315"/>
        </a:xfrm>
        <a:prstGeom prst="rect">
          <a:avLst/>
        </a:prstGeom>
      </xdr:spPr>
    </xdr:pic>
    <xdr:clientData/>
  </xdr:twoCellAnchor>
  <xdr:twoCellAnchor editAs="oneCell">
    <xdr:from>
      <xdr:col>5</xdr:col>
      <xdr:colOff>176893</xdr:colOff>
      <xdr:row>9</xdr:row>
      <xdr:rowOff>367393</xdr:rowOff>
    </xdr:from>
    <xdr:to>
      <xdr:col>5</xdr:col>
      <xdr:colOff>1466812</xdr:colOff>
      <xdr:row>9</xdr:row>
      <xdr:rowOff>819478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3357" y="3782786"/>
          <a:ext cx="1356254" cy="452085"/>
        </a:xfrm>
        <a:prstGeom prst="rect">
          <a:avLst/>
        </a:prstGeom>
      </xdr:spPr>
    </xdr:pic>
    <xdr:clientData/>
  </xdr:twoCellAnchor>
  <xdr:twoCellAnchor editAs="oneCell">
    <xdr:from>
      <xdr:col>7</xdr:col>
      <xdr:colOff>273844</xdr:colOff>
      <xdr:row>9</xdr:row>
      <xdr:rowOff>202407</xdr:rowOff>
    </xdr:from>
    <xdr:to>
      <xdr:col>7</xdr:col>
      <xdr:colOff>1291876</xdr:colOff>
      <xdr:row>9</xdr:row>
      <xdr:rowOff>912591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7813" y="2976563"/>
          <a:ext cx="1018032" cy="710184"/>
        </a:xfrm>
        <a:prstGeom prst="rect">
          <a:avLst/>
        </a:prstGeom>
      </xdr:spPr>
    </xdr:pic>
    <xdr:clientData/>
  </xdr:twoCellAnchor>
  <xdr:twoCellAnchor editAs="oneCell">
    <xdr:from>
      <xdr:col>4</xdr:col>
      <xdr:colOff>357188</xdr:colOff>
      <xdr:row>9</xdr:row>
      <xdr:rowOff>83343</xdr:rowOff>
    </xdr:from>
    <xdr:to>
      <xdr:col>4</xdr:col>
      <xdr:colOff>1194027</xdr:colOff>
      <xdr:row>9</xdr:row>
      <xdr:rowOff>1058130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2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1188" y="2857499"/>
          <a:ext cx="836839" cy="974787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316352</xdr:colOff>
      <xdr:row>4</xdr:row>
      <xdr:rowOff>23812</xdr:rowOff>
    </xdr:from>
    <xdr:to>
      <xdr:col>12</xdr:col>
      <xdr:colOff>327897</xdr:colOff>
      <xdr:row>4</xdr:row>
      <xdr:rowOff>1348707</xdr:rowOff>
    </xdr:to>
    <xdr:pic>
      <xdr:nvPicPr>
        <xdr:cNvPr id="62" name="Picture 1">
          <a:extLst>
            <a:ext uri="{FF2B5EF4-FFF2-40B4-BE49-F238E27FC236}">
              <a16:creationId xmlns:a16="http://schemas.microsoft.com/office/drawing/2014/main" xmlns="" id="{00000000-0008-0000-24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81592" b="49500"/>
        <a:stretch>
          <a:fillRect/>
        </a:stretch>
      </xdr:blipFill>
      <xdr:spPr bwMode="auto">
        <a:xfrm>
          <a:off x="2234959" y="3112633"/>
          <a:ext cx="1453901" cy="13232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278949</xdr:colOff>
      <xdr:row>4</xdr:row>
      <xdr:rowOff>23133</xdr:rowOff>
    </xdr:from>
    <xdr:to>
      <xdr:col>16</xdr:col>
      <xdr:colOff>1611607</xdr:colOff>
      <xdr:row>4</xdr:row>
      <xdr:rowOff>1356734</xdr:rowOff>
    </xdr:to>
    <xdr:pic>
      <xdr:nvPicPr>
        <xdr:cNvPr id="63" name="Picture 1">
          <a:extLst>
            <a:ext uri="{FF2B5EF4-FFF2-40B4-BE49-F238E27FC236}">
              <a16:creationId xmlns:a16="http://schemas.microsoft.com/office/drawing/2014/main" xmlns="" id="{00000000-0008-0000-24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81687" b="44824"/>
        <a:stretch>
          <a:fillRect/>
        </a:stretch>
      </xdr:blipFill>
      <xdr:spPr bwMode="auto">
        <a:xfrm>
          <a:off x="6524628" y="3588204"/>
          <a:ext cx="1332658" cy="133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513667</xdr:colOff>
      <xdr:row>4</xdr:row>
      <xdr:rowOff>30957</xdr:rowOff>
    </xdr:from>
    <xdr:to>
      <xdr:col>15</xdr:col>
      <xdr:colOff>309560</xdr:colOff>
      <xdr:row>4</xdr:row>
      <xdr:rowOff>1282373</xdr:rowOff>
    </xdr:to>
    <xdr:pic>
      <xdr:nvPicPr>
        <xdr:cNvPr id="65" name="Picture 1">
          <a:extLst>
            <a:ext uri="{FF2B5EF4-FFF2-40B4-BE49-F238E27FC236}">
              <a16:creationId xmlns:a16="http://schemas.microsoft.com/office/drawing/2014/main" xmlns="" id="{00000000-0008-0000-24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9415" r="64223" b="49953"/>
        <a:stretch>
          <a:fillRect/>
        </a:stretch>
      </xdr:blipFill>
      <xdr:spPr bwMode="auto">
        <a:xfrm>
          <a:off x="4595810" y="3119778"/>
          <a:ext cx="1238250" cy="12498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130965</xdr:colOff>
      <xdr:row>4</xdr:row>
      <xdr:rowOff>30957</xdr:rowOff>
    </xdr:from>
    <xdr:to>
      <xdr:col>4</xdr:col>
      <xdr:colOff>636130</xdr:colOff>
      <xdr:row>4</xdr:row>
      <xdr:rowOff>1270466</xdr:rowOff>
    </xdr:to>
    <xdr:pic>
      <xdr:nvPicPr>
        <xdr:cNvPr id="67" name="Picture 1">
          <a:extLst>
            <a:ext uri="{FF2B5EF4-FFF2-40B4-BE49-F238E27FC236}">
              <a16:creationId xmlns:a16="http://schemas.microsoft.com/office/drawing/2014/main" xmlns="" id="{00000000-0008-0000-24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38924" r="44871" b="50427"/>
        <a:stretch>
          <a:fillRect/>
        </a:stretch>
      </xdr:blipFill>
      <xdr:spPr bwMode="auto">
        <a:xfrm>
          <a:off x="7097822" y="3119778"/>
          <a:ext cx="1226344" cy="123790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124164</xdr:colOff>
      <xdr:row>4</xdr:row>
      <xdr:rowOff>30958</xdr:rowOff>
    </xdr:from>
    <xdr:to>
      <xdr:col>8</xdr:col>
      <xdr:colOff>593610</xdr:colOff>
      <xdr:row>4</xdr:row>
      <xdr:rowOff>1270467</xdr:rowOff>
    </xdr:to>
    <xdr:pic>
      <xdr:nvPicPr>
        <xdr:cNvPr id="69" name="Picture 1">
          <a:extLst>
            <a:ext uri="{FF2B5EF4-FFF2-40B4-BE49-F238E27FC236}">
              <a16:creationId xmlns:a16="http://schemas.microsoft.com/office/drawing/2014/main" xmlns="" id="{00000000-0008-0000-24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59377" r="24890" b="50427"/>
        <a:stretch>
          <a:fillRect/>
        </a:stretch>
      </xdr:blipFill>
      <xdr:spPr bwMode="auto">
        <a:xfrm>
          <a:off x="9975735" y="3119779"/>
          <a:ext cx="1190625" cy="123790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480216</xdr:colOff>
      <xdr:row>24</xdr:row>
      <xdr:rowOff>63500</xdr:rowOff>
    </xdr:from>
    <xdr:to>
      <xdr:col>12</xdr:col>
      <xdr:colOff>7567</xdr:colOff>
      <xdr:row>24</xdr:row>
      <xdr:rowOff>2724631</xdr:rowOff>
    </xdr:to>
    <xdr:pic>
      <xdr:nvPicPr>
        <xdr:cNvPr id="72" name="Picture 1">
          <a:extLst>
            <a:ext uri="{FF2B5EF4-FFF2-40B4-BE49-F238E27FC236}">
              <a16:creationId xmlns:a16="http://schemas.microsoft.com/office/drawing/2014/main" xmlns="" id="{00000000-0008-0000-24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3691" t="6256" r="80858" b="17077"/>
        <a:stretch>
          <a:fillRect/>
        </a:stretch>
      </xdr:blipFill>
      <xdr:spPr bwMode="auto">
        <a:xfrm>
          <a:off x="2385216" y="17982406"/>
          <a:ext cx="969707" cy="26576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595330</xdr:colOff>
      <xdr:row>24</xdr:row>
      <xdr:rowOff>51593</xdr:rowOff>
    </xdr:from>
    <xdr:to>
      <xdr:col>15</xdr:col>
      <xdr:colOff>153098</xdr:colOff>
      <xdr:row>24</xdr:row>
      <xdr:rowOff>2712724</xdr:rowOff>
    </xdr:to>
    <xdr:pic>
      <xdr:nvPicPr>
        <xdr:cNvPr id="74" name="Picture 1">
          <a:extLst>
            <a:ext uri="{FF2B5EF4-FFF2-40B4-BE49-F238E27FC236}">
              <a16:creationId xmlns:a16="http://schemas.microsoft.com/office/drawing/2014/main" xmlns="" id="{00000000-0008-0000-24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9753" t="6256" r="64312" b="17077"/>
        <a:stretch>
          <a:fillRect/>
        </a:stretch>
      </xdr:blipFill>
      <xdr:spPr bwMode="auto">
        <a:xfrm>
          <a:off x="4476768" y="17970499"/>
          <a:ext cx="1000125" cy="26576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311282</xdr:colOff>
      <xdr:row>24</xdr:row>
      <xdr:rowOff>74728</xdr:rowOff>
    </xdr:from>
    <xdr:to>
      <xdr:col>4</xdr:col>
      <xdr:colOff>566416</xdr:colOff>
      <xdr:row>24</xdr:row>
      <xdr:rowOff>2735859</xdr:rowOff>
    </xdr:to>
    <xdr:pic>
      <xdr:nvPicPr>
        <xdr:cNvPr id="76" name="Picture 1">
          <a:extLst>
            <a:ext uri="{FF2B5EF4-FFF2-40B4-BE49-F238E27FC236}">
              <a16:creationId xmlns:a16="http://schemas.microsoft.com/office/drawing/2014/main" xmlns="" id="{00000000-0008-0000-24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38382" t="6256" r="46062" b="17077"/>
        <a:stretch>
          <a:fillRect/>
        </a:stretch>
      </xdr:blipFill>
      <xdr:spPr bwMode="auto">
        <a:xfrm>
          <a:off x="9264782" y="14552728"/>
          <a:ext cx="976313" cy="266273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233721</xdr:colOff>
      <xdr:row>24</xdr:row>
      <xdr:rowOff>70649</xdr:rowOff>
    </xdr:from>
    <xdr:to>
      <xdr:col>8</xdr:col>
      <xdr:colOff>510286</xdr:colOff>
      <xdr:row>24</xdr:row>
      <xdr:rowOff>2731780</xdr:rowOff>
    </xdr:to>
    <xdr:pic>
      <xdr:nvPicPr>
        <xdr:cNvPr id="78" name="Picture 1">
          <a:extLst>
            <a:ext uri="{FF2B5EF4-FFF2-40B4-BE49-F238E27FC236}">
              <a16:creationId xmlns:a16="http://schemas.microsoft.com/office/drawing/2014/main" xmlns="" id="{00000000-0008-0000-24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56632" t="6256" r="27623" b="17077"/>
        <a:stretch>
          <a:fillRect/>
        </a:stretch>
      </xdr:blipFill>
      <xdr:spPr bwMode="auto">
        <a:xfrm>
          <a:off x="12071935" y="14548649"/>
          <a:ext cx="997744" cy="266273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500088</xdr:colOff>
      <xdr:row>24</xdr:row>
      <xdr:rowOff>68271</xdr:rowOff>
    </xdr:from>
    <xdr:to>
      <xdr:col>16</xdr:col>
      <xdr:colOff>1595463</xdr:colOff>
      <xdr:row>24</xdr:row>
      <xdr:rowOff>2729402</xdr:rowOff>
    </xdr:to>
    <xdr:pic>
      <xdr:nvPicPr>
        <xdr:cNvPr id="80" name="Picture 1">
          <a:extLst>
            <a:ext uri="{FF2B5EF4-FFF2-40B4-BE49-F238E27FC236}">
              <a16:creationId xmlns:a16="http://schemas.microsoft.com/office/drawing/2014/main" xmlns="" id="{00000000-0008-0000-24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77726" t="6256" r="4822" b="17077"/>
        <a:stretch>
          <a:fillRect/>
        </a:stretch>
      </xdr:blipFill>
      <xdr:spPr bwMode="auto">
        <a:xfrm>
          <a:off x="10310838" y="17987177"/>
          <a:ext cx="1095375" cy="26576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500069</xdr:colOff>
      <xdr:row>4</xdr:row>
      <xdr:rowOff>595313</xdr:rowOff>
    </xdr:from>
    <xdr:to>
      <xdr:col>5</xdr:col>
      <xdr:colOff>1131093</xdr:colOff>
      <xdr:row>6</xdr:row>
      <xdr:rowOff>578005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2788" y="1750219"/>
          <a:ext cx="631024" cy="1316192"/>
        </a:xfrm>
        <a:prstGeom prst="rect">
          <a:avLst/>
        </a:prstGeom>
      </xdr:spPr>
    </xdr:pic>
    <xdr:clientData/>
  </xdr:twoCellAnchor>
  <xdr:twoCellAnchor editAs="oneCell">
    <xdr:from>
      <xdr:col>6</xdr:col>
      <xdr:colOff>600087</xdr:colOff>
      <xdr:row>4</xdr:row>
      <xdr:rowOff>600073</xdr:rowOff>
    </xdr:from>
    <xdr:to>
      <xdr:col>6</xdr:col>
      <xdr:colOff>1088889</xdr:colOff>
      <xdr:row>6</xdr:row>
      <xdr:rowOff>490573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37" y="2695573"/>
          <a:ext cx="488802" cy="12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581039</xdr:colOff>
      <xdr:row>4</xdr:row>
      <xdr:rowOff>619125</xdr:rowOff>
    </xdr:from>
    <xdr:to>
      <xdr:col>7</xdr:col>
      <xdr:colOff>1022208</xdr:colOff>
      <xdr:row>6</xdr:row>
      <xdr:rowOff>545625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2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614" y="2714625"/>
          <a:ext cx="441169" cy="12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487144</xdr:colOff>
      <xdr:row>4</xdr:row>
      <xdr:rowOff>580343</xdr:rowOff>
    </xdr:from>
    <xdr:to>
      <xdr:col>2</xdr:col>
      <xdr:colOff>1059656</xdr:colOff>
      <xdr:row>6</xdr:row>
      <xdr:rowOff>523260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2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2144" y="1735249"/>
          <a:ext cx="572512" cy="1276417"/>
        </a:xfrm>
        <a:prstGeom prst="rect">
          <a:avLst/>
        </a:prstGeom>
      </xdr:spPr>
    </xdr:pic>
    <xdr:clientData/>
  </xdr:twoCellAnchor>
  <xdr:twoCellAnchor editAs="oneCell">
    <xdr:from>
      <xdr:col>3</xdr:col>
      <xdr:colOff>576943</xdr:colOff>
      <xdr:row>4</xdr:row>
      <xdr:rowOff>586468</xdr:rowOff>
    </xdr:from>
    <xdr:to>
      <xdr:col>3</xdr:col>
      <xdr:colOff>1099459</xdr:colOff>
      <xdr:row>6</xdr:row>
      <xdr:rowOff>476968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2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3157" y="2709182"/>
          <a:ext cx="522516" cy="1224000"/>
        </a:xfrm>
        <a:prstGeom prst="rect">
          <a:avLst/>
        </a:prstGeom>
      </xdr:spPr>
    </xdr:pic>
    <xdr:clientData/>
  </xdr:twoCellAnchor>
  <xdr:twoCellAnchor editAs="oneCell">
    <xdr:from>
      <xdr:col>4</xdr:col>
      <xdr:colOff>684440</xdr:colOff>
      <xdr:row>4</xdr:row>
      <xdr:rowOff>598714</xdr:rowOff>
    </xdr:from>
    <xdr:to>
      <xdr:col>4</xdr:col>
      <xdr:colOff>1106202</xdr:colOff>
      <xdr:row>6</xdr:row>
      <xdr:rowOff>525214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2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8261" y="2721428"/>
          <a:ext cx="421762" cy="1260000"/>
        </a:xfrm>
        <a:prstGeom prst="rect">
          <a:avLst/>
        </a:prstGeom>
      </xdr:spPr>
    </xdr:pic>
    <xdr:clientData/>
  </xdr:twoCellAnchor>
  <xdr:twoCellAnchor editAs="oneCell">
    <xdr:from>
      <xdr:col>8</xdr:col>
      <xdr:colOff>495306</xdr:colOff>
      <xdr:row>4</xdr:row>
      <xdr:rowOff>581025</xdr:rowOff>
    </xdr:from>
    <xdr:to>
      <xdr:col>8</xdr:col>
      <xdr:colOff>1003173</xdr:colOff>
      <xdr:row>6</xdr:row>
      <xdr:rowOff>507525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2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10981" y="2676525"/>
          <a:ext cx="507867" cy="126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411968</xdr:colOff>
      <xdr:row>4</xdr:row>
      <xdr:rowOff>611981</xdr:rowOff>
    </xdr:from>
    <xdr:to>
      <xdr:col>9</xdr:col>
      <xdr:colOff>860091</xdr:colOff>
      <xdr:row>6</xdr:row>
      <xdr:rowOff>538481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2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8312" y="1766887"/>
          <a:ext cx="448123" cy="12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392905</xdr:colOff>
      <xdr:row>5</xdr:row>
      <xdr:rowOff>130968</xdr:rowOff>
    </xdr:from>
    <xdr:to>
      <xdr:col>13</xdr:col>
      <xdr:colOff>978246</xdr:colOff>
      <xdr:row>6</xdr:row>
      <xdr:rowOff>447445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73561" y="1928812"/>
          <a:ext cx="585341" cy="1007039"/>
        </a:xfrm>
        <a:prstGeom prst="rect">
          <a:avLst/>
        </a:prstGeom>
      </xdr:spPr>
    </xdr:pic>
    <xdr:clientData/>
  </xdr:twoCellAnchor>
  <xdr:twoCellAnchor editAs="oneCell">
    <xdr:from>
      <xdr:col>12</xdr:col>
      <xdr:colOff>345280</xdr:colOff>
      <xdr:row>5</xdr:row>
      <xdr:rowOff>107155</xdr:rowOff>
    </xdr:from>
    <xdr:to>
      <xdr:col>12</xdr:col>
      <xdr:colOff>1023936</xdr:colOff>
      <xdr:row>6</xdr:row>
      <xdr:rowOff>439194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04343" y="1904999"/>
          <a:ext cx="678656" cy="1022601"/>
        </a:xfrm>
        <a:prstGeom prst="rect">
          <a:avLst/>
        </a:prstGeom>
      </xdr:spPr>
    </xdr:pic>
    <xdr:clientData/>
  </xdr:twoCellAnchor>
  <xdr:twoCellAnchor editAs="oneCell">
    <xdr:from>
      <xdr:col>10</xdr:col>
      <xdr:colOff>503464</xdr:colOff>
      <xdr:row>5</xdr:row>
      <xdr:rowOff>27214</xdr:rowOff>
    </xdr:from>
    <xdr:to>
      <xdr:col>10</xdr:col>
      <xdr:colOff>848412</xdr:colOff>
      <xdr:row>6</xdr:row>
      <xdr:rowOff>512989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05214" y="1823357"/>
          <a:ext cx="344948" cy="1179739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729983</xdr:colOff>
      <xdr:row>16</xdr:row>
      <xdr:rowOff>0</xdr:rowOff>
    </xdr:from>
    <xdr:to>
      <xdr:col>3</xdr:col>
      <xdr:colOff>735106</xdr:colOff>
      <xdr:row>16</xdr:row>
      <xdr:rowOff>85181</xdr:rowOff>
    </xdr:to>
    <xdr:pic>
      <xdr:nvPicPr>
        <xdr:cNvPr id="11" name="Рисунок 10" descr="галочка.png">
          <a:extLst>
            <a:ext uri="{FF2B5EF4-FFF2-40B4-BE49-F238E27FC236}">
              <a16:creationId xmlns:a16="http://schemas.microsoft.com/office/drawing/2014/main" xmlns="" id="{00000000-0008-0000-2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63883" y="8181975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5123</xdr:colOff>
      <xdr:row>17</xdr:row>
      <xdr:rowOff>47081</xdr:rowOff>
    </xdr:to>
    <xdr:pic>
      <xdr:nvPicPr>
        <xdr:cNvPr id="12" name="Рисунок 11" descr="галочка.png">
          <a:extLst>
            <a:ext uri="{FF2B5EF4-FFF2-40B4-BE49-F238E27FC236}">
              <a16:creationId xmlns:a16="http://schemas.microsoft.com/office/drawing/2014/main" xmlns="" id="{00000000-0008-0000-2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296400" y="818197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7</xdr:col>
      <xdr:colOff>1081943</xdr:colOff>
      <xdr:row>14</xdr:row>
      <xdr:rowOff>30619</xdr:rowOff>
    </xdr:from>
    <xdr:to>
      <xdr:col>9</xdr:col>
      <xdr:colOff>1281939</xdr:colOff>
      <xdr:row>21</xdr:row>
      <xdr:rowOff>56810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2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6724" y="7829213"/>
          <a:ext cx="3271809" cy="2788441"/>
        </a:xfrm>
        <a:prstGeom prst="rect">
          <a:avLst/>
        </a:prstGeom>
      </xdr:spPr>
    </xdr:pic>
    <xdr:clientData/>
  </xdr:twoCellAnchor>
  <xdr:twoCellAnchor editAs="oneCell">
    <xdr:from>
      <xdr:col>3</xdr:col>
      <xdr:colOff>729983</xdr:colOff>
      <xdr:row>15</xdr:row>
      <xdr:rowOff>0</xdr:rowOff>
    </xdr:from>
    <xdr:to>
      <xdr:col>3</xdr:col>
      <xdr:colOff>735106</xdr:colOff>
      <xdr:row>15</xdr:row>
      <xdr:rowOff>85181</xdr:rowOff>
    </xdr:to>
    <xdr:pic>
      <xdr:nvPicPr>
        <xdr:cNvPr id="36" name="Рисунок 35" descr="галочка.png">
          <a:extLst>
            <a:ext uri="{FF2B5EF4-FFF2-40B4-BE49-F238E27FC236}">
              <a16:creationId xmlns:a16="http://schemas.microsoft.com/office/drawing/2014/main" xmlns="" id="{00000000-0008-0000-2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987533" y="8210550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3</xdr:col>
      <xdr:colOff>729983</xdr:colOff>
      <xdr:row>19</xdr:row>
      <xdr:rowOff>0</xdr:rowOff>
    </xdr:from>
    <xdr:to>
      <xdr:col>3</xdr:col>
      <xdr:colOff>735106</xdr:colOff>
      <xdr:row>19</xdr:row>
      <xdr:rowOff>85181</xdr:rowOff>
    </xdr:to>
    <xdr:pic>
      <xdr:nvPicPr>
        <xdr:cNvPr id="37" name="Рисунок 36" descr="галочка.png">
          <a:extLst>
            <a:ext uri="{FF2B5EF4-FFF2-40B4-BE49-F238E27FC236}">
              <a16:creationId xmlns:a16="http://schemas.microsoft.com/office/drawing/2014/main" xmlns="" id="{00000000-0008-0000-2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987533" y="9134475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19</xdr:row>
      <xdr:rowOff>0</xdr:rowOff>
    </xdr:from>
    <xdr:to>
      <xdr:col>5</xdr:col>
      <xdr:colOff>5123</xdr:colOff>
      <xdr:row>19</xdr:row>
      <xdr:rowOff>47081</xdr:rowOff>
    </xdr:to>
    <xdr:pic>
      <xdr:nvPicPr>
        <xdr:cNvPr id="38" name="Рисунок 37" descr="галочка.png">
          <a:extLst>
            <a:ext uri="{FF2B5EF4-FFF2-40B4-BE49-F238E27FC236}">
              <a16:creationId xmlns:a16="http://schemas.microsoft.com/office/drawing/2014/main" xmlns="" id="{00000000-0008-0000-26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972550" y="913447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4</xdr:col>
      <xdr:colOff>13608</xdr:colOff>
      <xdr:row>5</xdr:row>
      <xdr:rowOff>149679</xdr:rowOff>
    </xdr:from>
    <xdr:to>
      <xdr:col>4</xdr:col>
      <xdr:colOff>1001162</xdr:colOff>
      <xdr:row>5</xdr:row>
      <xdr:rowOff>1082369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2179" y="2381250"/>
          <a:ext cx="987554" cy="932690"/>
        </a:xfrm>
        <a:prstGeom prst="rect">
          <a:avLst/>
        </a:prstGeom>
      </xdr:spPr>
    </xdr:pic>
    <xdr:clientData/>
  </xdr:twoCellAnchor>
  <xdr:twoCellAnchor editAs="oneCell">
    <xdr:from>
      <xdr:col>7</xdr:col>
      <xdr:colOff>394608</xdr:colOff>
      <xdr:row>5</xdr:row>
      <xdr:rowOff>312964</xdr:rowOff>
    </xdr:from>
    <xdr:to>
      <xdr:col>7</xdr:col>
      <xdr:colOff>1345586</xdr:colOff>
      <xdr:row>5</xdr:row>
      <xdr:rowOff>974381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6965" y="2544535"/>
          <a:ext cx="950978" cy="661417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190500</xdr:colOff>
      <xdr:row>4</xdr:row>
      <xdr:rowOff>367393</xdr:rowOff>
    </xdr:from>
    <xdr:to>
      <xdr:col>9</xdr:col>
      <xdr:colOff>1056134</xdr:colOff>
      <xdr:row>6</xdr:row>
      <xdr:rowOff>55628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45786" y="2204357"/>
          <a:ext cx="865634" cy="1484379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84</xdr:row>
      <xdr:rowOff>0</xdr:rowOff>
    </xdr:from>
    <xdr:to>
      <xdr:col>1</xdr:col>
      <xdr:colOff>790266</xdr:colOff>
      <xdr:row>84</xdr:row>
      <xdr:rowOff>0</xdr:rowOff>
    </xdr:to>
    <xdr:pic>
      <xdr:nvPicPr>
        <xdr:cNvPr id="3" name="Рисунок 83" descr="L-пл.jpg">
          <a:extLst>
            <a:ext uri="{FF2B5EF4-FFF2-40B4-BE49-F238E27FC236}">
              <a16:creationId xmlns:a16="http://schemas.microsoft.com/office/drawing/2014/main" xmlns="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9516725"/>
          <a:ext cx="126954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644338</xdr:colOff>
      <xdr:row>60</xdr:row>
      <xdr:rowOff>362318</xdr:rowOff>
    </xdr:from>
    <xdr:to>
      <xdr:col>9</xdr:col>
      <xdr:colOff>645698</xdr:colOff>
      <xdr:row>63</xdr:row>
      <xdr:rowOff>212861</xdr:rowOff>
    </xdr:to>
    <xdr:pic>
      <xdr:nvPicPr>
        <xdr:cNvPr id="4" name="Picture 4">
          <a:extLst>
            <a:ext uri="{FF2B5EF4-FFF2-40B4-BE49-F238E27FC236}">
              <a16:creationId xmlns:a16="http://schemas.microsoft.com/office/drawing/2014/main" xmlns="" id="{00000000-0008-0000-27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>
          <a:off x="9216838" y="9773018"/>
          <a:ext cx="1360" cy="69220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387164</xdr:colOff>
      <xdr:row>86</xdr:row>
      <xdr:rowOff>0</xdr:rowOff>
    </xdr:from>
    <xdr:to>
      <xdr:col>8</xdr:col>
      <xdr:colOff>589911</xdr:colOff>
      <xdr:row>86</xdr:row>
      <xdr:rowOff>0</xdr:rowOff>
    </xdr:to>
    <xdr:pic>
      <xdr:nvPicPr>
        <xdr:cNvPr id="5" name="Рисунок 83" descr="L-пл.jpg">
          <a:extLst>
            <a:ext uri="{FF2B5EF4-FFF2-40B4-BE49-F238E27FC236}">
              <a16:creationId xmlns:a16="http://schemas.microsoft.com/office/drawing/2014/main" xmlns="" id="{00000000-0008-0000-2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54764" y="19516725"/>
          <a:ext cx="20274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974145</xdr:colOff>
      <xdr:row>5</xdr:row>
      <xdr:rowOff>146135</xdr:rowOff>
    </xdr:from>
    <xdr:to>
      <xdr:col>12</xdr:col>
      <xdr:colOff>23812</xdr:colOff>
      <xdr:row>7</xdr:row>
      <xdr:rowOff>328804</xdr:rowOff>
    </xdr:to>
    <xdr:grpSp>
      <xdr:nvGrpSpPr>
        <xdr:cNvPr id="6" name="Группа 5">
          <a:extLst>
            <a:ext uri="{FF2B5EF4-FFF2-40B4-BE49-F238E27FC236}">
              <a16:creationId xmlns:a16="http://schemas.microsoft.com/office/drawing/2014/main" xmlns="" id="{00000000-0008-0000-2700-000006000000}"/>
            </a:ext>
          </a:extLst>
        </xdr:cNvPr>
        <xdr:cNvGrpSpPr/>
      </xdr:nvGrpSpPr>
      <xdr:grpSpPr>
        <a:xfrm>
          <a:off x="2352469" y="1266723"/>
          <a:ext cx="9751284" cy="1034316"/>
          <a:chOff x="2095770" y="1467705"/>
          <a:chExt cx="10876135" cy="1035829"/>
        </a:xfrm>
      </xdr:grpSpPr>
      <xdr:pic>
        <xdr:nvPicPr>
          <xdr:cNvPr id="7" name="Рисунок 6" descr="Карниз погонажный-01.jpg">
            <a:extLst>
              <a:ext uri="{FF2B5EF4-FFF2-40B4-BE49-F238E27FC236}">
                <a16:creationId xmlns:a16="http://schemas.microsoft.com/office/drawing/2014/main" xmlns="" id="{00000000-0008-0000-27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>
          <a:xfrm>
            <a:off x="2095770" y="1837766"/>
            <a:ext cx="782374" cy="632713"/>
          </a:xfrm>
          <a:prstGeom prst="rect">
            <a:avLst/>
          </a:prstGeom>
        </xdr:spPr>
      </xdr:pic>
      <xdr:pic>
        <xdr:nvPicPr>
          <xdr:cNvPr id="8" name="Рисунок 7" descr="Карниз погонажный-01.jpg">
            <a:extLst>
              <a:ext uri="{FF2B5EF4-FFF2-40B4-BE49-F238E27FC236}">
                <a16:creationId xmlns:a16="http://schemas.microsoft.com/office/drawing/2014/main" xmlns="" id="{00000000-0008-0000-27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>
          <a:xfrm>
            <a:off x="4179803" y="1826560"/>
            <a:ext cx="782376" cy="643919"/>
          </a:xfrm>
          <a:prstGeom prst="rect">
            <a:avLst/>
          </a:prstGeom>
        </xdr:spPr>
      </xdr:pic>
      <xdr:pic>
        <xdr:nvPicPr>
          <xdr:cNvPr id="10" name="Рисунок 9" descr="Карниз погонажный-01.jpg">
            <a:extLst>
              <a:ext uri="{FF2B5EF4-FFF2-40B4-BE49-F238E27FC236}">
                <a16:creationId xmlns:a16="http://schemas.microsoft.com/office/drawing/2014/main" xmlns="" id="{00000000-0008-0000-27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>
          <a:xfrm>
            <a:off x="9501168" y="1821905"/>
            <a:ext cx="830350" cy="681629"/>
          </a:xfrm>
          <a:prstGeom prst="rect">
            <a:avLst/>
          </a:prstGeom>
        </xdr:spPr>
      </xdr:pic>
      <xdr:pic>
        <xdr:nvPicPr>
          <xdr:cNvPr id="11" name="Рисунок 10" descr="Карниз погонажный-01.jpg">
            <a:extLst>
              <a:ext uri="{FF2B5EF4-FFF2-40B4-BE49-F238E27FC236}">
                <a16:creationId xmlns:a16="http://schemas.microsoft.com/office/drawing/2014/main" xmlns="" id="{00000000-0008-0000-27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266048" y="1672990"/>
            <a:ext cx="830142" cy="790201"/>
          </a:xfrm>
          <a:prstGeom prst="rect">
            <a:avLst/>
          </a:prstGeom>
        </xdr:spPr>
      </xdr:pic>
      <xdr:pic>
        <xdr:nvPicPr>
          <xdr:cNvPr id="12" name="Рисунок 11" descr="Карниз погонажный-01.jpg">
            <a:extLst>
              <a:ext uri="{FF2B5EF4-FFF2-40B4-BE49-F238E27FC236}">
                <a16:creationId xmlns:a16="http://schemas.microsoft.com/office/drawing/2014/main" xmlns="" id="{00000000-0008-0000-27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>
          <a:xfrm>
            <a:off x="12228294" y="1467705"/>
            <a:ext cx="743611" cy="706538"/>
          </a:xfrm>
          <a:prstGeom prst="rect">
            <a:avLst/>
          </a:prstGeom>
        </xdr:spPr>
      </xdr:pic>
    </xdr:grpSp>
    <xdr:clientData/>
  </xdr:twoCellAnchor>
  <xdr:twoCellAnchor editAs="oneCell">
    <xdr:from>
      <xdr:col>8</xdr:col>
      <xdr:colOff>387164</xdr:colOff>
      <xdr:row>18</xdr:row>
      <xdr:rowOff>0</xdr:rowOff>
    </xdr:from>
    <xdr:to>
      <xdr:col>8</xdr:col>
      <xdr:colOff>589911</xdr:colOff>
      <xdr:row>18</xdr:row>
      <xdr:rowOff>862</xdr:rowOff>
    </xdr:to>
    <xdr:pic>
      <xdr:nvPicPr>
        <xdr:cNvPr id="13" name="Рисунок 83" descr="L-пл.jpg">
          <a:extLst>
            <a:ext uri="{FF2B5EF4-FFF2-40B4-BE49-F238E27FC236}">
              <a16:creationId xmlns:a16="http://schemas.microsoft.com/office/drawing/2014/main" xmlns="" id="{00000000-0008-0000-27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4764" y="9220200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744869</xdr:colOff>
      <xdr:row>7</xdr:row>
      <xdr:rowOff>100240</xdr:rowOff>
    </xdr:from>
    <xdr:to>
      <xdr:col>12</xdr:col>
      <xdr:colOff>1059635</xdr:colOff>
      <xdr:row>7</xdr:row>
      <xdr:rowOff>879664</xdr:rowOff>
    </xdr:to>
    <xdr:grpSp>
      <xdr:nvGrpSpPr>
        <xdr:cNvPr id="14" name="Группа 13">
          <a:extLst>
            <a:ext uri="{FF2B5EF4-FFF2-40B4-BE49-F238E27FC236}">
              <a16:creationId xmlns:a16="http://schemas.microsoft.com/office/drawing/2014/main" xmlns="" id="{00000000-0008-0000-2700-00000E000000}"/>
            </a:ext>
          </a:extLst>
        </xdr:cNvPr>
        <xdr:cNvGrpSpPr/>
      </xdr:nvGrpSpPr>
      <xdr:grpSpPr>
        <a:xfrm>
          <a:off x="10538810" y="2072475"/>
          <a:ext cx="2600766" cy="779424"/>
          <a:chOff x="11037743" y="2689410"/>
          <a:chExt cx="4245046" cy="779422"/>
        </a:xfrm>
      </xdr:grpSpPr>
      <xdr:pic>
        <xdr:nvPicPr>
          <xdr:cNvPr id="15" name="Рисунок 14" descr="Карниз погонажный-01.jpg">
            <a:extLst>
              <a:ext uri="{FF2B5EF4-FFF2-40B4-BE49-F238E27FC236}">
                <a16:creationId xmlns:a16="http://schemas.microsoft.com/office/drawing/2014/main" xmlns="" id="{00000000-0008-0000-27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1037743" y="2689410"/>
            <a:ext cx="378551" cy="779422"/>
          </a:xfrm>
          <a:prstGeom prst="rect">
            <a:avLst/>
          </a:prstGeom>
        </xdr:spPr>
      </xdr:pic>
      <xdr:pic>
        <xdr:nvPicPr>
          <xdr:cNvPr id="16" name="Рисунок 15" descr="Карниз погонажный-01.jpg">
            <a:extLst>
              <a:ext uri="{FF2B5EF4-FFF2-40B4-BE49-F238E27FC236}">
                <a16:creationId xmlns:a16="http://schemas.microsoft.com/office/drawing/2014/main" xmlns="" id="{00000000-0008-0000-27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024164" y="2689410"/>
            <a:ext cx="258625" cy="779422"/>
          </a:xfrm>
          <a:prstGeom prst="rect">
            <a:avLst/>
          </a:prstGeom>
        </xdr:spPr>
      </xdr:pic>
      <xdr:pic>
        <xdr:nvPicPr>
          <xdr:cNvPr id="17" name="Рисунок 16" descr="Карниз погонажный-01.jpg">
            <a:extLst>
              <a:ext uri="{FF2B5EF4-FFF2-40B4-BE49-F238E27FC236}">
                <a16:creationId xmlns:a16="http://schemas.microsoft.com/office/drawing/2014/main" xmlns="" id="{00000000-0008-0000-27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3005959" y="2689410"/>
            <a:ext cx="378551" cy="779422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141599</xdr:colOff>
      <xdr:row>6</xdr:row>
      <xdr:rowOff>155862</xdr:rowOff>
    </xdr:from>
    <xdr:to>
      <xdr:col>8</xdr:col>
      <xdr:colOff>940946</xdr:colOff>
      <xdr:row>7</xdr:row>
      <xdr:rowOff>329046</xdr:rowOff>
    </xdr:to>
    <xdr:pic>
      <xdr:nvPicPr>
        <xdr:cNvPr id="19" name="Рисунок 18" descr="Карниз погонажный-01.jpg">
          <a:extLst>
            <a:ext uri="{FF2B5EF4-FFF2-40B4-BE49-F238E27FC236}">
              <a16:creationId xmlns:a16="http://schemas.microsoft.com/office/drawing/2014/main" xmlns="" id="{00000000-0008-0000-2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929687" y="1724686"/>
          <a:ext cx="799347" cy="800713"/>
        </a:xfrm>
        <a:prstGeom prst="rect">
          <a:avLst/>
        </a:prstGeom>
      </xdr:spPr>
    </xdr:pic>
    <xdr:clientData/>
  </xdr:twoCellAnchor>
  <xdr:oneCellAnchor>
    <xdr:from>
      <xdr:col>9</xdr:col>
      <xdr:colOff>387164</xdr:colOff>
      <xdr:row>18</xdr:row>
      <xdr:rowOff>0</xdr:rowOff>
    </xdr:from>
    <xdr:ext cx="202747" cy="862"/>
    <xdr:pic>
      <xdr:nvPicPr>
        <xdr:cNvPr id="20" name="Рисунок 83" descr="L-пл.jpg">
          <a:extLst>
            <a:ext uri="{FF2B5EF4-FFF2-40B4-BE49-F238E27FC236}">
              <a16:creationId xmlns:a16="http://schemas.microsoft.com/office/drawing/2014/main" xmlns="" id="{00000000-0008-0000-27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5937" y="9282545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387164</xdr:colOff>
      <xdr:row>18</xdr:row>
      <xdr:rowOff>0</xdr:rowOff>
    </xdr:from>
    <xdr:ext cx="202747" cy="862"/>
    <xdr:pic>
      <xdr:nvPicPr>
        <xdr:cNvPr id="21" name="Рисунок 83" descr="L-пл.jpg">
          <a:extLst>
            <a:ext uri="{FF2B5EF4-FFF2-40B4-BE49-F238E27FC236}">
              <a16:creationId xmlns:a16="http://schemas.microsoft.com/office/drawing/2014/main" xmlns="" id="{00000000-0008-0000-27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5937" y="9282545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18</xdr:row>
      <xdr:rowOff>0</xdr:rowOff>
    </xdr:from>
    <xdr:ext cx="202747" cy="862"/>
    <xdr:pic>
      <xdr:nvPicPr>
        <xdr:cNvPr id="22" name="Рисунок 83" descr="L-пл.jpg">
          <a:extLst>
            <a:ext uri="{FF2B5EF4-FFF2-40B4-BE49-F238E27FC236}">
              <a16:creationId xmlns:a16="http://schemas.microsoft.com/office/drawing/2014/main" xmlns="" id="{00000000-0008-0000-27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5937" y="9282545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387164</xdr:colOff>
      <xdr:row>18</xdr:row>
      <xdr:rowOff>0</xdr:rowOff>
    </xdr:from>
    <xdr:ext cx="202747" cy="862"/>
    <xdr:pic>
      <xdr:nvPicPr>
        <xdr:cNvPr id="23" name="Рисунок 83" descr="L-пл.jpg">
          <a:extLst>
            <a:ext uri="{FF2B5EF4-FFF2-40B4-BE49-F238E27FC236}">
              <a16:creationId xmlns:a16="http://schemas.microsoft.com/office/drawing/2014/main" xmlns="" id="{00000000-0008-0000-27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5937" y="9282545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0</xdr:colOff>
      <xdr:row>18</xdr:row>
      <xdr:rowOff>0</xdr:rowOff>
    </xdr:from>
    <xdr:ext cx="202747" cy="862"/>
    <xdr:pic>
      <xdr:nvPicPr>
        <xdr:cNvPr id="24" name="Рисунок 83" descr="L-пл.jpg">
          <a:extLst>
            <a:ext uri="{FF2B5EF4-FFF2-40B4-BE49-F238E27FC236}">
              <a16:creationId xmlns:a16="http://schemas.microsoft.com/office/drawing/2014/main" xmlns="" id="{00000000-0008-0000-27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5937" y="9282545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387164</xdr:colOff>
      <xdr:row>18</xdr:row>
      <xdr:rowOff>0</xdr:rowOff>
    </xdr:from>
    <xdr:ext cx="202747" cy="862"/>
    <xdr:pic>
      <xdr:nvPicPr>
        <xdr:cNvPr id="25" name="Рисунок 83" descr="L-пл.jpg">
          <a:extLst>
            <a:ext uri="{FF2B5EF4-FFF2-40B4-BE49-F238E27FC236}">
              <a16:creationId xmlns:a16="http://schemas.microsoft.com/office/drawing/2014/main" xmlns="" id="{00000000-0008-0000-27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5937" y="9282545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0</xdr:colOff>
      <xdr:row>18</xdr:row>
      <xdr:rowOff>0</xdr:rowOff>
    </xdr:from>
    <xdr:ext cx="202747" cy="862"/>
    <xdr:pic>
      <xdr:nvPicPr>
        <xdr:cNvPr id="26" name="Рисунок 83" descr="L-пл.jpg">
          <a:extLst>
            <a:ext uri="{FF2B5EF4-FFF2-40B4-BE49-F238E27FC236}">
              <a16:creationId xmlns:a16="http://schemas.microsoft.com/office/drawing/2014/main" xmlns="" id="{00000000-0008-0000-27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5937" y="9282545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12</xdr:col>
      <xdr:colOff>552792</xdr:colOff>
      <xdr:row>61</xdr:row>
      <xdr:rowOff>64909</xdr:rowOff>
    </xdr:from>
    <xdr:to>
      <xdr:col>15</xdr:col>
      <xdr:colOff>690879</xdr:colOff>
      <xdr:row>76</xdr:row>
      <xdr:rowOff>309559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00000000-0008-0000-27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3465971" y="18883588"/>
          <a:ext cx="2410480" cy="5034364"/>
        </a:xfrm>
        <a:prstGeom prst="rect">
          <a:avLst/>
        </a:prstGeom>
      </xdr:spPr>
    </xdr:pic>
    <xdr:clientData/>
  </xdr:twoCellAnchor>
  <xdr:twoCellAnchor editAs="oneCell">
    <xdr:from>
      <xdr:col>10</xdr:col>
      <xdr:colOff>244928</xdr:colOff>
      <xdr:row>61</xdr:row>
      <xdr:rowOff>67940</xdr:rowOff>
    </xdr:from>
    <xdr:to>
      <xdr:col>12</xdr:col>
      <xdr:colOff>639726</xdr:colOff>
      <xdr:row>76</xdr:row>
      <xdr:rowOff>334941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00000000-0008-0000-27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9987642" y="18886619"/>
          <a:ext cx="2680798" cy="5056715"/>
        </a:xfrm>
        <a:prstGeom prst="rect">
          <a:avLst/>
        </a:prstGeom>
      </xdr:spPr>
    </xdr:pic>
    <xdr:clientData/>
  </xdr:twoCellAnchor>
  <xdr:twoCellAnchor editAs="oneCell">
    <xdr:from>
      <xdr:col>8</xdr:col>
      <xdr:colOff>31971</xdr:colOff>
      <xdr:row>61</xdr:row>
      <xdr:rowOff>34881</xdr:rowOff>
    </xdr:from>
    <xdr:to>
      <xdr:col>10</xdr:col>
      <xdr:colOff>659953</xdr:colOff>
      <xdr:row>76</xdr:row>
      <xdr:rowOff>340178</xdr:rowOff>
    </xdr:to>
    <xdr:pic>
      <xdr:nvPicPr>
        <xdr:cNvPr id="18" name="Рисунок 17" descr="корсика.png">
          <a:extLst>
            <a:ext uri="{FF2B5EF4-FFF2-40B4-BE49-F238E27FC236}">
              <a16:creationId xmlns:a16="http://schemas.microsoft.com/office/drawing/2014/main" xmlns="" id="{00000000-0008-0000-27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7692792" y="18853560"/>
          <a:ext cx="2709875" cy="5095011"/>
        </a:xfrm>
        <a:prstGeom prst="rect">
          <a:avLst/>
        </a:prstGeom>
      </xdr:spPr>
    </xdr:pic>
    <xdr:clientData/>
  </xdr:twoCellAnchor>
  <xdr:oneCellAnchor>
    <xdr:from>
      <xdr:col>13</xdr:col>
      <xdr:colOff>387164</xdr:colOff>
      <xdr:row>18</xdr:row>
      <xdr:rowOff>0</xdr:rowOff>
    </xdr:from>
    <xdr:ext cx="202747" cy="862"/>
    <xdr:pic>
      <xdr:nvPicPr>
        <xdr:cNvPr id="32" name="Рисунок 83" descr="L-пл.jpg">
          <a:extLst>
            <a:ext uri="{FF2B5EF4-FFF2-40B4-BE49-F238E27FC236}">
              <a16:creationId xmlns:a16="http://schemas.microsoft.com/office/drawing/2014/main" xmlns="" id="{00000000-0008-0000-27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0758" y="7548563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387164</xdr:colOff>
      <xdr:row>18</xdr:row>
      <xdr:rowOff>0</xdr:rowOff>
    </xdr:from>
    <xdr:ext cx="202747" cy="862"/>
    <xdr:pic>
      <xdr:nvPicPr>
        <xdr:cNvPr id="35" name="Рисунок 83" descr="L-пл.jpg">
          <a:extLst>
            <a:ext uri="{FF2B5EF4-FFF2-40B4-BE49-F238E27FC236}">
              <a16:creationId xmlns:a16="http://schemas.microsoft.com/office/drawing/2014/main" xmlns="" id="{00000000-0008-0000-27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22289" y="7548563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387164</xdr:colOff>
      <xdr:row>18</xdr:row>
      <xdr:rowOff>0</xdr:rowOff>
    </xdr:from>
    <xdr:ext cx="202747" cy="862"/>
    <xdr:pic>
      <xdr:nvPicPr>
        <xdr:cNvPr id="36" name="Рисунок 83" descr="L-пл.jpg">
          <a:extLst>
            <a:ext uri="{FF2B5EF4-FFF2-40B4-BE49-F238E27FC236}">
              <a16:creationId xmlns:a16="http://schemas.microsoft.com/office/drawing/2014/main" xmlns="" id="{00000000-0008-0000-27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22289" y="7548563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0</xdr:colOff>
      <xdr:row>18</xdr:row>
      <xdr:rowOff>0</xdr:rowOff>
    </xdr:from>
    <xdr:ext cx="202747" cy="862"/>
    <xdr:pic>
      <xdr:nvPicPr>
        <xdr:cNvPr id="37" name="Рисунок 83" descr="L-пл.jpg">
          <a:extLst>
            <a:ext uri="{FF2B5EF4-FFF2-40B4-BE49-F238E27FC236}">
              <a16:creationId xmlns:a16="http://schemas.microsoft.com/office/drawing/2014/main" xmlns="" id="{00000000-0008-0000-27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22289" y="7548563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625929</xdr:colOff>
      <xdr:row>38</xdr:row>
      <xdr:rowOff>136072</xdr:rowOff>
    </xdr:from>
    <xdr:ext cx="184731" cy="26456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xmlns="" id="{00000000-0008-0000-2700-000028000000}"/>
            </a:ext>
          </a:extLst>
        </xdr:cNvPr>
        <xdr:cNvSpPr txBox="1"/>
      </xdr:nvSpPr>
      <xdr:spPr>
        <a:xfrm>
          <a:off x="6618020" y="1431966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387164</xdr:colOff>
      <xdr:row>18</xdr:row>
      <xdr:rowOff>0</xdr:rowOff>
    </xdr:from>
    <xdr:ext cx="202747" cy="862"/>
    <xdr:pic>
      <xdr:nvPicPr>
        <xdr:cNvPr id="39" name="Рисунок 83" descr="L-пл.jpg">
          <a:extLst>
            <a:ext uri="{FF2B5EF4-FFF2-40B4-BE49-F238E27FC236}">
              <a16:creationId xmlns:a16="http://schemas.microsoft.com/office/drawing/2014/main" xmlns="" id="{00000000-0008-0000-27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6950" y="8191500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0</xdr:colOff>
      <xdr:row>18</xdr:row>
      <xdr:rowOff>0</xdr:rowOff>
    </xdr:from>
    <xdr:ext cx="202747" cy="862"/>
    <xdr:pic>
      <xdr:nvPicPr>
        <xdr:cNvPr id="41" name="Рисунок 83" descr="L-пл.jpg">
          <a:extLst>
            <a:ext uri="{FF2B5EF4-FFF2-40B4-BE49-F238E27FC236}">
              <a16:creationId xmlns:a16="http://schemas.microsoft.com/office/drawing/2014/main" xmlns="" id="{00000000-0008-0000-27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64021" y="8191500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0</xdr:colOff>
      <xdr:row>18</xdr:row>
      <xdr:rowOff>0</xdr:rowOff>
    </xdr:from>
    <xdr:ext cx="202747" cy="862"/>
    <xdr:pic>
      <xdr:nvPicPr>
        <xdr:cNvPr id="42" name="Рисунок 83" descr="L-пл.jpg">
          <a:extLst>
            <a:ext uri="{FF2B5EF4-FFF2-40B4-BE49-F238E27FC236}">
              <a16:creationId xmlns:a16="http://schemas.microsoft.com/office/drawing/2014/main" xmlns="" id="{00000000-0008-0000-27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3531" y="8108156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387164</xdr:colOff>
      <xdr:row>18</xdr:row>
      <xdr:rowOff>0</xdr:rowOff>
    </xdr:from>
    <xdr:ext cx="202747" cy="862"/>
    <xdr:pic>
      <xdr:nvPicPr>
        <xdr:cNvPr id="43" name="Рисунок 83" descr="L-пл.jpg">
          <a:extLst>
            <a:ext uri="{FF2B5EF4-FFF2-40B4-BE49-F238E27FC236}">
              <a16:creationId xmlns:a16="http://schemas.microsoft.com/office/drawing/2014/main" xmlns="" id="{00000000-0008-0000-27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0695" y="8108156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0</xdr:colOff>
      <xdr:row>18</xdr:row>
      <xdr:rowOff>0</xdr:rowOff>
    </xdr:from>
    <xdr:ext cx="202747" cy="862"/>
    <xdr:pic>
      <xdr:nvPicPr>
        <xdr:cNvPr id="44" name="Рисунок 83" descr="L-пл.jpg">
          <a:extLst>
            <a:ext uri="{FF2B5EF4-FFF2-40B4-BE49-F238E27FC236}">
              <a16:creationId xmlns:a16="http://schemas.microsoft.com/office/drawing/2014/main" xmlns="" id="{00000000-0008-0000-27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3531" y="8108156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387164</xdr:colOff>
      <xdr:row>18</xdr:row>
      <xdr:rowOff>0</xdr:rowOff>
    </xdr:from>
    <xdr:ext cx="202747" cy="862"/>
    <xdr:pic>
      <xdr:nvPicPr>
        <xdr:cNvPr id="45" name="Рисунок 83" descr="L-пл.jpg">
          <a:extLst>
            <a:ext uri="{FF2B5EF4-FFF2-40B4-BE49-F238E27FC236}">
              <a16:creationId xmlns:a16="http://schemas.microsoft.com/office/drawing/2014/main" xmlns="" id="{00000000-0008-0000-27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0695" y="8108156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392379</xdr:colOff>
      <xdr:row>21</xdr:row>
      <xdr:rowOff>389906</xdr:rowOff>
    </xdr:from>
    <xdr:to>
      <xdr:col>11</xdr:col>
      <xdr:colOff>13608</xdr:colOff>
      <xdr:row>44</xdr:row>
      <xdr:rowOff>206828</xdr:rowOff>
    </xdr:to>
    <xdr:grpSp>
      <xdr:nvGrpSpPr>
        <xdr:cNvPr id="9" name="Группа 8"/>
        <xdr:cNvGrpSpPr/>
      </xdr:nvGrpSpPr>
      <xdr:grpSpPr>
        <a:xfrm>
          <a:off x="392379" y="8951200"/>
          <a:ext cx="10558170" cy="5890510"/>
          <a:chOff x="392379" y="9003227"/>
          <a:chExt cx="10506943" cy="5858494"/>
        </a:xfrm>
      </xdr:grpSpPr>
      <xdr:pic>
        <xdr:nvPicPr>
          <xdr:cNvPr id="2" name="Рисунок 1">
            <a:extLst>
              <a:ext uri="{FF2B5EF4-FFF2-40B4-BE49-F238E27FC236}">
                <a16:creationId xmlns:a16="http://schemas.microsoft.com/office/drawing/2014/main" xmlns="" id="{00000000-0008-0000-2700-00000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5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 l="67191" t="1055" r="22777" b="91977"/>
          <a:stretch/>
        </xdr:blipFill>
        <xdr:spPr>
          <a:xfrm>
            <a:off x="8899072" y="9075965"/>
            <a:ext cx="1333500" cy="408214"/>
          </a:xfrm>
          <a:prstGeom prst="rect">
            <a:avLst/>
          </a:prstGeom>
        </xdr:spPr>
      </xdr:pic>
      <xdr:pic>
        <xdr:nvPicPr>
          <xdr:cNvPr id="46" name="Рисунок 45">
            <a:extLst>
              <a:ext uri="{FF2B5EF4-FFF2-40B4-BE49-F238E27FC236}">
                <a16:creationId xmlns:a16="http://schemas.microsoft.com/office/drawing/2014/main" xmlns="" id="{00000000-0008-0000-2700-00000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5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 r="35594"/>
          <a:stretch/>
        </xdr:blipFill>
        <xdr:spPr>
          <a:xfrm>
            <a:off x="392379" y="9003227"/>
            <a:ext cx="8561121" cy="5858494"/>
          </a:xfrm>
          <a:prstGeom prst="rect">
            <a:avLst/>
          </a:prstGeom>
        </xdr:spPr>
      </xdr:pic>
      <xdr:pic>
        <xdr:nvPicPr>
          <xdr:cNvPr id="47" name="Рисунок 46">
            <a:extLst>
              <a:ext uri="{FF2B5EF4-FFF2-40B4-BE49-F238E27FC236}">
                <a16:creationId xmlns:a16="http://schemas.microsoft.com/office/drawing/2014/main" xmlns="" id="{00000000-0008-0000-2700-00000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5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 l="86087" t="10718" r="-418"/>
          <a:stretch/>
        </xdr:blipFill>
        <xdr:spPr>
          <a:xfrm>
            <a:off x="8994322" y="9524999"/>
            <a:ext cx="1905000" cy="5230586"/>
          </a:xfrm>
          <a:prstGeom prst="rect">
            <a:avLst/>
          </a:prstGeom>
        </xdr:spPr>
      </xdr:pic>
    </xdr:grpSp>
    <xdr:clientData/>
  </xdr:twoCellAnchor>
  <xdr:twoCellAnchor editAs="oneCell">
    <xdr:from>
      <xdr:col>8</xdr:col>
      <xdr:colOff>403412</xdr:colOff>
      <xdr:row>77</xdr:row>
      <xdr:rowOff>22413</xdr:rowOff>
    </xdr:from>
    <xdr:to>
      <xdr:col>10</xdr:col>
      <xdr:colOff>301341</xdr:colOff>
      <xdr:row>82</xdr:row>
      <xdr:rowOff>156884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1853" y="24025413"/>
          <a:ext cx="1993429" cy="952500"/>
        </a:xfrm>
        <a:prstGeom prst="rect">
          <a:avLst/>
        </a:prstGeom>
      </xdr:spPr>
    </xdr:pic>
    <xdr:clientData/>
  </xdr:twoCellAnchor>
  <xdr:twoCellAnchor editAs="oneCell">
    <xdr:from>
      <xdr:col>10</xdr:col>
      <xdr:colOff>851647</xdr:colOff>
      <xdr:row>77</xdr:row>
      <xdr:rowOff>33616</xdr:rowOff>
    </xdr:from>
    <xdr:to>
      <xdr:col>12</xdr:col>
      <xdr:colOff>488720</xdr:colOff>
      <xdr:row>82</xdr:row>
      <xdr:rowOff>134470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5588" y="24036616"/>
          <a:ext cx="1923073" cy="918883"/>
        </a:xfrm>
        <a:prstGeom prst="rect">
          <a:avLst/>
        </a:prstGeom>
      </xdr:spPr>
    </xdr:pic>
    <xdr:clientData/>
  </xdr:twoCellAnchor>
  <xdr:twoCellAnchor editAs="oneCell">
    <xdr:from>
      <xdr:col>12</xdr:col>
      <xdr:colOff>963707</xdr:colOff>
      <xdr:row>77</xdr:row>
      <xdr:rowOff>17357</xdr:rowOff>
    </xdr:from>
    <xdr:to>
      <xdr:col>15</xdr:col>
      <xdr:colOff>622563</xdr:colOff>
      <xdr:row>82</xdr:row>
      <xdr:rowOff>123265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43648" y="24020357"/>
          <a:ext cx="1933650" cy="923937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729983</xdr:colOff>
      <xdr:row>57</xdr:row>
      <xdr:rowOff>0</xdr:rowOff>
    </xdr:from>
    <xdr:ext cx="5123" cy="85181"/>
    <xdr:pic>
      <xdr:nvPicPr>
        <xdr:cNvPr id="2" name="Рисунок 1" descr="галочка.png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39683" y="4200525"/>
          <a:ext cx="5123" cy="85181"/>
        </a:xfrm>
        <a:prstGeom prst="rect">
          <a:avLst/>
        </a:prstGeom>
      </xdr:spPr>
    </xdr:pic>
    <xdr:clientData/>
  </xdr:oneCellAnchor>
  <xdr:oneCellAnchor>
    <xdr:from>
      <xdr:col>6</xdr:col>
      <xdr:colOff>729983</xdr:colOff>
      <xdr:row>57</xdr:row>
      <xdr:rowOff>0</xdr:rowOff>
    </xdr:from>
    <xdr:ext cx="5123" cy="85181"/>
    <xdr:pic>
      <xdr:nvPicPr>
        <xdr:cNvPr id="3" name="Рисунок 2" descr="галочка.png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35101" y="14287500"/>
          <a:ext cx="5123" cy="85181"/>
        </a:xfrm>
        <a:prstGeom prst="rect">
          <a:avLst/>
        </a:prstGeom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1916906</xdr:colOff>
      <xdr:row>23</xdr:row>
      <xdr:rowOff>54617</xdr:rowOff>
    </xdr:from>
    <xdr:to>
      <xdr:col>2</xdr:col>
      <xdr:colOff>3047999</xdr:colOff>
      <xdr:row>33</xdr:row>
      <xdr:rowOff>209741</xdr:rowOff>
    </xdr:to>
    <xdr:pic>
      <xdr:nvPicPr>
        <xdr:cNvPr id="2" name="Рисунок 1" descr="корсика.png">
          <a:extLst>
            <a:ext uri="{FF2B5EF4-FFF2-40B4-BE49-F238E27FC236}">
              <a16:creationId xmlns:a16="http://schemas.microsoft.com/office/drawing/2014/main" xmlns="" id="{00000000-0008-0000-2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31234" t="51594" r="33810"/>
        <a:stretch/>
      </xdr:blipFill>
      <xdr:spPr>
        <a:xfrm>
          <a:off x="3571875" y="6186336"/>
          <a:ext cx="1131093" cy="245303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4191</xdr:colOff>
      <xdr:row>39</xdr:row>
      <xdr:rowOff>153417</xdr:rowOff>
    </xdr:to>
    <xdr:pic>
      <xdr:nvPicPr>
        <xdr:cNvPr id="4" name="Рисунок 14" descr="накладка на входную дверь.jpg">
          <a:extLst>
            <a:ext uri="{FF2B5EF4-FFF2-40B4-BE49-F238E27FC236}">
              <a16:creationId xmlns:a16="http://schemas.microsoft.com/office/drawing/2014/main" xmlns="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895850" y="19611975"/>
          <a:ext cx="4191" cy="49109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0</xdr:colOff>
      <xdr:row>34</xdr:row>
      <xdr:rowOff>142331</xdr:rowOff>
    </xdr:to>
    <xdr:pic>
      <xdr:nvPicPr>
        <xdr:cNvPr id="5" name="Рисунок 4" descr="галочка.png">
          <a:extLst>
            <a:ext uri="{FF2B5EF4-FFF2-40B4-BE49-F238E27FC236}">
              <a16:creationId xmlns:a16="http://schemas.microsoft.com/office/drawing/2014/main" xmlns="" id="{00000000-0008-0000-2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154400" y="692467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0</xdr:colOff>
      <xdr:row>34</xdr:row>
      <xdr:rowOff>142331</xdr:rowOff>
    </xdr:to>
    <xdr:pic>
      <xdr:nvPicPr>
        <xdr:cNvPr id="6" name="Рисунок 5" descr="галочка.png">
          <a:extLst>
            <a:ext uri="{FF2B5EF4-FFF2-40B4-BE49-F238E27FC236}">
              <a16:creationId xmlns:a16="http://schemas.microsoft.com/office/drawing/2014/main" xmlns="" id="{00000000-0008-0000-2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154400" y="692467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0</xdr:colOff>
      <xdr:row>34</xdr:row>
      <xdr:rowOff>142331</xdr:rowOff>
    </xdr:to>
    <xdr:pic>
      <xdr:nvPicPr>
        <xdr:cNvPr id="7" name="Рисунок 6" descr="галочка.png">
          <a:extLst>
            <a:ext uri="{FF2B5EF4-FFF2-40B4-BE49-F238E27FC236}">
              <a16:creationId xmlns:a16="http://schemas.microsoft.com/office/drawing/2014/main" xmlns="" id="{00000000-0008-0000-2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154400" y="692467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</xdr:row>
      <xdr:rowOff>0</xdr:rowOff>
    </xdr:from>
    <xdr:to>
      <xdr:col>3</xdr:col>
      <xdr:colOff>0</xdr:colOff>
      <xdr:row>36</xdr:row>
      <xdr:rowOff>142331</xdr:rowOff>
    </xdr:to>
    <xdr:pic>
      <xdr:nvPicPr>
        <xdr:cNvPr id="8" name="Рисунок 7" descr="галочка.png">
          <a:extLst>
            <a:ext uri="{FF2B5EF4-FFF2-40B4-BE49-F238E27FC236}">
              <a16:creationId xmlns:a16="http://schemas.microsoft.com/office/drawing/2014/main" xmlns="" id="{00000000-0008-0000-2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154400" y="730567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</xdr:row>
      <xdr:rowOff>0</xdr:rowOff>
    </xdr:from>
    <xdr:to>
      <xdr:col>3</xdr:col>
      <xdr:colOff>0</xdr:colOff>
      <xdr:row>36</xdr:row>
      <xdr:rowOff>142331</xdr:rowOff>
    </xdr:to>
    <xdr:pic>
      <xdr:nvPicPr>
        <xdr:cNvPr id="9" name="Рисунок 8" descr="галочка.png">
          <a:extLst>
            <a:ext uri="{FF2B5EF4-FFF2-40B4-BE49-F238E27FC236}">
              <a16:creationId xmlns:a16="http://schemas.microsoft.com/office/drawing/2014/main" xmlns="" id="{00000000-0008-0000-2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154400" y="730567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13927</xdr:colOff>
      <xdr:row>21</xdr:row>
      <xdr:rowOff>47081</xdr:rowOff>
    </xdr:to>
    <xdr:pic>
      <xdr:nvPicPr>
        <xdr:cNvPr id="10" name="Рисунок 9" descr="галочка.png">
          <a:extLst>
            <a:ext uri="{FF2B5EF4-FFF2-40B4-BE49-F238E27FC236}">
              <a16:creationId xmlns:a16="http://schemas.microsoft.com/office/drawing/2014/main" xmlns="" id="{00000000-0008-0000-2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530333" y="10013400"/>
          <a:ext cx="13927" cy="47081"/>
        </a:xfrm>
        <a:prstGeom prst="rect">
          <a:avLst/>
        </a:prstGeom>
      </xdr:spPr>
    </xdr:pic>
    <xdr:clientData/>
  </xdr:twoCellAnchor>
  <xdr:twoCellAnchor editAs="oneCell">
    <xdr:from>
      <xdr:col>1</xdr:col>
      <xdr:colOff>40913</xdr:colOff>
      <xdr:row>23</xdr:row>
      <xdr:rowOff>108976</xdr:rowOff>
    </xdr:from>
    <xdr:to>
      <xdr:col>2</xdr:col>
      <xdr:colOff>1879912</xdr:colOff>
      <xdr:row>33</xdr:row>
      <xdr:rowOff>170330</xdr:rowOff>
    </xdr:to>
    <xdr:pic>
      <xdr:nvPicPr>
        <xdr:cNvPr id="16" name="Рисунок 15" descr="корсика.png">
          <a:extLst>
            <a:ext uri="{FF2B5EF4-FFF2-40B4-BE49-F238E27FC236}">
              <a16:creationId xmlns:a16="http://schemas.microsoft.com/office/drawing/2014/main" xmlns="" id="{00000000-0008-0000-29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b="53026"/>
        <a:stretch/>
      </xdr:blipFill>
      <xdr:spPr>
        <a:xfrm>
          <a:off x="314757" y="5693007"/>
          <a:ext cx="3220124" cy="235926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319448</xdr:colOff>
      <xdr:row>21</xdr:row>
      <xdr:rowOff>47081</xdr:rowOff>
    </xdr:to>
    <xdr:pic>
      <xdr:nvPicPr>
        <xdr:cNvPr id="17" name="Рисунок 16" descr="галочка.png">
          <a:extLst>
            <a:ext uri="{FF2B5EF4-FFF2-40B4-BE49-F238E27FC236}">
              <a16:creationId xmlns:a16="http://schemas.microsoft.com/office/drawing/2014/main" xmlns="" id="{00000000-0008-0000-2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671303" y="9800040"/>
          <a:ext cx="3218" cy="47081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31</xdr:row>
      <xdr:rowOff>0</xdr:rowOff>
    </xdr:from>
    <xdr:to>
      <xdr:col>0</xdr:col>
      <xdr:colOff>0</xdr:colOff>
      <xdr:row>31</xdr:row>
      <xdr:rowOff>47081</xdr:rowOff>
    </xdr:to>
    <xdr:pic>
      <xdr:nvPicPr>
        <xdr:cNvPr id="4" name="Рисунок 3" descr="галочка.png">
          <a:extLst>
            <a:ext uri="{FF2B5EF4-FFF2-40B4-BE49-F238E27FC236}">
              <a16:creationId xmlns:a16="http://schemas.microsoft.com/office/drawing/2014/main" xmlns="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35683" y="10725150"/>
          <a:ext cx="320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0</xdr:colOff>
      <xdr:row>31</xdr:row>
      <xdr:rowOff>47081</xdr:rowOff>
    </xdr:to>
    <xdr:pic>
      <xdr:nvPicPr>
        <xdr:cNvPr id="6" name="Рисунок 5" descr="галочка.png">
          <a:extLst>
            <a:ext uri="{FF2B5EF4-FFF2-40B4-BE49-F238E27FC236}">
              <a16:creationId xmlns:a16="http://schemas.microsoft.com/office/drawing/2014/main" xmlns="" id="{00000000-0008-0000-2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198333" y="1072515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320</xdr:colOff>
      <xdr:row>27</xdr:row>
      <xdr:rowOff>47081</xdr:rowOff>
    </xdr:to>
    <xdr:pic>
      <xdr:nvPicPr>
        <xdr:cNvPr id="8" name="Рисунок 7" descr="галочка.png">
          <a:extLst>
            <a:ext uri="{FF2B5EF4-FFF2-40B4-BE49-F238E27FC236}">
              <a16:creationId xmlns:a16="http://schemas.microsoft.com/office/drawing/2014/main" xmlns="" id="{00000000-0008-0000-2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54358" y="10725150"/>
          <a:ext cx="320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0</xdr:colOff>
      <xdr:row>31</xdr:row>
      <xdr:rowOff>47081</xdr:rowOff>
    </xdr:to>
    <xdr:pic>
      <xdr:nvPicPr>
        <xdr:cNvPr id="10" name="Рисунок 9" descr="галочка.png">
          <a:extLst>
            <a:ext uri="{FF2B5EF4-FFF2-40B4-BE49-F238E27FC236}">
              <a16:creationId xmlns:a16="http://schemas.microsoft.com/office/drawing/2014/main" xmlns="" id="{00000000-0008-0000-2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35683" y="10725150"/>
          <a:ext cx="320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0</xdr:colOff>
      <xdr:row>31</xdr:row>
      <xdr:rowOff>47081</xdr:rowOff>
    </xdr:to>
    <xdr:pic>
      <xdr:nvPicPr>
        <xdr:cNvPr id="11" name="Рисунок 10" descr="галочка.png">
          <a:extLst>
            <a:ext uri="{FF2B5EF4-FFF2-40B4-BE49-F238E27FC236}">
              <a16:creationId xmlns:a16="http://schemas.microsoft.com/office/drawing/2014/main" xmlns="" id="{00000000-0008-0000-2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35683" y="1072515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5123</xdr:colOff>
      <xdr:row>27</xdr:row>
      <xdr:rowOff>47081</xdr:rowOff>
    </xdr:to>
    <xdr:pic>
      <xdr:nvPicPr>
        <xdr:cNvPr id="12" name="Рисунок 11" descr="галочка.png">
          <a:extLst>
            <a:ext uri="{FF2B5EF4-FFF2-40B4-BE49-F238E27FC236}">
              <a16:creationId xmlns:a16="http://schemas.microsoft.com/office/drawing/2014/main" xmlns="" id="{00000000-0008-0000-2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577958" y="1060395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592</xdr:colOff>
      <xdr:row>12</xdr:row>
      <xdr:rowOff>85181</xdr:rowOff>
    </xdr:to>
    <xdr:pic>
      <xdr:nvPicPr>
        <xdr:cNvPr id="19" name="Рисунок 18" descr="галочка.png">
          <a:extLst>
            <a:ext uri="{FF2B5EF4-FFF2-40B4-BE49-F238E27FC236}">
              <a16:creationId xmlns:a16="http://schemas.microsoft.com/office/drawing/2014/main" xmlns="" id="{00000000-0008-0000-2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987533" y="6934200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4</xdr:col>
      <xdr:colOff>119228</xdr:colOff>
      <xdr:row>23</xdr:row>
      <xdr:rowOff>68251</xdr:rowOff>
    </xdr:from>
    <xdr:to>
      <xdr:col>5</xdr:col>
      <xdr:colOff>190669</xdr:colOff>
      <xdr:row>29</xdr:row>
      <xdr:rowOff>290788</xdr:rowOff>
    </xdr:to>
    <xdr:pic>
      <xdr:nvPicPr>
        <xdr:cNvPr id="13" name="Рисунок 12" descr="RACE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567010" y="5756420"/>
          <a:ext cx="1453236" cy="1711656"/>
        </a:xfrm>
        <a:prstGeom prst="rect">
          <a:avLst/>
        </a:prstGeom>
      </xdr:spPr>
    </xdr:pic>
    <xdr:clientData/>
  </xdr:twoCellAnchor>
  <xdr:twoCellAnchor editAs="oneCell">
    <xdr:from>
      <xdr:col>8</xdr:col>
      <xdr:colOff>168364</xdr:colOff>
      <xdr:row>23</xdr:row>
      <xdr:rowOff>22718</xdr:rowOff>
    </xdr:from>
    <xdr:to>
      <xdr:col>9</xdr:col>
      <xdr:colOff>933435</xdr:colOff>
      <xdr:row>29</xdr:row>
      <xdr:rowOff>22975</xdr:rowOff>
    </xdr:to>
    <xdr:grpSp>
      <xdr:nvGrpSpPr>
        <xdr:cNvPr id="14" name="Группа 13">
          <a:extLst>
            <a:ext uri="{FF2B5EF4-FFF2-40B4-BE49-F238E27FC236}">
              <a16:creationId xmlns:a16="http://schemas.microsoft.com/office/drawing/2014/main" xmlns="" id="{00000000-0008-0000-2B00-00000B000000}"/>
            </a:ext>
          </a:extLst>
        </xdr:cNvPr>
        <xdr:cNvGrpSpPr/>
      </xdr:nvGrpSpPr>
      <xdr:grpSpPr>
        <a:xfrm>
          <a:off x="9150439" y="6947393"/>
          <a:ext cx="2146196" cy="1495682"/>
          <a:chOff x="11268313" y="6485004"/>
          <a:chExt cx="5019057" cy="3663285"/>
        </a:xfrm>
      </xdr:grpSpPr>
      <xdr:pic>
        <xdr:nvPicPr>
          <xdr:cNvPr id="15" name="Рисунок 14">
            <a:extLst>
              <a:ext uri="{FF2B5EF4-FFF2-40B4-BE49-F238E27FC236}">
                <a16:creationId xmlns:a16="http://schemas.microsoft.com/office/drawing/2014/main" xmlns="" id="{00000000-0008-0000-2B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435639" y="9773482"/>
            <a:ext cx="4758318" cy="374807"/>
          </a:xfrm>
          <a:prstGeom prst="rect">
            <a:avLst/>
          </a:prstGeom>
        </xdr:spPr>
      </xdr:pic>
      <xdr:pic>
        <xdr:nvPicPr>
          <xdr:cNvPr id="16" name="Рисунок 15">
            <a:extLst>
              <a:ext uri="{FF2B5EF4-FFF2-40B4-BE49-F238E27FC236}">
                <a16:creationId xmlns:a16="http://schemas.microsoft.com/office/drawing/2014/main" xmlns="" id="{00000000-0008-0000-2B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268313" y="6498612"/>
            <a:ext cx="1346728" cy="3242809"/>
          </a:xfrm>
          <a:prstGeom prst="rect">
            <a:avLst/>
          </a:prstGeom>
        </xdr:spPr>
      </xdr:pic>
      <xdr:pic>
        <xdr:nvPicPr>
          <xdr:cNvPr id="17" name="Рисунок 16">
            <a:extLst>
              <a:ext uri="{FF2B5EF4-FFF2-40B4-BE49-F238E27FC236}">
                <a16:creationId xmlns:a16="http://schemas.microsoft.com/office/drawing/2014/main" xmlns="" id="{00000000-0008-0000-2B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138097" y="6493808"/>
            <a:ext cx="1347529" cy="3242809"/>
          </a:xfrm>
          <a:prstGeom prst="rect">
            <a:avLst/>
          </a:prstGeom>
        </xdr:spPr>
      </xdr:pic>
      <xdr:pic>
        <xdr:nvPicPr>
          <xdr:cNvPr id="20" name="Рисунок 19">
            <a:extLst>
              <a:ext uri="{FF2B5EF4-FFF2-40B4-BE49-F238E27FC236}">
                <a16:creationId xmlns:a16="http://schemas.microsoft.com/office/drawing/2014/main" xmlns="" id="{00000000-0008-0000-2B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940642" y="6485004"/>
            <a:ext cx="1346728" cy="3242809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504270</xdr:colOff>
      <xdr:row>23</xdr:row>
      <xdr:rowOff>26495</xdr:rowOff>
    </xdr:from>
    <xdr:to>
      <xdr:col>8</xdr:col>
      <xdr:colOff>16</xdr:colOff>
      <xdr:row>29</xdr:row>
      <xdr:rowOff>30567</xdr:rowOff>
    </xdr:to>
    <xdr:grpSp>
      <xdr:nvGrpSpPr>
        <xdr:cNvPr id="21" name="Группа 20"/>
        <xdr:cNvGrpSpPr/>
      </xdr:nvGrpSpPr>
      <xdr:grpSpPr>
        <a:xfrm>
          <a:off x="5342970" y="6951170"/>
          <a:ext cx="3639121" cy="1499497"/>
          <a:chOff x="7868477" y="919371"/>
          <a:chExt cx="3639792" cy="1492353"/>
        </a:xfrm>
      </xdr:grpSpPr>
      <xdr:pic>
        <xdr:nvPicPr>
          <xdr:cNvPr id="22" name="Рисунок 21"/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print"/>
          <a:srcRect l="3246" t="6198" r="2626" b="82979"/>
          <a:stretch/>
        </xdr:blipFill>
        <xdr:spPr>
          <a:xfrm>
            <a:off x="7992721" y="2294283"/>
            <a:ext cx="3453847" cy="117441"/>
          </a:xfrm>
          <a:prstGeom prst="rect">
            <a:avLst/>
          </a:prstGeom>
        </xdr:spPr>
      </xdr:pic>
      <xdr:grpSp>
        <xdr:nvGrpSpPr>
          <xdr:cNvPr id="23" name="Группа 22"/>
          <xdr:cNvGrpSpPr/>
        </xdr:nvGrpSpPr>
        <xdr:grpSpPr>
          <a:xfrm>
            <a:off x="7868477" y="919371"/>
            <a:ext cx="3639792" cy="1391477"/>
            <a:chOff x="7868477" y="919371"/>
            <a:chExt cx="3639792" cy="1391477"/>
          </a:xfrm>
        </xdr:grpSpPr>
        <xdr:pic>
          <xdr:nvPicPr>
            <xdr:cNvPr id="24" name="Рисунок 23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" cstate="print"/>
            <a:srcRect l="36503" t="16530" r="54186" b="8206"/>
            <a:stretch/>
          </xdr:blipFill>
          <xdr:spPr>
            <a:xfrm>
              <a:off x="9086022" y="919371"/>
              <a:ext cx="563216" cy="1386511"/>
            </a:xfrm>
            <a:prstGeom prst="rect">
              <a:avLst/>
            </a:prstGeom>
          </xdr:spPr>
        </xdr:pic>
        <xdr:pic>
          <xdr:nvPicPr>
            <xdr:cNvPr id="25" name="Рисунок 24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" cstate="print"/>
            <a:srcRect l="2227" t="17021" r="88462" b="9190"/>
            <a:stretch/>
          </xdr:blipFill>
          <xdr:spPr>
            <a:xfrm>
              <a:off x="7868477" y="922293"/>
              <a:ext cx="579563" cy="1371989"/>
            </a:xfrm>
            <a:prstGeom prst="rect">
              <a:avLst/>
            </a:prstGeom>
          </xdr:spPr>
        </xdr:pic>
        <xdr:pic>
          <xdr:nvPicPr>
            <xdr:cNvPr id="26" name="Рисунок 25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" cstate="print"/>
            <a:srcRect l="53525" t="16530" r="36582" b="8206"/>
            <a:stretch/>
          </xdr:blipFill>
          <xdr:spPr>
            <a:xfrm>
              <a:off x="9665804" y="919371"/>
              <a:ext cx="609600" cy="1383196"/>
            </a:xfrm>
            <a:prstGeom prst="rect">
              <a:avLst/>
            </a:prstGeom>
          </xdr:spPr>
        </xdr:pic>
        <xdr:pic>
          <xdr:nvPicPr>
            <xdr:cNvPr id="27" name="Рисунок 26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" cstate="print"/>
            <a:srcRect l="70837" t="16530" r="19852" b="8206"/>
            <a:stretch/>
          </xdr:blipFill>
          <xdr:spPr>
            <a:xfrm>
              <a:off x="10311846" y="927652"/>
              <a:ext cx="578592" cy="1383196"/>
            </a:xfrm>
            <a:prstGeom prst="rect">
              <a:avLst/>
            </a:prstGeom>
          </xdr:spPr>
        </xdr:pic>
        <xdr:pic>
          <xdr:nvPicPr>
            <xdr:cNvPr id="28" name="Рисунок 27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" cstate="print"/>
            <a:srcRect l="88004" t="16530" r="2772" b="8206"/>
            <a:stretch/>
          </xdr:blipFill>
          <xdr:spPr>
            <a:xfrm>
              <a:off x="10933042" y="922681"/>
              <a:ext cx="575227" cy="1388166"/>
            </a:xfrm>
            <a:prstGeom prst="rect">
              <a:avLst/>
            </a:prstGeom>
          </xdr:spPr>
        </xdr:pic>
        <xdr:pic>
          <xdr:nvPicPr>
            <xdr:cNvPr id="29" name="Рисунок 28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" cstate="print"/>
            <a:srcRect l="19739" t="16836" r="71326" b="9507"/>
            <a:stretch/>
          </xdr:blipFill>
          <xdr:spPr>
            <a:xfrm>
              <a:off x="8489676" y="927652"/>
              <a:ext cx="552884" cy="1350065"/>
            </a:xfrm>
            <a:prstGeom prst="rect">
              <a:avLst/>
            </a:prstGeom>
          </xdr:spPr>
        </xdr:pic>
      </xdr:grpSp>
    </xdr:grpSp>
    <xdr:clientData/>
  </xdr:twoCellAnchor>
  <xdr:twoCellAnchor editAs="oneCell">
    <xdr:from>
      <xdr:col>0</xdr:col>
      <xdr:colOff>86543</xdr:colOff>
      <xdr:row>23</xdr:row>
      <xdr:rowOff>39155</xdr:rowOff>
    </xdr:from>
    <xdr:to>
      <xdr:col>2</xdr:col>
      <xdr:colOff>2199807</xdr:colOff>
      <xdr:row>29</xdr:row>
      <xdr:rowOff>384355</xdr:rowOff>
    </xdr:to>
    <xdr:pic>
      <xdr:nvPicPr>
        <xdr:cNvPr id="30" name="Рисунок 29" descr="корсика.png">
          <a:extLst>
            <a:ext uri="{FF2B5EF4-FFF2-40B4-BE49-F238E27FC236}">
              <a16:creationId xmlns:a16="http://schemas.microsoft.com/office/drawing/2014/main" xmlns="" id="{00000000-0008-0000-28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/>
        <a:srcRect b="50304"/>
        <a:stretch/>
      </xdr:blipFill>
      <xdr:spPr>
        <a:xfrm>
          <a:off x="86543" y="5727324"/>
          <a:ext cx="3146257" cy="1834319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729983</xdr:colOff>
      <xdr:row>24</xdr:row>
      <xdr:rowOff>0</xdr:rowOff>
    </xdr:from>
    <xdr:ext cx="5123" cy="85181"/>
    <xdr:pic>
      <xdr:nvPicPr>
        <xdr:cNvPr id="2" name="Рисунок 1" descr="галочка.png">
          <a:extLst>
            <a:ext uri="{FF2B5EF4-FFF2-40B4-BE49-F238E27FC236}">
              <a16:creationId xmlns:a16="http://schemas.microsoft.com/office/drawing/2014/main" xmlns="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96708" y="2857500"/>
          <a:ext cx="5123" cy="85181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0</xdr:rowOff>
    </xdr:from>
    <xdr:ext cx="5123" cy="47081"/>
    <xdr:pic>
      <xdr:nvPicPr>
        <xdr:cNvPr id="3" name="Рисунок 2" descr="галочка.png">
          <a:extLst>
            <a:ext uri="{FF2B5EF4-FFF2-40B4-BE49-F238E27FC236}">
              <a16:creationId xmlns:a16="http://schemas.microsoft.com/office/drawing/2014/main" xmlns="" id="{00000000-0008-0000-2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00150" y="6477000"/>
          <a:ext cx="5123" cy="47081"/>
        </a:xfrm>
        <a:prstGeom prst="rect">
          <a:avLst/>
        </a:prstGeom>
      </xdr:spPr>
    </xdr:pic>
    <xdr:clientData/>
  </xdr:oneCellAnchor>
  <xdr:oneCellAnchor>
    <xdr:from>
      <xdr:col>1</xdr:col>
      <xdr:colOff>729983</xdr:colOff>
      <xdr:row>24</xdr:row>
      <xdr:rowOff>0</xdr:rowOff>
    </xdr:from>
    <xdr:ext cx="5123" cy="85181"/>
    <xdr:pic>
      <xdr:nvPicPr>
        <xdr:cNvPr id="4" name="Рисунок 3" descr="галочка.png">
          <a:extLst>
            <a:ext uri="{FF2B5EF4-FFF2-40B4-BE49-F238E27FC236}">
              <a16:creationId xmlns:a16="http://schemas.microsoft.com/office/drawing/2014/main" xmlns="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96708" y="2667000"/>
          <a:ext cx="5123" cy="85181"/>
        </a:xfrm>
        <a:prstGeom prst="rect">
          <a:avLst/>
        </a:prstGeom>
      </xdr:spPr>
    </xdr:pic>
    <xdr:clientData/>
  </xdr:oneCellAnchor>
  <xdr:oneCellAnchor>
    <xdr:from>
      <xdr:col>0</xdr:col>
      <xdr:colOff>729983</xdr:colOff>
      <xdr:row>35</xdr:row>
      <xdr:rowOff>0</xdr:rowOff>
    </xdr:from>
    <xdr:ext cx="5123" cy="85181"/>
    <xdr:pic>
      <xdr:nvPicPr>
        <xdr:cNvPr id="5" name="Рисунок 4" descr="галочка.png">
          <a:extLst>
            <a:ext uri="{FF2B5EF4-FFF2-40B4-BE49-F238E27FC236}">
              <a16:creationId xmlns:a16="http://schemas.microsoft.com/office/drawing/2014/main" xmlns="" id="{00000000-0008-0000-2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6633" y="6477000"/>
          <a:ext cx="5123" cy="85181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0</xdr:rowOff>
    </xdr:from>
    <xdr:ext cx="5123" cy="47081"/>
    <xdr:pic>
      <xdr:nvPicPr>
        <xdr:cNvPr id="6" name="Рисунок 5" descr="галочка.png">
          <a:extLst>
            <a:ext uri="{FF2B5EF4-FFF2-40B4-BE49-F238E27FC236}">
              <a16:creationId xmlns:a16="http://schemas.microsoft.com/office/drawing/2014/main" xmlns="" id="{00000000-0008-0000-2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00150" y="6477000"/>
          <a:ext cx="5123" cy="47081"/>
        </a:xfrm>
        <a:prstGeom prst="rect">
          <a:avLst/>
        </a:prstGeom>
      </xdr:spPr>
    </xdr:pic>
    <xdr:clientData/>
  </xdr:oneCellAnchor>
  <xdr:twoCellAnchor editAs="oneCell">
    <xdr:from>
      <xdr:col>0</xdr:col>
      <xdr:colOff>119063</xdr:colOff>
      <xdr:row>26</xdr:row>
      <xdr:rowOff>48324</xdr:rowOff>
    </xdr:from>
    <xdr:to>
      <xdr:col>2</xdr:col>
      <xdr:colOff>1035842</xdr:colOff>
      <xdr:row>35</xdr:row>
      <xdr:rowOff>102774</xdr:rowOff>
    </xdr:to>
    <xdr:grpSp>
      <xdr:nvGrpSpPr>
        <xdr:cNvPr id="16" name="Группа 15">
          <a:extLst>
            <a:ext uri="{FF2B5EF4-FFF2-40B4-BE49-F238E27FC236}">
              <a16:creationId xmlns:a16="http://schemas.microsoft.com/office/drawing/2014/main" xmlns="" id="{00000000-0008-0000-2B00-000010000000}"/>
            </a:ext>
          </a:extLst>
        </xdr:cNvPr>
        <xdr:cNvGrpSpPr/>
      </xdr:nvGrpSpPr>
      <xdr:grpSpPr>
        <a:xfrm>
          <a:off x="119063" y="9719000"/>
          <a:ext cx="4278544" cy="2004274"/>
          <a:chOff x="1177639" y="6580910"/>
          <a:chExt cx="8312724" cy="3374130"/>
        </a:xfrm>
      </xdr:grpSpPr>
      <xdr:pic>
        <xdr:nvPicPr>
          <xdr:cNvPr id="7" name="Рисунок 6">
            <a:extLst>
              <a:ext uri="{FF2B5EF4-FFF2-40B4-BE49-F238E27FC236}">
                <a16:creationId xmlns:a16="http://schemas.microsoft.com/office/drawing/2014/main" xmlns="" id="{00000000-0008-0000-2B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77639" y="6587406"/>
            <a:ext cx="2636074" cy="3367634"/>
          </a:xfrm>
          <a:prstGeom prst="rect">
            <a:avLst/>
          </a:prstGeom>
        </xdr:spPr>
      </xdr:pic>
      <xdr:pic>
        <xdr:nvPicPr>
          <xdr:cNvPr id="8" name="Рисунок 7">
            <a:extLst>
              <a:ext uri="{FF2B5EF4-FFF2-40B4-BE49-F238E27FC236}">
                <a16:creationId xmlns:a16="http://schemas.microsoft.com/office/drawing/2014/main" xmlns="" id="{00000000-0008-0000-2B00-00000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 t="19693" b="18602"/>
          <a:stretch/>
        </xdr:blipFill>
        <xdr:spPr>
          <a:xfrm>
            <a:off x="4346863" y="6580910"/>
            <a:ext cx="2581243" cy="3360963"/>
          </a:xfrm>
          <a:prstGeom prst="rect">
            <a:avLst/>
          </a:prstGeom>
        </xdr:spPr>
      </xdr:pic>
      <xdr:pic>
        <xdr:nvPicPr>
          <xdr:cNvPr id="9" name="image2.jpeg">
            <a:extLst>
              <a:ext uri="{FF2B5EF4-FFF2-40B4-BE49-F238E27FC236}">
                <a16:creationId xmlns:a16="http://schemas.microsoft.com/office/drawing/2014/main" xmlns="" id="{00000000-0008-0000-2B00-000009000000}"/>
              </a:ext>
            </a:extLst>
          </xdr:cNvPr>
          <xdr:cNvPicPr/>
        </xdr:nvPicPr>
        <xdr:blipFill rotWithShape="1">
          <a:blip xmlns:r="http://schemas.openxmlformats.org/officeDocument/2006/relationships" r:embed="rId4" cstate="print"/>
          <a:srcRect l="88862" t="21606" b="21508"/>
          <a:stretch/>
        </xdr:blipFill>
        <xdr:spPr bwMode="auto">
          <a:xfrm>
            <a:off x="7862454" y="6598227"/>
            <a:ext cx="1627909" cy="3290455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="" xmlns:a14="http://schemas.microsoft.com/office/drawing/2010/main"/>
            </a:ext>
          </a:extLst>
        </xdr:spPr>
      </xdr:pic>
    </xdr:grpSp>
    <xdr:clientData/>
  </xdr:twoCellAnchor>
  <xdr:oneCellAnchor>
    <xdr:from>
      <xdr:col>4</xdr:col>
      <xdr:colOff>1061357</xdr:colOff>
      <xdr:row>44</xdr:row>
      <xdr:rowOff>0</xdr:rowOff>
    </xdr:from>
    <xdr:ext cx="184731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xmlns="" id="{00000000-0008-0000-2B00-00000A000000}"/>
            </a:ext>
          </a:extLst>
        </xdr:cNvPr>
        <xdr:cNvSpPr txBox="1"/>
      </xdr:nvSpPr>
      <xdr:spPr>
        <a:xfrm>
          <a:off x="3004457" y="964746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729983</xdr:colOff>
      <xdr:row>2</xdr:row>
      <xdr:rowOff>0</xdr:rowOff>
    </xdr:from>
    <xdr:ext cx="5123" cy="85181"/>
    <xdr:pic>
      <xdr:nvPicPr>
        <xdr:cNvPr id="17" name="Рисунок 16" descr="галочка.png">
          <a:extLst>
            <a:ext uri="{FF2B5EF4-FFF2-40B4-BE49-F238E27FC236}">
              <a16:creationId xmlns:a16="http://schemas.microsoft.com/office/drawing/2014/main" xmlns="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39671" y="7060406"/>
          <a:ext cx="5123" cy="85181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6</xdr:row>
      <xdr:rowOff>0</xdr:rowOff>
    </xdr:from>
    <xdr:ext cx="184731" cy="26456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xmlns="" id="{00000000-0008-0000-1E00-00000C000000}"/>
            </a:ext>
          </a:extLst>
        </xdr:cNvPr>
        <xdr:cNvSpPr txBox="1"/>
      </xdr:nvSpPr>
      <xdr:spPr>
        <a:xfrm>
          <a:off x="11591925" y="8486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729983</xdr:colOff>
      <xdr:row>24</xdr:row>
      <xdr:rowOff>0</xdr:rowOff>
    </xdr:from>
    <xdr:ext cx="5123" cy="85181"/>
    <xdr:pic>
      <xdr:nvPicPr>
        <xdr:cNvPr id="19" name="Рисунок 18" descr="галочка.png">
          <a:extLst>
            <a:ext uri="{FF2B5EF4-FFF2-40B4-BE49-F238E27FC236}">
              <a16:creationId xmlns:a16="http://schemas.microsoft.com/office/drawing/2014/main" xmlns="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39671" y="7893844"/>
          <a:ext cx="5123" cy="85181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13</xdr:row>
      <xdr:rowOff>0</xdr:rowOff>
    </xdr:from>
    <xdr:ext cx="184731" cy="26456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xmlns="" id="{00000000-0008-0000-1E00-00000C000000}"/>
            </a:ext>
          </a:extLst>
        </xdr:cNvPr>
        <xdr:cNvSpPr txBox="1"/>
      </xdr:nvSpPr>
      <xdr:spPr>
        <a:xfrm>
          <a:off x="19014281" y="346471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15</xdr:row>
      <xdr:rowOff>0</xdr:rowOff>
    </xdr:from>
    <xdr:ext cx="184731" cy="26456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xmlns="" id="{00000000-0008-0000-1E00-00000C000000}"/>
            </a:ext>
          </a:extLst>
        </xdr:cNvPr>
        <xdr:cNvSpPr txBox="1"/>
      </xdr:nvSpPr>
      <xdr:spPr>
        <a:xfrm>
          <a:off x="18121313" y="453628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729983</xdr:colOff>
      <xdr:row>24</xdr:row>
      <xdr:rowOff>0</xdr:rowOff>
    </xdr:from>
    <xdr:ext cx="5123" cy="85181"/>
    <xdr:pic>
      <xdr:nvPicPr>
        <xdr:cNvPr id="22" name="Рисунок 21" descr="галочка.png">
          <a:extLst>
            <a:ext uri="{FF2B5EF4-FFF2-40B4-BE49-F238E27FC236}">
              <a16:creationId xmlns:a16="http://schemas.microsoft.com/office/drawing/2014/main" xmlns="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39671" y="7893844"/>
          <a:ext cx="5123" cy="85181"/>
        </a:xfrm>
        <a:prstGeom prst="rect">
          <a:avLst/>
        </a:prstGeom>
      </xdr:spPr>
    </xdr:pic>
    <xdr:clientData/>
  </xdr:oneCellAnchor>
  <xdr:oneCellAnchor>
    <xdr:from>
      <xdr:col>4</xdr:col>
      <xdr:colOff>729983</xdr:colOff>
      <xdr:row>24</xdr:row>
      <xdr:rowOff>0</xdr:rowOff>
    </xdr:from>
    <xdr:ext cx="5123" cy="85181"/>
    <xdr:pic>
      <xdr:nvPicPr>
        <xdr:cNvPr id="23" name="Рисунок 22" descr="галочка.png">
          <a:extLst>
            <a:ext uri="{FF2B5EF4-FFF2-40B4-BE49-F238E27FC236}">
              <a16:creationId xmlns:a16="http://schemas.microsoft.com/office/drawing/2014/main" xmlns="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39671" y="7893844"/>
          <a:ext cx="5123" cy="85181"/>
        </a:xfrm>
        <a:prstGeom prst="rect">
          <a:avLst/>
        </a:prstGeom>
      </xdr:spPr>
    </xdr:pic>
    <xdr:clientData/>
  </xdr:oneCellAnchor>
  <xdr:twoCellAnchor editAs="oneCell">
    <xdr:from>
      <xdr:col>3</xdr:col>
      <xdr:colOff>376518</xdr:colOff>
      <xdr:row>3</xdr:row>
      <xdr:rowOff>33618</xdr:rowOff>
    </xdr:from>
    <xdr:to>
      <xdr:col>3</xdr:col>
      <xdr:colOff>2527745</xdr:colOff>
      <xdr:row>4</xdr:row>
      <xdr:rowOff>1</xdr:rowOff>
    </xdr:to>
    <xdr:grpSp>
      <xdr:nvGrpSpPr>
        <xdr:cNvPr id="27" name="Группа 26">
          <a:extLst>
            <a:ext uri="{FF2B5EF4-FFF2-40B4-BE49-F238E27FC236}">
              <a16:creationId xmlns:a16="http://schemas.microsoft.com/office/drawing/2014/main" xmlns="" id="{00000000-0008-0000-2B00-00000B000000}"/>
            </a:ext>
          </a:extLst>
        </xdr:cNvPr>
        <xdr:cNvGrpSpPr/>
      </xdr:nvGrpSpPr>
      <xdr:grpSpPr>
        <a:xfrm>
          <a:off x="5284694" y="952500"/>
          <a:ext cx="2151227" cy="1490383"/>
          <a:chOff x="11268313" y="6485004"/>
          <a:chExt cx="5019057" cy="3663285"/>
        </a:xfrm>
      </xdr:grpSpPr>
      <xdr:pic>
        <xdr:nvPicPr>
          <xdr:cNvPr id="28" name="Рисунок 27">
            <a:extLst>
              <a:ext uri="{FF2B5EF4-FFF2-40B4-BE49-F238E27FC236}">
                <a16:creationId xmlns:a16="http://schemas.microsoft.com/office/drawing/2014/main" xmlns="" id="{00000000-0008-0000-2B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435639" y="9773482"/>
            <a:ext cx="4758318" cy="374807"/>
          </a:xfrm>
          <a:prstGeom prst="rect">
            <a:avLst/>
          </a:prstGeom>
        </xdr:spPr>
      </xdr:pic>
      <xdr:pic>
        <xdr:nvPicPr>
          <xdr:cNvPr id="29" name="Рисунок 28">
            <a:extLst>
              <a:ext uri="{FF2B5EF4-FFF2-40B4-BE49-F238E27FC236}">
                <a16:creationId xmlns:a16="http://schemas.microsoft.com/office/drawing/2014/main" xmlns="" id="{00000000-0008-0000-2B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268313" y="6498612"/>
            <a:ext cx="1346728" cy="3242809"/>
          </a:xfrm>
          <a:prstGeom prst="rect">
            <a:avLst/>
          </a:prstGeom>
        </xdr:spPr>
      </xdr:pic>
      <xdr:pic>
        <xdr:nvPicPr>
          <xdr:cNvPr id="30" name="Рисунок 29">
            <a:extLst>
              <a:ext uri="{FF2B5EF4-FFF2-40B4-BE49-F238E27FC236}">
                <a16:creationId xmlns:a16="http://schemas.microsoft.com/office/drawing/2014/main" xmlns="" id="{00000000-0008-0000-2B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138097" y="6493808"/>
            <a:ext cx="1347529" cy="3242809"/>
          </a:xfrm>
          <a:prstGeom prst="rect">
            <a:avLst/>
          </a:prstGeom>
        </xdr:spPr>
      </xdr:pic>
      <xdr:pic>
        <xdr:nvPicPr>
          <xdr:cNvPr id="31" name="Рисунок 30">
            <a:extLst>
              <a:ext uri="{FF2B5EF4-FFF2-40B4-BE49-F238E27FC236}">
                <a16:creationId xmlns:a16="http://schemas.microsoft.com/office/drawing/2014/main" xmlns="" id="{00000000-0008-0000-2B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940642" y="6485004"/>
            <a:ext cx="1346728" cy="3242809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41412</xdr:colOff>
      <xdr:row>3</xdr:row>
      <xdr:rowOff>8284</xdr:rowOff>
    </xdr:from>
    <xdr:to>
      <xdr:col>4</xdr:col>
      <xdr:colOff>3681204</xdr:colOff>
      <xdr:row>3</xdr:row>
      <xdr:rowOff>1500637</xdr:rowOff>
    </xdr:to>
    <xdr:grpSp>
      <xdr:nvGrpSpPr>
        <xdr:cNvPr id="44" name="Группа 43"/>
        <xdr:cNvGrpSpPr/>
      </xdr:nvGrpSpPr>
      <xdr:grpSpPr>
        <a:xfrm>
          <a:off x="8669941" y="927166"/>
          <a:ext cx="3639792" cy="1492353"/>
          <a:chOff x="7868477" y="919371"/>
          <a:chExt cx="3639792" cy="1492353"/>
        </a:xfrm>
      </xdr:grpSpPr>
      <xdr:pic>
        <xdr:nvPicPr>
          <xdr:cNvPr id="35" name="Рисунок 34"/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print"/>
          <a:srcRect l="3246" t="6198" r="2626" b="82979"/>
          <a:stretch/>
        </xdr:blipFill>
        <xdr:spPr>
          <a:xfrm>
            <a:off x="7992721" y="2294283"/>
            <a:ext cx="3453847" cy="117441"/>
          </a:xfrm>
          <a:prstGeom prst="rect">
            <a:avLst/>
          </a:prstGeom>
        </xdr:spPr>
      </xdr:pic>
      <xdr:grpSp>
        <xdr:nvGrpSpPr>
          <xdr:cNvPr id="43" name="Группа 42"/>
          <xdr:cNvGrpSpPr/>
        </xdr:nvGrpSpPr>
        <xdr:grpSpPr>
          <a:xfrm>
            <a:off x="7868477" y="919371"/>
            <a:ext cx="3639792" cy="1391477"/>
            <a:chOff x="7868477" y="919371"/>
            <a:chExt cx="3639792" cy="1391477"/>
          </a:xfrm>
        </xdr:grpSpPr>
        <xdr:pic>
          <xdr:nvPicPr>
            <xdr:cNvPr id="37" name="Рисунок 36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0" cstate="print"/>
            <a:srcRect l="36503" t="16530" r="54186" b="8206"/>
            <a:stretch/>
          </xdr:blipFill>
          <xdr:spPr>
            <a:xfrm>
              <a:off x="9086022" y="919371"/>
              <a:ext cx="563216" cy="1386511"/>
            </a:xfrm>
            <a:prstGeom prst="rect">
              <a:avLst/>
            </a:prstGeom>
          </xdr:spPr>
        </xdr:pic>
        <xdr:pic>
          <xdr:nvPicPr>
            <xdr:cNvPr id="38" name="Рисунок 37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0" cstate="print"/>
            <a:srcRect l="2227" t="17021" r="88462" b="9190"/>
            <a:stretch/>
          </xdr:blipFill>
          <xdr:spPr>
            <a:xfrm>
              <a:off x="7868477" y="922293"/>
              <a:ext cx="579563" cy="1371989"/>
            </a:xfrm>
            <a:prstGeom prst="rect">
              <a:avLst/>
            </a:prstGeom>
          </xdr:spPr>
        </xdr:pic>
        <xdr:pic>
          <xdr:nvPicPr>
            <xdr:cNvPr id="39" name="Рисунок 38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0" cstate="print"/>
            <a:srcRect l="53525" t="16530" r="36582" b="8206"/>
            <a:stretch/>
          </xdr:blipFill>
          <xdr:spPr>
            <a:xfrm>
              <a:off x="9665804" y="919371"/>
              <a:ext cx="609600" cy="1383196"/>
            </a:xfrm>
            <a:prstGeom prst="rect">
              <a:avLst/>
            </a:prstGeom>
          </xdr:spPr>
        </xdr:pic>
        <xdr:pic>
          <xdr:nvPicPr>
            <xdr:cNvPr id="40" name="Рисунок 39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0" cstate="print"/>
            <a:srcRect l="70837" t="16530" r="19852" b="8206"/>
            <a:stretch/>
          </xdr:blipFill>
          <xdr:spPr>
            <a:xfrm>
              <a:off x="10311846" y="927652"/>
              <a:ext cx="578592" cy="1383196"/>
            </a:xfrm>
            <a:prstGeom prst="rect">
              <a:avLst/>
            </a:prstGeom>
          </xdr:spPr>
        </xdr:pic>
        <xdr:pic>
          <xdr:nvPicPr>
            <xdr:cNvPr id="41" name="Рисунок 40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0" cstate="print"/>
            <a:srcRect l="88004" t="16530" r="2772" b="8206"/>
            <a:stretch/>
          </xdr:blipFill>
          <xdr:spPr>
            <a:xfrm>
              <a:off x="10933042" y="922681"/>
              <a:ext cx="575227" cy="1388166"/>
            </a:xfrm>
            <a:prstGeom prst="rect">
              <a:avLst/>
            </a:prstGeom>
          </xdr:spPr>
        </xdr:pic>
        <xdr:pic>
          <xdr:nvPicPr>
            <xdr:cNvPr id="42" name="Рисунок 41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0" cstate="print"/>
            <a:srcRect l="19739" t="16836" r="71326" b="9507"/>
            <a:stretch/>
          </xdr:blipFill>
          <xdr:spPr>
            <a:xfrm>
              <a:off x="8489676" y="927652"/>
              <a:ext cx="552884" cy="1350065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3</xdr:col>
      <xdr:colOff>1008529</xdr:colOff>
      <xdr:row>25</xdr:row>
      <xdr:rowOff>241723</xdr:rowOff>
    </xdr:from>
    <xdr:to>
      <xdr:col>4</xdr:col>
      <xdr:colOff>3663115</xdr:colOff>
      <xdr:row>36</xdr:row>
      <xdr:rowOff>100853</xdr:rowOff>
    </xdr:to>
    <xdr:grpSp>
      <xdr:nvGrpSpPr>
        <xdr:cNvPr id="32" name="Группа 31"/>
        <xdr:cNvGrpSpPr/>
      </xdr:nvGrpSpPr>
      <xdr:grpSpPr>
        <a:xfrm>
          <a:off x="5916705" y="9643458"/>
          <a:ext cx="6374939" cy="2302013"/>
          <a:chOff x="5916705" y="8657341"/>
          <a:chExt cx="5579322" cy="2302012"/>
        </a:xfrm>
      </xdr:grpSpPr>
      <xdr:pic>
        <xdr:nvPicPr>
          <xdr:cNvPr id="11" name="Рисунок 10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11213" y="8657341"/>
            <a:ext cx="2584814" cy="2302012"/>
          </a:xfrm>
          <a:prstGeom prst="rect">
            <a:avLst/>
          </a:prstGeom>
        </xdr:spPr>
      </xdr:pic>
      <xdr:pic>
        <xdr:nvPicPr>
          <xdr:cNvPr id="14" name="Рисунок 13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63118" y="8721913"/>
            <a:ext cx="1346946" cy="2002115"/>
          </a:xfrm>
          <a:prstGeom prst="rect">
            <a:avLst/>
          </a:prstGeom>
        </xdr:spPr>
      </xdr:pic>
      <xdr:pic>
        <xdr:nvPicPr>
          <xdr:cNvPr id="25" name="Рисунок 24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16705" y="8706971"/>
            <a:ext cx="1380563" cy="2017058"/>
          </a:xfrm>
          <a:prstGeom prst="rect">
            <a:avLst/>
          </a:prstGeom>
        </xdr:spPr>
      </xdr:pic>
    </xdr:grpSp>
    <xdr:clientData/>
  </xdr:twoCellAnchor>
  <xdr:oneCellAnchor>
    <xdr:from>
      <xdr:col>5</xdr:col>
      <xdr:colOff>0</xdr:colOff>
      <xdr:row>9</xdr:row>
      <xdr:rowOff>0</xdr:rowOff>
    </xdr:from>
    <xdr:ext cx="184731" cy="264560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xmlns="" id="{00000000-0008-0000-1E00-00000C000000}"/>
            </a:ext>
          </a:extLst>
        </xdr:cNvPr>
        <xdr:cNvSpPr txBox="1"/>
      </xdr:nvSpPr>
      <xdr:spPr>
        <a:xfrm>
          <a:off x="12348882" y="309282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2178844</xdr:colOff>
      <xdr:row>4</xdr:row>
      <xdr:rowOff>166688</xdr:rowOff>
    </xdr:from>
    <xdr:to>
      <xdr:col>1</xdr:col>
      <xdr:colOff>2833687</xdr:colOff>
      <xdr:row>4</xdr:row>
      <xdr:rowOff>1803792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0813" y="2321719"/>
          <a:ext cx="654843" cy="163710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31</xdr:row>
      <xdr:rowOff>0</xdr:rowOff>
    </xdr:from>
    <xdr:ext cx="184731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xmlns="" id="{00000000-0008-0000-1E00-00000C000000}"/>
            </a:ext>
          </a:extLst>
        </xdr:cNvPr>
        <xdr:cNvSpPr txBox="1"/>
      </xdr:nvSpPr>
      <xdr:spPr>
        <a:xfrm>
          <a:off x="12692743" y="984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8</xdr:col>
      <xdr:colOff>348984</xdr:colOff>
      <xdr:row>55</xdr:row>
      <xdr:rowOff>0</xdr:rowOff>
    </xdr:from>
    <xdr:to>
      <xdr:col>8</xdr:col>
      <xdr:colOff>354107</xdr:colOff>
      <xdr:row>55</xdr:row>
      <xdr:rowOff>85181</xdr:rowOff>
    </xdr:to>
    <xdr:pic>
      <xdr:nvPicPr>
        <xdr:cNvPr id="13" name="Рисунок 12" descr="галочка.png">
          <a:extLst>
            <a:ext uri="{FF2B5EF4-FFF2-40B4-BE49-F238E27FC236}">
              <a16:creationId xmlns:a16="http://schemas.microsoft.com/office/drawing/2014/main" xmlns="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826234" y="18704282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9</xdr:col>
      <xdr:colOff>729983</xdr:colOff>
      <xdr:row>55</xdr:row>
      <xdr:rowOff>0</xdr:rowOff>
    </xdr:from>
    <xdr:to>
      <xdr:col>9</xdr:col>
      <xdr:colOff>735106</xdr:colOff>
      <xdr:row>55</xdr:row>
      <xdr:rowOff>47081</xdr:rowOff>
    </xdr:to>
    <xdr:pic>
      <xdr:nvPicPr>
        <xdr:cNvPr id="14" name="Рисунок 13" descr="галочка.png">
          <a:extLst>
            <a:ext uri="{FF2B5EF4-FFF2-40B4-BE49-F238E27FC236}">
              <a16:creationId xmlns:a16="http://schemas.microsoft.com/office/drawing/2014/main" xmlns="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597883" y="1859542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31</xdr:row>
      <xdr:rowOff>0</xdr:rowOff>
    </xdr:from>
    <xdr:to>
      <xdr:col>5</xdr:col>
      <xdr:colOff>735106</xdr:colOff>
      <xdr:row>31</xdr:row>
      <xdr:rowOff>20411</xdr:rowOff>
    </xdr:to>
    <xdr:pic>
      <xdr:nvPicPr>
        <xdr:cNvPr id="29" name="Рисунок 28" descr="галочка.png">
          <a:extLst>
            <a:ext uri="{FF2B5EF4-FFF2-40B4-BE49-F238E27FC236}">
              <a16:creationId xmlns:a16="http://schemas.microsoft.com/office/drawing/2014/main" xmlns="" id="{00000000-0008-0000-1E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35183" y="8727525"/>
          <a:ext cx="5123" cy="20411"/>
        </a:xfrm>
        <a:prstGeom prst="rect">
          <a:avLst/>
        </a:prstGeom>
      </xdr:spPr>
    </xdr:pic>
    <xdr:clientData/>
  </xdr:twoCellAnchor>
  <xdr:twoCellAnchor>
    <xdr:from>
      <xdr:col>6</xdr:col>
      <xdr:colOff>535781</xdr:colOff>
      <xdr:row>1</xdr:row>
      <xdr:rowOff>102098</xdr:rowOff>
    </xdr:from>
    <xdr:to>
      <xdr:col>6</xdr:col>
      <xdr:colOff>1121941</xdr:colOff>
      <xdr:row>3</xdr:row>
      <xdr:rowOff>112148</xdr:rowOff>
    </xdr:to>
    <xdr:pic>
      <xdr:nvPicPr>
        <xdr:cNvPr id="2" name="Рисунок 15" descr="корсика.png">
          <a:extLst>
            <a:ext uri="{FF2B5EF4-FFF2-40B4-BE49-F238E27FC236}">
              <a16:creationId xmlns:a16="http://schemas.microsoft.com/office/drawing/2014/main" xmlns="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238750" y="328317"/>
          <a:ext cx="586160" cy="1319737"/>
        </a:xfrm>
        <a:prstGeom prst="rect">
          <a:avLst/>
        </a:prstGeom>
      </xdr:spPr>
    </xdr:pic>
    <xdr:clientData/>
  </xdr:twoCellAnchor>
  <xdr:twoCellAnchor editAs="oneCell">
    <xdr:from>
      <xdr:col>12</xdr:col>
      <xdr:colOff>729983</xdr:colOff>
      <xdr:row>55</xdr:row>
      <xdr:rowOff>0</xdr:rowOff>
    </xdr:from>
    <xdr:to>
      <xdr:col>12</xdr:col>
      <xdr:colOff>0</xdr:colOff>
      <xdr:row>55</xdr:row>
      <xdr:rowOff>47081</xdr:rowOff>
    </xdr:to>
    <xdr:pic>
      <xdr:nvPicPr>
        <xdr:cNvPr id="7" name="Рисунок 6" descr="галочка.png">
          <a:extLst>
            <a:ext uri="{FF2B5EF4-FFF2-40B4-BE49-F238E27FC236}">
              <a16:creationId xmlns:a16="http://schemas.microsoft.com/office/drawing/2014/main" xmlns="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76327" y="13061156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8</xdr:col>
      <xdr:colOff>348984</xdr:colOff>
      <xdr:row>56</xdr:row>
      <xdr:rowOff>0</xdr:rowOff>
    </xdr:from>
    <xdr:to>
      <xdr:col>8</xdr:col>
      <xdr:colOff>354107</xdr:colOff>
      <xdr:row>56</xdr:row>
      <xdr:rowOff>85181</xdr:rowOff>
    </xdr:to>
    <xdr:pic>
      <xdr:nvPicPr>
        <xdr:cNvPr id="8" name="Рисунок 7" descr="галочка.png">
          <a:extLst>
            <a:ext uri="{FF2B5EF4-FFF2-40B4-BE49-F238E27FC236}">
              <a16:creationId xmlns:a16="http://schemas.microsoft.com/office/drawing/2014/main" xmlns="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92091" y="13280571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9</xdr:col>
      <xdr:colOff>729983</xdr:colOff>
      <xdr:row>56</xdr:row>
      <xdr:rowOff>0</xdr:rowOff>
    </xdr:from>
    <xdr:to>
      <xdr:col>9</xdr:col>
      <xdr:colOff>735106</xdr:colOff>
      <xdr:row>56</xdr:row>
      <xdr:rowOff>47081</xdr:rowOff>
    </xdr:to>
    <xdr:pic>
      <xdr:nvPicPr>
        <xdr:cNvPr id="9" name="Рисунок 8" descr="галочка.png">
          <a:extLst>
            <a:ext uri="{FF2B5EF4-FFF2-40B4-BE49-F238E27FC236}">
              <a16:creationId xmlns:a16="http://schemas.microsoft.com/office/drawing/2014/main" xmlns="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61019" y="13280571"/>
          <a:ext cx="5123" cy="47081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579903</xdr:colOff>
      <xdr:row>1</xdr:row>
      <xdr:rowOff>212966</xdr:rowOff>
    </xdr:from>
    <xdr:to>
      <xdr:col>6</xdr:col>
      <xdr:colOff>1000125</xdr:colOff>
      <xdr:row>2</xdr:row>
      <xdr:rowOff>1114705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8528" y="439185"/>
          <a:ext cx="420222" cy="1127958"/>
        </a:xfrm>
        <a:prstGeom prst="rect">
          <a:avLst/>
        </a:prstGeom>
      </xdr:spPr>
    </xdr:pic>
    <xdr:clientData/>
  </xdr:twoCellAnchor>
  <xdr:twoCellAnchor editAs="oneCell">
    <xdr:from>
      <xdr:col>7</xdr:col>
      <xdr:colOff>474988</xdr:colOff>
      <xdr:row>1</xdr:row>
      <xdr:rowOff>214312</xdr:rowOff>
    </xdr:from>
    <xdr:to>
      <xdr:col>7</xdr:col>
      <xdr:colOff>949557</xdr:colOff>
      <xdr:row>2</xdr:row>
      <xdr:rowOff>1131093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2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4738" y="440531"/>
          <a:ext cx="474569" cy="1143000"/>
        </a:xfrm>
        <a:prstGeom prst="rect">
          <a:avLst/>
        </a:prstGeom>
      </xdr:spPr>
    </xdr:pic>
    <xdr:clientData/>
  </xdr:twoCellAnchor>
  <xdr:twoCellAnchor editAs="oneCell">
    <xdr:from>
      <xdr:col>8</xdr:col>
      <xdr:colOff>495719</xdr:colOff>
      <xdr:row>1</xdr:row>
      <xdr:rowOff>214311</xdr:rowOff>
    </xdr:from>
    <xdr:to>
      <xdr:col>8</xdr:col>
      <xdr:colOff>1000125</xdr:colOff>
      <xdr:row>3</xdr:row>
      <xdr:rowOff>11459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2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594" y="440530"/>
          <a:ext cx="504406" cy="1166367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35719</xdr:colOff>
      <xdr:row>21</xdr:row>
      <xdr:rowOff>16525</xdr:rowOff>
    </xdr:from>
    <xdr:to>
      <xdr:col>5</xdr:col>
      <xdr:colOff>1503888</xdr:colOff>
      <xdr:row>30</xdr:row>
      <xdr:rowOff>23813</xdr:rowOff>
    </xdr:to>
    <xdr:pic>
      <xdr:nvPicPr>
        <xdr:cNvPr id="2" name="Рисунок 1" descr="2023-01-24_15-09-36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0063" y="1230963"/>
          <a:ext cx="9123888" cy="235281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43543</xdr:colOff>
      <xdr:row>29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1F00-000002000000}"/>
            </a:ext>
          </a:extLst>
        </xdr:cNvPr>
        <xdr:cNvSpPr txBox="1"/>
      </xdr:nvSpPr>
      <xdr:spPr>
        <a:xfrm>
          <a:off x="11408229" y="1119051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6</xdr:col>
      <xdr:colOff>0</xdr:colOff>
      <xdr:row>61</xdr:row>
      <xdr:rowOff>0</xdr:rowOff>
    </xdr:from>
    <xdr:to>
      <xdr:col>6</xdr:col>
      <xdr:colOff>5123</xdr:colOff>
      <xdr:row>61</xdr:row>
      <xdr:rowOff>85181</xdr:rowOff>
    </xdr:to>
    <xdr:pic>
      <xdr:nvPicPr>
        <xdr:cNvPr id="34" name="Рисунок 33" descr="галочка.png">
          <a:extLst>
            <a:ext uri="{FF2B5EF4-FFF2-40B4-BE49-F238E27FC236}">
              <a16:creationId xmlns:a16="http://schemas.microsoft.com/office/drawing/2014/main" xmlns="" id="{00000000-0008-0000-1F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771805" y="18721971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6</xdr:col>
      <xdr:colOff>729983</xdr:colOff>
      <xdr:row>61</xdr:row>
      <xdr:rowOff>0</xdr:rowOff>
    </xdr:from>
    <xdr:to>
      <xdr:col>6</xdr:col>
      <xdr:colOff>735106</xdr:colOff>
      <xdr:row>61</xdr:row>
      <xdr:rowOff>47081</xdr:rowOff>
    </xdr:to>
    <xdr:pic>
      <xdr:nvPicPr>
        <xdr:cNvPr id="36" name="Рисунок 35" descr="галочка.png">
          <a:extLst>
            <a:ext uri="{FF2B5EF4-FFF2-40B4-BE49-F238E27FC236}">
              <a16:creationId xmlns:a16="http://schemas.microsoft.com/office/drawing/2014/main" xmlns="" id="{00000000-0008-0000-1F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464533" y="1730955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29</xdr:row>
      <xdr:rowOff>0</xdr:rowOff>
    </xdr:from>
    <xdr:to>
      <xdr:col>5</xdr:col>
      <xdr:colOff>735106</xdr:colOff>
      <xdr:row>29</xdr:row>
      <xdr:rowOff>20411</xdr:rowOff>
    </xdr:to>
    <xdr:pic>
      <xdr:nvPicPr>
        <xdr:cNvPr id="60" name="Рисунок 59" descr="галочка.png">
          <a:extLst>
            <a:ext uri="{FF2B5EF4-FFF2-40B4-BE49-F238E27FC236}">
              <a16:creationId xmlns:a16="http://schemas.microsoft.com/office/drawing/2014/main" xmlns="" id="{00000000-0008-0000-1F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68508" y="7870275"/>
          <a:ext cx="5123" cy="20411"/>
        </a:xfrm>
        <a:prstGeom prst="rect">
          <a:avLst/>
        </a:prstGeom>
      </xdr:spPr>
    </xdr:pic>
    <xdr:clientData/>
  </xdr:twoCellAnchor>
  <xdr:twoCellAnchor>
    <xdr:from>
      <xdr:col>6</xdr:col>
      <xdr:colOff>319849</xdr:colOff>
      <xdr:row>2</xdr:row>
      <xdr:rowOff>35718</xdr:rowOff>
    </xdr:from>
    <xdr:to>
      <xdr:col>6</xdr:col>
      <xdr:colOff>857634</xdr:colOff>
      <xdr:row>3</xdr:row>
      <xdr:rowOff>9192</xdr:rowOff>
    </xdr:to>
    <xdr:pic>
      <xdr:nvPicPr>
        <xdr:cNvPr id="16" name="Рисунок 18" descr="корсика.png">
          <a:extLst>
            <a:ext uri="{FF2B5EF4-FFF2-40B4-BE49-F238E27FC236}">
              <a16:creationId xmlns:a16="http://schemas.microsoft.com/office/drawing/2014/main" xmlns="" id="{00000000-0008-0000-1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629912" y="452437"/>
          <a:ext cx="537785" cy="1116474"/>
        </a:xfrm>
        <a:prstGeom prst="rect">
          <a:avLst/>
        </a:prstGeom>
      </xdr:spPr>
    </xdr:pic>
    <xdr:clientData/>
  </xdr:twoCellAnchor>
  <xdr:twoCellAnchor>
    <xdr:from>
      <xdr:col>7</xdr:col>
      <xdr:colOff>348496</xdr:colOff>
      <xdr:row>2</xdr:row>
      <xdr:rowOff>11905</xdr:rowOff>
    </xdr:from>
    <xdr:to>
      <xdr:col>7</xdr:col>
      <xdr:colOff>892967</xdr:colOff>
      <xdr:row>2</xdr:row>
      <xdr:rowOff>1139002</xdr:rowOff>
    </xdr:to>
    <xdr:pic>
      <xdr:nvPicPr>
        <xdr:cNvPr id="17" name="Рисунок 19" descr="корсика.png">
          <a:extLst>
            <a:ext uri="{FF2B5EF4-FFF2-40B4-BE49-F238E27FC236}">
              <a16:creationId xmlns:a16="http://schemas.microsoft.com/office/drawing/2014/main" xmlns="" id="{00000000-0008-0000-1F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908715" y="428624"/>
          <a:ext cx="544471" cy="1127097"/>
        </a:xfrm>
        <a:prstGeom prst="rect">
          <a:avLst/>
        </a:prstGeom>
      </xdr:spPr>
    </xdr:pic>
    <xdr:clientData/>
  </xdr:twoCellAnchor>
  <xdr:twoCellAnchor>
    <xdr:from>
      <xdr:col>8</xdr:col>
      <xdr:colOff>367734</xdr:colOff>
      <xdr:row>2</xdr:row>
      <xdr:rowOff>23811</xdr:rowOff>
    </xdr:from>
    <xdr:to>
      <xdr:col>8</xdr:col>
      <xdr:colOff>899785</xdr:colOff>
      <xdr:row>2</xdr:row>
      <xdr:rowOff>1128380</xdr:rowOff>
    </xdr:to>
    <xdr:pic>
      <xdr:nvPicPr>
        <xdr:cNvPr id="18" name="Рисунок 20" descr="корсика.png">
          <a:extLst>
            <a:ext uri="{FF2B5EF4-FFF2-40B4-BE49-F238E27FC236}">
              <a16:creationId xmlns:a16="http://schemas.microsoft.com/office/drawing/2014/main" xmlns="" id="{00000000-0008-0000-1F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78109" y="440530"/>
          <a:ext cx="532051" cy="1104569"/>
        </a:xfrm>
        <a:prstGeom prst="rect">
          <a:avLst/>
        </a:prstGeom>
      </xdr:spPr>
    </xdr:pic>
    <xdr:clientData/>
  </xdr:twoCellAnchor>
  <xdr:twoCellAnchor>
    <xdr:from>
      <xdr:col>9</xdr:col>
      <xdr:colOff>321486</xdr:colOff>
      <xdr:row>2</xdr:row>
      <xdr:rowOff>11906</xdr:rowOff>
    </xdr:from>
    <xdr:to>
      <xdr:col>9</xdr:col>
      <xdr:colOff>836805</xdr:colOff>
      <xdr:row>2</xdr:row>
      <xdr:rowOff>1078655</xdr:rowOff>
    </xdr:to>
    <xdr:pic>
      <xdr:nvPicPr>
        <xdr:cNvPr id="21" name="Рисунок 24" descr="корсика.png">
          <a:extLst>
            <a:ext uri="{FF2B5EF4-FFF2-40B4-BE49-F238E27FC236}">
              <a16:creationId xmlns:a16="http://schemas.microsoft.com/office/drawing/2014/main" xmlns="" id="{00000000-0008-0000-1F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382017" y="428625"/>
          <a:ext cx="515319" cy="1066749"/>
        </a:xfrm>
        <a:prstGeom prst="rect">
          <a:avLst/>
        </a:prstGeom>
      </xdr:spPr>
    </xdr:pic>
    <xdr:clientData/>
  </xdr:twoCellAnchor>
  <xdr:twoCellAnchor>
    <xdr:from>
      <xdr:col>10</xdr:col>
      <xdr:colOff>366487</xdr:colOff>
      <xdr:row>2</xdr:row>
      <xdr:rowOff>23812</xdr:rowOff>
    </xdr:from>
    <xdr:to>
      <xdr:col>10</xdr:col>
      <xdr:colOff>857249</xdr:colOff>
      <xdr:row>2</xdr:row>
      <xdr:rowOff>1116660</xdr:rowOff>
    </xdr:to>
    <xdr:pic>
      <xdr:nvPicPr>
        <xdr:cNvPr id="2049" name="Picture 1">
          <a:extLst>
            <a:ext uri="{FF2B5EF4-FFF2-40B4-BE49-F238E27FC236}">
              <a16:creationId xmlns:a16="http://schemas.microsoft.com/office/drawing/2014/main" xmlns="" id="{00000000-0008-0000-1F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677175" y="440531"/>
          <a:ext cx="490762" cy="10928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11</xdr:col>
      <xdr:colOff>367191</xdr:colOff>
      <xdr:row>2</xdr:row>
      <xdr:rowOff>52406</xdr:rowOff>
    </xdr:from>
    <xdr:to>
      <xdr:col>11</xdr:col>
      <xdr:colOff>833438</xdr:colOff>
      <xdr:row>2</xdr:row>
      <xdr:rowOff>1097370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8035" y="469125"/>
          <a:ext cx="466247" cy="1044964"/>
        </a:xfrm>
        <a:prstGeom prst="rect">
          <a:avLst/>
        </a:prstGeom>
      </xdr:spPr>
    </xdr:pic>
    <xdr:clientData/>
  </xdr:twoCellAnchor>
  <xdr:twoCellAnchor editAs="oneCell">
    <xdr:from>
      <xdr:col>8</xdr:col>
      <xdr:colOff>348984</xdr:colOff>
      <xdr:row>59</xdr:row>
      <xdr:rowOff>0</xdr:rowOff>
    </xdr:from>
    <xdr:to>
      <xdr:col>8</xdr:col>
      <xdr:colOff>354107</xdr:colOff>
      <xdr:row>59</xdr:row>
      <xdr:rowOff>85181</xdr:rowOff>
    </xdr:to>
    <xdr:pic>
      <xdr:nvPicPr>
        <xdr:cNvPr id="12" name="Рисунок 11" descr="галочка.png">
          <a:extLst>
            <a:ext uri="{FF2B5EF4-FFF2-40B4-BE49-F238E27FC236}">
              <a16:creationId xmlns:a16="http://schemas.microsoft.com/office/drawing/2014/main" xmlns="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97534" y="12439650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9</xdr:col>
      <xdr:colOff>729983</xdr:colOff>
      <xdr:row>59</xdr:row>
      <xdr:rowOff>0</xdr:rowOff>
    </xdr:from>
    <xdr:to>
      <xdr:col>9</xdr:col>
      <xdr:colOff>735106</xdr:colOff>
      <xdr:row>59</xdr:row>
      <xdr:rowOff>47081</xdr:rowOff>
    </xdr:to>
    <xdr:pic>
      <xdr:nvPicPr>
        <xdr:cNvPr id="13" name="Рисунок 12" descr="галочка.png">
          <a:extLst>
            <a:ext uri="{FF2B5EF4-FFF2-40B4-BE49-F238E27FC236}">
              <a16:creationId xmlns:a16="http://schemas.microsoft.com/office/drawing/2014/main" xmlns="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59658" y="12439650"/>
          <a:ext cx="5123" cy="470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27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1E00-00000C000000}"/>
            </a:ext>
          </a:extLst>
        </xdr:cNvPr>
        <xdr:cNvSpPr txBox="1"/>
      </xdr:nvSpPr>
      <xdr:spPr>
        <a:xfrm>
          <a:off x="11191875" y="11763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9</xdr:col>
      <xdr:colOff>348984</xdr:colOff>
      <xdr:row>49</xdr:row>
      <xdr:rowOff>0</xdr:rowOff>
    </xdr:from>
    <xdr:to>
      <xdr:col>9</xdr:col>
      <xdr:colOff>354107</xdr:colOff>
      <xdr:row>49</xdr:row>
      <xdr:rowOff>85181</xdr:rowOff>
    </xdr:to>
    <xdr:pic>
      <xdr:nvPicPr>
        <xdr:cNvPr id="3" name="Рисунок 2" descr="галочка.png">
          <a:extLst>
            <a:ext uri="{FF2B5EF4-FFF2-40B4-BE49-F238E27FC236}">
              <a16:creationId xmlns:a16="http://schemas.microsoft.com/office/drawing/2014/main" xmlns="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97484" y="16468725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49</xdr:row>
      <xdr:rowOff>0</xdr:rowOff>
    </xdr:from>
    <xdr:to>
      <xdr:col>10</xdr:col>
      <xdr:colOff>5123</xdr:colOff>
      <xdr:row>49</xdr:row>
      <xdr:rowOff>47081</xdr:rowOff>
    </xdr:to>
    <xdr:pic>
      <xdr:nvPicPr>
        <xdr:cNvPr id="4" name="Рисунок 3" descr="галочка.png">
          <a:extLst>
            <a:ext uri="{FF2B5EF4-FFF2-40B4-BE49-F238E27FC236}">
              <a16:creationId xmlns:a16="http://schemas.microsoft.com/office/drawing/2014/main" xmlns="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159608" y="1646872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27</xdr:row>
      <xdr:rowOff>0</xdr:rowOff>
    </xdr:from>
    <xdr:to>
      <xdr:col>5</xdr:col>
      <xdr:colOff>735106</xdr:colOff>
      <xdr:row>27</xdr:row>
      <xdr:rowOff>20411</xdr:rowOff>
    </xdr:to>
    <xdr:pic>
      <xdr:nvPicPr>
        <xdr:cNvPr id="5" name="Рисунок 4" descr="галочка.png">
          <a:extLst>
            <a:ext uri="{FF2B5EF4-FFF2-40B4-BE49-F238E27FC236}">
              <a16:creationId xmlns:a16="http://schemas.microsoft.com/office/drawing/2014/main" xmlns="" id="{00000000-0008-0000-1E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35183" y="8708475"/>
          <a:ext cx="5123" cy="20411"/>
        </a:xfrm>
        <a:prstGeom prst="rect">
          <a:avLst/>
        </a:prstGeom>
      </xdr:spPr>
    </xdr:pic>
    <xdr:clientData/>
  </xdr:twoCellAnchor>
  <xdr:twoCellAnchor editAs="oneCell">
    <xdr:from>
      <xdr:col>9</xdr:col>
      <xdr:colOff>348984</xdr:colOff>
      <xdr:row>47</xdr:row>
      <xdr:rowOff>0</xdr:rowOff>
    </xdr:from>
    <xdr:to>
      <xdr:col>9</xdr:col>
      <xdr:colOff>354107</xdr:colOff>
      <xdr:row>47</xdr:row>
      <xdr:rowOff>85181</xdr:rowOff>
    </xdr:to>
    <xdr:pic>
      <xdr:nvPicPr>
        <xdr:cNvPr id="9" name="Рисунок 8" descr="галочка.png">
          <a:extLst>
            <a:ext uri="{FF2B5EF4-FFF2-40B4-BE49-F238E27FC236}">
              <a16:creationId xmlns:a16="http://schemas.microsoft.com/office/drawing/2014/main" xmlns="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97534" y="12706350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47</xdr:row>
      <xdr:rowOff>0</xdr:rowOff>
    </xdr:from>
    <xdr:to>
      <xdr:col>10</xdr:col>
      <xdr:colOff>5123</xdr:colOff>
      <xdr:row>47</xdr:row>
      <xdr:rowOff>47081</xdr:rowOff>
    </xdr:to>
    <xdr:pic>
      <xdr:nvPicPr>
        <xdr:cNvPr id="11" name="Рисунок 10" descr="галочка.png">
          <a:extLst>
            <a:ext uri="{FF2B5EF4-FFF2-40B4-BE49-F238E27FC236}">
              <a16:creationId xmlns:a16="http://schemas.microsoft.com/office/drawing/2014/main" xmlns="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59658" y="1270635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8</xdr:col>
      <xdr:colOff>750095</xdr:colOff>
      <xdr:row>1</xdr:row>
      <xdr:rowOff>190423</xdr:rowOff>
    </xdr:from>
    <xdr:to>
      <xdr:col>8</xdr:col>
      <xdr:colOff>1263309</xdr:colOff>
      <xdr:row>3</xdr:row>
      <xdr:rowOff>107156</xdr:rowOff>
    </xdr:to>
    <xdr:pic>
      <xdr:nvPicPr>
        <xdr:cNvPr id="12" name="Рисунок 11" descr="SLOT 10-004 AL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762876" y="416642"/>
          <a:ext cx="513214" cy="1250233"/>
        </a:xfrm>
        <a:prstGeom prst="rect">
          <a:avLst/>
        </a:prstGeom>
      </xdr:spPr>
    </xdr:pic>
    <xdr:clientData/>
  </xdr:twoCellAnchor>
  <xdr:twoCellAnchor editAs="oneCell">
    <xdr:from>
      <xdr:col>9</xdr:col>
      <xdr:colOff>267387</xdr:colOff>
      <xdr:row>1</xdr:row>
      <xdr:rowOff>190499</xdr:rowOff>
    </xdr:from>
    <xdr:to>
      <xdr:col>9</xdr:col>
      <xdr:colOff>773936</xdr:colOff>
      <xdr:row>3</xdr:row>
      <xdr:rowOff>119062</xdr:rowOff>
    </xdr:to>
    <xdr:pic>
      <xdr:nvPicPr>
        <xdr:cNvPr id="13" name="Рисунок 12" descr="SLOT 10-011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732606" y="416718"/>
          <a:ext cx="506549" cy="1262063"/>
        </a:xfrm>
        <a:prstGeom prst="rect">
          <a:avLst/>
        </a:prstGeom>
      </xdr:spPr>
    </xdr:pic>
    <xdr:clientData/>
  </xdr:twoCellAnchor>
  <xdr:twoCellAnchor editAs="oneCell">
    <xdr:from>
      <xdr:col>9</xdr:col>
      <xdr:colOff>857239</xdr:colOff>
      <xdr:row>2</xdr:row>
      <xdr:rowOff>5651</xdr:rowOff>
    </xdr:from>
    <xdr:to>
      <xdr:col>9</xdr:col>
      <xdr:colOff>1345396</xdr:colOff>
      <xdr:row>3</xdr:row>
      <xdr:rowOff>107157</xdr:rowOff>
    </xdr:to>
    <xdr:pic>
      <xdr:nvPicPr>
        <xdr:cNvPr id="14" name="Рисунок 13" descr="SLOT 10-012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22458" y="422370"/>
          <a:ext cx="488157" cy="1244506"/>
        </a:xfrm>
        <a:prstGeom prst="rect">
          <a:avLst/>
        </a:prstGeom>
      </xdr:spPr>
    </xdr:pic>
    <xdr:clientData/>
  </xdr:twoCellAnchor>
  <xdr:twoCellAnchor editAs="oneCell">
    <xdr:from>
      <xdr:col>10</xdr:col>
      <xdr:colOff>439186</xdr:colOff>
      <xdr:row>2</xdr:row>
      <xdr:rowOff>23811</xdr:rowOff>
    </xdr:from>
    <xdr:to>
      <xdr:col>10</xdr:col>
      <xdr:colOff>928685</xdr:colOff>
      <xdr:row>3</xdr:row>
      <xdr:rowOff>100392</xdr:rowOff>
    </xdr:to>
    <xdr:pic>
      <xdr:nvPicPr>
        <xdr:cNvPr id="15" name="Рисунок 14" descr="SLOT 41-002 AL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273749" y="440530"/>
          <a:ext cx="489499" cy="1219581"/>
        </a:xfrm>
        <a:prstGeom prst="rect">
          <a:avLst/>
        </a:prstGeom>
      </xdr:spPr>
    </xdr:pic>
    <xdr:clientData/>
  </xdr:twoCellAnchor>
  <xdr:twoCellAnchor editAs="oneCell">
    <xdr:from>
      <xdr:col>8</xdr:col>
      <xdr:colOff>152910</xdr:colOff>
      <xdr:row>1</xdr:row>
      <xdr:rowOff>190497</xdr:rowOff>
    </xdr:from>
    <xdr:to>
      <xdr:col>8</xdr:col>
      <xdr:colOff>658920</xdr:colOff>
      <xdr:row>3</xdr:row>
      <xdr:rowOff>119060</xdr:rowOff>
    </xdr:to>
    <xdr:pic>
      <xdr:nvPicPr>
        <xdr:cNvPr id="17" name="Рисунок 16" descr="SLOT 10-002 AL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65691" y="416716"/>
          <a:ext cx="506010" cy="1262063"/>
        </a:xfrm>
        <a:prstGeom prst="rect">
          <a:avLst/>
        </a:prstGeom>
      </xdr:spPr>
    </xdr:pic>
    <xdr:clientData/>
  </xdr:twoCellAnchor>
  <xdr:twoCellAnchor editAs="oneCell">
    <xdr:from>
      <xdr:col>9</xdr:col>
      <xdr:colOff>348984</xdr:colOff>
      <xdr:row>46</xdr:row>
      <xdr:rowOff>0</xdr:rowOff>
    </xdr:from>
    <xdr:to>
      <xdr:col>9</xdr:col>
      <xdr:colOff>354107</xdr:colOff>
      <xdr:row>46</xdr:row>
      <xdr:rowOff>85181</xdr:rowOff>
    </xdr:to>
    <xdr:pic>
      <xdr:nvPicPr>
        <xdr:cNvPr id="19" name="Рисунок 18" descr="галочка.png">
          <a:extLst>
            <a:ext uri="{FF2B5EF4-FFF2-40B4-BE49-F238E27FC236}">
              <a16:creationId xmlns:a16="http://schemas.microsoft.com/office/drawing/2014/main" xmlns="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861953" y="11287125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46</xdr:row>
      <xdr:rowOff>0</xdr:rowOff>
    </xdr:from>
    <xdr:to>
      <xdr:col>10</xdr:col>
      <xdr:colOff>5123</xdr:colOff>
      <xdr:row>46</xdr:row>
      <xdr:rowOff>47081</xdr:rowOff>
    </xdr:to>
    <xdr:pic>
      <xdr:nvPicPr>
        <xdr:cNvPr id="20" name="Рисунок 19" descr="галочка.png">
          <a:extLst>
            <a:ext uri="{FF2B5EF4-FFF2-40B4-BE49-F238E27FC236}">
              <a16:creationId xmlns:a16="http://schemas.microsoft.com/office/drawing/2014/main" xmlns="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025063" y="1128712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6</xdr:col>
      <xdr:colOff>417400</xdr:colOff>
      <xdr:row>1</xdr:row>
      <xdr:rowOff>154781</xdr:rowOff>
    </xdr:from>
    <xdr:to>
      <xdr:col>6</xdr:col>
      <xdr:colOff>940594</xdr:colOff>
      <xdr:row>3</xdr:row>
      <xdr:rowOff>124814</xdr:rowOff>
    </xdr:to>
    <xdr:pic>
      <xdr:nvPicPr>
        <xdr:cNvPr id="22" name="Рисунок 21" descr="SLOT 10-001 без AL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727463" y="381000"/>
          <a:ext cx="523194" cy="130353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348984</xdr:colOff>
      <xdr:row>21</xdr:row>
      <xdr:rowOff>0</xdr:rowOff>
    </xdr:from>
    <xdr:to>
      <xdr:col>9</xdr:col>
      <xdr:colOff>354107</xdr:colOff>
      <xdr:row>21</xdr:row>
      <xdr:rowOff>85181</xdr:rowOff>
    </xdr:to>
    <xdr:pic>
      <xdr:nvPicPr>
        <xdr:cNvPr id="10" name="Рисунок 9" descr="галочка.png">
          <a:extLst>
            <a:ext uri="{FF2B5EF4-FFF2-40B4-BE49-F238E27FC236}">
              <a16:creationId xmlns:a16="http://schemas.microsoft.com/office/drawing/2014/main" xmlns="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130784" y="13563600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10</xdr:col>
      <xdr:colOff>729983</xdr:colOff>
      <xdr:row>21</xdr:row>
      <xdr:rowOff>0</xdr:rowOff>
    </xdr:from>
    <xdr:to>
      <xdr:col>10</xdr:col>
      <xdr:colOff>735106</xdr:colOff>
      <xdr:row>21</xdr:row>
      <xdr:rowOff>47081</xdr:rowOff>
    </xdr:to>
    <xdr:pic>
      <xdr:nvPicPr>
        <xdr:cNvPr id="11" name="Рисунок 10" descr="галочка.png">
          <a:extLst>
            <a:ext uri="{FF2B5EF4-FFF2-40B4-BE49-F238E27FC236}">
              <a16:creationId xmlns:a16="http://schemas.microsoft.com/office/drawing/2014/main" xmlns="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759558" y="1356360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9</xdr:col>
      <xdr:colOff>47623</xdr:colOff>
      <xdr:row>32</xdr:row>
      <xdr:rowOff>99844</xdr:rowOff>
    </xdr:from>
    <xdr:to>
      <xdr:col>10</xdr:col>
      <xdr:colOff>857249</xdr:colOff>
      <xdr:row>39</xdr:row>
      <xdr:rowOff>11912</xdr:rowOff>
    </xdr:to>
    <xdr:pic>
      <xdr:nvPicPr>
        <xdr:cNvPr id="29" name="Рисунок 28" descr="2023-01-25_11-03-14.png"/>
        <xdr:cNvPicPr>
          <a:picLocks noChangeAspect="1"/>
        </xdr:cNvPicPr>
      </xdr:nvPicPr>
      <xdr:blipFill>
        <a:blip xmlns:r="http://schemas.openxmlformats.org/officeDocument/2006/relationships" r:embed="rId2" cstate="print">
          <a:lum bright="10000"/>
        </a:blip>
        <a:srcRect t="55131" r="71611"/>
        <a:stretch>
          <a:fillRect/>
        </a:stretch>
      </xdr:blipFill>
      <xdr:spPr>
        <a:xfrm>
          <a:off x="8120061" y="7326938"/>
          <a:ext cx="2190751" cy="1245568"/>
        </a:xfrm>
        <a:prstGeom prst="rect">
          <a:avLst/>
        </a:prstGeom>
      </xdr:spPr>
    </xdr:pic>
    <xdr:clientData/>
  </xdr:twoCellAnchor>
  <xdr:twoCellAnchor editAs="oneCell">
    <xdr:from>
      <xdr:col>10</xdr:col>
      <xdr:colOff>107153</xdr:colOff>
      <xdr:row>40</xdr:row>
      <xdr:rowOff>178590</xdr:rowOff>
    </xdr:from>
    <xdr:to>
      <xdr:col>10</xdr:col>
      <xdr:colOff>964406</xdr:colOff>
      <xdr:row>48</xdr:row>
      <xdr:rowOff>125951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="" xmlns:a14="http://schemas.microsoft.com/office/drawing/2010/main">
                <a14:imgLayer r:embed="rId4"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rcRect r="48683"/>
        <a:stretch/>
      </xdr:blipFill>
      <xdr:spPr>
        <a:xfrm>
          <a:off x="9560716" y="8929684"/>
          <a:ext cx="857253" cy="1471361"/>
        </a:xfrm>
        <a:prstGeom prst="rect">
          <a:avLst/>
        </a:prstGeom>
      </xdr:spPr>
    </xdr:pic>
    <xdr:clientData/>
  </xdr:twoCellAnchor>
  <xdr:twoCellAnchor editAs="oneCell">
    <xdr:from>
      <xdr:col>9</xdr:col>
      <xdr:colOff>11903</xdr:colOff>
      <xdr:row>40</xdr:row>
      <xdr:rowOff>188118</xdr:rowOff>
    </xdr:from>
    <xdr:to>
      <xdr:col>9</xdr:col>
      <xdr:colOff>714374</xdr:colOff>
      <xdr:row>48</xdr:row>
      <xdr:rowOff>122701</xdr:rowOff>
    </xdr:to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="" xmlns:a14="http://schemas.microsoft.com/office/drawing/2010/main">
                <a14:imgLayer r:embed="rId4"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rcRect l="59760"/>
        <a:stretch/>
      </xdr:blipFill>
      <xdr:spPr>
        <a:xfrm>
          <a:off x="8084341" y="8939212"/>
          <a:ext cx="702471" cy="1458583"/>
        </a:xfrm>
        <a:prstGeom prst="rect">
          <a:avLst/>
        </a:prstGeom>
      </xdr:spPr>
    </xdr:pic>
    <xdr:clientData/>
  </xdr:twoCellAnchor>
  <xdr:twoCellAnchor editAs="oneCell">
    <xdr:from>
      <xdr:col>3</xdr:col>
      <xdr:colOff>661148</xdr:colOff>
      <xdr:row>40</xdr:row>
      <xdr:rowOff>33616</xdr:rowOff>
    </xdr:from>
    <xdr:to>
      <xdr:col>6</xdr:col>
      <xdr:colOff>752353</xdr:colOff>
      <xdr:row>48</xdr:row>
      <xdr:rowOff>179292</xdr:rowOff>
    </xdr:to>
    <xdr:pic>
      <xdr:nvPicPr>
        <xdr:cNvPr id="12" name="Рисунок 11" descr="Unit-Slot - для прайса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543736" y="9659469"/>
          <a:ext cx="2444441" cy="1669676"/>
        </a:xfrm>
        <a:prstGeom prst="rect">
          <a:avLst/>
        </a:prstGeom>
      </xdr:spPr>
    </xdr:pic>
    <xdr:clientData/>
  </xdr:twoCellAnchor>
  <xdr:twoCellAnchor editAs="oneCell">
    <xdr:from>
      <xdr:col>3</xdr:col>
      <xdr:colOff>672354</xdr:colOff>
      <xdr:row>31</xdr:row>
      <xdr:rowOff>212911</xdr:rowOff>
    </xdr:from>
    <xdr:to>
      <xdr:col>8</xdr:col>
      <xdr:colOff>812619</xdr:colOff>
      <xdr:row>40</xdr:row>
      <xdr:rowOff>22412</xdr:rowOff>
    </xdr:to>
    <xdr:pic>
      <xdr:nvPicPr>
        <xdr:cNvPr id="13" name="Рисунок 12" descr="Unit - для прайса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554942" y="8090646"/>
          <a:ext cx="4846736" cy="155761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32</xdr:row>
      <xdr:rowOff>0</xdr:rowOff>
    </xdr:from>
    <xdr:to>
      <xdr:col>6</xdr:col>
      <xdr:colOff>5123</xdr:colOff>
      <xdr:row>32</xdr:row>
      <xdr:rowOff>85181</xdr:rowOff>
    </xdr:to>
    <xdr:pic>
      <xdr:nvPicPr>
        <xdr:cNvPr id="9" name="Рисунок 8" descr="галочка.png">
          <a:extLst>
            <a:ext uri="{FF2B5EF4-FFF2-40B4-BE49-F238E27FC236}">
              <a16:creationId xmlns:a16="http://schemas.microsoft.com/office/drawing/2014/main" xmlns="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140309" y="5619750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32</xdr:row>
      <xdr:rowOff>0</xdr:rowOff>
    </xdr:from>
    <xdr:to>
      <xdr:col>6</xdr:col>
      <xdr:colOff>5123</xdr:colOff>
      <xdr:row>32</xdr:row>
      <xdr:rowOff>47081</xdr:rowOff>
    </xdr:to>
    <xdr:pic>
      <xdr:nvPicPr>
        <xdr:cNvPr id="10" name="Рисунок 9" descr="галочка.png">
          <a:extLst>
            <a:ext uri="{FF2B5EF4-FFF2-40B4-BE49-F238E27FC236}">
              <a16:creationId xmlns:a16="http://schemas.microsoft.com/office/drawing/2014/main" xmlns="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902433" y="561975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36</xdr:row>
      <xdr:rowOff>23812</xdr:rowOff>
    </xdr:from>
    <xdr:to>
      <xdr:col>6</xdr:col>
      <xdr:colOff>631031</xdr:colOff>
      <xdr:row>43</xdr:row>
      <xdr:rowOff>50006</xdr:rowOff>
    </xdr:to>
    <xdr:pic>
      <xdr:nvPicPr>
        <xdr:cNvPr id="16" name="Рисунок 15" descr="2023-01-25_11-09-44.png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grayscl/>
        </a:blip>
        <a:srcRect r="74272"/>
        <a:stretch/>
      </xdr:blipFill>
      <xdr:spPr>
        <a:xfrm>
          <a:off x="4238626" y="4131468"/>
          <a:ext cx="631030" cy="1490663"/>
        </a:xfrm>
        <a:prstGeom prst="rect">
          <a:avLst/>
        </a:prstGeom>
      </xdr:spPr>
    </xdr:pic>
    <xdr:clientData/>
  </xdr:twoCellAnchor>
  <xdr:twoCellAnchor editAs="oneCell">
    <xdr:from>
      <xdr:col>2</xdr:col>
      <xdr:colOff>690560</xdr:colOff>
      <xdr:row>36</xdr:row>
      <xdr:rowOff>23813</xdr:rowOff>
    </xdr:from>
    <xdr:to>
      <xdr:col>3</xdr:col>
      <xdr:colOff>702466</xdr:colOff>
      <xdr:row>43</xdr:row>
      <xdr:rowOff>35718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b="5411"/>
        <a:stretch/>
      </xdr:blipFill>
      <xdr:spPr>
        <a:xfrm>
          <a:off x="1785935" y="4131469"/>
          <a:ext cx="797719" cy="1476374"/>
        </a:xfrm>
        <a:prstGeom prst="rect">
          <a:avLst/>
        </a:prstGeom>
      </xdr:spPr>
    </xdr:pic>
    <xdr:clientData/>
  </xdr:twoCellAnchor>
  <xdr:twoCellAnchor editAs="oneCell">
    <xdr:from>
      <xdr:col>3</xdr:col>
      <xdr:colOff>607218</xdr:colOff>
      <xdr:row>36</xdr:row>
      <xdr:rowOff>59533</xdr:rowOff>
    </xdr:from>
    <xdr:to>
      <xdr:col>4</xdr:col>
      <xdr:colOff>460719</xdr:colOff>
      <xdr:row>42</xdr:row>
      <xdr:rowOff>202406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sharpenSoften amount="50000"/>
                  </a14:imgEffect>
                </a14:imgLayer>
              </a14:imgProps>
            </a:ext>
          </a:extLst>
        </a:blip>
        <a:srcRect l="36904" t="5640" r="38630" b="10978"/>
        <a:stretch/>
      </xdr:blipFill>
      <xdr:spPr>
        <a:xfrm>
          <a:off x="2488406" y="4167189"/>
          <a:ext cx="639313" cy="1393030"/>
        </a:xfrm>
        <a:prstGeom prst="rect">
          <a:avLst/>
        </a:prstGeom>
      </xdr:spPr>
    </xdr:pic>
    <xdr:clientData/>
  </xdr:twoCellAnchor>
  <xdr:twoCellAnchor editAs="oneCell">
    <xdr:from>
      <xdr:col>4</xdr:col>
      <xdr:colOff>488156</xdr:colOff>
      <xdr:row>35</xdr:row>
      <xdr:rowOff>190499</xdr:rowOff>
    </xdr:from>
    <xdr:to>
      <xdr:col>5</xdr:col>
      <xdr:colOff>261937</xdr:colOff>
      <xdr:row>43</xdr:row>
      <xdr:rowOff>28414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sharpenSoften amount="50000"/>
                  </a14:imgEffect>
                </a14:imgLayer>
              </a14:imgProps>
            </a:ext>
          </a:extLst>
        </a:blip>
        <a:srcRect l="75457" r="2912" b="8872"/>
        <a:stretch/>
      </xdr:blipFill>
      <xdr:spPr>
        <a:xfrm>
          <a:off x="3155156" y="4071937"/>
          <a:ext cx="559594" cy="1528602"/>
        </a:xfrm>
        <a:prstGeom prst="rect">
          <a:avLst/>
        </a:prstGeom>
      </xdr:spPr>
    </xdr:pic>
    <xdr:clientData/>
  </xdr:twoCellAnchor>
  <xdr:twoCellAnchor editAs="oneCell">
    <xdr:from>
      <xdr:col>6</xdr:col>
      <xdr:colOff>642937</xdr:colOff>
      <xdr:row>36</xdr:row>
      <xdr:rowOff>21430</xdr:rowOff>
    </xdr:from>
    <xdr:to>
      <xdr:col>6</xdr:col>
      <xdr:colOff>1226343</xdr:colOff>
      <xdr:row>43</xdr:row>
      <xdr:rowOff>47624</xdr:rowOff>
    </xdr:to>
    <xdr:pic>
      <xdr:nvPicPr>
        <xdr:cNvPr id="8" name="Рисунок 7" descr="2023-01-25_11-09-44.png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grayscl/>
        </a:blip>
        <a:srcRect l="37961" r="38253"/>
        <a:stretch/>
      </xdr:blipFill>
      <xdr:spPr>
        <a:xfrm>
          <a:off x="4881562" y="4129086"/>
          <a:ext cx="583406" cy="1490663"/>
        </a:xfrm>
        <a:prstGeom prst="rect">
          <a:avLst/>
        </a:prstGeom>
      </xdr:spPr>
    </xdr:pic>
    <xdr:clientData/>
  </xdr:twoCellAnchor>
  <xdr:twoCellAnchor editAs="oneCell">
    <xdr:from>
      <xdr:col>6</xdr:col>
      <xdr:colOff>1250156</xdr:colOff>
      <xdr:row>36</xdr:row>
      <xdr:rowOff>9524</xdr:rowOff>
    </xdr:from>
    <xdr:to>
      <xdr:col>7</xdr:col>
      <xdr:colOff>402433</xdr:colOff>
      <xdr:row>43</xdr:row>
      <xdr:rowOff>35718</xdr:rowOff>
    </xdr:to>
    <xdr:pic>
      <xdr:nvPicPr>
        <xdr:cNvPr id="11" name="Рисунок 10" descr="2023-01-25_11-09-44.png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grayscl/>
        </a:blip>
        <a:srcRect l="74854"/>
        <a:stretch/>
      </xdr:blipFill>
      <xdr:spPr>
        <a:xfrm>
          <a:off x="5488781" y="4117180"/>
          <a:ext cx="616746" cy="149066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32</xdr:row>
      <xdr:rowOff>0</xdr:rowOff>
    </xdr:from>
    <xdr:to>
      <xdr:col>8</xdr:col>
      <xdr:colOff>5123</xdr:colOff>
      <xdr:row>32</xdr:row>
      <xdr:rowOff>85181</xdr:rowOff>
    </xdr:to>
    <xdr:pic>
      <xdr:nvPicPr>
        <xdr:cNvPr id="12" name="Рисунок 11" descr="галочка.png">
          <a:extLst>
            <a:ext uri="{FF2B5EF4-FFF2-40B4-BE49-F238E27FC236}">
              <a16:creationId xmlns:a16="http://schemas.microsoft.com/office/drawing/2014/main" xmlns="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38625" y="3226594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32</xdr:row>
      <xdr:rowOff>0</xdr:rowOff>
    </xdr:from>
    <xdr:to>
      <xdr:col>8</xdr:col>
      <xdr:colOff>5123</xdr:colOff>
      <xdr:row>32</xdr:row>
      <xdr:rowOff>47081</xdr:rowOff>
    </xdr:to>
    <xdr:pic>
      <xdr:nvPicPr>
        <xdr:cNvPr id="13" name="Рисунок 12" descr="галочка.png">
          <a:extLst>
            <a:ext uri="{FF2B5EF4-FFF2-40B4-BE49-F238E27FC236}">
              <a16:creationId xmlns:a16="http://schemas.microsoft.com/office/drawing/2014/main" xmlns="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38625" y="3226594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7</xdr:col>
      <xdr:colOff>1214439</xdr:colOff>
      <xdr:row>36</xdr:row>
      <xdr:rowOff>71439</xdr:rowOff>
    </xdr:from>
    <xdr:to>
      <xdr:col>8</xdr:col>
      <xdr:colOff>1237060</xdr:colOff>
      <xdr:row>43</xdr:row>
      <xdr:rowOff>130969</xdr:rowOff>
    </xdr:to>
    <xdr:pic>
      <xdr:nvPicPr>
        <xdr:cNvPr id="18" name="Рисунок 17" descr="спейсы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917533" y="4179095"/>
          <a:ext cx="1487090" cy="152399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22</xdr:row>
      <xdr:rowOff>0</xdr:rowOff>
    </xdr:from>
    <xdr:to>
      <xdr:col>0</xdr:col>
      <xdr:colOff>5123</xdr:colOff>
      <xdr:row>22</xdr:row>
      <xdr:rowOff>4187</xdr:rowOff>
    </xdr:to>
    <xdr:pic>
      <xdr:nvPicPr>
        <xdr:cNvPr id="4" name="Рисунок 4" descr="галочка.png">
          <a:extLst>
            <a:ext uri="{FF2B5EF4-FFF2-40B4-BE49-F238E27FC236}">
              <a16:creationId xmlns:a16="http://schemas.microsoft.com/office/drawing/2014/main" xmlns="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61371" y="12890500"/>
          <a:ext cx="5123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5123</xdr:colOff>
      <xdr:row>22</xdr:row>
      <xdr:rowOff>4187</xdr:rowOff>
    </xdr:to>
    <xdr:pic>
      <xdr:nvPicPr>
        <xdr:cNvPr id="5" name="Рисунок 5" descr="галочка.png">
          <a:extLst>
            <a:ext uri="{FF2B5EF4-FFF2-40B4-BE49-F238E27FC236}">
              <a16:creationId xmlns:a16="http://schemas.microsoft.com/office/drawing/2014/main" xmlns="" id="{00000000-0008-0000-2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275771" y="12890500"/>
          <a:ext cx="5123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5123</xdr:colOff>
      <xdr:row>22</xdr:row>
      <xdr:rowOff>4187</xdr:rowOff>
    </xdr:to>
    <xdr:pic>
      <xdr:nvPicPr>
        <xdr:cNvPr id="6" name="Рисунок 6" descr="галочка.png">
          <a:extLst>
            <a:ext uri="{FF2B5EF4-FFF2-40B4-BE49-F238E27FC236}">
              <a16:creationId xmlns:a16="http://schemas.microsoft.com/office/drawing/2014/main" xmlns="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190171" y="12890500"/>
          <a:ext cx="5123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5123</xdr:colOff>
      <xdr:row>22</xdr:row>
      <xdr:rowOff>4187</xdr:rowOff>
    </xdr:to>
    <xdr:pic>
      <xdr:nvPicPr>
        <xdr:cNvPr id="7" name="Рисунок 7" descr="галочка.png">
          <a:extLst>
            <a:ext uri="{FF2B5EF4-FFF2-40B4-BE49-F238E27FC236}">
              <a16:creationId xmlns:a16="http://schemas.microsoft.com/office/drawing/2014/main" xmlns="" id="{00000000-0008-0000-2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104571" y="12890500"/>
          <a:ext cx="5123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5123</xdr:colOff>
      <xdr:row>22</xdr:row>
      <xdr:rowOff>4187</xdr:rowOff>
    </xdr:to>
    <xdr:pic>
      <xdr:nvPicPr>
        <xdr:cNvPr id="8" name="Рисунок 8" descr="галочка.png">
          <a:extLst>
            <a:ext uri="{FF2B5EF4-FFF2-40B4-BE49-F238E27FC236}">
              <a16:creationId xmlns:a16="http://schemas.microsoft.com/office/drawing/2014/main" xmlns="" id="{00000000-0008-0000-2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018971" y="12890500"/>
          <a:ext cx="5123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5123</xdr:colOff>
      <xdr:row>22</xdr:row>
      <xdr:rowOff>4187</xdr:rowOff>
    </xdr:to>
    <xdr:pic>
      <xdr:nvPicPr>
        <xdr:cNvPr id="9" name="Рисунок 9" descr="галочка.png">
          <a:extLst>
            <a:ext uri="{FF2B5EF4-FFF2-40B4-BE49-F238E27FC236}">
              <a16:creationId xmlns:a16="http://schemas.microsoft.com/office/drawing/2014/main" xmlns="" id="{00000000-0008-0000-2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933371" y="12890500"/>
          <a:ext cx="5123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5123</xdr:colOff>
      <xdr:row>22</xdr:row>
      <xdr:rowOff>4187</xdr:rowOff>
    </xdr:to>
    <xdr:pic>
      <xdr:nvPicPr>
        <xdr:cNvPr id="10" name="Рисунок 10" descr="галочка.png">
          <a:extLst>
            <a:ext uri="{FF2B5EF4-FFF2-40B4-BE49-F238E27FC236}">
              <a16:creationId xmlns:a16="http://schemas.microsoft.com/office/drawing/2014/main" xmlns="" id="{00000000-0008-0000-2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847771" y="12890500"/>
          <a:ext cx="5123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5123</xdr:colOff>
      <xdr:row>22</xdr:row>
      <xdr:rowOff>47081</xdr:rowOff>
    </xdr:to>
    <xdr:pic>
      <xdr:nvPicPr>
        <xdr:cNvPr id="27" name="Рисунок 26" descr="галочка.png">
          <a:extLst>
            <a:ext uri="{FF2B5EF4-FFF2-40B4-BE49-F238E27FC236}">
              <a16:creationId xmlns:a16="http://schemas.microsoft.com/office/drawing/2014/main" xmlns="" id="{00000000-0008-0000-2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673958" y="686062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5123</xdr:colOff>
      <xdr:row>22</xdr:row>
      <xdr:rowOff>56606</xdr:rowOff>
    </xdr:to>
    <xdr:pic>
      <xdr:nvPicPr>
        <xdr:cNvPr id="49" name="Рисунок 48" descr="галочка.png">
          <a:extLst>
            <a:ext uri="{FF2B5EF4-FFF2-40B4-BE49-F238E27FC236}">
              <a16:creationId xmlns:a16="http://schemas.microsoft.com/office/drawing/2014/main" xmlns="" id="{00000000-0008-0000-2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330683" y="10106025"/>
          <a:ext cx="5123" cy="56606"/>
        </a:xfrm>
        <a:prstGeom prst="rect">
          <a:avLst/>
        </a:prstGeom>
      </xdr:spPr>
    </xdr:pic>
    <xdr:clientData/>
  </xdr:twoCellAnchor>
  <xdr:twoCellAnchor editAs="oneCell">
    <xdr:from>
      <xdr:col>15</xdr:col>
      <xdr:colOff>729983</xdr:colOff>
      <xdr:row>22</xdr:row>
      <xdr:rowOff>0</xdr:rowOff>
    </xdr:from>
    <xdr:to>
      <xdr:col>16</xdr:col>
      <xdr:colOff>1681</xdr:colOff>
      <xdr:row>22</xdr:row>
      <xdr:rowOff>47081</xdr:rowOff>
    </xdr:to>
    <xdr:pic>
      <xdr:nvPicPr>
        <xdr:cNvPr id="50" name="Рисунок 49" descr="галочка.png">
          <a:extLst>
            <a:ext uri="{FF2B5EF4-FFF2-40B4-BE49-F238E27FC236}">
              <a16:creationId xmlns:a16="http://schemas.microsoft.com/office/drawing/2014/main" xmlns="" id="{00000000-0008-0000-2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970358" y="1010602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6</xdr:col>
      <xdr:colOff>729983</xdr:colOff>
      <xdr:row>22</xdr:row>
      <xdr:rowOff>0</xdr:rowOff>
    </xdr:from>
    <xdr:to>
      <xdr:col>6</xdr:col>
      <xdr:colOff>735106</xdr:colOff>
      <xdr:row>22</xdr:row>
      <xdr:rowOff>56606</xdr:rowOff>
    </xdr:to>
    <xdr:pic>
      <xdr:nvPicPr>
        <xdr:cNvPr id="51" name="Рисунок 50" descr="галочка.png">
          <a:extLst>
            <a:ext uri="{FF2B5EF4-FFF2-40B4-BE49-F238E27FC236}">
              <a16:creationId xmlns:a16="http://schemas.microsoft.com/office/drawing/2014/main" xmlns="" id="{00000000-0008-0000-2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49558" y="10106025"/>
          <a:ext cx="5123" cy="56606"/>
        </a:xfrm>
        <a:prstGeom prst="rect">
          <a:avLst/>
        </a:prstGeom>
      </xdr:spPr>
    </xdr:pic>
    <xdr:clientData/>
  </xdr:twoCellAnchor>
  <xdr:twoCellAnchor editAs="oneCell">
    <xdr:from>
      <xdr:col>15</xdr:col>
      <xdr:colOff>729983</xdr:colOff>
      <xdr:row>22</xdr:row>
      <xdr:rowOff>0</xdr:rowOff>
    </xdr:from>
    <xdr:to>
      <xdr:col>16</xdr:col>
      <xdr:colOff>1681</xdr:colOff>
      <xdr:row>22</xdr:row>
      <xdr:rowOff>47081</xdr:rowOff>
    </xdr:to>
    <xdr:pic>
      <xdr:nvPicPr>
        <xdr:cNvPr id="52" name="Рисунок 51" descr="галочка.png">
          <a:extLst>
            <a:ext uri="{FF2B5EF4-FFF2-40B4-BE49-F238E27FC236}">
              <a16:creationId xmlns:a16="http://schemas.microsoft.com/office/drawing/2014/main" xmlns="" id="{00000000-0008-0000-2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970358" y="1010602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9</xdr:col>
      <xdr:colOff>729983</xdr:colOff>
      <xdr:row>22</xdr:row>
      <xdr:rowOff>0</xdr:rowOff>
    </xdr:from>
    <xdr:to>
      <xdr:col>9</xdr:col>
      <xdr:colOff>735106</xdr:colOff>
      <xdr:row>22</xdr:row>
      <xdr:rowOff>56606</xdr:rowOff>
    </xdr:to>
    <xdr:pic>
      <xdr:nvPicPr>
        <xdr:cNvPr id="53" name="Рисунок 52" descr="галочка.png">
          <a:extLst>
            <a:ext uri="{FF2B5EF4-FFF2-40B4-BE49-F238E27FC236}">
              <a16:creationId xmlns:a16="http://schemas.microsoft.com/office/drawing/2014/main" xmlns="" id="{00000000-0008-0000-2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236308" y="10106025"/>
          <a:ext cx="5123" cy="56606"/>
        </a:xfrm>
        <a:prstGeom prst="rect">
          <a:avLst/>
        </a:prstGeom>
      </xdr:spPr>
    </xdr:pic>
    <xdr:clientData/>
  </xdr:twoCellAnchor>
  <xdr:twoCellAnchor editAs="oneCell">
    <xdr:from>
      <xdr:col>7</xdr:col>
      <xdr:colOff>729983</xdr:colOff>
      <xdr:row>22</xdr:row>
      <xdr:rowOff>0</xdr:rowOff>
    </xdr:from>
    <xdr:to>
      <xdr:col>7</xdr:col>
      <xdr:colOff>735106</xdr:colOff>
      <xdr:row>22</xdr:row>
      <xdr:rowOff>56606</xdr:rowOff>
    </xdr:to>
    <xdr:pic>
      <xdr:nvPicPr>
        <xdr:cNvPr id="54" name="Рисунок 53" descr="галочка.png">
          <a:extLst>
            <a:ext uri="{FF2B5EF4-FFF2-40B4-BE49-F238E27FC236}">
              <a16:creationId xmlns:a16="http://schemas.microsoft.com/office/drawing/2014/main" xmlns="" id="{00000000-0008-0000-2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11808" y="10106025"/>
          <a:ext cx="5123" cy="56606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22</xdr:row>
      <xdr:rowOff>0</xdr:rowOff>
    </xdr:from>
    <xdr:to>
      <xdr:col>5</xdr:col>
      <xdr:colOff>735106</xdr:colOff>
      <xdr:row>22</xdr:row>
      <xdr:rowOff>20411</xdr:rowOff>
    </xdr:to>
    <xdr:pic>
      <xdr:nvPicPr>
        <xdr:cNvPr id="55" name="Рисунок 54" descr="галочка.png">
          <a:extLst>
            <a:ext uri="{FF2B5EF4-FFF2-40B4-BE49-F238E27FC236}">
              <a16:creationId xmlns:a16="http://schemas.microsoft.com/office/drawing/2014/main" xmlns="" id="{00000000-0008-0000-2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68508" y="7870275"/>
          <a:ext cx="5123" cy="20411"/>
        </a:xfrm>
        <a:prstGeom prst="rect">
          <a:avLst/>
        </a:prstGeom>
      </xdr:spPr>
    </xdr:pic>
    <xdr:clientData/>
  </xdr:twoCellAnchor>
  <xdr:oneCellAnchor>
    <xdr:from>
      <xdr:col>11</xdr:col>
      <xdr:colOff>0</xdr:colOff>
      <xdr:row>12</xdr:row>
      <xdr:rowOff>0</xdr:rowOff>
    </xdr:from>
    <xdr:ext cx="184731" cy="264560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xmlns="" id="{00000000-0008-0000-1E00-00000C000000}"/>
            </a:ext>
          </a:extLst>
        </xdr:cNvPr>
        <xdr:cNvSpPr txBox="1"/>
      </xdr:nvSpPr>
      <xdr:spPr>
        <a:xfrm>
          <a:off x="11591925" y="8486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5</xdr:col>
      <xdr:colOff>729983</xdr:colOff>
      <xdr:row>12</xdr:row>
      <xdr:rowOff>0</xdr:rowOff>
    </xdr:from>
    <xdr:to>
      <xdr:col>5</xdr:col>
      <xdr:colOff>735106</xdr:colOff>
      <xdr:row>18</xdr:row>
      <xdr:rowOff>20411</xdr:rowOff>
    </xdr:to>
    <xdr:pic>
      <xdr:nvPicPr>
        <xdr:cNvPr id="46" name="Рисунок 45" descr="галочка.png">
          <a:extLst>
            <a:ext uri="{FF2B5EF4-FFF2-40B4-BE49-F238E27FC236}">
              <a16:creationId xmlns:a16="http://schemas.microsoft.com/office/drawing/2014/main" xmlns="" id="{00000000-0008-0000-1E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635233" y="8486775"/>
          <a:ext cx="5123" cy="20411"/>
        </a:xfrm>
        <a:prstGeom prst="rect">
          <a:avLst/>
        </a:prstGeom>
      </xdr:spPr>
    </xdr:pic>
    <xdr:clientData/>
  </xdr:twoCellAnchor>
  <xdr:twoCellAnchor editAs="oneCell">
    <xdr:from>
      <xdr:col>8</xdr:col>
      <xdr:colOff>348984</xdr:colOff>
      <xdr:row>19</xdr:row>
      <xdr:rowOff>0</xdr:rowOff>
    </xdr:from>
    <xdr:to>
      <xdr:col>8</xdr:col>
      <xdr:colOff>354107</xdr:colOff>
      <xdr:row>19</xdr:row>
      <xdr:rowOff>85181</xdr:rowOff>
    </xdr:to>
    <xdr:pic>
      <xdr:nvPicPr>
        <xdr:cNvPr id="38" name="Рисунок 37" descr="галочка.png">
          <a:extLst>
            <a:ext uri="{FF2B5EF4-FFF2-40B4-BE49-F238E27FC236}">
              <a16:creationId xmlns:a16="http://schemas.microsoft.com/office/drawing/2014/main" xmlns="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140309" y="5619750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9</xdr:col>
      <xdr:colOff>729983</xdr:colOff>
      <xdr:row>19</xdr:row>
      <xdr:rowOff>0</xdr:rowOff>
    </xdr:from>
    <xdr:to>
      <xdr:col>9</xdr:col>
      <xdr:colOff>735106</xdr:colOff>
      <xdr:row>19</xdr:row>
      <xdr:rowOff>47081</xdr:rowOff>
    </xdr:to>
    <xdr:pic>
      <xdr:nvPicPr>
        <xdr:cNvPr id="39" name="Рисунок 38" descr="галочка.png">
          <a:extLst>
            <a:ext uri="{FF2B5EF4-FFF2-40B4-BE49-F238E27FC236}">
              <a16:creationId xmlns:a16="http://schemas.microsoft.com/office/drawing/2014/main" xmlns="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902433" y="561975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5</xdr:col>
      <xdr:colOff>35719</xdr:colOff>
      <xdr:row>23</xdr:row>
      <xdr:rowOff>71438</xdr:rowOff>
    </xdr:from>
    <xdr:to>
      <xdr:col>8</xdr:col>
      <xdr:colOff>71437</xdr:colOff>
      <xdr:row>30</xdr:row>
      <xdr:rowOff>66118</xdr:rowOff>
    </xdr:to>
    <xdr:pic>
      <xdr:nvPicPr>
        <xdr:cNvPr id="37" name="Рисунок 36" descr="2023-01-25_10-53-57.png"/>
        <xdr:cNvPicPr>
          <a:picLocks noChangeAspect="1"/>
        </xdr:cNvPicPr>
      </xdr:nvPicPr>
      <xdr:blipFill>
        <a:blip xmlns:r="http://schemas.openxmlformats.org/officeDocument/2006/relationships" r:embed="rId2" cstate="print">
          <a:lum bright="10000"/>
        </a:blip>
        <a:srcRect l="1975" t="3461" r="40881"/>
        <a:stretch>
          <a:fillRect/>
        </a:stretch>
      </xdr:blipFill>
      <xdr:spPr>
        <a:xfrm>
          <a:off x="3559969" y="5143501"/>
          <a:ext cx="4917281" cy="1328180"/>
        </a:xfrm>
        <a:prstGeom prst="rect">
          <a:avLst/>
        </a:prstGeom>
      </xdr:spPr>
    </xdr:pic>
    <xdr:clientData/>
  </xdr:twoCellAnchor>
  <xdr:twoCellAnchor editAs="oneCell">
    <xdr:from>
      <xdr:col>8</xdr:col>
      <xdr:colOff>1226345</xdr:colOff>
      <xdr:row>23</xdr:row>
      <xdr:rowOff>35720</xdr:rowOff>
    </xdr:from>
    <xdr:to>
      <xdr:col>9</xdr:col>
      <xdr:colOff>1967990</xdr:colOff>
      <xdr:row>30</xdr:row>
      <xdr:rowOff>33340</xdr:rowOff>
    </xdr:to>
    <xdr:pic>
      <xdr:nvPicPr>
        <xdr:cNvPr id="40" name="Рисунок 39" descr="2023-01-25_10-53-57.png"/>
        <xdr:cNvPicPr>
          <a:picLocks noChangeAspect="1"/>
        </xdr:cNvPicPr>
      </xdr:nvPicPr>
      <xdr:blipFill>
        <a:blip xmlns:r="http://schemas.openxmlformats.org/officeDocument/2006/relationships" r:embed="rId2" cstate="print">
          <a:lum bright="10000"/>
        </a:blip>
        <a:srcRect l="65333" t="3045"/>
        <a:stretch>
          <a:fillRect/>
        </a:stretch>
      </xdr:blipFill>
      <xdr:spPr>
        <a:xfrm>
          <a:off x="9632158" y="5107783"/>
          <a:ext cx="2789520" cy="1331120"/>
        </a:xfrm>
        <a:prstGeom prst="rect">
          <a:avLst/>
        </a:prstGeom>
      </xdr:spPr>
    </xdr:pic>
    <xdr:clientData/>
  </xdr:twoCellAnchor>
  <xdr:twoCellAnchor editAs="oneCell">
    <xdr:from>
      <xdr:col>5</xdr:col>
      <xdr:colOff>23815</xdr:colOff>
      <xdr:row>33</xdr:row>
      <xdr:rowOff>23815</xdr:rowOff>
    </xdr:from>
    <xdr:to>
      <xdr:col>8</xdr:col>
      <xdr:colOff>938666</xdr:colOff>
      <xdr:row>40</xdr:row>
      <xdr:rowOff>119062</xdr:rowOff>
    </xdr:to>
    <xdr:pic>
      <xdr:nvPicPr>
        <xdr:cNvPr id="41" name="Рисунок 40" descr="2023-01-25_10-57-53.png"/>
        <xdr:cNvPicPr>
          <a:picLocks noChangeAspect="1"/>
        </xdr:cNvPicPr>
      </xdr:nvPicPr>
      <xdr:blipFill>
        <a:blip xmlns:r="http://schemas.openxmlformats.org/officeDocument/2006/relationships" r:embed="rId3" cstate="print">
          <a:lum bright="10000"/>
        </a:blip>
        <a:srcRect t="2885"/>
        <a:stretch>
          <a:fillRect/>
        </a:stretch>
      </xdr:blipFill>
      <xdr:spPr>
        <a:xfrm>
          <a:off x="3548065" y="7000878"/>
          <a:ext cx="5796414" cy="1428747"/>
        </a:xfrm>
        <a:prstGeom prst="rect">
          <a:avLst/>
        </a:prstGeom>
      </xdr:spPr>
    </xdr:pic>
    <xdr:clientData/>
  </xdr:twoCellAnchor>
  <xdr:twoCellAnchor>
    <xdr:from>
      <xdr:col>8</xdr:col>
      <xdr:colOff>1090694</xdr:colOff>
      <xdr:row>32</xdr:row>
      <xdr:rowOff>188119</xdr:rowOff>
    </xdr:from>
    <xdr:to>
      <xdr:col>9</xdr:col>
      <xdr:colOff>1181302</xdr:colOff>
      <xdr:row>41</xdr:row>
      <xdr:rowOff>-1</xdr:rowOff>
    </xdr:to>
    <xdr:grpSp>
      <xdr:nvGrpSpPr>
        <xdr:cNvPr id="11" name="Группа 10"/>
        <xdr:cNvGrpSpPr/>
      </xdr:nvGrpSpPr>
      <xdr:grpSpPr>
        <a:xfrm>
          <a:off x="9496507" y="6974682"/>
          <a:ext cx="2138483" cy="1526380"/>
          <a:chOff x="9496507" y="6974682"/>
          <a:chExt cx="2138483" cy="1526380"/>
        </a:xfrm>
      </xdr:grpSpPr>
      <xdr:pic>
        <xdr:nvPicPr>
          <xdr:cNvPr id="3" name="Рисунок 2"/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print"/>
          <a:srcRect t="18889"/>
          <a:stretch/>
        </xdr:blipFill>
        <xdr:spPr>
          <a:xfrm>
            <a:off x="9496507" y="7227094"/>
            <a:ext cx="2138483" cy="1273968"/>
          </a:xfrm>
          <a:prstGeom prst="rect">
            <a:avLst/>
          </a:prstGeom>
        </xdr:spPr>
      </xdr:pic>
      <xdr:pic>
        <xdr:nvPicPr>
          <xdr:cNvPr id="28" name="Рисунок 27"/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/>
          <a:srcRect b="85874"/>
          <a:stretch/>
        </xdr:blipFill>
        <xdr:spPr>
          <a:xfrm>
            <a:off x="9541751" y="6974682"/>
            <a:ext cx="2011495" cy="204788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Telegram%20Desktop/!!!!&#1058;&#1077;&#1082;&#1091;&#1097;&#1080;&#1077;%20&#1087;&#1088;&#1072;&#1081;&#1089;&#1099;/&#1088;&#1072;&#1073;&#1086;&#1095;&#1080;&#1081;%20&#1087;&#1088;&#1072;&#1081;&#108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cuments/&#1058;&#1045;&#1056;&#1045;&#1052;/&#1055;&#1088;&#1072;&#1081;&#1089;&#1099;%202020-2021/0.&#1055;&#1088;&#1072;&#1081;&#1089;-&#1083;&#1080;&#1089;&#1090;%20&#1058;&#1077;&#1088;&#1077;&#1084;%201%20&#1086;&#1082;&#1090;&#1103;&#1073;&#1088;&#1103;%202020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стекла сайт"/>
      <sheetName val="погонаж сайт"/>
      <sheetName val="полотна сайт"/>
      <sheetName val="кр"/>
      <sheetName val="К_пвх"/>
      <sheetName val="К_эмаль"/>
      <sheetName val="К_ясень"/>
      <sheetName val="К_дуб"/>
      <sheetName val="К_орех"/>
      <sheetName val="Декоры база"/>
      <sheetName val="скидки розница"/>
      <sheetName val="наценки РФ"/>
      <sheetName val="скидки_наценки"/>
      <sheetName val="изменения прайса"/>
      <sheetName val="Титул"/>
      <sheetName val="Содержание"/>
      <sheetName val="Перегородки база "/>
      <sheetName val="Полотна база"/>
      <sheetName val="Techno_Porte"/>
      <sheetName val="Techno_Vetro"/>
      <sheetName val="Techno_Slot"/>
      <sheetName val="Design"/>
      <sheetName val="Twist"/>
      <sheetName val="Fusion_Plain"/>
      <sheetName val="Fusion"/>
      <sheetName val="Eclectica_Stripe"/>
      <sheetName val="Elegance"/>
      <sheetName val="Modern Turin"/>
      <sheetName val="Modern Bergamo"/>
      <sheetName val="Provеnce Sienna"/>
      <sheetName val="Provеnce Amelia"/>
      <sheetName val="E-Classic"/>
      <sheetName val="Classic Rosso"/>
      <sheetName val="Classic Rimini "/>
      <sheetName val="Neoclassic"/>
      <sheetName val="Standart"/>
      <sheetName val="Standart Strada2"/>
      <sheetName val="Standart Vario"/>
      <sheetName val="Погонаж"/>
      <sheetName val="Погонаж база"/>
      <sheetName val="Алюм.погонаж"/>
      <sheetName val="Скрытая дверь РРЦ"/>
      <sheetName val="Скрытая дверь ОПТ"/>
      <sheetName val="Погонаж для прочих"/>
      <sheetName val="Стык.элементы"/>
      <sheetName val="Плинтуса"/>
      <sheetName val="Рейки"/>
      <sheetName val="Порталы"/>
      <sheetName val="Перегородки Corsa"/>
      <sheetName val="Перегородки Grazia"/>
      <sheetName val="Алюм. перегородки"/>
      <sheetName val="Стен. панели"/>
      <sheetName val="Фрамуги_накладки"/>
      <sheetName val="Двери для обьектов"/>
      <sheetName val="Двери жалюзи"/>
      <sheetName val="фурнитура база"/>
      <sheetName val="механизмы база"/>
      <sheetName val="Фурнитура складская"/>
      <sheetName val="Фурнитура"/>
      <sheetName val="Распашные системы откр"/>
      <sheetName val="Cистемы TWICE, ROTO"/>
      <sheetName val="Cистемы INVISIBLE"/>
      <sheetName val="Cистемы NORMAL"/>
      <sheetName val="Cистемы STEEL"/>
      <sheetName val="Наценки"/>
      <sheetName val="Покрытия_шпон_эмаль"/>
      <sheetName val="Покрытия_ПВХ"/>
      <sheetName val="Рекламная продукция"/>
      <sheetName val="Проче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7">
          <cell r="B27">
            <v>2135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30">
          <cell r="F30" t="str">
            <v>% корректировки</v>
          </cell>
        </row>
      </sheetData>
      <sheetData sheetId="18">
        <row r="7">
          <cell r="G7">
            <v>0</v>
          </cell>
        </row>
      </sheetData>
      <sheetData sheetId="19">
        <row r="7">
          <cell r="G7">
            <v>0</v>
          </cell>
        </row>
      </sheetData>
      <sheetData sheetId="20">
        <row r="7">
          <cell r="G7">
            <v>0</v>
          </cell>
        </row>
      </sheetData>
      <sheetData sheetId="21">
        <row r="7">
          <cell r="K7">
            <v>30550</v>
          </cell>
        </row>
      </sheetData>
      <sheetData sheetId="22">
        <row r="7">
          <cell r="G7">
            <v>0</v>
          </cell>
        </row>
      </sheetData>
      <sheetData sheetId="23">
        <row r="6">
          <cell r="G6">
            <v>0</v>
          </cell>
        </row>
      </sheetData>
      <sheetData sheetId="24">
        <row r="7">
          <cell r="G7">
            <v>0</v>
          </cell>
        </row>
      </sheetData>
      <sheetData sheetId="25">
        <row r="7">
          <cell r="G7" t="e">
            <v>#REF!</v>
          </cell>
        </row>
      </sheetData>
      <sheetData sheetId="26">
        <row r="6">
          <cell r="G6">
            <v>20950</v>
          </cell>
        </row>
        <row r="16">
          <cell r="G16">
            <v>2300</v>
          </cell>
          <cell r="H16">
            <v>1500</v>
          </cell>
          <cell r="I16">
            <v>1500</v>
          </cell>
        </row>
        <row r="17">
          <cell r="G17">
            <v>5000</v>
          </cell>
          <cell r="H17">
            <v>3300</v>
          </cell>
          <cell r="I17">
            <v>3300</v>
          </cell>
        </row>
        <row r="18">
          <cell r="G18">
            <v>5700</v>
          </cell>
          <cell r="H18">
            <v>3800</v>
          </cell>
          <cell r="I18">
            <v>3800</v>
          </cell>
        </row>
      </sheetData>
      <sheetData sheetId="27">
        <row r="7">
          <cell r="G7">
            <v>26450</v>
          </cell>
        </row>
      </sheetData>
      <sheetData sheetId="28">
        <row r="7">
          <cell r="G7">
            <v>29950</v>
          </cell>
        </row>
      </sheetData>
      <sheetData sheetId="29">
        <row r="7">
          <cell r="G7">
            <v>24450</v>
          </cell>
        </row>
      </sheetData>
      <sheetData sheetId="30">
        <row r="7">
          <cell r="G7">
            <v>29950</v>
          </cell>
        </row>
      </sheetData>
      <sheetData sheetId="31">
        <row r="6">
          <cell r="G6">
            <v>31550</v>
          </cell>
        </row>
        <row r="17">
          <cell r="G17">
            <v>2300</v>
          </cell>
          <cell r="H17">
            <v>1500</v>
          </cell>
        </row>
        <row r="18">
          <cell r="G18">
            <v>5000</v>
          </cell>
          <cell r="H18">
            <v>3300</v>
          </cell>
        </row>
        <row r="19">
          <cell r="G19">
            <v>5700</v>
          </cell>
          <cell r="H19">
            <v>3800</v>
          </cell>
        </row>
      </sheetData>
      <sheetData sheetId="32">
        <row r="7">
          <cell r="G7">
            <v>26000</v>
          </cell>
        </row>
      </sheetData>
      <sheetData sheetId="33">
        <row r="6">
          <cell r="G6">
            <v>23000</v>
          </cell>
        </row>
        <row r="25">
          <cell r="G25">
            <v>2300</v>
          </cell>
          <cell r="H25">
            <v>1500</v>
          </cell>
        </row>
        <row r="26">
          <cell r="G26">
            <v>5000</v>
          </cell>
          <cell r="H26">
            <v>3300</v>
          </cell>
        </row>
        <row r="27">
          <cell r="G27">
            <v>5700</v>
          </cell>
          <cell r="H27">
            <v>3800</v>
          </cell>
        </row>
      </sheetData>
      <sheetData sheetId="34">
        <row r="6">
          <cell r="H6">
            <v>0</v>
          </cell>
        </row>
      </sheetData>
      <sheetData sheetId="35">
        <row r="7">
          <cell r="G7">
            <v>0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6">
          <cell r="G6">
            <v>23450</v>
          </cell>
        </row>
      </sheetData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скидки_наценки"/>
      <sheetName val="наценки РФ"/>
      <sheetName val="Титул"/>
      <sheetName val="Содержание_"/>
      <sheetName val="стекла"/>
      <sheetName val="Буквы"/>
      <sheetName val="Коэфф_полотно"/>
      <sheetName val="ОПТ"/>
      <sheetName val="ОПТ_с корр"/>
      <sheetName val="Розница"/>
      <sheetName val="Модели_соответствие"/>
      <sheetName val="Прочее_коэфф"/>
      <sheetName val="Classic "/>
      <sheetName val="E-Classic"/>
      <sheetName val="Modern Turin"/>
      <sheetName val="Modern Bergamo"/>
      <sheetName val="Fusion"/>
      <sheetName val="Neoclassic Garda"/>
      <sheetName val="Neoclassic Florence"/>
      <sheetName val="Standart Strada"/>
      <sheetName val="Standart Vario"/>
      <sheetName val="Techno"/>
      <sheetName val="Twist"/>
      <sheetName val="Design"/>
      <sheetName val="Provеnce Amelia"/>
      <sheetName val="Provеnce Sienna"/>
      <sheetName val="Погонаж_опт"/>
      <sheetName val="Погонаж"/>
      <sheetName val="Погонаж для прочих"/>
      <sheetName val="Стык.элементы"/>
      <sheetName val="Плинтуса"/>
      <sheetName val="Рейки"/>
      <sheetName val="Колонны"/>
      <sheetName val="Перегородки Corsa"/>
      <sheetName val="Перегородки Grazia"/>
      <sheetName val="Фрамуги, Стен. панели"/>
      <sheetName val="Скрытая дверь"/>
      <sheetName val="Двери жалюзи"/>
      <sheetName val="Фурнитура"/>
      <sheetName val="Распашные системы откр"/>
      <sheetName val="Фурнитура_коэф"/>
      <sheetName val="Распашные системы откр_УЕ"/>
      <sheetName val="Cистемы TWICE, ROTO"/>
      <sheetName val="Cистемы NORMAL"/>
      <sheetName val="Наценки"/>
      <sheetName val="Ограничения по размерам"/>
      <sheetName val="Дизайн_Размер"/>
      <sheetName val="Покрытия_свод_шпон_эмаль"/>
      <sheetName val="Покрытия_свод_artex "/>
      <sheetName val="Установка на системы открыв"/>
      <sheetName val="Сроки изготовления"/>
      <sheetName val="скидки_наценки (2)"/>
      <sheetName val="Cистемы TWICE, ROTO_УЕ"/>
      <sheetName val="Cистемы NORMAL_УЕ"/>
    </sheetNames>
    <sheetDataSet>
      <sheetData sheetId="0">
        <row r="3">
          <cell r="C3">
            <v>1</v>
          </cell>
        </row>
      </sheetData>
      <sheetData sheetId="1"/>
      <sheetData sheetId="2"/>
      <sheetData sheetId="3"/>
      <sheetData sheetId="4"/>
      <sheetData sheetId="5"/>
      <sheetData sheetId="6">
        <row r="6">
          <cell r="A6">
            <v>0</v>
          </cell>
        </row>
      </sheetData>
      <sheetData sheetId="7"/>
      <sheetData sheetId="8"/>
      <sheetData sheetId="9">
        <row r="5">
          <cell r="G5">
            <v>8033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9">
          <cell r="C39">
            <v>5728.1400000000012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47">
          <cell r="E47">
            <v>0</v>
          </cell>
        </row>
        <row r="48">
          <cell r="E48">
            <v>0</v>
          </cell>
        </row>
        <row r="49">
          <cell r="E49">
            <v>700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1466.85</v>
          </cell>
        </row>
        <row r="53">
          <cell r="E53">
            <v>0</v>
          </cell>
        </row>
        <row r="54">
          <cell r="E54">
            <v>0</v>
          </cell>
        </row>
        <row r="62">
          <cell r="E62">
            <v>0</v>
          </cell>
        </row>
      </sheetData>
      <sheetData sheetId="39"/>
      <sheetData sheetId="40">
        <row r="1">
          <cell r="C1">
            <v>89.25</v>
          </cell>
        </row>
      </sheetData>
      <sheetData sheetId="41">
        <row r="33">
          <cell r="H33">
            <v>20.555555555555557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41.bin"/><Relationship Id="rId4" Type="http://schemas.openxmlformats.org/officeDocument/2006/relationships/comments" Target="../comments4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0" tint="-0.14999847407452621"/>
  </sheetPr>
  <dimension ref="A1:FG246"/>
  <sheetViews>
    <sheetView topLeftCell="A246" zoomScale="80" zoomScaleNormal="80" workbookViewId="0">
      <selection activeCell="A245" sqref="A1:XFD245"/>
    </sheetView>
  </sheetViews>
  <sheetFormatPr defaultColWidth="8.85546875" defaultRowHeight="15" outlineLevelRow="2" outlineLevelCol="1"/>
  <cols>
    <col min="1" max="1" width="29.42578125" style="1607" customWidth="1" collapsed="1"/>
    <col min="2" max="2" width="35.7109375" style="1607" bestFit="1" customWidth="1"/>
    <col min="3" max="3" width="16.42578125" style="1607" bestFit="1" customWidth="1"/>
    <col min="4" max="4" width="12.28515625" style="1607" bestFit="1" customWidth="1"/>
    <col min="5" max="5" width="9.7109375" style="1982" customWidth="1"/>
    <col min="6" max="6" width="10" style="1982" hidden="1" customWidth="1" outlineLevel="1"/>
    <col min="7" max="9" width="8.85546875" style="1982" hidden="1" customWidth="1" outlineLevel="1"/>
    <col min="10" max="10" width="11.140625" style="1982" hidden="1" customWidth="1" outlineLevel="1"/>
    <col min="11" max="11" width="10.42578125" style="1982" hidden="1" customWidth="1" outlineLevel="1"/>
    <col min="12" max="12" width="14.140625" style="1982" hidden="1" customWidth="1" outlineLevel="1"/>
    <col min="13" max="13" width="10.28515625" style="1982" hidden="1" customWidth="1" outlineLevel="1"/>
    <col min="14" max="14" width="7.28515625" style="1982" bestFit="1" customWidth="1" collapsed="1"/>
    <col min="15" max="16" width="8.28515625" style="1982" hidden="1" customWidth="1" outlineLevel="1"/>
    <col min="17" max="17" width="11" style="1982" hidden="1" customWidth="1" outlineLevel="1"/>
    <col min="18" max="18" width="11.85546875" style="1982" hidden="1" customWidth="1" outlineLevel="1"/>
    <col min="19" max="19" width="11.7109375" style="1982" hidden="1" customWidth="1" outlineLevel="1"/>
    <col min="20" max="22" width="8.7109375" style="1982" hidden="1" customWidth="1" outlineLevel="1"/>
    <col min="23" max="23" width="8.7109375" style="1982" customWidth="1" collapsed="1"/>
    <col min="24" max="24" width="8.7109375" style="1982" hidden="1" customWidth="1" outlineLevel="1"/>
    <col min="25" max="25" width="8.85546875" style="1982" hidden="1" customWidth="1" outlineLevel="1"/>
    <col min="26" max="30" width="15.42578125" style="1982" hidden="1" customWidth="1" outlineLevel="1"/>
    <col min="31" max="31" width="15.42578125" style="1982" customWidth="1" collapsed="1"/>
    <col min="32" max="43" width="15.42578125" style="1982" hidden="1" customWidth="1" outlineLevel="1"/>
    <col min="44" max="44" width="15.42578125" style="1982" customWidth="1" collapsed="1"/>
    <col min="45" max="49" width="15.42578125" style="1982" hidden="1" customWidth="1" outlineLevel="1"/>
    <col min="50" max="50" width="15.42578125" style="1982" customWidth="1" collapsed="1"/>
    <col min="51" max="57" width="15.42578125" style="1982" hidden="1" customWidth="1" outlineLevel="1"/>
    <col min="58" max="58" width="15.42578125" style="1982" customWidth="1" collapsed="1"/>
    <col min="59" max="65" width="15.42578125" style="1982" hidden="1" customWidth="1" outlineLevel="1"/>
    <col min="66" max="66" width="15.42578125" style="1982" customWidth="1" collapsed="1"/>
    <col min="67" max="79" width="15.42578125" style="1982" hidden="1" customWidth="1" outlineLevel="1"/>
    <col min="80" max="80" width="15.42578125" style="1982" customWidth="1" collapsed="1"/>
    <col min="81" max="85" width="15.42578125" style="1982" hidden="1" customWidth="1" outlineLevel="1"/>
    <col min="86" max="86" width="15.42578125" style="1982" customWidth="1" collapsed="1"/>
    <col min="87" max="88" width="15.42578125" style="1982" hidden="1" customWidth="1" outlineLevel="1"/>
    <col min="89" max="89" width="15.42578125" style="1982" customWidth="1" collapsed="1"/>
    <col min="90" max="100" width="15.42578125" style="1982" hidden="1" customWidth="1" outlineLevel="1"/>
    <col min="101" max="101" width="15.42578125" style="1982" customWidth="1" collapsed="1"/>
    <col min="102" max="108" width="15.42578125" style="1982" hidden="1" customWidth="1" outlineLevel="1"/>
    <col min="109" max="109" width="15.42578125" style="1982" customWidth="1" collapsed="1"/>
    <col min="110" max="112" width="15.42578125" style="1982" hidden="1" customWidth="1" outlineLevel="1"/>
    <col min="113" max="113" width="15.42578125" style="1982" customWidth="1" collapsed="1"/>
    <col min="114" max="121" width="15.42578125" style="1982" hidden="1" customWidth="1" outlineLevel="1"/>
    <col min="122" max="122" width="15.42578125" style="1982" customWidth="1" collapsed="1"/>
    <col min="123" max="134" width="15.42578125" style="1982" hidden="1" customWidth="1" outlineLevel="1"/>
    <col min="135" max="157" width="15.42578125" style="1607" hidden="1" customWidth="1" outlineLevel="1"/>
    <col min="158" max="158" width="8.85546875" style="1607" collapsed="1"/>
    <col min="159" max="159" width="8.85546875" style="1607"/>
    <col min="160" max="161" width="8.85546875" style="1607" hidden="1" customWidth="1" outlineLevel="1"/>
    <col min="162" max="162" width="6.7109375" style="1607" hidden="1" customWidth="1" outlineLevel="1"/>
    <col min="163" max="163" width="8.85546875" style="1607" collapsed="1"/>
    <col min="164" max="16384" width="8.85546875" style="1607"/>
  </cols>
  <sheetData>
    <row r="1" spans="1:162" ht="48.75" hidden="1" customHeight="1" outlineLevel="1">
      <c r="A1" s="1604" t="s">
        <v>1833</v>
      </c>
      <c r="B1" s="1604" t="s">
        <v>2039</v>
      </c>
      <c r="C1" s="1604" t="s">
        <v>1834</v>
      </c>
      <c r="D1" s="1605" t="s">
        <v>2040</v>
      </c>
      <c r="E1" s="1976" t="s">
        <v>1696</v>
      </c>
      <c r="F1" s="1976" t="s">
        <v>1835</v>
      </c>
      <c r="G1" s="1976" t="s">
        <v>1836</v>
      </c>
      <c r="H1" s="1976" t="s">
        <v>1837</v>
      </c>
      <c r="I1" s="1976" t="s">
        <v>1838</v>
      </c>
      <c r="J1" s="1976" t="s">
        <v>1839</v>
      </c>
      <c r="K1" s="1976" t="s">
        <v>1840</v>
      </c>
      <c r="L1" s="1976" t="s">
        <v>2150</v>
      </c>
      <c r="M1" s="1976" t="s">
        <v>2151</v>
      </c>
      <c r="N1" s="1976" t="s">
        <v>1844</v>
      </c>
      <c r="O1" s="1976" t="s">
        <v>1845</v>
      </c>
      <c r="P1" s="1976" t="s">
        <v>1846</v>
      </c>
      <c r="Q1" s="1976" t="s">
        <v>1841</v>
      </c>
      <c r="R1" s="1976" t="s">
        <v>1842</v>
      </c>
      <c r="S1" s="1976" t="s">
        <v>1843</v>
      </c>
      <c r="T1" s="1976" t="s">
        <v>1847</v>
      </c>
      <c r="U1" s="1976" t="s">
        <v>1848</v>
      </c>
      <c r="V1" s="1976"/>
      <c r="W1" s="1976"/>
      <c r="X1" s="1976" t="s">
        <v>1998</v>
      </c>
      <c r="Y1" s="1976" t="s">
        <v>1999</v>
      </c>
      <c r="Z1" s="1976" t="s">
        <v>2000</v>
      </c>
      <c r="AA1" s="1976" t="s">
        <v>2001</v>
      </c>
      <c r="AB1" s="1976" t="s">
        <v>2002</v>
      </c>
      <c r="AC1" s="1976" t="s">
        <v>2003</v>
      </c>
      <c r="AD1" s="1976" t="s">
        <v>2004</v>
      </c>
      <c r="AE1" s="1976"/>
      <c r="AF1" s="1976" t="s">
        <v>2006</v>
      </c>
      <c r="AG1" s="1976" t="s">
        <v>2007</v>
      </c>
      <c r="AH1" s="1976" t="s">
        <v>2008</v>
      </c>
      <c r="AI1" s="1976" t="s">
        <v>2009</v>
      </c>
      <c r="AJ1" s="1976" t="s">
        <v>2010</v>
      </c>
      <c r="AK1" s="1976" t="s">
        <v>2011</v>
      </c>
      <c r="AL1" s="1976" t="s">
        <v>2012</v>
      </c>
      <c r="AM1" s="1976" t="s">
        <v>2013</v>
      </c>
      <c r="AN1" s="1976" t="s">
        <v>2014</v>
      </c>
      <c r="AO1" s="1976" t="s">
        <v>2015</v>
      </c>
      <c r="AP1" s="1976" t="s">
        <v>2016</v>
      </c>
      <c r="AQ1" s="1976" t="s">
        <v>2017</v>
      </c>
      <c r="AR1" s="1976" t="s">
        <v>1849</v>
      </c>
      <c r="AS1" s="1976" t="s">
        <v>1850</v>
      </c>
      <c r="AT1" s="1976" t="s">
        <v>1851</v>
      </c>
      <c r="AU1" s="1976" t="s">
        <v>1852</v>
      </c>
      <c r="AV1" s="1976" t="s">
        <v>1853</v>
      </c>
      <c r="AW1" s="1977" t="s">
        <v>1907</v>
      </c>
      <c r="AX1" s="1976" t="s">
        <v>364</v>
      </c>
      <c r="AY1" s="1976" t="s">
        <v>365</v>
      </c>
      <c r="AZ1" s="1976" t="s">
        <v>366</v>
      </c>
      <c r="BA1" s="1976" t="s">
        <v>367</v>
      </c>
      <c r="BB1" s="1976" t="s">
        <v>368</v>
      </c>
      <c r="BC1" s="1976" t="s">
        <v>369</v>
      </c>
      <c r="BD1" s="1977" t="s">
        <v>1914</v>
      </c>
      <c r="BE1" s="1977" t="s">
        <v>1915</v>
      </c>
      <c r="BF1" s="1978" t="s">
        <v>1916</v>
      </c>
      <c r="BG1" s="1977" t="s">
        <v>1917</v>
      </c>
      <c r="BH1" s="1977" t="s">
        <v>1918</v>
      </c>
      <c r="BI1" s="1977" t="s">
        <v>1919</v>
      </c>
      <c r="BJ1" s="1977" t="s">
        <v>1920</v>
      </c>
      <c r="BK1" s="1977" t="s">
        <v>1921</v>
      </c>
      <c r="BL1" s="1977" t="s">
        <v>1922</v>
      </c>
      <c r="BM1" s="1977" t="s">
        <v>1923</v>
      </c>
      <c r="BN1" s="1976" t="s">
        <v>1854</v>
      </c>
      <c r="BO1" s="1976" t="s">
        <v>1855</v>
      </c>
      <c r="BP1" s="1976" t="s">
        <v>1856</v>
      </c>
      <c r="BQ1" s="1976" t="s">
        <v>1857</v>
      </c>
      <c r="BR1" s="1976" t="s">
        <v>1858</v>
      </c>
      <c r="BS1" s="1976" t="s">
        <v>1859</v>
      </c>
      <c r="BT1" s="1976" t="s">
        <v>1860</v>
      </c>
      <c r="BU1" s="1976" t="s">
        <v>1861</v>
      </c>
      <c r="BV1" s="1976" t="s">
        <v>1862</v>
      </c>
      <c r="BW1" s="1976" t="s">
        <v>1863</v>
      </c>
      <c r="BX1" s="1976" t="s">
        <v>1864</v>
      </c>
      <c r="BY1" s="1976" t="s">
        <v>1865</v>
      </c>
      <c r="BZ1" s="1976" t="s">
        <v>1866</v>
      </c>
      <c r="CA1" s="1976" t="s">
        <v>1867</v>
      </c>
      <c r="CB1" s="1976" t="s">
        <v>1868</v>
      </c>
      <c r="CC1" s="1976" t="s">
        <v>1869</v>
      </c>
      <c r="CD1" s="1976" t="s">
        <v>1870</v>
      </c>
      <c r="CE1" s="1976" t="s">
        <v>1871</v>
      </c>
      <c r="CF1" s="1976" t="s">
        <v>1872</v>
      </c>
      <c r="CG1" s="1977" t="s">
        <v>1926</v>
      </c>
      <c r="CH1" s="1976" t="s">
        <v>948</v>
      </c>
      <c r="CI1" s="1976" t="s">
        <v>1873</v>
      </c>
      <c r="CJ1" s="1976" t="s">
        <v>1874</v>
      </c>
      <c r="CK1" s="1976" t="s">
        <v>1875</v>
      </c>
      <c r="CL1" s="1976"/>
      <c r="CM1" s="1976" t="s">
        <v>1876</v>
      </c>
      <c r="CN1" s="1976" t="s">
        <v>1881</v>
      </c>
      <c r="CO1" s="1977" t="s">
        <v>1930</v>
      </c>
      <c r="CP1" s="1976" t="s">
        <v>1879</v>
      </c>
      <c r="CQ1" s="1977" t="s">
        <v>1931</v>
      </c>
      <c r="CR1" s="1976" t="s">
        <v>1880</v>
      </c>
      <c r="CS1" s="1977" t="s">
        <v>1927</v>
      </c>
      <c r="CT1" s="1976" t="s">
        <v>1877</v>
      </c>
      <c r="CU1" s="1977" t="s">
        <v>1928</v>
      </c>
      <c r="CV1" s="1976" t="s">
        <v>1878</v>
      </c>
      <c r="CW1" s="1978" t="s">
        <v>1365</v>
      </c>
      <c r="CX1" s="1977" t="s">
        <v>1932</v>
      </c>
      <c r="CY1" s="1976" t="s">
        <v>1882</v>
      </c>
      <c r="CZ1" s="1976" t="s">
        <v>1883</v>
      </c>
      <c r="DA1" s="1977" t="s">
        <v>1361</v>
      </c>
      <c r="DB1" s="1976" t="s">
        <v>1884</v>
      </c>
      <c r="DC1" s="1976" t="s">
        <v>1885</v>
      </c>
      <c r="DD1" s="1976" t="s">
        <v>1886</v>
      </c>
      <c r="DE1" s="1976" t="s">
        <v>1887</v>
      </c>
      <c r="DF1" s="1976" t="s">
        <v>1137</v>
      </c>
      <c r="DG1" s="1976" t="s">
        <v>1888</v>
      </c>
      <c r="DH1" s="1976"/>
      <c r="DI1" s="1976" t="s">
        <v>1889</v>
      </c>
      <c r="DJ1" s="1976" t="s">
        <v>1890</v>
      </c>
      <c r="DK1" s="1976" t="s">
        <v>1891</v>
      </c>
      <c r="DL1" s="1976" t="s">
        <v>1892</v>
      </c>
      <c r="DM1" s="1979" t="s">
        <v>1896</v>
      </c>
      <c r="DN1" s="1976" t="s">
        <v>1893</v>
      </c>
      <c r="DO1" s="1980" t="s">
        <v>1894</v>
      </c>
      <c r="DP1" s="1979" t="s">
        <v>1895</v>
      </c>
      <c r="DQ1" s="1981" t="s">
        <v>1897</v>
      </c>
    </row>
    <row r="2" spans="1:162" s="1611" customFormat="1" hidden="1" outlineLevel="1">
      <c r="A2" s="1608"/>
      <c r="B2" s="1609"/>
      <c r="C2" s="1609"/>
      <c r="D2" s="1610"/>
      <c r="E2" s="1976" t="s">
        <v>22</v>
      </c>
      <c r="F2" s="1976" t="s">
        <v>22</v>
      </c>
      <c r="G2" s="1976" t="s">
        <v>22</v>
      </c>
      <c r="H2" s="1976" t="s">
        <v>22</v>
      </c>
      <c r="I2" s="1976" t="s">
        <v>22</v>
      </c>
      <c r="J2" s="1976" t="s">
        <v>22</v>
      </c>
      <c r="K2" s="1976" t="s">
        <v>22</v>
      </c>
      <c r="L2" s="1976" t="s">
        <v>22</v>
      </c>
      <c r="M2" s="1976" t="s">
        <v>22</v>
      </c>
      <c r="N2" s="1976" t="s">
        <v>21</v>
      </c>
      <c r="O2" s="1976" t="s">
        <v>21</v>
      </c>
      <c r="P2" s="1976" t="s">
        <v>21</v>
      </c>
      <c r="Q2" s="1976" t="s">
        <v>22</v>
      </c>
      <c r="R2" s="1976" t="s">
        <v>22</v>
      </c>
      <c r="S2" s="1976" t="s">
        <v>22</v>
      </c>
      <c r="T2" s="1976" t="s">
        <v>21</v>
      </c>
      <c r="U2" s="1976" t="s">
        <v>21</v>
      </c>
      <c r="V2" s="1976" t="s">
        <v>21</v>
      </c>
      <c r="W2" s="1976" t="s">
        <v>21</v>
      </c>
      <c r="X2" s="1976" t="s">
        <v>22</v>
      </c>
      <c r="Y2" s="1976" t="s">
        <v>23</v>
      </c>
      <c r="Z2" s="1976" t="s">
        <v>2041</v>
      </c>
      <c r="AA2" s="1976" t="s">
        <v>22</v>
      </c>
      <c r="AB2" s="1976" t="s">
        <v>23</v>
      </c>
      <c r="AC2" s="1976" t="s">
        <v>22</v>
      </c>
      <c r="AD2" s="1976" t="s">
        <v>22</v>
      </c>
      <c r="AE2" s="1976" t="s">
        <v>21</v>
      </c>
      <c r="AF2" s="1976" t="s">
        <v>22</v>
      </c>
      <c r="AG2" s="1976" t="s">
        <v>22</v>
      </c>
      <c r="AH2" s="1976" t="s">
        <v>22</v>
      </c>
      <c r="AI2" s="1976" t="s">
        <v>23</v>
      </c>
      <c r="AJ2" s="1976" t="s">
        <v>2041</v>
      </c>
      <c r="AK2" s="1976" t="s">
        <v>22</v>
      </c>
      <c r="AL2" s="1976" t="s">
        <v>23</v>
      </c>
      <c r="AM2" s="1976" t="s">
        <v>22</v>
      </c>
      <c r="AN2" s="1976" t="s">
        <v>23</v>
      </c>
      <c r="AO2" s="1976" t="s">
        <v>22</v>
      </c>
      <c r="AP2" s="1976" t="s">
        <v>22</v>
      </c>
      <c r="AQ2" s="1976" t="s">
        <v>22</v>
      </c>
      <c r="AR2" s="1976" t="s">
        <v>22</v>
      </c>
      <c r="AS2" s="1976" t="s">
        <v>22</v>
      </c>
      <c r="AT2" s="1976" t="s">
        <v>22</v>
      </c>
      <c r="AU2" s="1976" t="s">
        <v>22</v>
      </c>
      <c r="AV2" s="1976" t="s">
        <v>21</v>
      </c>
      <c r="AW2" s="1976" t="s">
        <v>21</v>
      </c>
      <c r="AX2" s="1976" t="s">
        <v>22</v>
      </c>
      <c r="AY2" s="1976" t="s">
        <v>22</v>
      </c>
      <c r="AZ2" s="1976" t="s">
        <v>22</v>
      </c>
      <c r="BA2" s="1976" t="s">
        <v>22</v>
      </c>
      <c r="BB2" s="1976" t="s">
        <v>22</v>
      </c>
      <c r="BC2" s="1976" t="s">
        <v>22</v>
      </c>
      <c r="BD2" s="1976" t="s">
        <v>21</v>
      </c>
      <c r="BE2" s="1976" t="s">
        <v>21</v>
      </c>
      <c r="BF2" s="1976" t="s">
        <v>22</v>
      </c>
      <c r="BG2" s="1976" t="s">
        <v>22</v>
      </c>
      <c r="BH2" s="1976" t="s">
        <v>22</v>
      </c>
      <c r="BI2" s="1976" t="s">
        <v>22</v>
      </c>
      <c r="BJ2" s="1976" t="s">
        <v>22</v>
      </c>
      <c r="BK2" s="1976" t="s">
        <v>22</v>
      </c>
      <c r="BL2" s="1976" t="s">
        <v>21</v>
      </c>
      <c r="BM2" s="1976" t="s">
        <v>21</v>
      </c>
      <c r="BN2" s="1976" t="s">
        <v>22</v>
      </c>
      <c r="BO2" s="1976" t="s">
        <v>22</v>
      </c>
      <c r="BP2" s="1976" t="s">
        <v>22</v>
      </c>
      <c r="BQ2" s="1976" t="s">
        <v>22</v>
      </c>
      <c r="BR2" s="1976" t="s">
        <v>22</v>
      </c>
      <c r="BS2" s="1976" t="s">
        <v>22</v>
      </c>
      <c r="BT2" s="1976" t="s">
        <v>22</v>
      </c>
      <c r="BU2" s="1976" t="s">
        <v>21</v>
      </c>
      <c r="BV2" s="1976" t="s">
        <v>21</v>
      </c>
      <c r="BW2" s="1976" t="s">
        <v>21</v>
      </c>
      <c r="BX2" s="1976" t="s">
        <v>22</v>
      </c>
      <c r="BY2" s="1976" t="s">
        <v>22</v>
      </c>
      <c r="BZ2" s="1976" t="s">
        <v>22</v>
      </c>
      <c r="CA2" s="1976" t="s">
        <v>22</v>
      </c>
      <c r="CB2" s="1976" t="s">
        <v>22</v>
      </c>
      <c r="CC2" s="1976" t="s">
        <v>22</v>
      </c>
      <c r="CD2" s="1976" t="s">
        <v>22</v>
      </c>
      <c r="CE2" s="1976" t="s">
        <v>22</v>
      </c>
      <c r="CF2" s="1976" t="s">
        <v>22</v>
      </c>
      <c r="CG2" s="1976" t="s">
        <v>22</v>
      </c>
      <c r="CH2" s="1976" t="s">
        <v>22</v>
      </c>
      <c r="CI2" s="1976" t="s">
        <v>22</v>
      </c>
      <c r="CJ2" s="1976" t="s">
        <v>22</v>
      </c>
      <c r="CK2" s="1976" t="s">
        <v>21</v>
      </c>
      <c r="CL2" s="1976" t="s">
        <v>21</v>
      </c>
      <c r="CM2" s="1976" t="s">
        <v>22</v>
      </c>
      <c r="CN2" s="1976" t="s">
        <v>22</v>
      </c>
      <c r="CO2" s="1976" t="s">
        <v>21</v>
      </c>
      <c r="CP2" s="1976" t="s">
        <v>22</v>
      </c>
      <c r="CQ2" s="1976" t="s">
        <v>21</v>
      </c>
      <c r="CR2" s="1976" t="s">
        <v>22</v>
      </c>
      <c r="CS2" s="1976" t="s">
        <v>21</v>
      </c>
      <c r="CT2" s="1976" t="s">
        <v>22</v>
      </c>
      <c r="CU2" s="1976" t="s">
        <v>21</v>
      </c>
      <c r="CV2" s="1976" t="s">
        <v>22</v>
      </c>
      <c r="CW2" s="1976" t="s">
        <v>21</v>
      </c>
      <c r="CX2" s="1976" t="s">
        <v>21</v>
      </c>
      <c r="CY2" s="1976" t="s">
        <v>22</v>
      </c>
      <c r="CZ2" s="1976" t="s">
        <v>23</v>
      </c>
      <c r="DA2" s="1976" t="s">
        <v>22</v>
      </c>
      <c r="DB2" s="1976" t="s">
        <v>21</v>
      </c>
      <c r="DC2" s="1976" t="s">
        <v>22</v>
      </c>
      <c r="DD2" s="1976" t="s">
        <v>23</v>
      </c>
      <c r="DE2" s="1976" t="s">
        <v>22</v>
      </c>
      <c r="DF2" s="1976" t="s">
        <v>21</v>
      </c>
      <c r="DG2" s="1976" t="s">
        <v>21</v>
      </c>
      <c r="DH2" s="1976" t="s">
        <v>21</v>
      </c>
      <c r="DI2" s="1976" t="s">
        <v>22</v>
      </c>
      <c r="DJ2" s="1976" t="s">
        <v>22</v>
      </c>
      <c r="DK2" s="1976" t="s">
        <v>22</v>
      </c>
      <c r="DL2" s="1976" t="s">
        <v>22</v>
      </c>
      <c r="DM2" s="1979" t="s">
        <v>22</v>
      </c>
      <c r="DN2" s="1976" t="s">
        <v>21</v>
      </c>
      <c r="DO2" s="1980" t="s">
        <v>22</v>
      </c>
      <c r="DP2" s="1979" t="s">
        <v>22</v>
      </c>
      <c r="DQ2" s="1979" t="s">
        <v>22</v>
      </c>
      <c r="DR2" s="1976" t="s">
        <v>21</v>
      </c>
      <c r="DS2" s="1976" t="s">
        <v>21</v>
      </c>
      <c r="DT2" s="1976" t="s">
        <v>21</v>
      </c>
      <c r="DU2" s="1976" t="s">
        <v>21</v>
      </c>
      <c r="DV2" s="1976" t="s">
        <v>21</v>
      </c>
      <c r="DW2" s="1976" t="s">
        <v>21</v>
      </c>
      <c r="DX2" s="1976" t="s">
        <v>21</v>
      </c>
      <c r="DY2" s="1976" t="s">
        <v>21</v>
      </c>
      <c r="DZ2" s="1976" t="s">
        <v>21</v>
      </c>
      <c r="EA2" s="1976" t="s">
        <v>21</v>
      </c>
      <c r="EB2" s="1976" t="s">
        <v>21</v>
      </c>
      <c r="EC2" s="1976" t="s">
        <v>21</v>
      </c>
      <c r="ED2" s="1976" t="s">
        <v>21</v>
      </c>
      <c r="EE2" s="1606" t="s">
        <v>21</v>
      </c>
      <c r="EF2" s="1606" t="s">
        <v>21</v>
      </c>
      <c r="EG2" s="1606" t="s">
        <v>21</v>
      </c>
      <c r="EH2" s="1606" t="s">
        <v>21</v>
      </c>
      <c r="EI2" s="1606" t="s">
        <v>21</v>
      </c>
      <c r="EJ2" s="1606" t="s">
        <v>21</v>
      </c>
      <c r="EK2" s="1606" t="s">
        <v>21</v>
      </c>
      <c r="EL2" s="1606" t="s">
        <v>21</v>
      </c>
      <c r="EM2" s="1606" t="s">
        <v>21</v>
      </c>
      <c r="EN2" s="1606" t="s">
        <v>21</v>
      </c>
      <c r="EO2" s="1606" t="s">
        <v>21</v>
      </c>
      <c r="EP2" s="1606" t="s">
        <v>21</v>
      </c>
      <c r="EQ2" s="1606" t="s">
        <v>21</v>
      </c>
      <c r="ER2" s="1606" t="s">
        <v>21</v>
      </c>
      <c r="ES2" s="1606" t="s">
        <v>21</v>
      </c>
      <c r="ET2" s="1606" t="s">
        <v>21</v>
      </c>
      <c r="EU2" s="1606" t="s">
        <v>21</v>
      </c>
      <c r="EV2" s="1606" t="s">
        <v>21</v>
      </c>
      <c r="EW2" s="1606" t="s">
        <v>21</v>
      </c>
      <c r="EX2" s="1606" t="s">
        <v>21</v>
      </c>
      <c r="EY2" s="1606" t="s">
        <v>21</v>
      </c>
      <c r="EZ2" s="1606" t="s">
        <v>21</v>
      </c>
      <c r="FA2" s="1606" t="s">
        <v>21</v>
      </c>
    </row>
    <row r="3" spans="1:162" s="1613" customFormat="1" hidden="1" outlineLevel="1">
      <c r="A3" s="1612" t="s">
        <v>2018</v>
      </c>
      <c r="B3" s="1612" t="s">
        <v>2076</v>
      </c>
      <c r="C3" s="1612" t="s">
        <v>44</v>
      </c>
      <c r="D3" s="1612"/>
      <c r="E3" s="1983">
        <f>'Classic Rimini '!G33</f>
        <v>2200</v>
      </c>
      <c r="F3" s="1983">
        <f>'Classic Rimini '!H33</f>
        <v>1000</v>
      </c>
      <c r="G3" s="1983">
        <f>'Classic Rimini '!I33</f>
        <v>1000</v>
      </c>
      <c r="H3" s="1983">
        <f>'Classic Rimini '!K33</f>
        <v>300</v>
      </c>
      <c r="I3" s="1983" t="e">
        <f>'Classic Rimini '!#REF!</f>
        <v>#REF!</v>
      </c>
      <c r="J3" s="1983" t="e">
        <f>'Classic Rimini '!#REF!</f>
        <v>#REF!</v>
      </c>
      <c r="K3" s="1983" t="e">
        <f>'Classic Rimini '!#REF!</f>
        <v>#REF!</v>
      </c>
      <c r="L3" s="1983">
        <f>F3</f>
        <v>1000</v>
      </c>
      <c r="M3" s="1983">
        <f>G3</f>
        <v>1000</v>
      </c>
      <c r="N3" s="1983"/>
      <c r="O3" s="1983"/>
      <c r="P3" s="1983"/>
      <c r="Q3" s="1983"/>
      <c r="R3" s="1983"/>
      <c r="S3" s="1983"/>
      <c r="T3" s="1983"/>
      <c r="U3" s="1983"/>
      <c r="V3" s="1983"/>
      <c r="W3" s="1983" t="str">
        <f>'Provеnce Sienna'!G16</f>
        <v>-</v>
      </c>
      <c r="X3" s="1983" t="str">
        <f>'Provеnce Sienna'!H16</f>
        <v>˅</v>
      </c>
      <c r="Y3" s="1983" t="str">
        <f>X3</f>
        <v>˅</v>
      </c>
      <c r="Z3" s="1983" t="str">
        <f>X3</f>
        <v>˅</v>
      </c>
      <c r="AA3" s="1983" t="str">
        <f>'Provеnce Sienna'!K16</f>
        <v>˅</v>
      </c>
      <c r="AB3" s="1983" t="str">
        <f>AA3</f>
        <v>˅</v>
      </c>
      <c r="AC3" s="1983" t="e">
        <f>'Provеnce Sienna'!#REF!</f>
        <v>#REF!</v>
      </c>
      <c r="AD3" s="1983" t="str">
        <f>'Provеnce Sienna'!M16</f>
        <v>-</v>
      </c>
      <c r="AE3" s="1983"/>
      <c r="AF3" s="1983" t="str">
        <f>'Provеnce Amelia'!H21</f>
        <v>˅</v>
      </c>
      <c r="AG3" s="1983" t="str">
        <f>AF3</f>
        <v>˅</v>
      </c>
      <c r="AH3" s="1983" t="str">
        <f>'Provеnce Amelia'!I21</f>
        <v>˅</v>
      </c>
      <c r="AI3" s="1983" t="str">
        <f>AH3</f>
        <v>˅</v>
      </c>
      <c r="AJ3" s="1983" t="str">
        <f>AH3</f>
        <v>˅</v>
      </c>
      <c r="AK3" s="1983" t="str">
        <f>'Provеnce Amelia'!J21</f>
        <v>˅</v>
      </c>
      <c r="AL3" s="1983" t="str">
        <f>AK3</f>
        <v>˅</v>
      </c>
      <c r="AM3" s="1983" t="e">
        <f>'Provеnce Amelia'!#REF!</f>
        <v>#REF!</v>
      </c>
      <c r="AN3" s="1983" t="e">
        <f>AM3</f>
        <v>#REF!</v>
      </c>
      <c r="AO3" s="1983" t="e">
        <f>'Provеnce Amelia'!#REF!</f>
        <v>#REF!</v>
      </c>
      <c r="AP3" s="1983" t="e">
        <f>'Provеnce Amelia'!#REF!</f>
        <v>#REF!</v>
      </c>
      <c r="AQ3" s="1983" t="str">
        <f>'Provеnce Amelia'!K21</f>
        <v>˅</v>
      </c>
      <c r="AR3" s="1983"/>
      <c r="AS3" s="1983"/>
      <c r="AT3" s="1983"/>
      <c r="AU3" s="1983"/>
      <c r="AV3" s="1983"/>
      <c r="AW3" s="1983"/>
      <c r="AX3" s="1983"/>
      <c r="AY3" s="1983"/>
      <c r="AZ3" s="1983"/>
      <c r="BA3" s="1983"/>
      <c r="BB3" s="1983"/>
      <c r="BC3" s="1983"/>
      <c r="BD3" s="1983"/>
      <c r="BE3" s="1983"/>
      <c r="BF3" s="1983"/>
      <c r="BG3" s="1983"/>
      <c r="BH3" s="1983"/>
      <c r="BI3" s="1983"/>
      <c r="BJ3" s="1983"/>
      <c r="BK3" s="1983"/>
      <c r="BL3" s="1983"/>
      <c r="BM3" s="1983"/>
      <c r="BN3" s="1983">
        <f>Fusion!G19</f>
        <v>1500</v>
      </c>
      <c r="BO3" s="1983">
        <f>Fusion!H19</f>
        <v>1000</v>
      </c>
      <c r="BP3" s="1984">
        <f>BO3</f>
        <v>1000</v>
      </c>
      <c r="BQ3" s="1983">
        <f>Fusion!J19</f>
        <v>1000</v>
      </c>
      <c r="BR3" s="1984">
        <f t="shared" ref="BR3:BR8" si="0">BQ3</f>
        <v>1000</v>
      </c>
      <c r="BS3" s="1983">
        <f>Fusion!I19</f>
        <v>1000</v>
      </c>
      <c r="BT3" s="1984">
        <f t="shared" ref="BT3:BT8" si="1">BS3</f>
        <v>1000</v>
      </c>
      <c r="BU3" s="1983"/>
      <c r="BV3" s="1983">
        <f t="shared" ref="BV3:BV8" si="2">BU3</f>
        <v>0</v>
      </c>
      <c r="BW3" s="1983">
        <f t="shared" ref="BW3:BW8" si="3">BU3</f>
        <v>0</v>
      </c>
      <c r="BX3" s="1983">
        <f>Fusion!M19</f>
        <v>800</v>
      </c>
      <c r="BY3" s="1984">
        <f t="shared" ref="BY3:BY8" si="4">BX3</f>
        <v>800</v>
      </c>
      <c r="BZ3" s="1983">
        <f>Fusion!M19</f>
        <v>800</v>
      </c>
      <c r="CA3" s="1984">
        <f t="shared" ref="CA3:CA8" si="5">BZ3</f>
        <v>800</v>
      </c>
      <c r="CB3" s="1983" t="e">
        <f>Neoclassic!#REF!</f>
        <v>#REF!</v>
      </c>
      <c r="CC3" s="1983" t="e">
        <f>Neoclassic!#REF!</f>
        <v>#REF!</v>
      </c>
      <c r="CD3" s="1983">
        <f>Neoclassic!H24</f>
        <v>1000</v>
      </c>
      <c r="CE3" s="1983" t="e">
        <f>Neoclassic!#REF!</f>
        <v>#REF!</v>
      </c>
      <c r="CF3" s="1983">
        <f>Neoclassic!L24</f>
        <v>1000</v>
      </c>
      <c r="CG3" s="1983" t="e">
        <f>Neoclassic!#REF!</f>
        <v>#REF!</v>
      </c>
      <c r="CH3" s="1983" t="e">
        <f>#REF!</f>
        <v>#REF!</v>
      </c>
      <c r="CI3" s="1983">
        <f>Neoclassic!O24</f>
        <v>700</v>
      </c>
      <c r="CJ3" s="1983" t="e">
        <f>#REF!</f>
        <v>#REF!</v>
      </c>
      <c r="CK3" s="1983"/>
      <c r="CL3" s="1983"/>
      <c r="CM3" s="1983">
        <v>0</v>
      </c>
      <c r="CN3" s="1983"/>
      <c r="CO3" s="1983"/>
      <c r="CP3" s="1983">
        <v>0</v>
      </c>
      <c r="CQ3" s="1983"/>
      <c r="CR3" s="1983">
        <v>0</v>
      </c>
      <c r="CS3" s="1983"/>
      <c r="CT3" s="1983">
        <v>0</v>
      </c>
      <c r="CU3" s="1983"/>
      <c r="CV3" s="1983">
        <v>0</v>
      </c>
      <c r="CW3" s="1983"/>
      <c r="CX3" s="1983"/>
      <c r="CY3" s="1983" t="s">
        <v>5</v>
      </c>
      <c r="CZ3" s="1983"/>
      <c r="DA3" s="1983" t="s">
        <v>5</v>
      </c>
      <c r="DB3" s="1983"/>
      <c r="DC3" s="1983" t="s">
        <v>5</v>
      </c>
      <c r="DD3" s="1983" t="s">
        <v>5</v>
      </c>
      <c r="DE3" s="1983"/>
      <c r="DF3" s="1983"/>
      <c r="DG3" s="1983"/>
      <c r="DH3" s="1983"/>
      <c r="DI3" s="1983"/>
      <c r="DJ3" s="1983"/>
      <c r="DK3" s="1983"/>
      <c r="DL3" s="1983"/>
      <c r="DM3" s="1983"/>
      <c r="DN3" s="1983"/>
      <c r="DO3" s="1985"/>
      <c r="DP3" s="1983"/>
      <c r="DQ3" s="1983"/>
      <c r="DR3" s="1986"/>
      <c r="DS3" s="1987"/>
      <c r="DT3" s="1987"/>
      <c r="DU3" s="1987"/>
      <c r="DV3" s="1987"/>
      <c r="DW3" s="1987"/>
      <c r="DX3" s="1987"/>
      <c r="DY3" s="1987"/>
      <c r="DZ3" s="1987"/>
      <c r="EA3" s="1987"/>
      <c r="EB3" s="1987"/>
      <c r="EC3" s="1987"/>
      <c r="ED3" s="1987"/>
      <c r="FF3" s="1614"/>
    </row>
    <row r="4" spans="1:162" hidden="1" outlineLevel="2">
      <c r="A4" s="1615" t="s">
        <v>1898</v>
      </c>
      <c r="B4" s="1615" t="s">
        <v>2077</v>
      </c>
      <c r="C4" s="1615" t="s">
        <v>44</v>
      </c>
      <c r="D4" s="1615"/>
      <c r="E4" s="1988">
        <f>'Classic Rimini '!G34</f>
        <v>2700</v>
      </c>
      <c r="F4" s="1988">
        <f>'Classic Rimini '!H34</f>
        <v>1300</v>
      </c>
      <c r="G4" s="1988">
        <f>'Classic Rimini '!I34</f>
        <v>1300</v>
      </c>
      <c r="H4" s="1988">
        <f>'Classic Rimini '!K34</f>
        <v>400</v>
      </c>
      <c r="I4" s="1988" t="e">
        <f>'Classic Rimini '!#REF!</f>
        <v>#REF!</v>
      </c>
      <c r="J4" s="1988" t="e">
        <f>'Classic Rimini '!#REF!</f>
        <v>#REF!</v>
      </c>
      <c r="K4" s="1988" t="e">
        <f>'Classic Rimini '!#REF!</f>
        <v>#REF!</v>
      </c>
      <c r="L4" s="1988">
        <f t="shared" ref="L4:L11" si="6">F4</f>
        <v>1300</v>
      </c>
      <c r="M4" s="1988">
        <f t="shared" ref="M4:M11" si="7">G4</f>
        <v>1300</v>
      </c>
      <c r="N4" s="1988"/>
      <c r="O4" s="1988"/>
      <c r="P4" s="1988"/>
      <c r="Q4" s="1988"/>
      <c r="R4" s="1988"/>
      <c r="S4" s="1988"/>
      <c r="T4" s="1988"/>
      <c r="U4" s="1988"/>
      <c r="V4" s="1988"/>
      <c r="W4" s="1984" t="str">
        <f>'Provеnce Sienna'!G17</f>
        <v>-</v>
      </c>
      <c r="X4" s="1984">
        <f>'Provеnce Sienna'!H18</f>
        <v>750</v>
      </c>
      <c r="Y4" s="1984">
        <f t="shared" ref="Y4:Y11" si="8">X4</f>
        <v>750</v>
      </c>
      <c r="Z4" s="1984">
        <f>X4</f>
        <v>750</v>
      </c>
      <c r="AA4" s="1984">
        <f>'Provеnce Sienna'!K18</f>
        <v>750</v>
      </c>
      <c r="AB4" s="1984">
        <f t="shared" ref="AB4:AB11" si="9">AA4</f>
        <v>750</v>
      </c>
      <c r="AC4" s="1984" t="e">
        <f>'Provеnce Sienna'!#REF!</f>
        <v>#REF!</v>
      </c>
      <c r="AD4" s="1984" t="str">
        <f>'Provеnce Sienna'!M17</f>
        <v xml:space="preserve"> - </v>
      </c>
      <c r="AE4" s="1988"/>
      <c r="AF4" s="1983" t="str">
        <f>'Provеnce Amelia'!H22</f>
        <v>˅</v>
      </c>
      <c r="AG4" s="1983" t="str">
        <f t="shared" ref="AG4:AG11" si="10">AF4</f>
        <v>˅</v>
      </c>
      <c r="AH4" s="1984" t="str">
        <f>'Provеnce Amelia'!I22</f>
        <v>˅</v>
      </c>
      <c r="AI4" s="1984" t="str">
        <f t="shared" ref="AI4:AI11" si="11">AH4</f>
        <v>˅</v>
      </c>
      <c r="AJ4" s="1984" t="str">
        <f>AH4</f>
        <v>˅</v>
      </c>
      <c r="AK4" s="1984" t="str">
        <f>'Provеnce Amelia'!J22</f>
        <v>˅</v>
      </c>
      <c r="AL4" s="1984" t="str">
        <f t="shared" ref="AL4:AL11" si="12">AK4</f>
        <v>˅</v>
      </c>
      <c r="AM4" s="1984" t="e">
        <f>'Provеnce Amelia'!#REF!</f>
        <v>#REF!</v>
      </c>
      <c r="AN4" s="1984" t="e">
        <f t="shared" ref="AN4:AN11" si="13">AM4</f>
        <v>#REF!</v>
      </c>
      <c r="AO4" s="1984" t="e">
        <f>'Provеnce Amelia'!#REF!</f>
        <v>#REF!</v>
      </c>
      <c r="AP4" s="1984" t="e">
        <f>'Provеnce Amelia'!#REF!</f>
        <v>#REF!</v>
      </c>
      <c r="AQ4" s="1984" t="str">
        <f>'Provеnce Amelia'!K22</f>
        <v>˅</v>
      </c>
      <c r="AR4" s="1988"/>
      <c r="AS4" s="1988"/>
      <c r="AT4" s="1988"/>
      <c r="AU4" s="1988"/>
      <c r="AV4" s="1988"/>
      <c r="AW4" s="1988"/>
      <c r="AX4" s="1988"/>
      <c r="AY4" s="1988"/>
      <c r="AZ4" s="1988"/>
      <c r="BA4" s="1988"/>
      <c r="BB4" s="1988"/>
      <c r="BC4" s="1988"/>
      <c r="BD4" s="1988"/>
      <c r="BE4" s="1988"/>
      <c r="BF4" s="1988"/>
      <c r="BG4" s="1988"/>
      <c r="BH4" s="1988"/>
      <c r="BI4" s="1988"/>
      <c r="BJ4" s="1988"/>
      <c r="BK4" s="1988"/>
      <c r="BL4" s="1988"/>
      <c r="BM4" s="1988"/>
      <c r="BN4" s="1984">
        <f>Fusion!G20</f>
        <v>2000</v>
      </c>
      <c r="BO4" s="1984">
        <f>Fusion!H20</f>
        <v>1300</v>
      </c>
      <c r="BP4" s="1984">
        <f>BO4</f>
        <v>1300</v>
      </c>
      <c r="BQ4" s="1984">
        <f>Fusion!J20</f>
        <v>1300</v>
      </c>
      <c r="BR4" s="1984">
        <f t="shared" si="0"/>
        <v>1300</v>
      </c>
      <c r="BS4" s="1984">
        <f>Fusion!I20</f>
        <v>1300</v>
      </c>
      <c r="BT4" s="1984">
        <f t="shared" si="1"/>
        <v>1300</v>
      </c>
      <c r="BU4" s="1984"/>
      <c r="BV4" s="1984">
        <f t="shared" si="2"/>
        <v>0</v>
      </c>
      <c r="BW4" s="1984">
        <f t="shared" si="3"/>
        <v>0</v>
      </c>
      <c r="BX4" s="1984">
        <f>Fusion!M20</f>
        <v>1150</v>
      </c>
      <c r="BY4" s="1984">
        <f t="shared" si="4"/>
        <v>1150</v>
      </c>
      <c r="BZ4" s="1984">
        <f>Fusion!M20</f>
        <v>1150</v>
      </c>
      <c r="CA4" s="1984">
        <f t="shared" si="5"/>
        <v>1150</v>
      </c>
      <c r="CB4" s="1988" t="e">
        <f>Neoclassic!#REF!</f>
        <v>#REF!</v>
      </c>
      <c r="CC4" s="1988" t="e">
        <f>Neoclassic!#REF!</f>
        <v>#REF!</v>
      </c>
      <c r="CD4" s="1988">
        <f>Neoclassic!H25</f>
        <v>1300</v>
      </c>
      <c r="CE4" s="1988" t="e">
        <f>Neoclassic!#REF!</f>
        <v>#REF!</v>
      </c>
      <c r="CF4" s="1988">
        <f>Neoclassic!L25</f>
        <v>1300</v>
      </c>
      <c r="CG4" s="1988" t="e">
        <f>Neoclassic!#REF!</f>
        <v>#REF!</v>
      </c>
      <c r="CH4" s="1984" t="e">
        <f>#REF!</f>
        <v>#REF!</v>
      </c>
      <c r="CI4" s="1984">
        <f>Neoclassic!O25</f>
        <v>1000</v>
      </c>
      <c r="CJ4" s="1984" t="e">
        <f>#REF!</f>
        <v>#REF!</v>
      </c>
      <c r="CK4" s="1988"/>
      <c r="CL4" s="1988"/>
      <c r="CM4" s="1988"/>
      <c r="CN4" s="1988"/>
      <c r="CO4" s="1988"/>
      <c r="CP4" s="1988">
        <v>0</v>
      </c>
      <c r="CQ4" s="1988"/>
      <c r="CR4" s="1988">
        <v>0</v>
      </c>
      <c r="CS4" s="1988"/>
      <c r="CT4" s="1988">
        <v>0</v>
      </c>
      <c r="CU4" s="1988"/>
      <c r="CV4" s="1988">
        <v>0</v>
      </c>
      <c r="CW4" s="1988"/>
      <c r="CX4" s="1988"/>
      <c r="CY4" s="1988"/>
      <c r="CZ4" s="1988"/>
      <c r="DA4" s="1988"/>
      <c r="DB4" s="1988"/>
      <c r="DC4" s="1988"/>
      <c r="DD4" s="1988"/>
      <c r="DE4" s="1988"/>
      <c r="DF4" s="1988"/>
      <c r="DG4" s="1988"/>
      <c r="DH4" s="1988"/>
      <c r="DI4" s="1988"/>
      <c r="DJ4" s="1988"/>
      <c r="DK4" s="1988"/>
      <c r="DL4" s="1988"/>
      <c r="DM4" s="1988"/>
      <c r="DN4" s="1988"/>
      <c r="DO4" s="1989"/>
      <c r="DP4" s="1988"/>
      <c r="DQ4" s="1988"/>
      <c r="DR4" s="1990"/>
      <c r="FF4" s="1616"/>
    </row>
    <row r="5" spans="1:162" hidden="1" outlineLevel="2">
      <c r="A5" s="1615" t="s">
        <v>1898</v>
      </c>
      <c r="B5" s="1615" t="s">
        <v>2078</v>
      </c>
      <c r="C5" s="1615" t="s">
        <v>44</v>
      </c>
      <c r="D5" s="1615"/>
      <c r="E5" s="1988">
        <f>'Classic Rimini '!G35</f>
        <v>3200</v>
      </c>
      <c r="F5" s="1988">
        <f>'Classic Rimini '!H35</f>
        <v>1700</v>
      </c>
      <c r="G5" s="1988">
        <f>'Classic Rimini '!I35</f>
        <v>1700</v>
      </c>
      <c r="H5" s="1988">
        <f>'Classic Rimini '!K35</f>
        <v>500</v>
      </c>
      <c r="I5" s="1988" t="e">
        <f>'Classic Rimini '!#REF!</f>
        <v>#REF!</v>
      </c>
      <c r="J5" s="1988" t="e">
        <f>'Classic Rimini '!#REF!</f>
        <v>#REF!</v>
      </c>
      <c r="K5" s="1988" t="e">
        <f>'Classic Rimini '!#REF!</f>
        <v>#REF!</v>
      </c>
      <c r="L5" s="1988">
        <f t="shared" si="6"/>
        <v>1700</v>
      </c>
      <c r="M5" s="1988">
        <f t="shared" si="7"/>
        <v>1700</v>
      </c>
      <c r="N5" s="1988"/>
      <c r="O5" s="1988"/>
      <c r="P5" s="1988"/>
      <c r="Q5" s="1988"/>
      <c r="R5" s="1988"/>
      <c r="S5" s="1988"/>
      <c r="T5" s="1988"/>
      <c r="U5" s="1988"/>
      <c r="V5" s="1988"/>
      <c r="W5" s="1984" t="str">
        <f>'Provеnce Sienna'!G19</f>
        <v>-</v>
      </c>
      <c r="X5" s="1984">
        <f>'Provеnce Sienna'!H19</f>
        <v>750</v>
      </c>
      <c r="Y5" s="1984">
        <f t="shared" si="8"/>
        <v>750</v>
      </c>
      <c r="Z5" s="1984">
        <f>X5</f>
        <v>750</v>
      </c>
      <c r="AA5" s="1984">
        <f>'Provеnce Sienna'!K19</f>
        <v>750</v>
      </c>
      <c r="AB5" s="1984">
        <f t="shared" si="9"/>
        <v>750</v>
      </c>
      <c r="AC5" s="1984" t="e">
        <f>'Provеnce Sienna'!#REF!</f>
        <v>#REF!</v>
      </c>
      <c r="AD5" s="1984" t="str">
        <f>'Provеnce Sienna'!M19</f>
        <v>˅</v>
      </c>
      <c r="AE5" s="1988"/>
      <c r="AF5" s="1983" t="e">
        <f>'Provеnce Amelia'!#REF!</f>
        <v>#REF!</v>
      </c>
      <c r="AG5" s="1983" t="e">
        <f t="shared" si="10"/>
        <v>#REF!</v>
      </c>
      <c r="AH5" s="1984" t="e">
        <f>'Provеnce Amelia'!#REF!</f>
        <v>#REF!</v>
      </c>
      <c r="AI5" s="1984" t="e">
        <f t="shared" si="11"/>
        <v>#REF!</v>
      </c>
      <c r="AJ5" s="1984" t="e">
        <f>AH5</f>
        <v>#REF!</v>
      </c>
      <c r="AK5" s="1984" t="e">
        <f>'Provеnce Amelia'!#REF!</f>
        <v>#REF!</v>
      </c>
      <c r="AL5" s="1984" t="e">
        <f t="shared" si="12"/>
        <v>#REF!</v>
      </c>
      <c r="AM5" s="1984" t="e">
        <f>'Provеnce Amelia'!#REF!</f>
        <v>#REF!</v>
      </c>
      <c r="AN5" s="1984" t="e">
        <f t="shared" si="13"/>
        <v>#REF!</v>
      </c>
      <c r="AO5" s="1984" t="e">
        <f>'Provеnce Amelia'!#REF!</f>
        <v>#REF!</v>
      </c>
      <c r="AP5" s="1984" t="e">
        <f>'Provеnce Amelia'!#REF!</f>
        <v>#REF!</v>
      </c>
      <c r="AQ5" s="1984" t="e">
        <f>'Provеnce Amelia'!#REF!</f>
        <v>#REF!</v>
      </c>
      <c r="AR5" s="1988"/>
      <c r="AS5" s="1988"/>
      <c r="AT5" s="1988"/>
      <c r="AU5" s="1988"/>
      <c r="AV5" s="1988"/>
      <c r="AW5" s="1988"/>
      <c r="AX5" s="1988"/>
      <c r="AY5" s="1988"/>
      <c r="AZ5" s="1988"/>
      <c r="BA5" s="1988"/>
      <c r="BB5" s="1988"/>
      <c r="BC5" s="1988"/>
      <c r="BD5" s="1988"/>
      <c r="BE5" s="1988"/>
      <c r="BF5" s="1988"/>
      <c r="BG5" s="1988"/>
      <c r="BH5" s="1988"/>
      <c r="BI5" s="1988"/>
      <c r="BJ5" s="1988"/>
      <c r="BK5" s="1988"/>
      <c r="BL5" s="1988"/>
      <c r="BM5" s="1988"/>
      <c r="BN5" s="1984">
        <f>Fusion!G21</f>
        <v>2500</v>
      </c>
      <c r="BO5" s="1984">
        <f>Fusion!H21</f>
        <v>1700</v>
      </c>
      <c r="BP5" s="1984">
        <f>BO5</f>
        <v>1700</v>
      </c>
      <c r="BQ5" s="1984">
        <f>Fusion!J21</f>
        <v>1700</v>
      </c>
      <c r="BR5" s="1984">
        <f t="shared" si="0"/>
        <v>1700</v>
      </c>
      <c r="BS5" s="1984">
        <f>Fusion!I21</f>
        <v>1700</v>
      </c>
      <c r="BT5" s="1984">
        <f t="shared" si="1"/>
        <v>1700</v>
      </c>
      <c r="BU5" s="1984"/>
      <c r="BV5" s="1984">
        <f t="shared" si="2"/>
        <v>0</v>
      </c>
      <c r="BW5" s="1984">
        <f t="shared" si="3"/>
        <v>0</v>
      </c>
      <c r="BX5" s="1984">
        <f>Fusion!M21</f>
        <v>1500</v>
      </c>
      <c r="BY5" s="1984">
        <f t="shared" si="4"/>
        <v>1500</v>
      </c>
      <c r="BZ5" s="1984">
        <f>Fusion!M21</f>
        <v>1500</v>
      </c>
      <c r="CA5" s="1984">
        <f t="shared" si="5"/>
        <v>1500</v>
      </c>
      <c r="CB5" s="1988" t="e">
        <f>Neoclassic!#REF!</f>
        <v>#REF!</v>
      </c>
      <c r="CC5" s="1988" t="e">
        <f>Neoclassic!#REF!</f>
        <v>#REF!</v>
      </c>
      <c r="CD5" s="1988">
        <f>Neoclassic!H26</f>
        <v>1700</v>
      </c>
      <c r="CE5" s="1988" t="e">
        <f>Neoclassic!#REF!</f>
        <v>#REF!</v>
      </c>
      <c r="CF5" s="1988">
        <f>Neoclassic!L26</f>
        <v>1700</v>
      </c>
      <c r="CG5" s="1988" t="e">
        <f>Neoclassic!#REF!</f>
        <v>#REF!</v>
      </c>
      <c r="CH5" s="1984" t="e">
        <f>#REF!</f>
        <v>#REF!</v>
      </c>
      <c r="CI5" s="1984">
        <f>Neoclassic!O26</f>
        <v>1200</v>
      </c>
      <c r="CJ5" s="1984" t="e">
        <f>#REF!</f>
        <v>#REF!</v>
      </c>
      <c r="CK5" s="1988"/>
      <c r="CL5" s="1988"/>
      <c r="CM5" s="1988"/>
      <c r="CN5" s="1988"/>
      <c r="CO5" s="1988"/>
      <c r="CP5" s="1988">
        <v>0</v>
      </c>
      <c r="CQ5" s="1988"/>
      <c r="CR5" s="1988">
        <v>0</v>
      </c>
      <c r="CS5" s="1988"/>
      <c r="CT5" s="1988">
        <v>0</v>
      </c>
      <c r="CU5" s="1988"/>
      <c r="CV5" s="1988">
        <v>0</v>
      </c>
      <c r="CW5" s="1988"/>
      <c r="CX5" s="1988"/>
      <c r="CY5" s="1988"/>
      <c r="CZ5" s="1988"/>
      <c r="DA5" s="1988"/>
      <c r="DB5" s="1988"/>
      <c r="DC5" s="1988"/>
      <c r="DD5" s="1988"/>
      <c r="DE5" s="1988"/>
      <c r="DF5" s="1988"/>
      <c r="DG5" s="1988"/>
      <c r="DH5" s="1988"/>
      <c r="DI5" s="1988"/>
      <c r="DJ5" s="1988"/>
      <c r="DK5" s="1988"/>
      <c r="DL5" s="1988"/>
      <c r="DM5" s="1988"/>
      <c r="DN5" s="1988"/>
      <c r="DO5" s="1989"/>
      <c r="DP5" s="1988"/>
      <c r="DQ5" s="1988"/>
      <c r="DR5" s="1990"/>
      <c r="FF5" s="1616"/>
    </row>
    <row r="6" spans="1:162" s="1613" customFormat="1" hidden="1" outlineLevel="1" collapsed="1">
      <c r="A6" s="1612" t="s">
        <v>1898</v>
      </c>
      <c r="B6" s="1612" t="s">
        <v>2076</v>
      </c>
      <c r="C6" s="1612" t="s">
        <v>2088</v>
      </c>
      <c r="D6" s="1612"/>
      <c r="E6" s="1983">
        <f>E3+'Classic Rimini '!$G$43</f>
        <v>2900</v>
      </c>
      <c r="F6" s="1983">
        <f>F3+'Classic Rimini '!$H$43</f>
        <v>1500</v>
      </c>
      <c r="G6" s="1983">
        <f>G3+'Classic Rimini '!$I$43</f>
        <v>1500</v>
      </c>
      <c r="H6" s="1983">
        <f>H3+'Classic Rimini '!$K$43</f>
        <v>450</v>
      </c>
      <c r="I6" s="1983" t="e">
        <f>I3+'Classic Rimini '!#REF!</f>
        <v>#REF!</v>
      </c>
      <c r="J6" s="1983" t="e">
        <f>J3+'Classic Rimini '!#REF!</f>
        <v>#REF!</v>
      </c>
      <c r="K6" s="1983" t="e">
        <f>K3+'Classic Rimini '!#REF!</f>
        <v>#REF!</v>
      </c>
      <c r="L6" s="1983">
        <f t="shared" si="6"/>
        <v>1500</v>
      </c>
      <c r="M6" s="1983">
        <f t="shared" si="7"/>
        <v>1500</v>
      </c>
      <c r="N6" s="1983"/>
      <c r="O6" s="1983"/>
      <c r="P6" s="1983"/>
      <c r="Q6" s="1983"/>
      <c r="R6" s="1983"/>
      <c r="S6" s="1983"/>
      <c r="T6" s="1983"/>
      <c r="U6" s="1983"/>
      <c r="V6" s="1983"/>
      <c r="W6" s="1983"/>
      <c r="X6" s="1983" t="e">
        <f>X3+'Provеnce Sienna'!$H$21</f>
        <v>#VALUE!</v>
      </c>
      <c r="Y6" s="1984" t="e">
        <f t="shared" si="8"/>
        <v>#VALUE!</v>
      </c>
      <c r="Z6" s="1984" t="e">
        <f t="shared" ref="Z6:Z11" si="14">X6</f>
        <v>#VALUE!</v>
      </c>
      <c r="AA6" s="1983" t="e">
        <f>AA3+'Provеnce Sienna'!$K$21</f>
        <v>#VALUE!</v>
      </c>
      <c r="AB6" s="1984" t="e">
        <f t="shared" si="9"/>
        <v>#VALUE!</v>
      </c>
      <c r="AC6" s="1983" t="e">
        <f>AC3+'Provеnce Sienna'!#REF!</f>
        <v>#REF!</v>
      </c>
      <c r="AD6" s="1983"/>
      <c r="AE6" s="1983"/>
      <c r="AF6" s="1983" t="e">
        <f>AF3+'Provеnce Amelia'!$H$26</f>
        <v>#VALUE!</v>
      </c>
      <c r="AG6" s="1983" t="e">
        <f t="shared" si="10"/>
        <v>#VALUE!</v>
      </c>
      <c r="AH6" s="1983" t="e">
        <f>AH3+'Provеnce Amelia'!$H$26</f>
        <v>#VALUE!</v>
      </c>
      <c r="AI6" s="1984" t="e">
        <f t="shared" si="11"/>
        <v>#VALUE!</v>
      </c>
      <c r="AJ6" s="1984" t="e">
        <f t="shared" ref="AJ6:AJ11" si="15">AH6</f>
        <v>#VALUE!</v>
      </c>
      <c r="AK6" s="1983" t="e">
        <f>AK3+'Provеnce Amelia'!$H$26</f>
        <v>#VALUE!</v>
      </c>
      <c r="AL6" s="1984" t="e">
        <f t="shared" si="12"/>
        <v>#VALUE!</v>
      </c>
      <c r="AM6" s="1983" t="e">
        <f>AM3+'Provеnce Amelia'!$H$26</f>
        <v>#REF!</v>
      </c>
      <c r="AN6" s="1984" t="e">
        <f t="shared" si="13"/>
        <v>#REF!</v>
      </c>
      <c r="AO6" s="1983" t="e">
        <f>AO3+'Provеnce Amelia'!$H$26</f>
        <v>#REF!</v>
      </c>
      <c r="AP6" s="1983" t="e">
        <f>AP3+'Provеnce Amelia'!#REF!</f>
        <v>#REF!</v>
      </c>
      <c r="AQ6" s="1983" t="e">
        <f>AP6</f>
        <v>#REF!</v>
      </c>
      <c r="AR6" s="1983"/>
      <c r="AS6" s="1983"/>
      <c r="AT6" s="1983"/>
      <c r="AU6" s="1983"/>
      <c r="AV6" s="1983"/>
      <c r="AW6" s="1983"/>
      <c r="AX6" s="1983"/>
      <c r="AY6" s="1983"/>
      <c r="AZ6" s="1983"/>
      <c r="BA6" s="1983"/>
      <c r="BB6" s="1983"/>
      <c r="BC6" s="1983"/>
      <c r="BD6" s="1983"/>
      <c r="BE6" s="1983"/>
      <c r="BF6" s="1983"/>
      <c r="BG6" s="1983"/>
      <c r="BH6" s="1983"/>
      <c r="BI6" s="1983"/>
      <c r="BJ6" s="1983"/>
      <c r="BK6" s="1983"/>
      <c r="BL6" s="1983"/>
      <c r="BM6" s="1983"/>
      <c r="BN6" s="1983">
        <f>BN3+Fusion!$G$25</f>
        <v>2200</v>
      </c>
      <c r="BO6" s="1983">
        <f>BO3+Fusion!$H$25</f>
        <v>1500</v>
      </c>
      <c r="BP6" s="1984">
        <f t="shared" ref="BP6:BP18" si="16">BO6</f>
        <v>1500</v>
      </c>
      <c r="BQ6" s="1983">
        <f>BQ3+Fusion!$J$25</f>
        <v>1500</v>
      </c>
      <c r="BR6" s="1984">
        <f t="shared" si="0"/>
        <v>1500</v>
      </c>
      <c r="BS6" s="1983">
        <f>BS3+Fusion!$I$25</f>
        <v>1500</v>
      </c>
      <c r="BT6" s="1984">
        <f t="shared" si="1"/>
        <v>1500</v>
      </c>
      <c r="BU6" s="1983"/>
      <c r="BV6" s="1984">
        <f t="shared" si="2"/>
        <v>0</v>
      </c>
      <c r="BW6" s="1984">
        <f t="shared" si="3"/>
        <v>0</v>
      </c>
      <c r="BX6" s="1983">
        <f>Fusion!$M$25+'стекла сайт'!BX3</f>
        <v>1900</v>
      </c>
      <c r="BY6" s="1984">
        <f t="shared" si="4"/>
        <v>1900</v>
      </c>
      <c r="BZ6" s="1983">
        <f>BZ3+Fusion!$N$25</f>
        <v>1900</v>
      </c>
      <c r="CA6" s="1984">
        <f t="shared" si="5"/>
        <v>1900</v>
      </c>
      <c r="CB6" s="1983" t="e">
        <f>CB3+Neoclassic!#REF!</f>
        <v>#REF!</v>
      </c>
      <c r="CC6" s="1983" t="e">
        <f>CC3+Neoclassic!#REF!</f>
        <v>#REF!</v>
      </c>
      <c r="CD6" s="1983">
        <f>CD3+Neoclassic!$H$30</f>
        <v>1700</v>
      </c>
      <c r="CE6" s="1983" t="e">
        <f>CE3+Neoclassic!$L$30</f>
        <v>#REF!</v>
      </c>
      <c r="CF6" s="1983">
        <f>CF3+Neoclassic!$N$30</f>
        <v>1150</v>
      </c>
      <c r="CG6" s="1983" t="e">
        <f>CG3+Neoclassic!#REF!</f>
        <v>#REF!</v>
      </c>
      <c r="CH6" s="1983" t="e">
        <f>CH3+#REF!</f>
        <v>#REF!</v>
      </c>
      <c r="CI6" s="1983" t="e">
        <f>CI3+#REF!</f>
        <v>#REF!</v>
      </c>
      <c r="CJ6" s="1983" t="e">
        <f>CJ3+#REF!</f>
        <v>#REF!</v>
      </c>
      <c r="CK6" s="1983"/>
      <c r="CL6" s="1983"/>
      <c r="CM6" s="1983"/>
      <c r="CN6" s="1983"/>
      <c r="CO6" s="1983"/>
      <c r="CP6" s="1983">
        <v>0</v>
      </c>
      <c r="CQ6" s="1983"/>
      <c r="CR6" s="1983">
        <v>0</v>
      </c>
      <c r="CS6" s="1983"/>
      <c r="CT6" s="1983">
        <v>0</v>
      </c>
      <c r="CU6" s="1983"/>
      <c r="CV6" s="1983">
        <v>0</v>
      </c>
      <c r="CW6" s="1983"/>
      <c r="CX6" s="1983"/>
      <c r="CY6" s="1983"/>
      <c r="CZ6" s="1983"/>
      <c r="DA6" s="1983"/>
      <c r="DB6" s="1983"/>
      <c r="DC6" s="1983"/>
      <c r="DD6" s="1983"/>
      <c r="DE6" s="1983"/>
      <c r="DF6" s="1983"/>
      <c r="DG6" s="1983"/>
      <c r="DH6" s="1983"/>
      <c r="DI6" s="1983"/>
      <c r="DJ6" s="1983"/>
      <c r="DK6" s="1983"/>
      <c r="DL6" s="1983"/>
      <c r="DM6" s="1983"/>
      <c r="DN6" s="1983"/>
      <c r="DO6" s="1985"/>
      <c r="DP6" s="1983"/>
      <c r="DQ6" s="1983"/>
      <c r="DR6" s="1986"/>
      <c r="DS6" s="1987"/>
      <c r="DT6" s="1987"/>
      <c r="DU6" s="1987"/>
      <c r="DV6" s="1987"/>
      <c r="DW6" s="1987"/>
      <c r="DX6" s="1987"/>
      <c r="DY6" s="1987"/>
      <c r="DZ6" s="1987"/>
      <c r="EA6" s="1987"/>
      <c r="EB6" s="1987"/>
      <c r="EC6" s="1987"/>
      <c r="ED6" s="1987"/>
      <c r="FF6" s="1614"/>
    </row>
    <row r="7" spans="1:162" ht="13.5" hidden="1" customHeight="1" outlineLevel="2">
      <c r="A7" s="1615" t="s">
        <v>1898</v>
      </c>
      <c r="B7" s="1615" t="s">
        <v>2077</v>
      </c>
      <c r="C7" s="1615" t="s">
        <v>2088</v>
      </c>
      <c r="D7" s="1615"/>
      <c r="E7" s="1988">
        <f>E4+'Classic Rimini '!$G$43</f>
        <v>3400</v>
      </c>
      <c r="F7" s="1988">
        <f>F4+'Classic Rimini '!$H$43</f>
        <v>1800</v>
      </c>
      <c r="G7" s="1988">
        <f>G4+'Classic Rimini '!$I$43</f>
        <v>1800</v>
      </c>
      <c r="H7" s="1988">
        <f>H4+'Classic Rimini '!$K$43</f>
        <v>550</v>
      </c>
      <c r="I7" s="1988" t="e">
        <f>I4+'Classic Rimini '!#REF!</f>
        <v>#REF!</v>
      </c>
      <c r="J7" s="1988" t="e">
        <f>J4+'Classic Rimini '!#REF!</f>
        <v>#REF!</v>
      </c>
      <c r="K7" s="1988" t="e">
        <f>K4+'Classic Rimini '!#REF!</f>
        <v>#REF!</v>
      </c>
      <c r="L7" s="1988">
        <f t="shared" si="6"/>
        <v>1800</v>
      </c>
      <c r="M7" s="1988">
        <f t="shared" si="7"/>
        <v>1800</v>
      </c>
      <c r="N7" s="1988"/>
      <c r="O7" s="1988"/>
      <c r="P7" s="1988"/>
      <c r="Q7" s="1988"/>
      <c r="R7" s="1988"/>
      <c r="S7" s="1988"/>
      <c r="T7" s="1988"/>
      <c r="U7" s="1988"/>
      <c r="V7" s="1988"/>
      <c r="W7" s="1988"/>
      <c r="X7" s="1984">
        <f>X4+'Provеnce Sienna'!$H$21</f>
        <v>1450</v>
      </c>
      <c r="Y7" s="1984">
        <f t="shared" si="8"/>
        <v>1450</v>
      </c>
      <c r="Z7" s="1984">
        <f t="shared" si="14"/>
        <v>1450</v>
      </c>
      <c r="AA7" s="1984">
        <f>AA4+'Provеnce Sienna'!$K$21</f>
        <v>1450</v>
      </c>
      <c r="AB7" s="1984">
        <f t="shared" si="9"/>
        <v>1450</v>
      </c>
      <c r="AC7" s="1984" t="e">
        <f>AC4+'Provеnce Sienna'!#REF!</f>
        <v>#REF!</v>
      </c>
      <c r="AD7" s="1988">
        <v>0</v>
      </c>
      <c r="AE7" s="1988"/>
      <c r="AF7" s="1984" t="e">
        <f>AF4+'Provеnce Amelia'!$H$26</f>
        <v>#VALUE!</v>
      </c>
      <c r="AG7" s="1983" t="e">
        <f t="shared" si="10"/>
        <v>#VALUE!</v>
      </c>
      <c r="AH7" s="1988" t="s">
        <v>261</v>
      </c>
      <c r="AI7" s="1984" t="str">
        <f t="shared" si="11"/>
        <v xml:space="preserve">  </v>
      </c>
      <c r="AJ7" s="1984" t="str">
        <f t="shared" si="15"/>
        <v xml:space="preserve">  </v>
      </c>
      <c r="AK7" s="1988"/>
      <c r="AL7" s="1984">
        <f t="shared" si="12"/>
        <v>0</v>
      </c>
      <c r="AM7" s="1988"/>
      <c r="AN7" s="1984">
        <f t="shared" si="13"/>
        <v>0</v>
      </c>
      <c r="AO7" s="1988"/>
      <c r="AP7" s="1988" t="e">
        <f>AP4+'Provеnce Amelia'!#REF!</f>
        <v>#REF!</v>
      </c>
      <c r="AQ7" s="1988" t="e">
        <f>AP7</f>
        <v>#REF!</v>
      </c>
      <c r="AR7" s="1988"/>
      <c r="AS7" s="1988"/>
      <c r="AT7" s="1988"/>
      <c r="AU7" s="1988"/>
      <c r="AV7" s="1988"/>
      <c r="AW7" s="1988"/>
      <c r="AX7" s="1988"/>
      <c r="AY7" s="1988"/>
      <c r="AZ7" s="1988"/>
      <c r="BA7" s="1988"/>
      <c r="BB7" s="1988"/>
      <c r="BC7" s="1988"/>
      <c r="BD7" s="1988"/>
      <c r="BE7" s="1988"/>
      <c r="BF7" s="1988"/>
      <c r="BG7" s="1988"/>
      <c r="BH7" s="1988"/>
      <c r="BI7" s="1988"/>
      <c r="BJ7" s="1988"/>
      <c r="BK7" s="1988"/>
      <c r="BL7" s="1988"/>
      <c r="BM7" s="1988"/>
      <c r="BN7" s="1984">
        <f>BN4+Fusion!$G$25</f>
        <v>2700</v>
      </c>
      <c r="BO7" s="1984">
        <f>BO4+Fusion!$H$25</f>
        <v>1800</v>
      </c>
      <c r="BP7" s="1984">
        <f t="shared" si="16"/>
        <v>1800</v>
      </c>
      <c r="BQ7" s="1984">
        <f>BQ4+Fusion!$J$25</f>
        <v>1800</v>
      </c>
      <c r="BR7" s="1984">
        <f t="shared" si="0"/>
        <v>1800</v>
      </c>
      <c r="BS7" s="1984">
        <f>BS4+Fusion!$I$25</f>
        <v>1800</v>
      </c>
      <c r="BT7" s="1984">
        <f t="shared" si="1"/>
        <v>1800</v>
      </c>
      <c r="BU7" s="1988"/>
      <c r="BV7" s="1984">
        <f t="shared" si="2"/>
        <v>0</v>
      </c>
      <c r="BW7" s="1984">
        <f t="shared" si="3"/>
        <v>0</v>
      </c>
      <c r="BX7" s="1984">
        <f>Fusion!$M$25+'стекла сайт'!BX4</f>
        <v>2250</v>
      </c>
      <c r="BY7" s="1984">
        <f t="shared" si="4"/>
        <v>2250</v>
      </c>
      <c r="BZ7" s="1984">
        <f>BZ4+Fusion!$N$25</f>
        <v>2250</v>
      </c>
      <c r="CA7" s="1984">
        <f t="shared" si="5"/>
        <v>2250</v>
      </c>
      <c r="CB7" s="1984" t="e">
        <f>CB4+Neoclassic!#REF!</f>
        <v>#REF!</v>
      </c>
      <c r="CC7" s="1984" t="e">
        <f>CC4+Neoclassic!#REF!</f>
        <v>#REF!</v>
      </c>
      <c r="CD7" s="1984">
        <f>CD4+Neoclassic!$H$30</f>
        <v>2000</v>
      </c>
      <c r="CE7" s="1984" t="e">
        <f>CE4+Neoclassic!$L$30</f>
        <v>#REF!</v>
      </c>
      <c r="CF7" s="1984">
        <f>CF4+Neoclassic!$N$30</f>
        <v>1450</v>
      </c>
      <c r="CG7" s="1984" t="e">
        <f>CG4+Neoclassic!#REF!</f>
        <v>#REF!</v>
      </c>
      <c r="CH7" s="1988" t="e">
        <f>CH4+#REF!</f>
        <v>#REF!</v>
      </c>
      <c r="CI7" s="1988" t="e">
        <f>CI4+#REF!</f>
        <v>#REF!</v>
      </c>
      <c r="CJ7" s="1988" t="e">
        <f>CJ4+#REF!</f>
        <v>#REF!</v>
      </c>
      <c r="CK7" s="1988"/>
      <c r="CL7" s="1988"/>
      <c r="CM7" s="1988"/>
      <c r="CN7" s="1988"/>
      <c r="CO7" s="1988"/>
      <c r="CP7" s="1988">
        <v>0</v>
      </c>
      <c r="CQ7" s="1988"/>
      <c r="CR7" s="1988">
        <v>0</v>
      </c>
      <c r="CS7" s="1988"/>
      <c r="CT7" s="1988">
        <v>0</v>
      </c>
      <c r="CU7" s="1988"/>
      <c r="CV7" s="1988">
        <v>0</v>
      </c>
      <c r="CW7" s="1988"/>
      <c r="CX7" s="1988"/>
      <c r="CY7" s="1988"/>
      <c r="CZ7" s="1988"/>
      <c r="DA7" s="1988"/>
      <c r="DB7" s="1988"/>
      <c r="DC7" s="1988"/>
      <c r="DD7" s="1988"/>
      <c r="DE7" s="1988"/>
      <c r="DF7" s="1988"/>
      <c r="DG7" s="1988"/>
      <c r="DH7" s="1988"/>
      <c r="DI7" s="1988"/>
      <c r="DJ7" s="1988"/>
      <c r="DK7" s="1988"/>
      <c r="DL7" s="1988"/>
      <c r="DM7" s="1988"/>
      <c r="DN7" s="1988"/>
      <c r="DO7" s="1989"/>
      <c r="DP7" s="1988"/>
      <c r="DQ7" s="1988"/>
      <c r="DR7" s="1990"/>
      <c r="FF7" s="1616"/>
    </row>
    <row r="8" spans="1:162" hidden="1" outlineLevel="2">
      <c r="A8" s="1615" t="s">
        <v>1898</v>
      </c>
      <c r="B8" s="1615" t="s">
        <v>2078</v>
      </c>
      <c r="C8" s="1615" t="s">
        <v>2088</v>
      </c>
      <c r="D8" s="1615"/>
      <c r="E8" s="1988">
        <f>E5+'Classic Rimini '!$G$43</f>
        <v>3900</v>
      </c>
      <c r="F8" s="1988">
        <f>F5+'Classic Rimini '!$H$43</f>
        <v>2200</v>
      </c>
      <c r="G8" s="1988">
        <f>G5+'Classic Rimini '!$I$43</f>
        <v>2200</v>
      </c>
      <c r="H8" s="1988">
        <f>H5+'Classic Rimini '!$K$43</f>
        <v>650</v>
      </c>
      <c r="I8" s="1988" t="e">
        <f>I5+'Classic Rimini '!#REF!</f>
        <v>#REF!</v>
      </c>
      <c r="J8" s="1988" t="e">
        <f>J5+'Classic Rimini '!#REF!</f>
        <v>#REF!</v>
      </c>
      <c r="K8" s="1988" t="e">
        <f>K5+'Classic Rimini '!#REF!</f>
        <v>#REF!</v>
      </c>
      <c r="L8" s="1988">
        <f t="shared" si="6"/>
        <v>2200</v>
      </c>
      <c r="M8" s="1988">
        <f t="shared" si="7"/>
        <v>2200</v>
      </c>
      <c r="N8" s="1988"/>
      <c r="O8" s="1988"/>
      <c r="P8" s="1988"/>
      <c r="Q8" s="1988"/>
      <c r="R8" s="1988"/>
      <c r="S8" s="1988"/>
      <c r="T8" s="1988"/>
      <c r="U8" s="1988"/>
      <c r="V8" s="1988"/>
      <c r="W8" s="1988"/>
      <c r="X8" s="1984">
        <f>X5+'Provеnce Sienna'!$H$21</f>
        <v>1450</v>
      </c>
      <c r="Y8" s="1984">
        <f t="shared" si="8"/>
        <v>1450</v>
      </c>
      <c r="Z8" s="1984">
        <f t="shared" si="14"/>
        <v>1450</v>
      </c>
      <c r="AA8" s="1984">
        <f>AA5+'Provеnce Sienna'!$K$21</f>
        <v>1450</v>
      </c>
      <c r="AB8" s="1984">
        <f t="shared" si="9"/>
        <v>1450</v>
      </c>
      <c r="AC8" s="1984" t="e">
        <f>AC5+'Provеnce Sienna'!#REF!</f>
        <v>#REF!</v>
      </c>
      <c r="AD8" s="1988">
        <v>0</v>
      </c>
      <c r="AE8" s="1988"/>
      <c r="AF8" s="1984" t="e">
        <f>AF5+'Provеnce Amelia'!$H$26</f>
        <v>#REF!</v>
      </c>
      <c r="AG8" s="1983" t="e">
        <f t="shared" si="10"/>
        <v>#REF!</v>
      </c>
      <c r="AH8" s="1988" t="s">
        <v>5</v>
      </c>
      <c r="AI8" s="1984" t="str">
        <f t="shared" si="11"/>
        <v xml:space="preserve"> </v>
      </c>
      <c r="AJ8" s="1984" t="str">
        <f t="shared" si="15"/>
        <v xml:space="preserve"> </v>
      </c>
      <c r="AK8" s="1988"/>
      <c r="AL8" s="1984">
        <f t="shared" si="12"/>
        <v>0</v>
      </c>
      <c r="AM8" s="1988"/>
      <c r="AN8" s="1984">
        <f t="shared" si="13"/>
        <v>0</v>
      </c>
      <c r="AO8" s="1988"/>
      <c r="AP8" s="1988" t="e">
        <f>AP5+'Provеnce Amelia'!#REF!</f>
        <v>#REF!</v>
      </c>
      <c r="AQ8" s="1988" t="e">
        <f>AP8</f>
        <v>#REF!</v>
      </c>
      <c r="AR8" s="1988"/>
      <c r="AS8" s="1988"/>
      <c r="AT8" s="1988"/>
      <c r="AU8" s="1988"/>
      <c r="AV8" s="1988"/>
      <c r="AW8" s="1988"/>
      <c r="AX8" s="1988"/>
      <c r="AY8" s="1988"/>
      <c r="AZ8" s="1988"/>
      <c r="BA8" s="1988"/>
      <c r="BB8" s="1988"/>
      <c r="BC8" s="1988"/>
      <c r="BD8" s="1988"/>
      <c r="BE8" s="1988"/>
      <c r="BF8" s="1988"/>
      <c r="BG8" s="1988"/>
      <c r="BH8" s="1988"/>
      <c r="BI8" s="1988"/>
      <c r="BJ8" s="1988"/>
      <c r="BK8" s="1988"/>
      <c r="BL8" s="1988"/>
      <c r="BM8" s="1988"/>
      <c r="BN8" s="1984">
        <f>BN5+Fusion!$G$25</f>
        <v>3200</v>
      </c>
      <c r="BO8" s="1984">
        <f>BO5+Fusion!$H$25</f>
        <v>2200</v>
      </c>
      <c r="BP8" s="1984">
        <f t="shared" si="16"/>
        <v>2200</v>
      </c>
      <c r="BQ8" s="1984">
        <f>BQ5+Fusion!$J$25</f>
        <v>2200</v>
      </c>
      <c r="BR8" s="1984">
        <f t="shared" si="0"/>
        <v>2200</v>
      </c>
      <c r="BS8" s="1984">
        <f>BS5+Fusion!$I$25</f>
        <v>2200</v>
      </c>
      <c r="BT8" s="1984">
        <f t="shared" si="1"/>
        <v>2200</v>
      </c>
      <c r="BU8" s="1988"/>
      <c r="BV8" s="1984">
        <f t="shared" si="2"/>
        <v>0</v>
      </c>
      <c r="BW8" s="1984">
        <f t="shared" si="3"/>
        <v>0</v>
      </c>
      <c r="BX8" s="1984">
        <f>Fusion!$M$25+'стекла сайт'!BX5</f>
        <v>2600</v>
      </c>
      <c r="BY8" s="1984">
        <f t="shared" si="4"/>
        <v>2600</v>
      </c>
      <c r="BZ8" s="1984">
        <f>BZ5+Fusion!$N$25</f>
        <v>2600</v>
      </c>
      <c r="CA8" s="1984">
        <f t="shared" si="5"/>
        <v>2600</v>
      </c>
      <c r="CB8" s="1984" t="e">
        <f>CB5+Neoclassic!#REF!</f>
        <v>#REF!</v>
      </c>
      <c r="CC8" s="1984" t="e">
        <f>CC5+Neoclassic!#REF!</f>
        <v>#REF!</v>
      </c>
      <c r="CD8" s="1984">
        <f>CD5+Neoclassic!$H$30</f>
        <v>2400</v>
      </c>
      <c r="CE8" s="1984" t="e">
        <f>CE5+Neoclassic!$L$30</f>
        <v>#REF!</v>
      </c>
      <c r="CF8" s="1984">
        <f>CF5+Neoclassic!$N$30</f>
        <v>1850</v>
      </c>
      <c r="CG8" s="1984" t="e">
        <f>CG5+Neoclassic!#REF!</f>
        <v>#REF!</v>
      </c>
      <c r="CH8" s="1988" t="e">
        <f>CH5+#REF!</f>
        <v>#REF!</v>
      </c>
      <c r="CI8" s="1988" t="e">
        <f>CI5+#REF!</f>
        <v>#REF!</v>
      </c>
      <c r="CJ8" s="1988" t="e">
        <f>CJ5+#REF!</f>
        <v>#REF!</v>
      </c>
      <c r="CK8" s="1988"/>
      <c r="CL8" s="1988"/>
      <c r="CM8" s="1988"/>
      <c r="CN8" s="1988"/>
      <c r="CO8" s="1988"/>
      <c r="CP8" s="1988">
        <v>0</v>
      </c>
      <c r="CQ8" s="1988"/>
      <c r="CR8" s="1988">
        <v>0</v>
      </c>
      <c r="CS8" s="1988"/>
      <c r="CT8" s="1988">
        <v>0</v>
      </c>
      <c r="CU8" s="1988"/>
      <c r="CV8" s="1988">
        <v>0</v>
      </c>
      <c r="CW8" s="1988"/>
      <c r="CX8" s="1988"/>
      <c r="CY8" s="1988"/>
      <c r="CZ8" s="1988"/>
      <c r="DA8" s="1988"/>
      <c r="DB8" s="1988"/>
      <c r="DC8" s="1988"/>
      <c r="DD8" s="1988"/>
      <c r="DE8" s="1988"/>
      <c r="DF8" s="1988"/>
      <c r="DG8" s="1988"/>
      <c r="DH8" s="1988"/>
      <c r="DI8" s="1988"/>
      <c r="DJ8" s="1988"/>
      <c r="DK8" s="1988"/>
      <c r="DL8" s="1988"/>
      <c r="DM8" s="1988"/>
      <c r="DN8" s="1988"/>
      <c r="DO8" s="1989"/>
      <c r="DP8" s="1988"/>
      <c r="DQ8" s="1988"/>
      <c r="DR8" s="1990"/>
      <c r="FF8" s="1616"/>
    </row>
    <row r="9" spans="1:162" hidden="1" outlineLevel="2">
      <c r="A9" s="1615" t="s">
        <v>1898</v>
      </c>
      <c r="B9" s="1615" t="s">
        <v>2076</v>
      </c>
      <c r="C9" s="1615" t="s">
        <v>196</v>
      </c>
      <c r="D9" s="1615"/>
      <c r="E9" s="1988">
        <f>E6</f>
        <v>2900</v>
      </c>
      <c r="F9" s="1988">
        <f>F6</f>
        <v>1500</v>
      </c>
      <c r="G9" s="1988">
        <f>G6</f>
        <v>1500</v>
      </c>
      <c r="H9" s="1988">
        <f>H6</f>
        <v>450</v>
      </c>
      <c r="I9" s="1988" t="e">
        <f>I6+'Classic Rimini '!#REF!</f>
        <v>#REF!</v>
      </c>
      <c r="J9" s="1988" t="e">
        <f>J6+'Classic Rimini '!#REF!</f>
        <v>#REF!</v>
      </c>
      <c r="K9" s="1988" t="e">
        <f>K6+'Classic Rimini '!#REF!</f>
        <v>#REF!</v>
      </c>
      <c r="L9" s="1988">
        <f t="shared" si="6"/>
        <v>1500</v>
      </c>
      <c r="M9" s="1988">
        <f t="shared" si="7"/>
        <v>1500</v>
      </c>
      <c r="N9" s="1988"/>
      <c r="O9" s="1988"/>
      <c r="P9" s="1988"/>
      <c r="Q9" s="1988"/>
      <c r="R9" s="1988"/>
      <c r="S9" s="1988"/>
      <c r="T9" s="1988"/>
      <c r="U9" s="1988"/>
      <c r="V9" s="1988"/>
      <c r="W9" s="1988"/>
      <c r="X9" s="1988" t="e">
        <f>X6</f>
        <v>#VALUE!</v>
      </c>
      <c r="Y9" s="1984" t="e">
        <f t="shared" si="8"/>
        <v>#VALUE!</v>
      </c>
      <c r="Z9" s="1984" t="e">
        <f t="shared" si="14"/>
        <v>#VALUE!</v>
      </c>
      <c r="AA9" s="1988" t="e">
        <f>AA6</f>
        <v>#VALUE!</v>
      </c>
      <c r="AB9" s="1984" t="e">
        <f t="shared" si="9"/>
        <v>#VALUE!</v>
      </c>
      <c r="AC9" s="1988" t="e">
        <f>AC6</f>
        <v>#REF!</v>
      </c>
      <c r="AD9" s="1988">
        <f>AD6</f>
        <v>0</v>
      </c>
      <c r="AE9" s="1988"/>
      <c r="AF9" s="1988" t="e">
        <f>AF6</f>
        <v>#VALUE!</v>
      </c>
      <c r="AG9" s="1983" t="e">
        <f t="shared" si="10"/>
        <v>#VALUE!</v>
      </c>
      <c r="AH9" s="1988"/>
      <c r="AI9" s="1984">
        <f t="shared" si="11"/>
        <v>0</v>
      </c>
      <c r="AJ9" s="1984">
        <f t="shared" si="15"/>
        <v>0</v>
      </c>
      <c r="AK9" s="1988"/>
      <c r="AL9" s="1984">
        <f t="shared" si="12"/>
        <v>0</v>
      </c>
      <c r="AM9" s="1988"/>
      <c r="AN9" s="1984">
        <f t="shared" si="13"/>
        <v>0</v>
      </c>
      <c r="AO9" s="1988"/>
      <c r="AP9" s="1988" t="e">
        <f t="shared" ref="AP9:AQ11" si="17">AP6</f>
        <v>#REF!</v>
      </c>
      <c r="AQ9" s="1988" t="e">
        <f t="shared" si="17"/>
        <v>#REF!</v>
      </c>
      <c r="AR9" s="1988"/>
      <c r="AS9" s="1988"/>
      <c r="AT9" s="1988"/>
      <c r="AU9" s="1988"/>
      <c r="AV9" s="1988"/>
      <c r="AW9" s="1988"/>
      <c r="AX9" s="1988"/>
      <c r="AY9" s="1988"/>
      <c r="AZ9" s="1988"/>
      <c r="BA9" s="1988"/>
      <c r="BB9" s="1988"/>
      <c r="BC9" s="1988"/>
      <c r="BD9" s="1988"/>
      <c r="BE9" s="1988"/>
      <c r="BF9" s="1988"/>
      <c r="BG9" s="1988"/>
      <c r="BH9" s="1988"/>
      <c r="BI9" s="1988"/>
      <c r="BJ9" s="1988"/>
      <c r="BK9" s="1988"/>
      <c r="BL9" s="1988"/>
      <c r="BM9" s="1988"/>
      <c r="BN9" s="1988">
        <f>BN6</f>
        <v>2200</v>
      </c>
      <c r="BO9" s="1988">
        <f t="shared" ref="BO9:CH11" si="18">BO6</f>
        <v>1500</v>
      </c>
      <c r="BP9" s="1984">
        <f t="shared" si="16"/>
        <v>1500</v>
      </c>
      <c r="BQ9" s="1988">
        <f t="shared" si="18"/>
        <v>1500</v>
      </c>
      <c r="BR9" s="1988">
        <f t="shared" si="18"/>
        <v>1500</v>
      </c>
      <c r="BS9" s="1988">
        <f t="shared" si="18"/>
        <v>1500</v>
      </c>
      <c r="BT9" s="1988">
        <f t="shared" si="18"/>
        <v>1500</v>
      </c>
      <c r="BU9" s="1988">
        <f t="shared" si="18"/>
        <v>0</v>
      </c>
      <c r="BV9" s="1988">
        <f t="shared" si="18"/>
        <v>0</v>
      </c>
      <c r="BW9" s="1988">
        <f t="shared" si="18"/>
        <v>0</v>
      </c>
      <c r="BX9" s="1988">
        <f t="shared" si="18"/>
        <v>1900</v>
      </c>
      <c r="BY9" s="1988">
        <f t="shared" si="18"/>
        <v>1900</v>
      </c>
      <c r="BZ9" s="1988">
        <f t="shared" si="18"/>
        <v>1900</v>
      </c>
      <c r="CA9" s="1988">
        <f t="shared" si="18"/>
        <v>1900</v>
      </c>
      <c r="CB9" s="1988" t="e">
        <f t="shared" si="18"/>
        <v>#REF!</v>
      </c>
      <c r="CC9" s="1988" t="e">
        <f t="shared" si="18"/>
        <v>#REF!</v>
      </c>
      <c r="CD9" s="1988">
        <f t="shared" si="18"/>
        <v>1700</v>
      </c>
      <c r="CE9" s="1988" t="e">
        <f t="shared" si="18"/>
        <v>#REF!</v>
      </c>
      <c r="CF9" s="1988">
        <f t="shared" si="18"/>
        <v>1150</v>
      </c>
      <c r="CG9" s="1988" t="e">
        <f t="shared" si="18"/>
        <v>#REF!</v>
      </c>
      <c r="CH9" s="1988" t="e">
        <f t="shared" si="18"/>
        <v>#REF!</v>
      </c>
      <c r="CI9" s="1988" t="e">
        <f t="shared" ref="CI9:CJ11" si="19">CI6</f>
        <v>#REF!</v>
      </c>
      <c r="CJ9" s="1988" t="e">
        <f t="shared" si="19"/>
        <v>#REF!</v>
      </c>
      <c r="CK9" s="1988"/>
      <c r="CL9" s="1988"/>
      <c r="CM9" s="1988"/>
      <c r="CN9" s="1988"/>
      <c r="CO9" s="1988"/>
      <c r="CP9" s="1988"/>
      <c r="CQ9" s="1988"/>
      <c r="CR9" s="1988"/>
      <c r="CS9" s="1988"/>
      <c r="CT9" s="1988"/>
      <c r="CU9" s="1988"/>
      <c r="CV9" s="1988"/>
      <c r="CW9" s="1988"/>
      <c r="CX9" s="1988"/>
      <c r="CY9" s="1988"/>
      <c r="CZ9" s="1988"/>
      <c r="DA9" s="1988"/>
      <c r="DB9" s="1988"/>
      <c r="DC9" s="1988"/>
      <c r="DD9" s="1988"/>
      <c r="DE9" s="1988"/>
      <c r="DF9" s="1988"/>
      <c r="DG9" s="1988"/>
      <c r="DH9" s="1988"/>
      <c r="DI9" s="1988"/>
      <c r="DJ9" s="1988"/>
      <c r="DK9" s="1988"/>
      <c r="DL9" s="1988"/>
      <c r="DM9" s="1988"/>
      <c r="DN9" s="1988"/>
      <c r="DO9" s="1989"/>
      <c r="DP9" s="1988"/>
      <c r="DQ9" s="1988"/>
      <c r="DR9" s="1990"/>
      <c r="FF9" s="1616"/>
    </row>
    <row r="10" spans="1:162" hidden="1" outlineLevel="2">
      <c r="A10" s="1615" t="s">
        <v>1898</v>
      </c>
      <c r="B10" s="1615" t="s">
        <v>2077</v>
      </c>
      <c r="C10" s="1615" t="s">
        <v>196</v>
      </c>
      <c r="D10" s="1615"/>
      <c r="E10" s="1988">
        <f t="shared" ref="E10:H11" si="20">E7</f>
        <v>3400</v>
      </c>
      <c r="F10" s="1988">
        <f t="shared" si="20"/>
        <v>1800</v>
      </c>
      <c r="G10" s="1988">
        <f t="shared" si="20"/>
        <v>1800</v>
      </c>
      <c r="H10" s="1988">
        <f t="shared" si="20"/>
        <v>550</v>
      </c>
      <c r="I10" s="1988" t="e">
        <f>I7+'Classic Rimini '!#REF!</f>
        <v>#REF!</v>
      </c>
      <c r="J10" s="1988" t="e">
        <f>J7+'Classic Rimini '!#REF!</f>
        <v>#REF!</v>
      </c>
      <c r="K10" s="1988" t="e">
        <f>K7+'Classic Rimini '!#REF!</f>
        <v>#REF!</v>
      </c>
      <c r="L10" s="1988">
        <f t="shared" si="6"/>
        <v>1800</v>
      </c>
      <c r="M10" s="1988">
        <f t="shared" si="7"/>
        <v>1800</v>
      </c>
      <c r="N10" s="1988"/>
      <c r="O10" s="1988"/>
      <c r="P10" s="1988"/>
      <c r="Q10" s="1988"/>
      <c r="R10" s="1988"/>
      <c r="S10" s="1988"/>
      <c r="T10" s="1988"/>
      <c r="U10" s="1988"/>
      <c r="V10" s="1988"/>
      <c r="W10" s="1988"/>
      <c r="X10" s="1988">
        <f>X7</f>
        <v>1450</v>
      </c>
      <c r="Y10" s="1984">
        <f t="shared" si="8"/>
        <v>1450</v>
      </c>
      <c r="Z10" s="1984">
        <f t="shared" si="14"/>
        <v>1450</v>
      </c>
      <c r="AA10" s="1988">
        <f t="shared" ref="AA10:AD11" si="21">AA7</f>
        <v>1450</v>
      </c>
      <c r="AB10" s="1984">
        <f t="shared" si="9"/>
        <v>1450</v>
      </c>
      <c r="AC10" s="1988" t="e">
        <f t="shared" si="21"/>
        <v>#REF!</v>
      </c>
      <c r="AD10" s="1988">
        <f t="shared" si="21"/>
        <v>0</v>
      </c>
      <c r="AE10" s="1988"/>
      <c r="AF10" s="1988" t="e">
        <f>AF7</f>
        <v>#VALUE!</v>
      </c>
      <c r="AG10" s="1983" t="e">
        <f t="shared" si="10"/>
        <v>#VALUE!</v>
      </c>
      <c r="AH10" s="1988"/>
      <c r="AI10" s="1984">
        <f t="shared" si="11"/>
        <v>0</v>
      </c>
      <c r="AJ10" s="1984">
        <f t="shared" si="15"/>
        <v>0</v>
      </c>
      <c r="AK10" s="1988"/>
      <c r="AL10" s="1984">
        <f t="shared" si="12"/>
        <v>0</v>
      </c>
      <c r="AM10" s="1988"/>
      <c r="AN10" s="1984">
        <f t="shared" si="13"/>
        <v>0</v>
      </c>
      <c r="AO10" s="1988"/>
      <c r="AP10" s="1988" t="e">
        <f t="shared" si="17"/>
        <v>#REF!</v>
      </c>
      <c r="AQ10" s="1988" t="e">
        <f t="shared" si="17"/>
        <v>#REF!</v>
      </c>
      <c r="AR10" s="1988"/>
      <c r="AS10" s="1988"/>
      <c r="AT10" s="1988"/>
      <c r="AU10" s="1988"/>
      <c r="AV10" s="1988"/>
      <c r="AW10" s="1988"/>
      <c r="AX10" s="1988"/>
      <c r="AY10" s="1988"/>
      <c r="AZ10" s="1988"/>
      <c r="BA10" s="1988"/>
      <c r="BB10" s="1988"/>
      <c r="BC10" s="1988"/>
      <c r="BD10" s="1988"/>
      <c r="BE10" s="1988"/>
      <c r="BF10" s="1988"/>
      <c r="BG10" s="1988"/>
      <c r="BH10" s="1988"/>
      <c r="BI10" s="1988"/>
      <c r="BJ10" s="1988"/>
      <c r="BK10" s="1988"/>
      <c r="BL10" s="1988"/>
      <c r="BM10" s="1988"/>
      <c r="BN10" s="1988">
        <f t="shared" ref="BN10:CC11" si="22">BN7</f>
        <v>2700</v>
      </c>
      <c r="BO10" s="1988">
        <f t="shared" si="22"/>
        <v>1800</v>
      </c>
      <c r="BP10" s="1984">
        <f t="shared" si="16"/>
        <v>1800</v>
      </c>
      <c r="BQ10" s="1988">
        <f t="shared" si="22"/>
        <v>1800</v>
      </c>
      <c r="BR10" s="1988">
        <f t="shared" si="22"/>
        <v>1800</v>
      </c>
      <c r="BS10" s="1988">
        <f t="shared" si="22"/>
        <v>1800</v>
      </c>
      <c r="BT10" s="1988">
        <f t="shared" si="22"/>
        <v>1800</v>
      </c>
      <c r="BU10" s="1988">
        <f t="shared" si="22"/>
        <v>0</v>
      </c>
      <c r="BV10" s="1988">
        <f t="shared" si="22"/>
        <v>0</v>
      </c>
      <c r="BW10" s="1988">
        <f t="shared" si="22"/>
        <v>0</v>
      </c>
      <c r="BX10" s="1988">
        <f t="shared" si="22"/>
        <v>2250</v>
      </c>
      <c r="BY10" s="1988">
        <f t="shared" si="22"/>
        <v>2250</v>
      </c>
      <c r="BZ10" s="1988">
        <f t="shared" si="22"/>
        <v>2250</v>
      </c>
      <c r="CA10" s="1988">
        <f t="shared" si="22"/>
        <v>2250</v>
      </c>
      <c r="CB10" s="1988" t="e">
        <f t="shared" si="22"/>
        <v>#REF!</v>
      </c>
      <c r="CC10" s="1988" t="e">
        <f t="shared" si="22"/>
        <v>#REF!</v>
      </c>
      <c r="CD10" s="1988">
        <f t="shared" si="18"/>
        <v>2000</v>
      </c>
      <c r="CE10" s="1988" t="e">
        <f t="shared" si="18"/>
        <v>#REF!</v>
      </c>
      <c r="CF10" s="1988">
        <f t="shared" si="18"/>
        <v>1450</v>
      </c>
      <c r="CG10" s="1988" t="e">
        <f t="shared" si="18"/>
        <v>#REF!</v>
      </c>
      <c r="CH10" s="1988" t="e">
        <f t="shared" si="18"/>
        <v>#REF!</v>
      </c>
      <c r="CI10" s="1988" t="e">
        <f t="shared" si="19"/>
        <v>#REF!</v>
      </c>
      <c r="CJ10" s="1988" t="e">
        <f t="shared" si="19"/>
        <v>#REF!</v>
      </c>
      <c r="CK10" s="1988"/>
      <c r="CL10" s="1988"/>
      <c r="CM10" s="1988"/>
      <c r="CN10" s="1988"/>
      <c r="CO10" s="1988"/>
      <c r="CP10" s="1988"/>
      <c r="CQ10" s="1988"/>
      <c r="CR10" s="1988"/>
      <c r="CS10" s="1988"/>
      <c r="CT10" s="1988"/>
      <c r="CU10" s="1988"/>
      <c r="CV10" s="1988"/>
      <c r="CW10" s="1988"/>
      <c r="CX10" s="1988"/>
      <c r="CY10" s="1988"/>
      <c r="CZ10" s="1988"/>
      <c r="DA10" s="1988"/>
      <c r="DB10" s="1988"/>
      <c r="DC10" s="1988"/>
      <c r="DD10" s="1988"/>
      <c r="DE10" s="1988"/>
      <c r="DF10" s="1988"/>
      <c r="DG10" s="1988"/>
      <c r="DH10" s="1988"/>
      <c r="DI10" s="1988"/>
      <c r="DJ10" s="1988"/>
      <c r="DK10" s="1988"/>
      <c r="DL10" s="1988"/>
      <c r="DM10" s="1988"/>
      <c r="DN10" s="1988"/>
      <c r="DO10" s="1989"/>
      <c r="DP10" s="1988"/>
      <c r="DQ10" s="1988"/>
      <c r="DR10" s="1990"/>
      <c r="FF10" s="1616"/>
    </row>
    <row r="11" spans="1:162" hidden="1" outlineLevel="2">
      <c r="A11" s="1615" t="s">
        <v>1898</v>
      </c>
      <c r="B11" s="1615" t="s">
        <v>2078</v>
      </c>
      <c r="C11" s="1615" t="s">
        <v>196</v>
      </c>
      <c r="D11" s="1615"/>
      <c r="E11" s="1988">
        <f t="shared" si="20"/>
        <v>3900</v>
      </c>
      <c r="F11" s="1988">
        <f t="shared" si="20"/>
        <v>2200</v>
      </c>
      <c r="G11" s="1988">
        <f t="shared" si="20"/>
        <v>2200</v>
      </c>
      <c r="H11" s="1988">
        <f t="shared" si="20"/>
        <v>650</v>
      </c>
      <c r="I11" s="1988" t="e">
        <f>I8+'Classic Rimini '!#REF!</f>
        <v>#REF!</v>
      </c>
      <c r="J11" s="1988" t="e">
        <f>J8+'Classic Rimini '!#REF!</f>
        <v>#REF!</v>
      </c>
      <c r="K11" s="1988" t="e">
        <f>K8+'Classic Rimini '!#REF!</f>
        <v>#REF!</v>
      </c>
      <c r="L11" s="1988">
        <f t="shared" si="6"/>
        <v>2200</v>
      </c>
      <c r="M11" s="1988">
        <f t="shared" si="7"/>
        <v>2200</v>
      </c>
      <c r="N11" s="1988"/>
      <c r="O11" s="1988"/>
      <c r="P11" s="1988"/>
      <c r="Q11" s="1988"/>
      <c r="R11" s="1988"/>
      <c r="S11" s="1988"/>
      <c r="T11" s="1988"/>
      <c r="U11" s="1988"/>
      <c r="V11" s="1988"/>
      <c r="W11" s="1988"/>
      <c r="X11" s="1988">
        <f>X8</f>
        <v>1450</v>
      </c>
      <c r="Y11" s="1984">
        <f t="shared" si="8"/>
        <v>1450</v>
      </c>
      <c r="Z11" s="1984">
        <f t="shared" si="14"/>
        <v>1450</v>
      </c>
      <c r="AA11" s="1988">
        <f t="shared" si="21"/>
        <v>1450</v>
      </c>
      <c r="AB11" s="1984">
        <f t="shared" si="9"/>
        <v>1450</v>
      </c>
      <c r="AC11" s="1988" t="e">
        <f>AC8</f>
        <v>#REF!</v>
      </c>
      <c r="AD11" s="1988">
        <f t="shared" si="21"/>
        <v>0</v>
      </c>
      <c r="AE11" s="1988"/>
      <c r="AF11" s="1988" t="e">
        <f>AF8</f>
        <v>#REF!</v>
      </c>
      <c r="AG11" s="1983" t="e">
        <f t="shared" si="10"/>
        <v>#REF!</v>
      </c>
      <c r="AH11" s="1988"/>
      <c r="AI11" s="1984">
        <f t="shared" si="11"/>
        <v>0</v>
      </c>
      <c r="AJ11" s="1984">
        <f t="shared" si="15"/>
        <v>0</v>
      </c>
      <c r="AK11" s="1988"/>
      <c r="AL11" s="1984">
        <f t="shared" si="12"/>
        <v>0</v>
      </c>
      <c r="AM11" s="1988"/>
      <c r="AN11" s="1984">
        <f t="shared" si="13"/>
        <v>0</v>
      </c>
      <c r="AO11" s="1988"/>
      <c r="AP11" s="1988" t="e">
        <f t="shared" si="17"/>
        <v>#REF!</v>
      </c>
      <c r="AQ11" s="1988" t="e">
        <f t="shared" si="17"/>
        <v>#REF!</v>
      </c>
      <c r="AR11" s="1988"/>
      <c r="AS11" s="1988"/>
      <c r="AT11" s="1988"/>
      <c r="AU11" s="1988"/>
      <c r="AV11" s="1988"/>
      <c r="AW11" s="1988"/>
      <c r="AX11" s="1988"/>
      <c r="AY11" s="1988"/>
      <c r="AZ11" s="1988"/>
      <c r="BA11" s="1988"/>
      <c r="BB11" s="1988"/>
      <c r="BC11" s="1988"/>
      <c r="BD11" s="1988"/>
      <c r="BE11" s="1988"/>
      <c r="BF11" s="1988"/>
      <c r="BG11" s="1988"/>
      <c r="BH11" s="1988"/>
      <c r="BI11" s="1988"/>
      <c r="BJ11" s="1988"/>
      <c r="BK11" s="1988"/>
      <c r="BL11" s="1988"/>
      <c r="BM11" s="1988"/>
      <c r="BN11" s="1988">
        <f t="shared" si="22"/>
        <v>3200</v>
      </c>
      <c r="BO11" s="1988">
        <f t="shared" si="18"/>
        <v>2200</v>
      </c>
      <c r="BP11" s="1984">
        <f t="shared" si="16"/>
        <v>2200</v>
      </c>
      <c r="BQ11" s="1988">
        <f t="shared" si="18"/>
        <v>2200</v>
      </c>
      <c r="BR11" s="1988">
        <f t="shared" si="18"/>
        <v>2200</v>
      </c>
      <c r="BS11" s="1988">
        <f t="shared" si="18"/>
        <v>2200</v>
      </c>
      <c r="BT11" s="1988">
        <f t="shared" si="18"/>
        <v>2200</v>
      </c>
      <c r="BU11" s="1988">
        <f t="shared" si="18"/>
        <v>0</v>
      </c>
      <c r="BV11" s="1988">
        <f t="shared" si="18"/>
        <v>0</v>
      </c>
      <c r="BW11" s="1988">
        <f t="shared" si="18"/>
        <v>0</v>
      </c>
      <c r="BX11" s="1988">
        <f t="shared" si="18"/>
        <v>2600</v>
      </c>
      <c r="BY11" s="1988">
        <f t="shared" si="18"/>
        <v>2600</v>
      </c>
      <c r="BZ11" s="1988">
        <f t="shared" si="18"/>
        <v>2600</v>
      </c>
      <c r="CA11" s="1988">
        <f t="shared" si="18"/>
        <v>2600</v>
      </c>
      <c r="CB11" s="1988" t="e">
        <f t="shared" si="18"/>
        <v>#REF!</v>
      </c>
      <c r="CC11" s="1988" t="e">
        <f t="shared" si="18"/>
        <v>#REF!</v>
      </c>
      <c r="CD11" s="1988">
        <f t="shared" si="18"/>
        <v>2400</v>
      </c>
      <c r="CE11" s="1988" t="e">
        <f t="shared" si="18"/>
        <v>#REF!</v>
      </c>
      <c r="CF11" s="1988">
        <f t="shared" si="18"/>
        <v>1850</v>
      </c>
      <c r="CG11" s="1988" t="e">
        <f t="shared" si="18"/>
        <v>#REF!</v>
      </c>
      <c r="CH11" s="1988" t="e">
        <f t="shared" si="18"/>
        <v>#REF!</v>
      </c>
      <c r="CI11" s="1988" t="e">
        <f t="shared" si="19"/>
        <v>#REF!</v>
      </c>
      <c r="CJ11" s="1988" t="e">
        <f t="shared" si="19"/>
        <v>#REF!</v>
      </c>
      <c r="CK11" s="1988"/>
      <c r="CL11" s="1988"/>
      <c r="CM11" s="1988"/>
      <c r="CN11" s="1988"/>
      <c r="CO11" s="1988"/>
      <c r="CP11" s="1988"/>
      <c r="CQ11" s="1988"/>
      <c r="CR11" s="1988"/>
      <c r="CS11" s="1988"/>
      <c r="CT11" s="1988"/>
      <c r="CU11" s="1988"/>
      <c r="CV11" s="1988"/>
      <c r="CW11" s="1988"/>
      <c r="CX11" s="1988"/>
      <c r="CY11" s="1988"/>
      <c r="CZ11" s="1988"/>
      <c r="DA11" s="1988"/>
      <c r="DB11" s="1988"/>
      <c r="DC11" s="1988"/>
      <c r="DD11" s="1988"/>
      <c r="DE11" s="1988"/>
      <c r="DF11" s="1988"/>
      <c r="DG11" s="1988"/>
      <c r="DH11" s="1988"/>
      <c r="DI11" s="1988"/>
      <c r="DJ11" s="1988"/>
      <c r="DK11" s="1988"/>
      <c r="DL11" s="1988"/>
      <c r="DM11" s="1988"/>
      <c r="DN11" s="1988"/>
      <c r="DO11" s="1989"/>
      <c r="DP11" s="1988"/>
      <c r="DQ11" s="1988"/>
      <c r="DR11" s="1990"/>
      <c r="FF11" s="1616"/>
    </row>
    <row r="12" spans="1:162" s="1613" customFormat="1" hidden="1" outlineLevel="1" collapsed="1">
      <c r="A12" s="1617" t="s">
        <v>1267</v>
      </c>
      <c r="B12" s="1617" t="s">
        <v>2047</v>
      </c>
      <c r="C12" s="1617" t="s">
        <v>2089</v>
      </c>
      <c r="D12" s="1617"/>
      <c r="E12" s="1991">
        <f>'Classic Rimini '!G36</f>
        <v>2900</v>
      </c>
      <c r="F12" s="1991">
        <f>'Classic Rimini '!H36</f>
        <v>1500</v>
      </c>
      <c r="G12" s="1991">
        <f>'Classic Rimini '!I36</f>
        <v>1500</v>
      </c>
      <c r="H12" s="1991"/>
      <c r="I12" s="1991" t="e">
        <f>'Classic Rimini '!#REF!</f>
        <v>#REF!</v>
      </c>
      <c r="J12" s="1991" t="e">
        <f>'Classic Rimini '!#REF!</f>
        <v>#REF!</v>
      </c>
      <c r="K12" s="1991" t="e">
        <f>'Classic Rimini '!#REF!</f>
        <v>#REF!</v>
      </c>
      <c r="L12" s="1991">
        <f t="shared" ref="L12:M16" si="23">F12</f>
        <v>1500</v>
      </c>
      <c r="M12" s="1991">
        <f t="shared" si="23"/>
        <v>1500</v>
      </c>
      <c r="N12" s="1991"/>
      <c r="O12" s="1991"/>
      <c r="P12" s="1991"/>
      <c r="Q12" s="1991"/>
      <c r="R12" s="1991"/>
      <c r="S12" s="1991"/>
      <c r="T12" s="1991"/>
      <c r="U12" s="1991"/>
      <c r="V12" s="1991"/>
      <c r="W12" s="1991"/>
      <c r="X12" s="1991"/>
      <c r="Y12" s="1991"/>
      <c r="Z12" s="1991"/>
      <c r="AA12" s="1991"/>
      <c r="AB12" s="1991"/>
      <c r="AC12" s="1991"/>
      <c r="AD12" s="1991"/>
      <c r="AE12" s="1991"/>
      <c r="AF12" s="1991"/>
      <c r="AG12" s="1991"/>
      <c r="AH12" s="1991"/>
      <c r="AI12" s="1991"/>
      <c r="AJ12" s="1991"/>
      <c r="AK12" s="1991"/>
      <c r="AL12" s="1991"/>
      <c r="AM12" s="1991"/>
      <c r="AN12" s="1991"/>
      <c r="AO12" s="1991"/>
      <c r="AP12" s="1991">
        <v>0</v>
      </c>
      <c r="AQ12" s="1991">
        <v>0</v>
      </c>
      <c r="AR12" s="1991"/>
      <c r="AS12" s="1991"/>
      <c r="AT12" s="1991"/>
      <c r="AU12" s="1991"/>
      <c r="AV12" s="1991"/>
      <c r="AW12" s="1991"/>
      <c r="AX12" s="1991"/>
      <c r="AY12" s="1991"/>
      <c r="AZ12" s="1991"/>
      <c r="BA12" s="1991"/>
      <c r="BB12" s="1991"/>
      <c r="BC12" s="1991"/>
      <c r="BD12" s="1991"/>
      <c r="BE12" s="1991"/>
      <c r="BF12" s="1991"/>
      <c r="BG12" s="1991"/>
      <c r="BH12" s="1991"/>
      <c r="BI12" s="1991"/>
      <c r="BJ12" s="1991"/>
      <c r="BK12" s="1991"/>
      <c r="BL12" s="1991"/>
      <c r="BM12" s="1991"/>
      <c r="BN12" s="1991"/>
      <c r="BO12" s="1991"/>
      <c r="BP12" s="1991">
        <f>BO12</f>
        <v>0</v>
      </c>
      <c r="BQ12" s="1991"/>
      <c r="BR12" s="1991">
        <f t="shared" ref="BR12:BR18" si="24">BQ12</f>
        <v>0</v>
      </c>
      <c r="BS12" s="1991"/>
      <c r="BT12" s="1991">
        <f t="shared" ref="BT12:BT18" si="25">BS12</f>
        <v>0</v>
      </c>
      <c r="BU12" s="1991"/>
      <c r="BV12" s="1991"/>
      <c r="BW12" s="1991"/>
      <c r="BX12" s="1991"/>
      <c r="BY12" s="1991">
        <f t="shared" ref="BY12:BY18" si="26">BX12</f>
        <v>0</v>
      </c>
      <c r="BZ12" s="1991"/>
      <c r="CA12" s="1991">
        <f t="shared" ref="CA12:CA18" si="27">BZ12</f>
        <v>0</v>
      </c>
      <c r="CB12" s="1991"/>
      <c r="CC12" s="1991"/>
      <c r="CD12" s="1991"/>
      <c r="CE12" s="1991"/>
      <c r="CF12" s="1991"/>
      <c r="CG12" s="1991"/>
      <c r="CH12" s="1991"/>
      <c r="CI12" s="1991"/>
      <c r="CJ12" s="1991"/>
      <c r="CK12" s="1991"/>
      <c r="CL12" s="1991"/>
      <c r="CM12" s="1991"/>
      <c r="CN12" s="1991"/>
      <c r="CO12" s="1991"/>
      <c r="CP12" s="1991"/>
      <c r="CQ12" s="1991"/>
      <c r="CR12" s="1991"/>
      <c r="CS12" s="1991"/>
      <c r="CT12" s="1991"/>
      <c r="CU12" s="1991"/>
      <c r="CV12" s="1991"/>
      <c r="CW12" s="1991"/>
      <c r="CX12" s="1991"/>
      <c r="CY12" s="1991"/>
      <c r="CZ12" s="1991"/>
      <c r="DA12" s="1991"/>
      <c r="DB12" s="1991"/>
      <c r="DC12" s="1991"/>
      <c r="DD12" s="1991"/>
      <c r="DE12" s="1991"/>
      <c r="DF12" s="1991"/>
      <c r="DG12" s="1991"/>
      <c r="DH12" s="1991"/>
      <c r="DI12" s="1991"/>
      <c r="DJ12" s="1991"/>
      <c r="DK12" s="1991"/>
      <c r="DL12" s="1991"/>
      <c r="DM12" s="1991"/>
      <c r="DN12" s="1991"/>
      <c r="DO12" s="1992"/>
      <c r="DP12" s="1991"/>
      <c r="DQ12" s="1991"/>
      <c r="DR12" s="1993"/>
      <c r="DS12" s="1993"/>
      <c r="DT12" s="1993"/>
      <c r="DU12" s="1993"/>
      <c r="DV12" s="1993"/>
      <c r="DW12" s="1993"/>
      <c r="DX12" s="1993"/>
      <c r="DY12" s="1993"/>
      <c r="DZ12" s="1993"/>
      <c r="EA12" s="1993"/>
      <c r="EB12" s="1993"/>
      <c r="EC12" s="1993"/>
      <c r="ED12" s="1993"/>
      <c r="EE12" s="1618"/>
      <c r="EF12" s="1618"/>
      <c r="FF12" s="1614"/>
    </row>
    <row r="13" spans="1:162" hidden="1" outlineLevel="2">
      <c r="A13" s="1619" t="s">
        <v>1267</v>
      </c>
      <c r="B13" s="1619" t="s">
        <v>2048</v>
      </c>
      <c r="C13" s="1619" t="s">
        <v>2089</v>
      </c>
      <c r="D13" s="1619"/>
      <c r="E13" s="1994">
        <f>E12</f>
        <v>2900</v>
      </c>
      <c r="F13" s="1994">
        <f>F12</f>
        <v>1500</v>
      </c>
      <c r="G13" s="1994">
        <f>G12</f>
        <v>1500</v>
      </c>
      <c r="H13" s="1994">
        <f>'Classic Rimini '!K36</f>
        <v>500</v>
      </c>
      <c r="I13" s="1994" t="e">
        <f>I12</f>
        <v>#REF!</v>
      </c>
      <c r="J13" s="1994"/>
      <c r="K13" s="1994"/>
      <c r="L13" s="1994">
        <f t="shared" si="23"/>
        <v>1500</v>
      </c>
      <c r="M13" s="1994">
        <f t="shared" si="23"/>
        <v>1500</v>
      </c>
      <c r="N13" s="1994"/>
      <c r="O13" s="1994"/>
      <c r="P13" s="1994"/>
      <c r="Q13" s="1994"/>
      <c r="R13" s="1994"/>
      <c r="S13" s="1994"/>
      <c r="T13" s="1994"/>
      <c r="U13" s="1994"/>
      <c r="V13" s="1994"/>
      <c r="W13" s="1994"/>
      <c r="X13" s="1994"/>
      <c r="Y13" s="1994"/>
      <c r="Z13" s="1994"/>
      <c r="AA13" s="1994"/>
      <c r="AB13" s="1994"/>
      <c r="AC13" s="1994"/>
      <c r="AD13" s="1994"/>
      <c r="AE13" s="1994"/>
      <c r="AF13" s="1994"/>
      <c r="AG13" s="1994"/>
      <c r="AH13" s="1994"/>
      <c r="AI13" s="1994"/>
      <c r="AJ13" s="1994"/>
      <c r="AK13" s="1994"/>
      <c r="AL13" s="1994"/>
      <c r="AM13" s="1994"/>
      <c r="AN13" s="1994"/>
      <c r="AO13" s="1994"/>
      <c r="AP13" s="1994"/>
      <c r="AQ13" s="1994"/>
      <c r="AR13" s="1994"/>
      <c r="AS13" s="1994"/>
      <c r="AT13" s="1994"/>
      <c r="AU13" s="1994"/>
      <c r="AV13" s="1994"/>
      <c r="AW13" s="1994"/>
      <c r="AX13" s="1994"/>
      <c r="AY13" s="1994"/>
      <c r="AZ13" s="1994"/>
      <c r="BA13" s="1994"/>
      <c r="BB13" s="1994"/>
      <c r="BC13" s="1994"/>
      <c r="BD13" s="1994"/>
      <c r="BE13" s="1994"/>
      <c r="BF13" s="1994"/>
      <c r="BG13" s="1994"/>
      <c r="BH13" s="1994"/>
      <c r="BI13" s="1994"/>
      <c r="BJ13" s="1994"/>
      <c r="BK13" s="1994"/>
      <c r="BL13" s="1994"/>
      <c r="BM13" s="1994"/>
      <c r="BN13" s="1994">
        <f>Fusion!G22</f>
        <v>2200</v>
      </c>
      <c r="BO13" s="1994">
        <f>Fusion!H22</f>
        <v>1500</v>
      </c>
      <c r="BP13" s="1994"/>
      <c r="BQ13" s="1994"/>
      <c r="BR13" s="1994">
        <f t="shared" si="24"/>
        <v>0</v>
      </c>
      <c r="BS13" s="1994"/>
      <c r="BT13" s="1994">
        <f t="shared" si="25"/>
        <v>0</v>
      </c>
      <c r="BU13" s="1994"/>
      <c r="BV13" s="1994"/>
      <c r="BW13" s="1994"/>
      <c r="BX13" s="1994"/>
      <c r="BY13" s="1994">
        <f t="shared" si="26"/>
        <v>0</v>
      </c>
      <c r="BZ13" s="1994"/>
      <c r="CA13" s="1994">
        <f t="shared" si="27"/>
        <v>0</v>
      </c>
      <c r="CB13" s="1994" t="e">
        <f>Neoclassic!#REF!</f>
        <v>#REF!</v>
      </c>
      <c r="CC13" s="1994"/>
      <c r="CD13" s="1994">
        <f>Neoclassic!H27</f>
        <v>1500</v>
      </c>
      <c r="CE13" s="1994" t="e">
        <f>Neoclassic!#REF!</f>
        <v>#REF!</v>
      </c>
      <c r="CF13" s="1994">
        <f>Neoclassic!L27</f>
        <v>1500</v>
      </c>
      <c r="CG13" s="1994" t="e">
        <f>Neoclassic!#REF!</f>
        <v>#REF!</v>
      </c>
      <c r="CH13" s="1994" t="e">
        <f>#REF!</f>
        <v>#REF!</v>
      </c>
      <c r="CI13" s="1994">
        <f>Neoclassic!O27</f>
        <v>1100</v>
      </c>
      <c r="CJ13" s="1994" t="e">
        <f>#REF!</f>
        <v>#REF!</v>
      </c>
      <c r="CK13" s="1994"/>
      <c r="CL13" s="1994"/>
      <c r="CM13" s="1994"/>
      <c r="CN13" s="1994"/>
      <c r="CO13" s="1994"/>
      <c r="CP13" s="1994"/>
      <c r="CQ13" s="1994"/>
      <c r="CR13" s="1994"/>
      <c r="CS13" s="1994"/>
      <c r="CT13" s="1994"/>
      <c r="CU13" s="1994"/>
      <c r="CV13" s="1994"/>
      <c r="CW13" s="1994"/>
      <c r="CX13" s="1994"/>
      <c r="CY13" s="1994"/>
      <c r="CZ13" s="1994"/>
      <c r="DA13" s="1994"/>
      <c r="DB13" s="1994"/>
      <c r="DC13" s="1994"/>
      <c r="DD13" s="1994"/>
      <c r="DE13" s="1994"/>
      <c r="DF13" s="1994"/>
      <c r="DG13" s="1994"/>
      <c r="DH13" s="1994"/>
      <c r="DI13" s="1994"/>
      <c r="DJ13" s="1994"/>
      <c r="DK13" s="1994"/>
      <c r="DL13" s="1994"/>
      <c r="DM13" s="1994"/>
      <c r="DN13" s="1994"/>
      <c r="DO13" s="1995"/>
      <c r="DP13" s="1994"/>
      <c r="DQ13" s="1994"/>
      <c r="DR13" s="1996"/>
      <c r="DS13" s="1996"/>
      <c r="DT13" s="1996"/>
      <c r="DU13" s="1996"/>
      <c r="DV13" s="1996"/>
      <c r="DW13" s="1996"/>
      <c r="DX13" s="1996"/>
      <c r="DY13" s="1996"/>
      <c r="DZ13" s="1996"/>
      <c r="EA13" s="1996"/>
      <c r="EB13" s="1996"/>
      <c r="EC13" s="1996"/>
      <c r="ED13" s="1996"/>
      <c r="EE13" s="1620"/>
      <c r="EF13" s="1620"/>
      <c r="FF13" s="1616"/>
    </row>
    <row r="14" spans="1:162" hidden="1" outlineLevel="2">
      <c r="A14" s="1619" t="s">
        <v>1267</v>
      </c>
      <c r="B14" s="1619" t="s">
        <v>2049</v>
      </c>
      <c r="C14" s="1619" t="s">
        <v>2089</v>
      </c>
      <c r="D14" s="1619"/>
      <c r="E14" s="1994">
        <f>E12</f>
        <v>2900</v>
      </c>
      <c r="F14" s="1994">
        <f>F12</f>
        <v>1500</v>
      </c>
      <c r="G14" s="1994">
        <f>G12</f>
        <v>1500</v>
      </c>
      <c r="H14" s="1994"/>
      <c r="I14" s="1994" t="e">
        <f>I12</f>
        <v>#REF!</v>
      </c>
      <c r="J14" s="1994"/>
      <c r="K14" s="1994"/>
      <c r="L14" s="1994">
        <f t="shared" si="23"/>
        <v>1500</v>
      </c>
      <c r="M14" s="1994">
        <f t="shared" si="23"/>
        <v>1500</v>
      </c>
      <c r="N14" s="1994"/>
      <c r="O14" s="1994"/>
      <c r="P14" s="1994"/>
      <c r="Q14" s="1994"/>
      <c r="R14" s="1994"/>
      <c r="S14" s="1994"/>
      <c r="T14" s="1994"/>
      <c r="U14" s="1994"/>
      <c r="V14" s="1994"/>
      <c r="W14" s="1994"/>
      <c r="X14" s="1994"/>
      <c r="Y14" s="1994"/>
      <c r="Z14" s="1994"/>
      <c r="AA14" s="1994"/>
      <c r="AB14" s="1994"/>
      <c r="AC14" s="1994"/>
      <c r="AD14" s="1994"/>
      <c r="AE14" s="1994"/>
      <c r="AF14" s="1994"/>
      <c r="AG14" s="1994"/>
      <c r="AH14" s="1994"/>
      <c r="AI14" s="1994"/>
      <c r="AJ14" s="1994"/>
      <c r="AK14" s="1994"/>
      <c r="AL14" s="1994"/>
      <c r="AM14" s="1994"/>
      <c r="AN14" s="1994"/>
      <c r="AO14" s="1994"/>
      <c r="AP14" s="1994"/>
      <c r="AQ14" s="1994"/>
      <c r="AR14" s="1994"/>
      <c r="AS14" s="1994"/>
      <c r="AT14" s="1994"/>
      <c r="AU14" s="1994"/>
      <c r="AV14" s="1994"/>
      <c r="AW14" s="1994"/>
      <c r="AX14" s="1994"/>
      <c r="AY14" s="1994"/>
      <c r="AZ14" s="1994"/>
      <c r="BA14" s="1994"/>
      <c r="BB14" s="1994"/>
      <c r="BC14" s="1994"/>
      <c r="BD14" s="1994"/>
      <c r="BE14" s="1994"/>
      <c r="BF14" s="1994"/>
      <c r="BG14" s="1994"/>
      <c r="BH14" s="1994"/>
      <c r="BI14" s="1994"/>
      <c r="BJ14" s="1994"/>
      <c r="BK14" s="1994"/>
      <c r="BL14" s="1994"/>
      <c r="BM14" s="1994"/>
      <c r="BN14" s="1994"/>
      <c r="BO14" s="1994"/>
      <c r="BP14" s="1994">
        <f t="shared" si="16"/>
        <v>0</v>
      </c>
      <c r="BQ14" s="1994"/>
      <c r="BR14" s="1994">
        <f t="shared" si="24"/>
        <v>0</v>
      </c>
      <c r="BS14" s="1994"/>
      <c r="BT14" s="1994">
        <f t="shared" si="25"/>
        <v>0</v>
      </c>
      <c r="BU14" s="1994"/>
      <c r="BV14" s="1994"/>
      <c r="BW14" s="1994"/>
      <c r="BX14" s="1994"/>
      <c r="BY14" s="1994">
        <f t="shared" si="26"/>
        <v>0</v>
      </c>
      <c r="BZ14" s="1994"/>
      <c r="CA14" s="1994">
        <f t="shared" si="27"/>
        <v>0</v>
      </c>
      <c r="CB14" s="1994" t="e">
        <f>CB13</f>
        <v>#REF!</v>
      </c>
      <c r="CC14" s="1994" t="e">
        <f>Neoclassic!#REF!</f>
        <v>#REF!</v>
      </c>
      <c r="CD14" s="1994">
        <f t="shared" ref="CD14:CJ14" si="28">CD13</f>
        <v>1500</v>
      </c>
      <c r="CE14" s="1994" t="e">
        <f t="shared" si="28"/>
        <v>#REF!</v>
      </c>
      <c r="CF14" s="1994">
        <f t="shared" si="28"/>
        <v>1500</v>
      </c>
      <c r="CG14" s="1994" t="e">
        <f t="shared" si="28"/>
        <v>#REF!</v>
      </c>
      <c r="CH14" s="1994" t="e">
        <f t="shared" si="28"/>
        <v>#REF!</v>
      </c>
      <c r="CI14" s="1994">
        <f t="shared" si="28"/>
        <v>1100</v>
      </c>
      <c r="CJ14" s="1994" t="e">
        <f t="shared" si="28"/>
        <v>#REF!</v>
      </c>
      <c r="CK14" s="1994"/>
      <c r="CL14" s="1994"/>
      <c r="CM14" s="1994"/>
      <c r="CN14" s="1994"/>
      <c r="CO14" s="1994"/>
      <c r="CP14" s="1994"/>
      <c r="CQ14" s="1994"/>
      <c r="CR14" s="1994"/>
      <c r="CS14" s="1994"/>
      <c r="CT14" s="1994"/>
      <c r="CU14" s="1994"/>
      <c r="CV14" s="1994"/>
      <c r="CW14" s="1994"/>
      <c r="CX14" s="1994"/>
      <c r="CY14" s="1994"/>
      <c r="CZ14" s="1994"/>
      <c r="DA14" s="1994"/>
      <c r="DB14" s="1994"/>
      <c r="DC14" s="1994"/>
      <c r="DD14" s="1994"/>
      <c r="DE14" s="1994"/>
      <c r="DF14" s="1994"/>
      <c r="DG14" s="1994"/>
      <c r="DH14" s="1994"/>
      <c r="DI14" s="1994"/>
      <c r="DJ14" s="1994"/>
      <c r="DK14" s="1994"/>
      <c r="DL14" s="1994"/>
      <c r="DM14" s="1994"/>
      <c r="DN14" s="1994"/>
      <c r="DO14" s="1995"/>
      <c r="DP14" s="1994"/>
      <c r="DQ14" s="1994"/>
      <c r="DR14" s="1996"/>
      <c r="DS14" s="1996"/>
      <c r="DT14" s="1996"/>
      <c r="DU14" s="1996"/>
      <c r="DV14" s="1996"/>
      <c r="DW14" s="1996"/>
      <c r="DX14" s="1996"/>
      <c r="DY14" s="1996"/>
      <c r="DZ14" s="1996"/>
      <c r="EA14" s="1996"/>
      <c r="EB14" s="1996"/>
      <c r="EC14" s="1996"/>
      <c r="ED14" s="1996"/>
      <c r="EE14" s="1620"/>
      <c r="EF14" s="1620"/>
      <c r="FF14" s="1616"/>
    </row>
    <row r="15" spans="1:162" hidden="1" outlineLevel="2">
      <c r="A15" s="1619" t="s">
        <v>1267</v>
      </c>
      <c r="B15" s="1619" t="s">
        <v>2050</v>
      </c>
      <c r="C15" s="1619" t="s">
        <v>2089</v>
      </c>
      <c r="D15" s="1619"/>
      <c r="E15" s="1994">
        <f>E12</f>
        <v>2900</v>
      </c>
      <c r="F15" s="1994">
        <f>F12</f>
        <v>1500</v>
      </c>
      <c r="G15" s="1994">
        <f>G12</f>
        <v>1500</v>
      </c>
      <c r="H15" s="1994"/>
      <c r="I15" s="1994" t="e">
        <f>I12</f>
        <v>#REF!</v>
      </c>
      <c r="J15" s="1994"/>
      <c r="K15" s="1994"/>
      <c r="L15" s="1994">
        <f t="shared" si="23"/>
        <v>1500</v>
      </c>
      <c r="M15" s="1994">
        <f t="shared" si="23"/>
        <v>1500</v>
      </c>
      <c r="N15" s="1994"/>
      <c r="O15" s="1994"/>
      <c r="P15" s="1994"/>
      <c r="Q15" s="1994"/>
      <c r="R15" s="1994"/>
      <c r="S15" s="1994"/>
      <c r="T15" s="1994"/>
      <c r="U15" s="1994"/>
      <c r="V15" s="1994"/>
      <c r="W15" s="1994"/>
      <c r="X15" s="1994"/>
      <c r="Y15" s="1994"/>
      <c r="Z15" s="1994"/>
      <c r="AA15" s="1994"/>
      <c r="AB15" s="1994"/>
      <c r="AC15" s="1994"/>
      <c r="AD15" s="1994"/>
      <c r="AE15" s="1994"/>
      <c r="AF15" s="1994"/>
      <c r="AG15" s="1994"/>
      <c r="AH15" s="1994"/>
      <c r="AI15" s="1994"/>
      <c r="AJ15" s="1994"/>
      <c r="AK15" s="1994"/>
      <c r="AL15" s="1994"/>
      <c r="AM15" s="1994"/>
      <c r="AN15" s="1994"/>
      <c r="AO15" s="1994"/>
      <c r="AP15" s="1994"/>
      <c r="AQ15" s="1994"/>
      <c r="AR15" s="1994"/>
      <c r="AS15" s="1994"/>
      <c r="AT15" s="1994"/>
      <c r="AU15" s="1994"/>
      <c r="AV15" s="1994"/>
      <c r="AW15" s="1994"/>
      <c r="AX15" s="1994"/>
      <c r="AY15" s="1994"/>
      <c r="AZ15" s="1994"/>
      <c r="BA15" s="1994"/>
      <c r="BB15" s="1994"/>
      <c r="BC15" s="1994"/>
      <c r="BD15" s="1994"/>
      <c r="BE15" s="1994"/>
      <c r="BF15" s="1994"/>
      <c r="BG15" s="1994"/>
      <c r="BH15" s="1994"/>
      <c r="BI15" s="1994"/>
      <c r="BJ15" s="1994"/>
      <c r="BK15" s="1994"/>
      <c r="BL15" s="1994"/>
      <c r="BM15" s="1994"/>
      <c r="BN15" s="1994">
        <f>BN13</f>
        <v>2200</v>
      </c>
      <c r="BO15" s="1994">
        <f>BO13</f>
        <v>1500</v>
      </c>
      <c r="BP15" s="1994"/>
      <c r="BQ15" s="1994"/>
      <c r="BR15" s="1994">
        <f t="shared" si="24"/>
        <v>0</v>
      </c>
      <c r="BS15" s="1994"/>
      <c r="BT15" s="1994">
        <f t="shared" si="25"/>
        <v>0</v>
      </c>
      <c r="BU15" s="1994"/>
      <c r="BV15" s="1994"/>
      <c r="BW15" s="1994"/>
      <c r="BX15" s="1994"/>
      <c r="BY15" s="1994">
        <f t="shared" si="26"/>
        <v>0</v>
      </c>
      <c r="BZ15" s="1994"/>
      <c r="CA15" s="1994">
        <f t="shared" si="27"/>
        <v>0</v>
      </c>
      <c r="CB15" s="1994" t="e">
        <f t="shared" ref="CB15:CJ15" si="29">CB13</f>
        <v>#REF!</v>
      </c>
      <c r="CC15" s="1994">
        <f t="shared" si="29"/>
        <v>0</v>
      </c>
      <c r="CD15" s="1994">
        <f t="shared" si="29"/>
        <v>1500</v>
      </c>
      <c r="CE15" s="1994" t="e">
        <f t="shared" si="29"/>
        <v>#REF!</v>
      </c>
      <c r="CF15" s="1994">
        <f t="shared" si="29"/>
        <v>1500</v>
      </c>
      <c r="CG15" s="1994" t="e">
        <f t="shared" si="29"/>
        <v>#REF!</v>
      </c>
      <c r="CH15" s="1994" t="e">
        <f t="shared" si="29"/>
        <v>#REF!</v>
      </c>
      <c r="CI15" s="1994">
        <f t="shared" si="29"/>
        <v>1100</v>
      </c>
      <c r="CJ15" s="1994" t="e">
        <f t="shared" si="29"/>
        <v>#REF!</v>
      </c>
      <c r="CK15" s="1994"/>
      <c r="CL15" s="1994"/>
      <c r="CM15" s="1994"/>
      <c r="CN15" s="1994"/>
      <c r="CO15" s="1994"/>
      <c r="CP15" s="1994"/>
      <c r="CQ15" s="1994"/>
      <c r="CR15" s="1994"/>
      <c r="CS15" s="1994"/>
      <c r="CT15" s="1994"/>
      <c r="CU15" s="1994"/>
      <c r="CV15" s="1994"/>
      <c r="CW15" s="1994"/>
      <c r="CX15" s="1994"/>
      <c r="CY15" s="1994"/>
      <c r="CZ15" s="1994"/>
      <c r="DA15" s="1994"/>
      <c r="DB15" s="1994"/>
      <c r="DC15" s="1994"/>
      <c r="DD15" s="1994"/>
      <c r="DE15" s="1994"/>
      <c r="DF15" s="1994"/>
      <c r="DG15" s="1994"/>
      <c r="DH15" s="1994"/>
      <c r="DI15" s="1994"/>
      <c r="DJ15" s="1994"/>
      <c r="DK15" s="1994"/>
      <c r="DL15" s="1994"/>
      <c r="DM15" s="1994"/>
      <c r="DN15" s="1994"/>
      <c r="DO15" s="1995"/>
      <c r="DP15" s="1994"/>
      <c r="DQ15" s="1994"/>
      <c r="DR15" s="1996"/>
      <c r="DS15" s="1996"/>
      <c r="DT15" s="1996"/>
      <c r="DU15" s="1996"/>
      <c r="DV15" s="1996"/>
      <c r="DW15" s="1996"/>
      <c r="DX15" s="1996"/>
      <c r="DY15" s="1996"/>
      <c r="DZ15" s="1996"/>
      <c r="EA15" s="1996"/>
      <c r="EB15" s="1996"/>
      <c r="EC15" s="1996"/>
      <c r="ED15" s="1996"/>
      <c r="EE15" s="1620"/>
      <c r="EF15" s="1620"/>
      <c r="FF15" s="1616"/>
    </row>
    <row r="16" spans="1:162" hidden="1" outlineLevel="2">
      <c r="A16" s="1619" t="s">
        <v>1267</v>
      </c>
      <c r="B16" s="1619" t="s">
        <v>2051</v>
      </c>
      <c r="C16" s="1619" t="s">
        <v>2089</v>
      </c>
      <c r="D16" s="1619"/>
      <c r="E16" s="1994">
        <f>E12</f>
        <v>2900</v>
      </c>
      <c r="F16" s="1994">
        <f>F12</f>
        <v>1500</v>
      </c>
      <c r="G16" s="1994"/>
      <c r="H16" s="1994"/>
      <c r="I16" s="1994" t="e">
        <f>I12</f>
        <v>#REF!</v>
      </c>
      <c r="J16" s="1994"/>
      <c r="K16" s="1994"/>
      <c r="L16" s="1994">
        <f t="shared" si="23"/>
        <v>1500</v>
      </c>
      <c r="M16" s="1994">
        <f t="shared" si="23"/>
        <v>0</v>
      </c>
      <c r="N16" s="1994"/>
      <c r="O16" s="1994"/>
      <c r="P16" s="1994"/>
      <c r="Q16" s="1994"/>
      <c r="R16" s="1994"/>
      <c r="S16" s="1994"/>
      <c r="T16" s="1994"/>
      <c r="U16" s="1994"/>
      <c r="V16" s="1994"/>
      <c r="W16" s="1994"/>
      <c r="X16" s="1994"/>
      <c r="Y16" s="1994"/>
      <c r="Z16" s="1994"/>
      <c r="AA16" s="1994"/>
      <c r="AB16" s="1994"/>
      <c r="AC16" s="1994"/>
      <c r="AD16" s="1994"/>
      <c r="AE16" s="1994"/>
      <c r="AF16" s="1994"/>
      <c r="AG16" s="1994"/>
      <c r="AH16" s="1994"/>
      <c r="AI16" s="1994"/>
      <c r="AJ16" s="1994"/>
      <c r="AK16" s="1994"/>
      <c r="AL16" s="1994"/>
      <c r="AM16" s="1994"/>
      <c r="AN16" s="1994"/>
      <c r="AO16" s="1994"/>
      <c r="AP16" s="1994"/>
      <c r="AQ16" s="1994"/>
      <c r="AR16" s="1994"/>
      <c r="AS16" s="1994"/>
      <c r="AT16" s="1994"/>
      <c r="AU16" s="1994"/>
      <c r="AV16" s="1994"/>
      <c r="AW16" s="1994"/>
      <c r="AX16" s="1994"/>
      <c r="AY16" s="1994"/>
      <c r="AZ16" s="1994"/>
      <c r="BA16" s="1994"/>
      <c r="BB16" s="1994"/>
      <c r="BC16" s="1994"/>
      <c r="BD16" s="1994"/>
      <c r="BE16" s="1994"/>
      <c r="BF16" s="1994"/>
      <c r="BG16" s="1994"/>
      <c r="BH16" s="1994"/>
      <c r="BI16" s="1994"/>
      <c r="BJ16" s="1994"/>
      <c r="BK16" s="1994"/>
      <c r="BL16" s="1994"/>
      <c r="BM16" s="1994"/>
      <c r="BN16" s="1994"/>
      <c r="BO16" s="1994"/>
      <c r="BP16" s="1994">
        <f t="shared" si="16"/>
        <v>0</v>
      </c>
      <c r="BQ16" s="1994"/>
      <c r="BR16" s="1994">
        <f t="shared" si="24"/>
        <v>0</v>
      </c>
      <c r="BS16" s="1994"/>
      <c r="BT16" s="1994">
        <f t="shared" si="25"/>
        <v>0</v>
      </c>
      <c r="BU16" s="1994"/>
      <c r="BV16" s="1994"/>
      <c r="BW16" s="1994"/>
      <c r="BX16" s="1994"/>
      <c r="BY16" s="1994">
        <f t="shared" si="26"/>
        <v>0</v>
      </c>
      <c r="BZ16" s="1994"/>
      <c r="CA16" s="1994">
        <f t="shared" si="27"/>
        <v>0</v>
      </c>
      <c r="CB16" s="1994" t="e">
        <f t="shared" ref="CB16:CG16" si="30">CB13</f>
        <v>#REF!</v>
      </c>
      <c r="CC16" s="1994">
        <f t="shared" si="30"/>
        <v>0</v>
      </c>
      <c r="CD16" s="1994">
        <f t="shared" si="30"/>
        <v>1500</v>
      </c>
      <c r="CE16" s="1994" t="e">
        <f t="shared" si="30"/>
        <v>#REF!</v>
      </c>
      <c r="CF16" s="1994">
        <f t="shared" si="30"/>
        <v>1500</v>
      </c>
      <c r="CG16" s="1994" t="e">
        <f t="shared" si="30"/>
        <v>#REF!</v>
      </c>
      <c r="CH16" s="1994"/>
      <c r="CI16" s="1994"/>
      <c r="CJ16" s="1994"/>
      <c r="CK16" s="1994"/>
      <c r="CL16" s="1994"/>
      <c r="CM16" s="1994"/>
      <c r="CN16" s="1994"/>
      <c r="CO16" s="1994"/>
      <c r="CP16" s="1994"/>
      <c r="CQ16" s="1994"/>
      <c r="CR16" s="1994"/>
      <c r="CS16" s="1994"/>
      <c r="CT16" s="1994"/>
      <c r="CU16" s="1994"/>
      <c r="CV16" s="1994"/>
      <c r="CW16" s="1994"/>
      <c r="CX16" s="1994"/>
      <c r="CY16" s="1994"/>
      <c r="CZ16" s="1994"/>
      <c r="DA16" s="1994"/>
      <c r="DB16" s="1994"/>
      <c r="DC16" s="1994"/>
      <c r="DD16" s="1994"/>
      <c r="DE16" s="1994"/>
      <c r="DF16" s="1994"/>
      <c r="DG16" s="1994"/>
      <c r="DH16" s="1994"/>
      <c r="DI16" s="1994"/>
      <c r="DJ16" s="1994"/>
      <c r="DK16" s="1994"/>
      <c r="DL16" s="1994"/>
      <c r="DM16" s="1994"/>
      <c r="DN16" s="1994"/>
      <c r="DO16" s="1995"/>
      <c r="DP16" s="1994"/>
      <c r="DQ16" s="1994"/>
      <c r="DR16" s="1996"/>
      <c r="DS16" s="1996"/>
      <c r="DT16" s="1996"/>
      <c r="DU16" s="1996"/>
      <c r="DV16" s="1996"/>
      <c r="DW16" s="1996"/>
      <c r="DX16" s="1996"/>
      <c r="DY16" s="1996"/>
      <c r="DZ16" s="1996"/>
      <c r="EA16" s="1996"/>
      <c r="EB16" s="1996"/>
      <c r="EC16" s="1996"/>
      <c r="ED16" s="1996"/>
      <c r="EE16" s="1620"/>
      <c r="EF16" s="1620"/>
      <c r="FF16" s="1616"/>
    </row>
    <row r="17" spans="1:162" hidden="1" outlineLevel="2">
      <c r="A17" s="1619" t="s">
        <v>1267</v>
      </c>
      <c r="B17" s="1619" t="s">
        <v>2052</v>
      </c>
      <c r="C17" s="1619" t="s">
        <v>2089</v>
      </c>
      <c r="D17" s="1619"/>
      <c r="E17" s="1994"/>
      <c r="F17" s="1994"/>
      <c r="G17" s="1994">
        <f>G12</f>
        <v>1500</v>
      </c>
      <c r="H17" s="1994"/>
      <c r="I17" s="1994"/>
      <c r="J17" s="1994"/>
      <c r="K17" s="1994"/>
      <c r="L17" s="1994">
        <f>F17</f>
        <v>0</v>
      </c>
      <c r="M17" s="1994">
        <f>G17</f>
        <v>1500</v>
      </c>
      <c r="N17" s="1994"/>
      <c r="O17" s="1994"/>
      <c r="P17" s="1994"/>
      <c r="Q17" s="1994"/>
      <c r="R17" s="1994"/>
      <c r="S17" s="1994"/>
      <c r="T17" s="1994"/>
      <c r="U17" s="1994"/>
      <c r="V17" s="1994"/>
      <c r="W17" s="1994"/>
      <c r="X17" s="1994"/>
      <c r="Y17" s="1994"/>
      <c r="Z17" s="1994"/>
      <c r="AA17" s="1994"/>
      <c r="AB17" s="1994"/>
      <c r="AC17" s="1994"/>
      <c r="AD17" s="1994"/>
      <c r="AE17" s="1994"/>
      <c r="AF17" s="1994"/>
      <c r="AG17" s="1994"/>
      <c r="AH17" s="1994"/>
      <c r="AI17" s="1994"/>
      <c r="AJ17" s="1994"/>
      <c r="AK17" s="1994"/>
      <c r="AL17" s="1994"/>
      <c r="AM17" s="1994"/>
      <c r="AN17" s="1994"/>
      <c r="AO17" s="1994"/>
      <c r="AP17" s="1994"/>
      <c r="AQ17" s="1994"/>
      <c r="AR17" s="1994"/>
      <c r="AS17" s="1994"/>
      <c r="AT17" s="1994"/>
      <c r="AU17" s="1994"/>
      <c r="AV17" s="1994"/>
      <c r="AW17" s="1994"/>
      <c r="AX17" s="1994"/>
      <c r="AY17" s="1994"/>
      <c r="AZ17" s="1994"/>
      <c r="BA17" s="1994"/>
      <c r="BB17" s="1994"/>
      <c r="BC17" s="1994"/>
      <c r="BD17" s="1994"/>
      <c r="BE17" s="1994"/>
      <c r="BF17" s="1994"/>
      <c r="BG17" s="1994"/>
      <c r="BH17" s="1994"/>
      <c r="BI17" s="1994"/>
      <c r="BJ17" s="1994"/>
      <c r="BK17" s="1994"/>
      <c r="BL17" s="1994"/>
      <c r="BM17" s="1994"/>
      <c r="BN17" s="1994"/>
      <c r="BO17" s="1994"/>
      <c r="BP17" s="1994">
        <f t="shared" si="16"/>
        <v>0</v>
      </c>
      <c r="BQ17" s="1994"/>
      <c r="BR17" s="1994">
        <f t="shared" si="24"/>
        <v>0</v>
      </c>
      <c r="BS17" s="1994"/>
      <c r="BT17" s="1994">
        <f t="shared" si="25"/>
        <v>0</v>
      </c>
      <c r="BU17" s="1994"/>
      <c r="BV17" s="1994"/>
      <c r="BW17" s="1994"/>
      <c r="BX17" s="1994"/>
      <c r="BY17" s="1994">
        <f t="shared" si="26"/>
        <v>0</v>
      </c>
      <c r="BZ17" s="1994"/>
      <c r="CA17" s="1994">
        <f t="shared" si="27"/>
        <v>0</v>
      </c>
      <c r="CB17" s="1994"/>
      <c r="CC17" s="1994"/>
      <c r="CD17" s="1994"/>
      <c r="CE17" s="1994"/>
      <c r="CF17" s="1994"/>
      <c r="CG17" s="1994" t="e">
        <f>CG13</f>
        <v>#REF!</v>
      </c>
      <c r="CH17" s="1994"/>
      <c r="CI17" s="1994"/>
      <c r="CJ17" s="1994"/>
      <c r="CK17" s="1994"/>
      <c r="CL17" s="1994"/>
      <c r="CM17" s="1994"/>
      <c r="CN17" s="1994"/>
      <c r="CO17" s="1994"/>
      <c r="CP17" s="1994"/>
      <c r="CQ17" s="1994"/>
      <c r="CR17" s="1994"/>
      <c r="CS17" s="1994"/>
      <c r="CT17" s="1994"/>
      <c r="CU17" s="1994"/>
      <c r="CV17" s="1994"/>
      <c r="CW17" s="1994"/>
      <c r="CX17" s="1994"/>
      <c r="CY17" s="1994"/>
      <c r="CZ17" s="1994"/>
      <c r="DA17" s="1994"/>
      <c r="DB17" s="1994"/>
      <c r="DC17" s="1994"/>
      <c r="DD17" s="1994"/>
      <c r="DE17" s="1994"/>
      <c r="DF17" s="1994"/>
      <c r="DG17" s="1994"/>
      <c r="DH17" s="1994"/>
      <c r="DI17" s="1994"/>
      <c r="DJ17" s="1994"/>
      <c r="DK17" s="1994"/>
      <c r="DL17" s="1994"/>
      <c r="DM17" s="1994"/>
      <c r="DN17" s="1994"/>
      <c r="DO17" s="1995"/>
      <c r="DP17" s="1994"/>
      <c r="DQ17" s="1994"/>
      <c r="DR17" s="1996"/>
      <c r="DS17" s="1996"/>
      <c r="DT17" s="1996"/>
      <c r="DU17" s="1996"/>
      <c r="DV17" s="1996"/>
      <c r="DW17" s="1996"/>
      <c r="DX17" s="1996"/>
      <c r="DY17" s="1996"/>
      <c r="DZ17" s="1996"/>
      <c r="EA17" s="1996"/>
      <c r="EB17" s="1996"/>
      <c r="EC17" s="1996"/>
      <c r="ED17" s="1996"/>
      <c r="EE17" s="1620"/>
      <c r="EF17" s="1620"/>
      <c r="FF17" s="1616"/>
    </row>
    <row r="18" spans="1:162" hidden="1" outlineLevel="2">
      <c r="A18" s="1619" t="s">
        <v>1267</v>
      </c>
      <c r="B18" s="1619" t="s">
        <v>2053</v>
      </c>
      <c r="C18" s="1619" t="s">
        <v>2089</v>
      </c>
      <c r="D18" s="1619"/>
      <c r="E18" s="1994"/>
      <c r="F18" s="1994"/>
      <c r="G18" s="1994"/>
      <c r="H18" s="1994">
        <f>H13</f>
        <v>500</v>
      </c>
      <c r="I18" s="1994"/>
      <c r="J18" s="1994"/>
      <c r="K18" s="1994"/>
      <c r="L18" s="1994">
        <f>F18</f>
        <v>0</v>
      </c>
      <c r="M18" s="1994">
        <f>G18</f>
        <v>0</v>
      </c>
      <c r="N18" s="1994"/>
      <c r="O18" s="1994"/>
      <c r="P18" s="1994"/>
      <c r="Q18" s="1994"/>
      <c r="R18" s="1994"/>
      <c r="S18" s="1994"/>
      <c r="T18" s="1994"/>
      <c r="U18" s="1994"/>
      <c r="V18" s="1994"/>
      <c r="W18" s="1994"/>
      <c r="X18" s="1994"/>
      <c r="Y18" s="1994"/>
      <c r="Z18" s="1994"/>
      <c r="AA18" s="1994"/>
      <c r="AB18" s="1994"/>
      <c r="AC18" s="1994"/>
      <c r="AD18" s="1994"/>
      <c r="AE18" s="1994"/>
      <c r="AF18" s="1994"/>
      <c r="AG18" s="1994"/>
      <c r="AH18" s="1994"/>
      <c r="AI18" s="1994"/>
      <c r="AJ18" s="1994"/>
      <c r="AK18" s="1994"/>
      <c r="AL18" s="1994"/>
      <c r="AM18" s="1994"/>
      <c r="AN18" s="1994"/>
      <c r="AO18" s="1994"/>
      <c r="AP18" s="1994"/>
      <c r="AQ18" s="1994"/>
      <c r="AR18" s="1994"/>
      <c r="AS18" s="1994"/>
      <c r="AT18" s="1994"/>
      <c r="AU18" s="1994"/>
      <c r="AV18" s="1994"/>
      <c r="AW18" s="1994"/>
      <c r="AX18" s="1994"/>
      <c r="AY18" s="1994"/>
      <c r="AZ18" s="1994"/>
      <c r="BA18" s="1994"/>
      <c r="BB18" s="1994"/>
      <c r="BC18" s="1994"/>
      <c r="BD18" s="1994"/>
      <c r="BE18" s="1994"/>
      <c r="BF18" s="1994"/>
      <c r="BG18" s="1994"/>
      <c r="BH18" s="1994"/>
      <c r="BI18" s="1994"/>
      <c r="BJ18" s="1994"/>
      <c r="BK18" s="1994"/>
      <c r="BL18" s="1994"/>
      <c r="BM18" s="1994"/>
      <c r="BN18" s="1994"/>
      <c r="BO18" s="1994"/>
      <c r="BP18" s="1994">
        <f t="shared" si="16"/>
        <v>0</v>
      </c>
      <c r="BQ18" s="1994"/>
      <c r="BR18" s="1994">
        <f t="shared" si="24"/>
        <v>0</v>
      </c>
      <c r="BS18" s="1994"/>
      <c r="BT18" s="1994">
        <f t="shared" si="25"/>
        <v>0</v>
      </c>
      <c r="BU18" s="1994"/>
      <c r="BV18" s="1994"/>
      <c r="BW18" s="1994"/>
      <c r="BX18" s="1994"/>
      <c r="BY18" s="1994">
        <f t="shared" si="26"/>
        <v>0</v>
      </c>
      <c r="BZ18" s="1994"/>
      <c r="CA18" s="1994">
        <f t="shared" si="27"/>
        <v>0</v>
      </c>
      <c r="CB18" s="1994"/>
      <c r="CC18" s="1994"/>
      <c r="CD18" s="1994"/>
      <c r="CE18" s="1994"/>
      <c r="CF18" s="1994"/>
      <c r="CG18" s="1994"/>
      <c r="CH18" s="1994"/>
      <c r="CI18" s="1994"/>
      <c r="CJ18" s="1994"/>
      <c r="CK18" s="1994"/>
      <c r="CL18" s="1994"/>
      <c r="CM18" s="1994"/>
      <c r="CN18" s="1994"/>
      <c r="CO18" s="1994"/>
      <c r="CP18" s="1994"/>
      <c r="CQ18" s="1994"/>
      <c r="CR18" s="1994"/>
      <c r="CS18" s="1994"/>
      <c r="CT18" s="1994"/>
      <c r="CU18" s="1994"/>
      <c r="CV18" s="1994"/>
      <c r="CW18" s="1994"/>
      <c r="CX18" s="1994"/>
      <c r="CY18" s="1994"/>
      <c r="CZ18" s="1994"/>
      <c r="DA18" s="1994"/>
      <c r="DB18" s="1994"/>
      <c r="DC18" s="1994"/>
      <c r="DD18" s="1994"/>
      <c r="DE18" s="1994"/>
      <c r="DF18" s="1994"/>
      <c r="DG18" s="1994"/>
      <c r="DH18" s="1994"/>
      <c r="DI18" s="1994"/>
      <c r="DJ18" s="1994"/>
      <c r="DK18" s="1994"/>
      <c r="DL18" s="1994"/>
      <c r="DM18" s="1994"/>
      <c r="DN18" s="1994"/>
      <c r="DO18" s="1995"/>
      <c r="DP18" s="1994"/>
      <c r="DQ18" s="1994"/>
      <c r="DR18" s="1996"/>
      <c r="DS18" s="1996"/>
      <c r="DT18" s="1996"/>
      <c r="DU18" s="1996"/>
      <c r="DV18" s="1996"/>
      <c r="DW18" s="1996"/>
      <c r="DX18" s="1996"/>
      <c r="DY18" s="1996"/>
      <c r="DZ18" s="1996"/>
      <c r="EA18" s="1996"/>
      <c r="EB18" s="1996"/>
      <c r="EC18" s="1996"/>
      <c r="ED18" s="1996"/>
      <c r="EE18" s="1620"/>
      <c r="EF18" s="1620"/>
      <c r="FF18" s="1616"/>
    </row>
    <row r="19" spans="1:162" hidden="1" outlineLevel="2">
      <c r="A19" s="1619" t="s">
        <v>1267</v>
      </c>
      <c r="B19" s="1619" t="s">
        <v>2054</v>
      </c>
      <c r="C19" s="1619" t="s">
        <v>2089</v>
      </c>
      <c r="D19" s="1619"/>
      <c r="E19" s="1994"/>
      <c r="F19" s="1994"/>
      <c r="G19" s="1994"/>
      <c r="H19" s="1994"/>
      <c r="I19" s="1994"/>
      <c r="J19" s="1994"/>
      <c r="K19" s="1994"/>
      <c r="L19" s="1994"/>
      <c r="M19" s="1994"/>
      <c r="N19" s="1994"/>
      <c r="O19" s="1994"/>
      <c r="P19" s="1994"/>
      <c r="Q19" s="1994"/>
      <c r="R19" s="1994"/>
      <c r="S19" s="1994"/>
      <c r="T19" s="1994"/>
      <c r="U19" s="1994"/>
      <c r="V19" s="1994"/>
      <c r="W19" s="1994"/>
      <c r="X19" s="1994"/>
      <c r="Y19" s="1994"/>
      <c r="Z19" s="1994"/>
      <c r="AA19" s="1994"/>
      <c r="AB19" s="1994"/>
      <c r="AC19" s="1994"/>
      <c r="AD19" s="1994"/>
      <c r="AE19" s="1994"/>
      <c r="AF19" s="1994"/>
      <c r="AG19" s="1994"/>
      <c r="AH19" s="1994"/>
      <c r="AI19" s="1994"/>
      <c r="AJ19" s="1994"/>
      <c r="AK19" s="1994"/>
      <c r="AL19" s="1994"/>
      <c r="AM19" s="1994"/>
      <c r="AN19" s="1994"/>
      <c r="AO19" s="1994"/>
      <c r="AP19" s="1994"/>
      <c r="AQ19" s="1994"/>
      <c r="AR19" s="1994"/>
      <c r="AS19" s="1994"/>
      <c r="AT19" s="1994"/>
      <c r="AU19" s="1994"/>
      <c r="AV19" s="1994"/>
      <c r="AW19" s="1994"/>
      <c r="AX19" s="1994"/>
      <c r="AY19" s="1994"/>
      <c r="AZ19" s="1994"/>
      <c r="BA19" s="1994"/>
      <c r="BB19" s="1994"/>
      <c r="BC19" s="1994"/>
      <c r="BD19" s="1994"/>
      <c r="BE19" s="1994"/>
      <c r="BF19" s="1994"/>
      <c r="BG19" s="1994"/>
      <c r="BH19" s="1994"/>
      <c r="BI19" s="1994"/>
      <c r="BJ19" s="1994"/>
      <c r="BK19" s="1994"/>
      <c r="BL19" s="1994"/>
      <c r="BM19" s="1994"/>
      <c r="BN19" s="1994"/>
      <c r="BO19" s="1994"/>
      <c r="BP19" s="1994"/>
      <c r="BQ19" s="1994"/>
      <c r="BR19" s="1994"/>
      <c r="BS19" s="1994"/>
      <c r="BT19" s="1994"/>
      <c r="BU19" s="1994"/>
      <c r="BV19" s="1994"/>
      <c r="BW19" s="1994"/>
      <c r="BX19" s="1994"/>
      <c r="BY19" s="1994"/>
      <c r="BZ19" s="1994"/>
      <c r="CA19" s="1994"/>
      <c r="CB19" s="1994"/>
      <c r="CC19" s="1994"/>
      <c r="CD19" s="1994"/>
      <c r="CE19" s="1994"/>
      <c r="CF19" s="1994"/>
      <c r="CG19" s="1994"/>
      <c r="CH19" s="1994" t="e">
        <f>CH15</f>
        <v>#REF!</v>
      </c>
      <c r="CI19" s="1994"/>
      <c r="CJ19" s="1994"/>
      <c r="CK19" s="1994"/>
      <c r="CL19" s="1994"/>
      <c r="CM19" s="1994"/>
      <c r="CN19" s="1994"/>
      <c r="CO19" s="1994"/>
      <c r="CP19" s="1994"/>
      <c r="CQ19" s="1994"/>
      <c r="CR19" s="1994"/>
      <c r="CS19" s="1994"/>
      <c r="CT19" s="1994"/>
      <c r="CU19" s="1994"/>
      <c r="CV19" s="1994"/>
      <c r="CW19" s="1994"/>
      <c r="CX19" s="1994"/>
      <c r="CY19" s="1994"/>
      <c r="CZ19" s="1994"/>
      <c r="DA19" s="1994"/>
      <c r="DB19" s="1994"/>
      <c r="DC19" s="1994"/>
      <c r="DD19" s="1994"/>
      <c r="DE19" s="1994"/>
      <c r="DF19" s="1994"/>
      <c r="DG19" s="1994"/>
      <c r="DH19" s="1994"/>
      <c r="DI19" s="1994"/>
      <c r="DJ19" s="1994"/>
      <c r="DK19" s="1994"/>
      <c r="DL19" s="1994"/>
      <c r="DM19" s="1994"/>
      <c r="DN19" s="1994"/>
      <c r="DO19" s="1995"/>
      <c r="DP19" s="1994"/>
      <c r="DQ19" s="1994"/>
      <c r="DR19" s="1996"/>
      <c r="DS19" s="1996"/>
      <c r="DT19" s="1996"/>
      <c r="DU19" s="1996"/>
      <c r="DV19" s="1996"/>
      <c r="DW19" s="1996"/>
      <c r="DX19" s="1996"/>
      <c r="DY19" s="1996"/>
      <c r="DZ19" s="1996"/>
      <c r="EA19" s="1996"/>
      <c r="EB19" s="1996"/>
      <c r="EC19" s="1996"/>
      <c r="ED19" s="1996"/>
      <c r="EE19" s="1620"/>
      <c r="EF19" s="1620"/>
      <c r="FF19" s="1616"/>
    </row>
    <row r="20" spans="1:162" hidden="1" outlineLevel="2">
      <c r="A20" s="1619" t="s">
        <v>1267</v>
      </c>
      <c r="B20" s="1619" t="s">
        <v>2055</v>
      </c>
      <c r="C20" s="1619" t="s">
        <v>2089</v>
      </c>
      <c r="D20" s="1619"/>
      <c r="E20" s="1994"/>
      <c r="F20" s="1994"/>
      <c r="G20" s="1994"/>
      <c r="H20" s="1994"/>
      <c r="I20" s="1994"/>
      <c r="J20" s="1994"/>
      <c r="K20" s="1994"/>
      <c r="L20" s="1994"/>
      <c r="M20" s="1994"/>
      <c r="N20" s="1994"/>
      <c r="O20" s="1994"/>
      <c r="P20" s="1994"/>
      <c r="Q20" s="1994"/>
      <c r="R20" s="1994"/>
      <c r="S20" s="1994"/>
      <c r="T20" s="1994"/>
      <c r="U20" s="1994"/>
      <c r="V20" s="1994"/>
      <c r="W20" s="1994"/>
      <c r="X20" s="1994"/>
      <c r="Y20" s="1994"/>
      <c r="Z20" s="1994"/>
      <c r="AA20" s="1994"/>
      <c r="AB20" s="1994"/>
      <c r="AC20" s="1994"/>
      <c r="AD20" s="1994"/>
      <c r="AE20" s="1994"/>
      <c r="AF20" s="1994"/>
      <c r="AG20" s="1994"/>
      <c r="AH20" s="1994"/>
      <c r="AI20" s="1994"/>
      <c r="AJ20" s="1994"/>
      <c r="AK20" s="1994"/>
      <c r="AL20" s="1994"/>
      <c r="AM20" s="1994"/>
      <c r="AN20" s="1994"/>
      <c r="AO20" s="1994"/>
      <c r="AP20" s="1994"/>
      <c r="AQ20" s="1994"/>
      <c r="AR20" s="1994"/>
      <c r="AS20" s="1994"/>
      <c r="AT20" s="1994"/>
      <c r="AU20" s="1994"/>
      <c r="AV20" s="1994"/>
      <c r="AW20" s="1994"/>
      <c r="AX20" s="1994"/>
      <c r="AY20" s="1994"/>
      <c r="AZ20" s="1994"/>
      <c r="BA20" s="1994"/>
      <c r="BB20" s="1994"/>
      <c r="BC20" s="1994"/>
      <c r="BD20" s="1994"/>
      <c r="BE20" s="1994"/>
      <c r="BF20" s="1994"/>
      <c r="BG20" s="1994"/>
      <c r="BH20" s="1994"/>
      <c r="BI20" s="1994"/>
      <c r="BJ20" s="1994"/>
      <c r="BK20" s="1994"/>
      <c r="BL20" s="1994"/>
      <c r="BM20" s="1994"/>
      <c r="BN20" s="1994"/>
      <c r="BO20" s="1994"/>
      <c r="BP20" s="1994"/>
      <c r="BQ20" s="1994"/>
      <c r="BR20" s="1994"/>
      <c r="BS20" s="1994"/>
      <c r="BT20" s="1994"/>
      <c r="BU20" s="1994"/>
      <c r="BV20" s="1994"/>
      <c r="BW20" s="1994"/>
      <c r="BX20" s="1994"/>
      <c r="BY20" s="1994"/>
      <c r="BZ20" s="1994"/>
      <c r="CA20" s="1994"/>
      <c r="CB20" s="1994"/>
      <c r="CC20" s="1994"/>
      <c r="CD20" s="1994"/>
      <c r="CE20" s="1994" t="e">
        <f>CE16</f>
        <v>#REF!</v>
      </c>
      <c r="CF20" s="1994">
        <f>CF16</f>
        <v>1500</v>
      </c>
      <c r="CG20" s="1994"/>
      <c r="CH20" s="1994">
        <v>3600</v>
      </c>
      <c r="CI20" s="1994"/>
      <c r="CJ20" s="1994"/>
      <c r="CK20" s="1994"/>
      <c r="CL20" s="1994"/>
      <c r="CM20" s="1994"/>
      <c r="CN20" s="1994"/>
      <c r="CO20" s="1994"/>
      <c r="CP20" s="1994"/>
      <c r="CQ20" s="1994"/>
      <c r="CR20" s="1994"/>
      <c r="CS20" s="1994"/>
      <c r="CT20" s="1994"/>
      <c r="CU20" s="1994"/>
      <c r="CV20" s="1994"/>
      <c r="CW20" s="1994"/>
      <c r="CX20" s="1994"/>
      <c r="CY20" s="1994"/>
      <c r="CZ20" s="1994"/>
      <c r="DA20" s="1994"/>
      <c r="DB20" s="1994"/>
      <c r="DC20" s="1994"/>
      <c r="DD20" s="1994"/>
      <c r="DE20" s="1994"/>
      <c r="DF20" s="1994"/>
      <c r="DG20" s="1994"/>
      <c r="DH20" s="1994"/>
      <c r="DI20" s="1994"/>
      <c r="DJ20" s="1994"/>
      <c r="DK20" s="1994"/>
      <c r="DL20" s="1994"/>
      <c r="DM20" s="1994"/>
      <c r="DN20" s="1994"/>
      <c r="DO20" s="1995"/>
      <c r="DP20" s="1994"/>
      <c r="DQ20" s="1994"/>
      <c r="DR20" s="1996"/>
      <c r="DS20" s="1996"/>
      <c r="DT20" s="1996"/>
      <c r="DU20" s="1996"/>
      <c r="DV20" s="1996"/>
      <c r="DW20" s="1996"/>
      <c r="DX20" s="1996"/>
      <c r="DY20" s="1996"/>
      <c r="DZ20" s="1996"/>
      <c r="EA20" s="1996"/>
      <c r="EB20" s="1996"/>
      <c r="EC20" s="1996"/>
      <c r="ED20" s="1996"/>
      <c r="EE20" s="1620"/>
      <c r="EF20" s="1620"/>
      <c r="FF20" s="1616"/>
    </row>
    <row r="21" spans="1:162" hidden="1" outlineLevel="2">
      <c r="A21" s="1619" t="s">
        <v>1267</v>
      </c>
      <c r="B21" s="1619" t="s">
        <v>2056</v>
      </c>
      <c r="C21" s="1619" t="s">
        <v>2089</v>
      </c>
      <c r="D21" s="1619"/>
      <c r="E21" s="1994"/>
      <c r="F21" s="1994"/>
      <c r="G21" s="1994"/>
      <c r="H21" s="1994"/>
      <c r="I21" s="1994"/>
      <c r="J21" s="1994"/>
      <c r="K21" s="1994"/>
      <c r="L21" s="1994"/>
      <c r="M21" s="1994"/>
      <c r="N21" s="1994"/>
      <c r="O21" s="1994"/>
      <c r="P21" s="1994"/>
      <c r="Q21" s="1994"/>
      <c r="R21" s="1994"/>
      <c r="S21" s="1994"/>
      <c r="T21" s="1994"/>
      <c r="U21" s="1994"/>
      <c r="V21" s="1994"/>
      <c r="W21" s="1994"/>
      <c r="X21" s="1994"/>
      <c r="Y21" s="1994"/>
      <c r="Z21" s="1994"/>
      <c r="AA21" s="1994"/>
      <c r="AB21" s="1994"/>
      <c r="AC21" s="1994"/>
      <c r="AD21" s="1994"/>
      <c r="AE21" s="1994"/>
      <c r="AF21" s="1994"/>
      <c r="AG21" s="1994"/>
      <c r="AH21" s="1994"/>
      <c r="AI21" s="1994"/>
      <c r="AJ21" s="1994"/>
      <c r="AK21" s="1994"/>
      <c r="AL21" s="1994"/>
      <c r="AM21" s="1994"/>
      <c r="AN21" s="1994"/>
      <c r="AO21" s="1994"/>
      <c r="AP21" s="1994"/>
      <c r="AQ21" s="1994"/>
      <c r="AR21" s="1994"/>
      <c r="AS21" s="1994"/>
      <c r="AT21" s="1994"/>
      <c r="AU21" s="1994"/>
      <c r="AV21" s="1994"/>
      <c r="AW21" s="1994"/>
      <c r="AX21" s="1994"/>
      <c r="AY21" s="1994"/>
      <c r="AZ21" s="1994"/>
      <c r="BA21" s="1994"/>
      <c r="BB21" s="1994"/>
      <c r="BC21" s="1994"/>
      <c r="BD21" s="1994"/>
      <c r="BE21" s="1994"/>
      <c r="BF21" s="1994"/>
      <c r="BG21" s="1994"/>
      <c r="BH21" s="1994"/>
      <c r="BI21" s="1994"/>
      <c r="BJ21" s="1994"/>
      <c r="BK21" s="1994"/>
      <c r="BL21" s="1994"/>
      <c r="BM21" s="1994"/>
      <c r="BN21" s="1994"/>
      <c r="BO21" s="1994"/>
      <c r="BP21" s="1994"/>
      <c r="BQ21" s="1994"/>
      <c r="BR21" s="1994"/>
      <c r="BS21" s="1994"/>
      <c r="BT21" s="1994"/>
      <c r="BU21" s="1994"/>
      <c r="BV21" s="1994"/>
      <c r="BW21" s="1994"/>
      <c r="BX21" s="1994"/>
      <c r="BY21" s="1994"/>
      <c r="BZ21" s="1994"/>
      <c r="CA21" s="1994"/>
      <c r="CB21" s="1994" t="s">
        <v>5</v>
      </c>
      <c r="CC21" s="1994" t="s">
        <v>5</v>
      </c>
      <c r="CD21" s="1994"/>
      <c r="CE21" s="1994" t="e">
        <f>CE13</f>
        <v>#REF!</v>
      </c>
      <c r="CF21" s="1994">
        <f>CF13</f>
        <v>1500</v>
      </c>
      <c r="CG21" s="1994"/>
      <c r="CH21" s="1994" t="s">
        <v>5</v>
      </c>
      <c r="CI21" s="1994" t="s">
        <v>5</v>
      </c>
      <c r="CJ21" s="1994" t="s">
        <v>5</v>
      </c>
      <c r="CK21" s="1994"/>
      <c r="CL21" s="1994"/>
      <c r="CM21" s="1994"/>
      <c r="CN21" s="1994"/>
      <c r="CO21" s="1994"/>
      <c r="CP21" s="1994"/>
      <c r="CQ21" s="1994"/>
      <c r="CR21" s="1994"/>
      <c r="CS21" s="1994"/>
      <c r="CT21" s="1994"/>
      <c r="CU21" s="1994"/>
      <c r="CV21" s="1994"/>
      <c r="CW21" s="1994"/>
      <c r="CX21" s="1994"/>
      <c r="CY21" s="1994"/>
      <c r="CZ21" s="1994"/>
      <c r="DA21" s="1994"/>
      <c r="DB21" s="1994"/>
      <c r="DC21" s="1994"/>
      <c r="DD21" s="1994"/>
      <c r="DE21" s="1994"/>
      <c r="DF21" s="1994"/>
      <c r="DG21" s="1994"/>
      <c r="DH21" s="1994"/>
      <c r="DI21" s="1994"/>
      <c r="DJ21" s="1994"/>
      <c r="DK21" s="1994"/>
      <c r="DL21" s="1994"/>
      <c r="DM21" s="1994"/>
      <c r="DN21" s="1994"/>
      <c r="DO21" s="1995"/>
      <c r="DP21" s="1994"/>
      <c r="DQ21" s="1994"/>
      <c r="DR21" s="1996"/>
      <c r="DS21" s="1996"/>
      <c r="DT21" s="1996"/>
      <c r="DU21" s="1996"/>
      <c r="DV21" s="1996"/>
      <c r="DW21" s="1996"/>
      <c r="DX21" s="1996"/>
      <c r="DY21" s="1996"/>
      <c r="DZ21" s="1996"/>
      <c r="EA21" s="1996"/>
      <c r="EB21" s="1996"/>
      <c r="EC21" s="1996"/>
      <c r="ED21" s="1996"/>
      <c r="EE21" s="1620"/>
      <c r="EF21" s="1620"/>
      <c r="FF21" s="1616"/>
    </row>
    <row r="22" spans="1:162" hidden="1" outlineLevel="2">
      <c r="A22" s="1621" t="s">
        <v>1267</v>
      </c>
      <c r="B22" s="1621" t="s">
        <v>2057</v>
      </c>
      <c r="C22" s="1621" t="s">
        <v>2089</v>
      </c>
      <c r="D22" s="1621"/>
      <c r="E22" s="1997"/>
      <c r="F22" s="1997"/>
      <c r="G22" s="1997"/>
      <c r="H22" s="1997"/>
      <c r="I22" s="1997"/>
      <c r="J22" s="1997"/>
      <c r="K22" s="1997"/>
      <c r="L22" s="1997">
        <f>F22</f>
        <v>0</v>
      </c>
      <c r="M22" s="1997"/>
      <c r="N22" s="1997"/>
      <c r="O22" s="1997"/>
      <c r="P22" s="1997"/>
      <c r="Q22" s="1997"/>
      <c r="R22" s="1997"/>
      <c r="S22" s="1997"/>
      <c r="T22" s="1997"/>
      <c r="U22" s="1997"/>
      <c r="V22" s="1997"/>
      <c r="W22" s="1997"/>
      <c r="X22" s="1997"/>
      <c r="Y22" s="1997"/>
      <c r="Z22" s="1997"/>
      <c r="AA22" s="1997"/>
      <c r="AB22" s="1997"/>
      <c r="AC22" s="1997"/>
      <c r="AD22" s="1997"/>
      <c r="AE22" s="1997"/>
      <c r="AF22" s="1997"/>
      <c r="AG22" s="1997"/>
      <c r="AH22" s="1997"/>
      <c r="AI22" s="1997"/>
      <c r="AJ22" s="1997"/>
      <c r="AK22" s="1997"/>
      <c r="AL22" s="1997"/>
      <c r="AM22" s="1997"/>
      <c r="AN22" s="1997"/>
      <c r="AO22" s="1997"/>
      <c r="AP22" s="1997"/>
      <c r="AQ22" s="1997"/>
      <c r="AR22" s="1997"/>
      <c r="AS22" s="1997"/>
      <c r="AT22" s="1997"/>
      <c r="AU22" s="1997"/>
      <c r="AV22" s="1997"/>
      <c r="AW22" s="1997"/>
      <c r="AX22" s="1997"/>
      <c r="AY22" s="1997"/>
      <c r="AZ22" s="1997"/>
      <c r="BA22" s="1997"/>
      <c r="BB22" s="1997"/>
      <c r="BC22" s="1997"/>
      <c r="BD22" s="1997"/>
      <c r="BE22" s="1997"/>
      <c r="BF22" s="1997"/>
      <c r="BG22" s="1997"/>
      <c r="BH22" s="1997"/>
      <c r="BI22" s="1997"/>
      <c r="BJ22" s="1997"/>
      <c r="BK22" s="1997"/>
      <c r="BL22" s="1997"/>
      <c r="BM22" s="1997"/>
      <c r="BN22" s="1997">
        <f>BN13</f>
        <v>2200</v>
      </c>
      <c r="BO22" s="1997">
        <f>BO13</f>
        <v>1500</v>
      </c>
      <c r="BP22" s="1997">
        <f>Fusion!H22</f>
        <v>1500</v>
      </c>
      <c r="BQ22" s="1997">
        <f>Fusion!J22</f>
        <v>1500</v>
      </c>
      <c r="BR22" s="1997">
        <f>BR13</f>
        <v>0</v>
      </c>
      <c r="BS22" s="1997">
        <f>BS13</f>
        <v>0</v>
      </c>
      <c r="BT22" s="1997">
        <f>BT13</f>
        <v>0</v>
      </c>
      <c r="BU22" s="1997"/>
      <c r="BV22" s="1997"/>
      <c r="BW22" s="1997"/>
      <c r="BX22" s="1997"/>
      <c r="BY22" s="1997"/>
      <c r="BZ22" s="1997"/>
      <c r="CA22" s="1997"/>
      <c r="CB22" s="1997"/>
      <c r="CC22" s="1997"/>
      <c r="CD22" s="1997"/>
      <c r="CE22" s="1997"/>
      <c r="CF22" s="1997"/>
      <c r="CG22" s="1997"/>
      <c r="CH22" s="1997"/>
      <c r="CI22" s="1997"/>
      <c r="CJ22" s="1997"/>
      <c r="CK22" s="1997"/>
      <c r="CL22" s="1997"/>
      <c r="CM22" s="1997"/>
      <c r="CN22" s="1997"/>
      <c r="CO22" s="1997"/>
      <c r="CP22" s="1997"/>
      <c r="CQ22" s="1997"/>
      <c r="CR22" s="1997"/>
      <c r="CS22" s="1997"/>
      <c r="CT22" s="1997"/>
      <c r="CU22" s="1997"/>
      <c r="CV22" s="1997"/>
      <c r="CW22" s="1997"/>
      <c r="CX22" s="1997"/>
      <c r="CY22" s="1997"/>
      <c r="CZ22" s="1997"/>
      <c r="DA22" s="1997"/>
      <c r="DB22" s="1997"/>
      <c r="DC22" s="1997"/>
      <c r="DD22" s="1997"/>
      <c r="DE22" s="1997"/>
      <c r="DF22" s="1997"/>
      <c r="DG22" s="1997"/>
      <c r="DH22" s="1997"/>
      <c r="DI22" s="1997"/>
      <c r="DJ22" s="1997"/>
      <c r="DK22" s="1997"/>
      <c r="DL22" s="1997"/>
      <c r="DM22" s="1997"/>
      <c r="DN22" s="1997"/>
      <c r="DO22" s="1998"/>
      <c r="DP22" s="1997"/>
      <c r="DQ22" s="1997"/>
      <c r="DR22" s="1999"/>
      <c r="DS22" s="1999"/>
      <c r="DT22" s="1999"/>
      <c r="DU22" s="1999"/>
      <c r="DV22" s="1999"/>
      <c r="DW22" s="1999"/>
      <c r="DX22" s="1999"/>
      <c r="DY22" s="1999"/>
      <c r="DZ22" s="1999"/>
      <c r="EA22" s="1999"/>
      <c r="EB22" s="1999"/>
      <c r="EC22" s="1999"/>
      <c r="ED22" s="1999"/>
      <c r="EE22" s="1622"/>
      <c r="EF22" s="1622"/>
      <c r="EG22" s="1622"/>
      <c r="EH22" s="1622"/>
      <c r="EI22" s="1622"/>
      <c r="EJ22" s="1622"/>
      <c r="EK22" s="1622"/>
      <c r="EL22" s="1622"/>
      <c r="EM22" s="1622"/>
      <c r="EN22" s="1622"/>
      <c r="EO22" s="1622"/>
      <c r="EP22" s="1622"/>
      <c r="EQ22" s="1622"/>
      <c r="ER22" s="1622"/>
      <c r="ES22" s="1622"/>
      <c r="FF22" s="1616"/>
    </row>
    <row r="23" spans="1:162" hidden="1" outlineLevel="2">
      <c r="A23" s="1621" t="s">
        <v>1267</v>
      </c>
      <c r="B23" s="1621" t="s">
        <v>2058</v>
      </c>
      <c r="C23" s="1621" t="s">
        <v>2089</v>
      </c>
      <c r="D23" s="1621"/>
      <c r="E23" s="1997"/>
      <c r="F23" s="1997"/>
      <c r="G23" s="1997"/>
      <c r="H23" s="1997"/>
      <c r="I23" s="1997"/>
      <c r="J23" s="1997"/>
      <c r="K23" s="1997"/>
      <c r="L23" s="1997"/>
      <c r="M23" s="1997"/>
      <c r="N23" s="1997"/>
      <c r="O23" s="1997"/>
      <c r="P23" s="1997"/>
      <c r="Q23" s="1997"/>
      <c r="R23" s="1997"/>
      <c r="S23" s="1997"/>
      <c r="T23" s="1997"/>
      <c r="U23" s="1997"/>
      <c r="V23" s="1997"/>
      <c r="W23" s="1997"/>
      <c r="X23" s="1997"/>
      <c r="Y23" s="1997"/>
      <c r="Z23" s="1997"/>
      <c r="AA23" s="1997"/>
      <c r="AB23" s="1997"/>
      <c r="AC23" s="1997"/>
      <c r="AD23" s="1997"/>
      <c r="AE23" s="1997"/>
      <c r="AF23" s="1997"/>
      <c r="AG23" s="1997"/>
      <c r="AH23" s="1997"/>
      <c r="AI23" s="1997"/>
      <c r="AJ23" s="1997"/>
      <c r="AK23" s="1997"/>
      <c r="AL23" s="1997"/>
      <c r="AM23" s="1997"/>
      <c r="AN23" s="1997"/>
      <c r="AO23" s="1997"/>
      <c r="AP23" s="1997"/>
      <c r="AQ23" s="1997"/>
      <c r="AR23" s="1997"/>
      <c r="AS23" s="1997"/>
      <c r="AT23" s="1997"/>
      <c r="AU23" s="1997"/>
      <c r="AV23" s="1997"/>
      <c r="AW23" s="1997"/>
      <c r="AX23" s="1997"/>
      <c r="AY23" s="1997"/>
      <c r="AZ23" s="1997"/>
      <c r="BA23" s="1997"/>
      <c r="BB23" s="1997"/>
      <c r="BC23" s="1997"/>
      <c r="BD23" s="1997"/>
      <c r="BE23" s="1997"/>
      <c r="BF23" s="1997"/>
      <c r="BG23" s="1997"/>
      <c r="BH23" s="1997"/>
      <c r="BI23" s="1997"/>
      <c r="BJ23" s="1997"/>
      <c r="BK23" s="1997"/>
      <c r="BL23" s="1997"/>
      <c r="BM23" s="1997"/>
      <c r="BN23" s="1997"/>
      <c r="BO23" s="1997"/>
      <c r="BP23" s="1997"/>
      <c r="BQ23" s="1997"/>
      <c r="BR23" s="1997">
        <f>Fusion!J22</f>
        <v>1500</v>
      </c>
      <c r="BS23" s="1997"/>
      <c r="BT23" s="1997"/>
      <c r="BU23" s="1997"/>
      <c r="BV23" s="1997"/>
      <c r="BW23" s="1997"/>
      <c r="BX23" s="1997"/>
      <c r="BY23" s="1997"/>
      <c r="BZ23" s="1997"/>
      <c r="CA23" s="1997"/>
      <c r="CB23" s="1997"/>
      <c r="CC23" s="1997"/>
      <c r="CD23" s="1997"/>
      <c r="CE23" s="1997"/>
      <c r="CF23" s="1997"/>
      <c r="CG23" s="1997"/>
      <c r="CH23" s="1997"/>
      <c r="CI23" s="1997"/>
      <c r="CJ23" s="1997"/>
      <c r="CK23" s="1997"/>
      <c r="CL23" s="1997"/>
      <c r="CM23" s="1997"/>
      <c r="CN23" s="1997"/>
      <c r="CO23" s="1997"/>
      <c r="CP23" s="1997"/>
      <c r="CQ23" s="1997"/>
      <c r="CR23" s="1997"/>
      <c r="CS23" s="1997"/>
      <c r="CT23" s="1997"/>
      <c r="CU23" s="1997"/>
      <c r="CV23" s="1997"/>
      <c r="CW23" s="1997"/>
      <c r="CX23" s="1997"/>
      <c r="CY23" s="1997"/>
      <c r="CZ23" s="1997"/>
      <c r="DA23" s="1997"/>
      <c r="DB23" s="1997"/>
      <c r="DC23" s="1997"/>
      <c r="DD23" s="1997"/>
      <c r="DE23" s="1997"/>
      <c r="DF23" s="1997"/>
      <c r="DG23" s="1997"/>
      <c r="DH23" s="1997"/>
      <c r="DI23" s="1997"/>
      <c r="DJ23" s="1997"/>
      <c r="DK23" s="1997"/>
      <c r="DL23" s="1997"/>
      <c r="DM23" s="1997"/>
      <c r="DN23" s="1997"/>
      <c r="DO23" s="1998"/>
      <c r="DP23" s="1997"/>
      <c r="DQ23" s="1997"/>
      <c r="DR23" s="1999"/>
      <c r="DS23" s="1999"/>
      <c r="DT23" s="1999"/>
      <c r="DU23" s="1999"/>
      <c r="DV23" s="1999"/>
      <c r="DW23" s="1999"/>
      <c r="DX23" s="1999"/>
      <c r="DY23" s="1999"/>
      <c r="DZ23" s="1999"/>
      <c r="EA23" s="1999"/>
      <c r="EB23" s="1999"/>
      <c r="EC23" s="1999"/>
      <c r="ED23" s="1999"/>
      <c r="EE23" s="1622"/>
      <c r="EF23" s="1622"/>
      <c r="EG23" s="1622"/>
      <c r="EH23" s="1622"/>
      <c r="EI23" s="1622"/>
      <c r="EJ23" s="1622"/>
      <c r="EK23" s="1622"/>
      <c r="EL23" s="1622"/>
      <c r="EM23" s="1622"/>
      <c r="EN23" s="1622"/>
      <c r="EO23" s="1622"/>
      <c r="EP23" s="1622"/>
      <c r="EQ23" s="1622"/>
      <c r="ER23" s="1622"/>
      <c r="ES23" s="1622"/>
      <c r="FF23" s="1616"/>
    </row>
    <row r="24" spans="1:162" s="1613" customFormat="1" hidden="1" outlineLevel="1" collapsed="1">
      <c r="A24" s="1617" t="s">
        <v>1267</v>
      </c>
      <c r="B24" s="1617" t="s">
        <v>2047</v>
      </c>
      <c r="C24" s="1617" t="s">
        <v>2090</v>
      </c>
      <c r="D24" s="1617"/>
      <c r="E24" s="1991">
        <f>E12+'Classic Rimini '!$G$43</f>
        <v>3600</v>
      </c>
      <c r="F24" s="1991">
        <f>F12+'Classic Rimini '!$H$43</f>
        <v>2000</v>
      </c>
      <c r="G24" s="1991">
        <f>G12+'Classic Rimini '!$I$43</f>
        <v>2000</v>
      </c>
      <c r="H24" s="1991"/>
      <c r="I24" s="1991" t="e">
        <f>I12+'Classic Rimini '!#REF!</f>
        <v>#REF!</v>
      </c>
      <c r="J24" s="1991" t="e">
        <f>J12+'Classic Rimini '!#REF!</f>
        <v>#REF!</v>
      </c>
      <c r="K24" s="1991" t="e">
        <f>K12+'Classic Rimini '!#REF!</f>
        <v>#REF!</v>
      </c>
      <c r="L24" s="1991">
        <f>F24</f>
        <v>2000</v>
      </c>
      <c r="M24" s="1991">
        <f>G24</f>
        <v>2000</v>
      </c>
      <c r="N24" s="1991"/>
      <c r="O24" s="1991"/>
      <c r="P24" s="1991"/>
      <c r="Q24" s="1991"/>
      <c r="R24" s="1991"/>
      <c r="S24" s="1991"/>
      <c r="T24" s="1991"/>
      <c r="U24" s="1991"/>
      <c r="V24" s="1991"/>
      <c r="W24" s="1991"/>
      <c r="X24" s="1991"/>
      <c r="Y24" s="1991"/>
      <c r="Z24" s="1991"/>
      <c r="AA24" s="1991"/>
      <c r="AB24" s="1991"/>
      <c r="AC24" s="1991"/>
      <c r="AD24" s="1991"/>
      <c r="AE24" s="1991"/>
      <c r="AF24" s="1991"/>
      <c r="AG24" s="1991"/>
      <c r="AH24" s="1991"/>
      <c r="AI24" s="1991"/>
      <c r="AJ24" s="1991"/>
      <c r="AK24" s="1991"/>
      <c r="AL24" s="1991"/>
      <c r="AM24" s="1991"/>
      <c r="AN24" s="1991"/>
      <c r="AO24" s="1991"/>
      <c r="AP24" s="1991" t="e">
        <f>AP12+'Provеnce Amelia'!#REF!</f>
        <v>#REF!</v>
      </c>
      <c r="AQ24" s="1991">
        <f>AQ12+'Provеnce Amelia'!K26</f>
        <v>700</v>
      </c>
      <c r="AR24" s="1991"/>
      <c r="AS24" s="1991"/>
      <c r="AT24" s="1991"/>
      <c r="AU24" s="1991"/>
      <c r="AV24" s="1991"/>
      <c r="AW24" s="1991"/>
      <c r="AX24" s="1991"/>
      <c r="AY24" s="1991"/>
      <c r="AZ24" s="1991"/>
      <c r="BA24" s="1991"/>
      <c r="BB24" s="1991"/>
      <c r="BC24" s="1991"/>
      <c r="BD24" s="1991"/>
      <c r="BE24" s="1991"/>
      <c r="BF24" s="1991"/>
      <c r="BG24" s="1991"/>
      <c r="BH24" s="1991"/>
      <c r="BI24" s="1991"/>
      <c r="BJ24" s="1991"/>
      <c r="BK24" s="1991"/>
      <c r="BL24" s="1991"/>
      <c r="BM24" s="1991"/>
      <c r="BN24" s="1991"/>
      <c r="BO24" s="1991"/>
      <c r="BP24" s="1991"/>
      <c r="BQ24" s="1991"/>
      <c r="BR24" s="1991"/>
      <c r="BS24" s="1991"/>
      <c r="BT24" s="1991"/>
      <c r="BU24" s="1991"/>
      <c r="BV24" s="1991"/>
      <c r="BW24" s="1991"/>
      <c r="BX24" s="1991"/>
      <c r="BY24" s="1991"/>
      <c r="BZ24" s="1991"/>
      <c r="CA24" s="1991"/>
      <c r="CB24" s="1991"/>
      <c r="CC24" s="1991"/>
      <c r="CD24" s="1991"/>
      <c r="CE24" s="1991"/>
      <c r="CF24" s="1991"/>
      <c r="CG24" s="1991"/>
      <c r="CH24" s="1991"/>
      <c r="CI24" s="1991"/>
      <c r="CJ24" s="1991"/>
      <c r="CK24" s="1991"/>
      <c r="CL24" s="1991"/>
      <c r="CM24" s="1991"/>
      <c r="CN24" s="1991"/>
      <c r="CO24" s="1991"/>
      <c r="CP24" s="1991"/>
      <c r="CQ24" s="1991"/>
      <c r="CR24" s="1991"/>
      <c r="CS24" s="1991"/>
      <c r="CT24" s="1991"/>
      <c r="CU24" s="1991"/>
      <c r="CV24" s="1991"/>
      <c r="CW24" s="1991"/>
      <c r="CX24" s="1991"/>
      <c r="CY24" s="1991"/>
      <c r="CZ24" s="1991"/>
      <c r="DA24" s="1991"/>
      <c r="DB24" s="1991"/>
      <c r="DC24" s="1991"/>
      <c r="DD24" s="1991"/>
      <c r="DE24" s="1991"/>
      <c r="DF24" s="1991"/>
      <c r="DG24" s="1991"/>
      <c r="DH24" s="1991"/>
      <c r="DI24" s="1991"/>
      <c r="DJ24" s="1991"/>
      <c r="DK24" s="1991"/>
      <c r="DL24" s="1991"/>
      <c r="DM24" s="1991"/>
      <c r="DN24" s="1991"/>
      <c r="DO24" s="1992"/>
      <c r="DP24" s="1991"/>
      <c r="DQ24" s="1991"/>
      <c r="DR24" s="1993"/>
      <c r="DS24" s="1993"/>
      <c r="DT24" s="1993"/>
      <c r="DU24" s="1993"/>
      <c r="DV24" s="1993"/>
      <c r="DW24" s="1993"/>
      <c r="DX24" s="1993"/>
      <c r="DY24" s="1993"/>
      <c r="DZ24" s="1993"/>
      <c r="EA24" s="1993"/>
      <c r="EB24" s="1993"/>
      <c r="EC24" s="1993"/>
      <c r="ED24" s="1993"/>
      <c r="EE24" s="1618"/>
      <c r="EF24" s="1618"/>
      <c r="FF24" s="1614"/>
    </row>
    <row r="25" spans="1:162" hidden="1" outlineLevel="2">
      <c r="A25" s="1619" t="s">
        <v>1267</v>
      </c>
      <c r="B25" s="1619" t="s">
        <v>2048</v>
      </c>
      <c r="C25" s="1619" t="s">
        <v>2090</v>
      </c>
      <c r="D25" s="1619"/>
      <c r="E25" s="1994">
        <f>E13+'Classic Rimini '!$G$43</f>
        <v>3600</v>
      </c>
      <c r="F25" s="1994">
        <f>F13+'Classic Rimini '!$H$43</f>
        <v>2000</v>
      </c>
      <c r="G25" s="1994">
        <f>G13+'Classic Rimini '!$I$43</f>
        <v>2000</v>
      </c>
      <c r="H25" s="1994">
        <f>H13+'Classic Rimini '!$K$43</f>
        <v>650</v>
      </c>
      <c r="I25" s="1994" t="e">
        <f>I13+'Classic Rimini '!#REF!</f>
        <v>#REF!</v>
      </c>
      <c r="J25" s="1994"/>
      <c r="K25" s="1994"/>
      <c r="L25" s="1994">
        <f t="shared" ref="L25:M28" si="31">F25</f>
        <v>2000</v>
      </c>
      <c r="M25" s="1994">
        <f t="shared" si="31"/>
        <v>2000</v>
      </c>
      <c r="N25" s="1994"/>
      <c r="O25" s="1994"/>
      <c r="P25" s="1994"/>
      <c r="Q25" s="1994"/>
      <c r="R25" s="1994"/>
      <c r="S25" s="1994"/>
      <c r="T25" s="1994"/>
      <c r="U25" s="1994"/>
      <c r="V25" s="1994"/>
      <c r="W25" s="1994"/>
      <c r="X25" s="1994"/>
      <c r="Y25" s="1994"/>
      <c r="Z25" s="1994"/>
      <c r="AA25" s="1994"/>
      <c r="AB25" s="1994"/>
      <c r="AC25" s="1994"/>
      <c r="AD25" s="1994"/>
      <c r="AE25" s="1994"/>
      <c r="AF25" s="1994"/>
      <c r="AG25" s="1994"/>
      <c r="AH25" s="1994"/>
      <c r="AI25" s="1994"/>
      <c r="AJ25" s="1994"/>
      <c r="AK25" s="1994"/>
      <c r="AL25" s="1994"/>
      <c r="AM25" s="1994"/>
      <c r="AN25" s="1994"/>
      <c r="AO25" s="1994"/>
      <c r="AP25" s="1994"/>
      <c r="AQ25" s="1994"/>
      <c r="AR25" s="1994"/>
      <c r="AS25" s="1994"/>
      <c r="AT25" s="1994"/>
      <c r="AU25" s="1994"/>
      <c r="AV25" s="1994"/>
      <c r="AW25" s="1994"/>
      <c r="AX25" s="1994"/>
      <c r="AY25" s="1994"/>
      <c r="AZ25" s="1994"/>
      <c r="BA25" s="1994"/>
      <c r="BB25" s="1994"/>
      <c r="BC25" s="1994"/>
      <c r="BD25" s="1994"/>
      <c r="BE25" s="1994"/>
      <c r="BF25" s="1994"/>
      <c r="BG25" s="1994"/>
      <c r="BH25" s="1994"/>
      <c r="BI25" s="1994"/>
      <c r="BJ25" s="1994"/>
      <c r="BK25" s="1994"/>
      <c r="BL25" s="1994"/>
      <c r="BM25" s="1994"/>
      <c r="BN25" s="1994">
        <f>BN13+Fusion!G25</f>
        <v>2900</v>
      </c>
      <c r="BO25" s="1994">
        <f>BO13+Fusion!H25</f>
        <v>2000</v>
      </c>
      <c r="BP25" s="1994"/>
      <c r="BQ25" s="1994"/>
      <c r="BR25" s="1994"/>
      <c r="BS25" s="1994"/>
      <c r="BT25" s="1994"/>
      <c r="BU25" s="1994"/>
      <c r="BV25" s="1994"/>
      <c r="BW25" s="1994"/>
      <c r="BX25" s="1994"/>
      <c r="BY25" s="1994"/>
      <c r="BZ25" s="1994"/>
      <c r="CA25" s="1994"/>
      <c r="CB25" s="1994" t="e">
        <f>Neoclassic!#REF!+Neoclassic!#REF!</f>
        <v>#REF!</v>
      </c>
      <c r="CC25" s="1994"/>
      <c r="CD25" s="1994">
        <f>Neoclassic!H27+Neoclassic!H30</f>
        <v>2200</v>
      </c>
      <c r="CE25" s="1994" t="e">
        <f>Neoclassic!#REF!+Neoclassic!L30</f>
        <v>#REF!</v>
      </c>
      <c r="CF25" s="1994">
        <f>Neoclassic!L27+Neoclassic!N30</f>
        <v>1650</v>
      </c>
      <c r="CG25" s="1994"/>
      <c r="CH25" s="1994" t="e">
        <f>CH13+#REF!</f>
        <v>#REF!</v>
      </c>
      <c r="CI25" s="1994" t="e">
        <f>CI13+#REF!</f>
        <v>#REF!</v>
      </c>
      <c r="CJ25" s="1994" t="e">
        <f>CJ13+#REF!</f>
        <v>#REF!</v>
      </c>
      <c r="CK25" s="1994"/>
      <c r="CL25" s="1994"/>
      <c r="CM25" s="1994"/>
      <c r="CN25" s="1994"/>
      <c r="CO25" s="1994"/>
      <c r="CP25" s="1994"/>
      <c r="CQ25" s="1994"/>
      <c r="CR25" s="1994"/>
      <c r="CS25" s="1994"/>
      <c r="CT25" s="1994"/>
      <c r="CU25" s="1994"/>
      <c r="CV25" s="1994"/>
      <c r="CW25" s="1994"/>
      <c r="CX25" s="1994"/>
      <c r="CY25" s="1994"/>
      <c r="CZ25" s="1994"/>
      <c r="DA25" s="1994"/>
      <c r="DB25" s="1994"/>
      <c r="DC25" s="1994"/>
      <c r="DD25" s="1994"/>
      <c r="DE25" s="1994"/>
      <c r="DF25" s="1994"/>
      <c r="DG25" s="1994"/>
      <c r="DH25" s="1994"/>
      <c r="DI25" s="1994"/>
      <c r="DJ25" s="1994"/>
      <c r="DK25" s="1994"/>
      <c r="DL25" s="1994"/>
      <c r="DM25" s="1994"/>
      <c r="DN25" s="1994"/>
      <c r="DO25" s="1995"/>
      <c r="DP25" s="1994"/>
      <c r="DQ25" s="1994"/>
      <c r="DR25" s="1996"/>
      <c r="DS25" s="1996"/>
      <c r="DT25" s="1996"/>
      <c r="DU25" s="1996"/>
      <c r="DV25" s="1996"/>
      <c r="DW25" s="1996"/>
      <c r="DX25" s="1996"/>
      <c r="DY25" s="1996"/>
      <c r="DZ25" s="1996"/>
      <c r="EA25" s="1996"/>
      <c r="EB25" s="1996"/>
      <c r="EC25" s="1996"/>
      <c r="ED25" s="1996"/>
      <c r="EE25" s="1620"/>
      <c r="EF25" s="1620"/>
      <c r="FF25" s="1616"/>
    </row>
    <row r="26" spans="1:162" hidden="1" outlineLevel="2">
      <c r="A26" s="1619" t="s">
        <v>1267</v>
      </c>
      <c r="B26" s="1619" t="s">
        <v>2049</v>
      </c>
      <c r="C26" s="1619" t="s">
        <v>2090</v>
      </c>
      <c r="D26" s="1619"/>
      <c r="E26" s="1994">
        <f>E14+'Classic Rimini '!$G$43</f>
        <v>3600</v>
      </c>
      <c r="F26" s="1994">
        <f>F14+'Classic Rimini '!$H$43</f>
        <v>2000</v>
      </c>
      <c r="G26" s="1994">
        <f>G14+'Classic Rimini '!$I$43</f>
        <v>2000</v>
      </c>
      <c r="H26" s="1994"/>
      <c r="I26" s="1994" t="e">
        <f>I14+'Classic Rimini '!#REF!</f>
        <v>#REF!</v>
      </c>
      <c r="J26" s="1994"/>
      <c r="K26" s="1994"/>
      <c r="L26" s="1994">
        <f t="shared" si="31"/>
        <v>2000</v>
      </c>
      <c r="M26" s="1994">
        <f t="shared" si="31"/>
        <v>2000</v>
      </c>
      <c r="N26" s="1994"/>
      <c r="O26" s="1994"/>
      <c r="P26" s="1994"/>
      <c r="Q26" s="1994"/>
      <c r="R26" s="1994"/>
      <c r="S26" s="1994"/>
      <c r="T26" s="1994"/>
      <c r="U26" s="1994"/>
      <c r="V26" s="1994"/>
      <c r="W26" s="1994"/>
      <c r="X26" s="1994"/>
      <c r="Y26" s="1994"/>
      <c r="Z26" s="1994"/>
      <c r="AA26" s="1994"/>
      <c r="AB26" s="1994"/>
      <c r="AC26" s="1994"/>
      <c r="AD26" s="1994"/>
      <c r="AE26" s="1994"/>
      <c r="AF26" s="1994"/>
      <c r="AG26" s="1994"/>
      <c r="AH26" s="1994"/>
      <c r="AI26" s="1994"/>
      <c r="AJ26" s="1994"/>
      <c r="AK26" s="1994"/>
      <c r="AL26" s="1994"/>
      <c r="AM26" s="1994"/>
      <c r="AN26" s="1994"/>
      <c r="AO26" s="1994"/>
      <c r="AP26" s="1994"/>
      <c r="AQ26" s="1994"/>
      <c r="AR26" s="1994"/>
      <c r="AS26" s="1994"/>
      <c r="AT26" s="1994"/>
      <c r="AU26" s="1994"/>
      <c r="AV26" s="1994"/>
      <c r="AW26" s="1994"/>
      <c r="AX26" s="1994"/>
      <c r="AY26" s="1994"/>
      <c r="AZ26" s="1994"/>
      <c r="BA26" s="1994"/>
      <c r="BB26" s="1994"/>
      <c r="BC26" s="1994"/>
      <c r="BD26" s="1994"/>
      <c r="BE26" s="1994"/>
      <c r="BF26" s="1994"/>
      <c r="BG26" s="1994"/>
      <c r="BH26" s="1994"/>
      <c r="BI26" s="1994"/>
      <c r="BJ26" s="1994"/>
      <c r="BK26" s="1994"/>
      <c r="BL26" s="1994"/>
      <c r="BM26" s="1994"/>
      <c r="BN26" s="1994"/>
      <c r="BO26" s="1994"/>
      <c r="BP26" s="1994"/>
      <c r="BQ26" s="1994"/>
      <c r="BR26" s="1994"/>
      <c r="BS26" s="1994"/>
      <c r="BT26" s="1994"/>
      <c r="BU26" s="1994"/>
      <c r="BV26" s="1994"/>
      <c r="BW26" s="1994"/>
      <c r="BX26" s="1994"/>
      <c r="BY26" s="1994"/>
      <c r="BZ26" s="1994"/>
      <c r="CA26" s="1994"/>
      <c r="CB26" s="1994" t="e">
        <f>$CB$25</f>
        <v>#REF!</v>
      </c>
      <c r="CC26" s="1994" t="e">
        <f>Neoclassic!#REF!+Neoclassic!#REF!</f>
        <v>#REF!</v>
      </c>
      <c r="CD26" s="1994">
        <f>$CD$25</f>
        <v>2200</v>
      </c>
      <c r="CE26" s="1994" t="e">
        <f>$CE$25</f>
        <v>#REF!</v>
      </c>
      <c r="CF26" s="1994">
        <f>$CF$25</f>
        <v>1650</v>
      </c>
      <c r="CG26" s="1994"/>
      <c r="CH26" s="1994" t="e">
        <f>CH14+#REF!</f>
        <v>#REF!</v>
      </c>
      <c r="CI26" s="1994" t="e">
        <f>CI14+#REF!</f>
        <v>#REF!</v>
      </c>
      <c r="CJ26" s="1994" t="e">
        <f>CJ14+#REF!</f>
        <v>#REF!</v>
      </c>
      <c r="CK26" s="1994"/>
      <c r="CL26" s="1994"/>
      <c r="CM26" s="1994"/>
      <c r="CN26" s="1994"/>
      <c r="CO26" s="1994"/>
      <c r="CP26" s="1994"/>
      <c r="CQ26" s="1994"/>
      <c r="CR26" s="1994"/>
      <c r="CS26" s="1994"/>
      <c r="CT26" s="1994"/>
      <c r="CU26" s="1994"/>
      <c r="CV26" s="1994"/>
      <c r="CW26" s="1994"/>
      <c r="CX26" s="1994"/>
      <c r="CY26" s="1994"/>
      <c r="CZ26" s="1994"/>
      <c r="DA26" s="1994"/>
      <c r="DB26" s="1994"/>
      <c r="DC26" s="1994"/>
      <c r="DD26" s="1994"/>
      <c r="DE26" s="1994"/>
      <c r="DF26" s="1994"/>
      <c r="DG26" s="1994"/>
      <c r="DH26" s="1994"/>
      <c r="DI26" s="1994"/>
      <c r="DJ26" s="1994"/>
      <c r="DK26" s="1994"/>
      <c r="DL26" s="1994"/>
      <c r="DM26" s="1994"/>
      <c r="DN26" s="1994"/>
      <c r="DO26" s="1995"/>
      <c r="DP26" s="1994"/>
      <c r="DQ26" s="1994"/>
      <c r="DR26" s="1996"/>
      <c r="DS26" s="1996"/>
      <c r="DT26" s="1996"/>
      <c r="DU26" s="1996"/>
      <c r="DV26" s="1996"/>
      <c r="DW26" s="1996"/>
      <c r="DX26" s="1996"/>
      <c r="DY26" s="1996"/>
      <c r="DZ26" s="1996"/>
      <c r="EA26" s="1996"/>
      <c r="EB26" s="1996"/>
      <c r="EC26" s="1996"/>
      <c r="ED26" s="1996"/>
      <c r="EE26" s="1620"/>
      <c r="EF26" s="1620"/>
      <c r="FF26" s="1616"/>
    </row>
    <row r="27" spans="1:162" hidden="1" outlineLevel="2">
      <c r="A27" s="1619" t="s">
        <v>1267</v>
      </c>
      <c r="B27" s="1619" t="s">
        <v>2050</v>
      </c>
      <c r="C27" s="1619" t="s">
        <v>2090</v>
      </c>
      <c r="D27" s="1619"/>
      <c r="E27" s="1994">
        <f>E15+'Classic Rimini '!$G$43</f>
        <v>3600</v>
      </c>
      <c r="F27" s="1994">
        <f>F15+'Classic Rimini '!$H$43</f>
        <v>2000</v>
      </c>
      <c r="G27" s="1994">
        <f>G15+'Classic Rimini '!$I$43</f>
        <v>2000</v>
      </c>
      <c r="H27" s="1994"/>
      <c r="I27" s="1994" t="e">
        <f>I15+'Classic Rimini '!#REF!</f>
        <v>#REF!</v>
      </c>
      <c r="J27" s="1994"/>
      <c r="K27" s="1994"/>
      <c r="L27" s="1994">
        <f t="shared" si="31"/>
        <v>2000</v>
      </c>
      <c r="M27" s="1994">
        <f t="shared" si="31"/>
        <v>2000</v>
      </c>
      <c r="N27" s="1994"/>
      <c r="O27" s="1994"/>
      <c r="P27" s="1994"/>
      <c r="Q27" s="1994"/>
      <c r="R27" s="1994"/>
      <c r="S27" s="1994"/>
      <c r="T27" s="1994"/>
      <c r="U27" s="1994"/>
      <c r="V27" s="1994"/>
      <c r="W27" s="1994"/>
      <c r="X27" s="1994"/>
      <c r="Y27" s="1994"/>
      <c r="Z27" s="1994"/>
      <c r="AA27" s="1994"/>
      <c r="AB27" s="1994"/>
      <c r="AC27" s="1994"/>
      <c r="AD27" s="1994"/>
      <c r="AE27" s="1994"/>
      <c r="AF27" s="1994"/>
      <c r="AG27" s="1994"/>
      <c r="AH27" s="1994"/>
      <c r="AI27" s="1994"/>
      <c r="AJ27" s="1994"/>
      <c r="AK27" s="1994"/>
      <c r="AL27" s="1994"/>
      <c r="AM27" s="1994"/>
      <c r="AN27" s="1994"/>
      <c r="AO27" s="1994"/>
      <c r="AP27" s="1994"/>
      <c r="AQ27" s="1994"/>
      <c r="AR27" s="1994"/>
      <c r="AS27" s="1994"/>
      <c r="AT27" s="1994"/>
      <c r="AU27" s="1994"/>
      <c r="AV27" s="1994"/>
      <c r="AW27" s="1994"/>
      <c r="AX27" s="1994"/>
      <c r="AY27" s="1994"/>
      <c r="AZ27" s="1994"/>
      <c r="BA27" s="1994"/>
      <c r="BB27" s="1994"/>
      <c r="BC27" s="1994"/>
      <c r="BD27" s="1994"/>
      <c r="BE27" s="1994"/>
      <c r="BF27" s="1994"/>
      <c r="BG27" s="1994"/>
      <c r="BH27" s="1994"/>
      <c r="BI27" s="1994"/>
      <c r="BJ27" s="1994"/>
      <c r="BK27" s="1994"/>
      <c r="BL27" s="1994"/>
      <c r="BM27" s="1994"/>
      <c r="BN27" s="1994">
        <f>BN15+Fusion!G25</f>
        <v>2900</v>
      </c>
      <c r="BO27" s="1994">
        <f>BO15+Fusion!H25</f>
        <v>2000</v>
      </c>
      <c r="BP27" s="1994"/>
      <c r="BQ27" s="1994"/>
      <c r="BR27" s="1994"/>
      <c r="BS27" s="1994"/>
      <c r="BT27" s="1994"/>
      <c r="BU27" s="1994"/>
      <c r="BV27" s="1994"/>
      <c r="BW27" s="1994"/>
      <c r="BX27" s="1994"/>
      <c r="BY27" s="1994"/>
      <c r="BZ27" s="1994"/>
      <c r="CA27" s="1994"/>
      <c r="CB27" s="1994" t="e">
        <f>$CB$25</f>
        <v>#REF!</v>
      </c>
      <c r="CC27" s="1994">
        <f t="shared" ref="CC27:CC32" si="32">$CC$25</f>
        <v>0</v>
      </c>
      <c r="CD27" s="1994">
        <f>$CD$25</f>
        <v>2200</v>
      </c>
      <c r="CE27" s="1994" t="e">
        <f>$CE$25</f>
        <v>#REF!</v>
      </c>
      <c r="CF27" s="1994">
        <f>$CF$25</f>
        <v>1650</v>
      </c>
      <c r="CG27" s="1994"/>
      <c r="CH27" s="1994" t="e">
        <f>CH15+#REF!</f>
        <v>#REF!</v>
      </c>
      <c r="CI27" s="1994" t="e">
        <f>CI15+#REF!</f>
        <v>#REF!</v>
      </c>
      <c r="CJ27" s="1994" t="e">
        <f>CJ15+#REF!</f>
        <v>#REF!</v>
      </c>
      <c r="CK27" s="1994"/>
      <c r="CL27" s="1994"/>
      <c r="CM27" s="1994"/>
      <c r="CN27" s="1994"/>
      <c r="CO27" s="1994"/>
      <c r="CP27" s="1994"/>
      <c r="CQ27" s="1994"/>
      <c r="CR27" s="1994"/>
      <c r="CS27" s="1994"/>
      <c r="CT27" s="1994"/>
      <c r="CU27" s="1994"/>
      <c r="CV27" s="1994"/>
      <c r="CW27" s="1994"/>
      <c r="CX27" s="1994"/>
      <c r="CY27" s="1994"/>
      <c r="CZ27" s="1994"/>
      <c r="DA27" s="1994"/>
      <c r="DB27" s="1994"/>
      <c r="DC27" s="1994"/>
      <c r="DD27" s="1994"/>
      <c r="DE27" s="1994"/>
      <c r="DF27" s="1994"/>
      <c r="DG27" s="1994"/>
      <c r="DH27" s="1994"/>
      <c r="DI27" s="1994"/>
      <c r="DJ27" s="1994"/>
      <c r="DK27" s="1994"/>
      <c r="DL27" s="1994"/>
      <c r="DM27" s="1994"/>
      <c r="DN27" s="1994"/>
      <c r="DO27" s="1995"/>
      <c r="DP27" s="1994"/>
      <c r="DQ27" s="1994"/>
      <c r="DR27" s="1996"/>
      <c r="DS27" s="1996"/>
      <c r="DT27" s="1996"/>
      <c r="DU27" s="1996"/>
      <c r="DV27" s="1996"/>
      <c r="DW27" s="1996"/>
      <c r="DX27" s="1996"/>
      <c r="DY27" s="1996"/>
      <c r="DZ27" s="1996"/>
      <c r="EA27" s="1996"/>
      <c r="EB27" s="1996"/>
      <c r="EC27" s="1996"/>
      <c r="ED27" s="1996"/>
      <c r="EE27" s="1620"/>
      <c r="EF27" s="1620"/>
      <c r="FF27" s="1616"/>
    </row>
    <row r="28" spans="1:162" hidden="1" outlineLevel="2">
      <c r="A28" s="1619" t="s">
        <v>1267</v>
      </c>
      <c r="B28" s="1619" t="s">
        <v>2051</v>
      </c>
      <c r="C28" s="1619" t="s">
        <v>2090</v>
      </c>
      <c r="D28" s="1619"/>
      <c r="E28" s="1994">
        <f>E16+'Classic Rimini '!$G$43</f>
        <v>3600</v>
      </c>
      <c r="F28" s="1994">
        <f>F16+'Classic Rimini '!$H$43</f>
        <v>2000</v>
      </c>
      <c r="G28" s="1994"/>
      <c r="H28" s="1994"/>
      <c r="I28" s="1994" t="e">
        <f>I16+'Classic Rimini '!#REF!</f>
        <v>#REF!</v>
      </c>
      <c r="J28" s="1994"/>
      <c r="K28" s="1994"/>
      <c r="L28" s="1994">
        <f t="shared" si="31"/>
        <v>2000</v>
      </c>
      <c r="M28" s="1994">
        <f t="shared" si="31"/>
        <v>0</v>
      </c>
      <c r="N28" s="1994"/>
      <c r="O28" s="1994"/>
      <c r="P28" s="1994"/>
      <c r="Q28" s="1994"/>
      <c r="R28" s="1994"/>
      <c r="S28" s="1994"/>
      <c r="T28" s="1994"/>
      <c r="U28" s="1994"/>
      <c r="V28" s="1994"/>
      <c r="W28" s="1994"/>
      <c r="X28" s="1994"/>
      <c r="Y28" s="1994"/>
      <c r="Z28" s="1994"/>
      <c r="AA28" s="1994"/>
      <c r="AB28" s="1994"/>
      <c r="AC28" s="1994"/>
      <c r="AD28" s="1994"/>
      <c r="AE28" s="1994"/>
      <c r="AF28" s="1994"/>
      <c r="AG28" s="1994"/>
      <c r="AH28" s="1994"/>
      <c r="AI28" s="1994"/>
      <c r="AJ28" s="1994"/>
      <c r="AK28" s="1994"/>
      <c r="AL28" s="1994"/>
      <c r="AM28" s="1994"/>
      <c r="AN28" s="1994"/>
      <c r="AO28" s="1994"/>
      <c r="AP28" s="1994"/>
      <c r="AQ28" s="1994"/>
      <c r="AR28" s="1994"/>
      <c r="AS28" s="1994"/>
      <c r="AT28" s="1994"/>
      <c r="AU28" s="1994"/>
      <c r="AV28" s="1994"/>
      <c r="AW28" s="1994"/>
      <c r="AX28" s="1994"/>
      <c r="AY28" s="1994"/>
      <c r="AZ28" s="1994"/>
      <c r="BA28" s="1994"/>
      <c r="BB28" s="1994"/>
      <c r="BC28" s="1994"/>
      <c r="BD28" s="1994"/>
      <c r="BE28" s="1994"/>
      <c r="BF28" s="1994"/>
      <c r="BG28" s="1994"/>
      <c r="BH28" s="1994"/>
      <c r="BI28" s="1994"/>
      <c r="BJ28" s="1994"/>
      <c r="BK28" s="1994"/>
      <c r="BL28" s="1994"/>
      <c r="BM28" s="1994"/>
      <c r="BN28" s="1994"/>
      <c r="BO28" s="1994"/>
      <c r="BP28" s="1994"/>
      <c r="BQ28" s="1994"/>
      <c r="BR28" s="1994"/>
      <c r="BS28" s="1994"/>
      <c r="BT28" s="1994"/>
      <c r="BU28" s="1994"/>
      <c r="BV28" s="1994"/>
      <c r="BW28" s="1994"/>
      <c r="BX28" s="1994"/>
      <c r="BY28" s="1994"/>
      <c r="BZ28" s="1994"/>
      <c r="CA28" s="1994"/>
      <c r="CB28" s="1994" t="e">
        <f>$CB$25</f>
        <v>#REF!</v>
      </c>
      <c r="CC28" s="1994">
        <f t="shared" si="32"/>
        <v>0</v>
      </c>
      <c r="CD28" s="1994">
        <f>$CD$25</f>
        <v>2200</v>
      </c>
      <c r="CE28" s="1994" t="e">
        <f>$CE$25</f>
        <v>#REF!</v>
      </c>
      <c r="CF28" s="1994">
        <f>$CF$25</f>
        <v>1650</v>
      </c>
      <c r="CG28" s="1994"/>
      <c r="CH28" s="1994"/>
      <c r="CI28" s="1994"/>
      <c r="CJ28" s="1994"/>
      <c r="CK28" s="1994"/>
      <c r="CL28" s="1994"/>
      <c r="CM28" s="1994"/>
      <c r="CN28" s="1994"/>
      <c r="CO28" s="1994"/>
      <c r="CP28" s="1994"/>
      <c r="CQ28" s="1994"/>
      <c r="CR28" s="1994"/>
      <c r="CS28" s="1994"/>
      <c r="CT28" s="1994"/>
      <c r="CU28" s="1994"/>
      <c r="CV28" s="1994"/>
      <c r="CW28" s="1994"/>
      <c r="CX28" s="1994"/>
      <c r="CY28" s="1994"/>
      <c r="CZ28" s="1994"/>
      <c r="DA28" s="1994"/>
      <c r="DB28" s="1994"/>
      <c r="DC28" s="1994"/>
      <c r="DD28" s="1994"/>
      <c r="DE28" s="1994"/>
      <c r="DF28" s="1994"/>
      <c r="DG28" s="1994"/>
      <c r="DH28" s="1994"/>
      <c r="DI28" s="1994"/>
      <c r="DJ28" s="1994"/>
      <c r="DK28" s="1994"/>
      <c r="DL28" s="1994"/>
      <c r="DM28" s="1994"/>
      <c r="DN28" s="1994"/>
      <c r="DO28" s="1995"/>
      <c r="DP28" s="1994"/>
      <c r="DQ28" s="1994"/>
      <c r="DR28" s="1996"/>
      <c r="DS28" s="1996"/>
      <c r="DT28" s="1996"/>
      <c r="DU28" s="1996"/>
      <c r="DV28" s="1996"/>
      <c r="DW28" s="1996"/>
      <c r="DX28" s="1996"/>
      <c r="DY28" s="1996"/>
      <c r="DZ28" s="1996"/>
      <c r="EA28" s="1996"/>
      <c r="EB28" s="1996"/>
      <c r="EC28" s="1996"/>
      <c r="ED28" s="1996"/>
      <c r="EE28" s="1620"/>
      <c r="EF28" s="1620"/>
      <c r="FF28" s="1616"/>
    </row>
    <row r="29" spans="1:162" hidden="1" outlineLevel="2">
      <c r="A29" s="1619" t="s">
        <v>1267</v>
      </c>
      <c r="B29" s="1619" t="s">
        <v>2052</v>
      </c>
      <c r="C29" s="1619" t="s">
        <v>2090</v>
      </c>
      <c r="D29" s="1619"/>
      <c r="E29" s="1994"/>
      <c r="F29" s="1994"/>
      <c r="G29" s="1994">
        <f>G17+'Classic Rimini '!$I$43</f>
        <v>2000</v>
      </c>
      <c r="H29" s="1994"/>
      <c r="I29" s="1994"/>
      <c r="J29" s="1994"/>
      <c r="K29" s="1994"/>
      <c r="L29" s="1994">
        <f>F29</f>
        <v>0</v>
      </c>
      <c r="M29" s="1994">
        <f>G29</f>
        <v>2000</v>
      </c>
      <c r="N29" s="1994"/>
      <c r="O29" s="1994"/>
      <c r="P29" s="1994"/>
      <c r="Q29" s="1994"/>
      <c r="R29" s="1994"/>
      <c r="S29" s="1994"/>
      <c r="T29" s="1994"/>
      <c r="U29" s="1994"/>
      <c r="V29" s="1994"/>
      <c r="W29" s="1994"/>
      <c r="X29" s="1994"/>
      <c r="Y29" s="1994"/>
      <c r="Z29" s="1994"/>
      <c r="AA29" s="1994"/>
      <c r="AB29" s="1994"/>
      <c r="AC29" s="1994"/>
      <c r="AD29" s="1994"/>
      <c r="AE29" s="1994"/>
      <c r="AF29" s="1994"/>
      <c r="AG29" s="1994"/>
      <c r="AH29" s="1994"/>
      <c r="AI29" s="1994"/>
      <c r="AJ29" s="1994"/>
      <c r="AK29" s="1994"/>
      <c r="AL29" s="1994"/>
      <c r="AM29" s="1994"/>
      <c r="AN29" s="1994"/>
      <c r="AO29" s="1994"/>
      <c r="AP29" s="1994"/>
      <c r="AQ29" s="1994"/>
      <c r="AR29" s="1994"/>
      <c r="AS29" s="1994"/>
      <c r="AT29" s="1994"/>
      <c r="AU29" s="1994"/>
      <c r="AV29" s="1994"/>
      <c r="AW29" s="1994"/>
      <c r="AX29" s="1994"/>
      <c r="AY29" s="1994"/>
      <c r="AZ29" s="1994"/>
      <c r="BA29" s="1994"/>
      <c r="BB29" s="1994"/>
      <c r="BC29" s="1994"/>
      <c r="BD29" s="1994"/>
      <c r="BE29" s="1994"/>
      <c r="BF29" s="1994"/>
      <c r="BG29" s="1994"/>
      <c r="BH29" s="1994"/>
      <c r="BI29" s="1994"/>
      <c r="BJ29" s="1994"/>
      <c r="BK29" s="1994"/>
      <c r="BL29" s="1994"/>
      <c r="BM29" s="1994"/>
      <c r="BN29" s="1994"/>
      <c r="BO29" s="1994"/>
      <c r="BP29" s="1994"/>
      <c r="BQ29" s="1994"/>
      <c r="BR29" s="1994"/>
      <c r="BS29" s="1994"/>
      <c r="BT29" s="1994"/>
      <c r="BU29" s="1994"/>
      <c r="BV29" s="1994"/>
      <c r="BW29" s="1994"/>
      <c r="BX29" s="1994"/>
      <c r="BY29" s="1994"/>
      <c r="BZ29" s="1994"/>
      <c r="CA29" s="1994"/>
      <c r="CB29" s="1994"/>
      <c r="CC29" s="1994">
        <f t="shared" si="32"/>
        <v>0</v>
      </c>
      <c r="CD29" s="1994"/>
      <c r="CE29" s="1994"/>
      <c r="CF29" s="1994"/>
      <c r="CG29" s="1994"/>
      <c r="CH29" s="1994"/>
      <c r="CI29" s="1994"/>
      <c r="CJ29" s="1994"/>
      <c r="CK29" s="1994"/>
      <c r="CL29" s="1994"/>
      <c r="CM29" s="1994"/>
      <c r="CN29" s="1994"/>
      <c r="CO29" s="1994"/>
      <c r="CP29" s="1994"/>
      <c r="CQ29" s="1994"/>
      <c r="CR29" s="1994"/>
      <c r="CS29" s="1994"/>
      <c r="CT29" s="1994"/>
      <c r="CU29" s="1994"/>
      <c r="CV29" s="1994"/>
      <c r="CW29" s="1994"/>
      <c r="CX29" s="1994"/>
      <c r="CY29" s="1994"/>
      <c r="CZ29" s="1994"/>
      <c r="DA29" s="1994"/>
      <c r="DB29" s="1994"/>
      <c r="DC29" s="1994"/>
      <c r="DD29" s="1994"/>
      <c r="DE29" s="1994"/>
      <c r="DF29" s="1994"/>
      <c r="DG29" s="1994"/>
      <c r="DH29" s="1994"/>
      <c r="DI29" s="1994"/>
      <c r="DJ29" s="1994"/>
      <c r="DK29" s="1994"/>
      <c r="DL29" s="1994"/>
      <c r="DM29" s="1994"/>
      <c r="DN29" s="1994"/>
      <c r="DO29" s="1995"/>
      <c r="DP29" s="1994"/>
      <c r="DQ29" s="1994"/>
      <c r="DR29" s="1996"/>
      <c r="DS29" s="1996"/>
      <c r="DT29" s="1996"/>
      <c r="DU29" s="1996"/>
      <c r="DV29" s="1996"/>
      <c r="DW29" s="1996"/>
      <c r="DX29" s="1996"/>
      <c r="DY29" s="1996"/>
      <c r="DZ29" s="1996"/>
      <c r="EA29" s="1996"/>
      <c r="EB29" s="1996"/>
      <c r="EC29" s="1996"/>
      <c r="ED29" s="1996"/>
      <c r="EE29" s="1620"/>
      <c r="EF29" s="1620"/>
      <c r="FF29" s="1616"/>
    </row>
    <row r="30" spans="1:162" hidden="1" outlineLevel="2">
      <c r="A30" s="1619" t="s">
        <v>1267</v>
      </c>
      <c r="B30" s="1619" t="s">
        <v>2053</v>
      </c>
      <c r="C30" s="1619" t="s">
        <v>2090</v>
      </c>
      <c r="D30" s="1619"/>
      <c r="E30" s="1994"/>
      <c r="F30" s="1994"/>
      <c r="G30" s="1994"/>
      <c r="H30" s="1994">
        <f>H18+'Classic Rimini '!$K$43</f>
        <v>650</v>
      </c>
      <c r="I30" s="1994"/>
      <c r="J30" s="1994"/>
      <c r="K30" s="1994"/>
      <c r="L30" s="1994">
        <f>F30</f>
        <v>0</v>
      </c>
      <c r="M30" s="1994">
        <f>G30</f>
        <v>0</v>
      </c>
      <c r="N30" s="1994"/>
      <c r="O30" s="1994"/>
      <c r="P30" s="1994"/>
      <c r="Q30" s="1994"/>
      <c r="R30" s="1994"/>
      <c r="S30" s="1994"/>
      <c r="T30" s="1994"/>
      <c r="U30" s="1994"/>
      <c r="V30" s="1994"/>
      <c r="W30" s="1994"/>
      <c r="X30" s="1994"/>
      <c r="Y30" s="1994"/>
      <c r="Z30" s="1994"/>
      <c r="AA30" s="1994"/>
      <c r="AB30" s="1994"/>
      <c r="AC30" s="1994"/>
      <c r="AD30" s="1994"/>
      <c r="AE30" s="1994"/>
      <c r="AF30" s="1994"/>
      <c r="AG30" s="1994"/>
      <c r="AH30" s="1994"/>
      <c r="AI30" s="1994"/>
      <c r="AJ30" s="1994"/>
      <c r="AK30" s="1994"/>
      <c r="AL30" s="1994"/>
      <c r="AM30" s="1994"/>
      <c r="AN30" s="1994"/>
      <c r="AO30" s="1994"/>
      <c r="AP30" s="1994"/>
      <c r="AQ30" s="1994"/>
      <c r="AR30" s="1994"/>
      <c r="AS30" s="1994"/>
      <c r="AT30" s="1994"/>
      <c r="AU30" s="1994"/>
      <c r="AV30" s="1994"/>
      <c r="AW30" s="1994"/>
      <c r="AX30" s="1994"/>
      <c r="AY30" s="1994"/>
      <c r="AZ30" s="1994"/>
      <c r="BA30" s="1994"/>
      <c r="BB30" s="1994"/>
      <c r="BC30" s="1994"/>
      <c r="BD30" s="1994"/>
      <c r="BE30" s="1994"/>
      <c r="BF30" s="1994"/>
      <c r="BG30" s="1994"/>
      <c r="BH30" s="1994"/>
      <c r="BI30" s="1994"/>
      <c r="BJ30" s="1994"/>
      <c r="BK30" s="1994"/>
      <c r="BL30" s="1994"/>
      <c r="BM30" s="1994"/>
      <c r="BN30" s="1994"/>
      <c r="BO30" s="1994"/>
      <c r="BP30" s="1994"/>
      <c r="BQ30" s="1994"/>
      <c r="BR30" s="1994"/>
      <c r="BS30" s="1994"/>
      <c r="BT30" s="1994"/>
      <c r="BU30" s="1994"/>
      <c r="BV30" s="1994"/>
      <c r="BW30" s="1994"/>
      <c r="BX30" s="1994"/>
      <c r="BY30" s="1994"/>
      <c r="BZ30" s="1994"/>
      <c r="CA30" s="1994"/>
      <c r="CB30" s="1994"/>
      <c r="CC30" s="1994">
        <f t="shared" si="32"/>
        <v>0</v>
      </c>
      <c r="CD30" s="1994"/>
      <c r="CE30" s="1994"/>
      <c r="CF30" s="1994"/>
      <c r="CG30" s="1994"/>
      <c r="CH30" s="1994"/>
      <c r="CI30" s="1994"/>
      <c r="CJ30" s="1994"/>
      <c r="CK30" s="1994"/>
      <c r="CL30" s="1994"/>
      <c r="CM30" s="1994"/>
      <c r="CN30" s="1994"/>
      <c r="CO30" s="1994"/>
      <c r="CP30" s="1994"/>
      <c r="CQ30" s="1994"/>
      <c r="CR30" s="1994"/>
      <c r="CS30" s="1994"/>
      <c r="CT30" s="1994"/>
      <c r="CU30" s="1994"/>
      <c r="CV30" s="1994"/>
      <c r="CW30" s="1994"/>
      <c r="CX30" s="1994"/>
      <c r="CY30" s="1994"/>
      <c r="CZ30" s="1994"/>
      <c r="DA30" s="1994"/>
      <c r="DB30" s="1994"/>
      <c r="DC30" s="1994"/>
      <c r="DD30" s="1994"/>
      <c r="DE30" s="1994"/>
      <c r="DF30" s="1994"/>
      <c r="DG30" s="1994"/>
      <c r="DH30" s="1994"/>
      <c r="DI30" s="1994"/>
      <c r="DJ30" s="1994"/>
      <c r="DK30" s="1994"/>
      <c r="DL30" s="1994"/>
      <c r="DM30" s="1994"/>
      <c r="DN30" s="1994"/>
      <c r="DO30" s="1995"/>
      <c r="DP30" s="1994"/>
      <c r="DQ30" s="1994"/>
      <c r="DR30" s="1996"/>
      <c r="DS30" s="1996"/>
      <c r="DT30" s="1996"/>
      <c r="DU30" s="1996"/>
      <c r="DV30" s="1996"/>
      <c r="DW30" s="1996"/>
      <c r="DX30" s="1996"/>
      <c r="DY30" s="1996"/>
      <c r="DZ30" s="1996"/>
      <c r="EA30" s="1996"/>
      <c r="EB30" s="1996"/>
      <c r="EC30" s="1996"/>
      <c r="ED30" s="1996"/>
      <c r="EE30" s="1620"/>
      <c r="EF30" s="1620"/>
      <c r="FF30" s="1616"/>
    </row>
    <row r="31" spans="1:162" hidden="1" outlineLevel="2">
      <c r="A31" s="1619" t="s">
        <v>1267</v>
      </c>
      <c r="B31" s="1619" t="s">
        <v>2054</v>
      </c>
      <c r="C31" s="1619" t="s">
        <v>2090</v>
      </c>
      <c r="D31" s="1619"/>
      <c r="E31" s="1994"/>
      <c r="F31" s="1994"/>
      <c r="G31" s="1994"/>
      <c r="H31" s="1994"/>
      <c r="I31" s="1994"/>
      <c r="J31" s="1994"/>
      <c r="K31" s="1994"/>
      <c r="L31" s="1994"/>
      <c r="M31" s="1994"/>
      <c r="N31" s="1994"/>
      <c r="O31" s="1994"/>
      <c r="P31" s="1994"/>
      <c r="Q31" s="1994"/>
      <c r="R31" s="1994"/>
      <c r="S31" s="1994"/>
      <c r="T31" s="1994"/>
      <c r="U31" s="1994"/>
      <c r="V31" s="1994"/>
      <c r="W31" s="1994"/>
      <c r="X31" s="1994"/>
      <c r="Y31" s="1994"/>
      <c r="Z31" s="1994"/>
      <c r="AA31" s="1994"/>
      <c r="AB31" s="1994"/>
      <c r="AC31" s="1994"/>
      <c r="AD31" s="1994"/>
      <c r="AE31" s="1994"/>
      <c r="AF31" s="1994"/>
      <c r="AG31" s="1994"/>
      <c r="AH31" s="1994"/>
      <c r="AI31" s="1994"/>
      <c r="AJ31" s="1994"/>
      <c r="AK31" s="1994"/>
      <c r="AL31" s="1994"/>
      <c r="AM31" s="1994"/>
      <c r="AN31" s="1994"/>
      <c r="AO31" s="1994"/>
      <c r="AP31" s="1994"/>
      <c r="AQ31" s="1994"/>
      <c r="AR31" s="1994"/>
      <c r="AS31" s="1994"/>
      <c r="AT31" s="1994"/>
      <c r="AU31" s="1994"/>
      <c r="AV31" s="1994"/>
      <c r="AW31" s="1994"/>
      <c r="AX31" s="1994"/>
      <c r="AY31" s="1994"/>
      <c r="AZ31" s="1994"/>
      <c r="BA31" s="1994"/>
      <c r="BB31" s="1994"/>
      <c r="BC31" s="1994"/>
      <c r="BD31" s="1994"/>
      <c r="BE31" s="1994"/>
      <c r="BF31" s="1994"/>
      <c r="BG31" s="1994"/>
      <c r="BH31" s="1994"/>
      <c r="BI31" s="1994"/>
      <c r="BJ31" s="1994"/>
      <c r="BK31" s="1994"/>
      <c r="BL31" s="1994"/>
      <c r="BM31" s="1994"/>
      <c r="BN31" s="1994"/>
      <c r="BO31" s="1994"/>
      <c r="BP31" s="1994"/>
      <c r="BQ31" s="1994"/>
      <c r="BR31" s="1994"/>
      <c r="BS31" s="1994"/>
      <c r="BT31" s="1994"/>
      <c r="BU31" s="1994"/>
      <c r="BV31" s="1994"/>
      <c r="BW31" s="1994"/>
      <c r="BX31" s="1994"/>
      <c r="BY31" s="1994"/>
      <c r="BZ31" s="1994"/>
      <c r="CA31" s="1994"/>
      <c r="CB31" s="1994"/>
      <c r="CC31" s="1994">
        <f t="shared" si="32"/>
        <v>0</v>
      </c>
      <c r="CD31" s="1994"/>
      <c r="CE31" s="1994"/>
      <c r="CF31" s="1994"/>
      <c r="CG31" s="1994"/>
      <c r="CH31" s="1994" t="e">
        <f>CH19+#REF!</f>
        <v>#REF!</v>
      </c>
      <c r="CI31" s="1994"/>
      <c r="CJ31" s="1994"/>
      <c r="CK31" s="1994"/>
      <c r="CL31" s="1994"/>
      <c r="CM31" s="1994"/>
      <c r="CN31" s="1994"/>
      <c r="CO31" s="1994"/>
      <c r="CP31" s="1994"/>
      <c r="CQ31" s="1994"/>
      <c r="CR31" s="1994"/>
      <c r="CS31" s="1994"/>
      <c r="CT31" s="1994"/>
      <c r="CU31" s="1994"/>
      <c r="CV31" s="1994"/>
      <c r="CW31" s="1994"/>
      <c r="CX31" s="1994"/>
      <c r="CY31" s="1994"/>
      <c r="CZ31" s="1994"/>
      <c r="DA31" s="1994"/>
      <c r="DB31" s="1994"/>
      <c r="DC31" s="1994"/>
      <c r="DD31" s="1994"/>
      <c r="DE31" s="1994"/>
      <c r="DF31" s="1994"/>
      <c r="DG31" s="1994"/>
      <c r="DH31" s="1994"/>
      <c r="DI31" s="1994"/>
      <c r="DJ31" s="1994"/>
      <c r="DK31" s="1994"/>
      <c r="DL31" s="1994"/>
      <c r="DM31" s="1994"/>
      <c r="DN31" s="1994"/>
      <c r="DO31" s="1995"/>
      <c r="DP31" s="1994"/>
      <c r="DQ31" s="1994"/>
      <c r="DR31" s="1996"/>
      <c r="DS31" s="1996"/>
      <c r="DT31" s="1996"/>
      <c r="DU31" s="1996"/>
      <c r="DV31" s="1996"/>
      <c r="DW31" s="1996"/>
      <c r="DX31" s="1996"/>
      <c r="DY31" s="1996"/>
      <c r="DZ31" s="1996"/>
      <c r="EA31" s="1996"/>
      <c r="EB31" s="1996"/>
      <c r="EC31" s="1996"/>
      <c r="ED31" s="1996"/>
      <c r="EE31" s="1620"/>
      <c r="EF31" s="1620"/>
      <c r="FF31" s="1616"/>
    </row>
    <row r="32" spans="1:162" hidden="1" outlineLevel="2">
      <c r="A32" s="1619" t="s">
        <v>1267</v>
      </c>
      <c r="B32" s="1619" t="s">
        <v>2055</v>
      </c>
      <c r="C32" s="1619" t="s">
        <v>2090</v>
      </c>
      <c r="D32" s="1619"/>
      <c r="E32" s="1994"/>
      <c r="F32" s="1994"/>
      <c r="G32" s="1994"/>
      <c r="H32" s="1994"/>
      <c r="I32" s="1994"/>
      <c r="J32" s="1994"/>
      <c r="K32" s="1994"/>
      <c r="L32" s="1994"/>
      <c r="M32" s="1994"/>
      <c r="N32" s="1994"/>
      <c r="O32" s="1994"/>
      <c r="P32" s="1994"/>
      <c r="Q32" s="1994"/>
      <c r="R32" s="1994"/>
      <c r="S32" s="1994"/>
      <c r="T32" s="1994"/>
      <c r="U32" s="1994"/>
      <c r="V32" s="1994"/>
      <c r="W32" s="1994"/>
      <c r="X32" s="1994"/>
      <c r="Y32" s="1994"/>
      <c r="Z32" s="1994"/>
      <c r="AA32" s="1994"/>
      <c r="AB32" s="1994"/>
      <c r="AC32" s="1994"/>
      <c r="AD32" s="1994"/>
      <c r="AE32" s="1994"/>
      <c r="AF32" s="1994"/>
      <c r="AG32" s="1994"/>
      <c r="AH32" s="1994"/>
      <c r="AI32" s="1994"/>
      <c r="AJ32" s="1994"/>
      <c r="AK32" s="1994"/>
      <c r="AL32" s="1994"/>
      <c r="AM32" s="1994"/>
      <c r="AN32" s="1994"/>
      <c r="AO32" s="1994"/>
      <c r="AP32" s="1994"/>
      <c r="AQ32" s="1994"/>
      <c r="AR32" s="1994"/>
      <c r="AS32" s="1994"/>
      <c r="AT32" s="1994"/>
      <c r="AU32" s="1994"/>
      <c r="AV32" s="1994"/>
      <c r="AW32" s="1994"/>
      <c r="AX32" s="1994"/>
      <c r="AY32" s="1994"/>
      <c r="AZ32" s="1994"/>
      <c r="BA32" s="1994"/>
      <c r="BB32" s="1994"/>
      <c r="BC32" s="1994"/>
      <c r="BD32" s="1994"/>
      <c r="BE32" s="1994"/>
      <c r="BF32" s="1994"/>
      <c r="BG32" s="1994"/>
      <c r="BH32" s="1994"/>
      <c r="BI32" s="1994"/>
      <c r="BJ32" s="1994"/>
      <c r="BK32" s="1994"/>
      <c r="BL32" s="1994"/>
      <c r="BM32" s="1994"/>
      <c r="BN32" s="1994"/>
      <c r="BO32" s="1994"/>
      <c r="BP32" s="1994"/>
      <c r="BQ32" s="1994"/>
      <c r="BR32" s="1994"/>
      <c r="BS32" s="1994"/>
      <c r="BT32" s="1994"/>
      <c r="BU32" s="1994"/>
      <c r="BV32" s="1994"/>
      <c r="BW32" s="1994"/>
      <c r="BX32" s="1994"/>
      <c r="BY32" s="1994"/>
      <c r="BZ32" s="1994"/>
      <c r="CA32" s="1994"/>
      <c r="CB32" s="1994"/>
      <c r="CC32" s="1994">
        <f t="shared" si="32"/>
        <v>0</v>
      </c>
      <c r="CD32" s="1994"/>
      <c r="CE32" s="1994" t="e">
        <f>$CE$25</f>
        <v>#REF!</v>
      </c>
      <c r="CF32" s="1994">
        <f>$CF$25</f>
        <v>1650</v>
      </c>
      <c r="CG32" s="1994"/>
      <c r="CH32" s="1994">
        <v>4200</v>
      </c>
      <c r="CI32" s="1994"/>
      <c r="CJ32" s="1994"/>
      <c r="CK32" s="1994"/>
      <c r="CL32" s="1994"/>
      <c r="CM32" s="1994"/>
      <c r="CN32" s="1994"/>
      <c r="CO32" s="1994"/>
      <c r="CP32" s="1994"/>
      <c r="CQ32" s="1994"/>
      <c r="CR32" s="1994"/>
      <c r="CS32" s="1994"/>
      <c r="CT32" s="1994"/>
      <c r="CU32" s="1994"/>
      <c r="CV32" s="1994"/>
      <c r="CW32" s="1994"/>
      <c r="CX32" s="1994"/>
      <c r="CY32" s="1994"/>
      <c r="CZ32" s="1994"/>
      <c r="DA32" s="1994"/>
      <c r="DB32" s="1994"/>
      <c r="DC32" s="1994"/>
      <c r="DD32" s="1994"/>
      <c r="DE32" s="1994"/>
      <c r="DF32" s="1994"/>
      <c r="DG32" s="1994"/>
      <c r="DH32" s="1994"/>
      <c r="DI32" s="1994"/>
      <c r="DJ32" s="1994"/>
      <c r="DK32" s="1994"/>
      <c r="DL32" s="1994"/>
      <c r="DM32" s="1994"/>
      <c r="DN32" s="1994"/>
      <c r="DO32" s="1995"/>
      <c r="DP32" s="1994"/>
      <c r="DQ32" s="1994"/>
      <c r="DR32" s="1996"/>
      <c r="DS32" s="1996"/>
      <c r="DT32" s="1996"/>
      <c r="DU32" s="1996"/>
      <c r="DV32" s="1996"/>
      <c r="DW32" s="1996"/>
      <c r="DX32" s="1996"/>
      <c r="DY32" s="1996"/>
      <c r="DZ32" s="1996"/>
      <c r="EA32" s="1996"/>
      <c r="EB32" s="1996"/>
      <c r="EC32" s="1996"/>
      <c r="ED32" s="1996"/>
      <c r="EE32" s="1620"/>
      <c r="EF32" s="1620"/>
      <c r="FF32" s="1616"/>
    </row>
    <row r="33" spans="1:162" hidden="1" outlineLevel="2">
      <c r="A33" s="1619" t="s">
        <v>1267</v>
      </c>
      <c r="B33" s="1619" t="s">
        <v>2056</v>
      </c>
      <c r="C33" s="1619" t="s">
        <v>2090</v>
      </c>
      <c r="D33" s="1619"/>
      <c r="E33" s="1994"/>
      <c r="F33" s="1994"/>
      <c r="G33" s="1994"/>
      <c r="H33" s="1994" t="s">
        <v>5</v>
      </c>
      <c r="I33" s="1994"/>
      <c r="J33" s="1994"/>
      <c r="K33" s="1994"/>
      <c r="L33" s="1994"/>
      <c r="M33" s="1994"/>
      <c r="N33" s="1994"/>
      <c r="O33" s="1994"/>
      <c r="P33" s="1994"/>
      <c r="Q33" s="1994"/>
      <c r="R33" s="1994"/>
      <c r="S33" s="1994"/>
      <c r="T33" s="1994"/>
      <c r="U33" s="1994"/>
      <c r="V33" s="1994"/>
      <c r="W33" s="1994"/>
      <c r="X33" s="1994"/>
      <c r="Y33" s="1994"/>
      <c r="Z33" s="1994"/>
      <c r="AA33" s="1994"/>
      <c r="AB33" s="1994"/>
      <c r="AC33" s="1994"/>
      <c r="AD33" s="1994"/>
      <c r="AE33" s="1994"/>
      <c r="AF33" s="1994"/>
      <c r="AG33" s="1994"/>
      <c r="AH33" s="1994"/>
      <c r="AI33" s="1994"/>
      <c r="AJ33" s="1994"/>
      <c r="AK33" s="1994"/>
      <c r="AL33" s="1994"/>
      <c r="AM33" s="1994"/>
      <c r="AN33" s="1994"/>
      <c r="AO33" s="1994"/>
      <c r="AP33" s="1994"/>
      <c r="AQ33" s="1994"/>
      <c r="AR33" s="1994"/>
      <c r="AS33" s="1994"/>
      <c r="AT33" s="1994"/>
      <c r="AU33" s="1994"/>
      <c r="AV33" s="1994"/>
      <c r="AW33" s="1994"/>
      <c r="AX33" s="1994"/>
      <c r="AY33" s="1994"/>
      <c r="AZ33" s="1994"/>
      <c r="BA33" s="1994"/>
      <c r="BB33" s="1994"/>
      <c r="BC33" s="1994"/>
      <c r="BD33" s="1994"/>
      <c r="BE33" s="1994"/>
      <c r="BF33" s="1994"/>
      <c r="BG33" s="1994"/>
      <c r="BH33" s="1994"/>
      <c r="BI33" s="1994"/>
      <c r="BJ33" s="1994"/>
      <c r="BK33" s="1994"/>
      <c r="BL33" s="1994"/>
      <c r="BM33" s="1994"/>
      <c r="BN33" s="1994"/>
      <c r="BO33" s="1994"/>
      <c r="BP33" s="1994"/>
      <c r="BQ33" s="1994"/>
      <c r="BR33" s="1994"/>
      <c r="BS33" s="1994"/>
      <c r="BT33" s="1994"/>
      <c r="BU33" s="1994"/>
      <c r="BV33" s="1994"/>
      <c r="BW33" s="1994"/>
      <c r="BX33" s="1994"/>
      <c r="BY33" s="1994"/>
      <c r="BZ33" s="1994"/>
      <c r="CA33" s="1994"/>
      <c r="CB33" s="1994" t="s">
        <v>5</v>
      </c>
      <c r="CC33" s="1994" t="s">
        <v>5</v>
      </c>
      <c r="CD33" s="1994"/>
      <c r="CE33" s="1994" t="e">
        <f>$CE$25</f>
        <v>#REF!</v>
      </c>
      <c r="CF33" s="1994">
        <f>$CF$25</f>
        <v>1650</v>
      </c>
      <c r="CG33" s="1994"/>
      <c r="CH33" s="1994" t="s">
        <v>5</v>
      </c>
      <c r="CI33" s="1994" t="s">
        <v>5</v>
      </c>
      <c r="CJ33" s="1994" t="s">
        <v>5</v>
      </c>
      <c r="CK33" s="1994"/>
      <c r="CL33" s="1994"/>
      <c r="CM33" s="1994"/>
      <c r="CN33" s="1994"/>
      <c r="CO33" s="1994"/>
      <c r="CP33" s="1994"/>
      <c r="CQ33" s="1994"/>
      <c r="CR33" s="1994"/>
      <c r="CS33" s="1994"/>
      <c r="CT33" s="1994"/>
      <c r="CU33" s="1994"/>
      <c r="CV33" s="1994"/>
      <c r="CW33" s="1994"/>
      <c r="CX33" s="1994"/>
      <c r="CY33" s="1994"/>
      <c r="CZ33" s="1994"/>
      <c r="DA33" s="1994"/>
      <c r="DB33" s="1994"/>
      <c r="DC33" s="1994"/>
      <c r="DD33" s="1994"/>
      <c r="DE33" s="1994"/>
      <c r="DF33" s="1994"/>
      <c r="DG33" s="1994"/>
      <c r="DH33" s="1994"/>
      <c r="DI33" s="1994"/>
      <c r="DJ33" s="1994"/>
      <c r="DK33" s="1994"/>
      <c r="DL33" s="1994"/>
      <c r="DM33" s="1994"/>
      <c r="DN33" s="1994"/>
      <c r="DO33" s="1995"/>
      <c r="DP33" s="1994"/>
      <c r="DQ33" s="1994"/>
      <c r="DR33" s="1996"/>
      <c r="DS33" s="1996"/>
      <c r="DT33" s="1996"/>
      <c r="DU33" s="1996"/>
      <c r="DV33" s="1996"/>
      <c r="DW33" s="1996"/>
      <c r="DX33" s="1996"/>
      <c r="DY33" s="1996"/>
      <c r="DZ33" s="1996"/>
      <c r="EA33" s="1996"/>
      <c r="EB33" s="1996"/>
      <c r="EC33" s="1996"/>
      <c r="ED33" s="1996"/>
      <c r="EE33" s="1620"/>
      <c r="EF33" s="1620"/>
      <c r="FF33" s="1616"/>
    </row>
    <row r="34" spans="1:162" hidden="1" outlineLevel="2">
      <c r="A34" s="1621" t="s">
        <v>1267</v>
      </c>
      <c r="B34" s="1621" t="s">
        <v>2057</v>
      </c>
      <c r="C34" s="1621" t="s">
        <v>2090</v>
      </c>
      <c r="D34" s="1621"/>
      <c r="E34" s="1997"/>
      <c r="F34" s="1997"/>
      <c r="G34" s="1997"/>
      <c r="H34" s="1997"/>
      <c r="I34" s="1997"/>
      <c r="J34" s="1997"/>
      <c r="K34" s="1997"/>
      <c r="L34" s="1997">
        <f>F34</f>
        <v>0</v>
      </c>
      <c r="M34" s="1997"/>
      <c r="N34" s="1997"/>
      <c r="O34" s="1997"/>
      <c r="P34" s="1997"/>
      <c r="Q34" s="1997"/>
      <c r="R34" s="1997"/>
      <c r="S34" s="1997"/>
      <c r="T34" s="1997"/>
      <c r="U34" s="1997"/>
      <c r="V34" s="1997"/>
      <c r="W34" s="1997"/>
      <c r="X34" s="1997"/>
      <c r="Y34" s="1997"/>
      <c r="Z34" s="1997"/>
      <c r="AA34" s="1997"/>
      <c r="AB34" s="1997"/>
      <c r="AC34" s="1997"/>
      <c r="AD34" s="1997"/>
      <c r="AE34" s="1997"/>
      <c r="AF34" s="1997"/>
      <c r="AG34" s="1997"/>
      <c r="AH34" s="1997"/>
      <c r="AI34" s="1997"/>
      <c r="AJ34" s="1997"/>
      <c r="AK34" s="1997"/>
      <c r="AL34" s="1997"/>
      <c r="AM34" s="1997"/>
      <c r="AN34" s="1997"/>
      <c r="AO34" s="1997"/>
      <c r="AP34" s="1997"/>
      <c r="AQ34" s="1997"/>
      <c r="AR34" s="1997"/>
      <c r="AS34" s="1997"/>
      <c r="AT34" s="1997"/>
      <c r="AU34" s="1997"/>
      <c r="AV34" s="1997"/>
      <c r="AW34" s="1997"/>
      <c r="AX34" s="1997"/>
      <c r="AY34" s="1997"/>
      <c r="AZ34" s="1997"/>
      <c r="BA34" s="1997"/>
      <c r="BB34" s="1997"/>
      <c r="BC34" s="1997"/>
      <c r="BD34" s="1997"/>
      <c r="BE34" s="1997"/>
      <c r="BF34" s="1997"/>
      <c r="BG34" s="1997"/>
      <c r="BH34" s="1997"/>
      <c r="BI34" s="1997"/>
      <c r="BJ34" s="1997"/>
      <c r="BK34" s="1997"/>
      <c r="BL34" s="1997"/>
      <c r="BM34" s="1997"/>
      <c r="BN34" s="1997">
        <f>BN22+Fusion!G25</f>
        <v>2900</v>
      </c>
      <c r="BO34" s="1997">
        <f>BO22+Fusion!H25</f>
        <v>2000</v>
      </c>
      <c r="BP34" s="1997">
        <f>BP22+Fusion!H25</f>
        <v>2000</v>
      </c>
      <c r="BQ34" s="1997">
        <f>BQ22+Fusion!J25</f>
        <v>2000</v>
      </c>
      <c r="BR34" s="1997"/>
      <c r="BS34" s="1997"/>
      <c r="BT34" s="1997"/>
      <c r="BU34" s="1997"/>
      <c r="BV34" s="1997"/>
      <c r="BW34" s="1997"/>
      <c r="BX34" s="1997"/>
      <c r="BY34" s="1997"/>
      <c r="BZ34" s="1997"/>
      <c r="CA34" s="1997"/>
      <c r="CB34" s="1997"/>
      <c r="CC34" s="1997"/>
      <c r="CD34" s="1997"/>
      <c r="CE34" s="1997"/>
      <c r="CF34" s="1997"/>
      <c r="CG34" s="1997"/>
      <c r="CH34" s="1997"/>
      <c r="CI34" s="1997"/>
      <c r="CJ34" s="1997"/>
      <c r="CK34" s="1997"/>
      <c r="CL34" s="1997"/>
      <c r="CM34" s="1997"/>
      <c r="CN34" s="1997"/>
      <c r="CO34" s="1997"/>
      <c r="CP34" s="1997"/>
      <c r="CQ34" s="1997"/>
      <c r="CR34" s="1997"/>
      <c r="CS34" s="1997"/>
      <c r="CT34" s="1997"/>
      <c r="CU34" s="1997"/>
      <c r="CV34" s="1997"/>
      <c r="CW34" s="1997"/>
      <c r="CX34" s="1997"/>
      <c r="CY34" s="1997"/>
      <c r="CZ34" s="1997"/>
      <c r="DA34" s="1997"/>
      <c r="DB34" s="1997"/>
      <c r="DC34" s="1997"/>
      <c r="DD34" s="1997"/>
      <c r="DE34" s="1997"/>
      <c r="DF34" s="1997"/>
      <c r="DG34" s="1997"/>
      <c r="DH34" s="1997"/>
      <c r="DI34" s="1997"/>
      <c r="DJ34" s="1997"/>
      <c r="DK34" s="1997"/>
      <c r="DL34" s="1997"/>
      <c r="DM34" s="1997"/>
      <c r="DN34" s="1997"/>
      <c r="DO34" s="1998"/>
      <c r="DP34" s="1997"/>
      <c r="DQ34" s="1997"/>
      <c r="DR34" s="1999"/>
      <c r="DS34" s="1999"/>
      <c r="DT34" s="1999"/>
      <c r="DU34" s="1999"/>
      <c r="DV34" s="1999"/>
      <c r="DW34" s="1999"/>
      <c r="DX34" s="1999"/>
      <c r="DY34" s="1999"/>
      <c r="DZ34" s="1999"/>
      <c r="EA34" s="1999"/>
      <c r="EB34" s="1999"/>
      <c r="EC34" s="1999"/>
      <c r="ED34" s="1999"/>
      <c r="EE34" s="1622"/>
      <c r="EF34" s="1622"/>
      <c r="EG34" s="1622"/>
      <c r="EH34" s="1622"/>
      <c r="EI34" s="1622"/>
      <c r="EJ34" s="1622"/>
      <c r="EK34" s="1622"/>
      <c r="EL34" s="1622"/>
      <c r="EM34" s="1622"/>
      <c r="EN34" s="1622"/>
      <c r="EO34" s="1622"/>
      <c r="EP34" s="1622"/>
      <c r="EQ34" s="1622"/>
      <c r="ER34" s="1622"/>
      <c r="ES34" s="1622"/>
      <c r="FF34" s="1616"/>
    </row>
    <row r="35" spans="1:162" hidden="1" outlineLevel="2">
      <c r="A35" s="1621" t="s">
        <v>1267</v>
      </c>
      <c r="B35" s="1621" t="s">
        <v>2058</v>
      </c>
      <c r="C35" s="1621" t="s">
        <v>2090</v>
      </c>
      <c r="D35" s="1621"/>
      <c r="E35" s="1997"/>
      <c r="F35" s="1997"/>
      <c r="G35" s="1997"/>
      <c r="H35" s="1997"/>
      <c r="I35" s="1997"/>
      <c r="J35" s="1997"/>
      <c r="K35" s="1997"/>
      <c r="L35" s="1997"/>
      <c r="M35" s="1997"/>
      <c r="N35" s="1997"/>
      <c r="O35" s="1997"/>
      <c r="P35" s="1997"/>
      <c r="Q35" s="1997"/>
      <c r="R35" s="1997"/>
      <c r="S35" s="1997"/>
      <c r="T35" s="1997"/>
      <c r="U35" s="1997"/>
      <c r="V35" s="1997"/>
      <c r="W35" s="1997"/>
      <c r="X35" s="1997"/>
      <c r="Y35" s="1997"/>
      <c r="Z35" s="1997"/>
      <c r="AA35" s="1997"/>
      <c r="AB35" s="1997"/>
      <c r="AC35" s="1997"/>
      <c r="AD35" s="1997"/>
      <c r="AE35" s="1997"/>
      <c r="AF35" s="1997"/>
      <c r="AG35" s="1997"/>
      <c r="AH35" s="1997"/>
      <c r="AI35" s="1997"/>
      <c r="AJ35" s="1997"/>
      <c r="AK35" s="1997"/>
      <c r="AL35" s="1997"/>
      <c r="AM35" s="1997"/>
      <c r="AN35" s="1997"/>
      <c r="AO35" s="1997"/>
      <c r="AP35" s="1997"/>
      <c r="AQ35" s="1997"/>
      <c r="AR35" s="1997"/>
      <c r="AS35" s="1997"/>
      <c r="AT35" s="1997"/>
      <c r="AU35" s="1997"/>
      <c r="AV35" s="1997"/>
      <c r="AW35" s="1997"/>
      <c r="AX35" s="1997"/>
      <c r="AY35" s="1997"/>
      <c r="AZ35" s="1997"/>
      <c r="BA35" s="1997"/>
      <c r="BB35" s="1997"/>
      <c r="BC35" s="1997"/>
      <c r="BD35" s="1997"/>
      <c r="BE35" s="1997"/>
      <c r="BF35" s="1997"/>
      <c r="BG35" s="1997"/>
      <c r="BH35" s="1997"/>
      <c r="BI35" s="1997"/>
      <c r="BJ35" s="1997"/>
      <c r="BK35" s="1997"/>
      <c r="BL35" s="1997"/>
      <c r="BM35" s="1997"/>
      <c r="BN35" s="1997"/>
      <c r="BO35" s="1997"/>
      <c r="BP35" s="1997"/>
      <c r="BQ35" s="1997"/>
      <c r="BR35" s="1997">
        <f>BR23+Fusion!J25</f>
        <v>2000</v>
      </c>
      <c r="BS35" s="1997"/>
      <c r="BT35" s="1997"/>
      <c r="BU35" s="1997"/>
      <c r="BV35" s="1997"/>
      <c r="BW35" s="1997"/>
      <c r="BX35" s="1997"/>
      <c r="BY35" s="1997"/>
      <c r="BZ35" s="1997"/>
      <c r="CA35" s="1997"/>
      <c r="CB35" s="1997"/>
      <c r="CC35" s="1997"/>
      <c r="CD35" s="1997"/>
      <c r="CE35" s="1997"/>
      <c r="CF35" s="1997"/>
      <c r="CG35" s="1997"/>
      <c r="CH35" s="1997"/>
      <c r="CI35" s="1997"/>
      <c r="CJ35" s="1997"/>
      <c r="CK35" s="1997"/>
      <c r="CL35" s="1997"/>
      <c r="CM35" s="1997"/>
      <c r="CN35" s="1997"/>
      <c r="CO35" s="1997"/>
      <c r="CP35" s="1997"/>
      <c r="CQ35" s="1997"/>
      <c r="CR35" s="1997"/>
      <c r="CS35" s="1997"/>
      <c r="CT35" s="1997"/>
      <c r="CU35" s="1997"/>
      <c r="CV35" s="1997"/>
      <c r="CW35" s="1997"/>
      <c r="CX35" s="1997"/>
      <c r="CY35" s="1997"/>
      <c r="CZ35" s="1997"/>
      <c r="DA35" s="1997"/>
      <c r="DB35" s="1997"/>
      <c r="DC35" s="1997"/>
      <c r="DD35" s="1997"/>
      <c r="DE35" s="1997"/>
      <c r="DF35" s="1997"/>
      <c r="DG35" s="1997"/>
      <c r="DH35" s="1997"/>
      <c r="DI35" s="1997"/>
      <c r="DJ35" s="1997"/>
      <c r="DK35" s="1997"/>
      <c r="DL35" s="1997"/>
      <c r="DM35" s="1997"/>
      <c r="DN35" s="1997"/>
      <c r="DO35" s="1998"/>
      <c r="DP35" s="1997"/>
      <c r="DQ35" s="1997"/>
      <c r="DR35" s="1999"/>
      <c r="DS35" s="1999"/>
      <c r="DT35" s="1999"/>
      <c r="DU35" s="1999"/>
      <c r="DV35" s="1999"/>
      <c r="DW35" s="1999"/>
      <c r="DX35" s="1999"/>
      <c r="DY35" s="1999"/>
      <c r="DZ35" s="1999"/>
      <c r="EA35" s="1999"/>
      <c r="EB35" s="1999"/>
      <c r="EC35" s="1999"/>
      <c r="ED35" s="1999"/>
      <c r="EE35" s="1622"/>
      <c r="EF35" s="1622"/>
      <c r="EG35" s="1622"/>
      <c r="EH35" s="1622"/>
      <c r="EI35" s="1622"/>
      <c r="EJ35" s="1622"/>
      <c r="EK35" s="1622"/>
      <c r="EL35" s="1622"/>
      <c r="EM35" s="1622"/>
      <c r="EN35" s="1622"/>
      <c r="EO35" s="1622"/>
      <c r="EP35" s="1622"/>
      <c r="EQ35" s="1622"/>
      <c r="ER35" s="1622"/>
      <c r="ES35" s="1622"/>
      <c r="FF35" s="1616"/>
    </row>
    <row r="36" spans="1:162" hidden="1" outlineLevel="2">
      <c r="A36" s="1619" t="s">
        <v>1267</v>
      </c>
      <c r="B36" s="1619" t="s">
        <v>2059</v>
      </c>
      <c r="C36" s="1619" t="s">
        <v>2091</v>
      </c>
      <c r="D36" s="1619"/>
      <c r="E36" s="1994">
        <f t="shared" ref="E36:M36" si="33">E24</f>
        <v>3600</v>
      </c>
      <c r="F36" s="1994">
        <f t="shared" si="33"/>
        <v>2000</v>
      </c>
      <c r="G36" s="1994">
        <f t="shared" si="33"/>
        <v>2000</v>
      </c>
      <c r="H36" s="1994">
        <f t="shared" si="33"/>
        <v>0</v>
      </c>
      <c r="I36" s="1994" t="e">
        <f t="shared" si="33"/>
        <v>#REF!</v>
      </c>
      <c r="J36" s="1994" t="e">
        <f t="shared" si="33"/>
        <v>#REF!</v>
      </c>
      <c r="K36" s="1994" t="e">
        <f t="shared" si="33"/>
        <v>#REF!</v>
      </c>
      <c r="L36" s="1994">
        <f t="shared" si="33"/>
        <v>2000</v>
      </c>
      <c r="M36" s="1994">
        <f t="shared" si="33"/>
        <v>2000</v>
      </c>
      <c r="N36" s="1994"/>
      <c r="O36" s="1994"/>
      <c r="P36" s="1994"/>
      <c r="Q36" s="1994"/>
      <c r="R36" s="1994"/>
      <c r="S36" s="1994"/>
      <c r="T36" s="1994"/>
      <c r="U36" s="1994"/>
      <c r="V36" s="1994"/>
      <c r="W36" s="1994"/>
      <c r="X36" s="1994"/>
      <c r="Y36" s="1994"/>
      <c r="Z36" s="1994"/>
      <c r="AA36" s="1994"/>
      <c r="AB36" s="1994"/>
      <c r="AC36" s="1994"/>
      <c r="AD36" s="1994"/>
      <c r="AE36" s="1994"/>
      <c r="AF36" s="1994"/>
      <c r="AG36" s="1994"/>
      <c r="AH36" s="1994"/>
      <c r="AI36" s="1994"/>
      <c r="AJ36" s="1994"/>
      <c r="AK36" s="1994"/>
      <c r="AL36" s="1994"/>
      <c r="AM36" s="1994"/>
      <c r="AN36" s="1994"/>
      <c r="AO36" s="1994"/>
      <c r="AP36" s="1994" t="e">
        <f>AP24</f>
        <v>#REF!</v>
      </c>
      <c r="AQ36" s="1994">
        <f>AQ24</f>
        <v>700</v>
      </c>
      <c r="AR36" s="1994"/>
      <c r="AS36" s="1994"/>
      <c r="AT36" s="1994"/>
      <c r="AU36" s="1994"/>
      <c r="AV36" s="1994"/>
      <c r="AW36" s="1994"/>
      <c r="AX36" s="1994"/>
      <c r="AY36" s="1994"/>
      <c r="AZ36" s="1994"/>
      <c r="BA36" s="1994"/>
      <c r="BB36" s="1994"/>
      <c r="BC36" s="1994"/>
      <c r="BD36" s="1994"/>
      <c r="BE36" s="1994"/>
      <c r="BF36" s="1994"/>
      <c r="BG36" s="1994"/>
      <c r="BH36" s="1994"/>
      <c r="BI36" s="1994"/>
      <c r="BJ36" s="1994"/>
      <c r="BK36" s="1994"/>
      <c r="BL36" s="1994"/>
      <c r="BM36" s="1994"/>
      <c r="BN36" s="1994">
        <f>BN24</f>
        <v>0</v>
      </c>
      <c r="BO36" s="1994">
        <f t="shared" ref="BO36:CA36" si="34">BO24</f>
        <v>0</v>
      </c>
      <c r="BP36" s="1994">
        <f t="shared" si="34"/>
        <v>0</v>
      </c>
      <c r="BQ36" s="1994">
        <f t="shared" si="34"/>
        <v>0</v>
      </c>
      <c r="BR36" s="1994">
        <f t="shared" si="34"/>
        <v>0</v>
      </c>
      <c r="BS36" s="1994">
        <f t="shared" si="34"/>
        <v>0</v>
      </c>
      <c r="BT36" s="1994">
        <f t="shared" si="34"/>
        <v>0</v>
      </c>
      <c r="BU36" s="1994">
        <f t="shared" si="34"/>
        <v>0</v>
      </c>
      <c r="BV36" s="1994">
        <f t="shared" si="34"/>
        <v>0</v>
      </c>
      <c r="BW36" s="1994">
        <f t="shared" si="34"/>
        <v>0</v>
      </c>
      <c r="BX36" s="1994">
        <f t="shared" si="34"/>
        <v>0</v>
      </c>
      <c r="BY36" s="1994">
        <f t="shared" si="34"/>
        <v>0</v>
      </c>
      <c r="BZ36" s="1994">
        <f t="shared" si="34"/>
        <v>0</v>
      </c>
      <c r="CA36" s="1994">
        <f t="shared" si="34"/>
        <v>0</v>
      </c>
      <c r="CB36" s="1994">
        <f t="shared" ref="CB36:CJ36" si="35">CB24</f>
        <v>0</v>
      </c>
      <c r="CC36" s="1994">
        <f t="shared" si="35"/>
        <v>0</v>
      </c>
      <c r="CD36" s="1994">
        <f t="shared" si="35"/>
        <v>0</v>
      </c>
      <c r="CE36" s="1994">
        <f t="shared" si="35"/>
        <v>0</v>
      </c>
      <c r="CF36" s="1994">
        <f t="shared" si="35"/>
        <v>0</v>
      </c>
      <c r="CG36" s="1994">
        <f t="shared" si="35"/>
        <v>0</v>
      </c>
      <c r="CH36" s="1994">
        <f t="shared" si="35"/>
        <v>0</v>
      </c>
      <c r="CI36" s="1994">
        <f t="shared" si="35"/>
        <v>0</v>
      </c>
      <c r="CJ36" s="1994">
        <f t="shared" si="35"/>
        <v>0</v>
      </c>
      <c r="CK36" s="1994"/>
      <c r="CL36" s="1994"/>
      <c r="CM36" s="1994"/>
      <c r="CN36" s="1994"/>
      <c r="CO36" s="1994"/>
      <c r="CP36" s="1994"/>
      <c r="CQ36" s="1994"/>
      <c r="CR36" s="1994"/>
      <c r="CS36" s="1994"/>
      <c r="CT36" s="1994"/>
      <c r="CU36" s="1994"/>
      <c r="CV36" s="1994"/>
      <c r="CW36" s="1994"/>
      <c r="CX36" s="1994"/>
      <c r="CY36" s="1994"/>
      <c r="CZ36" s="1994"/>
      <c r="DA36" s="1994"/>
      <c r="DB36" s="1994"/>
      <c r="DC36" s="1994"/>
      <c r="DD36" s="1994"/>
      <c r="DE36" s="1994"/>
      <c r="DF36" s="1994"/>
      <c r="DG36" s="1994"/>
      <c r="DH36" s="1994"/>
      <c r="DI36" s="1994"/>
      <c r="DJ36" s="1994"/>
      <c r="DK36" s="1994"/>
      <c r="DL36" s="1994"/>
      <c r="DM36" s="1994"/>
      <c r="DN36" s="1994"/>
      <c r="DO36" s="1995"/>
      <c r="DP36" s="1994"/>
      <c r="DQ36" s="1994"/>
      <c r="DR36" s="1996"/>
      <c r="DS36" s="1996"/>
      <c r="DT36" s="1996"/>
      <c r="DU36" s="1996"/>
      <c r="DV36" s="1996"/>
      <c r="DW36" s="1996"/>
      <c r="DX36" s="1996"/>
      <c r="DY36" s="1996"/>
      <c r="DZ36" s="1996"/>
      <c r="EA36" s="1996"/>
      <c r="EB36" s="1996"/>
      <c r="EC36" s="1996"/>
      <c r="ED36" s="1996"/>
      <c r="EE36" s="1620"/>
      <c r="EF36" s="1620"/>
      <c r="FF36" s="1616"/>
    </row>
    <row r="37" spans="1:162" hidden="1" outlineLevel="2">
      <c r="A37" s="1619" t="s">
        <v>1267</v>
      </c>
      <c r="B37" s="1619" t="s">
        <v>2048</v>
      </c>
      <c r="C37" s="1619" t="s">
        <v>2091</v>
      </c>
      <c r="D37" s="1619"/>
      <c r="E37" s="1994">
        <f t="shared" ref="E37:M37" si="36">E25</f>
        <v>3600</v>
      </c>
      <c r="F37" s="1994">
        <f t="shared" si="36"/>
        <v>2000</v>
      </c>
      <c r="G37" s="1994">
        <f t="shared" si="36"/>
        <v>2000</v>
      </c>
      <c r="H37" s="1994">
        <f t="shared" si="36"/>
        <v>650</v>
      </c>
      <c r="I37" s="1994" t="e">
        <f t="shared" si="36"/>
        <v>#REF!</v>
      </c>
      <c r="J37" s="1994">
        <f t="shared" si="36"/>
        <v>0</v>
      </c>
      <c r="K37" s="1994">
        <f t="shared" si="36"/>
        <v>0</v>
      </c>
      <c r="L37" s="1994">
        <f t="shared" si="36"/>
        <v>2000</v>
      </c>
      <c r="M37" s="1994">
        <f t="shared" si="36"/>
        <v>2000</v>
      </c>
      <c r="N37" s="1994"/>
      <c r="O37" s="1994"/>
      <c r="P37" s="1994"/>
      <c r="Q37" s="1994"/>
      <c r="R37" s="1994"/>
      <c r="S37" s="1994"/>
      <c r="T37" s="1994"/>
      <c r="U37" s="1994"/>
      <c r="V37" s="1994"/>
      <c r="W37" s="1994"/>
      <c r="X37" s="1994"/>
      <c r="Y37" s="1994"/>
      <c r="Z37" s="1994"/>
      <c r="AA37" s="1994"/>
      <c r="AB37" s="1994"/>
      <c r="AC37" s="1994"/>
      <c r="AD37" s="1994"/>
      <c r="AE37" s="1994"/>
      <c r="AF37" s="1994"/>
      <c r="AG37" s="1994"/>
      <c r="AH37" s="1994"/>
      <c r="AI37" s="1994"/>
      <c r="AJ37" s="1994"/>
      <c r="AK37" s="1994"/>
      <c r="AL37" s="1994"/>
      <c r="AM37" s="1994"/>
      <c r="AN37" s="1994"/>
      <c r="AO37" s="1994"/>
      <c r="AP37" s="1994"/>
      <c r="AQ37" s="1994"/>
      <c r="AR37" s="1994"/>
      <c r="AS37" s="1994"/>
      <c r="AT37" s="1994"/>
      <c r="AU37" s="1994"/>
      <c r="AV37" s="1994"/>
      <c r="AW37" s="1994"/>
      <c r="AX37" s="1994"/>
      <c r="AY37" s="1994"/>
      <c r="AZ37" s="1994"/>
      <c r="BA37" s="1994"/>
      <c r="BB37" s="1994"/>
      <c r="BC37" s="1994"/>
      <c r="BD37" s="1994"/>
      <c r="BE37" s="1994"/>
      <c r="BF37" s="1994"/>
      <c r="BG37" s="1994"/>
      <c r="BH37" s="1994"/>
      <c r="BI37" s="1994"/>
      <c r="BJ37" s="1994"/>
      <c r="BK37" s="1994"/>
      <c r="BL37" s="1994"/>
      <c r="BM37" s="1994"/>
      <c r="BN37" s="1994">
        <f t="shared" ref="BN37:CA45" si="37">BN25</f>
        <v>2900</v>
      </c>
      <c r="BO37" s="1994">
        <f t="shared" si="37"/>
        <v>2000</v>
      </c>
      <c r="BP37" s="1994">
        <f t="shared" si="37"/>
        <v>0</v>
      </c>
      <c r="BQ37" s="1994">
        <f t="shared" si="37"/>
        <v>0</v>
      </c>
      <c r="BR37" s="1994">
        <f t="shared" si="37"/>
        <v>0</v>
      </c>
      <c r="BS37" s="1994">
        <f t="shared" si="37"/>
        <v>0</v>
      </c>
      <c r="BT37" s="1994">
        <f t="shared" si="37"/>
        <v>0</v>
      </c>
      <c r="BU37" s="1994">
        <f t="shared" si="37"/>
        <v>0</v>
      </c>
      <c r="BV37" s="1994">
        <f t="shared" si="37"/>
        <v>0</v>
      </c>
      <c r="BW37" s="1994">
        <f t="shared" si="37"/>
        <v>0</v>
      </c>
      <c r="BX37" s="1994">
        <f t="shared" si="37"/>
        <v>0</v>
      </c>
      <c r="BY37" s="1994">
        <f t="shared" si="37"/>
        <v>0</v>
      </c>
      <c r="BZ37" s="1994">
        <f t="shared" si="37"/>
        <v>0</v>
      </c>
      <c r="CA37" s="1994">
        <f t="shared" si="37"/>
        <v>0</v>
      </c>
      <c r="CB37" s="1994" t="e">
        <f t="shared" ref="CB37:CJ37" si="38">CB25</f>
        <v>#REF!</v>
      </c>
      <c r="CC37" s="1994">
        <f t="shared" si="38"/>
        <v>0</v>
      </c>
      <c r="CD37" s="1994">
        <f t="shared" si="38"/>
        <v>2200</v>
      </c>
      <c r="CE37" s="1994" t="e">
        <f t="shared" si="38"/>
        <v>#REF!</v>
      </c>
      <c r="CF37" s="1994">
        <f t="shared" si="38"/>
        <v>1650</v>
      </c>
      <c r="CG37" s="1994">
        <f t="shared" si="38"/>
        <v>0</v>
      </c>
      <c r="CH37" s="1994" t="e">
        <f t="shared" si="38"/>
        <v>#REF!</v>
      </c>
      <c r="CI37" s="1994" t="e">
        <f t="shared" si="38"/>
        <v>#REF!</v>
      </c>
      <c r="CJ37" s="1994" t="e">
        <f t="shared" si="38"/>
        <v>#REF!</v>
      </c>
      <c r="CK37" s="1994"/>
      <c r="CL37" s="1994"/>
      <c r="CM37" s="1994"/>
      <c r="CN37" s="1994"/>
      <c r="CO37" s="1994"/>
      <c r="CP37" s="1994"/>
      <c r="CQ37" s="1994"/>
      <c r="CR37" s="1994"/>
      <c r="CS37" s="1994"/>
      <c r="CT37" s="1994"/>
      <c r="CU37" s="1994"/>
      <c r="CV37" s="1994"/>
      <c r="CW37" s="1994"/>
      <c r="CX37" s="1994"/>
      <c r="CY37" s="1994"/>
      <c r="CZ37" s="1994"/>
      <c r="DA37" s="1994"/>
      <c r="DB37" s="1994"/>
      <c r="DC37" s="1994"/>
      <c r="DD37" s="1994"/>
      <c r="DE37" s="1994"/>
      <c r="DF37" s="1994"/>
      <c r="DG37" s="1994"/>
      <c r="DH37" s="1994"/>
      <c r="DI37" s="1994"/>
      <c r="DJ37" s="1994"/>
      <c r="DK37" s="1994"/>
      <c r="DL37" s="1994"/>
      <c r="DM37" s="1994"/>
      <c r="DN37" s="1994"/>
      <c r="DO37" s="1995"/>
      <c r="DP37" s="1994"/>
      <c r="DQ37" s="1994"/>
      <c r="DR37" s="1996"/>
      <c r="DS37" s="1996"/>
      <c r="DT37" s="1996"/>
      <c r="DU37" s="1996"/>
      <c r="DV37" s="1996"/>
      <c r="DW37" s="1996"/>
      <c r="DX37" s="1996"/>
      <c r="DY37" s="1996"/>
      <c r="DZ37" s="1996"/>
      <c r="EA37" s="1996"/>
      <c r="EB37" s="1996"/>
      <c r="EC37" s="1996"/>
      <c r="ED37" s="1996"/>
      <c r="EE37" s="1620"/>
      <c r="EF37" s="1620"/>
      <c r="FF37" s="1616"/>
    </row>
    <row r="38" spans="1:162" hidden="1" outlineLevel="2">
      <c r="A38" s="1619" t="s">
        <v>1267</v>
      </c>
      <c r="B38" s="1619" t="s">
        <v>2049</v>
      </c>
      <c r="C38" s="1619" t="s">
        <v>2091</v>
      </c>
      <c r="D38" s="1619"/>
      <c r="E38" s="1994">
        <f t="shared" ref="E38:M38" si="39">E26</f>
        <v>3600</v>
      </c>
      <c r="F38" s="1994">
        <f t="shared" si="39"/>
        <v>2000</v>
      </c>
      <c r="G38" s="1994">
        <f t="shared" si="39"/>
        <v>2000</v>
      </c>
      <c r="H38" s="1994">
        <f t="shared" si="39"/>
        <v>0</v>
      </c>
      <c r="I38" s="1994" t="e">
        <f t="shared" si="39"/>
        <v>#REF!</v>
      </c>
      <c r="J38" s="1994">
        <f t="shared" si="39"/>
        <v>0</v>
      </c>
      <c r="K38" s="1994">
        <f t="shared" si="39"/>
        <v>0</v>
      </c>
      <c r="L38" s="1994">
        <f t="shared" si="39"/>
        <v>2000</v>
      </c>
      <c r="M38" s="1994">
        <f t="shared" si="39"/>
        <v>2000</v>
      </c>
      <c r="N38" s="1994"/>
      <c r="O38" s="1994"/>
      <c r="P38" s="1994"/>
      <c r="Q38" s="1994"/>
      <c r="R38" s="1994"/>
      <c r="S38" s="1994"/>
      <c r="T38" s="1994"/>
      <c r="U38" s="1994"/>
      <c r="V38" s="1994"/>
      <c r="W38" s="1994"/>
      <c r="X38" s="1994"/>
      <c r="Y38" s="1994"/>
      <c r="Z38" s="1994"/>
      <c r="AA38" s="1994"/>
      <c r="AB38" s="1994"/>
      <c r="AC38" s="1994"/>
      <c r="AD38" s="1994"/>
      <c r="AE38" s="1994"/>
      <c r="AF38" s="1994"/>
      <c r="AG38" s="1994"/>
      <c r="AH38" s="1994"/>
      <c r="AI38" s="1994"/>
      <c r="AJ38" s="1994"/>
      <c r="AK38" s="1994"/>
      <c r="AL38" s="1994"/>
      <c r="AM38" s="1994"/>
      <c r="AN38" s="1994"/>
      <c r="AO38" s="1994"/>
      <c r="AP38" s="1994"/>
      <c r="AQ38" s="1994"/>
      <c r="AR38" s="1994"/>
      <c r="AS38" s="1994"/>
      <c r="AT38" s="1994"/>
      <c r="AU38" s="1994"/>
      <c r="AV38" s="1994"/>
      <c r="AW38" s="1994"/>
      <c r="AX38" s="1994"/>
      <c r="AY38" s="1994"/>
      <c r="AZ38" s="1994"/>
      <c r="BA38" s="1994"/>
      <c r="BB38" s="1994"/>
      <c r="BC38" s="1994"/>
      <c r="BD38" s="1994"/>
      <c r="BE38" s="1994"/>
      <c r="BF38" s="1994"/>
      <c r="BG38" s="1994"/>
      <c r="BH38" s="1994"/>
      <c r="BI38" s="1994"/>
      <c r="BJ38" s="1994"/>
      <c r="BK38" s="1994"/>
      <c r="BL38" s="1994"/>
      <c r="BM38" s="1994"/>
      <c r="BN38" s="1994">
        <f t="shared" si="37"/>
        <v>0</v>
      </c>
      <c r="BO38" s="1994">
        <f t="shared" si="37"/>
        <v>0</v>
      </c>
      <c r="BP38" s="1994">
        <f t="shared" si="37"/>
        <v>0</v>
      </c>
      <c r="BQ38" s="1994">
        <f t="shared" si="37"/>
        <v>0</v>
      </c>
      <c r="BR38" s="1994">
        <f t="shared" si="37"/>
        <v>0</v>
      </c>
      <c r="BS38" s="1994">
        <f t="shared" si="37"/>
        <v>0</v>
      </c>
      <c r="BT38" s="1994">
        <f t="shared" si="37"/>
        <v>0</v>
      </c>
      <c r="BU38" s="1994">
        <f t="shared" si="37"/>
        <v>0</v>
      </c>
      <c r="BV38" s="1994">
        <f t="shared" si="37"/>
        <v>0</v>
      </c>
      <c r="BW38" s="1994">
        <f t="shared" si="37"/>
        <v>0</v>
      </c>
      <c r="BX38" s="1994">
        <f t="shared" si="37"/>
        <v>0</v>
      </c>
      <c r="BY38" s="1994">
        <f t="shared" si="37"/>
        <v>0</v>
      </c>
      <c r="BZ38" s="1994">
        <f t="shared" si="37"/>
        <v>0</v>
      </c>
      <c r="CA38" s="1994">
        <f t="shared" si="37"/>
        <v>0</v>
      </c>
      <c r="CB38" s="1994" t="e">
        <f t="shared" ref="CB38:CJ38" si="40">CB26</f>
        <v>#REF!</v>
      </c>
      <c r="CC38" s="1994" t="e">
        <f t="shared" si="40"/>
        <v>#REF!</v>
      </c>
      <c r="CD38" s="1994">
        <f t="shared" si="40"/>
        <v>2200</v>
      </c>
      <c r="CE38" s="1994" t="e">
        <f t="shared" si="40"/>
        <v>#REF!</v>
      </c>
      <c r="CF38" s="1994">
        <f t="shared" si="40"/>
        <v>1650</v>
      </c>
      <c r="CG38" s="1994">
        <f t="shared" si="40"/>
        <v>0</v>
      </c>
      <c r="CH38" s="1994" t="e">
        <f t="shared" si="40"/>
        <v>#REF!</v>
      </c>
      <c r="CI38" s="1994" t="e">
        <f t="shared" si="40"/>
        <v>#REF!</v>
      </c>
      <c r="CJ38" s="1994" t="e">
        <f t="shared" si="40"/>
        <v>#REF!</v>
      </c>
      <c r="CK38" s="1994"/>
      <c r="CL38" s="1994"/>
      <c r="CM38" s="1994"/>
      <c r="CN38" s="1994"/>
      <c r="CO38" s="1994"/>
      <c r="CP38" s="1994"/>
      <c r="CQ38" s="1994"/>
      <c r="CR38" s="1994"/>
      <c r="CS38" s="1994"/>
      <c r="CT38" s="1994"/>
      <c r="CU38" s="1994"/>
      <c r="CV38" s="1994"/>
      <c r="CW38" s="1994"/>
      <c r="CX38" s="1994"/>
      <c r="CY38" s="1994"/>
      <c r="CZ38" s="1994"/>
      <c r="DA38" s="1994"/>
      <c r="DB38" s="1994"/>
      <c r="DC38" s="1994"/>
      <c r="DD38" s="1994"/>
      <c r="DE38" s="1994"/>
      <c r="DF38" s="1994"/>
      <c r="DG38" s="1994"/>
      <c r="DH38" s="1994"/>
      <c r="DI38" s="1994"/>
      <c r="DJ38" s="1994"/>
      <c r="DK38" s="1994"/>
      <c r="DL38" s="1994"/>
      <c r="DM38" s="1994"/>
      <c r="DN38" s="1994"/>
      <c r="DO38" s="1995"/>
      <c r="DP38" s="1994"/>
      <c r="DQ38" s="1994"/>
      <c r="DR38" s="1996"/>
      <c r="DS38" s="1996"/>
      <c r="DT38" s="1996"/>
      <c r="DU38" s="1996"/>
      <c r="DV38" s="1996"/>
      <c r="DW38" s="1996"/>
      <c r="DX38" s="1996"/>
      <c r="DY38" s="1996"/>
      <c r="DZ38" s="1996"/>
      <c r="EA38" s="1996"/>
      <c r="EB38" s="1996"/>
      <c r="EC38" s="1996"/>
      <c r="ED38" s="1996"/>
      <c r="EE38" s="1620"/>
      <c r="EF38" s="1620"/>
      <c r="FF38" s="1616"/>
    </row>
    <row r="39" spans="1:162" hidden="1" outlineLevel="2">
      <c r="A39" s="1619" t="s">
        <v>1267</v>
      </c>
      <c r="B39" s="1619" t="s">
        <v>2050</v>
      </c>
      <c r="C39" s="1619" t="s">
        <v>2091</v>
      </c>
      <c r="D39" s="1619"/>
      <c r="E39" s="1994">
        <f t="shared" ref="E39:M39" si="41">E27</f>
        <v>3600</v>
      </c>
      <c r="F39" s="1994">
        <f t="shared" si="41"/>
        <v>2000</v>
      </c>
      <c r="G39" s="1994">
        <f t="shared" si="41"/>
        <v>2000</v>
      </c>
      <c r="H39" s="1994">
        <f t="shared" si="41"/>
        <v>0</v>
      </c>
      <c r="I39" s="1994" t="e">
        <f t="shared" si="41"/>
        <v>#REF!</v>
      </c>
      <c r="J39" s="1994">
        <f t="shared" si="41"/>
        <v>0</v>
      </c>
      <c r="K39" s="1994">
        <f t="shared" si="41"/>
        <v>0</v>
      </c>
      <c r="L39" s="1994">
        <f t="shared" si="41"/>
        <v>2000</v>
      </c>
      <c r="M39" s="1994">
        <f t="shared" si="41"/>
        <v>2000</v>
      </c>
      <c r="N39" s="1994"/>
      <c r="O39" s="1994"/>
      <c r="P39" s="1994"/>
      <c r="Q39" s="1994"/>
      <c r="R39" s="1994"/>
      <c r="S39" s="1994"/>
      <c r="T39" s="1994"/>
      <c r="U39" s="1994"/>
      <c r="V39" s="1994"/>
      <c r="W39" s="1994"/>
      <c r="X39" s="1994"/>
      <c r="Y39" s="1994"/>
      <c r="Z39" s="1994"/>
      <c r="AA39" s="1994"/>
      <c r="AB39" s="1994"/>
      <c r="AC39" s="1994"/>
      <c r="AD39" s="1994"/>
      <c r="AE39" s="1994"/>
      <c r="AF39" s="1994"/>
      <c r="AG39" s="1994"/>
      <c r="AH39" s="1994"/>
      <c r="AI39" s="1994"/>
      <c r="AJ39" s="1994"/>
      <c r="AK39" s="1994"/>
      <c r="AL39" s="1994"/>
      <c r="AM39" s="1994"/>
      <c r="AN39" s="1994"/>
      <c r="AO39" s="1994"/>
      <c r="AP39" s="1994"/>
      <c r="AQ39" s="1994"/>
      <c r="AR39" s="1994"/>
      <c r="AS39" s="1994"/>
      <c r="AT39" s="1994"/>
      <c r="AU39" s="1994"/>
      <c r="AV39" s="1994"/>
      <c r="AW39" s="1994"/>
      <c r="AX39" s="1994"/>
      <c r="AY39" s="1994"/>
      <c r="AZ39" s="1994"/>
      <c r="BA39" s="1994"/>
      <c r="BB39" s="1994"/>
      <c r="BC39" s="1994"/>
      <c r="BD39" s="1994"/>
      <c r="BE39" s="1994"/>
      <c r="BF39" s="1994"/>
      <c r="BG39" s="1994"/>
      <c r="BH39" s="1994"/>
      <c r="BI39" s="1994"/>
      <c r="BJ39" s="1994"/>
      <c r="BK39" s="1994"/>
      <c r="BL39" s="1994"/>
      <c r="BM39" s="1994"/>
      <c r="BN39" s="1994">
        <f t="shared" si="37"/>
        <v>2900</v>
      </c>
      <c r="BO39" s="1994">
        <f t="shared" si="37"/>
        <v>2000</v>
      </c>
      <c r="BP39" s="1994">
        <f t="shared" si="37"/>
        <v>0</v>
      </c>
      <c r="BQ39" s="1994">
        <f t="shared" si="37"/>
        <v>0</v>
      </c>
      <c r="BR39" s="1994">
        <f t="shared" si="37"/>
        <v>0</v>
      </c>
      <c r="BS39" s="1994">
        <f t="shared" si="37"/>
        <v>0</v>
      </c>
      <c r="BT39" s="1994">
        <f t="shared" si="37"/>
        <v>0</v>
      </c>
      <c r="BU39" s="1994">
        <f t="shared" si="37"/>
        <v>0</v>
      </c>
      <c r="BV39" s="1994">
        <f t="shared" si="37"/>
        <v>0</v>
      </c>
      <c r="BW39" s="1994">
        <f t="shared" si="37"/>
        <v>0</v>
      </c>
      <c r="BX39" s="1994">
        <f t="shared" si="37"/>
        <v>0</v>
      </c>
      <c r="BY39" s="1994">
        <f t="shared" si="37"/>
        <v>0</v>
      </c>
      <c r="BZ39" s="1994">
        <f t="shared" si="37"/>
        <v>0</v>
      </c>
      <c r="CA39" s="1994">
        <f t="shared" si="37"/>
        <v>0</v>
      </c>
      <c r="CB39" s="1994" t="e">
        <f t="shared" ref="CB39:CJ39" si="42">CB27</f>
        <v>#REF!</v>
      </c>
      <c r="CC39" s="1994">
        <f t="shared" si="42"/>
        <v>0</v>
      </c>
      <c r="CD39" s="1994">
        <f t="shared" si="42"/>
        <v>2200</v>
      </c>
      <c r="CE39" s="1994" t="e">
        <f t="shared" si="42"/>
        <v>#REF!</v>
      </c>
      <c r="CF39" s="1994">
        <f t="shared" si="42"/>
        <v>1650</v>
      </c>
      <c r="CG39" s="1994">
        <f t="shared" si="42"/>
        <v>0</v>
      </c>
      <c r="CH39" s="1994" t="e">
        <f t="shared" si="42"/>
        <v>#REF!</v>
      </c>
      <c r="CI39" s="1994" t="e">
        <f t="shared" si="42"/>
        <v>#REF!</v>
      </c>
      <c r="CJ39" s="1994" t="e">
        <f t="shared" si="42"/>
        <v>#REF!</v>
      </c>
      <c r="CK39" s="1994"/>
      <c r="CL39" s="1994"/>
      <c r="CM39" s="1994"/>
      <c r="CN39" s="1994"/>
      <c r="CO39" s="1994"/>
      <c r="CP39" s="1994"/>
      <c r="CQ39" s="1994"/>
      <c r="CR39" s="1994"/>
      <c r="CS39" s="1994"/>
      <c r="CT39" s="1994"/>
      <c r="CU39" s="1994"/>
      <c r="CV39" s="1994"/>
      <c r="CW39" s="1994"/>
      <c r="CX39" s="1994"/>
      <c r="CY39" s="1994"/>
      <c r="CZ39" s="1994"/>
      <c r="DA39" s="1994"/>
      <c r="DB39" s="1994"/>
      <c r="DC39" s="1994"/>
      <c r="DD39" s="1994"/>
      <c r="DE39" s="1994"/>
      <c r="DF39" s="1994"/>
      <c r="DG39" s="1994"/>
      <c r="DH39" s="1994"/>
      <c r="DI39" s="1994"/>
      <c r="DJ39" s="1994"/>
      <c r="DK39" s="1994"/>
      <c r="DL39" s="1994"/>
      <c r="DM39" s="1994"/>
      <c r="DN39" s="1994"/>
      <c r="DO39" s="1995"/>
      <c r="DP39" s="1994"/>
      <c r="DQ39" s="1994"/>
      <c r="DR39" s="1996"/>
      <c r="DS39" s="1996"/>
      <c r="DT39" s="1996"/>
      <c r="DU39" s="1996"/>
      <c r="DV39" s="1996"/>
      <c r="DW39" s="1996"/>
      <c r="DX39" s="1996"/>
      <c r="DY39" s="1996"/>
      <c r="DZ39" s="1996"/>
      <c r="EA39" s="1996"/>
      <c r="EB39" s="1996"/>
      <c r="EC39" s="1996"/>
      <c r="ED39" s="1996"/>
      <c r="EE39" s="1620"/>
      <c r="EF39" s="1620"/>
      <c r="FF39" s="1616"/>
    </row>
    <row r="40" spans="1:162" hidden="1" outlineLevel="2">
      <c r="A40" s="1619" t="s">
        <v>1267</v>
      </c>
      <c r="B40" s="1619" t="s">
        <v>2051</v>
      </c>
      <c r="C40" s="1619" t="s">
        <v>2091</v>
      </c>
      <c r="D40" s="1619"/>
      <c r="E40" s="1994">
        <f t="shared" ref="E40:M40" si="43">E28</f>
        <v>3600</v>
      </c>
      <c r="F40" s="1994">
        <f t="shared" si="43"/>
        <v>2000</v>
      </c>
      <c r="G40" s="1994">
        <f t="shared" si="43"/>
        <v>0</v>
      </c>
      <c r="H40" s="1994">
        <f t="shared" si="43"/>
        <v>0</v>
      </c>
      <c r="I40" s="1994" t="e">
        <f t="shared" si="43"/>
        <v>#REF!</v>
      </c>
      <c r="J40" s="1994">
        <f t="shared" si="43"/>
        <v>0</v>
      </c>
      <c r="K40" s="1994">
        <f t="shared" si="43"/>
        <v>0</v>
      </c>
      <c r="L40" s="1994">
        <f t="shared" si="43"/>
        <v>2000</v>
      </c>
      <c r="M40" s="1994">
        <f t="shared" si="43"/>
        <v>0</v>
      </c>
      <c r="N40" s="1994"/>
      <c r="O40" s="1994"/>
      <c r="P40" s="1994"/>
      <c r="Q40" s="1994"/>
      <c r="R40" s="1994"/>
      <c r="S40" s="1994"/>
      <c r="T40" s="1994"/>
      <c r="U40" s="1994"/>
      <c r="V40" s="1994"/>
      <c r="W40" s="1994"/>
      <c r="X40" s="1994"/>
      <c r="Y40" s="1994"/>
      <c r="Z40" s="1994"/>
      <c r="AA40" s="1994"/>
      <c r="AB40" s="1994"/>
      <c r="AC40" s="1994"/>
      <c r="AD40" s="1994"/>
      <c r="AE40" s="1994"/>
      <c r="AF40" s="1994"/>
      <c r="AG40" s="1994"/>
      <c r="AH40" s="1994"/>
      <c r="AI40" s="1994"/>
      <c r="AJ40" s="1994"/>
      <c r="AK40" s="1994"/>
      <c r="AL40" s="1994"/>
      <c r="AM40" s="1994"/>
      <c r="AN40" s="1994"/>
      <c r="AO40" s="1994"/>
      <c r="AP40" s="1994"/>
      <c r="AQ40" s="1994"/>
      <c r="AR40" s="1994"/>
      <c r="AS40" s="1994"/>
      <c r="AT40" s="1994"/>
      <c r="AU40" s="1994"/>
      <c r="AV40" s="1994"/>
      <c r="AW40" s="1994"/>
      <c r="AX40" s="1994"/>
      <c r="AY40" s="1994"/>
      <c r="AZ40" s="1994"/>
      <c r="BA40" s="1994"/>
      <c r="BB40" s="1994"/>
      <c r="BC40" s="1994"/>
      <c r="BD40" s="1994"/>
      <c r="BE40" s="1994"/>
      <c r="BF40" s="1994"/>
      <c r="BG40" s="1994"/>
      <c r="BH40" s="1994"/>
      <c r="BI40" s="1994"/>
      <c r="BJ40" s="1994"/>
      <c r="BK40" s="1994"/>
      <c r="BL40" s="1994"/>
      <c r="BM40" s="1994"/>
      <c r="BN40" s="1994">
        <f t="shared" si="37"/>
        <v>0</v>
      </c>
      <c r="BO40" s="1994">
        <f t="shared" si="37"/>
        <v>0</v>
      </c>
      <c r="BP40" s="1994">
        <f t="shared" si="37"/>
        <v>0</v>
      </c>
      <c r="BQ40" s="1994">
        <f t="shared" si="37"/>
        <v>0</v>
      </c>
      <c r="BR40" s="1994">
        <f t="shared" si="37"/>
        <v>0</v>
      </c>
      <c r="BS40" s="1994">
        <f t="shared" si="37"/>
        <v>0</v>
      </c>
      <c r="BT40" s="1994">
        <f t="shared" si="37"/>
        <v>0</v>
      </c>
      <c r="BU40" s="1994">
        <f t="shared" si="37"/>
        <v>0</v>
      </c>
      <c r="BV40" s="1994">
        <f t="shared" si="37"/>
        <v>0</v>
      </c>
      <c r="BW40" s="1994">
        <f t="shared" si="37"/>
        <v>0</v>
      </c>
      <c r="BX40" s="1994">
        <f t="shared" si="37"/>
        <v>0</v>
      </c>
      <c r="BY40" s="1994">
        <f t="shared" si="37"/>
        <v>0</v>
      </c>
      <c r="BZ40" s="1994">
        <f t="shared" si="37"/>
        <v>0</v>
      </c>
      <c r="CA40" s="1994">
        <f t="shared" si="37"/>
        <v>0</v>
      </c>
      <c r="CB40" s="1994" t="e">
        <f t="shared" ref="CB40:CJ40" si="44">CB28</f>
        <v>#REF!</v>
      </c>
      <c r="CC40" s="1994">
        <f t="shared" si="44"/>
        <v>0</v>
      </c>
      <c r="CD40" s="1994">
        <f t="shared" si="44"/>
        <v>2200</v>
      </c>
      <c r="CE40" s="1994" t="e">
        <f t="shared" si="44"/>
        <v>#REF!</v>
      </c>
      <c r="CF40" s="1994">
        <f t="shared" si="44"/>
        <v>1650</v>
      </c>
      <c r="CG40" s="1994">
        <f t="shared" si="44"/>
        <v>0</v>
      </c>
      <c r="CH40" s="1994">
        <f t="shared" si="44"/>
        <v>0</v>
      </c>
      <c r="CI40" s="1994">
        <f t="shared" si="44"/>
        <v>0</v>
      </c>
      <c r="CJ40" s="1994">
        <f t="shared" si="44"/>
        <v>0</v>
      </c>
      <c r="CK40" s="1994"/>
      <c r="CL40" s="1994"/>
      <c r="CM40" s="1994"/>
      <c r="CN40" s="1994"/>
      <c r="CO40" s="1994"/>
      <c r="CP40" s="1994"/>
      <c r="CQ40" s="1994"/>
      <c r="CR40" s="1994"/>
      <c r="CS40" s="1994"/>
      <c r="CT40" s="1994"/>
      <c r="CU40" s="1994"/>
      <c r="CV40" s="1994"/>
      <c r="CW40" s="1994"/>
      <c r="CX40" s="1994"/>
      <c r="CY40" s="1994"/>
      <c r="CZ40" s="1994"/>
      <c r="DA40" s="1994"/>
      <c r="DB40" s="1994"/>
      <c r="DC40" s="1994"/>
      <c r="DD40" s="1994"/>
      <c r="DE40" s="1994"/>
      <c r="DF40" s="1994"/>
      <c r="DG40" s="1994"/>
      <c r="DH40" s="1994"/>
      <c r="DI40" s="1994"/>
      <c r="DJ40" s="1994"/>
      <c r="DK40" s="1994"/>
      <c r="DL40" s="1994"/>
      <c r="DM40" s="1994"/>
      <c r="DN40" s="1994"/>
      <c r="DO40" s="1995"/>
      <c r="DP40" s="1994"/>
      <c r="DQ40" s="1994"/>
      <c r="DR40" s="1996"/>
      <c r="DS40" s="1996"/>
      <c r="DT40" s="1996"/>
      <c r="DU40" s="1996"/>
      <c r="DV40" s="1996"/>
      <c r="DW40" s="1996"/>
      <c r="DX40" s="1996"/>
      <c r="DY40" s="1996"/>
      <c r="DZ40" s="1996"/>
      <c r="EA40" s="1996"/>
      <c r="EB40" s="1996"/>
      <c r="EC40" s="1996"/>
      <c r="ED40" s="1996"/>
      <c r="EE40" s="1620"/>
      <c r="EF40" s="1620"/>
      <c r="FF40" s="1616"/>
    </row>
    <row r="41" spans="1:162" hidden="1" outlineLevel="2">
      <c r="A41" s="1619" t="s">
        <v>1267</v>
      </c>
      <c r="B41" s="1619" t="s">
        <v>2052</v>
      </c>
      <c r="C41" s="1619" t="s">
        <v>2091</v>
      </c>
      <c r="D41" s="1619"/>
      <c r="E41" s="1994">
        <f t="shared" ref="E41:M41" si="45">E29</f>
        <v>0</v>
      </c>
      <c r="F41" s="1994">
        <f t="shared" si="45"/>
        <v>0</v>
      </c>
      <c r="G41" s="1994">
        <f t="shared" si="45"/>
        <v>2000</v>
      </c>
      <c r="H41" s="1994">
        <f t="shared" si="45"/>
        <v>0</v>
      </c>
      <c r="I41" s="1994">
        <f t="shared" si="45"/>
        <v>0</v>
      </c>
      <c r="J41" s="1994">
        <f t="shared" si="45"/>
        <v>0</v>
      </c>
      <c r="K41" s="1994">
        <f t="shared" si="45"/>
        <v>0</v>
      </c>
      <c r="L41" s="1994">
        <f t="shared" si="45"/>
        <v>0</v>
      </c>
      <c r="M41" s="1994">
        <f t="shared" si="45"/>
        <v>2000</v>
      </c>
      <c r="N41" s="1994"/>
      <c r="O41" s="1994"/>
      <c r="P41" s="1994"/>
      <c r="Q41" s="1994"/>
      <c r="R41" s="1994"/>
      <c r="S41" s="1994"/>
      <c r="T41" s="1994"/>
      <c r="U41" s="1994"/>
      <c r="V41" s="1994"/>
      <c r="W41" s="1994"/>
      <c r="X41" s="1994"/>
      <c r="Y41" s="1994"/>
      <c r="Z41" s="1994"/>
      <c r="AA41" s="1994"/>
      <c r="AB41" s="1994"/>
      <c r="AC41" s="1994"/>
      <c r="AD41" s="1994"/>
      <c r="AE41" s="1994"/>
      <c r="AF41" s="1994"/>
      <c r="AG41" s="1994"/>
      <c r="AH41" s="1994"/>
      <c r="AI41" s="1994"/>
      <c r="AJ41" s="1994"/>
      <c r="AK41" s="1994"/>
      <c r="AL41" s="1994"/>
      <c r="AM41" s="1994"/>
      <c r="AN41" s="1994"/>
      <c r="AO41" s="1994"/>
      <c r="AP41" s="1994"/>
      <c r="AQ41" s="1994"/>
      <c r="AR41" s="1994"/>
      <c r="AS41" s="1994"/>
      <c r="AT41" s="1994"/>
      <c r="AU41" s="1994"/>
      <c r="AV41" s="1994"/>
      <c r="AW41" s="1994"/>
      <c r="AX41" s="1994"/>
      <c r="AY41" s="1994"/>
      <c r="AZ41" s="1994"/>
      <c r="BA41" s="1994"/>
      <c r="BB41" s="1994"/>
      <c r="BC41" s="1994"/>
      <c r="BD41" s="1994"/>
      <c r="BE41" s="1994"/>
      <c r="BF41" s="1994"/>
      <c r="BG41" s="1994"/>
      <c r="BH41" s="1994"/>
      <c r="BI41" s="1994"/>
      <c r="BJ41" s="1994"/>
      <c r="BK41" s="1994"/>
      <c r="BL41" s="1994"/>
      <c r="BM41" s="1994"/>
      <c r="BN41" s="1994">
        <f t="shared" si="37"/>
        <v>0</v>
      </c>
      <c r="BO41" s="1994">
        <f t="shared" si="37"/>
        <v>0</v>
      </c>
      <c r="BP41" s="1994">
        <f t="shared" si="37"/>
        <v>0</v>
      </c>
      <c r="BQ41" s="1994">
        <f t="shared" si="37"/>
        <v>0</v>
      </c>
      <c r="BR41" s="1994">
        <f t="shared" si="37"/>
        <v>0</v>
      </c>
      <c r="BS41" s="1994">
        <f t="shared" si="37"/>
        <v>0</v>
      </c>
      <c r="BT41" s="1994">
        <f t="shared" si="37"/>
        <v>0</v>
      </c>
      <c r="BU41" s="1994">
        <f t="shared" si="37"/>
        <v>0</v>
      </c>
      <c r="BV41" s="1994">
        <f t="shared" si="37"/>
        <v>0</v>
      </c>
      <c r="BW41" s="1994">
        <f t="shared" si="37"/>
        <v>0</v>
      </c>
      <c r="BX41" s="1994">
        <f t="shared" si="37"/>
        <v>0</v>
      </c>
      <c r="BY41" s="1994">
        <f t="shared" si="37"/>
        <v>0</v>
      </c>
      <c r="BZ41" s="1994">
        <f t="shared" si="37"/>
        <v>0</v>
      </c>
      <c r="CA41" s="1994">
        <f t="shared" si="37"/>
        <v>0</v>
      </c>
      <c r="CB41" s="1994">
        <f t="shared" ref="CB41:CJ41" si="46">CB29</f>
        <v>0</v>
      </c>
      <c r="CC41" s="1994">
        <f t="shared" si="46"/>
        <v>0</v>
      </c>
      <c r="CD41" s="1994">
        <f t="shared" si="46"/>
        <v>0</v>
      </c>
      <c r="CE41" s="1994">
        <f t="shared" si="46"/>
        <v>0</v>
      </c>
      <c r="CF41" s="1994">
        <f t="shared" si="46"/>
        <v>0</v>
      </c>
      <c r="CG41" s="1994">
        <f t="shared" si="46"/>
        <v>0</v>
      </c>
      <c r="CH41" s="1994">
        <f t="shared" si="46"/>
        <v>0</v>
      </c>
      <c r="CI41" s="1994">
        <f t="shared" si="46"/>
        <v>0</v>
      </c>
      <c r="CJ41" s="1994">
        <f t="shared" si="46"/>
        <v>0</v>
      </c>
      <c r="CK41" s="1994"/>
      <c r="CL41" s="1994"/>
      <c r="CM41" s="1994"/>
      <c r="CN41" s="1994"/>
      <c r="CO41" s="1994"/>
      <c r="CP41" s="1994"/>
      <c r="CQ41" s="1994"/>
      <c r="CR41" s="1994"/>
      <c r="CS41" s="1994"/>
      <c r="CT41" s="1994"/>
      <c r="CU41" s="1994"/>
      <c r="CV41" s="1994"/>
      <c r="CW41" s="1994"/>
      <c r="CX41" s="1994"/>
      <c r="CY41" s="1994"/>
      <c r="CZ41" s="1994"/>
      <c r="DA41" s="1994"/>
      <c r="DB41" s="1994"/>
      <c r="DC41" s="1994"/>
      <c r="DD41" s="1994"/>
      <c r="DE41" s="1994"/>
      <c r="DF41" s="1994"/>
      <c r="DG41" s="1994"/>
      <c r="DH41" s="1994"/>
      <c r="DI41" s="1994"/>
      <c r="DJ41" s="1994"/>
      <c r="DK41" s="1994"/>
      <c r="DL41" s="1994"/>
      <c r="DM41" s="1994"/>
      <c r="DN41" s="1994"/>
      <c r="DO41" s="1995"/>
      <c r="DP41" s="1994"/>
      <c r="DQ41" s="1994"/>
      <c r="DR41" s="1996"/>
      <c r="DS41" s="1996"/>
      <c r="DT41" s="1996"/>
      <c r="DU41" s="1996"/>
      <c r="DV41" s="1996"/>
      <c r="DW41" s="1996"/>
      <c r="DX41" s="1996"/>
      <c r="DY41" s="1996"/>
      <c r="DZ41" s="1996"/>
      <c r="EA41" s="1996"/>
      <c r="EB41" s="1996"/>
      <c r="EC41" s="1996"/>
      <c r="ED41" s="1996"/>
      <c r="EE41" s="1620"/>
      <c r="EF41" s="1620"/>
      <c r="FF41" s="1616"/>
    </row>
    <row r="42" spans="1:162" hidden="1" outlineLevel="2">
      <c r="A42" s="1619" t="s">
        <v>1267</v>
      </c>
      <c r="B42" s="1619" t="s">
        <v>2053</v>
      </c>
      <c r="C42" s="1619" t="s">
        <v>2091</v>
      </c>
      <c r="D42" s="1619"/>
      <c r="E42" s="1994">
        <f t="shared" ref="E42:M42" si="47">E30</f>
        <v>0</v>
      </c>
      <c r="F42" s="1994">
        <f t="shared" si="47"/>
        <v>0</v>
      </c>
      <c r="G42" s="1994">
        <f t="shared" si="47"/>
        <v>0</v>
      </c>
      <c r="H42" s="1994">
        <f t="shared" si="47"/>
        <v>650</v>
      </c>
      <c r="I42" s="1994">
        <f t="shared" si="47"/>
        <v>0</v>
      </c>
      <c r="J42" s="1994">
        <f t="shared" si="47"/>
        <v>0</v>
      </c>
      <c r="K42" s="1994">
        <f t="shared" si="47"/>
        <v>0</v>
      </c>
      <c r="L42" s="1994">
        <f t="shared" si="47"/>
        <v>0</v>
      </c>
      <c r="M42" s="1994">
        <f t="shared" si="47"/>
        <v>0</v>
      </c>
      <c r="N42" s="1994"/>
      <c r="O42" s="1994"/>
      <c r="P42" s="1994"/>
      <c r="Q42" s="1994"/>
      <c r="R42" s="1994"/>
      <c r="S42" s="1994"/>
      <c r="T42" s="1994"/>
      <c r="U42" s="1994"/>
      <c r="V42" s="1994"/>
      <c r="W42" s="1994"/>
      <c r="X42" s="1994"/>
      <c r="Y42" s="1994"/>
      <c r="Z42" s="1994"/>
      <c r="AA42" s="1994"/>
      <c r="AB42" s="1994"/>
      <c r="AC42" s="1994"/>
      <c r="AD42" s="1994"/>
      <c r="AE42" s="1994"/>
      <c r="AF42" s="1994"/>
      <c r="AG42" s="1994"/>
      <c r="AH42" s="1994"/>
      <c r="AI42" s="1994"/>
      <c r="AJ42" s="1994"/>
      <c r="AK42" s="1994"/>
      <c r="AL42" s="1994"/>
      <c r="AM42" s="1994"/>
      <c r="AN42" s="1994"/>
      <c r="AO42" s="1994"/>
      <c r="AP42" s="1994"/>
      <c r="AQ42" s="1994"/>
      <c r="AR42" s="1994"/>
      <c r="AS42" s="1994"/>
      <c r="AT42" s="1994"/>
      <c r="AU42" s="1994"/>
      <c r="AV42" s="1994"/>
      <c r="AW42" s="1994"/>
      <c r="AX42" s="1994"/>
      <c r="AY42" s="1994"/>
      <c r="AZ42" s="1994"/>
      <c r="BA42" s="1994"/>
      <c r="BB42" s="1994"/>
      <c r="BC42" s="1994"/>
      <c r="BD42" s="1994"/>
      <c r="BE42" s="1994"/>
      <c r="BF42" s="1994"/>
      <c r="BG42" s="1994"/>
      <c r="BH42" s="1994"/>
      <c r="BI42" s="1994"/>
      <c r="BJ42" s="1994"/>
      <c r="BK42" s="1994"/>
      <c r="BL42" s="1994"/>
      <c r="BM42" s="1994"/>
      <c r="BN42" s="1994">
        <f t="shared" si="37"/>
        <v>0</v>
      </c>
      <c r="BO42" s="1994">
        <f t="shared" si="37"/>
        <v>0</v>
      </c>
      <c r="BP42" s="1994">
        <f t="shared" si="37"/>
        <v>0</v>
      </c>
      <c r="BQ42" s="1994">
        <f t="shared" si="37"/>
        <v>0</v>
      </c>
      <c r="BR42" s="1994">
        <f t="shared" si="37"/>
        <v>0</v>
      </c>
      <c r="BS42" s="1994">
        <f t="shared" si="37"/>
        <v>0</v>
      </c>
      <c r="BT42" s="1994">
        <f t="shared" si="37"/>
        <v>0</v>
      </c>
      <c r="BU42" s="1994">
        <f t="shared" si="37"/>
        <v>0</v>
      </c>
      <c r="BV42" s="1994">
        <f t="shared" si="37"/>
        <v>0</v>
      </c>
      <c r="BW42" s="1994">
        <f t="shared" si="37"/>
        <v>0</v>
      </c>
      <c r="BX42" s="1994">
        <f t="shared" si="37"/>
        <v>0</v>
      </c>
      <c r="BY42" s="1994">
        <f t="shared" si="37"/>
        <v>0</v>
      </c>
      <c r="BZ42" s="1994">
        <f t="shared" si="37"/>
        <v>0</v>
      </c>
      <c r="CA42" s="1994">
        <f t="shared" si="37"/>
        <v>0</v>
      </c>
      <c r="CB42" s="1994">
        <f t="shared" ref="CB42:CJ42" si="48">CB30</f>
        <v>0</v>
      </c>
      <c r="CC42" s="1994">
        <f t="shared" si="48"/>
        <v>0</v>
      </c>
      <c r="CD42" s="1994">
        <f t="shared" si="48"/>
        <v>0</v>
      </c>
      <c r="CE42" s="1994">
        <f t="shared" si="48"/>
        <v>0</v>
      </c>
      <c r="CF42" s="1994">
        <f t="shared" si="48"/>
        <v>0</v>
      </c>
      <c r="CG42" s="1994">
        <f t="shared" si="48"/>
        <v>0</v>
      </c>
      <c r="CH42" s="1994">
        <f t="shared" si="48"/>
        <v>0</v>
      </c>
      <c r="CI42" s="1994">
        <f t="shared" si="48"/>
        <v>0</v>
      </c>
      <c r="CJ42" s="1994">
        <f t="shared" si="48"/>
        <v>0</v>
      </c>
      <c r="CK42" s="1994"/>
      <c r="CL42" s="1994"/>
      <c r="CM42" s="1994"/>
      <c r="CN42" s="1994"/>
      <c r="CO42" s="1994"/>
      <c r="CP42" s="1994"/>
      <c r="CQ42" s="1994"/>
      <c r="CR42" s="1994"/>
      <c r="CS42" s="1994"/>
      <c r="CT42" s="1994"/>
      <c r="CU42" s="1994"/>
      <c r="CV42" s="1994"/>
      <c r="CW42" s="1994"/>
      <c r="CX42" s="1994"/>
      <c r="CY42" s="1994"/>
      <c r="CZ42" s="1994"/>
      <c r="DA42" s="1994"/>
      <c r="DB42" s="1994"/>
      <c r="DC42" s="1994"/>
      <c r="DD42" s="1994"/>
      <c r="DE42" s="1994"/>
      <c r="DF42" s="1994"/>
      <c r="DG42" s="1994"/>
      <c r="DH42" s="1994"/>
      <c r="DI42" s="1994"/>
      <c r="DJ42" s="1994"/>
      <c r="DK42" s="1994"/>
      <c r="DL42" s="1994"/>
      <c r="DM42" s="1994"/>
      <c r="DN42" s="1994"/>
      <c r="DO42" s="1995"/>
      <c r="DP42" s="1994"/>
      <c r="DQ42" s="1994"/>
      <c r="DR42" s="1996"/>
      <c r="DS42" s="1996"/>
      <c r="DT42" s="1996"/>
      <c r="DU42" s="1996"/>
      <c r="DV42" s="1996"/>
      <c r="DW42" s="1996"/>
      <c r="DX42" s="1996"/>
      <c r="DY42" s="1996"/>
      <c r="DZ42" s="1996"/>
      <c r="EA42" s="1996"/>
      <c r="EB42" s="1996"/>
      <c r="EC42" s="1996"/>
      <c r="ED42" s="1996"/>
      <c r="EE42" s="1620"/>
      <c r="EF42" s="1620"/>
      <c r="FF42" s="1616"/>
    </row>
    <row r="43" spans="1:162" hidden="1" outlineLevel="2">
      <c r="A43" s="1619" t="s">
        <v>1267</v>
      </c>
      <c r="B43" s="1619" t="s">
        <v>2054</v>
      </c>
      <c r="C43" s="1619" t="s">
        <v>2091</v>
      </c>
      <c r="D43" s="1619"/>
      <c r="E43" s="1994"/>
      <c r="F43" s="1994"/>
      <c r="G43" s="1994"/>
      <c r="H43" s="1994"/>
      <c r="I43" s="1994"/>
      <c r="J43" s="1994"/>
      <c r="K43" s="1994"/>
      <c r="L43" s="1994"/>
      <c r="M43" s="1994"/>
      <c r="N43" s="1994"/>
      <c r="O43" s="1994"/>
      <c r="P43" s="1994"/>
      <c r="Q43" s="1994"/>
      <c r="R43" s="1994"/>
      <c r="S43" s="1994"/>
      <c r="T43" s="1994"/>
      <c r="U43" s="1994"/>
      <c r="V43" s="1994"/>
      <c r="W43" s="1994"/>
      <c r="X43" s="1994"/>
      <c r="Y43" s="1994"/>
      <c r="Z43" s="1994"/>
      <c r="AA43" s="1994"/>
      <c r="AB43" s="1994"/>
      <c r="AC43" s="1994"/>
      <c r="AD43" s="1994"/>
      <c r="AE43" s="1994"/>
      <c r="AF43" s="1994"/>
      <c r="AG43" s="1994"/>
      <c r="AH43" s="1994"/>
      <c r="AI43" s="1994"/>
      <c r="AJ43" s="1994"/>
      <c r="AK43" s="1994"/>
      <c r="AL43" s="1994"/>
      <c r="AM43" s="1994"/>
      <c r="AN43" s="1994"/>
      <c r="AO43" s="1994"/>
      <c r="AP43" s="1994"/>
      <c r="AQ43" s="1994"/>
      <c r="AR43" s="1994"/>
      <c r="AS43" s="1994"/>
      <c r="AT43" s="1994"/>
      <c r="AU43" s="1994"/>
      <c r="AV43" s="1994"/>
      <c r="AW43" s="1994"/>
      <c r="AX43" s="1994"/>
      <c r="AY43" s="1994"/>
      <c r="AZ43" s="1994"/>
      <c r="BA43" s="1994"/>
      <c r="BB43" s="1994"/>
      <c r="BC43" s="1994"/>
      <c r="BD43" s="1994"/>
      <c r="BE43" s="1994"/>
      <c r="BF43" s="1994"/>
      <c r="BG43" s="1994"/>
      <c r="BH43" s="1994"/>
      <c r="BI43" s="1994"/>
      <c r="BJ43" s="1994"/>
      <c r="BK43" s="1994"/>
      <c r="BL43" s="1994"/>
      <c r="BM43" s="1994"/>
      <c r="BN43" s="1994">
        <f t="shared" si="37"/>
        <v>0</v>
      </c>
      <c r="BO43" s="1994">
        <f t="shared" si="37"/>
        <v>0</v>
      </c>
      <c r="BP43" s="1994">
        <f t="shared" si="37"/>
        <v>0</v>
      </c>
      <c r="BQ43" s="1994">
        <f t="shared" si="37"/>
        <v>0</v>
      </c>
      <c r="BR43" s="1994">
        <f t="shared" si="37"/>
        <v>0</v>
      </c>
      <c r="BS43" s="1994">
        <f t="shared" si="37"/>
        <v>0</v>
      </c>
      <c r="BT43" s="1994">
        <f t="shared" si="37"/>
        <v>0</v>
      </c>
      <c r="BU43" s="1994">
        <f t="shared" si="37"/>
        <v>0</v>
      </c>
      <c r="BV43" s="1994">
        <f t="shared" si="37"/>
        <v>0</v>
      </c>
      <c r="BW43" s="1994">
        <f t="shared" si="37"/>
        <v>0</v>
      </c>
      <c r="BX43" s="1994">
        <f t="shared" si="37"/>
        <v>0</v>
      </c>
      <c r="BY43" s="1994">
        <f t="shared" si="37"/>
        <v>0</v>
      </c>
      <c r="BZ43" s="1994">
        <f t="shared" si="37"/>
        <v>0</v>
      </c>
      <c r="CA43" s="1994">
        <f t="shared" si="37"/>
        <v>0</v>
      </c>
      <c r="CB43" s="1994">
        <f t="shared" ref="CB43:CH43" si="49">CB31</f>
        <v>0</v>
      </c>
      <c r="CC43" s="1994">
        <f t="shared" si="49"/>
        <v>0</v>
      </c>
      <c r="CD43" s="1994">
        <f t="shared" si="49"/>
        <v>0</v>
      </c>
      <c r="CE43" s="1994">
        <f t="shared" si="49"/>
        <v>0</v>
      </c>
      <c r="CF43" s="1994">
        <f t="shared" si="49"/>
        <v>0</v>
      </c>
      <c r="CG43" s="1994">
        <f t="shared" si="49"/>
        <v>0</v>
      </c>
      <c r="CH43" s="1994" t="e">
        <f t="shared" si="49"/>
        <v>#REF!</v>
      </c>
      <c r="CI43" s="1994"/>
      <c r="CJ43" s="1994"/>
      <c r="CK43" s="1994"/>
      <c r="CL43" s="1994"/>
      <c r="CM43" s="1994"/>
      <c r="CN43" s="1994"/>
      <c r="CO43" s="1994"/>
      <c r="CP43" s="1994"/>
      <c r="CQ43" s="1994"/>
      <c r="CR43" s="1994"/>
      <c r="CS43" s="1994"/>
      <c r="CT43" s="1994"/>
      <c r="CU43" s="1994"/>
      <c r="CV43" s="1994"/>
      <c r="CW43" s="1994"/>
      <c r="CX43" s="1994"/>
      <c r="CY43" s="1994"/>
      <c r="CZ43" s="1994"/>
      <c r="DA43" s="1994"/>
      <c r="DB43" s="1994"/>
      <c r="DC43" s="1994"/>
      <c r="DD43" s="1994"/>
      <c r="DE43" s="1994"/>
      <c r="DF43" s="1994"/>
      <c r="DG43" s="1994"/>
      <c r="DH43" s="1994"/>
      <c r="DI43" s="1994"/>
      <c r="DJ43" s="1994"/>
      <c r="DK43" s="1994"/>
      <c r="DL43" s="1994"/>
      <c r="DM43" s="1994"/>
      <c r="DN43" s="1994"/>
      <c r="DO43" s="1995"/>
      <c r="DP43" s="1994"/>
      <c r="DQ43" s="1994"/>
      <c r="DR43" s="1996"/>
      <c r="DS43" s="1996"/>
      <c r="DT43" s="1996"/>
      <c r="DU43" s="1996"/>
      <c r="DV43" s="1996"/>
      <c r="DW43" s="1996"/>
      <c r="DX43" s="1996"/>
      <c r="DY43" s="1996"/>
      <c r="DZ43" s="1996"/>
      <c r="EA43" s="1996"/>
      <c r="EB43" s="1996"/>
      <c r="EC43" s="1996"/>
      <c r="ED43" s="1996"/>
      <c r="EE43" s="1620"/>
      <c r="EF43" s="1620"/>
      <c r="FF43" s="1616"/>
    </row>
    <row r="44" spans="1:162" hidden="1" outlineLevel="2">
      <c r="A44" s="1619" t="s">
        <v>1267</v>
      </c>
      <c r="B44" s="1619" t="s">
        <v>2055</v>
      </c>
      <c r="C44" s="1619" t="s">
        <v>2091</v>
      </c>
      <c r="D44" s="1619"/>
      <c r="E44" s="1994"/>
      <c r="F44" s="1994"/>
      <c r="G44" s="1994"/>
      <c r="H44" s="1994"/>
      <c r="I44" s="1994"/>
      <c r="J44" s="1994"/>
      <c r="K44" s="1994"/>
      <c r="L44" s="1994"/>
      <c r="M44" s="1994"/>
      <c r="N44" s="1994"/>
      <c r="O44" s="1994"/>
      <c r="P44" s="1994"/>
      <c r="Q44" s="1994"/>
      <c r="R44" s="1994"/>
      <c r="S44" s="1994"/>
      <c r="T44" s="1994"/>
      <c r="U44" s="1994"/>
      <c r="V44" s="1994"/>
      <c r="W44" s="1994"/>
      <c r="X44" s="1994"/>
      <c r="Y44" s="1994"/>
      <c r="Z44" s="1994"/>
      <c r="AA44" s="1994"/>
      <c r="AB44" s="1994"/>
      <c r="AC44" s="1994"/>
      <c r="AD44" s="1994"/>
      <c r="AE44" s="1994"/>
      <c r="AF44" s="1994"/>
      <c r="AG44" s="1994"/>
      <c r="AH44" s="1994"/>
      <c r="AI44" s="1994"/>
      <c r="AJ44" s="1994"/>
      <c r="AK44" s="1994"/>
      <c r="AL44" s="1994"/>
      <c r="AM44" s="1994"/>
      <c r="AN44" s="1994"/>
      <c r="AO44" s="1994"/>
      <c r="AP44" s="1994"/>
      <c r="AQ44" s="1994"/>
      <c r="AR44" s="1994"/>
      <c r="AS44" s="1994"/>
      <c r="AT44" s="1994"/>
      <c r="AU44" s="1994"/>
      <c r="AV44" s="1994"/>
      <c r="AW44" s="1994"/>
      <c r="AX44" s="1994"/>
      <c r="AY44" s="1994"/>
      <c r="AZ44" s="1994"/>
      <c r="BA44" s="1994"/>
      <c r="BB44" s="1994"/>
      <c r="BC44" s="1994"/>
      <c r="BD44" s="1994"/>
      <c r="BE44" s="1994"/>
      <c r="BF44" s="1994"/>
      <c r="BG44" s="1994"/>
      <c r="BH44" s="1994"/>
      <c r="BI44" s="1994"/>
      <c r="BJ44" s="1994"/>
      <c r="BK44" s="1994"/>
      <c r="BL44" s="1994"/>
      <c r="BM44" s="1994"/>
      <c r="BN44" s="1994">
        <f t="shared" si="37"/>
        <v>0</v>
      </c>
      <c r="BO44" s="1994">
        <f t="shared" si="37"/>
        <v>0</v>
      </c>
      <c r="BP44" s="1994">
        <f t="shared" si="37"/>
        <v>0</v>
      </c>
      <c r="BQ44" s="1994">
        <f t="shared" si="37"/>
        <v>0</v>
      </c>
      <c r="BR44" s="1994">
        <f t="shared" si="37"/>
        <v>0</v>
      </c>
      <c r="BS44" s="1994">
        <f t="shared" si="37"/>
        <v>0</v>
      </c>
      <c r="BT44" s="1994">
        <f t="shared" si="37"/>
        <v>0</v>
      </c>
      <c r="BU44" s="1994">
        <f t="shared" si="37"/>
        <v>0</v>
      </c>
      <c r="BV44" s="1994">
        <f t="shared" si="37"/>
        <v>0</v>
      </c>
      <c r="BW44" s="1994">
        <f t="shared" si="37"/>
        <v>0</v>
      </c>
      <c r="BX44" s="1994">
        <f t="shared" si="37"/>
        <v>0</v>
      </c>
      <c r="BY44" s="1994">
        <f t="shared" si="37"/>
        <v>0</v>
      </c>
      <c r="BZ44" s="1994">
        <f t="shared" si="37"/>
        <v>0</v>
      </c>
      <c r="CA44" s="1994">
        <f t="shared" si="37"/>
        <v>0</v>
      </c>
      <c r="CB44" s="1994">
        <f t="shared" ref="CB44:CG44" si="50">CB32</f>
        <v>0</v>
      </c>
      <c r="CC44" s="1994">
        <f t="shared" si="50"/>
        <v>0</v>
      </c>
      <c r="CD44" s="1994">
        <f t="shared" si="50"/>
        <v>0</v>
      </c>
      <c r="CE44" s="1994" t="e">
        <f t="shared" si="50"/>
        <v>#REF!</v>
      </c>
      <c r="CF44" s="1994">
        <f t="shared" si="50"/>
        <v>1650</v>
      </c>
      <c r="CG44" s="1994">
        <f t="shared" si="50"/>
        <v>0</v>
      </c>
      <c r="CH44" s="1994">
        <v>4200</v>
      </c>
      <c r="CI44" s="1994"/>
      <c r="CJ44" s="1994"/>
      <c r="CK44" s="1994"/>
      <c r="CL44" s="1994"/>
      <c r="CM44" s="1994"/>
      <c r="CN44" s="1994"/>
      <c r="CO44" s="1994"/>
      <c r="CP44" s="1994"/>
      <c r="CQ44" s="1994"/>
      <c r="CR44" s="1994"/>
      <c r="CS44" s="1994"/>
      <c r="CT44" s="1994"/>
      <c r="CU44" s="1994"/>
      <c r="CV44" s="1994"/>
      <c r="CW44" s="1994"/>
      <c r="CX44" s="1994"/>
      <c r="CY44" s="1994"/>
      <c r="CZ44" s="1994"/>
      <c r="DA44" s="1994"/>
      <c r="DB44" s="1994"/>
      <c r="DC44" s="1994"/>
      <c r="DD44" s="1994"/>
      <c r="DE44" s="1994"/>
      <c r="DF44" s="1994"/>
      <c r="DG44" s="1994"/>
      <c r="DH44" s="1994"/>
      <c r="DI44" s="1994"/>
      <c r="DJ44" s="1994"/>
      <c r="DK44" s="1994"/>
      <c r="DL44" s="1994"/>
      <c r="DM44" s="1994"/>
      <c r="DN44" s="1994"/>
      <c r="DO44" s="1995"/>
      <c r="DP44" s="1994"/>
      <c r="DQ44" s="1994"/>
      <c r="DR44" s="1996"/>
      <c r="DS44" s="1996"/>
      <c r="DT44" s="1996"/>
      <c r="DU44" s="1996"/>
      <c r="DV44" s="1996"/>
      <c r="DW44" s="1996"/>
      <c r="DX44" s="1996"/>
      <c r="DY44" s="1996"/>
      <c r="DZ44" s="1996"/>
      <c r="EA44" s="1996"/>
      <c r="EB44" s="1996"/>
      <c r="EC44" s="1996"/>
      <c r="ED44" s="1996"/>
      <c r="EE44" s="1620"/>
      <c r="EF44" s="1620"/>
      <c r="FF44" s="1616"/>
    </row>
    <row r="45" spans="1:162" hidden="1" outlineLevel="2">
      <c r="A45" s="1619" t="s">
        <v>1267</v>
      </c>
      <c r="B45" s="1619" t="s">
        <v>2056</v>
      </c>
      <c r="C45" s="1619" t="s">
        <v>2091</v>
      </c>
      <c r="D45" s="1619"/>
      <c r="E45" s="1994"/>
      <c r="F45" s="1994"/>
      <c r="G45" s="1994"/>
      <c r="H45" s="1994"/>
      <c r="I45" s="1994"/>
      <c r="J45" s="1994"/>
      <c r="K45" s="1994"/>
      <c r="L45" s="1994"/>
      <c r="M45" s="1994"/>
      <c r="N45" s="1994"/>
      <c r="O45" s="1994"/>
      <c r="P45" s="1994"/>
      <c r="Q45" s="1994"/>
      <c r="R45" s="1994"/>
      <c r="S45" s="1994"/>
      <c r="T45" s="1994"/>
      <c r="U45" s="1994"/>
      <c r="V45" s="1994"/>
      <c r="W45" s="1994"/>
      <c r="X45" s="1994"/>
      <c r="Y45" s="1994"/>
      <c r="Z45" s="1994"/>
      <c r="AA45" s="1994"/>
      <c r="AB45" s="1994"/>
      <c r="AC45" s="1994"/>
      <c r="AD45" s="1994"/>
      <c r="AE45" s="1994"/>
      <c r="AF45" s="1994"/>
      <c r="AG45" s="1994"/>
      <c r="AH45" s="1994"/>
      <c r="AI45" s="1994"/>
      <c r="AJ45" s="1994"/>
      <c r="AK45" s="1994"/>
      <c r="AL45" s="1994"/>
      <c r="AM45" s="1994"/>
      <c r="AN45" s="1994"/>
      <c r="AO45" s="1994"/>
      <c r="AP45" s="1994"/>
      <c r="AQ45" s="1994"/>
      <c r="AR45" s="1994"/>
      <c r="AS45" s="1994"/>
      <c r="AT45" s="1994"/>
      <c r="AU45" s="1994"/>
      <c r="AV45" s="1994"/>
      <c r="AW45" s="1994"/>
      <c r="AX45" s="1994"/>
      <c r="AY45" s="1994"/>
      <c r="AZ45" s="1994"/>
      <c r="BA45" s="1994"/>
      <c r="BB45" s="1994"/>
      <c r="BC45" s="1994"/>
      <c r="BD45" s="1994"/>
      <c r="BE45" s="1994"/>
      <c r="BF45" s="1994"/>
      <c r="BG45" s="1994"/>
      <c r="BH45" s="1994"/>
      <c r="BI45" s="1994"/>
      <c r="BJ45" s="1994"/>
      <c r="BK45" s="1994"/>
      <c r="BL45" s="1994"/>
      <c r="BM45" s="1994"/>
      <c r="BN45" s="1994">
        <f t="shared" si="37"/>
        <v>0</v>
      </c>
      <c r="BO45" s="1994">
        <f t="shared" si="37"/>
        <v>0</v>
      </c>
      <c r="BP45" s="1994">
        <f t="shared" si="37"/>
        <v>0</v>
      </c>
      <c r="BQ45" s="1994">
        <f t="shared" si="37"/>
        <v>0</v>
      </c>
      <c r="BR45" s="1994">
        <f t="shared" si="37"/>
        <v>0</v>
      </c>
      <c r="BS45" s="1994">
        <f t="shared" si="37"/>
        <v>0</v>
      </c>
      <c r="BT45" s="1994">
        <f t="shared" si="37"/>
        <v>0</v>
      </c>
      <c r="BU45" s="1994">
        <f t="shared" si="37"/>
        <v>0</v>
      </c>
      <c r="BV45" s="1994">
        <f t="shared" si="37"/>
        <v>0</v>
      </c>
      <c r="BW45" s="1994">
        <f t="shared" si="37"/>
        <v>0</v>
      </c>
      <c r="BX45" s="1994">
        <f t="shared" si="37"/>
        <v>0</v>
      </c>
      <c r="BY45" s="1994">
        <f t="shared" si="37"/>
        <v>0</v>
      </c>
      <c r="BZ45" s="1994">
        <f t="shared" si="37"/>
        <v>0</v>
      </c>
      <c r="CA45" s="1994">
        <f t="shared" si="37"/>
        <v>0</v>
      </c>
      <c r="CB45" s="1994"/>
      <c r="CC45" s="1994"/>
      <c r="CD45" s="1994"/>
      <c r="CE45" s="1994" t="e">
        <f>CE33</f>
        <v>#REF!</v>
      </c>
      <c r="CF45" s="1994">
        <f>CF33</f>
        <v>1650</v>
      </c>
      <c r="CG45" s="1994"/>
      <c r="CH45" s="1994"/>
      <c r="CI45" s="1994"/>
      <c r="CJ45" s="1994"/>
      <c r="CK45" s="1994"/>
      <c r="CL45" s="1994"/>
      <c r="CM45" s="1994"/>
      <c r="CN45" s="1994"/>
      <c r="CO45" s="1994"/>
      <c r="CP45" s="1994"/>
      <c r="CQ45" s="1994"/>
      <c r="CR45" s="1994"/>
      <c r="CS45" s="1994"/>
      <c r="CT45" s="1994"/>
      <c r="CU45" s="1994"/>
      <c r="CV45" s="1994"/>
      <c r="CW45" s="1994"/>
      <c r="CX45" s="1994"/>
      <c r="CY45" s="1994"/>
      <c r="CZ45" s="1994"/>
      <c r="DA45" s="1994"/>
      <c r="DB45" s="1994"/>
      <c r="DC45" s="1994"/>
      <c r="DD45" s="1994"/>
      <c r="DE45" s="1994"/>
      <c r="DF45" s="1994"/>
      <c r="DG45" s="1994"/>
      <c r="DH45" s="1994"/>
      <c r="DI45" s="1994"/>
      <c r="DJ45" s="1994"/>
      <c r="DK45" s="1994"/>
      <c r="DL45" s="1994"/>
      <c r="DM45" s="1994"/>
      <c r="DN45" s="1994"/>
      <c r="DO45" s="1995"/>
      <c r="DP45" s="1994"/>
      <c r="DQ45" s="1994"/>
      <c r="DR45" s="1996"/>
      <c r="DS45" s="1996"/>
      <c r="DT45" s="1996"/>
      <c r="DU45" s="1996"/>
      <c r="DV45" s="1996"/>
      <c r="DW45" s="1996"/>
      <c r="DX45" s="1996"/>
      <c r="DY45" s="1996"/>
      <c r="DZ45" s="1996"/>
      <c r="EA45" s="1996"/>
      <c r="EB45" s="1996"/>
      <c r="EC45" s="1996"/>
      <c r="ED45" s="1996"/>
      <c r="EE45" s="1620"/>
      <c r="EF45" s="1620"/>
      <c r="FF45" s="1616"/>
    </row>
    <row r="46" spans="1:162" hidden="1" outlineLevel="2">
      <c r="A46" s="1621" t="s">
        <v>1267</v>
      </c>
      <c r="B46" s="1621" t="s">
        <v>2057</v>
      </c>
      <c r="C46" s="1621" t="s">
        <v>2091</v>
      </c>
      <c r="D46" s="1621"/>
      <c r="E46" s="1997"/>
      <c r="F46" s="1997"/>
      <c r="G46" s="1997"/>
      <c r="H46" s="1997"/>
      <c r="I46" s="1997"/>
      <c r="J46" s="1997"/>
      <c r="K46" s="1997"/>
      <c r="L46" s="1997">
        <f>F46</f>
        <v>0</v>
      </c>
      <c r="M46" s="1997"/>
      <c r="N46" s="1997"/>
      <c r="O46" s="1997"/>
      <c r="P46" s="1997"/>
      <c r="Q46" s="1997"/>
      <c r="R46" s="1997"/>
      <c r="S46" s="1997"/>
      <c r="T46" s="1997"/>
      <c r="U46" s="1997"/>
      <c r="V46" s="1997"/>
      <c r="W46" s="1997"/>
      <c r="X46" s="1997"/>
      <c r="Y46" s="1997"/>
      <c r="Z46" s="1997"/>
      <c r="AA46" s="1997"/>
      <c r="AB46" s="1997"/>
      <c r="AC46" s="1997"/>
      <c r="AD46" s="1997"/>
      <c r="AE46" s="1997"/>
      <c r="AF46" s="1997"/>
      <c r="AG46" s="1997"/>
      <c r="AH46" s="1997"/>
      <c r="AI46" s="1997"/>
      <c r="AJ46" s="1997"/>
      <c r="AK46" s="1997"/>
      <c r="AL46" s="1997"/>
      <c r="AM46" s="1997"/>
      <c r="AN46" s="1997"/>
      <c r="AO46" s="1997"/>
      <c r="AP46" s="1997"/>
      <c r="AQ46" s="1997"/>
      <c r="AR46" s="1997"/>
      <c r="AS46" s="1997"/>
      <c r="AT46" s="1997"/>
      <c r="AU46" s="1997"/>
      <c r="AV46" s="1997"/>
      <c r="AW46" s="1997"/>
      <c r="AX46" s="1997"/>
      <c r="AY46" s="1997"/>
      <c r="AZ46" s="1997"/>
      <c r="BA46" s="1997"/>
      <c r="BB46" s="1997"/>
      <c r="BC46" s="1997"/>
      <c r="BD46" s="1997"/>
      <c r="BE46" s="1997"/>
      <c r="BF46" s="1997"/>
      <c r="BG46" s="1997"/>
      <c r="BH46" s="1997"/>
      <c r="BI46" s="1997"/>
      <c r="BJ46" s="1997"/>
      <c r="BK46" s="1997"/>
      <c r="BL46" s="1997"/>
      <c r="BM46" s="1997"/>
      <c r="BN46" s="1997">
        <f>BN34</f>
        <v>2900</v>
      </c>
      <c r="BO46" s="1997">
        <f t="shared" ref="BO46:CA46" si="51">BO34</f>
        <v>2000</v>
      </c>
      <c r="BP46" s="1997">
        <f t="shared" si="51"/>
        <v>2000</v>
      </c>
      <c r="BQ46" s="1997">
        <f t="shared" si="51"/>
        <v>2000</v>
      </c>
      <c r="BR46" s="1997">
        <f t="shared" si="51"/>
        <v>0</v>
      </c>
      <c r="BS46" s="1997">
        <f t="shared" si="51"/>
        <v>0</v>
      </c>
      <c r="BT46" s="1997">
        <f t="shared" si="51"/>
        <v>0</v>
      </c>
      <c r="BU46" s="1997">
        <f t="shared" si="51"/>
        <v>0</v>
      </c>
      <c r="BV46" s="1997">
        <f t="shared" si="51"/>
        <v>0</v>
      </c>
      <c r="BW46" s="1997">
        <f t="shared" si="51"/>
        <v>0</v>
      </c>
      <c r="BX46" s="1997">
        <f t="shared" si="51"/>
        <v>0</v>
      </c>
      <c r="BY46" s="1997">
        <f t="shared" si="51"/>
        <v>0</v>
      </c>
      <c r="BZ46" s="1997">
        <f t="shared" si="51"/>
        <v>0</v>
      </c>
      <c r="CA46" s="1997">
        <f t="shared" si="51"/>
        <v>0</v>
      </c>
      <c r="CB46" s="1997"/>
      <c r="CC46" s="1997"/>
      <c r="CD46" s="1997"/>
      <c r="CE46" s="1997"/>
      <c r="CF46" s="1997"/>
      <c r="CG46" s="1997"/>
      <c r="CH46" s="1997"/>
      <c r="CI46" s="1997"/>
      <c r="CJ46" s="1997"/>
      <c r="CK46" s="1997"/>
      <c r="CL46" s="1997"/>
      <c r="CM46" s="1997"/>
      <c r="CN46" s="1997"/>
      <c r="CO46" s="1997"/>
      <c r="CP46" s="1997"/>
      <c r="CQ46" s="1997"/>
      <c r="CR46" s="1997"/>
      <c r="CS46" s="1997"/>
      <c r="CT46" s="1997"/>
      <c r="CU46" s="1997"/>
      <c r="CV46" s="1997"/>
      <c r="CW46" s="1997"/>
      <c r="CX46" s="1997"/>
      <c r="CY46" s="1997"/>
      <c r="CZ46" s="1997"/>
      <c r="DA46" s="1997"/>
      <c r="DB46" s="1997"/>
      <c r="DC46" s="1997"/>
      <c r="DD46" s="1997"/>
      <c r="DE46" s="1997"/>
      <c r="DF46" s="1997"/>
      <c r="DG46" s="1997"/>
      <c r="DH46" s="1997"/>
      <c r="DI46" s="1997"/>
      <c r="DJ46" s="1997"/>
      <c r="DK46" s="1997"/>
      <c r="DL46" s="1997"/>
      <c r="DM46" s="1997"/>
      <c r="DN46" s="1997"/>
      <c r="DO46" s="1998"/>
      <c r="DP46" s="1997"/>
      <c r="DQ46" s="1997"/>
      <c r="DR46" s="1999"/>
      <c r="DS46" s="1999"/>
      <c r="DT46" s="1999"/>
      <c r="DU46" s="1999"/>
      <c r="DV46" s="1999"/>
      <c r="DW46" s="1999"/>
      <c r="DX46" s="1999"/>
      <c r="DY46" s="1999"/>
      <c r="DZ46" s="1999"/>
      <c r="EA46" s="1999"/>
      <c r="EB46" s="1999"/>
      <c r="EC46" s="1999"/>
      <c r="ED46" s="1999"/>
      <c r="EE46" s="1622"/>
      <c r="EF46" s="1622"/>
      <c r="EG46" s="1622"/>
      <c r="EH46" s="1622"/>
      <c r="EI46" s="1622"/>
      <c r="EJ46" s="1622"/>
      <c r="EK46" s="1622"/>
      <c r="EL46" s="1622"/>
      <c r="EM46" s="1622"/>
      <c r="EN46" s="1622"/>
      <c r="EO46" s="1622"/>
      <c r="EP46" s="1622"/>
      <c r="EQ46" s="1622"/>
      <c r="ER46" s="1622"/>
      <c r="ES46" s="1622"/>
      <c r="FF46" s="1616"/>
    </row>
    <row r="47" spans="1:162" hidden="1" outlineLevel="2">
      <c r="A47" s="1621" t="s">
        <v>1267</v>
      </c>
      <c r="B47" s="1621" t="s">
        <v>2058</v>
      </c>
      <c r="C47" s="1621" t="s">
        <v>2091</v>
      </c>
      <c r="D47" s="1621"/>
      <c r="E47" s="1997"/>
      <c r="F47" s="1997"/>
      <c r="G47" s="1997"/>
      <c r="H47" s="1997"/>
      <c r="I47" s="1997"/>
      <c r="J47" s="1997"/>
      <c r="K47" s="1997"/>
      <c r="L47" s="1997"/>
      <c r="M47" s="1997"/>
      <c r="N47" s="1997"/>
      <c r="O47" s="1997"/>
      <c r="P47" s="1997"/>
      <c r="Q47" s="1997"/>
      <c r="R47" s="1997"/>
      <c r="S47" s="1997"/>
      <c r="T47" s="1997"/>
      <c r="U47" s="1997"/>
      <c r="V47" s="1997"/>
      <c r="W47" s="1997"/>
      <c r="X47" s="1997"/>
      <c r="Y47" s="1997"/>
      <c r="Z47" s="1997"/>
      <c r="AA47" s="1997"/>
      <c r="AB47" s="1997"/>
      <c r="AC47" s="1997"/>
      <c r="AD47" s="1997"/>
      <c r="AE47" s="1997"/>
      <c r="AF47" s="1997"/>
      <c r="AG47" s="1997"/>
      <c r="AH47" s="1997"/>
      <c r="AI47" s="1997"/>
      <c r="AJ47" s="1997"/>
      <c r="AK47" s="1997"/>
      <c r="AL47" s="1997"/>
      <c r="AM47" s="1997"/>
      <c r="AN47" s="1997"/>
      <c r="AO47" s="1997"/>
      <c r="AP47" s="1997"/>
      <c r="AQ47" s="1997"/>
      <c r="AR47" s="1997"/>
      <c r="AS47" s="1997"/>
      <c r="AT47" s="1997"/>
      <c r="AU47" s="1997"/>
      <c r="AV47" s="1997"/>
      <c r="AW47" s="1997"/>
      <c r="AX47" s="1997"/>
      <c r="AY47" s="1997"/>
      <c r="AZ47" s="1997"/>
      <c r="BA47" s="1997"/>
      <c r="BB47" s="1997"/>
      <c r="BC47" s="1997"/>
      <c r="BD47" s="1997"/>
      <c r="BE47" s="1997"/>
      <c r="BF47" s="1997"/>
      <c r="BG47" s="1997"/>
      <c r="BH47" s="1997"/>
      <c r="BI47" s="1997"/>
      <c r="BJ47" s="1997"/>
      <c r="BK47" s="1997"/>
      <c r="BL47" s="1997"/>
      <c r="BM47" s="1997"/>
      <c r="BN47" s="1997">
        <f>BN35</f>
        <v>0</v>
      </c>
      <c r="BO47" s="1997">
        <f t="shared" ref="BO47:CA47" si="52">BO35</f>
        <v>0</v>
      </c>
      <c r="BP47" s="1997">
        <f t="shared" si="52"/>
        <v>0</v>
      </c>
      <c r="BQ47" s="1997">
        <f t="shared" si="52"/>
        <v>0</v>
      </c>
      <c r="BR47" s="1997">
        <f t="shared" si="52"/>
        <v>2000</v>
      </c>
      <c r="BS47" s="1997">
        <f t="shared" si="52"/>
        <v>0</v>
      </c>
      <c r="BT47" s="1997">
        <f t="shared" si="52"/>
        <v>0</v>
      </c>
      <c r="BU47" s="1997">
        <f t="shared" si="52"/>
        <v>0</v>
      </c>
      <c r="BV47" s="1997">
        <f t="shared" si="52"/>
        <v>0</v>
      </c>
      <c r="BW47" s="1997">
        <f t="shared" si="52"/>
        <v>0</v>
      </c>
      <c r="BX47" s="1997">
        <f t="shared" si="52"/>
        <v>0</v>
      </c>
      <c r="BY47" s="1997">
        <f t="shared" si="52"/>
        <v>0</v>
      </c>
      <c r="BZ47" s="1997">
        <f t="shared" si="52"/>
        <v>0</v>
      </c>
      <c r="CA47" s="1997">
        <f t="shared" si="52"/>
        <v>0</v>
      </c>
      <c r="CB47" s="1997"/>
      <c r="CC47" s="1997"/>
      <c r="CD47" s="1997"/>
      <c r="CE47" s="1997"/>
      <c r="CF47" s="1997"/>
      <c r="CG47" s="1997"/>
      <c r="CH47" s="1997"/>
      <c r="CI47" s="1997"/>
      <c r="CJ47" s="1997"/>
      <c r="CK47" s="1997"/>
      <c r="CL47" s="1997"/>
      <c r="CM47" s="1997"/>
      <c r="CN47" s="1997"/>
      <c r="CO47" s="1997"/>
      <c r="CP47" s="1997"/>
      <c r="CQ47" s="1997"/>
      <c r="CR47" s="1997"/>
      <c r="CS47" s="1997"/>
      <c r="CT47" s="1997"/>
      <c r="CU47" s="1997"/>
      <c r="CV47" s="1997"/>
      <c r="CW47" s="1997"/>
      <c r="CX47" s="1997"/>
      <c r="CY47" s="1997"/>
      <c r="CZ47" s="1997"/>
      <c r="DA47" s="1997"/>
      <c r="DB47" s="1997"/>
      <c r="DC47" s="1997"/>
      <c r="DD47" s="1997"/>
      <c r="DE47" s="1997"/>
      <c r="DF47" s="1997"/>
      <c r="DG47" s="1997"/>
      <c r="DH47" s="1997"/>
      <c r="DI47" s="1997"/>
      <c r="DJ47" s="1997"/>
      <c r="DK47" s="1997"/>
      <c r="DL47" s="1997"/>
      <c r="DM47" s="1997"/>
      <c r="DN47" s="1997"/>
      <c r="DO47" s="1998"/>
      <c r="DP47" s="1997"/>
      <c r="DQ47" s="1997"/>
      <c r="DR47" s="1999"/>
      <c r="DS47" s="1999"/>
      <c r="DT47" s="1999"/>
      <c r="DU47" s="1999"/>
      <c r="DV47" s="1999"/>
      <c r="DW47" s="1999"/>
      <c r="DX47" s="1999"/>
      <c r="DY47" s="1999"/>
      <c r="DZ47" s="1999"/>
      <c r="EA47" s="1999"/>
      <c r="EB47" s="1999"/>
      <c r="EC47" s="1999"/>
      <c r="ED47" s="1999"/>
      <c r="EE47" s="1622"/>
      <c r="EF47" s="1622"/>
      <c r="EG47" s="1622"/>
      <c r="EH47" s="1622"/>
      <c r="EI47" s="1622"/>
      <c r="EJ47" s="1622"/>
      <c r="EK47" s="1622"/>
      <c r="EL47" s="1622"/>
      <c r="EM47" s="1622"/>
      <c r="EN47" s="1622"/>
      <c r="EO47" s="1622"/>
      <c r="EP47" s="1622"/>
      <c r="EQ47" s="1622"/>
      <c r="ER47" s="1622"/>
      <c r="ES47" s="1622"/>
      <c r="FF47" s="1616"/>
    </row>
    <row r="48" spans="1:162" s="1613" customFormat="1" hidden="1" outlineLevel="1" collapsed="1">
      <c r="A48" s="1623" t="s">
        <v>1314</v>
      </c>
      <c r="B48" s="1623" t="s">
        <v>2073</v>
      </c>
      <c r="C48" s="1623" t="s">
        <v>2092</v>
      </c>
      <c r="D48" s="1623" t="s">
        <v>2085</v>
      </c>
      <c r="E48" s="2000">
        <f>'Classic Rimini '!G37</f>
        <v>0</v>
      </c>
      <c r="F48" s="2000">
        <f>'Classic Rimini '!H37</f>
        <v>1700</v>
      </c>
      <c r="G48" s="2000">
        <f>'Classic Rimini '!I37</f>
        <v>1700</v>
      </c>
      <c r="H48" s="2000">
        <f>'Classic Rimini '!K37</f>
        <v>600</v>
      </c>
      <c r="I48" s="2000" t="e">
        <f>'Classic Rimini '!#REF!</f>
        <v>#REF!</v>
      </c>
      <c r="J48" s="2000" t="e">
        <f>'Classic Rimini '!#REF!</f>
        <v>#REF!</v>
      </c>
      <c r="K48" s="2000" t="e">
        <f>'Classic Rimini '!#REF!</f>
        <v>#REF!</v>
      </c>
      <c r="L48" s="2000">
        <f>F48</f>
        <v>1700</v>
      </c>
      <c r="M48" s="2000">
        <f>F48</f>
        <v>1700</v>
      </c>
      <c r="N48" s="2000"/>
      <c r="O48" s="2000"/>
      <c r="P48" s="2000"/>
      <c r="Q48" s="2000"/>
      <c r="R48" s="2000"/>
      <c r="S48" s="2000"/>
      <c r="T48" s="2000"/>
      <c r="U48" s="2000"/>
      <c r="V48" s="2000"/>
      <c r="W48" s="2000"/>
      <c r="X48" s="2000"/>
      <c r="Y48" s="2000"/>
      <c r="Z48" s="2000"/>
      <c r="AA48" s="2000"/>
      <c r="AB48" s="2000"/>
      <c r="AC48" s="2000"/>
      <c r="AD48" s="2000"/>
      <c r="AE48" s="2000"/>
      <c r="AF48" s="2000"/>
      <c r="AG48" s="2000"/>
      <c r="AH48" s="2000"/>
      <c r="AI48" s="2000"/>
      <c r="AJ48" s="2000"/>
      <c r="AK48" s="2000"/>
      <c r="AL48" s="2000"/>
      <c r="AM48" s="2000"/>
      <c r="AN48" s="2000"/>
      <c r="AO48" s="2000"/>
      <c r="AP48" s="2000"/>
      <c r="AQ48" s="2000"/>
      <c r="AR48" s="2000"/>
      <c r="AS48" s="2000"/>
      <c r="AT48" s="2000"/>
      <c r="AU48" s="2000"/>
      <c r="AV48" s="2000"/>
      <c r="AW48" s="2000"/>
      <c r="AX48" s="2000"/>
      <c r="AY48" s="2000"/>
      <c r="AZ48" s="2000"/>
      <c r="BA48" s="2000"/>
      <c r="BB48" s="2000"/>
      <c r="BC48" s="2000"/>
      <c r="BD48" s="2000"/>
      <c r="BE48" s="2000"/>
      <c r="BF48" s="2000"/>
      <c r="BG48" s="2000"/>
      <c r="BH48" s="2000"/>
      <c r="BI48" s="2000"/>
      <c r="BJ48" s="2000"/>
      <c r="BK48" s="2000"/>
      <c r="BL48" s="2000"/>
      <c r="BM48" s="2000"/>
      <c r="BN48" s="2000"/>
      <c r="BO48" s="2000"/>
      <c r="BP48" s="2000"/>
      <c r="BQ48" s="2000"/>
      <c r="BR48" s="2000"/>
      <c r="BS48" s="2000"/>
      <c r="BT48" s="2000"/>
      <c r="BU48" s="2000"/>
      <c r="BV48" s="2000"/>
      <c r="BW48" s="2000"/>
      <c r="BX48" s="2000"/>
      <c r="BY48" s="2000"/>
      <c r="BZ48" s="2000"/>
      <c r="CA48" s="2000"/>
      <c r="CB48" s="2000" t="e">
        <f>Neoclassic!#REF!</f>
        <v>#REF!</v>
      </c>
      <c r="CC48" s="2000" t="e">
        <f>Neoclassic!#REF!</f>
        <v>#REF!</v>
      </c>
      <c r="CD48" s="2000">
        <f>Neoclassic!H28</f>
        <v>1700</v>
      </c>
      <c r="CE48" s="2000" t="e">
        <f>Neoclassic!#REF!</f>
        <v>#REF!</v>
      </c>
      <c r="CF48" s="2000">
        <f>Neoclassic!L28</f>
        <v>1700</v>
      </c>
      <c r="CG48" s="2000" t="e">
        <f>Neoclassic!#REF!</f>
        <v>#REF!</v>
      </c>
      <c r="CH48" s="2000" t="e">
        <f>#REF!</f>
        <v>#REF!</v>
      </c>
      <c r="CI48" s="2000">
        <f>Neoclassic!O27</f>
        <v>1100</v>
      </c>
      <c r="CJ48" s="2000" t="e">
        <f>#REF!</f>
        <v>#REF!</v>
      </c>
      <c r="CK48" s="2000"/>
      <c r="CL48" s="2000"/>
      <c r="CM48" s="2000"/>
      <c r="CN48" s="2000"/>
      <c r="CO48" s="2000"/>
      <c r="CP48" s="2000"/>
      <c r="CQ48" s="2000"/>
      <c r="CR48" s="2000"/>
      <c r="CS48" s="2000"/>
      <c r="CT48" s="2000"/>
      <c r="CU48" s="2000"/>
      <c r="CV48" s="2000"/>
      <c r="CW48" s="2000"/>
      <c r="CX48" s="2000"/>
      <c r="CY48" s="2000"/>
      <c r="CZ48" s="2000"/>
      <c r="DA48" s="2000"/>
      <c r="DB48" s="2000"/>
      <c r="DC48" s="2000"/>
      <c r="DD48" s="2000"/>
      <c r="DE48" s="2000"/>
      <c r="DF48" s="2000"/>
      <c r="DG48" s="2000"/>
      <c r="DH48" s="2000"/>
      <c r="DI48" s="2000"/>
      <c r="DJ48" s="2000"/>
      <c r="DK48" s="2000"/>
      <c r="DL48" s="2000"/>
      <c r="DM48" s="2000"/>
      <c r="DN48" s="2000"/>
      <c r="DO48" s="2001"/>
      <c r="DP48" s="2000"/>
      <c r="DQ48" s="2000"/>
      <c r="DR48" s="2002"/>
      <c r="DS48" s="2002"/>
      <c r="DT48" s="2002"/>
      <c r="DU48" s="2002"/>
      <c r="DV48" s="2002"/>
      <c r="DW48" s="2002"/>
      <c r="DX48" s="2002"/>
      <c r="DY48" s="2002"/>
      <c r="DZ48" s="2002"/>
      <c r="EA48" s="2002"/>
      <c r="EB48" s="1987"/>
      <c r="EC48" s="1987"/>
      <c r="ED48" s="1987"/>
      <c r="FF48" s="1614"/>
    </row>
    <row r="49" spans="1:162" hidden="1" outlineLevel="2">
      <c r="A49" s="1624" t="s">
        <v>1314</v>
      </c>
      <c r="B49" s="1624" t="s">
        <v>2073</v>
      </c>
      <c r="C49" s="1624" t="s">
        <v>2092</v>
      </c>
      <c r="D49" s="1624" t="s">
        <v>722</v>
      </c>
      <c r="E49" s="2003">
        <f>$E$48</f>
        <v>0</v>
      </c>
      <c r="F49" s="2003">
        <f>$F$48</f>
        <v>1700</v>
      </c>
      <c r="G49" s="2003">
        <f>$G$48</f>
        <v>1700</v>
      </c>
      <c r="H49" s="2003">
        <f>$H$48</f>
        <v>600</v>
      </c>
      <c r="I49" s="2003" t="e">
        <f>$I$48</f>
        <v>#REF!</v>
      </c>
      <c r="J49" s="2003" t="e">
        <f>$J$48</f>
        <v>#REF!</v>
      </c>
      <c r="K49" s="2003" t="e">
        <f>$K$48</f>
        <v>#REF!</v>
      </c>
      <c r="L49" s="2003">
        <f>F49</f>
        <v>1700</v>
      </c>
      <c r="M49" s="2003">
        <f>G49</f>
        <v>1700</v>
      </c>
      <c r="N49" s="2003"/>
      <c r="O49" s="2003"/>
      <c r="P49" s="2003"/>
      <c r="Q49" s="2003"/>
      <c r="R49" s="2003"/>
      <c r="S49" s="2003"/>
      <c r="T49" s="2003"/>
      <c r="U49" s="2003"/>
      <c r="V49" s="2003"/>
      <c r="W49" s="2003"/>
      <c r="X49" s="2003"/>
      <c r="Y49" s="2003"/>
      <c r="Z49" s="2003"/>
      <c r="AA49" s="2003"/>
      <c r="AB49" s="2003"/>
      <c r="AC49" s="2003"/>
      <c r="AD49" s="2003"/>
      <c r="AE49" s="2003"/>
      <c r="AF49" s="2003"/>
      <c r="AG49" s="2003"/>
      <c r="AH49" s="2003"/>
      <c r="AI49" s="2003"/>
      <c r="AJ49" s="2003"/>
      <c r="AK49" s="2003"/>
      <c r="AL49" s="2003"/>
      <c r="AM49" s="2003"/>
      <c r="AN49" s="2003"/>
      <c r="AO49" s="2003"/>
      <c r="AP49" s="2003"/>
      <c r="AQ49" s="2003"/>
      <c r="AR49" s="2003"/>
      <c r="AS49" s="2003"/>
      <c r="AT49" s="2003"/>
      <c r="AU49" s="2003"/>
      <c r="AV49" s="2003"/>
      <c r="AW49" s="2003"/>
      <c r="AX49" s="2003"/>
      <c r="AY49" s="2003"/>
      <c r="AZ49" s="2003"/>
      <c r="BA49" s="2003"/>
      <c r="BB49" s="2003"/>
      <c r="BC49" s="2003"/>
      <c r="BD49" s="2003"/>
      <c r="BE49" s="2003"/>
      <c r="BF49" s="2003"/>
      <c r="BG49" s="2003"/>
      <c r="BH49" s="2003"/>
      <c r="BI49" s="2003"/>
      <c r="BJ49" s="2003"/>
      <c r="BK49" s="2003"/>
      <c r="BL49" s="2003"/>
      <c r="BM49" s="2003"/>
      <c r="BN49" s="2003"/>
      <c r="BO49" s="2003"/>
      <c r="BP49" s="2003"/>
      <c r="BQ49" s="2003"/>
      <c r="BR49" s="2003"/>
      <c r="BS49" s="2003"/>
      <c r="BT49" s="2003"/>
      <c r="BU49" s="2003"/>
      <c r="BV49" s="2003"/>
      <c r="BW49" s="2003"/>
      <c r="BX49" s="2003"/>
      <c r="BY49" s="2003"/>
      <c r="BZ49" s="2003"/>
      <c r="CA49" s="2003"/>
      <c r="CB49" s="2003" t="e">
        <f>$CB$48</f>
        <v>#REF!</v>
      </c>
      <c r="CC49" s="2003" t="e">
        <f>$CC$48</f>
        <v>#REF!</v>
      </c>
      <c r="CD49" s="2003">
        <f>$CD$48</f>
        <v>1700</v>
      </c>
      <c r="CE49" s="2003" t="e">
        <f>$CE$48</f>
        <v>#REF!</v>
      </c>
      <c r="CF49" s="2003">
        <f>$CF$48</f>
        <v>1700</v>
      </c>
      <c r="CG49" s="2003" t="e">
        <f>$CG$48</f>
        <v>#REF!</v>
      </c>
      <c r="CH49" s="2003">
        <v>4100</v>
      </c>
      <c r="CI49" s="2003">
        <v>4050</v>
      </c>
      <c r="CJ49" s="2003">
        <v>4050</v>
      </c>
      <c r="CK49" s="2003"/>
      <c r="CL49" s="2003"/>
      <c r="CM49" s="2003"/>
      <c r="CN49" s="2003"/>
      <c r="CO49" s="2003"/>
      <c r="CP49" s="2003"/>
      <c r="CQ49" s="2003"/>
      <c r="CR49" s="2003"/>
      <c r="CS49" s="2003"/>
      <c r="CT49" s="2003"/>
      <c r="CU49" s="2003"/>
      <c r="CV49" s="2003"/>
      <c r="CW49" s="2003"/>
      <c r="CX49" s="2003"/>
      <c r="CY49" s="2003"/>
      <c r="CZ49" s="2003"/>
      <c r="DA49" s="2003"/>
      <c r="DB49" s="2003"/>
      <c r="DC49" s="2003"/>
      <c r="DD49" s="2003"/>
      <c r="DE49" s="2003"/>
      <c r="DF49" s="2003"/>
      <c r="DG49" s="2003"/>
      <c r="DH49" s="2003"/>
      <c r="DI49" s="2003"/>
      <c r="DJ49" s="2003"/>
      <c r="DK49" s="2003"/>
      <c r="DL49" s="2003"/>
      <c r="DM49" s="2003"/>
      <c r="DN49" s="2003"/>
      <c r="DO49" s="2004"/>
      <c r="DP49" s="2003"/>
      <c r="DQ49" s="2003"/>
      <c r="DR49" s="2005"/>
      <c r="DS49" s="2005"/>
      <c r="DT49" s="2005"/>
      <c r="DU49" s="2005"/>
      <c r="DV49" s="2005"/>
      <c r="DW49" s="2005"/>
      <c r="DX49" s="2005"/>
      <c r="DY49" s="2005"/>
      <c r="DZ49" s="2005"/>
      <c r="EA49" s="2005"/>
      <c r="FF49" s="1616"/>
    </row>
    <row r="50" spans="1:162" hidden="1" outlineLevel="2">
      <c r="A50" s="1624" t="s">
        <v>1314</v>
      </c>
      <c r="B50" s="1624" t="s">
        <v>2073</v>
      </c>
      <c r="C50" s="1624" t="s">
        <v>2092</v>
      </c>
      <c r="D50" s="1624" t="s">
        <v>2086</v>
      </c>
      <c r="E50" s="2003">
        <f t="shared" ref="E50:E59" si="53">$E$48</f>
        <v>0</v>
      </c>
      <c r="F50" s="2003">
        <f t="shared" ref="F50:F59" si="54">$F$48</f>
        <v>1700</v>
      </c>
      <c r="G50" s="2003">
        <f t="shared" ref="G50:G59" si="55">$G$48</f>
        <v>1700</v>
      </c>
      <c r="H50" s="2003">
        <f t="shared" ref="H50:H59" si="56">$H$48</f>
        <v>600</v>
      </c>
      <c r="I50" s="2003" t="e">
        <f t="shared" ref="I50:I59" si="57">$I$48</f>
        <v>#REF!</v>
      </c>
      <c r="J50" s="2003" t="e">
        <f t="shared" ref="J50:J59" si="58">$J$48</f>
        <v>#REF!</v>
      </c>
      <c r="K50" s="2003" t="e">
        <f t="shared" ref="K50:K59" si="59">$K$48</f>
        <v>#REF!</v>
      </c>
      <c r="L50" s="2003">
        <f t="shared" ref="L50:L83" si="60">F50</f>
        <v>1700</v>
      </c>
      <c r="M50" s="2003">
        <f t="shared" ref="M50:M83" si="61">G50</f>
        <v>1700</v>
      </c>
      <c r="N50" s="2003"/>
      <c r="O50" s="2003"/>
      <c r="P50" s="2003"/>
      <c r="Q50" s="2003"/>
      <c r="R50" s="2003"/>
      <c r="S50" s="2003"/>
      <c r="T50" s="2003"/>
      <c r="U50" s="2003"/>
      <c r="V50" s="2003"/>
      <c r="W50" s="2003"/>
      <c r="X50" s="2003"/>
      <c r="Y50" s="2003"/>
      <c r="Z50" s="2003"/>
      <c r="AA50" s="2003"/>
      <c r="AB50" s="2003"/>
      <c r="AC50" s="2003"/>
      <c r="AD50" s="2003"/>
      <c r="AE50" s="2003"/>
      <c r="AF50" s="2003"/>
      <c r="AG50" s="2003"/>
      <c r="AH50" s="2003"/>
      <c r="AI50" s="2003"/>
      <c r="AJ50" s="2003"/>
      <c r="AK50" s="2003"/>
      <c r="AL50" s="2003"/>
      <c r="AM50" s="2003"/>
      <c r="AN50" s="2003"/>
      <c r="AO50" s="2003"/>
      <c r="AP50" s="2003"/>
      <c r="AQ50" s="2003"/>
      <c r="AR50" s="2003"/>
      <c r="AS50" s="2003"/>
      <c r="AT50" s="2003"/>
      <c r="AU50" s="2003"/>
      <c r="AV50" s="2003"/>
      <c r="AW50" s="2003"/>
      <c r="AX50" s="2003"/>
      <c r="AY50" s="2003"/>
      <c r="AZ50" s="2003"/>
      <c r="BA50" s="2003"/>
      <c r="BB50" s="2003"/>
      <c r="BC50" s="2003"/>
      <c r="BD50" s="2003"/>
      <c r="BE50" s="2003"/>
      <c r="BF50" s="2003"/>
      <c r="BG50" s="2003"/>
      <c r="BH50" s="2003"/>
      <c r="BI50" s="2003"/>
      <c r="BJ50" s="2003"/>
      <c r="BK50" s="2003"/>
      <c r="BL50" s="2003"/>
      <c r="BM50" s="2003"/>
      <c r="BN50" s="2003"/>
      <c r="BO50" s="2003"/>
      <c r="BP50" s="2003"/>
      <c r="BQ50" s="2003"/>
      <c r="BR50" s="2003"/>
      <c r="BS50" s="2003"/>
      <c r="BT50" s="2003"/>
      <c r="BU50" s="2003"/>
      <c r="BV50" s="2003"/>
      <c r="BW50" s="2003"/>
      <c r="BX50" s="2003"/>
      <c r="BY50" s="2003"/>
      <c r="BZ50" s="2003"/>
      <c r="CA50" s="2003"/>
      <c r="CB50" s="2003" t="e">
        <f t="shared" ref="CB50:CB59" si="62">$CB$48</f>
        <v>#REF!</v>
      </c>
      <c r="CC50" s="2003" t="e">
        <f t="shared" ref="CC50:CC59" si="63">$CC$48</f>
        <v>#REF!</v>
      </c>
      <c r="CD50" s="2003">
        <f t="shared" ref="CD50:CD59" si="64">$CD$48</f>
        <v>1700</v>
      </c>
      <c r="CE50" s="2003" t="e">
        <f t="shared" ref="CE50:CE59" si="65">$CE$48</f>
        <v>#REF!</v>
      </c>
      <c r="CF50" s="2003">
        <f t="shared" ref="CF50:CF59" si="66">$CF$48</f>
        <v>1700</v>
      </c>
      <c r="CG50" s="2003" t="e">
        <f t="shared" ref="CG50:CG59" si="67">$CG$48</f>
        <v>#REF!</v>
      </c>
      <c r="CH50" s="2003">
        <v>4100</v>
      </c>
      <c r="CI50" s="2003">
        <v>4050</v>
      </c>
      <c r="CJ50" s="2003">
        <v>4050</v>
      </c>
      <c r="CK50" s="2003"/>
      <c r="CL50" s="2003"/>
      <c r="CM50" s="2003"/>
      <c r="CN50" s="2003"/>
      <c r="CO50" s="2003"/>
      <c r="CP50" s="2003"/>
      <c r="CQ50" s="2003"/>
      <c r="CR50" s="2003"/>
      <c r="CS50" s="2003"/>
      <c r="CT50" s="2003"/>
      <c r="CU50" s="2003"/>
      <c r="CV50" s="2003"/>
      <c r="CW50" s="2003"/>
      <c r="CX50" s="2003"/>
      <c r="CY50" s="2003"/>
      <c r="CZ50" s="2003"/>
      <c r="DA50" s="2003"/>
      <c r="DB50" s="2003"/>
      <c r="DC50" s="2003"/>
      <c r="DD50" s="2003"/>
      <c r="DE50" s="2003"/>
      <c r="DF50" s="2003"/>
      <c r="DG50" s="2003"/>
      <c r="DH50" s="2003"/>
      <c r="DI50" s="2003"/>
      <c r="DJ50" s="2003"/>
      <c r="DK50" s="2003"/>
      <c r="DL50" s="2003"/>
      <c r="DM50" s="2003"/>
      <c r="DN50" s="2003"/>
      <c r="DO50" s="2004"/>
      <c r="DP50" s="2003"/>
      <c r="DQ50" s="2003"/>
      <c r="DR50" s="2005"/>
      <c r="DS50" s="2005"/>
      <c r="DT50" s="2005"/>
      <c r="DU50" s="2005"/>
      <c r="DV50" s="2005"/>
      <c r="DW50" s="2005"/>
      <c r="DX50" s="2005"/>
      <c r="DY50" s="2005"/>
      <c r="DZ50" s="2005"/>
      <c r="EA50" s="2005"/>
      <c r="FF50" s="1616"/>
    </row>
    <row r="51" spans="1:162" hidden="1" outlineLevel="2">
      <c r="A51" s="1624" t="s">
        <v>1314</v>
      </c>
      <c r="B51" s="1624" t="s">
        <v>2073</v>
      </c>
      <c r="C51" s="1624" t="s">
        <v>2092</v>
      </c>
      <c r="D51" s="1624" t="s">
        <v>2087</v>
      </c>
      <c r="E51" s="2003">
        <f t="shared" si="53"/>
        <v>0</v>
      </c>
      <c r="F51" s="2003">
        <f t="shared" si="54"/>
        <v>1700</v>
      </c>
      <c r="G51" s="2003">
        <f t="shared" si="55"/>
        <v>1700</v>
      </c>
      <c r="H51" s="2003">
        <f t="shared" si="56"/>
        <v>600</v>
      </c>
      <c r="I51" s="2003" t="e">
        <f t="shared" si="57"/>
        <v>#REF!</v>
      </c>
      <c r="J51" s="2003" t="e">
        <f t="shared" si="58"/>
        <v>#REF!</v>
      </c>
      <c r="K51" s="2003" t="e">
        <f t="shared" si="59"/>
        <v>#REF!</v>
      </c>
      <c r="L51" s="2003">
        <f t="shared" si="60"/>
        <v>1700</v>
      </c>
      <c r="M51" s="2003">
        <f t="shared" si="61"/>
        <v>1700</v>
      </c>
      <c r="N51" s="2003"/>
      <c r="O51" s="2003"/>
      <c r="P51" s="2003"/>
      <c r="Q51" s="2003"/>
      <c r="R51" s="2003"/>
      <c r="S51" s="2003"/>
      <c r="T51" s="2003"/>
      <c r="U51" s="2003"/>
      <c r="V51" s="2003"/>
      <c r="W51" s="2003"/>
      <c r="X51" s="2003"/>
      <c r="Y51" s="2003"/>
      <c r="Z51" s="2003"/>
      <c r="AA51" s="2003"/>
      <c r="AB51" s="2003"/>
      <c r="AC51" s="2003"/>
      <c r="AD51" s="2003"/>
      <c r="AE51" s="2003"/>
      <c r="AF51" s="2003"/>
      <c r="AG51" s="2003"/>
      <c r="AH51" s="2003"/>
      <c r="AI51" s="2003"/>
      <c r="AJ51" s="2003"/>
      <c r="AK51" s="2003"/>
      <c r="AL51" s="2003"/>
      <c r="AM51" s="2003"/>
      <c r="AN51" s="2003"/>
      <c r="AO51" s="2003"/>
      <c r="AP51" s="2003"/>
      <c r="AQ51" s="2003"/>
      <c r="AR51" s="2003"/>
      <c r="AS51" s="2003"/>
      <c r="AT51" s="2003"/>
      <c r="AU51" s="2003"/>
      <c r="AV51" s="2003"/>
      <c r="AW51" s="2003"/>
      <c r="AX51" s="2003"/>
      <c r="AY51" s="2003"/>
      <c r="AZ51" s="2003"/>
      <c r="BA51" s="2003"/>
      <c r="BB51" s="2003"/>
      <c r="BC51" s="2003"/>
      <c r="BD51" s="2003"/>
      <c r="BE51" s="2003"/>
      <c r="BF51" s="2003"/>
      <c r="BG51" s="2003"/>
      <c r="BH51" s="2003"/>
      <c r="BI51" s="2003"/>
      <c r="BJ51" s="2003"/>
      <c r="BK51" s="2003"/>
      <c r="BL51" s="2003"/>
      <c r="BM51" s="2003"/>
      <c r="BN51" s="2003"/>
      <c r="BO51" s="2003"/>
      <c r="BP51" s="2003"/>
      <c r="BQ51" s="2003"/>
      <c r="BR51" s="2003"/>
      <c r="BS51" s="2003"/>
      <c r="BT51" s="2003"/>
      <c r="BU51" s="2003"/>
      <c r="BV51" s="2003"/>
      <c r="BW51" s="2003"/>
      <c r="BX51" s="2003"/>
      <c r="BY51" s="2003"/>
      <c r="BZ51" s="2003"/>
      <c r="CA51" s="2003"/>
      <c r="CB51" s="2003" t="e">
        <f t="shared" si="62"/>
        <v>#REF!</v>
      </c>
      <c r="CC51" s="2003" t="e">
        <f t="shared" si="63"/>
        <v>#REF!</v>
      </c>
      <c r="CD51" s="2003">
        <f t="shared" si="64"/>
        <v>1700</v>
      </c>
      <c r="CE51" s="2003" t="e">
        <f t="shared" si="65"/>
        <v>#REF!</v>
      </c>
      <c r="CF51" s="2003">
        <f t="shared" si="66"/>
        <v>1700</v>
      </c>
      <c r="CG51" s="2003" t="e">
        <f t="shared" si="67"/>
        <v>#REF!</v>
      </c>
      <c r="CH51" s="2003">
        <v>4100</v>
      </c>
      <c r="CI51" s="2003">
        <v>4050</v>
      </c>
      <c r="CJ51" s="2003">
        <v>4050</v>
      </c>
      <c r="CK51" s="2003"/>
      <c r="CL51" s="2003"/>
      <c r="CM51" s="2003"/>
      <c r="CN51" s="2003"/>
      <c r="CO51" s="2003"/>
      <c r="CP51" s="2003"/>
      <c r="CQ51" s="2003"/>
      <c r="CR51" s="2003"/>
      <c r="CS51" s="2003"/>
      <c r="CT51" s="2003"/>
      <c r="CU51" s="2003"/>
      <c r="CV51" s="2003"/>
      <c r="CW51" s="2003"/>
      <c r="CX51" s="2003"/>
      <c r="CY51" s="2003"/>
      <c r="CZ51" s="2003"/>
      <c r="DA51" s="2003"/>
      <c r="DB51" s="2003"/>
      <c r="DC51" s="2003"/>
      <c r="DD51" s="2003"/>
      <c r="DE51" s="2003"/>
      <c r="DF51" s="2003"/>
      <c r="DG51" s="2003"/>
      <c r="DH51" s="2003"/>
      <c r="DI51" s="2003"/>
      <c r="DJ51" s="2003"/>
      <c r="DK51" s="2003"/>
      <c r="DL51" s="2003"/>
      <c r="DM51" s="2003"/>
      <c r="DN51" s="2003"/>
      <c r="DO51" s="2004"/>
      <c r="DP51" s="2003"/>
      <c r="DQ51" s="2003"/>
      <c r="DR51" s="2005"/>
      <c r="DS51" s="2005"/>
      <c r="DT51" s="2005"/>
      <c r="DU51" s="2005"/>
      <c r="DV51" s="2005"/>
      <c r="DW51" s="2005"/>
      <c r="DX51" s="2005"/>
      <c r="DY51" s="2005"/>
      <c r="DZ51" s="2005"/>
      <c r="EA51" s="2005"/>
      <c r="FF51" s="1616"/>
    </row>
    <row r="52" spans="1:162" hidden="1" outlineLevel="2">
      <c r="A52" s="1624" t="s">
        <v>1314</v>
      </c>
      <c r="B52" s="1624" t="s">
        <v>2074</v>
      </c>
      <c r="C52" s="1624" t="s">
        <v>2092</v>
      </c>
      <c r="D52" s="1624" t="s">
        <v>2085</v>
      </c>
      <c r="E52" s="2003">
        <f t="shared" si="53"/>
        <v>0</v>
      </c>
      <c r="F52" s="2003">
        <f t="shared" si="54"/>
        <v>1700</v>
      </c>
      <c r="G52" s="2003">
        <f t="shared" si="55"/>
        <v>1700</v>
      </c>
      <c r="H52" s="2003">
        <f t="shared" si="56"/>
        <v>600</v>
      </c>
      <c r="I52" s="2003" t="e">
        <f t="shared" si="57"/>
        <v>#REF!</v>
      </c>
      <c r="J52" s="2003" t="e">
        <f t="shared" si="58"/>
        <v>#REF!</v>
      </c>
      <c r="K52" s="2003" t="e">
        <f t="shared" si="59"/>
        <v>#REF!</v>
      </c>
      <c r="L52" s="2003">
        <f t="shared" si="60"/>
        <v>1700</v>
      </c>
      <c r="M52" s="2003">
        <f t="shared" si="61"/>
        <v>1700</v>
      </c>
      <c r="N52" s="2003"/>
      <c r="O52" s="2003"/>
      <c r="P52" s="2003"/>
      <c r="Q52" s="2003"/>
      <c r="R52" s="2003"/>
      <c r="S52" s="2003"/>
      <c r="T52" s="2003"/>
      <c r="U52" s="2003"/>
      <c r="V52" s="2003"/>
      <c r="W52" s="2003"/>
      <c r="X52" s="2003"/>
      <c r="Y52" s="2003"/>
      <c r="Z52" s="2003"/>
      <c r="AA52" s="2003"/>
      <c r="AB52" s="2003"/>
      <c r="AC52" s="2003"/>
      <c r="AD52" s="2003"/>
      <c r="AE52" s="2003"/>
      <c r="AF52" s="2003"/>
      <c r="AG52" s="2003"/>
      <c r="AH52" s="2003"/>
      <c r="AI52" s="2003"/>
      <c r="AJ52" s="2003"/>
      <c r="AK52" s="2003"/>
      <c r="AL52" s="2003"/>
      <c r="AM52" s="2003"/>
      <c r="AN52" s="2003"/>
      <c r="AO52" s="2003"/>
      <c r="AP52" s="2003"/>
      <c r="AQ52" s="2003"/>
      <c r="AR52" s="2003"/>
      <c r="AS52" s="2003"/>
      <c r="AT52" s="2003"/>
      <c r="AU52" s="2003"/>
      <c r="AV52" s="2003"/>
      <c r="AW52" s="2003"/>
      <c r="AX52" s="2003"/>
      <c r="AY52" s="2003"/>
      <c r="AZ52" s="2003"/>
      <c r="BA52" s="2003"/>
      <c r="BB52" s="2003"/>
      <c r="BC52" s="2003"/>
      <c r="BD52" s="2003"/>
      <c r="BE52" s="2003"/>
      <c r="BF52" s="2003"/>
      <c r="BG52" s="2003"/>
      <c r="BH52" s="2003"/>
      <c r="BI52" s="2003"/>
      <c r="BJ52" s="2003"/>
      <c r="BK52" s="2003"/>
      <c r="BL52" s="2003"/>
      <c r="BM52" s="2003"/>
      <c r="BN52" s="2003"/>
      <c r="BO52" s="2003"/>
      <c r="BP52" s="2003"/>
      <c r="BQ52" s="2003"/>
      <c r="BR52" s="2003"/>
      <c r="BS52" s="2003"/>
      <c r="BT52" s="2003"/>
      <c r="BU52" s="2003"/>
      <c r="BV52" s="2003"/>
      <c r="BW52" s="2003"/>
      <c r="BX52" s="2003"/>
      <c r="BY52" s="2003"/>
      <c r="BZ52" s="2003"/>
      <c r="CA52" s="2003"/>
      <c r="CB52" s="2003" t="e">
        <f t="shared" si="62"/>
        <v>#REF!</v>
      </c>
      <c r="CC52" s="2003" t="e">
        <f t="shared" si="63"/>
        <v>#REF!</v>
      </c>
      <c r="CD52" s="2003">
        <f t="shared" si="64"/>
        <v>1700</v>
      </c>
      <c r="CE52" s="2003" t="e">
        <f t="shared" si="65"/>
        <v>#REF!</v>
      </c>
      <c r="CF52" s="2003">
        <f t="shared" si="66"/>
        <v>1700</v>
      </c>
      <c r="CG52" s="2003" t="e">
        <f t="shared" si="67"/>
        <v>#REF!</v>
      </c>
      <c r="CH52" s="2003" t="e">
        <f>CH48+600</f>
        <v>#REF!</v>
      </c>
      <c r="CI52" s="2003">
        <f>CI48+550</f>
        <v>1650</v>
      </c>
      <c r="CJ52" s="2003" t="e">
        <f>CJ48+550</f>
        <v>#REF!</v>
      </c>
      <c r="CK52" s="2003"/>
      <c r="CL52" s="2003"/>
      <c r="CM52" s="2003"/>
      <c r="CN52" s="2003"/>
      <c r="CO52" s="2003"/>
      <c r="CP52" s="2003"/>
      <c r="CQ52" s="2003"/>
      <c r="CR52" s="2003"/>
      <c r="CS52" s="2003"/>
      <c r="CT52" s="2003"/>
      <c r="CU52" s="2003"/>
      <c r="CV52" s="2003"/>
      <c r="CW52" s="2003"/>
      <c r="CX52" s="2003"/>
      <c r="CY52" s="2003"/>
      <c r="CZ52" s="2003"/>
      <c r="DA52" s="2003"/>
      <c r="DB52" s="2003"/>
      <c r="DC52" s="2003"/>
      <c r="DD52" s="2003"/>
      <c r="DE52" s="2003"/>
      <c r="DF52" s="2003"/>
      <c r="DG52" s="2003"/>
      <c r="DH52" s="2003"/>
      <c r="DI52" s="2003"/>
      <c r="DJ52" s="2003"/>
      <c r="DK52" s="2003"/>
      <c r="DL52" s="2003"/>
      <c r="DM52" s="2003"/>
      <c r="DN52" s="2003"/>
      <c r="DO52" s="2004"/>
      <c r="DP52" s="2003"/>
      <c r="DQ52" s="2003"/>
      <c r="DR52" s="2005"/>
      <c r="DS52" s="2005"/>
      <c r="DT52" s="2005"/>
      <c r="DU52" s="2005"/>
      <c r="DV52" s="2005"/>
      <c r="DW52" s="2005"/>
      <c r="DX52" s="2005"/>
      <c r="DY52" s="2005"/>
      <c r="DZ52" s="2005"/>
      <c r="EA52" s="2005"/>
      <c r="FF52" s="1625"/>
    </row>
    <row r="53" spans="1:162" hidden="1" outlineLevel="2">
      <c r="A53" s="1624" t="s">
        <v>1314</v>
      </c>
      <c r="B53" s="1624" t="s">
        <v>2074</v>
      </c>
      <c r="C53" s="1624" t="s">
        <v>2092</v>
      </c>
      <c r="D53" s="1624" t="s">
        <v>722</v>
      </c>
      <c r="E53" s="2003">
        <f t="shared" si="53"/>
        <v>0</v>
      </c>
      <c r="F53" s="2003">
        <f t="shared" si="54"/>
        <v>1700</v>
      </c>
      <c r="G53" s="2003">
        <f t="shared" si="55"/>
        <v>1700</v>
      </c>
      <c r="H53" s="2003">
        <f t="shared" si="56"/>
        <v>600</v>
      </c>
      <c r="I53" s="2003" t="e">
        <f t="shared" si="57"/>
        <v>#REF!</v>
      </c>
      <c r="J53" s="2003" t="e">
        <f t="shared" si="58"/>
        <v>#REF!</v>
      </c>
      <c r="K53" s="2003" t="e">
        <f t="shared" si="59"/>
        <v>#REF!</v>
      </c>
      <c r="L53" s="2003">
        <f t="shared" si="60"/>
        <v>1700</v>
      </c>
      <c r="M53" s="2003">
        <f t="shared" si="61"/>
        <v>1700</v>
      </c>
      <c r="N53" s="2003"/>
      <c r="O53" s="2003"/>
      <c r="P53" s="2003"/>
      <c r="Q53" s="2003"/>
      <c r="R53" s="2003"/>
      <c r="S53" s="2003"/>
      <c r="T53" s="2003"/>
      <c r="U53" s="2003"/>
      <c r="V53" s="2003"/>
      <c r="W53" s="2003"/>
      <c r="X53" s="2003"/>
      <c r="Y53" s="2003"/>
      <c r="Z53" s="2003"/>
      <c r="AA53" s="2003"/>
      <c r="AB53" s="2003"/>
      <c r="AC53" s="2003"/>
      <c r="AD53" s="2003"/>
      <c r="AE53" s="2003"/>
      <c r="AF53" s="2003"/>
      <c r="AG53" s="2003"/>
      <c r="AH53" s="2003"/>
      <c r="AI53" s="2003"/>
      <c r="AJ53" s="2003"/>
      <c r="AK53" s="2003"/>
      <c r="AL53" s="2003"/>
      <c r="AM53" s="2003"/>
      <c r="AN53" s="2003"/>
      <c r="AO53" s="2003"/>
      <c r="AP53" s="2003"/>
      <c r="AQ53" s="2003"/>
      <c r="AR53" s="2003"/>
      <c r="AS53" s="2003"/>
      <c r="AT53" s="2003"/>
      <c r="AU53" s="2003"/>
      <c r="AV53" s="2003"/>
      <c r="AW53" s="2003"/>
      <c r="AX53" s="2003"/>
      <c r="AY53" s="2003"/>
      <c r="AZ53" s="2003"/>
      <c r="BA53" s="2003"/>
      <c r="BB53" s="2003"/>
      <c r="BC53" s="2003"/>
      <c r="BD53" s="2003"/>
      <c r="BE53" s="2003"/>
      <c r="BF53" s="2003"/>
      <c r="BG53" s="2003"/>
      <c r="BH53" s="2003"/>
      <c r="BI53" s="2003"/>
      <c r="BJ53" s="2003"/>
      <c r="BK53" s="2003"/>
      <c r="BL53" s="2003"/>
      <c r="BM53" s="2003"/>
      <c r="BN53" s="2003"/>
      <c r="BO53" s="2003"/>
      <c r="BP53" s="2003"/>
      <c r="BQ53" s="2003"/>
      <c r="BR53" s="2003"/>
      <c r="BS53" s="2003"/>
      <c r="BT53" s="2003"/>
      <c r="BU53" s="2003"/>
      <c r="BV53" s="2003"/>
      <c r="BW53" s="2003"/>
      <c r="BX53" s="2003"/>
      <c r="BY53" s="2003"/>
      <c r="BZ53" s="2003"/>
      <c r="CA53" s="2003"/>
      <c r="CB53" s="2003" t="e">
        <f t="shared" si="62"/>
        <v>#REF!</v>
      </c>
      <c r="CC53" s="2003" t="e">
        <f t="shared" si="63"/>
        <v>#REF!</v>
      </c>
      <c r="CD53" s="2003">
        <f t="shared" si="64"/>
        <v>1700</v>
      </c>
      <c r="CE53" s="2003" t="e">
        <f t="shared" si="65"/>
        <v>#REF!</v>
      </c>
      <c r="CF53" s="2003">
        <f t="shared" si="66"/>
        <v>1700</v>
      </c>
      <c r="CG53" s="2003" t="e">
        <f t="shared" si="67"/>
        <v>#REF!</v>
      </c>
      <c r="CH53" s="2003">
        <f>CH49+600</f>
        <v>4700</v>
      </c>
      <c r="CI53" s="2003">
        <f>CI49+550</f>
        <v>4600</v>
      </c>
      <c r="CJ53" s="2003">
        <f>CJ49+550</f>
        <v>4600</v>
      </c>
      <c r="CK53" s="2003"/>
      <c r="CL53" s="2003"/>
      <c r="CM53" s="2003"/>
      <c r="CN53" s="2003"/>
      <c r="CO53" s="2003"/>
      <c r="CP53" s="2003"/>
      <c r="CQ53" s="2003"/>
      <c r="CR53" s="2003"/>
      <c r="CS53" s="2003"/>
      <c r="CT53" s="2003"/>
      <c r="CU53" s="2003"/>
      <c r="CV53" s="2003"/>
      <c r="CW53" s="2003"/>
      <c r="CX53" s="2003"/>
      <c r="CY53" s="2003"/>
      <c r="CZ53" s="2003"/>
      <c r="DA53" s="2003"/>
      <c r="DB53" s="2003"/>
      <c r="DC53" s="2003"/>
      <c r="DD53" s="2003"/>
      <c r="DE53" s="2003"/>
      <c r="DF53" s="2003"/>
      <c r="DG53" s="2003"/>
      <c r="DH53" s="2003"/>
      <c r="DI53" s="2003"/>
      <c r="DJ53" s="2003"/>
      <c r="DK53" s="2003"/>
      <c r="DL53" s="2003"/>
      <c r="DM53" s="2003"/>
      <c r="DN53" s="2003"/>
      <c r="DO53" s="2004"/>
      <c r="DP53" s="2003"/>
      <c r="DQ53" s="2003"/>
      <c r="DR53" s="2005"/>
      <c r="DS53" s="2005"/>
      <c r="DT53" s="2005"/>
      <c r="DU53" s="2005"/>
      <c r="DV53" s="2005"/>
      <c r="DW53" s="2005"/>
      <c r="DX53" s="2005"/>
      <c r="DY53" s="2005"/>
      <c r="DZ53" s="2005"/>
      <c r="EA53" s="2005"/>
      <c r="FF53" s="1616"/>
    </row>
    <row r="54" spans="1:162" hidden="1" outlineLevel="2">
      <c r="A54" s="1624" t="s">
        <v>1314</v>
      </c>
      <c r="B54" s="1624" t="s">
        <v>2074</v>
      </c>
      <c r="C54" s="1624" t="s">
        <v>2092</v>
      </c>
      <c r="D54" s="1624" t="s">
        <v>2086</v>
      </c>
      <c r="E54" s="2003">
        <f t="shared" si="53"/>
        <v>0</v>
      </c>
      <c r="F54" s="2003">
        <f t="shared" si="54"/>
        <v>1700</v>
      </c>
      <c r="G54" s="2003">
        <f t="shared" si="55"/>
        <v>1700</v>
      </c>
      <c r="H54" s="2003">
        <f t="shared" si="56"/>
        <v>600</v>
      </c>
      <c r="I54" s="2003" t="e">
        <f t="shared" si="57"/>
        <v>#REF!</v>
      </c>
      <c r="J54" s="2003" t="e">
        <f t="shared" si="58"/>
        <v>#REF!</v>
      </c>
      <c r="K54" s="2003" t="e">
        <f t="shared" si="59"/>
        <v>#REF!</v>
      </c>
      <c r="L54" s="2003">
        <f t="shared" si="60"/>
        <v>1700</v>
      </c>
      <c r="M54" s="2003">
        <f t="shared" si="61"/>
        <v>1700</v>
      </c>
      <c r="N54" s="2003"/>
      <c r="O54" s="2003"/>
      <c r="P54" s="2003"/>
      <c r="Q54" s="2003"/>
      <c r="R54" s="2003"/>
      <c r="S54" s="2003"/>
      <c r="T54" s="2003"/>
      <c r="U54" s="2003"/>
      <c r="V54" s="2003"/>
      <c r="W54" s="2003"/>
      <c r="X54" s="2003"/>
      <c r="Y54" s="2003"/>
      <c r="Z54" s="2003"/>
      <c r="AA54" s="2003"/>
      <c r="AB54" s="2003"/>
      <c r="AC54" s="2003"/>
      <c r="AD54" s="2003"/>
      <c r="AE54" s="2003"/>
      <c r="AF54" s="2003"/>
      <c r="AG54" s="2003"/>
      <c r="AH54" s="2003"/>
      <c r="AI54" s="2003"/>
      <c r="AJ54" s="2003"/>
      <c r="AK54" s="2003"/>
      <c r="AL54" s="2003"/>
      <c r="AM54" s="2003"/>
      <c r="AN54" s="2003"/>
      <c r="AO54" s="2003"/>
      <c r="AP54" s="2003"/>
      <c r="AQ54" s="2003"/>
      <c r="AR54" s="2003"/>
      <c r="AS54" s="2003"/>
      <c r="AT54" s="2003"/>
      <c r="AU54" s="2003"/>
      <c r="AV54" s="2003"/>
      <c r="AW54" s="2003"/>
      <c r="AX54" s="2003"/>
      <c r="AY54" s="2003"/>
      <c r="AZ54" s="2003"/>
      <c r="BA54" s="2003"/>
      <c r="BB54" s="2003"/>
      <c r="BC54" s="2003"/>
      <c r="BD54" s="2003"/>
      <c r="BE54" s="2003"/>
      <c r="BF54" s="2003"/>
      <c r="BG54" s="2003"/>
      <c r="BH54" s="2003"/>
      <c r="BI54" s="2003"/>
      <c r="BJ54" s="2003"/>
      <c r="BK54" s="2003"/>
      <c r="BL54" s="2003"/>
      <c r="BM54" s="2003"/>
      <c r="BN54" s="2003"/>
      <c r="BO54" s="2003"/>
      <c r="BP54" s="2003"/>
      <c r="BQ54" s="2003"/>
      <c r="BR54" s="2003"/>
      <c r="BS54" s="2003"/>
      <c r="BT54" s="2003"/>
      <c r="BU54" s="2003"/>
      <c r="BV54" s="2003"/>
      <c r="BW54" s="2003"/>
      <c r="BX54" s="2003"/>
      <c r="BY54" s="2003"/>
      <c r="BZ54" s="2003"/>
      <c r="CA54" s="2003"/>
      <c r="CB54" s="2003" t="e">
        <f t="shared" si="62"/>
        <v>#REF!</v>
      </c>
      <c r="CC54" s="2003" t="e">
        <f t="shared" si="63"/>
        <v>#REF!</v>
      </c>
      <c r="CD54" s="2003">
        <f t="shared" si="64"/>
        <v>1700</v>
      </c>
      <c r="CE54" s="2003" t="e">
        <f t="shared" si="65"/>
        <v>#REF!</v>
      </c>
      <c r="CF54" s="2003">
        <f t="shared" si="66"/>
        <v>1700</v>
      </c>
      <c r="CG54" s="2003" t="e">
        <f t="shared" si="67"/>
        <v>#REF!</v>
      </c>
      <c r="CH54" s="2003">
        <f>CH50+600</f>
        <v>4700</v>
      </c>
      <c r="CI54" s="2003">
        <v>4600</v>
      </c>
      <c r="CJ54" s="2003">
        <v>4600</v>
      </c>
      <c r="CK54" s="2003"/>
      <c r="CL54" s="2003"/>
      <c r="CM54" s="2003"/>
      <c r="CN54" s="2003"/>
      <c r="CO54" s="2003"/>
      <c r="CP54" s="2003"/>
      <c r="CQ54" s="2003"/>
      <c r="CR54" s="2003"/>
      <c r="CS54" s="2003"/>
      <c r="CT54" s="2003"/>
      <c r="CU54" s="2003"/>
      <c r="CV54" s="2003"/>
      <c r="CW54" s="2003"/>
      <c r="CX54" s="2003"/>
      <c r="CY54" s="2003"/>
      <c r="CZ54" s="2003"/>
      <c r="DA54" s="2003"/>
      <c r="DB54" s="2003"/>
      <c r="DC54" s="2003"/>
      <c r="DD54" s="2003"/>
      <c r="DE54" s="2003"/>
      <c r="DF54" s="2003"/>
      <c r="DG54" s="2003"/>
      <c r="DH54" s="2003"/>
      <c r="DI54" s="2003"/>
      <c r="DJ54" s="2003"/>
      <c r="DK54" s="2003"/>
      <c r="DL54" s="2003"/>
      <c r="DM54" s="2003"/>
      <c r="DN54" s="2003"/>
      <c r="DO54" s="2004"/>
      <c r="DP54" s="2003"/>
      <c r="DQ54" s="2003"/>
      <c r="DR54" s="2005"/>
      <c r="DS54" s="2005"/>
      <c r="DT54" s="2005"/>
      <c r="DU54" s="2005"/>
      <c r="DV54" s="2005"/>
      <c r="DW54" s="2005"/>
      <c r="DX54" s="2005"/>
      <c r="DY54" s="2005"/>
      <c r="DZ54" s="2005"/>
      <c r="EA54" s="2005"/>
      <c r="FF54" s="1616"/>
    </row>
    <row r="55" spans="1:162" hidden="1" outlineLevel="2">
      <c r="A55" s="1624" t="s">
        <v>1314</v>
      </c>
      <c r="B55" s="1624" t="s">
        <v>2074</v>
      </c>
      <c r="C55" s="1624" t="s">
        <v>2092</v>
      </c>
      <c r="D55" s="1624" t="s">
        <v>2087</v>
      </c>
      <c r="E55" s="2003">
        <f t="shared" si="53"/>
        <v>0</v>
      </c>
      <c r="F55" s="2003">
        <f t="shared" si="54"/>
        <v>1700</v>
      </c>
      <c r="G55" s="2003">
        <f t="shared" si="55"/>
        <v>1700</v>
      </c>
      <c r="H55" s="2003">
        <f t="shared" si="56"/>
        <v>600</v>
      </c>
      <c r="I55" s="2003" t="e">
        <f t="shared" si="57"/>
        <v>#REF!</v>
      </c>
      <c r="J55" s="2003" t="e">
        <f t="shared" si="58"/>
        <v>#REF!</v>
      </c>
      <c r="K55" s="2003" t="e">
        <f t="shared" si="59"/>
        <v>#REF!</v>
      </c>
      <c r="L55" s="2003">
        <f t="shared" si="60"/>
        <v>1700</v>
      </c>
      <c r="M55" s="2003">
        <f t="shared" si="61"/>
        <v>1700</v>
      </c>
      <c r="N55" s="2003"/>
      <c r="O55" s="2003"/>
      <c r="P55" s="2003"/>
      <c r="Q55" s="2003"/>
      <c r="R55" s="2003"/>
      <c r="S55" s="2003"/>
      <c r="T55" s="2003"/>
      <c r="U55" s="2003"/>
      <c r="V55" s="2003"/>
      <c r="W55" s="2003"/>
      <c r="X55" s="2003"/>
      <c r="Y55" s="2003"/>
      <c r="Z55" s="2003"/>
      <c r="AA55" s="2003"/>
      <c r="AB55" s="2003"/>
      <c r="AC55" s="2003"/>
      <c r="AD55" s="2003"/>
      <c r="AE55" s="2003"/>
      <c r="AF55" s="2003"/>
      <c r="AG55" s="2003"/>
      <c r="AH55" s="2003"/>
      <c r="AI55" s="2003"/>
      <c r="AJ55" s="2003"/>
      <c r="AK55" s="2003"/>
      <c r="AL55" s="2003"/>
      <c r="AM55" s="2003"/>
      <c r="AN55" s="2003"/>
      <c r="AO55" s="2003"/>
      <c r="AP55" s="2003"/>
      <c r="AQ55" s="2003"/>
      <c r="AR55" s="2003"/>
      <c r="AS55" s="2003"/>
      <c r="AT55" s="2003"/>
      <c r="AU55" s="2003"/>
      <c r="AV55" s="2003"/>
      <c r="AW55" s="2003"/>
      <c r="AX55" s="2003"/>
      <c r="AY55" s="2003"/>
      <c r="AZ55" s="2003"/>
      <c r="BA55" s="2003"/>
      <c r="BB55" s="2003"/>
      <c r="BC55" s="2003"/>
      <c r="BD55" s="2003"/>
      <c r="BE55" s="2003"/>
      <c r="BF55" s="2003"/>
      <c r="BG55" s="2003"/>
      <c r="BH55" s="2003"/>
      <c r="BI55" s="2003"/>
      <c r="BJ55" s="2003"/>
      <c r="BK55" s="2003"/>
      <c r="BL55" s="2003"/>
      <c r="BM55" s="2003"/>
      <c r="BN55" s="2003"/>
      <c r="BO55" s="2003"/>
      <c r="BP55" s="2003"/>
      <c r="BQ55" s="2003"/>
      <c r="BR55" s="2003"/>
      <c r="BS55" s="2003"/>
      <c r="BT55" s="2003"/>
      <c r="BU55" s="2003"/>
      <c r="BV55" s="2003"/>
      <c r="BW55" s="2003"/>
      <c r="BX55" s="2003"/>
      <c r="BY55" s="2003"/>
      <c r="BZ55" s="2003"/>
      <c r="CA55" s="2003"/>
      <c r="CB55" s="2003" t="e">
        <f t="shared" si="62"/>
        <v>#REF!</v>
      </c>
      <c r="CC55" s="2003" t="e">
        <f t="shared" si="63"/>
        <v>#REF!</v>
      </c>
      <c r="CD55" s="2003">
        <f t="shared" si="64"/>
        <v>1700</v>
      </c>
      <c r="CE55" s="2003" t="e">
        <f t="shared" si="65"/>
        <v>#REF!</v>
      </c>
      <c r="CF55" s="2003">
        <f t="shared" si="66"/>
        <v>1700</v>
      </c>
      <c r="CG55" s="2003" t="e">
        <f t="shared" si="67"/>
        <v>#REF!</v>
      </c>
      <c r="CH55" s="2003">
        <f>CH51+600</f>
        <v>4700</v>
      </c>
      <c r="CI55" s="2003">
        <v>4600</v>
      </c>
      <c r="CJ55" s="2003">
        <v>4600</v>
      </c>
      <c r="CK55" s="2003"/>
      <c r="CL55" s="2003"/>
      <c r="CM55" s="2003"/>
      <c r="CN55" s="2003"/>
      <c r="CO55" s="2003"/>
      <c r="CP55" s="2003"/>
      <c r="CQ55" s="2003"/>
      <c r="CR55" s="2003"/>
      <c r="CS55" s="2003"/>
      <c r="CT55" s="2003"/>
      <c r="CU55" s="2003"/>
      <c r="CV55" s="2003"/>
      <c r="CW55" s="2003"/>
      <c r="CX55" s="2003"/>
      <c r="CY55" s="2003"/>
      <c r="CZ55" s="2003"/>
      <c r="DA55" s="2003"/>
      <c r="DB55" s="2003"/>
      <c r="DC55" s="2003"/>
      <c r="DD55" s="2003"/>
      <c r="DE55" s="2003"/>
      <c r="DF55" s="2003"/>
      <c r="DG55" s="2003"/>
      <c r="DH55" s="2003"/>
      <c r="DI55" s="2003"/>
      <c r="DJ55" s="2003"/>
      <c r="DK55" s="2003"/>
      <c r="DL55" s="2003"/>
      <c r="DM55" s="2003"/>
      <c r="DN55" s="2003"/>
      <c r="DO55" s="2004"/>
      <c r="DP55" s="2003"/>
      <c r="DQ55" s="2003"/>
      <c r="DR55" s="2005"/>
      <c r="DS55" s="2005"/>
      <c r="DT55" s="2005"/>
      <c r="DU55" s="2005"/>
      <c r="DV55" s="2005"/>
      <c r="DW55" s="2005"/>
      <c r="DX55" s="2005"/>
      <c r="DY55" s="2005"/>
      <c r="DZ55" s="2005"/>
      <c r="EA55" s="2005"/>
      <c r="FF55" s="1616"/>
    </row>
    <row r="56" spans="1:162" hidden="1" outlineLevel="2">
      <c r="A56" s="1624" t="s">
        <v>1314</v>
      </c>
      <c r="B56" s="1624" t="s">
        <v>2075</v>
      </c>
      <c r="C56" s="1624" t="s">
        <v>2092</v>
      </c>
      <c r="D56" s="1624" t="s">
        <v>2085</v>
      </c>
      <c r="E56" s="2003">
        <f t="shared" si="53"/>
        <v>0</v>
      </c>
      <c r="F56" s="2003">
        <f t="shared" si="54"/>
        <v>1700</v>
      </c>
      <c r="G56" s="2003">
        <f t="shared" si="55"/>
        <v>1700</v>
      </c>
      <c r="H56" s="2003">
        <f t="shared" si="56"/>
        <v>600</v>
      </c>
      <c r="I56" s="2003" t="e">
        <f t="shared" si="57"/>
        <v>#REF!</v>
      </c>
      <c r="J56" s="2003" t="e">
        <f t="shared" si="58"/>
        <v>#REF!</v>
      </c>
      <c r="K56" s="2003" t="e">
        <f t="shared" si="59"/>
        <v>#REF!</v>
      </c>
      <c r="L56" s="2003">
        <f t="shared" si="60"/>
        <v>1700</v>
      </c>
      <c r="M56" s="2003">
        <f t="shared" si="61"/>
        <v>1700</v>
      </c>
      <c r="N56" s="2003"/>
      <c r="O56" s="2003"/>
      <c r="P56" s="2003"/>
      <c r="Q56" s="2003"/>
      <c r="R56" s="2003"/>
      <c r="S56" s="2003"/>
      <c r="T56" s="2003"/>
      <c r="U56" s="2003"/>
      <c r="V56" s="2003"/>
      <c r="W56" s="2003"/>
      <c r="X56" s="2003"/>
      <c r="Y56" s="2003"/>
      <c r="Z56" s="2003"/>
      <c r="AA56" s="2003"/>
      <c r="AB56" s="2003"/>
      <c r="AC56" s="2003"/>
      <c r="AD56" s="2003"/>
      <c r="AE56" s="2003"/>
      <c r="AF56" s="2003"/>
      <c r="AG56" s="2003"/>
      <c r="AH56" s="2003"/>
      <c r="AI56" s="2003"/>
      <c r="AJ56" s="2003"/>
      <c r="AK56" s="2003"/>
      <c r="AL56" s="2003"/>
      <c r="AM56" s="2003"/>
      <c r="AN56" s="2003"/>
      <c r="AO56" s="2003"/>
      <c r="AP56" s="2003"/>
      <c r="AQ56" s="2003"/>
      <c r="AR56" s="2003"/>
      <c r="AS56" s="2003"/>
      <c r="AT56" s="2003"/>
      <c r="AU56" s="2003"/>
      <c r="AV56" s="2003"/>
      <c r="AW56" s="2003"/>
      <c r="AX56" s="2003"/>
      <c r="AY56" s="2003"/>
      <c r="AZ56" s="2003"/>
      <c r="BA56" s="2003"/>
      <c r="BB56" s="2003"/>
      <c r="BC56" s="2003"/>
      <c r="BD56" s="2003"/>
      <c r="BE56" s="2003"/>
      <c r="BF56" s="2003"/>
      <c r="BG56" s="2003"/>
      <c r="BH56" s="2003"/>
      <c r="BI56" s="2003"/>
      <c r="BJ56" s="2003"/>
      <c r="BK56" s="2003"/>
      <c r="BL56" s="2003"/>
      <c r="BM56" s="2003"/>
      <c r="BN56" s="2003">
        <f>Fusion!G23</f>
        <v>2600</v>
      </c>
      <c r="BO56" s="2003">
        <f>Fusion!H23</f>
        <v>1700</v>
      </c>
      <c r="BP56" s="2003"/>
      <c r="BQ56" s="2003">
        <f>Fusion!J23</f>
        <v>1700</v>
      </c>
      <c r="BR56" s="2003">
        <f>Fusion!J23</f>
        <v>1700</v>
      </c>
      <c r="BS56" s="2003"/>
      <c r="BT56" s="2003"/>
      <c r="BU56" s="2003"/>
      <c r="BV56" s="2003"/>
      <c r="BW56" s="2003"/>
      <c r="BX56" s="2003"/>
      <c r="BY56" s="2003"/>
      <c r="BZ56" s="2003"/>
      <c r="CA56" s="2003"/>
      <c r="CB56" s="2003" t="e">
        <f t="shared" si="62"/>
        <v>#REF!</v>
      </c>
      <c r="CC56" s="2003" t="e">
        <f t="shared" si="63"/>
        <v>#REF!</v>
      </c>
      <c r="CD56" s="2003">
        <f t="shared" si="64"/>
        <v>1700</v>
      </c>
      <c r="CE56" s="2003" t="e">
        <f t="shared" si="65"/>
        <v>#REF!</v>
      </c>
      <c r="CF56" s="2003">
        <f t="shared" si="66"/>
        <v>1700</v>
      </c>
      <c r="CG56" s="2003" t="e">
        <f t="shared" si="67"/>
        <v>#REF!</v>
      </c>
      <c r="CH56" s="2003">
        <v>4700</v>
      </c>
      <c r="CI56" s="2003">
        <f t="shared" ref="CI56:CJ59" si="68">CI55</f>
        <v>4600</v>
      </c>
      <c r="CJ56" s="2003">
        <f t="shared" si="68"/>
        <v>4600</v>
      </c>
      <c r="CK56" s="2003"/>
      <c r="CL56" s="2003"/>
      <c r="CM56" s="2003"/>
      <c r="CN56" s="2003"/>
      <c r="CO56" s="2003"/>
      <c r="CP56" s="2003"/>
      <c r="CQ56" s="2003"/>
      <c r="CR56" s="2003"/>
      <c r="CS56" s="2003"/>
      <c r="CT56" s="2003"/>
      <c r="CU56" s="2003"/>
      <c r="CV56" s="2003"/>
      <c r="CW56" s="2003"/>
      <c r="CX56" s="2003"/>
      <c r="CY56" s="2003"/>
      <c r="CZ56" s="2003"/>
      <c r="DA56" s="2003"/>
      <c r="DB56" s="2003"/>
      <c r="DC56" s="2003"/>
      <c r="DD56" s="2003"/>
      <c r="DE56" s="2003"/>
      <c r="DF56" s="2003"/>
      <c r="DG56" s="2003"/>
      <c r="DH56" s="2003"/>
      <c r="DI56" s="2003"/>
      <c r="DJ56" s="2003"/>
      <c r="DK56" s="2003"/>
      <c r="DL56" s="2003"/>
      <c r="DM56" s="2003"/>
      <c r="DN56" s="2003"/>
      <c r="DO56" s="2004"/>
      <c r="DP56" s="2003"/>
      <c r="DQ56" s="2003"/>
      <c r="DR56" s="2005"/>
      <c r="DS56" s="2005"/>
      <c r="DT56" s="2005"/>
      <c r="DU56" s="2005"/>
      <c r="DV56" s="2005"/>
      <c r="DW56" s="2005"/>
      <c r="DX56" s="2005"/>
      <c r="DY56" s="2005"/>
      <c r="DZ56" s="2005"/>
      <c r="EA56" s="2005"/>
      <c r="FF56" s="1616"/>
    </row>
    <row r="57" spans="1:162" hidden="1" outlineLevel="2">
      <c r="A57" s="1624" t="s">
        <v>1314</v>
      </c>
      <c r="B57" s="1624" t="s">
        <v>2075</v>
      </c>
      <c r="C57" s="1624" t="s">
        <v>2092</v>
      </c>
      <c r="D57" s="1624" t="s">
        <v>722</v>
      </c>
      <c r="E57" s="2003">
        <f t="shared" si="53"/>
        <v>0</v>
      </c>
      <c r="F57" s="2003">
        <f t="shared" si="54"/>
        <v>1700</v>
      </c>
      <c r="G57" s="2003">
        <f t="shared" si="55"/>
        <v>1700</v>
      </c>
      <c r="H57" s="2003">
        <f t="shared" si="56"/>
        <v>600</v>
      </c>
      <c r="I57" s="2003" t="e">
        <f t="shared" si="57"/>
        <v>#REF!</v>
      </c>
      <c r="J57" s="2003" t="e">
        <f t="shared" si="58"/>
        <v>#REF!</v>
      </c>
      <c r="K57" s="2003" t="e">
        <f t="shared" si="59"/>
        <v>#REF!</v>
      </c>
      <c r="L57" s="2003">
        <f t="shared" si="60"/>
        <v>1700</v>
      </c>
      <c r="M57" s="2003">
        <f t="shared" si="61"/>
        <v>1700</v>
      </c>
      <c r="N57" s="2003"/>
      <c r="O57" s="2003"/>
      <c r="P57" s="2003"/>
      <c r="Q57" s="2003"/>
      <c r="R57" s="2003"/>
      <c r="S57" s="2003"/>
      <c r="T57" s="2003"/>
      <c r="U57" s="2003"/>
      <c r="V57" s="2003"/>
      <c r="W57" s="2003"/>
      <c r="X57" s="2003"/>
      <c r="Y57" s="2003"/>
      <c r="Z57" s="2003"/>
      <c r="AA57" s="2003"/>
      <c r="AB57" s="2003"/>
      <c r="AC57" s="2003"/>
      <c r="AD57" s="2003"/>
      <c r="AE57" s="2003"/>
      <c r="AF57" s="2003"/>
      <c r="AG57" s="2003"/>
      <c r="AH57" s="2003"/>
      <c r="AI57" s="2003"/>
      <c r="AJ57" s="2003"/>
      <c r="AK57" s="2003"/>
      <c r="AL57" s="2003"/>
      <c r="AM57" s="2003"/>
      <c r="AN57" s="2003"/>
      <c r="AO57" s="2003"/>
      <c r="AP57" s="2003"/>
      <c r="AQ57" s="2003"/>
      <c r="AR57" s="2003"/>
      <c r="AS57" s="2003"/>
      <c r="AT57" s="2003"/>
      <c r="AU57" s="2003"/>
      <c r="AV57" s="2003"/>
      <c r="AW57" s="2003"/>
      <c r="AX57" s="2003"/>
      <c r="AY57" s="2003"/>
      <c r="AZ57" s="2003"/>
      <c r="BA57" s="2003"/>
      <c r="BB57" s="2003"/>
      <c r="BC57" s="2003"/>
      <c r="BD57" s="2003"/>
      <c r="BE57" s="2003"/>
      <c r="BF57" s="2003"/>
      <c r="BG57" s="2003"/>
      <c r="BH57" s="2003"/>
      <c r="BI57" s="2003"/>
      <c r="BJ57" s="2003"/>
      <c r="BK57" s="2003"/>
      <c r="BL57" s="2003"/>
      <c r="BM57" s="2003"/>
      <c r="BN57" s="2003"/>
      <c r="BO57" s="2003"/>
      <c r="BP57" s="2003"/>
      <c r="BQ57" s="2003"/>
      <c r="BR57" s="2003"/>
      <c r="BS57" s="2003"/>
      <c r="BT57" s="2003"/>
      <c r="BU57" s="2003"/>
      <c r="BV57" s="2003"/>
      <c r="BW57" s="2003"/>
      <c r="BX57" s="2003"/>
      <c r="BY57" s="2003"/>
      <c r="BZ57" s="2003"/>
      <c r="CA57" s="2003"/>
      <c r="CB57" s="2003" t="e">
        <f t="shared" si="62"/>
        <v>#REF!</v>
      </c>
      <c r="CC57" s="2003" t="e">
        <f t="shared" si="63"/>
        <v>#REF!</v>
      </c>
      <c r="CD57" s="2003">
        <f t="shared" si="64"/>
        <v>1700</v>
      </c>
      <c r="CE57" s="2003" t="e">
        <f t="shared" si="65"/>
        <v>#REF!</v>
      </c>
      <c r="CF57" s="2003">
        <f t="shared" si="66"/>
        <v>1700</v>
      </c>
      <c r="CG57" s="2003" t="e">
        <f t="shared" si="67"/>
        <v>#REF!</v>
      </c>
      <c r="CH57" s="2003">
        <v>4700</v>
      </c>
      <c r="CI57" s="2003">
        <f t="shared" si="68"/>
        <v>4600</v>
      </c>
      <c r="CJ57" s="2003">
        <f t="shared" si="68"/>
        <v>4600</v>
      </c>
      <c r="CK57" s="2003"/>
      <c r="CL57" s="2003"/>
      <c r="CM57" s="2003"/>
      <c r="CN57" s="2003"/>
      <c r="CO57" s="2003"/>
      <c r="CP57" s="2003"/>
      <c r="CQ57" s="2003"/>
      <c r="CR57" s="2003"/>
      <c r="CS57" s="2003"/>
      <c r="CT57" s="2003"/>
      <c r="CU57" s="2003"/>
      <c r="CV57" s="2003"/>
      <c r="CW57" s="2003"/>
      <c r="CX57" s="2003"/>
      <c r="CY57" s="2003"/>
      <c r="CZ57" s="2003"/>
      <c r="DA57" s="2003"/>
      <c r="DB57" s="2003"/>
      <c r="DC57" s="2003"/>
      <c r="DD57" s="2003"/>
      <c r="DE57" s="2003"/>
      <c r="DF57" s="2003"/>
      <c r="DG57" s="2003"/>
      <c r="DH57" s="2003"/>
      <c r="DI57" s="2003"/>
      <c r="DJ57" s="2003"/>
      <c r="DK57" s="2003"/>
      <c r="DL57" s="2003"/>
      <c r="DM57" s="2003"/>
      <c r="DN57" s="2003"/>
      <c r="DO57" s="2004"/>
      <c r="DP57" s="2003"/>
      <c r="DQ57" s="2003"/>
      <c r="DR57" s="2005"/>
      <c r="DS57" s="2005"/>
      <c r="DT57" s="2005"/>
      <c r="DU57" s="2005"/>
      <c r="DV57" s="2005"/>
      <c r="DW57" s="2005"/>
      <c r="DX57" s="2005"/>
      <c r="DY57" s="2005"/>
      <c r="DZ57" s="2005"/>
      <c r="EA57" s="2005"/>
      <c r="FF57" s="1616"/>
    </row>
    <row r="58" spans="1:162" hidden="1" outlineLevel="2">
      <c r="A58" s="1624" t="s">
        <v>1314</v>
      </c>
      <c r="B58" s="1624" t="s">
        <v>2075</v>
      </c>
      <c r="C58" s="1624" t="s">
        <v>2092</v>
      </c>
      <c r="D58" s="1624" t="s">
        <v>2086</v>
      </c>
      <c r="E58" s="2003">
        <f t="shared" si="53"/>
        <v>0</v>
      </c>
      <c r="F58" s="2003">
        <f t="shared" si="54"/>
        <v>1700</v>
      </c>
      <c r="G58" s="2003">
        <f t="shared" si="55"/>
        <v>1700</v>
      </c>
      <c r="H58" s="2003">
        <f t="shared" si="56"/>
        <v>600</v>
      </c>
      <c r="I58" s="2003" t="e">
        <f t="shared" si="57"/>
        <v>#REF!</v>
      </c>
      <c r="J58" s="2003" t="e">
        <f t="shared" si="58"/>
        <v>#REF!</v>
      </c>
      <c r="K58" s="2003" t="e">
        <f t="shared" si="59"/>
        <v>#REF!</v>
      </c>
      <c r="L58" s="2003">
        <f t="shared" si="60"/>
        <v>1700</v>
      </c>
      <c r="M58" s="2003">
        <f t="shared" si="61"/>
        <v>1700</v>
      </c>
      <c r="N58" s="2003"/>
      <c r="O58" s="2003"/>
      <c r="P58" s="2003"/>
      <c r="Q58" s="2003"/>
      <c r="R58" s="2003"/>
      <c r="S58" s="2003"/>
      <c r="T58" s="2003"/>
      <c r="U58" s="2003"/>
      <c r="V58" s="2003"/>
      <c r="W58" s="2003"/>
      <c r="X58" s="2003"/>
      <c r="Y58" s="2003"/>
      <c r="Z58" s="2003"/>
      <c r="AA58" s="2003"/>
      <c r="AB58" s="2003"/>
      <c r="AC58" s="2003"/>
      <c r="AD58" s="2003"/>
      <c r="AE58" s="2003"/>
      <c r="AF58" s="2003"/>
      <c r="AG58" s="2003"/>
      <c r="AH58" s="2003"/>
      <c r="AI58" s="2003"/>
      <c r="AJ58" s="2003"/>
      <c r="AK58" s="2003"/>
      <c r="AL58" s="2003"/>
      <c r="AM58" s="2003"/>
      <c r="AN58" s="2003"/>
      <c r="AO58" s="2003"/>
      <c r="AP58" s="2003"/>
      <c r="AQ58" s="2003"/>
      <c r="AR58" s="2003"/>
      <c r="AS58" s="2003"/>
      <c r="AT58" s="2003"/>
      <c r="AU58" s="2003"/>
      <c r="AV58" s="2003"/>
      <c r="AW58" s="2003"/>
      <c r="AX58" s="2003"/>
      <c r="AY58" s="2003"/>
      <c r="AZ58" s="2003"/>
      <c r="BA58" s="2003"/>
      <c r="BB58" s="2003"/>
      <c r="BC58" s="2003"/>
      <c r="BD58" s="2003"/>
      <c r="BE58" s="2003"/>
      <c r="BF58" s="2003"/>
      <c r="BG58" s="2003"/>
      <c r="BH58" s="2003"/>
      <c r="BI58" s="2003"/>
      <c r="BJ58" s="2003"/>
      <c r="BK58" s="2003"/>
      <c r="BL58" s="2003"/>
      <c r="BM58" s="2003"/>
      <c r="BN58" s="2003"/>
      <c r="BO58" s="2003"/>
      <c r="BP58" s="2003"/>
      <c r="BQ58" s="2003"/>
      <c r="BR58" s="2003"/>
      <c r="BS58" s="2003"/>
      <c r="BT58" s="2003"/>
      <c r="BU58" s="2003"/>
      <c r="BV58" s="2003"/>
      <c r="BW58" s="2003"/>
      <c r="BX58" s="2003"/>
      <c r="BY58" s="2003"/>
      <c r="BZ58" s="2003"/>
      <c r="CA58" s="2003"/>
      <c r="CB58" s="2003" t="e">
        <f t="shared" si="62"/>
        <v>#REF!</v>
      </c>
      <c r="CC58" s="2003" t="e">
        <f t="shared" si="63"/>
        <v>#REF!</v>
      </c>
      <c r="CD58" s="2003">
        <f t="shared" si="64"/>
        <v>1700</v>
      </c>
      <c r="CE58" s="2003" t="e">
        <f t="shared" si="65"/>
        <v>#REF!</v>
      </c>
      <c r="CF58" s="2003">
        <f t="shared" si="66"/>
        <v>1700</v>
      </c>
      <c r="CG58" s="2003" t="e">
        <f t="shared" si="67"/>
        <v>#REF!</v>
      </c>
      <c r="CH58" s="2003">
        <v>4700</v>
      </c>
      <c r="CI58" s="2003">
        <f t="shared" si="68"/>
        <v>4600</v>
      </c>
      <c r="CJ58" s="2003">
        <f t="shared" si="68"/>
        <v>4600</v>
      </c>
      <c r="CK58" s="2003"/>
      <c r="CL58" s="2003"/>
      <c r="CM58" s="2003"/>
      <c r="CN58" s="2003"/>
      <c r="CO58" s="2003"/>
      <c r="CP58" s="2003"/>
      <c r="CQ58" s="2003"/>
      <c r="CR58" s="2003"/>
      <c r="CS58" s="2003"/>
      <c r="CT58" s="2003"/>
      <c r="CU58" s="2003"/>
      <c r="CV58" s="2003"/>
      <c r="CW58" s="2003"/>
      <c r="CX58" s="2003"/>
      <c r="CY58" s="2003"/>
      <c r="CZ58" s="2003"/>
      <c r="DA58" s="2003"/>
      <c r="DB58" s="2003"/>
      <c r="DC58" s="2003"/>
      <c r="DD58" s="2003"/>
      <c r="DE58" s="2003"/>
      <c r="DF58" s="2003"/>
      <c r="DG58" s="2003"/>
      <c r="DH58" s="2003"/>
      <c r="DI58" s="2003"/>
      <c r="DJ58" s="2003"/>
      <c r="DK58" s="2003"/>
      <c r="DL58" s="2003"/>
      <c r="DM58" s="2003"/>
      <c r="DN58" s="2003"/>
      <c r="DO58" s="2004"/>
      <c r="DP58" s="2003"/>
      <c r="DQ58" s="2003"/>
      <c r="DR58" s="2005"/>
      <c r="DS58" s="2005"/>
      <c r="DT58" s="2005"/>
      <c r="DU58" s="2005"/>
      <c r="DV58" s="2005"/>
      <c r="DW58" s="2005"/>
      <c r="DX58" s="2005"/>
      <c r="DY58" s="2005"/>
      <c r="DZ58" s="2005"/>
      <c r="EA58" s="2005"/>
      <c r="FF58" s="1616"/>
    </row>
    <row r="59" spans="1:162" hidden="1" outlineLevel="2">
      <c r="A59" s="1624" t="s">
        <v>1314</v>
      </c>
      <c r="B59" s="1624" t="s">
        <v>2075</v>
      </c>
      <c r="C59" s="1624" t="s">
        <v>2092</v>
      </c>
      <c r="D59" s="1624" t="s">
        <v>2087</v>
      </c>
      <c r="E59" s="2003">
        <f t="shared" si="53"/>
        <v>0</v>
      </c>
      <c r="F59" s="2003">
        <f t="shared" si="54"/>
        <v>1700</v>
      </c>
      <c r="G59" s="2003">
        <f t="shared" si="55"/>
        <v>1700</v>
      </c>
      <c r="H59" s="2003">
        <f t="shared" si="56"/>
        <v>600</v>
      </c>
      <c r="I59" s="2003" t="e">
        <f t="shared" si="57"/>
        <v>#REF!</v>
      </c>
      <c r="J59" s="2003" t="e">
        <f t="shared" si="58"/>
        <v>#REF!</v>
      </c>
      <c r="K59" s="2003" t="e">
        <f t="shared" si="59"/>
        <v>#REF!</v>
      </c>
      <c r="L59" s="2003">
        <f t="shared" si="60"/>
        <v>1700</v>
      </c>
      <c r="M59" s="2003">
        <f t="shared" si="61"/>
        <v>1700</v>
      </c>
      <c r="N59" s="2003"/>
      <c r="O59" s="2003"/>
      <c r="P59" s="2003"/>
      <c r="Q59" s="2003"/>
      <c r="R59" s="2003"/>
      <c r="S59" s="2003"/>
      <c r="T59" s="2003"/>
      <c r="U59" s="2003"/>
      <c r="V59" s="2003"/>
      <c r="W59" s="2003"/>
      <c r="X59" s="2003"/>
      <c r="Y59" s="2003"/>
      <c r="Z59" s="2003"/>
      <c r="AA59" s="2003"/>
      <c r="AB59" s="2003"/>
      <c r="AC59" s="2003"/>
      <c r="AD59" s="2003"/>
      <c r="AE59" s="2003"/>
      <c r="AF59" s="2003"/>
      <c r="AG59" s="2003"/>
      <c r="AH59" s="2003"/>
      <c r="AI59" s="2003"/>
      <c r="AJ59" s="2003"/>
      <c r="AK59" s="2003"/>
      <c r="AL59" s="2003"/>
      <c r="AM59" s="2003"/>
      <c r="AN59" s="2003"/>
      <c r="AO59" s="2003"/>
      <c r="AP59" s="2003"/>
      <c r="AQ59" s="2003"/>
      <c r="AR59" s="2003"/>
      <c r="AS59" s="2003"/>
      <c r="AT59" s="2003"/>
      <c r="AU59" s="2003"/>
      <c r="AV59" s="2003"/>
      <c r="AW59" s="2003"/>
      <c r="AX59" s="2003"/>
      <c r="AY59" s="2003"/>
      <c r="AZ59" s="2003"/>
      <c r="BA59" s="2003"/>
      <c r="BB59" s="2003"/>
      <c r="BC59" s="2003"/>
      <c r="BD59" s="2003"/>
      <c r="BE59" s="2003"/>
      <c r="BF59" s="2003"/>
      <c r="BG59" s="2003"/>
      <c r="BH59" s="2003"/>
      <c r="BI59" s="2003"/>
      <c r="BJ59" s="2003"/>
      <c r="BK59" s="2003"/>
      <c r="BL59" s="2003"/>
      <c r="BM59" s="2003"/>
      <c r="BN59" s="2003"/>
      <c r="BO59" s="2003"/>
      <c r="BP59" s="2003"/>
      <c r="BQ59" s="2003"/>
      <c r="BR59" s="2003"/>
      <c r="BS59" s="2003"/>
      <c r="BT59" s="2003"/>
      <c r="BU59" s="2003"/>
      <c r="BV59" s="2003"/>
      <c r="BW59" s="2003"/>
      <c r="BX59" s="2003"/>
      <c r="BY59" s="2003"/>
      <c r="BZ59" s="2003"/>
      <c r="CA59" s="2003"/>
      <c r="CB59" s="2003" t="e">
        <f t="shared" si="62"/>
        <v>#REF!</v>
      </c>
      <c r="CC59" s="2003" t="e">
        <f t="shared" si="63"/>
        <v>#REF!</v>
      </c>
      <c r="CD59" s="2003">
        <f t="shared" si="64"/>
        <v>1700</v>
      </c>
      <c r="CE59" s="2003" t="e">
        <f t="shared" si="65"/>
        <v>#REF!</v>
      </c>
      <c r="CF59" s="2003">
        <f t="shared" si="66"/>
        <v>1700</v>
      </c>
      <c r="CG59" s="2003" t="e">
        <f t="shared" si="67"/>
        <v>#REF!</v>
      </c>
      <c r="CH59" s="2003">
        <v>4700</v>
      </c>
      <c r="CI59" s="2003">
        <f t="shared" si="68"/>
        <v>4600</v>
      </c>
      <c r="CJ59" s="2003">
        <f t="shared" si="68"/>
        <v>4600</v>
      </c>
      <c r="CK59" s="2003"/>
      <c r="CL59" s="2003"/>
      <c r="CM59" s="2003"/>
      <c r="CN59" s="2003"/>
      <c r="CO59" s="2003"/>
      <c r="CP59" s="2003"/>
      <c r="CQ59" s="2003"/>
      <c r="CR59" s="2003"/>
      <c r="CS59" s="2003"/>
      <c r="CT59" s="2003"/>
      <c r="CU59" s="2003"/>
      <c r="CV59" s="2003"/>
      <c r="CW59" s="2003"/>
      <c r="CX59" s="2003"/>
      <c r="CY59" s="2003"/>
      <c r="CZ59" s="2003"/>
      <c r="DA59" s="2003"/>
      <c r="DB59" s="2003"/>
      <c r="DC59" s="2003"/>
      <c r="DD59" s="2003"/>
      <c r="DE59" s="2003"/>
      <c r="DF59" s="2003"/>
      <c r="DG59" s="2003"/>
      <c r="DH59" s="2003"/>
      <c r="DI59" s="2003"/>
      <c r="DJ59" s="2003"/>
      <c r="DK59" s="2003"/>
      <c r="DL59" s="2003"/>
      <c r="DM59" s="2003"/>
      <c r="DN59" s="2003"/>
      <c r="DO59" s="2004"/>
      <c r="DP59" s="2003"/>
      <c r="DQ59" s="2003"/>
      <c r="DR59" s="2005"/>
      <c r="DS59" s="2005"/>
      <c r="DT59" s="2005"/>
      <c r="DU59" s="2005"/>
      <c r="DV59" s="2005"/>
      <c r="DW59" s="2005"/>
      <c r="DX59" s="2005"/>
      <c r="DY59" s="2005"/>
      <c r="DZ59" s="2005"/>
      <c r="EA59" s="2005"/>
      <c r="FF59" s="1616"/>
    </row>
    <row r="60" spans="1:162" s="1613" customFormat="1" hidden="1" outlineLevel="1" collapsed="1">
      <c r="A60" s="1623" t="s">
        <v>1314</v>
      </c>
      <c r="B60" s="1623" t="s">
        <v>2073</v>
      </c>
      <c r="C60" s="1623" t="s">
        <v>2090</v>
      </c>
      <c r="D60" s="1623" t="s">
        <v>2085</v>
      </c>
      <c r="E60" s="2000">
        <f>E48+'Classic Rimini '!G43</f>
        <v>700</v>
      </c>
      <c r="F60" s="2000">
        <f>F48+'Classic Rimini '!H43</f>
        <v>2200</v>
      </c>
      <c r="G60" s="2000">
        <f>G48+'Classic Rimini '!I43</f>
        <v>2200</v>
      </c>
      <c r="H60" s="2000">
        <f>H48+'Classic Rimini '!K43</f>
        <v>750</v>
      </c>
      <c r="I60" s="2000" t="e">
        <f>I48+'Classic Rimini '!#REF!</f>
        <v>#REF!</v>
      </c>
      <c r="J60" s="2000"/>
      <c r="K60" s="2000"/>
      <c r="L60" s="2000">
        <f t="shared" si="60"/>
        <v>2200</v>
      </c>
      <c r="M60" s="2000">
        <f t="shared" si="61"/>
        <v>2200</v>
      </c>
      <c r="N60" s="2000"/>
      <c r="O60" s="2000"/>
      <c r="P60" s="2000"/>
      <c r="Q60" s="2000"/>
      <c r="R60" s="2000"/>
      <c r="S60" s="2000"/>
      <c r="T60" s="2000"/>
      <c r="U60" s="2000"/>
      <c r="V60" s="2000"/>
      <c r="W60" s="2000"/>
      <c r="X60" s="2000"/>
      <c r="Y60" s="2000"/>
      <c r="Z60" s="2000"/>
      <c r="AA60" s="2000"/>
      <c r="AB60" s="2000"/>
      <c r="AC60" s="2000"/>
      <c r="AD60" s="2000"/>
      <c r="AE60" s="2000"/>
      <c r="AF60" s="2000"/>
      <c r="AG60" s="2000"/>
      <c r="AH60" s="2000"/>
      <c r="AI60" s="2000"/>
      <c r="AJ60" s="2000"/>
      <c r="AK60" s="2000"/>
      <c r="AL60" s="2000"/>
      <c r="AM60" s="2000"/>
      <c r="AN60" s="2000"/>
      <c r="AO60" s="2000"/>
      <c r="AP60" s="2000"/>
      <c r="AQ60" s="2000"/>
      <c r="AR60" s="2000"/>
      <c r="AS60" s="2000"/>
      <c r="AT60" s="2000"/>
      <c r="AU60" s="2000"/>
      <c r="AV60" s="2000"/>
      <c r="AW60" s="2000"/>
      <c r="AX60" s="2000"/>
      <c r="AY60" s="2000"/>
      <c r="AZ60" s="2000"/>
      <c r="BA60" s="2000"/>
      <c r="BB60" s="2000"/>
      <c r="BC60" s="2000"/>
      <c r="BD60" s="2000"/>
      <c r="BE60" s="2000"/>
      <c r="BF60" s="2000"/>
      <c r="BG60" s="2000"/>
      <c r="BH60" s="2000"/>
      <c r="BI60" s="2000"/>
      <c r="BJ60" s="2000"/>
      <c r="BK60" s="2000"/>
      <c r="BL60" s="2000"/>
      <c r="BM60" s="2000"/>
      <c r="BN60" s="2000"/>
      <c r="BO60" s="2000"/>
      <c r="BP60" s="2000"/>
      <c r="BQ60" s="2000"/>
      <c r="BR60" s="2000"/>
      <c r="BS60" s="2000"/>
      <c r="BT60" s="2000"/>
      <c r="BU60" s="2000"/>
      <c r="BV60" s="2000"/>
      <c r="BW60" s="2000"/>
      <c r="BX60" s="2000"/>
      <c r="BY60" s="2000"/>
      <c r="BZ60" s="2000"/>
      <c r="CA60" s="2000"/>
      <c r="CB60" s="2000" t="e">
        <f>CB48+Neoclassic!#REF!</f>
        <v>#REF!</v>
      </c>
      <c r="CC60" s="2000"/>
      <c r="CD60" s="2000">
        <f>CD48+Neoclassic!H30</f>
        <v>2400</v>
      </c>
      <c r="CE60" s="2000" t="e">
        <f>CE48+Neoclassic!L30</f>
        <v>#REF!</v>
      </c>
      <c r="CF60" s="2000">
        <f>CF48+Neoclassic!N30</f>
        <v>1850</v>
      </c>
      <c r="CG60" s="2000"/>
      <c r="CH60" s="2000" t="e">
        <f>'стекла сайт'!CH48+#REF!</f>
        <v>#REF!</v>
      </c>
      <c r="CI60" s="2000" t="e">
        <f>'стекла сайт'!CI48+#REF!</f>
        <v>#REF!</v>
      </c>
      <c r="CJ60" s="2000" t="e">
        <f>'стекла сайт'!CJ48+#REF!</f>
        <v>#REF!</v>
      </c>
      <c r="CK60" s="2000"/>
      <c r="CL60" s="2000"/>
      <c r="CM60" s="2000"/>
      <c r="CN60" s="2000"/>
      <c r="CO60" s="2000"/>
      <c r="CP60" s="2000"/>
      <c r="CQ60" s="2000"/>
      <c r="CR60" s="2000"/>
      <c r="CS60" s="2000"/>
      <c r="CT60" s="2000"/>
      <c r="CU60" s="2000"/>
      <c r="CV60" s="2000"/>
      <c r="CW60" s="2000"/>
      <c r="CX60" s="2000"/>
      <c r="CY60" s="2000"/>
      <c r="CZ60" s="2000"/>
      <c r="DA60" s="2000"/>
      <c r="DB60" s="2000"/>
      <c r="DC60" s="2000"/>
      <c r="DD60" s="2000"/>
      <c r="DE60" s="2000"/>
      <c r="DF60" s="2000"/>
      <c r="DG60" s="2000"/>
      <c r="DH60" s="2000"/>
      <c r="DI60" s="2000"/>
      <c r="DJ60" s="2000"/>
      <c r="DK60" s="2000"/>
      <c r="DL60" s="2000"/>
      <c r="DM60" s="2000"/>
      <c r="DN60" s="2000"/>
      <c r="DO60" s="2001"/>
      <c r="DP60" s="2000"/>
      <c r="DQ60" s="2000"/>
      <c r="DR60" s="2002"/>
      <c r="DS60" s="2002"/>
      <c r="DT60" s="2002"/>
      <c r="DU60" s="2002"/>
      <c r="DV60" s="2002"/>
      <c r="DW60" s="2002"/>
      <c r="DX60" s="2002"/>
      <c r="DY60" s="2002"/>
      <c r="DZ60" s="2002"/>
      <c r="EA60" s="2002"/>
      <c r="EB60" s="1987"/>
      <c r="EC60" s="1987"/>
      <c r="ED60" s="1987"/>
      <c r="FF60" s="1614"/>
    </row>
    <row r="61" spans="1:162" hidden="1" outlineLevel="2">
      <c r="A61" s="1624" t="s">
        <v>1314</v>
      </c>
      <c r="B61" s="1624" t="s">
        <v>2073</v>
      </c>
      <c r="C61" s="1624" t="s">
        <v>2090</v>
      </c>
      <c r="D61" s="1624" t="s">
        <v>722</v>
      </c>
      <c r="E61" s="2003">
        <f t="shared" ref="E61:E70" si="69">E50</f>
        <v>0</v>
      </c>
      <c r="F61" s="2003">
        <f>F48</f>
        <v>1700</v>
      </c>
      <c r="G61" s="2003">
        <f t="shared" ref="G61:H70" si="70">G50</f>
        <v>1700</v>
      </c>
      <c r="H61" s="2003">
        <f t="shared" si="70"/>
        <v>600</v>
      </c>
      <c r="I61" s="2003" t="e">
        <f>I48</f>
        <v>#REF!</v>
      </c>
      <c r="J61" s="2003"/>
      <c r="K61" s="2003"/>
      <c r="L61" s="2003">
        <f t="shared" si="60"/>
        <v>1700</v>
      </c>
      <c r="M61" s="2003">
        <f t="shared" si="61"/>
        <v>1700</v>
      </c>
      <c r="N61" s="2003"/>
      <c r="O61" s="2003"/>
      <c r="P61" s="2003"/>
      <c r="Q61" s="2003"/>
      <c r="R61" s="2003"/>
      <c r="S61" s="2003"/>
      <c r="T61" s="2003"/>
      <c r="U61" s="2003"/>
      <c r="V61" s="2003"/>
      <c r="W61" s="2003"/>
      <c r="X61" s="2003"/>
      <c r="Y61" s="2003"/>
      <c r="Z61" s="2003"/>
      <c r="AA61" s="2003"/>
      <c r="AB61" s="2003"/>
      <c r="AC61" s="2003"/>
      <c r="AD61" s="2003"/>
      <c r="AE61" s="2003"/>
      <c r="AF61" s="2003"/>
      <c r="AG61" s="2003"/>
      <c r="AH61" s="2003"/>
      <c r="AI61" s="2003"/>
      <c r="AJ61" s="2003"/>
      <c r="AK61" s="2003"/>
      <c r="AL61" s="2003"/>
      <c r="AM61" s="2003"/>
      <c r="AN61" s="2003"/>
      <c r="AO61" s="2003"/>
      <c r="AP61" s="2003"/>
      <c r="AQ61" s="2003"/>
      <c r="AR61" s="2003"/>
      <c r="AS61" s="2003"/>
      <c r="AT61" s="2003"/>
      <c r="AU61" s="2003"/>
      <c r="AV61" s="2003"/>
      <c r="AW61" s="2003"/>
      <c r="AX61" s="2003"/>
      <c r="AY61" s="2003"/>
      <c r="AZ61" s="2003"/>
      <c r="BA61" s="2003"/>
      <c r="BB61" s="2003"/>
      <c r="BC61" s="2003"/>
      <c r="BD61" s="2003"/>
      <c r="BE61" s="2003"/>
      <c r="BF61" s="2003"/>
      <c r="BG61" s="2003"/>
      <c r="BH61" s="2003"/>
      <c r="BI61" s="2003"/>
      <c r="BJ61" s="2003"/>
      <c r="BK61" s="2003"/>
      <c r="BL61" s="2003"/>
      <c r="BM61" s="2003"/>
      <c r="BN61" s="2003"/>
      <c r="BO61" s="2003"/>
      <c r="BP61" s="2003"/>
      <c r="BQ61" s="2003"/>
      <c r="BR61" s="2003"/>
      <c r="BS61" s="2003"/>
      <c r="BT61" s="2003"/>
      <c r="BU61" s="2003"/>
      <c r="BV61" s="2003"/>
      <c r="BW61" s="2003"/>
      <c r="BX61" s="2003"/>
      <c r="BY61" s="2003"/>
      <c r="BZ61" s="2003"/>
      <c r="CA61" s="2003"/>
      <c r="CB61" s="2003" t="e">
        <f>$CB$60</f>
        <v>#REF!</v>
      </c>
      <c r="CC61" s="2003">
        <f>$CC$60</f>
        <v>0</v>
      </c>
      <c r="CD61" s="2003">
        <f>$CD$60</f>
        <v>2400</v>
      </c>
      <c r="CE61" s="2003" t="e">
        <f>$CE$60</f>
        <v>#REF!</v>
      </c>
      <c r="CF61" s="2003">
        <f>$CF$60</f>
        <v>1850</v>
      </c>
      <c r="CG61" s="2003">
        <f>$CG$60</f>
        <v>0</v>
      </c>
      <c r="CH61" s="2006" t="e">
        <f>'стекла сайт'!CH49+#REF!</f>
        <v>#REF!</v>
      </c>
      <c r="CI61" s="2006" t="e">
        <f>'стекла сайт'!CI49+#REF!</f>
        <v>#REF!</v>
      </c>
      <c r="CJ61" s="2006" t="e">
        <f>'стекла сайт'!CJ49+#REF!</f>
        <v>#REF!</v>
      </c>
      <c r="CK61" s="2003"/>
      <c r="CL61" s="2003"/>
      <c r="CM61" s="2003"/>
      <c r="CN61" s="2003"/>
      <c r="CO61" s="2003"/>
      <c r="CP61" s="2003"/>
      <c r="CQ61" s="2003"/>
      <c r="CR61" s="2003"/>
      <c r="CS61" s="2003"/>
      <c r="CT61" s="2003"/>
      <c r="CU61" s="2003"/>
      <c r="CV61" s="2003"/>
      <c r="CW61" s="2003"/>
      <c r="CX61" s="2003"/>
      <c r="CY61" s="2003"/>
      <c r="CZ61" s="2003"/>
      <c r="DA61" s="2003"/>
      <c r="DB61" s="2003"/>
      <c r="DC61" s="2003"/>
      <c r="DD61" s="2003"/>
      <c r="DE61" s="2003"/>
      <c r="DF61" s="2003"/>
      <c r="DG61" s="2003"/>
      <c r="DH61" s="2003"/>
      <c r="DI61" s="2003"/>
      <c r="DJ61" s="2003"/>
      <c r="DK61" s="2003"/>
      <c r="DL61" s="2003"/>
      <c r="DM61" s="2003"/>
      <c r="DN61" s="2003"/>
      <c r="DO61" s="2004"/>
      <c r="DP61" s="2003"/>
      <c r="DQ61" s="2003"/>
      <c r="DR61" s="2005"/>
      <c r="DS61" s="2005"/>
      <c r="DT61" s="2005"/>
      <c r="DU61" s="2005"/>
      <c r="DV61" s="2005"/>
      <c r="DW61" s="2005"/>
      <c r="DX61" s="2005"/>
      <c r="DY61" s="2005"/>
      <c r="DZ61" s="2005"/>
      <c r="EA61" s="2005"/>
      <c r="FF61" s="1616"/>
    </row>
    <row r="62" spans="1:162" hidden="1" outlineLevel="2">
      <c r="A62" s="1624" t="s">
        <v>1314</v>
      </c>
      <c r="B62" s="1624" t="s">
        <v>2073</v>
      </c>
      <c r="C62" s="1624" t="s">
        <v>2090</v>
      </c>
      <c r="D62" s="1624" t="s">
        <v>2086</v>
      </c>
      <c r="E62" s="2003">
        <f t="shared" si="69"/>
        <v>0</v>
      </c>
      <c r="F62" s="2003">
        <f>F48</f>
        <v>1700</v>
      </c>
      <c r="G62" s="2003">
        <f t="shared" si="70"/>
        <v>1700</v>
      </c>
      <c r="H62" s="2003">
        <f t="shared" si="70"/>
        <v>600</v>
      </c>
      <c r="I62" s="2003" t="e">
        <f>I48</f>
        <v>#REF!</v>
      </c>
      <c r="J62" s="2003"/>
      <c r="K62" s="2003"/>
      <c r="L62" s="2003">
        <f t="shared" si="60"/>
        <v>1700</v>
      </c>
      <c r="M62" s="2003">
        <f t="shared" si="61"/>
        <v>1700</v>
      </c>
      <c r="N62" s="2003"/>
      <c r="O62" s="2003"/>
      <c r="P62" s="2003"/>
      <c r="Q62" s="2003"/>
      <c r="R62" s="2003"/>
      <c r="S62" s="2003"/>
      <c r="T62" s="2003"/>
      <c r="U62" s="2003"/>
      <c r="V62" s="2003"/>
      <c r="W62" s="2003"/>
      <c r="X62" s="2003"/>
      <c r="Y62" s="2003"/>
      <c r="Z62" s="2003"/>
      <c r="AA62" s="2003"/>
      <c r="AB62" s="2003"/>
      <c r="AC62" s="2003"/>
      <c r="AD62" s="2003"/>
      <c r="AE62" s="2003"/>
      <c r="AF62" s="2003"/>
      <c r="AG62" s="2003"/>
      <c r="AH62" s="2003"/>
      <c r="AI62" s="2003"/>
      <c r="AJ62" s="2003"/>
      <c r="AK62" s="2003"/>
      <c r="AL62" s="2003"/>
      <c r="AM62" s="2003"/>
      <c r="AN62" s="2003"/>
      <c r="AO62" s="2003"/>
      <c r="AP62" s="2003"/>
      <c r="AQ62" s="2003"/>
      <c r="AR62" s="2003"/>
      <c r="AS62" s="2003"/>
      <c r="AT62" s="2003"/>
      <c r="AU62" s="2003"/>
      <c r="AV62" s="2003"/>
      <c r="AW62" s="2003"/>
      <c r="AX62" s="2003"/>
      <c r="AY62" s="2003"/>
      <c r="AZ62" s="2003"/>
      <c r="BA62" s="2003"/>
      <c r="BB62" s="2003"/>
      <c r="BC62" s="2003"/>
      <c r="BD62" s="2003"/>
      <c r="BE62" s="2003"/>
      <c r="BF62" s="2003"/>
      <c r="BG62" s="2003"/>
      <c r="BH62" s="2003"/>
      <c r="BI62" s="2003"/>
      <c r="BJ62" s="2003"/>
      <c r="BK62" s="2003"/>
      <c r="BL62" s="2003"/>
      <c r="BM62" s="2003"/>
      <c r="BN62" s="2003"/>
      <c r="BO62" s="2003"/>
      <c r="BP62" s="2003"/>
      <c r="BQ62" s="2003"/>
      <c r="BR62" s="2003"/>
      <c r="BS62" s="2003"/>
      <c r="BT62" s="2003"/>
      <c r="BU62" s="2003"/>
      <c r="BV62" s="2003"/>
      <c r="BW62" s="2003"/>
      <c r="BX62" s="2003"/>
      <c r="BY62" s="2003"/>
      <c r="BZ62" s="2003"/>
      <c r="CA62" s="2003"/>
      <c r="CB62" s="2003" t="e">
        <f t="shared" ref="CB62:CB70" si="71">$CB$60</f>
        <v>#REF!</v>
      </c>
      <c r="CC62" s="2003">
        <f t="shared" ref="CC62:CC70" si="72">$CC$60</f>
        <v>0</v>
      </c>
      <c r="CD62" s="2003">
        <f t="shared" ref="CD62:CD70" si="73">$CD$60</f>
        <v>2400</v>
      </c>
      <c r="CE62" s="2003" t="e">
        <f t="shared" ref="CE62:CE70" si="74">$CE$60</f>
        <v>#REF!</v>
      </c>
      <c r="CF62" s="2003">
        <f t="shared" ref="CF62:CF70" si="75">$CF$60</f>
        <v>1850</v>
      </c>
      <c r="CG62" s="2003">
        <f t="shared" ref="CG62:CG70" si="76">$CG$60</f>
        <v>0</v>
      </c>
      <c r="CH62" s="2006" t="e">
        <f>'стекла сайт'!CH50+#REF!</f>
        <v>#REF!</v>
      </c>
      <c r="CI62" s="2006" t="e">
        <f>'стекла сайт'!CI50+#REF!</f>
        <v>#REF!</v>
      </c>
      <c r="CJ62" s="2006" t="e">
        <f>'стекла сайт'!CJ50+#REF!</f>
        <v>#REF!</v>
      </c>
      <c r="CK62" s="2003"/>
      <c r="CL62" s="2003"/>
      <c r="CM62" s="2003"/>
      <c r="CN62" s="2003"/>
      <c r="CO62" s="2003"/>
      <c r="CP62" s="2003"/>
      <c r="CQ62" s="2003"/>
      <c r="CR62" s="2003"/>
      <c r="CS62" s="2003"/>
      <c r="CT62" s="2003"/>
      <c r="CU62" s="2003"/>
      <c r="CV62" s="2003"/>
      <c r="CW62" s="2003"/>
      <c r="CX62" s="2003"/>
      <c r="CY62" s="2003"/>
      <c r="CZ62" s="2003"/>
      <c r="DA62" s="2003"/>
      <c r="DB62" s="2003"/>
      <c r="DC62" s="2003"/>
      <c r="DD62" s="2003"/>
      <c r="DE62" s="2003"/>
      <c r="DF62" s="2003"/>
      <c r="DG62" s="2003"/>
      <c r="DH62" s="2003"/>
      <c r="DI62" s="2003"/>
      <c r="DJ62" s="2003"/>
      <c r="DK62" s="2003"/>
      <c r="DL62" s="2003"/>
      <c r="DM62" s="2003"/>
      <c r="DN62" s="2003"/>
      <c r="DO62" s="2004"/>
      <c r="DP62" s="2003"/>
      <c r="DQ62" s="2003"/>
      <c r="DR62" s="2005"/>
      <c r="DS62" s="2005"/>
      <c r="DT62" s="2005"/>
      <c r="DU62" s="2005"/>
      <c r="DV62" s="2005"/>
      <c r="DW62" s="2005"/>
      <c r="DX62" s="2005"/>
      <c r="DY62" s="2005"/>
      <c r="DZ62" s="2005"/>
      <c r="EA62" s="2005"/>
      <c r="FF62" s="1616"/>
    </row>
    <row r="63" spans="1:162" hidden="1" outlineLevel="2">
      <c r="A63" s="1624" t="s">
        <v>1314</v>
      </c>
      <c r="B63" s="1624" t="s">
        <v>2073</v>
      </c>
      <c r="C63" s="1624" t="s">
        <v>2090</v>
      </c>
      <c r="D63" s="1624" t="s">
        <v>2087</v>
      </c>
      <c r="E63" s="2003">
        <f t="shared" si="69"/>
        <v>0</v>
      </c>
      <c r="F63" s="2003">
        <f>F52</f>
        <v>1700</v>
      </c>
      <c r="G63" s="2003">
        <f t="shared" si="70"/>
        <v>1700</v>
      </c>
      <c r="H63" s="2003">
        <f t="shared" si="70"/>
        <v>600</v>
      </c>
      <c r="I63" s="2003" t="e">
        <f>I52</f>
        <v>#REF!</v>
      </c>
      <c r="J63" s="2003"/>
      <c r="K63" s="2003"/>
      <c r="L63" s="2003">
        <f t="shared" si="60"/>
        <v>1700</v>
      </c>
      <c r="M63" s="2003">
        <f t="shared" si="61"/>
        <v>1700</v>
      </c>
      <c r="N63" s="2003"/>
      <c r="O63" s="2003"/>
      <c r="P63" s="2003"/>
      <c r="Q63" s="2003"/>
      <c r="R63" s="2003"/>
      <c r="S63" s="2003"/>
      <c r="T63" s="2003"/>
      <c r="U63" s="2003"/>
      <c r="V63" s="2003"/>
      <c r="W63" s="2003"/>
      <c r="X63" s="2003"/>
      <c r="Y63" s="2003"/>
      <c r="Z63" s="2003"/>
      <c r="AA63" s="2003"/>
      <c r="AB63" s="2003"/>
      <c r="AC63" s="2003"/>
      <c r="AD63" s="2003"/>
      <c r="AE63" s="2003"/>
      <c r="AF63" s="2003"/>
      <c r="AG63" s="2003"/>
      <c r="AH63" s="2003"/>
      <c r="AI63" s="2003"/>
      <c r="AJ63" s="2003"/>
      <c r="AK63" s="2003"/>
      <c r="AL63" s="2003"/>
      <c r="AM63" s="2003"/>
      <c r="AN63" s="2003"/>
      <c r="AO63" s="2003"/>
      <c r="AP63" s="2003"/>
      <c r="AQ63" s="2003"/>
      <c r="AR63" s="2003"/>
      <c r="AS63" s="2003"/>
      <c r="AT63" s="2003"/>
      <c r="AU63" s="2003"/>
      <c r="AV63" s="2003"/>
      <c r="AW63" s="2003"/>
      <c r="AX63" s="2003"/>
      <c r="AY63" s="2003"/>
      <c r="AZ63" s="2003"/>
      <c r="BA63" s="2003"/>
      <c r="BB63" s="2003"/>
      <c r="BC63" s="2003"/>
      <c r="BD63" s="2003"/>
      <c r="BE63" s="2003"/>
      <c r="BF63" s="2003"/>
      <c r="BG63" s="2003"/>
      <c r="BH63" s="2003"/>
      <c r="BI63" s="2003"/>
      <c r="BJ63" s="2003"/>
      <c r="BK63" s="2003"/>
      <c r="BL63" s="2003"/>
      <c r="BM63" s="2003"/>
      <c r="BN63" s="2003"/>
      <c r="BO63" s="2003"/>
      <c r="BP63" s="2003"/>
      <c r="BQ63" s="2003"/>
      <c r="BR63" s="2003"/>
      <c r="BS63" s="2003"/>
      <c r="BT63" s="2003"/>
      <c r="BU63" s="2003"/>
      <c r="BV63" s="2003"/>
      <c r="BW63" s="2003"/>
      <c r="BX63" s="2003"/>
      <c r="BY63" s="2003"/>
      <c r="BZ63" s="2003"/>
      <c r="CA63" s="2003"/>
      <c r="CB63" s="2003" t="e">
        <f t="shared" si="71"/>
        <v>#REF!</v>
      </c>
      <c r="CC63" s="2003">
        <f t="shared" si="72"/>
        <v>0</v>
      </c>
      <c r="CD63" s="2003">
        <f t="shared" si="73"/>
        <v>2400</v>
      </c>
      <c r="CE63" s="2003" t="e">
        <f t="shared" si="74"/>
        <v>#REF!</v>
      </c>
      <c r="CF63" s="2003">
        <f t="shared" si="75"/>
        <v>1850</v>
      </c>
      <c r="CG63" s="2003">
        <f t="shared" si="76"/>
        <v>0</v>
      </c>
      <c r="CH63" s="2006" t="e">
        <f>'стекла сайт'!CH51+#REF!</f>
        <v>#REF!</v>
      </c>
      <c r="CI63" s="2006" t="e">
        <f>'стекла сайт'!CI51+#REF!</f>
        <v>#REF!</v>
      </c>
      <c r="CJ63" s="2006" t="e">
        <f>'стекла сайт'!CJ51+#REF!</f>
        <v>#REF!</v>
      </c>
      <c r="CK63" s="2003"/>
      <c r="CL63" s="2003"/>
      <c r="CM63" s="2003"/>
      <c r="CN63" s="2003"/>
      <c r="CO63" s="2003"/>
      <c r="CP63" s="2003"/>
      <c r="CQ63" s="2003"/>
      <c r="CR63" s="2003"/>
      <c r="CS63" s="2003"/>
      <c r="CT63" s="2003"/>
      <c r="CU63" s="2003"/>
      <c r="CV63" s="2003"/>
      <c r="CW63" s="2003"/>
      <c r="CX63" s="2003"/>
      <c r="CY63" s="2003"/>
      <c r="CZ63" s="2003"/>
      <c r="DA63" s="2003"/>
      <c r="DB63" s="2003"/>
      <c r="DC63" s="2003"/>
      <c r="DD63" s="2003"/>
      <c r="DE63" s="2003"/>
      <c r="DF63" s="2003"/>
      <c r="DG63" s="2003"/>
      <c r="DH63" s="2003"/>
      <c r="DI63" s="2003"/>
      <c r="DJ63" s="2003"/>
      <c r="DK63" s="2003"/>
      <c r="DL63" s="2003"/>
      <c r="DM63" s="2003"/>
      <c r="DN63" s="2003"/>
      <c r="DO63" s="2004"/>
      <c r="DP63" s="2003"/>
      <c r="DQ63" s="2003"/>
      <c r="DR63" s="2005"/>
      <c r="DS63" s="2005"/>
      <c r="DT63" s="2005"/>
      <c r="DU63" s="2005"/>
      <c r="DV63" s="2005"/>
      <c r="DW63" s="2005"/>
      <c r="DX63" s="2005"/>
      <c r="DY63" s="2005"/>
      <c r="DZ63" s="2005"/>
      <c r="EA63" s="2005"/>
      <c r="FF63" s="1616"/>
    </row>
    <row r="64" spans="1:162" hidden="1" outlineLevel="2">
      <c r="A64" s="1624" t="s">
        <v>1314</v>
      </c>
      <c r="B64" s="1624" t="s">
        <v>2074</v>
      </c>
      <c r="C64" s="1624" t="s">
        <v>2090</v>
      </c>
      <c r="D64" s="1624" t="s">
        <v>2085</v>
      </c>
      <c r="E64" s="2003">
        <f t="shared" si="69"/>
        <v>0</v>
      </c>
      <c r="F64" s="2003">
        <f>F52</f>
        <v>1700</v>
      </c>
      <c r="G64" s="2003">
        <f t="shared" si="70"/>
        <v>1700</v>
      </c>
      <c r="H64" s="2003">
        <f t="shared" si="70"/>
        <v>600</v>
      </c>
      <c r="I64" s="2003" t="e">
        <f>I52</f>
        <v>#REF!</v>
      </c>
      <c r="J64" s="2003"/>
      <c r="K64" s="2003"/>
      <c r="L64" s="2003">
        <f t="shared" si="60"/>
        <v>1700</v>
      </c>
      <c r="M64" s="2003">
        <f t="shared" si="61"/>
        <v>1700</v>
      </c>
      <c r="N64" s="2003"/>
      <c r="O64" s="2003"/>
      <c r="P64" s="2003"/>
      <c r="Q64" s="2003"/>
      <c r="R64" s="2003"/>
      <c r="S64" s="2003"/>
      <c r="T64" s="2003"/>
      <c r="U64" s="2003"/>
      <c r="V64" s="2003"/>
      <c r="W64" s="2003"/>
      <c r="X64" s="2003"/>
      <c r="Y64" s="2003"/>
      <c r="Z64" s="2003"/>
      <c r="AA64" s="2003"/>
      <c r="AB64" s="2003"/>
      <c r="AC64" s="2003"/>
      <c r="AD64" s="2003"/>
      <c r="AE64" s="2003"/>
      <c r="AF64" s="2003"/>
      <c r="AG64" s="2003"/>
      <c r="AH64" s="2003"/>
      <c r="AI64" s="2003"/>
      <c r="AJ64" s="2003"/>
      <c r="AK64" s="2003"/>
      <c r="AL64" s="2003"/>
      <c r="AM64" s="2003"/>
      <c r="AN64" s="2003"/>
      <c r="AO64" s="2003"/>
      <c r="AP64" s="2003"/>
      <c r="AQ64" s="2003"/>
      <c r="AR64" s="2003"/>
      <c r="AS64" s="2003"/>
      <c r="AT64" s="2003"/>
      <c r="AU64" s="2003"/>
      <c r="AV64" s="2003"/>
      <c r="AW64" s="2003"/>
      <c r="AX64" s="2003"/>
      <c r="AY64" s="2003"/>
      <c r="AZ64" s="2003"/>
      <c r="BA64" s="2003"/>
      <c r="BB64" s="2003"/>
      <c r="BC64" s="2003"/>
      <c r="BD64" s="2003"/>
      <c r="BE64" s="2003"/>
      <c r="BF64" s="2003"/>
      <c r="BG64" s="2003"/>
      <c r="BH64" s="2003"/>
      <c r="BI64" s="2003"/>
      <c r="BJ64" s="2003"/>
      <c r="BK64" s="2003"/>
      <c r="BL64" s="2003"/>
      <c r="BM64" s="2003"/>
      <c r="BN64" s="2003"/>
      <c r="BO64" s="2003"/>
      <c r="BP64" s="2003"/>
      <c r="BQ64" s="2003"/>
      <c r="BR64" s="2003"/>
      <c r="BS64" s="2003"/>
      <c r="BT64" s="2003"/>
      <c r="BU64" s="2003"/>
      <c r="BV64" s="2003"/>
      <c r="BW64" s="2003"/>
      <c r="BX64" s="2003"/>
      <c r="BY64" s="2003"/>
      <c r="BZ64" s="2003"/>
      <c r="CA64" s="2003"/>
      <c r="CB64" s="2003" t="e">
        <f t="shared" si="71"/>
        <v>#REF!</v>
      </c>
      <c r="CC64" s="2003">
        <f t="shared" si="72"/>
        <v>0</v>
      </c>
      <c r="CD64" s="2003">
        <f t="shared" si="73"/>
        <v>2400</v>
      </c>
      <c r="CE64" s="2003" t="e">
        <f t="shared" si="74"/>
        <v>#REF!</v>
      </c>
      <c r="CF64" s="2003">
        <f t="shared" si="75"/>
        <v>1850</v>
      </c>
      <c r="CG64" s="2003">
        <f t="shared" si="76"/>
        <v>0</v>
      </c>
      <c r="CH64" s="2006" t="e">
        <f>'стекла сайт'!CH52+#REF!</f>
        <v>#REF!</v>
      </c>
      <c r="CI64" s="2006" t="e">
        <f>'стекла сайт'!CI52+#REF!</f>
        <v>#REF!</v>
      </c>
      <c r="CJ64" s="2006" t="e">
        <f>'стекла сайт'!CJ52+#REF!</f>
        <v>#REF!</v>
      </c>
      <c r="CK64" s="2003"/>
      <c r="CL64" s="2003"/>
      <c r="CM64" s="2003"/>
      <c r="CN64" s="2003"/>
      <c r="CO64" s="2003"/>
      <c r="CP64" s="2003"/>
      <c r="CQ64" s="2003"/>
      <c r="CR64" s="2003"/>
      <c r="CS64" s="2003"/>
      <c r="CT64" s="2003"/>
      <c r="CU64" s="2003"/>
      <c r="CV64" s="2003"/>
      <c r="CW64" s="2003"/>
      <c r="CX64" s="2003"/>
      <c r="CY64" s="2003"/>
      <c r="CZ64" s="2003"/>
      <c r="DA64" s="2003"/>
      <c r="DB64" s="2003"/>
      <c r="DC64" s="2003"/>
      <c r="DD64" s="2003"/>
      <c r="DE64" s="2003"/>
      <c r="DF64" s="2003"/>
      <c r="DG64" s="2003"/>
      <c r="DH64" s="2003"/>
      <c r="DI64" s="2003"/>
      <c r="DJ64" s="2003"/>
      <c r="DK64" s="2003"/>
      <c r="DL64" s="2003"/>
      <c r="DM64" s="2003"/>
      <c r="DN64" s="2003"/>
      <c r="DO64" s="2004"/>
      <c r="DP64" s="2003"/>
      <c r="DQ64" s="2003"/>
      <c r="DR64" s="2005"/>
      <c r="DS64" s="2005"/>
      <c r="DT64" s="2005"/>
      <c r="DU64" s="2005"/>
      <c r="DV64" s="2005"/>
      <c r="DW64" s="2005"/>
      <c r="DX64" s="2005"/>
      <c r="DY64" s="2005"/>
      <c r="DZ64" s="2005"/>
      <c r="EA64" s="2005"/>
      <c r="FF64" s="1616"/>
    </row>
    <row r="65" spans="1:162" hidden="1" outlineLevel="2">
      <c r="A65" s="1624" t="s">
        <v>1314</v>
      </c>
      <c r="B65" s="1624" t="s">
        <v>2074</v>
      </c>
      <c r="C65" s="1624" t="s">
        <v>2090</v>
      </c>
      <c r="D65" s="1624" t="s">
        <v>722</v>
      </c>
      <c r="E65" s="2003">
        <f t="shared" si="69"/>
        <v>0</v>
      </c>
      <c r="F65" s="2003">
        <f>F52</f>
        <v>1700</v>
      </c>
      <c r="G65" s="2003">
        <f t="shared" si="70"/>
        <v>1700</v>
      </c>
      <c r="H65" s="2003">
        <f t="shared" si="70"/>
        <v>600</v>
      </c>
      <c r="I65" s="2003" t="e">
        <f>I52</f>
        <v>#REF!</v>
      </c>
      <c r="J65" s="2003"/>
      <c r="K65" s="2003"/>
      <c r="L65" s="2003">
        <f t="shared" si="60"/>
        <v>1700</v>
      </c>
      <c r="M65" s="2003">
        <f t="shared" si="61"/>
        <v>1700</v>
      </c>
      <c r="N65" s="2003"/>
      <c r="O65" s="2003"/>
      <c r="P65" s="2003"/>
      <c r="Q65" s="2003"/>
      <c r="R65" s="2003"/>
      <c r="S65" s="2003"/>
      <c r="T65" s="2003"/>
      <c r="U65" s="2003"/>
      <c r="V65" s="2003"/>
      <c r="W65" s="2003"/>
      <c r="X65" s="2003"/>
      <c r="Y65" s="2003"/>
      <c r="Z65" s="2003"/>
      <c r="AA65" s="2003"/>
      <c r="AB65" s="2003"/>
      <c r="AC65" s="2003"/>
      <c r="AD65" s="2003"/>
      <c r="AE65" s="2003"/>
      <c r="AF65" s="2003"/>
      <c r="AG65" s="2003"/>
      <c r="AH65" s="2003"/>
      <c r="AI65" s="2003"/>
      <c r="AJ65" s="2003"/>
      <c r="AK65" s="2003"/>
      <c r="AL65" s="2003"/>
      <c r="AM65" s="2003"/>
      <c r="AN65" s="2003"/>
      <c r="AO65" s="2003"/>
      <c r="AP65" s="2003"/>
      <c r="AQ65" s="2003"/>
      <c r="AR65" s="2003"/>
      <c r="AS65" s="2003"/>
      <c r="AT65" s="2003"/>
      <c r="AU65" s="2003"/>
      <c r="AV65" s="2003"/>
      <c r="AW65" s="2003"/>
      <c r="AX65" s="2003"/>
      <c r="AY65" s="2003"/>
      <c r="AZ65" s="2003"/>
      <c r="BA65" s="2003"/>
      <c r="BB65" s="2003"/>
      <c r="BC65" s="2003"/>
      <c r="BD65" s="2003"/>
      <c r="BE65" s="2003"/>
      <c r="BF65" s="2003"/>
      <c r="BG65" s="2003"/>
      <c r="BH65" s="2003"/>
      <c r="BI65" s="2003"/>
      <c r="BJ65" s="2003"/>
      <c r="BK65" s="2003"/>
      <c r="BL65" s="2003"/>
      <c r="BM65" s="2003"/>
      <c r="BN65" s="2003"/>
      <c r="BO65" s="2003"/>
      <c r="BP65" s="2003"/>
      <c r="BQ65" s="2003"/>
      <c r="BR65" s="2003"/>
      <c r="BS65" s="2003"/>
      <c r="BT65" s="2003"/>
      <c r="BU65" s="2003"/>
      <c r="BV65" s="2003"/>
      <c r="BW65" s="2003"/>
      <c r="BX65" s="2003"/>
      <c r="BY65" s="2003"/>
      <c r="BZ65" s="2003"/>
      <c r="CA65" s="2003"/>
      <c r="CB65" s="2003" t="e">
        <f t="shared" si="71"/>
        <v>#REF!</v>
      </c>
      <c r="CC65" s="2003">
        <f t="shared" si="72"/>
        <v>0</v>
      </c>
      <c r="CD65" s="2003">
        <f t="shared" si="73"/>
        <v>2400</v>
      </c>
      <c r="CE65" s="2003" t="e">
        <f t="shared" si="74"/>
        <v>#REF!</v>
      </c>
      <c r="CF65" s="2003">
        <f t="shared" si="75"/>
        <v>1850</v>
      </c>
      <c r="CG65" s="2003">
        <f t="shared" si="76"/>
        <v>0</v>
      </c>
      <c r="CH65" s="2006" t="e">
        <f>'стекла сайт'!CH53+#REF!</f>
        <v>#REF!</v>
      </c>
      <c r="CI65" s="2006" t="e">
        <f>'стекла сайт'!CI53+#REF!</f>
        <v>#REF!</v>
      </c>
      <c r="CJ65" s="2006" t="e">
        <f>'стекла сайт'!CJ53+#REF!</f>
        <v>#REF!</v>
      </c>
      <c r="CK65" s="2003"/>
      <c r="CL65" s="2003"/>
      <c r="CM65" s="2003"/>
      <c r="CN65" s="2003"/>
      <c r="CO65" s="2003"/>
      <c r="CP65" s="2003"/>
      <c r="CQ65" s="2003"/>
      <c r="CR65" s="2003"/>
      <c r="CS65" s="2003"/>
      <c r="CT65" s="2003"/>
      <c r="CU65" s="2003"/>
      <c r="CV65" s="2003"/>
      <c r="CW65" s="2003"/>
      <c r="CX65" s="2003"/>
      <c r="CY65" s="2003"/>
      <c r="CZ65" s="2003"/>
      <c r="DA65" s="2003"/>
      <c r="DB65" s="2003"/>
      <c r="DC65" s="2003"/>
      <c r="DD65" s="2003"/>
      <c r="DE65" s="2003"/>
      <c r="DF65" s="2003"/>
      <c r="DG65" s="2003"/>
      <c r="DH65" s="2003"/>
      <c r="DI65" s="2003"/>
      <c r="DJ65" s="2003"/>
      <c r="DK65" s="2003"/>
      <c r="DL65" s="2003"/>
      <c r="DM65" s="2003"/>
      <c r="DN65" s="2003"/>
      <c r="DO65" s="2004"/>
      <c r="DP65" s="2003"/>
      <c r="DQ65" s="2003"/>
      <c r="DR65" s="2005"/>
      <c r="DS65" s="2005"/>
      <c r="DT65" s="2005"/>
      <c r="DU65" s="2005"/>
      <c r="DV65" s="2005"/>
      <c r="DW65" s="2005"/>
      <c r="DX65" s="2005"/>
      <c r="DY65" s="2005"/>
      <c r="DZ65" s="2005"/>
      <c r="EA65" s="2005"/>
      <c r="FF65" s="1616"/>
    </row>
    <row r="66" spans="1:162" hidden="1" outlineLevel="2">
      <c r="A66" s="1624" t="s">
        <v>1314</v>
      </c>
      <c r="B66" s="1624" t="s">
        <v>2074</v>
      </c>
      <c r="C66" s="1624" t="s">
        <v>2090</v>
      </c>
      <c r="D66" s="1624" t="s">
        <v>2086</v>
      </c>
      <c r="E66" s="2003">
        <f t="shared" si="69"/>
        <v>0</v>
      </c>
      <c r="F66" s="2003">
        <f>F52</f>
        <v>1700</v>
      </c>
      <c r="G66" s="2003">
        <f t="shared" si="70"/>
        <v>1700</v>
      </c>
      <c r="H66" s="2003">
        <f t="shared" si="70"/>
        <v>600</v>
      </c>
      <c r="I66" s="2003" t="e">
        <f>I52</f>
        <v>#REF!</v>
      </c>
      <c r="J66" s="2003"/>
      <c r="K66" s="2003"/>
      <c r="L66" s="2003">
        <f t="shared" si="60"/>
        <v>1700</v>
      </c>
      <c r="M66" s="2003">
        <f t="shared" si="61"/>
        <v>1700</v>
      </c>
      <c r="N66" s="2003"/>
      <c r="O66" s="2003"/>
      <c r="P66" s="2003"/>
      <c r="Q66" s="2003"/>
      <c r="R66" s="2003"/>
      <c r="S66" s="2003"/>
      <c r="T66" s="2003"/>
      <c r="U66" s="2003"/>
      <c r="V66" s="2003"/>
      <c r="W66" s="2003"/>
      <c r="X66" s="2003"/>
      <c r="Y66" s="2003"/>
      <c r="Z66" s="2003"/>
      <c r="AA66" s="2003"/>
      <c r="AB66" s="2003"/>
      <c r="AC66" s="2003"/>
      <c r="AD66" s="2003"/>
      <c r="AE66" s="2003"/>
      <c r="AF66" s="2003"/>
      <c r="AG66" s="2003"/>
      <c r="AH66" s="2003"/>
      <c r="AI66" s="2003"/>
      <c r="AJ66" s="2003"/>
      <c r="AK66" s="2003"/>
      <c r="AL66" s="2003"/>
      <c r="AM66" s="2003"/>
      <c r="AN66" s="2003"/>
      <c r="AO66" s="2003"/>
      <c r="AP66" s="2003"/>
      <c r="AQ66" s="2003"/>
      <c r="AR66" s="2003"/>
      <c r="AS66" s="2003"/>
      <c r="AT66" s="2003"/>
      <c r="AU66" s="2003"/>
      <c r="AV66" s="2003"/>
      <c r="AW66" s="2003"/>
      <c r="AX66" s="2003"/>
      <c r="AY66" s="2003"/>
      <c r="AZ66" s="2003"/>
      <c r="BA66" s="2003"/>
      <c r="BB66" s="2003"/>
      <c r="BC66" s="2003"/>
      <c r="BD66" s="2003"/>
      <c r="BE66" s="2003"/>
      <c r="BF66" s="2003"/>
      <c r="BG66" s="2003"/>
      <c r="BH66" s="2003"/>
      <c r="BI66" s="2003"/>
      <c r="BJ66" s="2003"/>
      <c r="BK66" s="2003"/>
      <c r="BL66" s="2003"/>
      <c r="BM66" s="2003"/>
      <c r="BN66" s="2003"/>
      <c r="BO66" s="2003"/>
      <c r="BP66" s="2003"/>
      <c r="BQ66" s="2003"/>
      <c r="BR66" s="2003"/>
      <c r="BS66" s="2003"/>
      <c r="BT66" s="2003"/>
      <c r="BU66" s="2003"/>
      <c r="BV66" s="2003"/>
      <c r="BW66" s="2003"/>
      <c r="BX66" s="2003"/>
      <c r="BY66" s="2003"/>
      <c r="BZ66" s="2003"/>
      <c r="CA66" s="2003"/>
      <c r="CB66" s="2003" t="e">
        <f t="shared" si="71"/>
        <v>#REF!</v>
      </c>
      <c r="CC66" s="2003">
        <f t="shared" si="72"/>
        <v>0</v>
      </c>
      <c r="CD66" s="2003">
        <f t="shared" si="73"/>
        <v>2400</v>
      </c>
      <c r="CE66" s="2003" t="e">
        <f t="shared" si="74"/>
        <v>#REF!</v>
      </c>
      <c r="CF66" s="2003">
        <f t="shared" si="75"/>
        <v>1850</v>
      </c>
      <c r="CG66" s="2003">
        <f t="shared" si="76"/>
        <v>0</v>
      </c>
      <c r="CH66" s="2006" t="e">
        <f>'стекла сайт'!CH54+#REF!</f>
        <v>#REF!</v>
      </c>
      <c r="CI66" s="2006" t="e">
        <f>'стекла сайт'!CI54+#REF!</f>
        <v>#REF!</v>
      </c>
      <c r="CJ66" s="2006" t="e">
        <f>'стекла сайт'!CJ54+#REF!</f>
        <v>#REF!</v>
      </c>
      <c r="CK66" s="2003"/>
      <c r="CL66" s="2003"/>
      <c r="CM66" s="2003"/>
      <c r="CN66" s="2003"/>
      <c r="CO66" s="2003"/>
      <c r="CP66" s="2003"/>
      <c r="CQ66" s="2003"/>
      <c r="CR66" s="2003"/>
      <c r="CS66" s="2003"/>
      <c r="CT66" s="2003"/>
      <c r="CU66" s="2003"/>
      <c r="CV66" s="2003"/>
      <c r="CW66" s="2003"/>
      <c r="CX66" s="2003"/>
      <c r="CY66" s="2003"/>
      <c r="CZ66" s="2003"/>
      <c r="DA66" s="2003"/>
      <c r="DB66" s="2003"/>
      <c r="DC66" s="2003"/>
      <c r="DD66" s="2003"/>
      <c r="DE66" s="2003"/>
      <c r="DF66" s="2003"/>
      <c r="DG66" s="2003"/>
      <c r="DH66" s="2003"/>
      <c r="DI66" s="2003"/>
      <c r="DJ66" s="2003"/>
      <c r="DK66" s="2003"/>
      <c r="DL66" s="2003"/>
      <c r="DM66" s="2003"/>
      <c r="DN66" s="2003"/>
      <c r="DO66" s="2004"/>
      <c r="DP66" s="2003"/>
      <c r="DQ66" s="2003"/>
      <c r="DR66" s="2005"/>
      <c r="DS66" s="2005"/>
      <c r="DT66" s="2005"/>
      <c r="DU66" s="2005"/>
      <c r="DV66" s="2005"/>
      <c r="DW66" s="2005"/>
      <c r="DX66" s="2005"/>
      <c r="DY66" s="2005"/>
      <c r="DZ66" s="2005"/>
      <c r="EA66" s="2005"/>
      <c r="FF66" s="1616"/>
    </row>
    <row r="67" spans="1:162" hidden="1" outlineLevel="2">
      <c r="A67" s="1624" t="s">
        <v>1314</v>
      </c>
      <c r="B67" s="1624" t="s">
        <v>2074</v>
      </c>
      <c r="C67" s="1624" t="s">
        <v>2090</v>
      </c>
      <c r="D67" s="1624" t="s">
        <v>2087</v>
      </c>
      <c r="E67" s="2003">
        <f t="shared" si="69"/>
        <v>0</v>
      </c>
      <c r="F67" s="2003">
        <f>F52</f>
        <v>1700</v>
      </c>
      <c r="G67" s="2003">
        <f t="shared" si="70"/>
        <v>1700</v>
      </c>
      <c r="H67" s="2003">
        <f t="shared" si="70"/>
        <v>600</v>
      </c>
      <c r="I67" s="2003" t="e">
        <f>I52</f>
        <v>#REF!</v>
      </c>
      <c r="J67" s="2003"/>
      <c r="K67" s="2003"/>
      <c r="L67" s="2003">
        <f t="shared" si="60"/>
        <v>1700</v>
      </c>
      <c r="M67" s="2003">
        <f t="shared" si="61"/>
        <v>1700</v>
      </c>
      <c r="N67" s="2003"/>
      <c r="O67" s="2003"/>
      <c r="P67" s="2003"/>
      <c r="Q67" s="2003"/>
      <c r="R67" s="2003"/>
      <c r="S67" s="2003"/>
      <c r="T67" s="2003"/>
      <c r="U67" s="2003"/>
      <c r="V67" s="2003"/>
      <c r="W67" s="2003"/>
      <c r="X67" s="2003"/>
      <c r="Y67" s="2003"/>
      <c r="Z67" s="2003"/>
      <c r="AA67" s="2003"/>
      <c r="AB67" s="2003"/>
      <c r="AC67" s="2003"/>
      <c r="AD67" s="2003"/>
      <c r="AE67" s="2003"/>
      <c r="AF67" s="2003"/>
      <c r="AG67" s="2003"/>
      <c r="AH67" s="2003"/>
      <c r="AI67" s="2003"/>
      <c r="AJ67" s="2003"/>
      <c r="AK67" s="2003"/>
      <c r="AL67" s="2003"/>
      <c r="AM67" s="2003"/>
      <c r="AN67" s="2003"/>
      <c r="AO67" s="2003"/>
      <c r="AP67" s="2003"/>
      <c r="AQ67" s="2003"/>
      <c r="AR67" s="2003"/>
      <c r="AS67" s="2003"/>
      <c r="AT67" s="2003"/>
      <c r="AU67" s="2003"/>
      <c r="AV67" s="2003"/>
      <c r="AW67" s="2003"/>
      <c r="AX67" s="2003"/>
      <c r="AY67" s="2003"/>
      <c r="AZ67" s="2003"/>
      <c r="BA67" s="2003"/>
      <c r="BB67" s="2003"/>
      <c r="BC67" s="2003"/>
      <c r="BD67" s="2003"/>
      <c r="BE67" s="2003"/>
      <c r="BF67" s="2003"/>
      <c r="BG67" s="2003"/>
      <c r="BH67" s="2003"/>
      <c r="BI67" s="2003"/>
      <c r="BJ67" s="2003"/>
      <c r="BK67" s="2003"/>
      <c r="BL67" s="2003"/>
      <c r="BM67" s="2003"/>
      <c r="BN67" s="2003"/>
      <c r="BO67" s="2003"/>
      <c r="BP67" s="2003"/>
      <c r="BQ67" s="2003"/>
      <c r="BR67" s="2003"/>
      <c r="BS67" s="2003"/>
      <c r="BT67" s="2003"/>
      <c r="BU67" s="2003"/>
      <c r="BV67" s="2003"/>
      <c r="BW67" s="2003"/>
      <c r="BX67" s="2003"/>
      <c r="BY67" s="2003"/>
      <c r="BZ67" s="2003"/>
      <c r="CA67" s="2003"/>
      <c r="CB67" s="2003" t="e">
        <f t="shared" si="71"/>
        <v>#REF!</v>
      </c>
      <c r="CC67" s="2003">
        <f t="shared" si="72"/>
        <v>0</v>
      </c>
      <c r="CD67" s="2003">
        <f t="shared" si="73"/>
        <v>2400</v>
      </c>
      <c r="CE67" s="2003" t="e">
        <f t="shared" si="74"/>
        <v>#REF!</v>
      </c>
      <c r="CF67" s="2003">
        <f t="shared" si="75"/>
        <v>1850</v>
      </c>
      <c r="CG67" s="2003">
        <f t="shared" si="76"/>
        <v>0</v>
      </c>
      <c r="CH67" s="2006" t="e">
        <f>'стекла сайт'!CH55+#REF!</f>
        <v>#REF!</v>
      </c>
      <c r="CI67" s="2006" t="e">
        <f>'стекла сайт'!CI55+#REF!</f>
        <v>#REF!</v>
      </c>
      <c r="CJ67" s="2006" t="e">
        <f>'стекла сайт'!CJ55+#REF!</f>
        <v>#REF!</v>
      </c>
      <c r="CK67" s="2003"/>
      <c r="CL67" s="2003"/>
      <c r="CM67" s="2003"/>
      <c r="CN67" s="2003"/>
      <c r="CO67" s="2003"/>
      <c r="CP67" s="2003"/>
      <c r="CQ67" s="2003"/>
      <c r="CR67" s="2003"/>
      <c r="CS67" s="2003"/>
      <c r="CT67" s="2003"/>
      <c r="CU67" s="2003"/>
      <c r="CV67" s="2003"/>
      <c r="CW67" s="2003"/>
      <c r="CX67" s="2003"/>
      <c r="CY67" s="2003"/>
      <c r="CZ67" s="2003"/>
      <c r="DA67" s="2003"/>
      <c r="DB67" s="2003"/>
      <c r="DC67" s="2003"/>
      <c r="DD67" s="2003"/>
      <c r="DE67" s="2003"/>
      <c r="DF67" s="2003"/>
      <c r="DG67" s="2003"/>
      <c r="DH67" s="2003"/>
      <c r="DI67" s="2003"/>
      <c r="DJ67" s="2003"/>
      <c r="DK67" s="2003"/>
      <c r="DL67" s="2003"/>
      <c r="DM67" s="2003"/>
      <c r="DN67" s="2003"/>
      <c r="DO67" s="2004"/>
      <c r="DP67" s="2003"/>
      <c r="DQ67" s="2003"/>
      <c r="DR67" s="2005"/>
      <c r="DS67" s="2005"/>
      <c r="DT67" s="2005"/>
      <c r="DU67" s="2005"/>
      <c r="DV67" s="2005"/>
      <c r="DW67" s="2005"/>
      <c r="DX67" s="2005"/>
      <c r="DY67" s="2005"/>
      <c r="DZ67" s="2005"/>
      <c r="EA67" s="2005"/>
      <c r="FF67" s="1616"/>
    </row>
    <row r="68" spans="1:162" hidden="1" outlineLevel="2">
      <c r="A68" s="1624" t="s">
        <v>1314</v>
      </c>
      <c r="B68" s="1624" t="s">
        <v>2075</v>
      </c>
      <c r="C68" s="1624" t="s">
        <v>2090</v>
      </c>
      <c r="D68" s="1624" t="s">
        <v>2085</v>
      </c>
      <c r="E68" s="2003">
        <f t="shared" si="69"/>
        <v>0</v>
      </c>
      <c r="F68" s="2003">
        <f>F52</f>
        <v>1700</v>
      </c>
      <c r="G68" s="2003">
        <f t="shared" si="70"/>
        <v>1700</v>
      </c>
      <c r="H68" s="2003">
        <f t="shared" si="70"/>
        <v>600</v>
      </c>
      <c r="I68" s="2003" t="e">
        <f>I52</f>
        <v>#REF!</v>
      </c>
      <c r="J68" s="2003"/>
      <c r="K68" s="2003"/>
      <c r="L68" s="2003">
        <f t="shared" si="60"/>
        <v>1700</v>
      </c>
      <c r="M68" s="2003">
        <f t="shared" si="61"/>
        <v>1700</v>
      </c>
      <c r="N68" s="2003"/>
      <c r="O68" s="2003"/>
      <c r="P68" s="2003"/>
      <c r="Q68" s="2003"/>
      <c r="R68" s="2003"/>
      <c r="S68" s="2003"/>
      <c r="T68" s="2003"/>
      <c r="U68" s="2003"/>
      <c r="V68" s="2003"/>
      <c r="W68" s="2003"/>
      <c r="X68" s="2003"/>
      <c r="Y68" s="2003"/>
      <c r="Z68" s="2003"/>
      <c r="AA68" s="2003"/>
      <c r="AB68" s="2003"/>
      <c r="AC68" s="2003"/>
      <c r="AD68" s="2003"/>
      <c r="AE68" s="2003"/>
      <c r="AF68" s="2003"/>
      <c r="AG68" s="2003"/>
      <c r="AH68" s="2003"/>
      <c r="AI68" s="2003"/>
      <c r="AJ68" s="2003"/>
      <c r="AK68" s="2003"/>
      <c r="AL68" s="2003"/>
      <c r="AM68" s="2003"/>
      <c r="AN68" s="2003"/>
      <c r="AO68" s="2003"/>
      <c r="AP68" s="2003"/>
      <c r="AQ68" s="2003"/>
      <c r="AR68" s="2003"/>
      <c r="AS68" s="2003"/>
      <c r="AT68" s="2003"/>
      <c r="AU68" s="2003"/>
      <c r="AV68" s="2003"/>
      <c r="AW68" s="2003"/>
      <c r="AX68" s="2003"/>
      <c r="AY68" s="2003"/>
      <c r="AZ68" s="2003"/>
      <c r="BA68" s="2003"/>
      <c r="BB68" s="2003"/>
      <c r="BC68" s="2003"/>
      <c r="BD68" s="2003"/>
      <c r="BE68" s="2003"/>
      <c r="BF68" s="2003"/>
      <c r="BG68" s="2003"/>
      <c r="BH68" s="2003"/>
      <c r="BI68" s="2003"/>
      <c r="BJ68" s="2003"/>
      <c r="BK68" s="2003"/>
      <c r="BL68" s="2003"/>
      <c r="BM68" s="2003"/>
      <c r="BN68" s="2003"/>
      <c r="BO68" s="2003"/>
      <c r="BP68" s="2003"/>
      <c r="BQ68" s="2003"/>
      <c r="BR68" s="2003"/>
      <c r="BS68" s="2003"/>
      <c r="BT68" s="2003"/>
      <c r="BU68" s="2003"/>
      <c r="BV68" s="2003"/>
      <c r="BW68" s="2003"/>
      <c r="BX68" s="2003"/>
      <c r="BY68" s="2003"/>
      <c r="BZ68" s="2003"/>
      <c r="CA68" s="2003"/>
      <c r="CB68" s="2003" t="e">
        <f t="shared" si="71"/>
        <v>#REF!</v>
      </c>
      <c r="CC68" s="2003">
        <f t="shared" si="72"/>
        <v>0</v>
      </c>
      <c r="CD68" s="2003">
        <f t="shared" si="73"/>
        <v>2400</v>
      </c>
      <c r="CE68" s="2003" t="e">
        <f t="shared" si="74"/>
        <v>#REF!</v>
      </c>
      <c r="CF68" s="2003">
        <f t="shared" si="75"/>
        <v>1850</v>
      </c>
      <c r="CG68" s="2003">
        <f t="shared" si="76"/>
        <v>0</v>
      </c>
      <c r="CH68" s="2006" t="e">
        <f>'стекла сайт'!CH56+#REF!</f>
        <v>#REF!</v>
      </c>
      <c r="CI68" s="2006" t="e">
        <f>'стекла сайт'!CI56+#REF!</f>
        <v>#REF!</v>
      </c>
      <c r="CJ68" s="2006" t="e">
        <f>'стекла сайт'!CJ56+#REF!</f>
        <v>#REF!</v>
      </c>
      <c r="CK68" s="2003"/>
      <c r="CL68" s="2003"/>
      <c r="CM68" s="2003"/>
      <c r="CN68" s="2003"/>
      <c r="CO68" s="2003"/>
      <c r="CP68" s="2003"/>
      <c r="CQ68" s="2003"/>
      <c r="CR68" s="2003"/>
      <c r="CS68" s="2003"/>
      <c r="CT68" s="2003"/>
      <c r="CU68" s="2003"/>
      <c r="CV68" s="2003"/>
      <c r="CW68" s="2003"/>
      <c r="CX68" s="2003"/>
      <c r="CY68" s="2003"/>
      <c r="CZ68" s="2003"/>
      <c r="DA68" s="2003"/>
      <c r="DB68" s="2003"/>
      <c r="DC68" s="2003"/>
      <c r="DD68" s="2003"/>
      <c r="DE68" s="2003"/>
      <c r="DF68" s="2003"/>
      <c r="DG68" s="2003"/>
      <c r="DH68" s="2003"/>
      <c r="DI68" s="2003"/>
      <c r="DJ68" s="2003"/>
      <c r="DK68" s="2003"/>
      <c r="DL68" s="2003"/>
      <c r="DM68" s="2003"/>
      <c r="DN68" s="2003"/>
      <c r="DO68" s="2004"/>
      <c r="DP68" s="2003"/>
      <c r="DQ68" s="2003"/>
      <c r="DR68" s="2005"/>
      <c r="DS68" s="2005"/>
      <c r="DT68" s="2005"/>
      <c r="DU68" s="2005"/>
      <c r="DV68" s="2005"/>
      <c r="DW68" s="2005"/>
      <c r="DX68" s="2005"/>
      <c r="DY68" s="2005"/>
      <c r="DZ68" s="2005"/>
      <c r="EA68" s="2005"/>
      <c r="FF68" s="1616"/>
    </row>
    <row r="69" spans="1:162" hidden="1" outlineLevel="2">
      <c r="A69" s="1624" t="s">
        <v>1314</v>
      </c>
      <c r="B69" s="1624" t="s">
        <v>2075</v>
      </c>
      <c r="C69" s="1624" t="s">
        <v>2090</v>
      </c>
      <c r="D69" s="1624" t="s">
        <v>722</v>
      </c>
      <c r="E69" s="2003">
        <f t="shared" si="69"/>
        <v>0</v>
      </c>
      <c r="F69" s="2003">
        <f>F52</f>
        <v>1700</v>
      </c>
      <c r="G69" s="2003">
        <f t="shared" si="70"/>
        <v>1700</v>
      </c>
      <c r="H69" s="2003">
        <f t="shared" si="70"/>
        <v>600</v>
      </c>
      <c r="I69" s="2003" t="e">
        <f>I52</f>
        <v>#REF!</v>
      </c>
      <c r="J69" s="2003"/>
      <c r="K69" s="2003"/>
      <c r="L69" s="2003">
        <f t="shared" si="60"/>
        <v>1700</v>
      </c>
      <c r="M69" s="2003">
        <f t="shared" si="61"/>
        <v>1700</v>
      </c>
      <c r="N69" s="2003"/>
      <c r="O69" s="2003"/>
      <c r="P69" s="2003"/>
      <c r="Q69" s="2003"/>
      <c r="R69" s="2003"/>
      <c r="S69" s="2003"/>
      <c r="T69" s="2003"/>
      <c r="U69" s="2003"/>
      <c r="V69" s="2003"/>
      <c r="W69" s="2003"/>
      <c r="X69" s="2003"/>
      <c r="Y69" s="2003"/>
      <c r="Z69" s="2003"/>
      <c r="AA69" s="2003"/>
      <c r="AB69" s="2003"/>
      <c r="AC69" s="2003"/>
      <c r="AD69" s="2003"/>
      <c r="AE69" s="2003"/>
      <c r="AF69" s="2003"/>
      <c r="AG69" s="2003"/>
      <c r="AH69" s="2003"/>
      <c r="AI69" s="2003"/>
      <c r="AJ69" s="2003"/>
      <c r="AK69" s="2003"/>
      <c r="AL69" s="2003"/>
      <c r="AM69" s="2003"/>
      <c r="AN69" s="2003"/>
      <c r="AO69" s="2003"/>
      <c r="AP69" s="2003"/>
      <c r="AQ69" s="2003"/>
      <c r="AR69" s="2003"/>
      <c r="AS69" s="2003"/>
      <c r="AT69" s="2003"/>
      <c r="AU69" s="2003"/>
      <c r="AV69" s="2003"/>
      <c r="AW69" s="2003"/>
      <c r="AX69" s="2003"/>
      <c r="AY69" s="2003"/>
      <c r="AZ69" s="2003"/>
      <c r="BA69" s="2003"/>
      <c r="BB69" s="2003"/>
      <c r="BC69" s="2003"/>
      <c r="BD69" s="2003"/>
      <c r="BE69" s="2003"/>
      <c r="BF69" s="2003"/>
      <c r="BG69" s="2003"/>
      <c r="BH69" s="2003"/>
      <c r="BI69" s="2003"/>
      <c r="BJ69" s="2003"/>
      <c r="BK69" s="2003"/>
      <c r="BL69" s="2003"/>
      <c r="BM69" s="2003"/>
      <c r="BN69" s="2003"/>
      <c r="BO69" s="2003"/>
      <c r="BP69" s="2003"/>
      <c r="BQ69" s="2003"/>
      <c r="BR69" s="2003"/>
      <c r="BS69" s="2003"/>
      <c r="BT69" s="2003"/>
      <c r="BU69" s="2003"/>
      <c r="BV69" s="2003"/>
      <c r="BW69" s="2003"/>
      <c r="BX69" s="2003"/>
      <c r="BY69" s="2003"/>
      <c r="BZ69" s="2003"/>
      <c r="CA69" s="2003"/>
      <c r="CB69" s="2003" t="e">
        <f t="shared" si="71"/>
        <v>#REF!</v>
      </c>
      <c r="CC69" s="2003">
        <f t="shared" si="72"/>
        <v>0</v>
      </c>
      <c r="CD69" s="2003">
        <f t="shared" si="73"/>
        <v>2400</v>
      </c>
      <c r="CE69" s="2003" t="e">
        <f t="shared" si="74"/>
        <v>#REF!</v>
      </c>
      <c r="CF69" s="2003">
        <f t="shared" si="75"/>
        <v>1850</v>
      </c>
      <c r="CG69" s="2003">
        <f t="shared" si="76"/>
        <v>0</v>
      </c>
      <c r="CH69" s="2006" t="e">
        <f>'стекла сайт'!CH57+#REF!</f>
        <v>#REF!</v>
      </c>
      <c r="CI69" s="2006" t="e">
        <f>'стекла сайт'!CI57+#REF!</f>
        <v>#REF!</v>
      </c>
      <c r="CJ69" s="2006" t="e">
        <f>'стекла сайт'!CJ57+#REF!</f>
        <v>#REF!</v>
      </c>
      <c r="CK69" s="2003"/>
      <c r="CL69" s="2003"/>
      <c r="CM69" s="2003"/>
      <c r="CN69" s="2003"/>
      <c r="CO69" s="2003"/>
      <c r="CP69" s="2003"/>
      <c r="CQ69" s="2003"/>
      <c r="CR69" s="2003"/>
      <c r="CS69" s="2003"/>
      <c r="CT69" s="2003"/>
      <c r="CU69" s="2003"/>
      <c r="CV69" s="2003"/>
      <c r="CW69" s="2003"/>
      <c r="CX69" s="2003"/>
      <c r="CY69" s="2003"/>
      <c r="CZ69" s="2003"/>
      <c r="DA69" s="2003"/>
      <c r="DB69" s="2003"/>
      <c r="DC69" s="2003"/>
      <c r="DD69" s="2003"/>
      <c r="DE69" s="2003"/>
      <c r="DF69" s="2003"/>
      <c r="DG69" s="2003"/>
      <c r="DH69" s="2003"/>
      <c r="DI69" s="2003"/>
      <c r="DJ69" s="2003"/>
      <c r="DK69" s="2003"/>
      <c r="DL69" s="2003"/>
      <c r="DM69" s="2003"/>
      <c r="DN69" s="2003"/>
      <c r="DO69" s="2004"/>
      <c r="DP69" s="2003"/>
      <c r="DQ69" s="2003"/>
      <c r="DR69" s="2005"/>
      <c r="DS69" s="2005"/>
      <c r="DT69" s="2005"/>
      <c r="DU69" s="2005"/>
      <c r="DV69" s="2005"/>
      <c r="DW69" s="2005"/>
      <c r="DX69" s="2005"/>
      <c r="DY69" s="2005"/>
      <c r="DZ69" s="2005"/>
      <c r="EA69" s="2005"/>
      <c r="FF69" s="1616"/>
    </row>
    <row r="70" spans="1:162" hidden="1" outlineLevel="2">
      <c r="A70" s="1624" t="s">
        <v>1314</v>
      </c>
      <c r="B70" s="1624" t="s">
        <v>2075</v>
      </c>
      <c r="C70" s="1624" t="s">
        <v>2090</v>
      </c>
      <c r="D70" s="1624" t="s">
        <v>2086</v>
      </c>
      <c r="E70" s="2003">
        <f t="shared" si="69"/>
        <v>0</v>
      </c>
      <c r="F70" s="2003">
        <f>F52</f>
        <v>1700</v>
      </c>
      <c r="G70" s="2003">
        <f t="shared" si="70"/>
        <v>1700</v>
      </c>
      <c r="H70" s="2003">
        <f t="shared" si="70"/>
        <v>600</v>
      </c>
      <c r="I70" s="2003" t="e">
        <f>I52</f>
        <v>#REF!</v>
      </c>
      <c r="J70" s="2003"/>
      <c r="K70" s="2003"/>
      <c r="L70" s="2003">
        <f t="shared" si="60"/>
        <v>1700</v>
      </c>
      <c r="M70" s="2003">
        <f t="shared" si="61"/>
        <v>1700</v>
      </c>
      <c r="N70" s="2003"/>
      <c r="O70" s="2003"/>
      <c r="P70" s="2003"/>
      <c r="Q70" s="2003"/>
      <c r="R70" s="2003"/>
      <c r="S70" s="2003"/>
      <c r="T70" s="2003"/>
      <c r="U70" s="2003"/>
      <c r="V70" s="2003"/>
      <c r="W70" s="2003"/>
      <c r="X70" s="2003"/>
      <c r="Y70" s="2003"/>
      <c r="Z70" s="2003"/>
      <c r="AA70" s="2003"/>
      <c r="AB70" s="2003"/>
      <c r="AC70" s="2003"/>
      <c r="AD70" s="2003"/>
      <c r="AE70" s="2003"/>
      <c r="AF70" s="2003"/>
      <c r="AG70" s="2003"/>
      <c r="AH70" s="2003"/>
      <c r="AI70" s="2003"/>
      <c r="AJ70" s="2003"/>
      <c r="AK70" s="2003"/>
      <c r="AL70" s="2003"/>
      <c r="AM70" s="2003"/>
      <c r="AN70" s="2003"/>
      <c r="AO70" s="2003"/>
      <c r="AP70" s="2003"/>
      <c r="AQ70" s="2003"/>
      <c r="AR70" s="2003"/>
      <c r="AS70" s="2003"/>
      <c r="AT70" s="2003"/>
      <c r="AU70" s="2003"/>
      <c r="AV70" s="2003"/>
      <c r="AW70" s="2003"/>
      <c r="AX70" s="2003"/>
      <c r="AY70" s="2003"/>
      <c r="AZ70" s="2003"/>
      <c r="BA70" s="2003"/>
      <c r="BB70" s="2003"/>
      <c r="BC70" s="2003"/>
      <c r="BD70" s="2003"/>
      <c r="BE70" s="2003"/>
      <c r="BF70" s="2003"/>
      <c r="BG70" s="2003"/>
      <c r="BH70" s="2003"/>
      <c r="BI70" s="2003"/>
      <c r="BJ70" s="2003"/>
      <c r="BK70" s="2003"/>
      <c r="BL70" s="2003"/>
      <c r="BM70" s="2003"/>
      <c r="BN70" s="2003"/>
      <c r="BO70" s="2003"/>
      <c r="BP70" s="2003"/>
      <c r="BQ70" s="2003"/>
      <c r="BR70" s="2003"/>
      <c r="BS70" s="2003"/>
      <c r="BT70" s="2003"/>
      <c r="BU70" s="2003"/>
      <c r="BV70" s="2003"/>
      <c r="BW70" s="2003"/>
      <c r="BX70" s="2003"/>
      <c r="BY70" s="2003"/>
      <c r="BZ70" s="2003"/>
      <c r="CA70" s="2003"/>
      <c r="CB70" s="2003" t="e">
        <f t="shared" si="71"/>
        <v>#REF!</v>
      </c>
      <c r="CC70" s="2003">
        <f t="shared" si="72"/>
        <v>0</v>
      </c>
      <c r="CD70" s="2003">
        <f t="shared" si="73"/>
        <v>2400</v>
      </c>
      <c r="CE70" s="2003" t="e">
        <f t="shared" si="74"/>
        <v>#REF!</v>
      </c>
      <c r="CF70" s="2003">
        <f t="shared" si="75"/>
        <v>1850</v>
      </c>
      <c r="CG70" s="2003">
        <f t="shared" si="76"/>
        <v>0</v>
      </c>
      <c r="CH70" s="2006" t="e">
        <f>'стекла сайт'!CH58+#REF!</f>
        <v>#REF!</v>
      </c>
      <c r="CI70" s="2006" t="e">
        <f>'стекла сайт'!CI58+#REF!</f>
        <v>#REF!</v>
      </c>
      <c r="CJ70" s="2006" t="e">
        <f>'стекла сайт'!CJ58+#REF!</f>
        <v>#REF!</v>
      </c>
      <c r="CK70" s="2003"/>
      <c r="CL70" s="2003"/>
      <c r="CM70" s="2003"/>
      <c r="CN70" s="2003"/>
      <c r="CO70" s="2003"/>
      <c r="CP70" s="2003"/>
      <c r="CQ70" s="2003"/>
      <c r="CR70" s="2003"/>
      <c r="CS70" s="2003"/>
      <c r="CT70" s="2003"/>
      <c r="CU70" s="2003"/>
      <c r="CV70" s="2003"/>
      <c r="CW70" s="2003"/>
      <c r="CX70" s="2003"/>
      <c r="CY70" s="2003"/>
      <c r="CZ70" s="2003"/>
      <c r="DA70" s="2003"/>
      <c r="DB70" s="2003"/>
      <c r="DC70" s="2003"/>
      <c r="DD70" s="2003"/>
      <c r="DE70" s="2003"/>
      <c r="DF70" s="2003"/>
      <c r="DG70" s="2003"/>
      <c r="DH70" s="2003"/>
      <c r="DI70" s="2003"/>
      <c r="DJ70" s="2003"/>
      <c r="DK70" s="2003"/>
      <c r="DL70" s="2003"/>
      <c r="DM70" s="2003"/>
      <c r="DN70" s="2003"/>
      <c r="DO70" s="2004"/>
      <c r="DP70" s="2003"/>
      <c r="DQ70" s="2003"/>
      <c r="DR70" s="2005"/>
      <c r="DS70" s="2005"/>
      <c r="DT70" s="2005"/>
      <c r="DU70" s="2005"/>
      <c r="DV70" s="2005"/>
      <c r="DW70" s="2005"/>
      <c r="DX70" s="2005"/>
      <c r="DY70" s="2005"/>
      <c r="DZ70" s="2005"/>
      <c r="EA70" s="2005"/>
      <c r="FF70" s="1616"/>
    </row>
    <row r="71" spans="1:162" hidden="1" outlineLevel="2">
      <c r="A71" s="1624" t="s">
        <v>1314</v>
      </c>
      <c r="B71" s="1624" t="s">
        <v>2075</v>
      </c>
      <c r="C71" s="1624" t="s">
        <v>2090</v>
      </c>
      <c r="D71" s="1624" t="s">
        <v>2087</v>
      </c>
      <c r="E71" s="2003">
        <f>E48</f>
        <v>0</v>
      </c>
      <c r="F71" s="2003">
        <f>F48</f>
        <v>1700</v>
      </c>
      <c r="G71" s="2003">
        <f>G48</f>
        <v>1700</v>
      </c>
      <c r="H71" s="2003">
        <f>H48</f>
        <v>600</v>
      </c>
      <c r="I71" s="2003" t="e">
        <f>I48</f>
        <v>#REF!</v>
      </c>
      <c r="J71" s="2003"/>
      <c r="K71" s="2003"/>
      <c r="L71" s="2003">
        <f t="shared" si="60"/>
        <v>1700</v>
      </c>
      <c r="M71" s="2003">
        <f t="shared" si="61"/>
        <v>1700</v>
      </c>
      <c r="N71" s="2003"/>
      <c r="O71" s="2003"/>
      <c r="P71" s="2003"/>
      <c r="Q71" s="2003"/>
      <c r="R71" s="2003"/>
      <c r="S71" s="2003"/>
      <c r="T71" s="2003"/>
      <c r="U71" s="2003"/>
      <c r="V71" s="2003"/>
      <c r="W71" s="2003"/>
      <c r="X71" s="2003"/>
      <c r="Y71" s="2003"/>
      <c r="Z71" s="2003"/>
      <c r="AA71" s="2003"/>
      <c r="AB71" s="2003"/>
      <c r="AC71" s="2003"/>
      <c r="AD71" s="2003"/>
      <c r="AE71" s="2003"/>
      <c r="AF71" s="2003"/>
      <c r="AG71" s="2003"/>
      <c r="AH71" s="2003"/>
      <c r="AI71" s="2003"/>
      <c r="AJ71" s="2003"/>
      <c r="AK71" s="2003"/>
      <c r="AL71" s="2003"/>
      <c r="AM71" s="2003"/>
      <c r="AN71" s="2003"/>
      <c r="AO71" s="2003"/>
      <c r="AP71" s="2003"/>
      <c r="AQ71" s="2003"/>
      <c r="AR71" s="2003"/>
      <c r="AS71" s="2003"/>
      <c r="AT71" s="2003"/>
      <c r="AU71" s="2003"/>
      <c r="AV71" s="2003"/>
      <c r="AW71" s="2003"/>
      <c r="AX71" s="2003"/>
      <c r="AY71" s="2003"/>
      <c r="AZ71" s="2003"/>
      <c r="BA71" s="2003"/>
      <c r="BB71" s="2003"/>
      <c r="BC71" s="2003"/>
      <c r="BD71" s="2003"/>
      <c r="BE71" s="2003"/>
      <c r="BF71" s="2003"/>
      <c r="BG71" s="2003"/>
      <c r="BH71" s="2003"/>
      <c r="BI71" s="2003"/>
      <c r="BJ71" s="2003"/>
      <c r="BK71" s="2003"/>
      <c r="BL71" s="2003"/>
      <c r="BM71" s="2003"/>
      <c r="BN71" s="2003">
        <v>4450</v>
      </c>
      <c r="BO71" s="2003">
        <v>4150</v>
      </c>
      <c r="BP71" s="2003"/>
      <c r="BQ71" s="2003">
        <v>4050</v>
      </c>
      <c r="BR71" s="2003">
        <v>4050</v>
      </c>
      <c r="BS71" s="2003"/>
      <c r="BT71" s="2003"/>
      <c r="BU71" s="2003"/>
      <c r="BV71" s="2003"/>
      <c r="BW71" s="2003"/>
      <c r="BX71" s="2003"/>
      <c r="BY71" s="2003"/>
      <c r="BZ71" s="2003"/>
      <c r="CA71" s="2003"/>
      <c r="CB71" s="2003" t="e">
        <f t="shared" ref="CB71:CG71" si="77">CB60</f>
        <v>#REF!</v>
      </c>
      <c r="CC71" s="2003">
        <f t="shared" si="77"/>
        <v>0</v>
      </c>
      <c r="CD71" s="2003">
        <f t="shared" si="77"/>
        <v>2400</v>
      </c>
      <c r="CE71" s="2003" t="e">
        <f t="shared" si="77"/>
        <v>#REF!</v>
      </c>
      <c r="CF71" s="2003">
        <f t="shared" si="77"/>
        <v>1850</v>
      </c>
      <c r="CG71" s="2003">
        <f t="shared" si="77"/>
        <v>0</v>
      </c>
      <c r="CH71" s="2006" t="e">
        <f>'стекла сайт'!CH59+#REF!</f>
        <v>#REF!</v>
      </c>
      <c r="CI71" s="2006" t="e">
        <f>'стекла сайт'!CI59+#REF!</f>
        <v>#REF!</v>
      </c>
      <c r="CJ71" s="2006" t="e">
        <f>'стекла сайт'!CJ59+#REF!</f>
        <v>#REF!</v>
      </c>
      <c r="CK71" s="2003"/>
      <c r="CL71" s="2003"/>
      <c r="CM71" s="2003"/>
      <c r="CN71" s="2003"/>
      <c r="CO71" s="2003"/>
      <c r="CP71" s="2003"/>
      <c r="CQ71" s="2003"/>
      <c r="CR71" s="2003"/>
      <c r="CS71" s="2003"/>
      <c r="CT71" s="2003"/>
      <c r="CU71" s="2003"/>
      <c r="CV71" s="2003"/>
      <c r="CW71" s="2003"/>
      <c r="CX71" s="2003"/>
      <c r="CY71" s="2003"/>
      <c r="CZ71" s="2003"/>
      <c r="DA71" s="2003"/>
      <c r="DB71" s="2003"/>
      <c r="DC71" s="2003"/>
      <c r="DD71" s="2003"/>
      <c r="DE71" s="2003"/>
      <c r="DF71" s="2003"/>
      <c r="DG71" s="2003"/>
      <c r="DH71" s="2003"/>
      <c r="DI71" s="2003"/>
      <c r="DJ71" s="2003"/>
      <c r="DK71" s="2003"/>
      <c r="DL71" s="2003"/>
      <c r="DM71" s="2003"/>
      <c r="DN71" s="2003"/>
      <c r="DO71" s="2004"/>
      <c r="DP71" s="2003"/>
      <c r="DQ71" s="2003"/>
      <c r="DR71" s="2005"/>
      <c r="DS71" s="2005"/>
      <c r="DT71" s="2005"/>
      <c r="DU71" s="2005"/>
      <c r="DV71" s="2005"/>
      <c r="DW71" s="2005"/>
      <c r="DX71" s="2005"/>
      <c r="DY71" s="2005"/>
      <c r="DZ71" s="2005"/>
      <c r="EA71" s="2005"/>
      <c r="FF71" s="1616"/>
    </row>
    <row r="72" spans="1:162" hidden="1" outlineLevel="2">
      <c r="A72" s="1624" t="s">
        <v>1314</v>
      </c>
      <c r="B72" s="1624" t="s">
        <v>2073</v>
      </c>
      <c r="C72" s="1624" t="s">
        <v>2091</v>
      </c>
      <c r="D72" s="1624" t="s">
        <v>2085</v>
      </c>
      <c r="E72" s="2003">
        <f t="shared" ref="E72:E81" si="78">E50</f>
        <v>0</v>
      </c>
      <c r="F72" s="2003">
        <f>F48</f>
        <v>1700</v>
      </c>
      <c r="G72" s="2003">
        <f t="shared" ref="G72:H81" si="79">G50</f>
        <v>1700</v>
      </c>
      <c r="H72" s="2003">
        <f t="shared" si="79"/>
        <v>600</v>
      </c>
      <c r="I72" s="2003" t="e">
        <f>I48</f>
        <v>#REF!</v>
      </c>
      <c r="J72" s="2003"/>
      <c r="K72" s="2003"/>
      <c r="L72" s="2003">
        <f t="shared" si="60"/>
        <v>1700</v>
      </c>
      <c r="M72" s="2003">
        <f t="shared" si="61"/>
        <v>1700</v>
      </c>
      <c r="N72" s="2003"/>
      <c r="O72" s="2003"/>
      <c r="P72" s="2003"/>
      <c r="Q72" s="2003"/>
      <c r="R72" s="2003"/>
      <c r="S72" s="2003"/>
      <c r="T72" s="2003"/>
      <c r="U72" s="2003"/>
      <c r="V72" s="2003"/>
      <c r="W72" s="2003"/>
      <c r="X72" s="2003"/>
      <c r="Y72" s="2003"/>
      <c r="Z72" s="2003"/>
      <c r="AA72" s="2003"/>
      <c r="AB72" s="2003"/>
      <c r="AC72" s="2003"/>
      <c r="AD72" s="2003"/>
      <c r="AE72" s="2003"/>
      <c r="AF72" s="2003"/>
      <c r="AG72" s="2003"/>
      <c r="AH72" s="2003"/>
      <c r="AI72" s="2003"/>
      <c r="AJ72" s="2003"/>
      <c r="AK72" s="2003"/>
      <c r="AL72" s="2003"/>
      <c r="AM72" s="2003"/>
      <c r="AN72" s="2003"/>
      <c r="AO72" s="2003"/>
      <c r="AP72" s="2003"/>
      <c r="AQ72" s="2003"/>
      <c r="AR72" s="2003"/>
      <c r="AS72" s="2003"/>
      <c r="AT72" s="2003"/>
      <c r="AU72" s="2003"/>
      <c r="AV72" s="2003"/>
      <c r="AW72" s="2003"/>
      <c r="AX72" s="2003"/>
      <c r="AY72" s="2003"/>
      <c r="AZ72" s="2003"/>
      <c r="BA72" s="2003"/>
      <c r="BB72" s="2003"/>
      <c r="BC72" s="2003"/>
      <c r="BD72" s="2003"/>
      <c r="BE72" s="2003"/>
      <c r="BF72" s="2003"/>
      <c r="BG72" s="2003"/>
      <c r="BH72" s="2003"/>
      <c r="BI72" s="2003"/>
      <c r="BJ72" s="2003"/>
      <c r="BK72" s="2003"/>
      <c r="BL72" s="2003"/>
      <c r="BM72" s="2003"/>
      <c r="BN72" s="2003" t="e">
        <f>#REF!</f>
        <v>#REF!</v>
      </c>
      <c r="BO72" s="2003" t="e">
        <f>#REF!</f>
        <v>#REF!</v>
      </c>
      <c r="BP72" s="2003"/>
      <c r="BQ72" s="2003" t="e">
        <f>#REF!</f>
        <v>#REF!</v>
      </c>
      <c r="BR72" s="2003" t="e">
        <f>#REF!</f>
        <v>#REF!</v>
      </c>
      <c r="BS72" s="2003"/>
      <c r="BT72" s="2003"/>
      <c r="BU72" s="2003"/>
      <c r="BV72" s="2003"/>
      <c r="BW72" s="2003"/>
      <c r="BX72" s="2003"/>
      <c r="BY72" s="2003"/>
      <c r="BZ72" s="2003"/>
      <c r="CA72" s="2003"/>
      <c r="CB72" s="2003" t="e">
        <f t="shared" ref="CB72:CG72" si="80">CB61</f>
        <v>#REF!</v>
      </c>
      <c r="CC72" s="2003">
        <f t="shared" si="80"/>
        <v>0</v>
      </c>
      <c r="CD72" s="2003">
        <f t="shared" si="80"/>
        <v>2400</v>
      </c>
      <c r="CE72" s="2003" t="e">
        <f t="shared" si="80"/>
        <v>#REF!</v>
      </c>
      <c r="CF72" s="2003">
        <f t="shared" si="80"/>
        <v>1850</v>
      </c>
      <c r="CG72" s="2003">
        <f t="shared" si="80"/>
        <v>0</v>
      </c>
      <c r="CH72" s="2003" t="e">
        <f>CH60</f>
        <v>#REF!</v>
      </c>
      <c r="CI72" s="2003" t="e">
        <f>CI60</f>
        <v>#REF!</v>
      </c>
      <c r="CJ72" s="2003" t="e">
        <f>CJ60</f>
        <v>#REF!</v>
      </c>
      <c r="CK72" s="2003"/>
      <c r="CL72" s="2003"/>
      <c r="CM72" s="2003"/>
      <c r="CN72" s="2003"/>
      <c r="CO72" s="2003"/>
      <c r="CP72" s="2003"/>
      <c r="CQ72" s="2003"/>
      <c r="CR72" s="2003"/>
      <c r="CS72" s="2003"/>
      <c r="CT72" s="2003"/>
      <c r="CU72" s="2003"/>
      <c r="CV72" s="2003"/>
      <c r="CW72" s="2003"/>
      <c r="CX72" s="2003"/>
      <c r="CY72" s="2003"/>
      <c r="CZ72" s="2003"/>
      <c r="DA72" s="2003"/>
      <c r="DB72" s="2003"/>
      <c r="DC72" s="2003"/>
      <c r="DD72" s="2003"/>
      <c r="DE72" s="2003"/>
      <c r="DF72" s="2003"/>
      <c r="DG72" s="2003"/>
      <c r="DH72" s="2003"/>
      <c r="DI72" s="2003"/>
      <c r="DJ72" s="2003"/>
      <c r="DK72" s="2003"/>
      <c r="DL72" s="2003"/>
      <c r="DM72" s="2003"/>
      <c r="DN72" s="2003"/>
      <c r="DO72" s="2004"/>
      <c r="DP72" s="2003"/>
      <c r="DQ72" s="2003"/>
      <c r="DR72" s="2005"/>
      <c r="DS72" s="2005"/>
      <c r="DT72" s="2005"/>
      <c r="DU72" s="2005"/>
      <c r="DV72" s="2005"/>
      <c r="DW72" s="2005"/>
      <c r="DX72" s="2005"/>
      <c r="DY72" s="2005"/>
      <c r="DZ72" s="2005"/>
      <c r="EA72" s="2005"/>
      <c r="FF72" s="1616"/>
    </row>
    <row r="73" spans="1:162" hidden="1" outlineLevel="2">
      <c r="A73" s="1624" t="s">
        <v>1314</v>
      </c>
      <c r="B73" s="1624" t="s">
        <v>2073</v>
      </c>
      <c r="C73" s="1624" t="s">
        <v>2091</v>
      </c>
      <c r="D73" s="1624" t="s">
        <v>722</v>
      </c>
      <c r="E73" s="2003">
        <f t="shared" si="78"/>
        <v>0</v>
      </c>
      <c r="F73" s="2003">
        <f>F48</f>
        <v>1700</v>
      </c>
      <c r="G73" s="2003">
        <f t="shared" si="79"/>
        <v>1700</v>
      </c>
      <c r="H73" s="2003">
        <f t="shared" si="79"/>
        <v>600</v>
      </c>
      <c r="I73" s="2003" t="e">
        <f>I48</f>
        <v>#REF!</v>
      </c>
      <c r="J73" s="2003"/>
      <c r="K73" s="2003"/>
      <c r="L73" s="2003">
        <f t="shared" si="60"/>
        <v>1700</v>
      </c>
      <c r="M73" s="2003">
        <f t="shared" si="61"/>
        <v>1700</v>
      </c>
      <c r="N73" s="2003"/>
      <c r="O73" s="2003"/>
      <c r="P73" s="2003"/>
      <c r="Q73" s="2003"/>
      <c r="R73" s="2003"/>
      <c r="S73" s="2003"/>
      <c r="T73" s="2003"/>
      <c r="U73" s="2003"/>
      <c r="V73" s="2003"/>
      <c r="W73" s="2003"/>
      <c r="X73" s="2003"/>
      <c r="Y73" s="2003"/>
      <c r="Z73" s="2003"/>
      <c r="AA73" s="2003"/>
      <c r="AB73" s="2003"/>
      <c r="AC73" s="2003"/>
      <c r="AD73" s="2003"/>
      <c r="AE73" s="2003"/>
      <c r="AF73" s="2003"/>
      <c r="AG73" s="2003"/>
      <c r="AH73" s="2003"/>
      <c r="AI73" s="2003"/>
      <c r="AJ73" s="2003"/>
      <c r="AK73" s="2003"/>
      <c r="AL73" s="2003"/>
      <c r="AM73" s="2003"/>
      <c r="AN73" s="2003"/>
      <c r="AO73" s="2003"/>
      <c r="AP73" s="2003"/>
      <c r="AQ73" s="2003"/>
      <c r="AR73" s="2003"/>
      <c r="AS73" s="2003"/>
      <c r="AT73" s="2003"/>
      <c r="AU73" s="2003"/>
      <c r="AV73" s="2003"/>
      <c r="AW73" s="2003"/>
      <c r="AX73" s="2003"/>
      <c r="AY73" s="2003"/>
      <c r="AZ73" s="2003"/>
      <c r="BA73" s="2003"/>
      <c r="BB73" s="2003"/>
      <c r="BC73" s="2003"/>
      <c r="BD73" s="2003"/>
      <c r="BE73" s="2003"/>
      <c r="BF73" s="2003"/>
      <c r="BG73" s="2003"/>
      <c r="BH73" s="2003"/>
      <c r="BI73" s="2003"/>
      <c r="BJ73" s="2003"/>
      <c r="BK73" s="2003"/>
      <c r="BL73" s="2003"/>
      <c r="BM73" s="2003"/>
      <c r="BN73" s="2003" t="e">
        <f>BN72</f>
        <v>#REF!</v>
      </c>
      <c r="BO73" s="2003" t="e">
        <f>BO72</f>
        <v>#REF!</v>
      </c>
      <c r="BP73" s="2003"/>
      <c r="BQ73" s="2003" t="e">
        <f>BQ72</f>
        <v>#REF!</v>
      </c>
      <c r="BR73" s="2003" t="e">
        <f>BR72</f>
        <v>#REF!</v>
      </c>
      <c r="BS73" s="2003"/>
      <c r="BT73" s="2003"/>
      <c r="BU73" s="2003"/>
      <c r="BV73" s="2003"/>
      <c r="BW73" s="2003"/>
      <c r="BX73" s="2003"/>
      <c r="BY73" s="2003"/>
      <c r="BZ73" s="2003"/>
      <c r="CA73" s="2003"/>
      <c r="CB73" s="2003" t="e">
        <f t="shared" ref="CB73:CG73" si="81">CB62</f>
        <v>#REF!</v>
      </c>
      <c r="CC73" s="2003">
        <f t="shared" si="81"/>
        <v>0</v>
      </c>
      <c r="CD73" s="2003">
        <f t="shared" si="81"/>
        <v>2400</v>
      </c>
      <c r="CE73" s="2003" t="e">
        <f t="shared" si="81"/>
        <v>#REF!</v>
      </c>
      <c r="CF73" s="2003">
        <f t="shared" si="81"/>
        <v>1850</v>
      </c>
      <c r="CG73" s="2003">
        <f t="shared" si="81"/>
        <v>0</v>
      </c>
      <c r="CH73" s="2003" t="e">
        <f t="shared" ref="CH73:CJ83" si="82">CH61</f>
        <v>#REF!</v>
      </c>
      <c r="CI73" s="2003" t="e">
        <f t="shared" si="82"/>
        <v>#REF!</v>
      </c>
      <c r="CJ73" s="2003" t="e">
        <f t="shared" si="82"/>
        <v>#REF!</v>
      </c>
      <c r="CK73" s="2003"/>
      <c r="CL73" s="2003"/>
      <c r="CM73" s="2003"/>
      <c r="CN73" s="2003"/>
      <c r="CO73" s="2003"/>
      <c r="CP73" s="2003"/>
      <c r="CQ73" s="2003"/>
      <c r="CR73" s="2003"/>
      <c r="CS73" s="2003"/>
      <c r="CT73" s="2003"/>
      <c r="CU73" s="2003"/>
      <c r="CV73" s="2003"/>
      <c r="CW73" s="2003"/>
      <c r="CX73" s="2003"/>
      <c r="CY73" s="2003"/>
      <c r="CZ73" s="2003"/>
      <c r="DA73" s="2003"/>
      <c r="DB73" s="2003"/>
      <c r="DC73" s="2003"/>
      <c r="DD73" s="2003"/>
      <c r="DE73" s="2003"/>
      <c r="DF73" s="2003"/>
      <c r="DG73" s="2003"/>
      <c r="DH73" s="2003"/>
      <c r="DI73" s="2003"/>
      <c r="DJ73" s="2003"/>
      <c r="DK73" s="2003"/>
      <c r="DL73" s="2003"/>
      <c r="DM73" s="2003"/>
      <c r="DN73" s="2003"/>
      <c r="DO73" s="2004"/>
      <c r="DP73" s="2003"/>
      <c r="DQ73" s="2003"/>
      <c r="DR73" s="2005"/>
      <c r="DS73" s="2005"/>
      <c r="DT73" s="2005"/>
      <c r="DU73" s="2005"/>
      <c r="DV73" s="2005"/>
      <c r="DW73" s="2005"/>
      <c r="DX73" s="2005"/>
      <c r="DY73" s="2005"/>
      <c r="DZ73" s="2005"/>
      <c r="EA73" s="2005"/>
      <c r="FF73" s="1616"/>
    </row>
    <row r="74" spans="1:162" hidden="1" outlineLevel="2">
      <c r="A74" s="1624" t="s">
        <v>1314</v>
      </c>
      <c r="B74" s="1624" t="s">
        <v>2073</v>
      </c>
      <c r="C74" s="1624" t="s">
        <v>2091</v>
      </c>
      <c r="D74" s="1624" t="s">
        <v>2086</v>
      </c>
      <c r="E74" s="2003">
        <f t="shared" si="78"/>
        <v>0</v>
      </c>
      <c r="F74" s="2003">
        <f>F52</f>
        <v>1700</v>
      </c>
      <c r="G74" s="2003">
        <f t="shared" si="79"/>
        <v>1700</v>
      </c>
      <c r="H74" s="2003">
        <f t="shared" si="79"/>
        <v>600</v>
      </c>
      <c r="I74" s="2003" t="e">
        <f>I52</f>
        <v>#REF!</v>
      </c>
      <c r="J74" s="2003"/>
      <c r="K74" s="2003"/>
      <c r="L74" s="2003">
        <f t="shared" si="60"/>
        <v>1700</v>
      </c>
      <c r="M74" s="2003">
        <f t="shared" si="61"/>
        <v>1700</v>
      </c>
      <c r="N74" s="2003"/>
      <c r="O74" s="2003"/>
      <c r="P74" s="2003"/>
      <c r="Q74" s="2003"/>
      <c r="R74" s="2003"/>
      <c r="S74" s="2003"/>
      <c r="T74" s="2003"/>
      <c r="U74" s="2003"/>
      <c r="V74" s="2003"/>
      <c r="W74" s="2003"/>
      <c r="X74" s="2003"/>
      <c r="Y74" s="2003"/>
      <c r="Z74" s="2003"/>
      <c r="AA74" s="2003"/>
      <c r="AB74" s="2003"/>
      <c r="AC74" s="2003"/>
      <c r="AD74" s="2003"/>
      <c r="AE74" s="2003"/>
      <c r="AF74" s="2003"/>
      <c r="AG74" s="2003"/>
      <c r="AH74" s="2003"/>
      <c r="AI74" s="2003"/>
      <c r="AJ74" s="2003"/>
      <c r="AK74" s="2003"/>
      <c r="AL74" s="2003"/>
      <c r="AM74" s="2003"/>
      <c r="AN74" s="2003"/>
      <c r="AO74" s="2003"/>
      <c r="AP74" s="2003"/>
      <c r="AQ74" s="2003"/>
      <c r="AR74" s="2003"/>
      <c r="AS74" s="2003"/>
      <c r="AT74" s="2003"/>
      <c r="AU74" s="2003"/>
      <c r="AV74" s="2003"/>
      <c r="AW74" s="2003"/>
      <c r="AX74" s="2003"/>
      <c r="AY74" s="2003"/>
      <c r="AZ74" s="2003"/>
      <c r="BA74" s="2003"/>
      <c r="BB74" s="2003"/>
      <c r="BC74" s="2003"/>
      <c r="BD74" s="2003"/>
      <c r="BE74" s="2003"/>
      <c r="BF74" s="2003"/>
      <c r="BG74" s="2003"/>
      <c r="BH74" s="2003"/>
      <c r="BI74" s="2003"/>
      <c r="BJ74" s="2003"/>
      <c r="BK74" s="2003"/>
      <c r="BL74" s="2003"/>
      <c r="BM74" s="2003"/>
      <c r="BN74" s="2003">
        <f>BN71+950</f>
        <v>5400</v>
      </c>
      <c r="BO74" s="2003">
        <f>BO71+650</f>
        <v>4800</v>
      </c>
      <c r="BP74" s="2003"/>
      <c r="BQ74" s="2003">
        <f>BQ71+550</f>
        <v>4600</v>
      </c>
      <c r="BR74" s="2003">
        <f>BR71+550</f>
        <v>4600</v>
      </c>
      <c r="BS74" s="2003"/>
      <c r="BT74" s="2003"/>
      <c r="BU74" s="2003"/>
      <c r="BV74" s="2003"/>
      <c r="BW74" s="2003"/>
      <c r="BX74" s="2003"/>
      <c r="BY74" s="2003"/>
      <c r="BZ74" s="2003"/>
      <c r="CA74" s="2003"/>
      <c r="CB74" s="2003" t="e">
        <f t="shared" ref="CB74:CG74" si="83">CB63</f>
        <v>#REF!</v>
      </c>
      <c r="CC74" s="2003">
        <f t="shared" si="83"/>
        <v>0</v>
      </c>
      <c r="CD74" s="2003">
        <f t="shared" si="83"/>
        <v>2400</v>
      </c>
      <c r="CE74" s="2003" t="e">
        <f t="shared" si="83"/>
        <v>#REF!</v>
      </c>
      <c r="CF74" s="2003">
        <f t="shared" si="83"/>
        <v>1850</v>
      </c>
      <c r="CG74" s="2003">
        <f t="shared" si="83"/>
        <v>0</v>
      </c>
      <c r="CH74" s="2003" t="e">
        <f t="shared" si="82"/>
        <v>#REF!</v>
      </c>
      <c r="CI74" s="2003" t="e">
        <f t="shared" si="82"/>
        <v>#REF!</v>
      </c>
      <c r="CJ74" s="2003" t="e">
        <f t="shared" si="82"/>
        <v>#REF!</v>
      </c>
      <c r="CK74" s="2003"/>
      <c r="CL74" s="2003"/>
      <c r="CM74" s="2003"/>
      <c r="CN74" s="2003"/>
      <c r="CO74" s="2003"/>
      <c r="CP74" s="2003"/>
      <c r="CQ74" s="2003"/>
      <c r="CR74" s="2003"/>
      <c r="CS74" s="2003"/>
      <c r="CT74" s="2003"/>
      <c r="CU74" s="2003"/>
      <c r="CV74" s="2003"/>
      <c r="CW74" s="2003"/>
      <c r="CX74" s="2003"/>
      <c r="CY74" s="2003"/>
      <c r="CZ74" s="2003"/>
      <c r="DA74" s="2003"/>
      <c r="DB74" s="2003"/>
      <c r="DC74" s="2003"/>
      <c r="DD74" s="2003"/>
      <c r="DE74" s="2003"/>
      <c r="DF74" s="2003"/>
      <c r="DG74" s="2003"/>
      <c r="DH74" s="2003"/>
      <c r="DI74" s="2003"/>
      <c r="DJ74" s="2003"/>
      <c r="DK74" s="2003"/>
      <c r="DL74" s="2003"/>
      <c r="DM74" s="2003"/>
      <c r="DN74" s="2003"/>
      <c r="DO74" s="2004"/>
      <c r="DP74" s="2003"/>
      <c r="DQ74" s="2003"/>
      <c r="DR74" s="2005"/>
      <c r="DS74" s="2005"/>
      <c r="DT74" s="2005"/>
      <c r="DU74" s="2005"/>
      <c r="DV74" s="2005"/>
      <c r="DW74" s="2005"/>
      <c r="DX74" s="2005"/>
      <c r="DY74" s="2005"/>
      <c r="DZ74" s="2005"/>
      <c r="EA74" s="2005"/>
      <c r="FF74" s="1616"/>
    </row>
    <row r="75" spans="1:162" hidden="1" outlineLevel="2">
      <c r="A75" s="1624" t="s">
        <v>1314</v>
      </c>
      <c r="B75" s="1624" t="s">
        <v>2073</v>
      </c>
      <c r="C75" s="1624" t="s">
        <v>2091</v>
      </c>
      <c r="D75" s="1624" t="s">
        <v>2087</v>
      </c>
      <c r="E75" s="2003">
        <f t="shared" si="78"/>
        <v>0</v>
      </c>
      <c r="F75" s="2003">
        <f>F52</f>
        <v>1700</v>
      </c>
      <c r="G75" s="2003">
        <f t="shared" si="79"/>
        <v>1700</v>
      </c>
      <c r="H75" s="2003">
        <f t="shared" si="79"/>
        <v>600</v>
      </c>
      <c r="I75" s="2003" t="e">
        <f>I52</f>
        <v>#REF!</v>
      </c>
      <c r="J75" s="2003"/>
      <c r="K75" s="2003"/>
      <c r="L75" s="2003">
        <f t="shared" si="60"/>
        <v>1700</v>
      </c>
      <c r="M75" s="2003">
        <f t="shared" si="61"/>
        <v>1700</v>
      </c>
      <c r="N75" s="2003"/>
      <c r="O75" s="2003"/>
      <c r="P75" s="2003"/>
      <c r="Q75" s="2003"/>
      <c r="R75" s="2003"/>
      <c r="S75" s="2003"/>
      <c r="T75" s="2003"/>
      <c r="U75" s="2003"/>
      <c r="V75" s="2003"/>
      <c r="W75" s="2003"/>
      <c r="X75" s="2003"/>
      <c r="Y75" s="2003"/>
      <c r="Z75" s="2003"/>
      <c r="AA75" s="2003"/>
      <c r="AB75" s="2003"/>
      <c r="AC75" s="2003"/>
      <c r="AD75" s="2003"/>
      <c r="AE75" s="2003"/>
      <c r="AF75" s="2003"/>
      <c r="AG75" s="2003"/>
      <c r="AH75" s="2003"/>
      <c r="AI75" s="2003"/>
      <c r="AJ75" s="2003"/>
      <c r="AK75" s="2003"/>
      <c r="AL75" s="2003"/>
      <c r="AM75" s="2003"/>
      <c r="AN75" s="2003"/>
      <c r="AO75" s="2003"/>
      <c r="AP75" s="2003"/>
      <c r="AQ75" s="2003"/>
      <c r="AR75" s="2003"/>
      <c r="AS75" s="2003"/>
      <c r="AT75" s="2003"/>
      <c r="AU75" s="2003"/>
      <c r="AV75" s="2003"/>
      <c r="AW75" s="2003"/>
      <c r="AX75" s="2003"/>
      <c r="AY75" s="2003"/>
      <c r="AZ75" s="2003"/>
      <c r="BA75" s="2003"/>
      <c r="BB75" s="2003"/>
      <c r="BC75" s="2003"/>
      <c r="BD75" s="2003"/>
      <c r="BE75" s="2003"/>
      <c r="BF75" s="2003"/>
      <c r="BG75" s="2003"/>
      <c r="BH75" s="2003"/>
      <c r="BI75" s="2003"/>
      <c r="BJ75" s="2003"/>
      <c r="BK75" s="2003"/>
      <c r="BL75" s="2003"/>
      <c r="BM75" s="2003"/>
      <c r="BN75" s="2003" t="e">
        <f>#REF!+950</f>
        <v>#REF!</v>
      </c>
      <c r="BO75" s="2003" t="e">
        <f>#REF!+650</f>
        <v>#REF!</v>
      </c>
      <c r="BP75" s="2003"/>
      <c r="BQ75" s="2003" t="e">
        <f>#REF!+550</f>
        <v>#REF!</v>
      </c>
      <c r="BR75" s="2003" t="e">
        <f>#REF!+550</f>
        <v>#REF!</v>
      </c>
      <c r="BS75" s="2003"/>
      <c r="BT75" s="2003"/>
      <c r="BU75" s="2003"/>
      <c r="BV75" s="2003"/>
      <c r="BW75" s="2003"/>
      <c r="BX75" s="2003"/>
      <c r="BY75" s="2003"/>
      <c r="BZ75" s="2003"/>
      <c r="CA75" s="2003"/>
      <c r="CB75" s="2003" t="e">
        <f t="shared" ref="CB75:CG75" si="84">CB64</f>
        <v>#REF!</v>
      </c>
      <c r="CC75" s="2003">
        <f t="shared" si="84"/>
        <v>0</v>
      </c>
      <c r="CD75" s="2003">
        <f t="shared" si="84"/>
        <v>2400</v>
      </c>
      <c r="CE75" s="2003" t="e">
        <f t="shared" si="84"/>
        <v>#REF!</v>
      </c>
      <c r="CF75" s="2003">
        <f t="shared" si="84"/>
        <v>1850</v>
      </c>
      <c r="CG75" s="2003">
        <f t="shared" si="84"/>
        <v>0</v>
      </c>
      <c r="CH75" s="2003" t="e">
        <f t="shared" si="82"/>
        <v>#REF!</v>
      </c>
      <c r="CI75" s="2003" t="e">
        <f t="shared" si="82"/>
        <v>#REF!</v>
      </c>
      <c r="CJ75" s="2003" t="e">
        <f t="shared" si="82"/>
        <v>#REF!</v>
      </c>
      <c r="CK75" s="2003"/>
      <c r="CL75" s="2003"/>
      <c r="CM75" s="2003"/>
      <c r="CN75" s="2003"/>
      <c r="CO75" s="2003"/>
      <c r="CP75" s="2003"/>
      <c r="CQ75" s="2003"/>
      <c r="CR75" s="2003"/>
      <c r="CS75" s="2003"/>
      <c r="CT75" s="2003"/>
      <c r="CU75" s="2003"/>
      <c r="CV75" s="2003"/>
      <c r="CW75" s="2003"/>
      <c r="CX75" s="2003"/>
      <c r="CY75" s="2003"/>
      <c r="CZ75" s="2003"/>
      <c r="DA75" s="2003"/>
      <c r="DB75" s="2003"/>
      <c r="DC75" s="2003"/>
      <c r="DD75" s="2003"/>
      <c r="DE75" s="2003"/>
      <c r="DF75" s="2003"/>
      <c r="DG75" s="2003"/>
      <c r="DH75" s="2003"/>
      <c r="DI75" s="2003"/>
      <c r="DJ75" s="2003"/>
      <c r="DK75" s="2003"/>
      <c r="DL75" s="2003"/>
      <c r="DM75" s="2003"/>
      <c r="DN75" s="2003"/>
      <c r="DO75" s="2004"/>
      <c r="DP75" s="2003"/>
      <c r="DQ75" s="2003"/>
      <c r="DR75" s="2005"/>
      <c r="DS75" s="2005"/>
      <c r="DT75" s="2005"/>
      <c r="DU75" s="2005"/>
      <c r="DV75" s="2005"/>
      <c r="DW75" s="2005"/>
      <c r="DX75" s="2005"/>
      <c r="DY75" s="2005"/>
      <c r="DZ75" s="2005"/>
      <c r="EA75" s="2005"/>
      <c r="FF75" s="1616"/>
    </row>
    <row r="76" spans="1:162" hidden="1" outlineLevel="2">
      <c r="A76" s="1624" t="s">
        <v>1314</v>
      </c>
      <c r="B76" s="1624" t="s">
        <v>2074</v>
      </c>
      <c r="C76" s="1624" t="s">
        <v>2091</v>
      </c>
      <c r="D76" s="1624" t="s">
        <v>2085</v>
      </c>
      <c r="E76" s="2003">
        <f t="shared" si="78"/>
        <v>0</v>
      </c>
      <c r="F76" s="2003">
        <f>F52</f>
        <v>1700</v>
      </c>
      <c r="G76" s="2003">
        <f t="shared" si="79"/>
        <v>1700</v>
      </c>
      <c r="H76" s="2003">
        <f t="shared" si="79"/>
        <v>600</v>
      </c>
      <c r="I76" s="2003" t="e">
        <f>I52</f>
        <v>#REF!</v>
      </c>
      <c r="J76" s="2003"/>
      <c r="K76" s="2003"/>
      <c r="L76" s="2003">
        <f t="shared" si="60"/>
        <v>1700</v>
      </c>
      <c r="M76" s="2003">
        <f t="shared" si="61"/>
        <v>1700</v>
      </c>
      <c r="N76" s="2003"/>
      <c r="O76" s="2003"/>
      <c r="P76" s="2003"/>
      <c r="Q76" s="2003"/>
      <c r="R76" s="2003"/>
      <c r="S76" s="2003"/>
      <c r="T76" s="2003"/>
      <c r="U76" s="2003"/>
      <c r="V76" s="2003"/>
      <c r="W76" s="2003"/>
      <c r="X76" s="2003"/>
      <c r="Y76" s="2003"/>
      <c r="Z76" s="2003"/>
      <c r="AA76" s="2003"/>
      <c r="AB76" s="2003"/>
      <c r="AC76" s="2003"/>
      <c r="AD76" s="2003"/>
      <c r="AE76" s="2003"/>
      <c r="AF76" s="2003"/>
      <c r="AG76" s="2003"/>
      <c r="AH76" s="2003"/>
      <c r="AI76" s="2003"/>
      <c r="AJ76" s="2003"/>
      <c r="AK76" s="2003"/>
      <c r="AL76" s="2003"/>
      <c r="AM76" s="2003"/>
      <c r="AN76" s="2003"/>
      <c r="AO76" s="2003"/>
      <c r="AP76" s="2003"/>
      <c r="AQ76" s="2003"/>
      <c r="AR76" s="2003"/>
      <c r="AS76" s="2003"/>
      <c r="AT76" s="2003"/>
      <c r="AU76" s="2003"/>
      <c r="AV76" s="2003"/>
      <c r="AW76" s="2003"/>
      <c r="AX76" s="2003"/>
      <c r="AY76" s="2003"/>
      <c r="AZ76" s="2003"/>
      <c r="BA76" s="2003"/>
      <c r="BB76" s="2003"/>
      <c r="BC76" s="2003"/>
      <c r="BD76" s="2003"/>
      <c r="BE76" s="2003"/>
      <c r="BF76" s="2003"/>
      <c r="BG76" s="2003"/>
      <c r="BH76" s="2003"/>
      <c r="BI76" s="2003"/>
      <c r="BJ76" s="2003"/>
      <c r="BK76" s="2003"/>
      <c r="BL76" s="2003"/>
      <c r="BM76" s="2003"/>
      <c r="BN76" s="2003" t="e">
        <f>BN72+950</f>
        <v>#REF!</v>
      </c>
      <c r="BO76" s="2003" t="e">
        <f>BO72+650</f>
        <v>#REF!</v>
      </c>
      <c r="BP76" s="2003"/>
      <c r="BQ76" s="2003" t="e">
        <f>BQ72+550</f>
        <v>#REF!</v>
      </c>
      <c r="BR76" s="2003" t="e">
        <f>BR72+550</f>
        <v>#REF!</v>
      </c>
      <c r="BS76" s="2003"/>
      <c r="BT76" s="2003"/>
      <c r="BU76" s="2003"/>
      <c r="BV76" s="2003"/>
      <c r="BW76" s="2003"/>
      <c r="BX76" s="2003"/>
      <c r="BY76" s="2003"/>
      <c r="BZ76" s="2003"/>
      <c r="CA76" s="2003"/>
      <c r="CB76" s="2003" t="e">
        <f t="shared" ref="CB76:CG76" si="85">CB65</f>
        <v>#REF!</v>
      </c>
      <c r="CC76" s="2003">
        <f t="shared" si="85"/>
        <v>0</v>
      </c>
      <c r="CD76" s="2003">
        <f t="shared" si="85"/>
        <v>2400</v>
      </c>
      <c r="CE76" s="2003" t="e">
        <f t="shared" si="85"/>
        <v>#REF!</v>
      </c>
      <c r="CF76" s="2003">
        <f t="shared" si="85"/>
        <v>1850</v>
      </c>
      <c r="CG76" s="2003">
        <f t="shared" si="85"/>
        <v>0</v>
      </c>
      <c r="CH76" s="2003" t="e">
        <f t="shared" si="82"/>
        <v>#REF!</v>
      </c>
      <c r="CI76" s="2003" t="e">
        <f t="shared" si="82"/>
        <v>#REF!</v>
      </c>
      <c r="CJ76" s="2003" t="e">
        <f t="shared" si="82"/>
        <v>#REF!</v>
      </c>
      <c r="CK76" s="2003"/>
      <c r="CL76" s="2003"/>
      <c r="CM76" s="2003"/>
      <c r="CN76" s="2003"/>
      <c r="CO76" s="2003"/>
      <c r="CP76" s="2003"/>
      <c r="CQ76" s="2003"/>
      <c r="CR76" s="2003"/>
      <c r="CS76" s="2003"/>
      <c r="CT76" s="2003"/>
      <c r="CU76" s="2003"/>
      <c r="CV76" s="2003"/>
      <c r="CW76" s="2003"/>
      <c r="CX76" s="2003"/>
      <c r="CY76" s="2003"/>
      <c r="CZ76" s="2003"/>
      <c r="DA76" s="2003"/>
      <c r="DB76" s="2003"/>
      <c r="DC76" s="2003"/>
      <c r="DD76" s="2003"/>
      <c r="DE76" s="2003"/>
      <c r="DF76" s="2003"/>
      <c r="DG76" s="2003"/>
      <c r="DH76" s="2003"/>
      <c r="DI76" s="2003"/>
      <c r="DJ76" s="2003"/>
      <c r="DK76" s="2003"/>
      <c r="DL76" s="2003"/>
      <c r="DM76" s="2003"/>
      <c r="DN76" s="2003"/>
      <c r="DO76" s="2004"/>
      <c r="DP76" s="2003"/>
      <c r="DQ76" s="2003"/>
      <c r="DR76" s="2005"/>
      <c r="DS76" s="2005"/>
      <c r="DT76" s="2005"/>
      <c r="DU76" s="2005"/>
      <c r="DV76" s="2005"/>
      <c r="DW76" s="2005"/>
      <c r="DX76" s="2005"/>
      <c r="DY76" s="2005"/>
      <c r="DZ76" s="2005"/>
      <c r="EA76" s="2005"/>
      <c r="FF76" s="1616"/>
    </row>
    <row r="77" spans="1:162" hidden="1" outlineLevel="2">
      <c r="A77" s="1624" t="s">
        <v>1314</v>
      </c>
      <c r="B77" s="1624" t="s">
        <v>2074</v>
      </c>
      <c r="C77" s="1624" t="s">
        <v>2091</v>
      </c>
      <c r="D77" s="1624" t="s">
        <v>722</v>
      </c>
      <c r="E77" s="2003">
        <f t="shared" si="78"/>
        <v>0</v>
      </c>
      <c r="F77" s="2003">
        <f>F52</f>
        <v>1700</v>
      </c>
      <c r="G77" s="2003">
        <f t="shared" si="79"/>
        <v>1700</v>
      </c>
      <c r="H77" s="2003">
        <f t="shared" si="79"/>
        <v>600</v>
      </c>
      <c r="I77" s="2003" t="e">
        <f>I52</f>
        <v>#REF!</v>
      </c>
      <c r="J77" s="2003"/>
      <c r="K77" s="2003"/>
      <c r="L77" s="2003">
        <f t="shared" si="60"/>
        <v>1700</v>
      </c>
      <c r="M77" s="2003">
        <f t="shared" si="61"/>
        <v>1700</v>
      </c>
      <c r="N77" s="2003"/>
      <c r="O77" s="2003"/>
      <c r="P77" s="2003"/>
      <c r="Q77" s="2003"/>
      <c r="R77" s="2003"/>
      <c r="S77" s="2003"/>
      <c r="T77" s="2003"/>
      <c r="U77" s="2003"/>
      <c r="V77" s="2003"/>
      <c r="W77" s="2003"/>
      <c r="X77" s="2003"/>
      <c r="Y77" s="2003"/>
      <c r="Z77" s="2003"/>
      <c r="AA77" s="2003"/>
      <c r="AB77" s="2003"/>
      <c r="AC77" s="2003"/>
      <c r="AD77" s="2003"/>
      <c r="AE77" s="2003"/>
      <c r="AF77" s="2003"/>
      <c r="AG77" s="2003"/>
      <c r="AH77" s="2003"/>
      <c r="AI77" s="2003"/>
      <c r="AJ77" s="2003"/>
      <c r="AK77" s="2003"/>
      <c r="AL77" s="2003"/>
      <c r="AM77" s="2003"/>
      <c r="AN77" s="2003"/>
      <c r="AO77" s="2003"/>
      <c r="AP77" s="2003"/>
      <c r="AQ77" s="2003"/>
      <c r="AR77" s="2003"/>
      <c r="AS77" s="2003"/>
      <c r="AT77" s="2003"/>
      <c r="AU77" s="2003"/>
      <c r="AV77" s="2003"/>
      <c r="AW77" s="2003"/>
      <c r="AX77" s="2003"/>
      <c r="AY77" s="2003"/>
      <c r="AZ77" s="2003"/>
      <c r="BA77" s="2003"/>
      <c r="BB77" s="2003"/>
      <c r="BC77" s="2003"/>
      <c r="BD77" s="2003"/>
      <c r="BE77" s="2003"/>
      <c r="BF77" s="2003"/>
      <c r="BG77" s="2003"/>
      <c r="BH77" s="2003"/>
      <c r="BI77" s="2003"/>
      <c r="BJ77" s="2003"/>
      <c r="BK77" s="2003"/>
      <c r="BL77" s="2003"/>
      <c r="BM77" s="2003"/>
      <c r="BN77" s="2003" t="e">
        <f>BN73+950</f>
        <v>#REF!</v>
      </c>
      <c r="BO77" s="2003" t="e">
        <f>BO73+650</f>
        <v>#REF!</v>
      </c>
      <c r="BP77" s="2003"/>
      <c r="BQ77" s="2003" t="e">
        <f>BQ73+550</f>
        <v>#REF!</v>
      </c>
      <c r="BR77" s="2003" t="e">
        <f>BR73+550</f>
        <v>#REF!</v>
      </c>
      <c r="BS77" s="2003"/>
      <c r="BT77" s="2003"/>
      <c r="BU77" s="2003"/>
      <c r="BV77" s="2003"/>
      <c r="BW77" s="2003"/>
      <c r="BX77" s="2003"/>
      <c r="BY77" s="2003"/>
      <c r="BZ77" s="2003"/>
      <c r="CA77" s="2003"/>
      <c r="CB77" s="2003" t="e">
        <f t="shared" ref="CB77:CG77" si="86">CB66</f>
        <v>#REF!</v>
      </c>
      <c r="CC77" s="2003">
        <f t="shared" si="86"/>
        <v>0</v>
      </c>
      <c r="CD77" s="2003">
        <f t="shared" si="86"/>
        <v>2400</v>
      </c>
      <c r="CE77" s="2003" t="e">
        <f t="shared" si="86"/>
        <v>#REF!</v>
      </c>
      <c r="CF77" s="2003">
        <f t="shared" si="86"/>
        <v>1850</v>
      </c>
      <c r="CG77" s="2003">
        <f t="shared" si="86"/>
        <v>0</v>
      </c>
      <c r="CH77" s="2003" t="e">
        <f t="shared" si="82"/>
        <v>#REF!</v>
      </c>
      <c r="CI77" s="2003" t="e">
        <f t="shared" si="82"/>
        <v>#REF!</v>
      </c>
      <c r="CJ77" s="2003" t="e">
        <f t="shared" si="82"/>
        <v>#REF!</v>
      </c>
      <c r="CK77" s="2003"/>
      <c r="CL77" s="2003"/>
      <c r="CM77" s="2003"/>
      <c r="CN77" s="2003"/>
      <c r="CO77" s="2003"/>
      <c r="CP77" s="2003"/>
      <c r="CQ77" s="2003"/>
      <c r="CR77" s="2003"/>
      <c r="CS77" s="2003"/>
      <c r="CT77" s="2003"/>
      <c r="CU77" s="2003"/>
      <c r="CV77" s="2003"/>
      <c r="CW77" s="2003"/>
      <c r="CX77" s="2003"/>
      <c r="CY77" s="2003"/>
      <c r="CZ77" s="2003"/>
      <c r="DA77" s="2003"/>
      <c r="DB77" s="2003"/>
      <c r="DC77" s="2003"/>
      <c r="DD77" s="2003"/>
      <c r="DE77" s="2003"/>
      <c r="DF77" s="2003"/>
      <c r="DG77" s="2003"/>
      <c r="DH77" s="2003"/>
      <c r="DI77" s="2003"/>
      <c r="DJ77" s="2003"/>
      <c r="DK77" s="2003"/>
      <c r="DL77" s="2003"/>
      <c r="DM77" s="2003"/>
      <c r="DN77" s="2003"/>
      <c r="DO77" s="2004"/>
      <c r="DP77" s="2003"/>
      <c r="DQ77" s="2003"/>
      <c r="DR77" s="2005"/>
      <c r="DS77" s="2005"/>
      <c r="DT77" s="2005"/>
      <c r="DU77" s="2005"/>
      <c r="DV77" s="2005"/>
      <c r="DW77" s="2005"/>
      <c r="DX77" s="2005"/>
      <c r="DY77" s="2005"/>
      <c r="DZ77" s="2005"/>
      <c r="EA77" s="2005"/>
      <c r="FF77" s="1616"/>
    </row>
    <row r="78" spans="1:162" hidden="1" outlineLevel="2">
      <c r="A78" s="1624" t="s">
        <v>1314</v>
      </c>
      <c r="B78" s="1624" t="s">
        <v>2074</v>
      </c>
      <c r="C78" s="1624" t="s">
        <v>2091</v>
      </c>
      <c r="D78" s="1624" t="s">
        <v>2086</v>
      </c>
      <c r="E78" s="2003">
        <f t="shared" si="78"/>
        <v>0</v>
      </c>
      <c r="F78" s="2003">
        <f>F52</f>
        <v>1700</v>
      </c>
      <c r="G78" s="2003">
        <f t="shared" si="79"/>
        <v>1700</v>
      </c>
      <c r="H78" s="2003">
        <f t="shared" si="79"/>
        <v>600</v>
      </c>
      <c r="I78" s="2003" t="e">
        <f>I52</f>
        <v>#REF!</v>
      </c>
      <c r="J78" s="2003"/>
      <c r="K78" s="2003"/>
      <c r="L78" s="2003">
        <f t="shared" si="60"/>
        <v>1700</v>
      </c>
      <c r="M78" s="2003">
        <f t="shared" si="61"/>
        <v>1700</v>
      </c>
      <c r="N78" s="2003"/>
      <c r="O78" s="2003"/>
      <c r="P78" s="2003"/>
      <c r="Q78" s="2003"/>
      <c r="R78" s="2003"/>
      <c r="S78" s="2003"/>
      <c r="T78" s="2003"/>
      <c r="U78" s="2003"/>
      <c r="V78" s="2003"/>
      <c r="W78" s="2003"/>
      <c r="X78" s="2003"/>
      <c r="Y78" s="2003"/>
      <c r="Z78" s="2003"/>
      <c r="AA78" s="2003"/>
      <c r="AB78" s="2003"/>
      <c r="AC78" s="2003"/>
      <c r="AD78" s="2003"/>
      <c r="AE78" s="2003"/>
      <c r="AF78" s="2003"/>
      <c r="AG78" s="2003"/>
      <c r="AH78" s="2003"/>
      <c r="AI78" s="2003"/>
      <c r="AJ78" s="2003"/>
      <c r="AK78" s="2003"/>
      <c r="AL78" s="2003"/>
      <c r="AM78" s="2003"/>
      <c r="AN78" s="2003"/>
      <c r="AO78" s="2003"/>
      <c r="AP78" s="2003"/>
      <c r="AQ78" s="2003"/>
      <c r="AR78" s="2003"/>
      <c r="AS78" s="2003"/>
      <c r="AT78" s="2003"/>
      <c r="AU78" s="2003"/>
      <c r="AV78" s="2003"/>
      <c r="AW78" s="2003"/>
      <c r="AX78" s="2003"/>
      <c r="AY78" s="2003"/>
      <c r="AZ78" s="2003"/>
      <c r="BA78" s="2003"/>
      <c r="BB78" s="2003"/>
      <c r="BC78" s="2003"/>
      <c r="BD78" s="2003"/>
      <c r="BE78" s="2003"/>
      <c r="BF78" s="2003"/>
      <c r="BG78" s="2003"/>
      <c r="BH78" s="2003"/>
      <c r="BI78" s="2003"/>
      <c r="BJ78" s="2003"/>
      <c r="BK78" s="2003"/>
      <c r="BL78" s="2003"/>
      <c r="BM78" s="2003"/>
      <c r="BN78" s="2003">
        <f t="shared" ref="BN78:BO81" si="87">BN74</f>
        <v>5400</v>
      </c>
      <c r="BO78" s="2003">
        <f t="shared" si="87"/>
        <v>4800</v>
      </c>
      <c r="BP78" s="2003"/>
      <c r="BQ78" s="2003">
        <f t="shared" ref="BQ78:BR81" si="88">BQ74</f>
        <v>4600</v>
      </c>
      <c r="BR78" s="2003">
        <f t="shared" si="88"/>
        <v>4600</v>
      </c>
      <c r="BS78" s="2003"/>
      <c r="BT78" s="2003"/>
      <c r="BU78" s="2003"/>
      <c r="BV78" s="2003"/>
      <c r="BW78" s="2003"/>
      <c r="BX78" s="2003"/>
      <c r="BY78" s="2003"/>
      <c r="BZ78" s="2003"/>
      <c r="CA78" s="2003"/>
      <c r="CB78" s="2003" t="e">
        <f t="shared" ref="CB78:CG78" si="89">CB67</f>
        <v>#REF!</v>
      </c>
      <c r="CC78" s="2003">
        <f t="shared" si="89"/>
        <v>0</v>
      </c>
      <c r="CD78" s="2003">
        <f t="shared" si="89"/>
        <v>2400</v>
      </c>
      <c r="CE78" s="2003" t="e">
        <f t="shared" si="89"/>
        <v>#REF!</v>
      </c>
      <c r="CF78" s="2003">
        <f t="shared" si="89"/>
        <v>1850</v>
      </c>
      <c r="CG78" s="2003">
        <f t="shared" si="89"/>
        <v>0</v>
      </c>
      <c r="CH78" s="2003" t="e">
        <f t="shared" si="82"/>
        <v>#REF!</v>
      </c>
      <c r="CI78" s="2003" t="e">
        <f t="shared" si="82"/>
        <v>#REF!</v>
      </c>
      <c r="CJ78" s="2003" t="e">
        <f t="shared" si="82"/>
        <v>#REF!</v>
      </c>
      <c r="CK78" s="2003"/>
      <c r="CL78" s="2003"/>
      <c r="CM78" s="2003"/>
      <c r="CN78" s="2003"/>
      <c r="CO78" s="2003"/>
      <c r="CP78" s="2003"/>
      <c r="CQ78" s="2003"/>
      <c r="CR78" s="2003"/>
      <c r="CS78" s="2003"/>
      <c r="CT78" s="2003"/>
      <c r="CU78" s="2003"/>
      <c r="CV78" s="2003"/>
      <c r="CW78" s="2003"/>
      <c r="CX78" s="2003"/>
      <c r="CY78" s="2003"/>
      <c r="CZ78" s="2003"/>
      <c r="DA78" s="2003"/>
      <c r="DB78" s="2003"/>
      <c r="DC78" s="2003"/>
      <c r="DD78" s="2003"/>
      <c r="DE78" s="2003"/>
      <c r="DF78" s="2003"/>
      <c r="DG78" s="2003"/>
      <c r="DH78" s="2003"/>
      <c r="DI78" s="2003"/>
      <c r="DJ78" s="2003"/>
      <c r="DK78" s="2003"/>
      <c r="DL78" s="2003"/>
      <c r="DM78" s="2003"/>
      <c r="DN78" s="2003"/>
      <c r="DO78" s="2004"/>
      <c r="DP78" s="2003"/>
      <c r="DQ78" s="2003"/>
      <c r="DR78" s="2005"/>
      <c r="DS78" s="2005"/>
      <c r="DT78" s="2005"/>
      <c r="DU78" s="2005"/>
      <c r="DV78" s="2005"/>
      <c r="DW78" s="2005"/>
      <c r="DX78" s="2005"/>
      <c r="DY78" s="2005"/>
      <c r="DZ78" s="2005"/>
      <c r="EA78" s="2005"/>
      <c r="FF78" s="1616"/>
    </row>
    <row r="79" spans="1:162" hidden="1" outlineLevel="2">
      <c r="A79" s="1624" t="s">
        <v>1314</v>
      </c>
      <c r="B79" s="1624" t="s">
        <v>2074</v>
      </c>
      <c r="C79" s="1624" t="s">
        <v>2091</v>
      </c>
      <c r="D79" s="1624" t="s">
        <v>2087</v>
      </c>
      <c r="E79" s="2003">
        <f t="shared" si="78"/>
        <v>0</v>
      </c>
      <c r="F79" s="2003">
        <f>F52</f>
        <v>1700</v>
      </c>
      <c r="G79" s="2003">
        <f t="shared" si="79"/>
        <v>1700</v>
      </c>
      <c r="H79" s="2003">
        <f t="shared" si="79"/>
        <v>600</v>
      </c>
      <c r="I79" s="2003" t="e">
        <f>I52</f>
        <v>#REF!</v>
      </c>
      <c r="J79" s="2003"/>
      <c r="K79" s="2003"/>
      <c r="L79" s="2003">
        <f t="shared" si="60"/>
        <v>1700</v>
      </c>
      <c r="M79" s="2003">
        <f t="shared" si="61"/>
        <v>1700</v>
      </c>
      <c r="N79" s="2003"/>
      <c r="O79" s="2003"/>
      <c r="P79" s="2003"/>
      <c r="Q79" s="2003"/>
      <c r="R79" s="2003"/>
      <c r="S79" s="2003"/>
      <c r="T79" s="2003"/>
      <c r="U79" s="2003"/>
      <c r="V79" s="2003"/>
      <c r="W79" s="2003"/>
      <c r="X79" s="2003"/>
      <c r="Y79" s="2003"/>
      <c r="Z79" s="2003"/>
      <c r="AA79" s="2003"/>
      <c r="AB79" s="2003"/>
      <c r="AC79" s="2003"/>
      <c r="AD79" s="2003"/>
      <c r="AE79" s="2003"/>
      <c r="AF79" s="2003"/>
      <c r="AG79" s="2003"/>
      <c r="AH79" s="2003"/>
      <c r="AI79" s="2003"/>
      <c r="AJ79" s="2003"/>
      <c r="AK79" s="2003"/>
      <c r="AL79" s="2003"/>
      <c r="AM79" s="2003"/>
      <c r="AN79" s="2003"/>
      <c r="AO79" s="2003"/>
      <c r="AP79" s="2003"/>
      <c r="AQ79" s="2003"/>
      <c r="AR79" s="2003"/>
      <c r="AS79" s="2003"/>
      <c r="AT79" s="2003"/>
      <c r="AU79" s="2003"/>
      <c r="AV79" s="2003"/>
      <c r="AW79" s="2003"/>
      <c r="AX79" s="2003"/>
      <c r="AY79" s="2003"/>
      <c r="AZ79" s="2003"/>
      <c r="BA79" s="2003"/>
      <c r="BB79" s="2003"/>
      <c r="BC79" s="2003"/>
      <c r="BD79" s="2003"/>
      <c r="BE79" s="2003"/>
      <c r="BF79" s="2003"/>
      <c r="BG79" s="2003"/>
      <c r="BH79" s="2003"/>
      <c r="BI79" s="2003"/>
      <c r="BJ79" s="2003"/>
      <c r="BK79" s="2003"/>
      <c r="BL79" s="2003"/>
      <c r="BM79" s="2003"/>
      <c r="BN79" s="2003" t="e">
        <f t="shared" si="87"/>
        <v>#REF!</v>
      </c>
      <c r="BO79" s="2003" t="e">
        <f t="shared" si="87"/>
        <v>#REF!</v>
      </c>
      <c r="BP79" s="2003"/>
      <c r="BQ79" s="2003" t="e">
        <f t="shared" si="88"/>
        <v>#REF!</v>
      </c>
      <c r="BR79" s="2003" t="e">
        <f t="shared" si="88"/>
        <v>#REF!</v>
      </c>
      <c r="BS79" s="2003"/>
      <c r="BT79" s="2003"/>
      <c r="BU79" s="2003"/>
      <c r="BV79" s="2003"/>
      <c r="BW79" s="2003"/>
      <c r="BX79" s="2003"/>
      <c r="BY79" s="2003"/>
      <c r="BZ79" s="2003"/>
      <c r="CA79" s="2003"/>
      <c r="CB79" s="2003" t="e">
        <f t="shared" ref="CB79:CG79" si="90">CB68</f>
        <v>#REF!</v>
      </c>
      <c r="CC79" s="2003">
        <f t="shared" si="90"/>
        <v>0</v>
      </c>
      <c r="CD79" s="2003">
        <f t="shared" si="90"/>
        <v>2400</v>
      </c>
      <c r="CE79" s="2003" t="e">
        <f t="shared" si="90"/>
        <v>#REF!</v>
      </c>
      <c r="CF79" s="2003">
        <f t="shared" si="90"/>
        <v>1850</v>
      </c>
      <c r="CG79" s="2003">
        <f t="shared" si="90"/>
        <v>0</v>
      </c>
      <c r="CH79" s="2003" t="e">
        <f t="shared" si="82"/>
        <v>#REF!</v>
      </c>
      <c r="CI79" s="2003" t="e">
        <f t="shared" si="82"/>
        <v>#REF!</v>
      </c>
      <c r="CJ79" s="2003" t="e">
        <f t="shared" si="82"/>
        <v>#REF!</v>
      </c>
      <c r="CK79" s="2003"/>
      <c r="CL79" s="2003"/>
      <c r="CM79" s="2003"/>
      <c r="CN79" s="2003"/>
      <c r="CO79" s="2003"/>
      <c r="CP79" s="2003"/>
      <c r="CQ79" s="2003"/>
      <c r="CR79" s="2003"/>
      <c r="CS79" s="2003"/>
      <c r="CT79" s="2003"/>
      <c r="CU79" s="2003"/>
      <c r="CV79" s="2003"/>
      <c r="CW79" s="2003"/>
      <c r="CX79" s="2003"/>
      <c r="CY79" s="2003"/>
      <c r="CZ79" s="2003"/>
      <c r="DA79" s="2003"/>
      <c r="DB79" s="2003"/>
      <c r="DC79" s="2003"/>
      <c r="DD79" s="2003"/>
      <c r="DE79" s="2003"/>
      <c r="DF79" s="2003"/>
      <c r="DG79" s="2003"/>
      <c r="DH79" s="2003"/>
      <c r="DI79" s="2003"/>
      <c r="DJ79" s="2003"/>
      <c r="DK79" s="2003"/>
      <c r="DL79" s="2003"/>
      <c r="DM79" s="2003"/>
      <c r="DN79" s="2003"/>
      <c r="DO79" s="2004"/>
      <c r="DP79" s="2003"/>
      <c r="DQ79" s="2003"/>
      <c r="DR79" s="2005"/>
      <c r="DS79" s="2005"/>
      <c r="DT79" s="2005"/>
      <c r="DU79" s="2005"/>
      <c r="DV79" s="2005"/>
      <c r="DW79" s="2005"/>
      <c r="DX79" s="2005"/>
      <c r="DY79" s="2005"/>
      <c r="DZ79" s="2005"/>
      <c r="EA79" s="2005"/>
      <c r="FF79" s="1616"/>
    </row>
    <row r="80" spans="1:162" hidden="1" outlineLevel="2">
      <c r="A80" s="1624" t="s">
        <v>1314</v>
      </c>
      <c r="B80" s="1624" t="s">
        <v>2075</v>
      </c>
      <c r="C80" s="1624" t="s">
        <v>2091</v>
      </c>
      <c r="D80" s="1624" t="s">
        <v>2085</v>
      </c>
      <c r="E80" s="2003">
        <f t="shared" si="78"/>
        <v>0</v>
      </c>
      <c r="F80" s="2003">
        <f>F52</f>
        <v>1700</v>
      </c>
      <c r="G80" s="2003">
        <f t="shared" si="79"/>
        <v>1700</v>
      </c>
      <c r="H80" s="2003">
        <f t="shared" si="79"/>
        <v>600</v>
      </c>
      <c r="I80" s="2003" t="e">
        <f>I52</f>
        <v>#REF!</v>
      </c>
      <c r="J80" s="2003"/>
      <c r="K80" s="2003"/>
      <c r="L80" s="2003">
        <f t="shared" si="60"/>
        <v>1700</v>
      </c>
      <c r="M80" s="2003">
        <f t="shared" si="61"/>
        <v>1700</v>
      </c>
      <c r="N80" s="2003"/>
      <c r="O80" s="2003"/>
      <c r="P80" s="2003"/>
      <c r="Q80" s="2003"/>
      <c r="R80" s="2003"/>
      <c r="S80" s="2003"/>
      <c r="T80" s="2003"/>
      <c r="U80" s="2003"/>
      <c r="V80" s="2003"/>
      <c r="W80" s="2003"/>
      <c r="X80" s="2003"/>
      <c r="Y80" s="2003"/>
      <c r="Z80" s="2003"/>
      <c r="AA80" s="2003"/>
      <c r="AB80" s="2003"/>
      <c r="AC80" s="2003"/>
      <c r="AD80" s="2003"/>
      <c r="AE80" s="2003"/>
      <c r="AF80" s="2003"/>
      <c r="AG80" s="2003"/>
      <c r="AH80" s="2003"/>
      <c r="AI80" s="2003"/>
      <c r="AJ80" s="2003"/>
      <c r="AK80" s="2003"/>
      <c r="AL80" s="2003"/>
      <c r="AM80" s="2003"/>
      <c r="AN80" s="2003"/>
      <c r="AO80" s="2003"/>
      <c r="AP80" s="2003"/>
      <c r="AQ80" s="2003"/>
      <c r="AR80" s="2003"/>
      <c r="AS80" s="2003"/>
      <c r="AT80" s="2003"/>
      <c r="AU80" s="2003"/>
      <c r="AV80" s="2003"/>
      <c r="AW80" s="2003"/>
      <c r="AX80" s="2003"/>
      <c r="AY80" s="2003"/>
      <c r="AZ80" s="2003"/>
      <c r="BA80" s="2003"/>
      <c r="BB80" s="2003"/>
      <c r="BC80" s="2003"/>
      <c r="BD80" s="2003"/>
      <c r="BE80" s="2003"/>
      <c r="BF80" s="2003"/>
      <c r="BG80" s="2003"/>
      <c r="BH80" s="2003"/>
      <c r="BI80" s="2003"/>
      <c r="BJ80" s="2003"/>
      <c r="BK80" s="2003"/>
      <c r="BL80" s="2003"/>
      <c r="BM80" s="2003"/>
      <c r="BN80" s="2003" t="e">
        <f t="shared" si="87"/>
        <v>#REF!</v>
      </c>
      <c r="BO80" s="2003" t="e">
        <f t="shared" si="87"/>
        <v>#REF!</v>
      </c>
      <c r="BP80" s="2003"/>
      <c r="BQ80" s="2003" t="e">
        <f t="shared" si="88"/>
        <v>#REF!</v>
      </c>
      <c r="BR80" s="2003" t="e">
        <f t="shared" si="88"/>
        <v>#REF!</v>
      </c>
      <c r="BS80" s="2003"/>
      <c r="BT80" s="2003"/>
      <c r="BU80" s="2003"/>
      <c r="BV80" s="2003"/>
      <c r="BW80" s="2003"/>
      <c r="BX80" s="2003"/>
      <c r="BY80" s="2003"/>
      <c r="BZ80" s="2003"/>
      <c r="CA80" s="2003"/>
      <c r="CB80" s="2003" t="e">
        <f t="shared" ref="CB80:CG80" si="91">CB69</f>
        <v>#REF!</v>
      </c>
      <c r="CC80" s="2003">
        <f t="shared" si="91"/>
        <v>0</v>
      </c>
      <c r="CD80" s="2003">
        <f t="shared" si="91"/>
        <v>2400</v>
      </c>
      <c r="CE80" s="2003" t="e">
        <f t="shared" si="91"/>
        <v>#REF!</v>
      </c>
      <c r="CF80" s="2003">
        <f t="shared" si="91"/>
        <v>1850</v>
      </c>
      <c r="CG80" s="2003">
        <f t="shared" si="91"/>
        <v>0</v>
      </c>
      <c r="CH80" s="2003" t="e">
        <f t="shared" si="82"/>
        <v>#REF!</v>
      </c>
      <c r="CI80" s="2003" t="e">
        <f t="shared" si="82"/>
        <v>#REF!</v>
      </c>
      <c r="CJ80" s="2003" t="e">
        <f t="shared" si="82"/>
        <v>#REF!</v>
      </c>
      <c r="CK80" s="2003"/>
      <c r="CL80" s="2003"/>
      <c r="CM80" s="2003"/>
      <c r="CN80" s="2003"/>
      <c r="CO80" s="2003"/>
      <c r="CP80" s="2003"/>
      <c r="CQ80" s="2003"/>
      <c r="CR80" s="2003"/>
      <c r="CS80" s="2003"/>
      <c r="CT80" s="2003"/>
      <c r="CU80" s="2003"/>
      <c r="CV80" s="2003"/>
      <c r="CW80" s="2003"/>
      <c r="CX80" s="2003"/>
      <c r="CY80" s="2003"/>
      <c r="CZ80" s="2003"/>
      <c r="DA80" s="2003"/>
      <c r="DB80" s="2003"/>
      <c r="DC80" s="2003"/>
      <c r="DD80" s="2003"/>
      <c r="DE80" s="2003"/>
      <c r="DF80" s="2003"/>
      <c r="DG80" s="2003"/>
      <c r="DH80" s="2003"/>
      <c r="DI80" s="2003"/>
      <c r="DJ80" s="2003"/>
      <c r="DK80" s="2003"/>
      <c r="DL80" s="2003"/>
      <c r="DM80" s="2003"/>
      <c r="DN80" s="2003"/>
      <c r="DO80" s="2004"/>
      <c r="DP80" s="2003"/>
      <c r="DQ80" s="2003"/>
      <c r="DR80" s="2005"/>
      <c r="DS80" s="2005"/>
      <c r="DT80" s="2005"/>
      <c r="DU80" s="2005"/>
      <c r="DV80" s="2005"/>
      <c r="DW80" s="2005"/>
      <c r="DX80" s="2005"/>
      <c r="DY80" s="2005"/>
      <c r="DZ80" s="2005"/>
      <c r="EA80" s="2005"/>
      <c r="FF80" s="1616"/>
    </row>
    <row r="81" spans="1:162" hidden="1" outlineLevel="2">
      <c r="A81" s="1624" t="s">
        <v>1314</v>
      </c>
      <c r="B81" s="1624" t="s">
        <v>2075</v>
      </c>
      <c r="C81" s="1624" t="s">
        <v>2091</v>
      </c>
      <c r="D81" s="1624" t="s">
        <v>722</v>
      </c>
      <c r="E81" s="2003">
        <f t="shared" si="78"/>
        <v>0</v>
      </c>
      <c r="F81" s="2003">
        <f>F52</f>
        <v>1700</v>
      </c>
      <c r="G81" s="2003">
        <f t="shared" si="79"/>
        <v>1700</v>
      </c>
      <c r="H81" s="2003">
        <f t="shared" si="79"/>
        <v>600</v>
      </c>
      <c r="I81" s="2003" t="e">
        <f>I52</f>
        <v>#REF!</v>
      </c>
      <c r="J81" s="2003"/>
      <c r="K81" s="2003"/>
      <c r="L81" s="2003">
        <f t="shared" si="60"/>
        <v>1700</v>
      </c>
      <c r="M81" s="2003">
        <f t="shared" si="61"/>
        <v>1700</v>
      </c>
      <c r="N81" s="2003"/>
      <c r="O81" s="2003"/>
      <c r="P81" s="2003"/>
      <c r="Q81" s="2003"/>
      <c r="R81" s="2003"/>
      <c r="S81" s="2003"/>
      <c r="T81" s="2003"/>
      <c r="U81" s="2003"/>
      <c r="V81" s="2003"/>
      <c r="W81" s="2003"/>
      <c r="X81" s="2003"/>
      <c r="Y81" s="2003"/>
      <c r="Z81" s="2003"/>
      <c r="AA81" s="2003"/>
      <c r="AB81" s="2003"/>
      <c r="AC81" s="2003"/>
      <c r="AD81" s="2003"/>
      <c r="AE81" s="2003"/>
      <c r="AF81" s="2003"/>
      <c r="AG81" s="2003"/>
      <c r="AH81" s="2003"/>
      <c r="AI81" s="2003"/>
      <c r="AJ81" s="2003"/>
      <c r="AK81" s="2003"/>
      <c r="AL81" s="2003"/>
      <c r="AM81" s="2003"/>
      <c r="AN81" s="2003"/>
      <c r="AO81" s="2003"/>
      <c r="AP81" s="2003"/>
      <c r="AQ81" s="2003"/>
      <c r="AR81" s="2003"/>
      <c r="AS81" s="2003"/>
      <c r="AT81" s="2003"/>
      <c r="AU81" s="2003"/>
      <c r="AV81" s="2003"/>
      <c r="AW81" s="2003"/>
      <c r="AX81" s="2003"/>
      <c r="AY81" s="2003"/>
      <c r="AZ81" s="2003"/>
      <c r="BA81" s="2003"/>
      <c r="BB81" s="2003"/>
      <c r="BC81" s="2003"/>
      <c r="BD81" s="2003"/>
      <c r="BE81" s="2003"/>
      <c r="BF81" s="2003"/>
      <c r="BG81" s="2003"/>
      <c r="BH81" s="2003"/>
      <c r="BI81" s="2003"/>
      <c r="BJ81" s="2003"/>
      <c r="BK81" s="2003"/>
      <c r="BL81" s="2003"/>
      <c r="BM81" s="2003"/>
      <c r="BN81" s="2003" t="e">
        <f t="shared" si="87"/>
        <v>#REF!</v>
      </c>
      <c r="BO81" s="2003" t="e">
        <f t="shared" si="87"/>
        <v>#REF!</v>
      </c>
      <c r="BP81" s="2003"/>
      <c r="BQ81" s="2003" t="e">
        <f t="shared" si="88"/>
        <v>#REF!</v>
      </c>
      <c r="BR81" s="2003" t="e">
        <f t="shared" si="88"/>
        <v>#REF!</v>
      </c>
      <c r="BS81" s="2003"/>
      <c r="BT81" s="2003"/>
      <c r="BU81" s="2003"/>
      <c r="BV81" s="2003"/>
      <c r="BW81" s="2003"/>
      <c r="BX81" s="2003"/>
      <c r="BY81" s="2003"/>
      <c r="BZ81" s="2003"/>
      <c r="CA81" s="2003"/>
      <c r="CB81" s="2003" t="e">
        <f t="shared" ref="CB81:CG81" si="92">CB70</f>
        <v>#REF!</v>
      </c>
      <c r="CC81" s="2003">
        <f t="shared" si="92"/>
        <v>0</v>
      </c>
      <c r="CD81" s="2003">
        <f t="shared" si="92"/>
        <v>2400</v>
      </c>
      <c r="CE81" s="2003" t="e">
        <f t="shared" si="92"/>
        <v>#REF!</v>
      </c>
      <c r="CF81" s="2003">
        <f t="shared" si="92"/>
        <v>1850</v>
      </c>
      <c r="CG81" s="2003">
        <f t="shared" si="92"/>
        <v>0</v>
      </c>
      <c r="CH81" s="2003" t="e">
        <f t="shared" si="82"/>
        <v>#REF!</v>
      </c>
      <c r="CI81" s="2003" t="e">
        <f t="shared" si="82"/>
        <v>#REF!</v>
      </c>
      <c r="CJ81" s="2003" t="e">
        <f t="shared" si="82"/>
        <v>#REF!</v>
      </c>
      <c r="CK81" s="2003"/>
      <c r="CL81" s="2003"/>
      <c r="CM81" s="2003"/>
      <c r="CN81" s="2003"/>
      <c r="CO81" s="2003"/>
      <c r="CP81" s="2003"/>
      <c r="CQ81" s="2003"/>
      <c r="CR81" s="2003"/>
      <c r="CS81" s="2003"/>
      <c r="CT81" s="2003"/>
      <c r="CU81" s="2003"/>
      <c r="CV81" s="2003"/>
      <c r="CW81" s="2003"/>
      <c r="CX81" s="2003"/>
      <c r="CY81" s="2003"/>
      <c r="CZ81" s="2003"/>
      <c r="DA81" s="2003"/>
      <c r="DB81" s="2003"/>
      <c r="DC81" s="2003"/>
      <c r="DD81" s="2003"/>
      <c r="DE81" s="2003"/>
      <c r="DF81" s="2003"/>
      <c r="DG81" s="2003"/>
      <c r="DH81" s="2003"/>
      <c r="DI81" s="2003"/>
      <c r="DJ81" s="2003"/>
      <c r="DK81" s="2003"/>
      <c r="DL81" s="2003"/>
      <c r="DM81" s="2003"/>
      <c r="DN81" s="2003"/>
      <c r="DO81" s="2004"/>
      <c r="DP81" s="2003"/>
      <c r="DQ81" s="2003"/>
      <c r="DR81" s="2005"/>
      <c r="DS81" s="2005"/>
      <c r="DT81" s="2005"/>
      <c r="DU81" s="2005"/>
      <c r="DV81" s="2005"/>
      <c r="DW81" s="2005"/>
      <c r="DX81" s="2005"/>
      <c r="DY81" s="2005"/>
      <c r="DZ81" s="2005"/>
      <c r="EA81" s="2005"/>
      <c r="FF81" s="1616"/>
    </row>
    <row r="82" spans="1:162" hidden="1" outlineLevel="2">
      <c r="A82" s="1624" t="s">
        <v>1314</v>
      </c>
      <c r="B82" s="1624" t="s">
        <v>2075</v>
      </c>
      <c r="C82" s="1624" t="s">
        <v>2091</v>
      </c>
      <c r="D82" s="1624" t="s">
        <v>2086</v>
      </c>
      <c r="E82" s="2003"/>
      <c r="F82" s="2003"/>
      <c r="G82" s="2003"/>
      <c r="H82" s="2003"/>
      <c r="I82" s="2003" t="e">
        <f>I48</f>
        <v>#REF!</v>
      </c>
      <c r="J82" s="2003"/>
      <c r="K82" s="2003"/>
      <c r="L82" s="2003">
        <f t="shared" si="60"/>
        <v>0</v>
      </c>
      <c r="M82" s="2003">
        <f t="shared" si="61"/>
        <v>0</v>
      </c>
      <c r="N82" s="2003"/>
      <c r="O82" s="2003"/>
      <c r="P82" s="2003"/>
      <c r="Q82" s="2003"/>
      <c r="R82" s="2003"/>
      <c r="S82" s="2003"/>
      <c r="T82" s="2003"/>
      <c r="U82" s="2003"/>
      <c r="V82" s="2003"/>
      <c r="W82" s="2003"/>
      <c r="X82" s="2003"/>
      <c r="Y82" s="2003"/>
      <c r="Z82" s="2003"/>
      <c r="AA82" s="2003"/>
      <c r="AB82" s="2003"/>
      <c r="AC82" s="2003"/>
      <c r="AD82" s="2003"/>
      <c r="AE82" s="2003"/>
      <c r="AF82" s="2003"/>
      <c r="AG82" s="2003"/>
      <c r="AH82" s="2003"/>
      <c r="AI82" s="2003"/>
      <c r="AJ82" s="2003"/>
      <c r="AK82" s="2003"/>
      <c r="AL82" s="2003"/>
      <c r="AM82" s="2003"/>
      <c r="AN82" s="2003"/>
      <c r="AO82" s="2003"/>
      <c r="AP82" s="2003"/>
      <c r="AQ82" s="2003"/>
      <c r="AR82" s="2003"/>
      <c r="AS82" s="2003"/>
      <c r="AT82" s="2003"/>
      <c r="AU82" s="2003"/>
      <c r="AV82" s="2003"/>
      <c r="AW82" s="2003"/>
      <c r="AX82" s="2003"/>
      <c r="AY82" s="2003"/>
      <c r="AZ82" s="2003"/>
      <c r="BA82" s="2003"/>
      <c r="BB82" s="2003"/>
      <c r="BC82" s="2003"/>
      <c r="BD82" s="2003"/>
      <c r="BE82" s="2003"/>
      <c r="BF82" s="2003"/>
      <c r="BG82" s="2003"/>
      <c r="BH82" s="2003"/>
      <c r="BI82" s="2003"/>
      <c r="BJ82" s="2003"/>
      <c r="BK82" s="2003"/>
      <c r="BL82" s="2003"/>
      <c r="BM82" s="2003"/>
      <c r="BN82" s="2003"/>
      <c r="BO82" s="2003"/>
      <c r="BP82" s="2003"/>
      <c r="BQ82" s="2003"/>
      <c r="BR82" s="2003"/>
      <c r="BS82" s="2003"/>
      <c r="BT82" s="2003"/>
      <c r="BU82" s="2003"/>
      <c r="BV82" s="2003"/>
      <c r="BW82" s="2003"/>
      <c r="BX82" s="2003"/>
      <c r="BY82" s="2003"/>
      <c r="BZ82" s="2003"/>
      <c r="CA82" s="2003"/>
      <c r="CB82" s="2003" t="e">
        <f t="shared" ref="CB82:CG82" si="93">CB71</f>
        <v>#REF!</v>
      </c>
      <c r="CC82" s="2003">
        <f t="shared" si="93"/>
        <v>0</v>
      </c>
      <c r="CD82" s="2003">
        <f t="shared" si="93"/>
        <v>2400</v>
      </c>
      <c r="CE82" s="2003" t="e">
        <f t="shared" si="93"/>
        <v>#REF!</v>
      </c>
      <c r="CF82" s="2003">
        <f t="shared" si="93"/>
        <v>1850</v>
      </c>
      <c r="CG82" s="2003">
        <f t="shared" si="93"/>
        <v>0</v>
      </c>
      <c r="CH82" s="2003" t="e">
        <f t="shared" si="82"/>
        <v>#REF!</v>
      </c>
      <c r="CI82" s="2003" t="e">
        <f t="shared" si="82"/>
        <v>#REF!</v>
      </c>
      <c r="CJ82" s="2003" t="e">
        <f t="shared" si="82"/>
        <v>#REF!</v>
      </c>
      <c r="CK82" s="2003"/>
      <c r="CL82" s="2003"/>
      <c r="CM82" s="2003"/>
      <c r="CN82" s="2003"/>
      <c r="CO82" s="2003"/>
      <c r="CP82" s="2003"/>
      <c r="CQ82" s="2003"/>
      <c r="CR82" s="2003"/>
      <c r="CS82" s="2003"/>
      <c r="CT82" s="2003"/>
      <c r="CU82" s="2003"/>
      <c r="CV82" s="2003"/>
      <c r="CW82" s="2003"/>
      <c r="CX82" s="2003"/>
      <c r="CY82" s="2003"/>
      <c r="CZ82" s="2003"/>
      <c r="DA82" s="2003"/>
      <c r="DB82" s="2003"/>
      <c r="DC82" s="2003"/>
      <c r="DD82" s="2003"/>
      <c r="DE82" s="2003"/>
      <c r="DF82" s="2003"/>
      <c r="DG82" s="2003"/>
      <c r="DH82" s="2003"/>
      <c r="DI82" s="2003"/>
      <c r="DJ82" s="2003"/>
      <c r="DK82" s="2003"/>
      <c r="DL82" s="2003"/>
      <c r="DM82" s="2003"/>
      <c r="DN82" s="2003"/>
      <c r="DO82" s="2004"/>
      <c r="DP82" s="2003"/>
      <c r="DQ82" s="2003"/>
      <c r="DR82" s="2005"/>
      <c r="DS82" s="2005"/>
      <c r="DT82" s="2005"/>
      <c r="DU82" s="2005"/>
      <c r="DV82" s="2005"/>
      <c r="DW82" s="2005"/>
      <c r="DX82" s="2005"/>
      <c r="DY82" s="2005"/>
      <c r="DZ82" s="2005"/>
      <c r="EA82" s="2005"/>
      <c r="FF82" s="1616"/>
    </row>
    <row r="83" spans="1:162" hidden="1" outlineLevel="2">
      <c r="A83" s="1624" t="s">
        <v>1314</v>
      </c>
      <c r="B83" s="1624" t="s">
        <v>2075</v>
      </c>
      <c r="C83" s="1624" t="s">
        <v>2091</v>
      </c>
      <c r="D83" s="1624" t="s">
        <v>2087</v>
      </c>
      <c r="E83" s="2003"/>
      <c r="F83" s="2003"/>
      <c r="G83" s="2003"/>
      <c r="H83" s="2003"/>
      <c r="I83" s="2003" t="s">
        <v>5</v>
      </c>
      <c r="J83" s="2003"/>
      <c r="K83" s="2003"/>
      <c r="L83" s="2003">
        <f t="shared" si="60"/>
        <v>0</v>
      </c>
      <c r="M83" s="2003">
        <f t="shared" si="61"/>
        <v>0</v>
      </c>
      <c r="N83" s="2003"/>
      <c r="O83" s="2003"/>
      <c r="P83" s="2003"/>
      <c r="Q83" s="2003"/>
      <c r="R83" s="2003"/>
      <c r="S83" s="2003"/>
      <c r="T83" s="2003"/>
      <c r="U83" s="2003"/>
      <c r="V83" s="2003"/>
      <c r="W83" s="2003"/>
      <c r="X83" s="2003"/>
      <c r="Y83" s="2003"/>
      <c r="Z83" s="2003"/>
      <c r="AA83" s="2003"/>
      <c r="AB83" s="2003"/>
      <c r="AC83" s="2003"/>
      <c r="AD83" s="2003"/>
      <c r="AE83" s="2003"/>
      <c r="AF83" s="2003"/>
      <c r="AG83" s="2003"/>
      <c r="AH83" s="2003"/>
      <c r="AI83" s="2003"/>
      <c r="AJ83" s="2003"/>
      <c r="AK83" s="2003"/>
      <c r="AL83" s="2003"/>
      <c r="AM83" s="2003"/>
      <c r="AN83" s="2003"/>
      <c r="AO83" s="2003"/>
      <c r="AP83" s="2003"/>
      <c r="AQ83" s="2003"/>
      <c r="AR83" s="2003"/>
      <c r="AS83" s="2003"/>
      <c r="AT83" s="2003"/>
      <c r="AU83" s="2003"/>
      <c r="AV83" s="2003"/>
      <c r="AW83" s="2003"/>
      <c r="AX83" s="2003"/>
      <c r="AY83" s="2003"/>
      <c r="AZ83" s="2003"/>
      <c r="BA83" s="2003"/>
      <c r="BB83" s="2003"/>
      <c r="BC83" s="2003"/>
      <c r="BD83" s="2003"/>
      <c r="BE83" s="2003"/>
      <c r="BF83" s="2003"/>
      <c r="BG83" s="2003"/>
      <c r="BH83" s="2003"/>
      <c r="BI83" s="2003"/>
      <c r="BJ83" s="2003"/>
      <c r="BK83" s="2003"/>
      <c r="BL83" s="2003"/>
      <c r="BM83" s="2003"/>
      <c r="BN83" s="2003"/>
      <c r="BO83" s="2003"/>
      <c r="BP83" s="2003"/>
      <c r="BQ83" s="2003"/>
      <c r="BR83" s="2003"/>
      <c r="BS83" s="2003"/>
      <c r="BT83" s="2003"/>
      <c r="BU83" s="2003"/>
      <c r="BV83" s="2003"/>
      <c r="BW83" s="2003"/>
      <c r="BX83" s="2003"/>
      <c r="BY83" s="2003"/>
      <c r="BZ83" s="2003"/>
      <c r="CA83" s="2003"/>
      <c r="CB83" s="2003" t="e">
        <f t="shared" ref="CB83:CG83" si="94">CB72</f>
        <v>#REF!</v>
      </c>
      <c r="CC83" s="2003">
        <f t="shared" si="94"/>
        <v>0</v>
      </c>
      <c r="CD83" s="2003">
        <f t="shared" si="94"/>
        <v>2400</v>
      </c>
      <c r="CE83" s="2003" t="e">
        <f t="shared" si="94"/>
        <v>#REF!</v>
      </c>
      <c r="CF83" s="2003">
        <f t="shared" si="94"/>
        <v>1850</v>
      </c>
      <c r="CG83" s="2003">
        <f t="shared" si="94"/>
        <v>0</v>
      </c>
      <c r="CH83" s="2003" t="e">
        <f t="shared" si="82"/>
        <v>#REF!</v>
      </c>
      <c r="CI83" s="2003" t="e">
        <f t="shared" si="82"/>
        <v>#REF!</v>
      </c>
      <c r="CJ83" s="2003" t="e">
        <f t="shared" si="82"/>
        <v>#REF!</v>
      </c>
      <c r="CK83" s="2003"/>
      <c r="CL83" s="2003"/>
      <c r="CM83" s="2003"/>
      <c r="CN83" s="2003"/>
      <c r="CO83" s="2003"/>
      <c r="CP83" s="2003"/>
      <c r="CQ83" s="2003"/>
      <c r="CR83" s="2003"/>
      <c r="CS83" s="2003"/>
      <c r="CT83" s="2003"/>
      <c r="CU83" s="2003"/>
      <c r="CV83" s="2003"/>
      <c r="CW83" s="2003"/>
      <c r="CX83" s="2003"/>
      <c r="CY83" s="2003"/>
      <c r="CZ83" s="2003"/>
      <c r="DA83" s="2003"/>
      <c r="DB83" s="2003"/>
      <c r="DC83" s="2003"/>
      <c r="DD83" s="2003"/>
      <c r="DE83" s="2003"/>
      <c r="DF83" s="2003"/>
      <c r="DG83" s="2003"/>
      <c r="DH83" s="2003"/>
      <c r="DI83" s="2003"/>
      <c r="DJ83" s="2003"/>
      <c r="DK83" s="2003"/>
      <c r="DL83" s="2003"/>
      <c r="DM83" s="2003"/>
      <c r="DN83" s="2003"/>
      <c r="DO83" s="2004"/>
      <c r="DP83" s="2003"/>
      <c r="DQ83" s="2003"/>
      <c r="DR83" s="2005"/>
      <c r="DS83" s="2005"/>
      <c r="DT83" s="2005"/>
      <c r="DU83" s="2005"/>
      <c r="DV83" s="2005"/>
      <c r="DW83" s="2005"/>
      <c r="DX83" s="2005"/>
      <c r="DY83" s="2005"/>
      <c r="DZ83" s="2005"/>
      <c r="EA83" s="2005"/>
      <c r="FF83" s="1616"/>
    </row>
    <row r="84" spans="1:162" hidden="1" outlineLevel="1" collapsed="1">
      <c r="A84" s="1626" t="s">
        <v>226</v>
      </c>
      <c r="B84" s="1626" t="s">
        <v>2060</v>
      </c>
      <c r="C84" s="1626" t="s">
        <v>2089</v>
      </c>
      <c r="D84" s="1626"/>
      <c r="E84" s="2007"/>
      <c r="F84" s="2007"/>
      <c r="G84" s="2007"/>
      <c r="H84" s="2007"/>
      <c r="I84" s="2007"/>
      <c r="J84" s="2007"/>
      <c r="K84" s="2007"/>
      <c r="L84" s="2007"/>
      <c r="M84" s="2007"/>
      <c r="N84" s="2007"/>
      <c r="O84" s="2007"/>
      <c r="P84" s="2007"/>
      <c r="Q84" s="2007"/>
      <c r="R84" s="2007"/>
      <c r="S84" s="2007"/>
      <c r="T84" s="2007"/>
      <c r="U84" s="2007"/>
      <c r="V84" s="2007"/>
      <c r="W84" s="2007"/>
      <c r="X84" s="2007"/>
      <c r="Y84" s="2007"/>
      <c r="Z84" s="2007"/>
      <c r="AA84" s="2007"/>
      <c r="AB84" s="2007"/>
      <c r="AC84" s="2007"/>
      <c r="AD84" s="2007"/>
      <c r="AE84" s="2007"/>
      <c r="AF84" s="2007"/>
      <c r="AG84" s="2007"/>
      <c r="AH84" s="2007"/>
      <c r="AI84" s="2007"/>
      <c r="AJ84" s="2007"/>
      <c r="AK84" s="2007"/>
      <c r="AL84" s="2007"/>
      <c r="AM84" s="2007"/>
      <c r="AN84" s="2007"/>
      <c r="AO84" s="2007"/>
      <c r="AP84" s="2007"/>
      <c r="AQ84" s="2007"/>
      <c r="AR84" s="2007"/>
      <c r="AS84" s="2007"/>
      <c r="AT84" s="2007"/>
      <c r="AU84" s="2007"/>
      <c r="AV84" s="2007"/>
      <c r="AW84" s="2007"/>
      <c r="AX84" s="2007"/>
      <c r="AY84" s="2007"/>
      <c r="AZ84" s="2007"/>
      <c r="BA84" s="2007"/>
      <c r="BB84" s="2007"/>
      <c r="BC84" s="2007"/>
      <c r="BD84" s="2007"/>
      <c r="BE84" s="2007"/>
      <c r="BF84" s="2007"/>
      <c r="BG84" s="2007"/>
      <c r="BH84" s="2007"/>
      <c r="BI84" s="2007"/>
      <c r="BJ84" s="2007"/>
      <c r="BK84" s="2007"/>
      <c r="BL84" s="2007"/>
      <c r="BM84" s="2007"/>
      <c r="BN84" s="2007"/>
      <c r="BO84" s="2007"/>
      <c r="BP84" s="2007"/>
      <c r="BQ84" s="2007"/>
      <c r="BR84" s="2007"/>
      <c r="BS84" s="2007"/>
      <c r="BT84" s="2007"/>
      <c r="BU84" s="2007"/>
      <c r="BV84" s="2007"/>
      <c r="BW84" s="2007"/>
      <c r="BX84" s="2007"/>
      <c r="BY84" s="2007"/>
      <c r="BZ84" s="2007"/>
      <c r="CA84" s="2007"/>
      <c r="CB84" s="2007"/>
      <c r="CC84" s="2007" t="e">
        <f>Neoclassic!#REF!</f>
        <v>#REF!</v>
      </c>
      <c r="CD84" s="2007"/>
      <c r="CE84" s="2007"/>
      <c r="CF84" s="2007"/>
      <c r="CG84" s="2007"/>
      <c r="CH84" s="2007"/>
      <c r="CI84" s="2007"/>
      <c r="CJ84" s="2007"/>
      <c r="CK84" s="2007"/>
      <c r="CL84" s="2007"/>
      <c r="CM84" s="2007"/>
      <c r="CN84" s="2007"/>
      <c r="CO84" s="2007"/>
      <c r="CP84" s="2007"/>
      <c r="CQ84" s="2007"/>
      <c r="CR84" s="2007"/>
      <c r="CS84" s="2007"/>
      <c r="CT84" s="2007"/>
      <c r="CU84" s="2007"/>
      <c r="CV84" s="2007"/>
      <c r="CW84" s="2007"/>
      <c r="CX84" s="2007"/>
      <c r="CY84" s="2007"/>
      <c r="CZ84" s="2007"/>
      <c r="DA84" s="2007"/>
      <c r="DB84" s="2007"/>
      <c r="DC84" s="2007"/>
      <c r="DD84" s="2007"/>
      <c r="DE84" s="2007"/>
      <c r="DF84" s="2007"/>
      <c r="DG84" s="2007"/>
      <c r="DH84" s="2007"/>
      <c r="DI84" s="2007"/>
      <c r="DJ84" s="2007"/>
      <c r="DK84" s="2007"/>
      <c r="DL84" s="2007"/>
      <c r="DM84" s="2007"/>
      <c r="DN84" s="2007"/>
      <c r="DO84" s="2008"/>
      <c r="DP84" s="2007"/>
      <c r="DQ84" s="2007"/>
      <c r="FF84" s="1616"/>
    </row>
    <row r="85" spans="1:162" hidden="1" outlineLevel="1">
      <c r="A85" s="1626" t="s">
        <v>226</v>
      </c>
      <c r="B85" s="1626" t="s">
        <v>2060</v>
      </c>
      <c r="C85" s="1626" t="s">
        <v>2090</v>
      </c>
      <c r="D85" s="1626"/>
      <c r="E85" s="2007"/>
      <c r="F85" s="2007"/>
      <c r="G85" s="2007"/>
      <c r="H85" s="2007"/>
      <c r="I85" s="2007"/>
      <c r="J85" s="2007"/>
      <c r="K85" s="2007"/>
      <c r="L85" s="2007"/>
      <c r="M85" s="2007"/>
      <c r="N85" s="2007"/>
      <c r="O85" s="2007"/>
      <c r="P85" s="2007"/>
      <c r="Q85" s="2007"/>
      <c r="R85" s="2007"/>
      <c r="S85" s="2007"/>
      <c r="T85" s="2007"/>
      <c r="U85" s="2007"/>
      <c r="V85" s="2007"/>
      <c r="W85" s="2007"/>
      <c r="X85" s="2007"/>
      <c r="Y85" s="2007"/>
      <c r="Z85" s="2007"/>
      <c r="AA85" s="2007"/>
      <c r="AB85" s="2007"/>
      <c r="AC85" s="2007"/>
      <c r="AD85" s="2007"/>
      <c r="AE85" s="2007"/>
      <c r="AF85" s="2007"/>
      <c r="AG85" s="2007"/>
      <c r="AH85" s="2007"/>
      <c r="AI85" s="2007"/>
      <c r="AJ85" s="2007"/>
      <c r="AK85" s="2007"/>
      <c r="AL85" s="2007"/>
      <c r="AM85" s="2007"/>
      <c r="AN85" s="2007"/>
      <c r="AO85" s="2007"/>
      <c r="AP85" s="2007"/>
      <c r="AQ85" s="2007"/>
      <c r="AR85" s="2007"/>
      <c r="AS85" s="2007"/>
      <c r="AT85" s="2007"/>
      <c r="AU85" s="2007"/>
      <c r="AV85" s="2007"/>
      <c r="AW85" s="2007"/>
      <c r="AX85" s="2007"/>
      <c r="AY85" s="2007"/>
      <c r="AZ85" s="2007"/>
      <c r="BA85" s="2007"/>
      <c r="BB85" s="2007"/>
      <c r="BC85" s="2007"/>
      <c r="BD85" s="2007"/>
      <c r="BE85" s="2007"/>
      <c r="BF85" s="2007"/>
      <c r="BG85" s="2007"/>
      <c r="BH85" s="2007"/>
      <c r="BI85" s="2007"/>
      <c r="BJ85" s="2007"/>
      <c r="BK85" s="2007"/>
      <c r="BL85" s="2007"/>
      <c r="BM85" s="2007"/>
      <c r="BN85" s="2007"/>
      <c r="BO85" s="2007"/>
      <c r="BP85" s="2007"/>
      <c r="BQ85" s="2007"/>
      <c r="BR85" s="2007"/>
      <c r="BS85" s="2007"/>
      <c r="BT85" s="2007"/>
      <c r="BU85" s="2007"/>
      <c r="BV85" s="2007"/>
      <c r="BW85" s="2007"/>
      <c r="BX85" s="2007"/>
      <c r="BY85" s="2007"/>
      <c r="BZ85" s="2007"/>
      <c r="CA85" s="2007"/>
      <c r="CB85" s="2007"/>
      <c r="CC85" s="2007" t="e">
        <f>CC84+Neoclassic!#REF!</f>
        <v>#REF!</v>
      </c>
      <c r="CD85" s="2007"/>
      <c r="CE85" s="2007"/>
      <c r="CF85" s="2007"/>
      <c r="CG85" s="2007"/>
      <c r="CH85" s="2007"/>
      <c r="CI85" s="2007"/>
      <c r="CJ85" s="2007"/>
      <c r="CK85" s="2007"/>
      <c r="CL85" s="2007"/>
      <c r="CM85" s="2007"/>
      <c r="CN85" s="2007"/>
      <c r="CO85" s="2007"/>
      <c r="CP85" s="2007"/>
      <c r="CQ85" s="2007"/>
      <c r="CR85" s="2007"/>
      <c r="CS85" s="2007"/>
      <c r="CT85" s="2007"/>
      <c r="CU85" s="2007"/>
      <c r="CV85" s="2007"/>
      <c r="CW85" s="2007"/>
      <c r="CX85" s="2007"/>
      <c r="CY85" s="2007"/>
      <c r="CZ85" s="2007"/>
      <c r="DA85" s="2007"/>
      <c r="DB85" s="2007"/>
      <c r="DC85" s="2007"/>
      <c r="DD85" s="2007"/>
      <c r="DE85" s="2007"/>
      <c r="DF85" s="2007"/>
      <c r="DG85" s="2007"/>
      <c r="DH85" s="2007"/>
      <c r="DI85" s="2007"/>
      <c r="DJ85" s="2007"/>
      <c r="DK85" s="2007"/>
      <c r="DL85" s="2007"/>
      <c r="DM85" s="2007"/>
      <c r="DN85" s="2007"/>
      <c r="DO85" s="2008"/>
      <c r="DP85" s="2007"/>
      <c r="DQ85" s="2007"/>
      <c r="FF85" s="1616"/>
    </row>
    <row r="86" spans="1:162" hidden="1" outlineLevel="2">
      <c r="A86" s="1626" t="s">
        <v>226</v>
      </c>
      <c r="B86" s="1626" t="s">
        <v>2060</v>
      </c>
      <c r="C86" s="1626" t="s">
        <v>2091</v>
      </c>
      <c r="D86" s="1626"/>
      <c r="E86" s="2007"/>
      <c r="F86" s="2007"/>
      <c r="G86" s="2007"/>
      <c r="H86" s="2007"/>
      <c r="I86" s="2007"/>
      <c r="J86" s="2007"/>
      <c r="K86" s="2007"/>
      <c r="L86" s="2007"/>
      <c r="M86" s="2007"/>
      <c r="N86" s="2007"/>
      <c r="O86" s="2007"/>
      <c r="P86" s="2007"/>
      <c r="Q86" s="2007"/>
      <c r="R86" s="2007"/>
      <c r="S86" s="2007"/>
      <c r="T86" s="2007"/>
      <c r="U86" s="2007"/>
      <c r="V86" s="2007"/>
      <c r="W86" s="2007"/>
      <c r="X86" s="2007"/>
      <c r="Y86" s="2007"/>
      <c r="Z86" s="2007"/>
      <c r="AA86" s="2007"/>
      <c r="AB86" s="2007"/>
      <c r="AC86" s="2007"/>
      <c r="AD86" s="2007"/>
      <c r="AE86" s="2007"/>
      <c r="AF86" s="2007"/>
      <c r="AG86" s="2007"/>
      <c r="AH86" s="2007"/>
      <c r="AI86" s="2007"/>
      <c r="AJ86" s="2007"/>
      <c r="AK86" s="2007"/>
      <c r="AL86" s="2007"/>
      <c r="AM86" s="2007"/>
      <c r="AN86" s="2007"/>
      <c r="AO86" s="2007"/>
      <c r="AP86" s="2007"/>
      <c r="AQ86" s="2007"/>
      <c r="AR86" s="2007"/>
      <c r="AS86" s="2007"/>
      <c r="AT86" s="2007"/>
      <c r="AU86" s="2007"/>
      <c r="AV86" s="2007"/>
      <c r="AW86" s="2007"/>
      <c r="AX86" s="2007"/>
      <c r="AY86" s="2007"/>
      <c r="AZ86" s="2007"/>
      <c r="BA86" s="2007"/>
      <c r="BB86" s="2007"/>
      <c r="BC86" s="2007"/>
      <c r="BD86" s="2007"/>
      <c r="BE86" s="2007"/>
      <c r="BF86" s="2007"/>
      <c r="BG86" s="2007"/>
      <c r="BH86" s="2007"/>
      <c r="BI86" s="2007"/>
      <c r="BJ86" s="2007"/>
      <c r="BK86" s="2007"/>
      <c r="BL86" s="2007"/>
      <c r="BM86" s="2007"/>
      <c r="BN86" s="2007"/>
      <c r="BO86" s="2007"/>
      <c r="BP86" s="2007"/>
      <c r="BQ86" s="2007"/>
      <c r="BR86" s="2007"/>
      <c r="BS86" s="2007"/>
      <c r="BT86" s="2007"/>
      <c r="BU86" s="2007"/>
      <c r="BV86" s="2007"/>
      <c r="BW86" s="2007"/>
      <c r="BX86" s="2007"/>
      <c r="BY86" s="2007"/>
      <c r="BZ86" s="2007"/>
      <c r="CA86" s="2007"/>
      <c r="CB86" s="2007"/>
      <c r="CC86" s="2007" t="e">
        <f>CC85</f>
        <v>#REF!</v>
      </c>
      <c r="CD86" s="2007"/>
      <c r="CE86" s="2007"/>
      <c r="CF86" s="2007"/>
      <c r="CG86" s="2007"/>
      <c r="CH86" s="2007"/>
      <c r="CI86" s="2007"/>
      <c r="CJ86" s="2007"/>
      <c r="CK86" s="2007"/>
      <c r="CL86" s="2007"/>
      <c r="CM86" s="2007"/>
      <c r="CN86" s="2007"/>
      <c r="CO86" s="2007"/>
      <c r="CP86" s="2007"/>
      <c r="CQ86" s="2007"/>
      <c r="CR86" s="2007"/>
      <c r="CS86" s="2007"/>
      <c r="CT86" s="2007"/>
      <c r="CU86" s="2007"/>
      <c r="CV86" s="2007"/>
      <c r="CW86" s="2007"/>
      <c r="CX86" s="2007"/>
      <c r="CY86" s="2007"/>
      <c r="CZ86" s="2007"/>
      <c r="DA86" s="2007"/>
      <c r="DB86" s="2007"/>
      <c r="DC86" s="2007"/>
      <c r="DD86" s="2007"/>
      <c r="DE86" s="2007"/>
      <c r="DF86" s="2007"/>
      <c r="DG86" s="2007"/>
      <c r="DH86" s="2007"/>
      <c r="DI86" s="2007"/>
      <c r="DJ86" s="2007"/>
      <c r="DK86" s="2007"/>
      <c r="DL86" s="2007"/>
      <c r="DM86" s="2007"/>
      <c r="DN86" s="2007"/>
      <c r="DO86" s="2008"/>
      <c r="DP86" s="2007"/>
      <c r="DQ86" s="2007"/>
      <c r="FF86" s="1616"/>
    </row>
    <row r="87" spans="1:162" s="1613" customFormat="1" hidden="1" outlineLevel="1" collapsed="1">
      <c r="A87" s="1627" t="s">
        <v>1255</v>
      </c>
      <c r="B87" s="1627" t="s">
        <v>2076</v>
      </c>
      <c r="C87" s="1627" t="s">
        <v>2089</v>
      </c>
      <c r="D87" s="1627"/>
      <c r="E87" s="2009">
        <f>'Classic Rimini '!G39</f>
        <v>5800</v>
      </c>
      <c r="F87" s="2009">
        <f>'Classic Rimini '!H39</f>
        <v>4150</v>
      </c>
      <c r="G87" s="2009">
        <f>'Classic Rimini '!I39</f>
        <v>4950</v>
      </c>
      <c r="H87" s="2009">
        <f>'Classic Rimini '!K39</f>
        <v>0</v>
      </c>
      <c r="I87" s="2009" t="e">
        <f>'Classic Rimini '!#REF!</f>
        <v>#REF!</v>
      </c>
      <c r="J87" s="2009" t="e">
        <f>'Classic Rimini '!#REF!</f>
        <v>#REF!</v>
      </c>
      <c r="K87" s="2009" t="e">
        <f>'Classic Rimini '!#REF!</f>
        <v>#REF!</v>
      </c>
      <c r="L87" s="2009">
        <f>F87</f>
        <v>4150</v>
      </c>
      <c r="M87" s="2009">
        <f>G87</f>
        <v>4950</v>
      </c>
      <c r="N87" s="2009"/>
      <c r="O87" s="2009"/>
      <c r="P87" s="2009"/>
      <c r="Q87" s="2009"/>
      <c r="R87" s="2009"/>
      <c r="S87" s="2009"/>
      <c r="T87" s="2009"/>
      <c r="U87" s="2009"/>
      <c r="V87" s="2009"/>
      <c r="W87" s="2009"/>
      <c r="X87" s="2009"/>
      <c r="Y87" s="2009"/>
      <c r="Z87" s="2009"/>
      <c r="AA87" s="2009"/>
      <c r="AB87" s="2009"/>
      <c r="AC87" s="2009"/>
      <c r="AD87" s="2009"/>
      <c r="AE87" s="2009"/>
      <c r="AF87" s="2009">
        <f>'Provеnce Amelia'!H23</f>
        <v>0</v>
      </c>
      <c r="AG87" s="2009">
        <f>AF87</f>
        <v>0</v>
      </c>
      <c r="AH87" s="2009">
        <f>'Provеnce Amelia'!I23</f>
        <v>0</v>
      </c>
      <c r="AI87" s="2009">
        <f>AH87</f>
        <v>0</v>
      </c>
      <c r="AJ87" s="2009">
        <f>AH87</f>
        <v>0</v>
      </c>
      <c r="AK87" s="2009">
        <f>'Provеnce Amelia'!J23</f>
        <v>0</v>
      </c>
      <c r="AL87" s="2009">
        <f>AK87</f>
        <v>0</v>
      </c>
      <c r="AM87" s="2009" t="e">
        <f>'Provеnce Amelia'!#REF!</f>
        <v>#REF!</v>
      </c>
      <c r="AN87" s="2009" t="e">
        <f>AM87</f>
        <v>#REF!</v>
      </c>
      <c r="AO87" s="2009" t="e">
        <f>'Provеnce Amelia'!#REF!</f>
        <v>#REF!</v>
      </c>
      <c r="AP87" s="2009"/>
      <c r="AQ87" s="2009"/>
      <c r="AR87" s="2009"/>
      <c r="AS87" s="2009"/>
      <c r="AT87" s="2009"/>
      <c r="AU87" s="2009"/>
      <c r="AV87" s="2009"/>
      <c r="AW87" s="2009"/>
      <c r="AX87" s="2009"/>
      <c r="AY87" s="2009"/>
      <c r="AZ87" s="2009"/>
      <c r="BA87" s="2009"/>
      <c r="BB87" s="2009"/>
      <c r="BC87" s="2009"/>
      <c r="BD87" s="2009"/>
      <c r="BE87" s="2009"/>
      <c r="BF87" s="2009"/>
      <c r="BG87" s="2009"/>
      <c r="BH87" s="2009"/>
      <c r="BI87" s="2009"/>
      <c r="BJ87" s="2009"/>
      <c r="BK87" s="2009"/>
      <c r="BL87" s="2009"/>
      <c r="BM87" s="2009"/>
      <c r="BN87" s="2009"/>
      <c r="BO87" s="2009"/>
      <c r="BP87" s="2009"/>
      <c r="BQ87" s="2009"/>
      <c r="BR87" s="2009"/>
      <c r="BS87" s="2009"/>
      <c r="BT87" s="2009"/>
      <c r="BU87" s="2009"/>
      <c r="BV87" s="2009"/>
      <c r="BW87" s="2009"/>
      <c r="BX87" s="2009"/>
      <c r="BY87" s="2009"/>
      <c r="BZ87" s="2009"/>
      <c r="CA87" s="2009"/>
      <c r="CB87" s="2009"/>
      <c r="CC87" s="2009" t="e">
        <f>Neoclassic!#REF!</f>
        <v>#REF!</v>
      </c>
      <c r="CD87" s="2009"/>
      <c r="CE87" s="2009"/>
      <c r="CF87" s="2009"/>
      <c r="CG87" s="2009"/>
      <c r="CH87" s="2009"/>
      <c r="CI87" s="2009"/>
      <c r="CJ87" s="2009"/>
      <c r="CK87" s="2009"/>
      <c r="CL87" s="2009"/>
      <c r="CM87" s="2009"/>
      <c r="CN87" s="2009"/>
      <c r="CO87" s="2009"/>
      <c r="CP87" s="2009"/>
      <c r="CQ87" s="2009"/>
      <c r="CR87" s="2009"/>
      <c r="CS87" s="2009"/>
      <c r="CT87" s="2009"/>
      <c r="CU87" s="2009"/>
      <c r="CV87" s="2009"/>
      <c r="CW87" s="2009"/>
      <c r="CX87" s="2009"/>
      <c r="CY87" s="2009"/>
      <c r="CZ87" s="2009"/>
      <c r="DA87" s="2009"/>
      <c r="DB87" s="2009"/>
      <c r="DC87" s="2009"/>
      <c r="DD87" s="2009"/>
      <c r="DE87" s="2009"/>
      <c r="DF87" s="2009"/>
      <c r="DG87" s="2009"/>
      <c r="DH87" s="2009"/>
      <c r="DI87" s="2009"/>
      <c r="DJ87" s="2009"/>
      <c r="DK87" s="2009"/>
      <c r="DL87" s="2009"/>
      <c r="DM87" s="2009"/>
      <c r="DN87" s="2009"/>
      <c r="DO87" s="2010"/>
      <c r="DP87" s="2009"/>
      <c r="DQ87" s="2009"/>
      <c r="DR87" s="2011"/>
      <c r="DS87" s="1987"/>
      <c r="DT87" s="1987"/>
      <c r="DU87" s="1987"/>
      <c r="DV87" s="1987"/>
      <c r="DW87" s="1987"/>
      <c r="DX87" s="1987"/>
      <c r="DY87" s="1987"/>
      <c r="DZ87" s="1987"/>
      <c r="EA87" s="1987"/>
      <c r="EB87" s="1987"/>
      <c r="EC87" s="1987"/>
      <c r="ED87" s="1987"/>
      <c r="FF87" s="1614"/>
    </row>
    <row r="88" spans="1:162" hidden="1" outlineLevel="2">
      <c r="A88" s="1628" t="s">
        <v>1255</v>
      </c>
      <c r="B88" s="1628" t="s">
        <v>2077</v>
      </c>
      <c r="C88" s="1628" t="s">
        <v>2089</v>
      </c>
      <c r="D88" s="1628"/>
      <c r="E88" s="2012">
        <f>'Classic Rimini '!G40</f>
        <v>6400</v>
      </c>
      <c r="F88" s="2012">
        <f>'Classic Rimini '!H40</f>
        <v>4750</v>
      </c>
      <c r="G88" s="2012">
        <f>'Classic Rimini '!I40</f>
        <v>5550</v>
      </c>
      <c r="H88" s="2012">
        <f>'Classic Rimini '!K40</f>
        <v>0</v>
      </c>
      <c r="I88" s="2012" t="e">
        <f>'Classic Rimini '!#REF!</f>
        <v>#REF!</v>
      </c>
      <c r="J88" s="2012" t="e">
        <f>'Classic Rimini '!#REF!</f>
        <v>#REF!</v>
      </c>
      <c r="K88" s="2012" t="e">
        <f>'Classic Rimini '!#REF!</f>
        <v>#REF!</v>
      </c>
      <c r="L88" s="2012">
        <f t="shared" ref="L88:L95" si="95">F88</f>
        <v>4750</v>
      </c>
      <c r="M88" s="2012">
        <f t="shared" ref="M88:M95" si="96">G88</f>
        <v>5550</v>
      </c>
      <c r="N88" s="2012"/>
      <c r="O88" s="2012"/>
      <c r="P88" s="2012"/>
      <c r="Q88" s="2012"/>
      <c r="R88" s="2012"/>
      <c r="S88" s="2012"/>
      <c r="T88" s="2012"/>
      <c r="U88" s="2012"/>
      <c r="V88" s="2012"/>
      <c r="W88" s="2012"/>
      <c r="X88" s="2012"/>
      <c r="Y88" s="2012"/>
      <c r="Z88" s="2012"/>
      <c r="AA88" s="2012"/>
      <c r="AB88" s="2012"/>
      <c r="AC88" s="2012"/>
      <c r="AD88" s="2012"/>
      <c r="AE88" s="2012"/>
      <c r="AF88" s="2009" t="str">
        <f>'Provеnce Amelia'!H24</f>
        <v>˅</v>
      </c>
      <c r="AG88" s="2009" t="str">
        <f>AF88</f>
        <v>˅</v>
      </c>
      <c r="AH88" s="2009" t="str">
        <f>'Provеnce Amelia'!I24</f>
        <v>˅</v>
      </c>
      <c r="AI88" s="2009" t="str">
        <f>AH88</f>
        <v>˅</v>
      </c>
      <c r="AJ88" s="2009" t="str">
        <f>AH88</f>
        <v>˅</v>
      </c>
      <c r="AK88" s="2009" t="str">
        <f>'Provеnce Amelia'!J24</f>
        <v>˅</v>
      </c>
      <c r="AL88" s="2009" t="str">
        <f>AK88</f>
        <v>˅</v>
      </c>
      <c r="AM88" s="2009" t="e">
        <f>'Provеnce Amelia'!#REF!</f>
        <v>#REF!</v>
      </c>
      <c r="AN88" s="2009" t="e">
        <f>AM88</f>
        <v>#REF!</v>
      </c>
      <c r="AO88" s="2009" t="e">
        <f>'Provеnce Amelia'!#REF!</f>
        <v>#REF!</v>
      </c>
      <c r="AP88" s="2012"/>
      <c r="AQ88" s="2012"/>
      <c r="AR88" s="2012"/>
      <c r="AS88" s="2012"/>
      <c r="AT88" s="2012"/>
      <c r="AU88" s="2012"/>
      <c r="AV88" s="2012"/>
      <c r="AW88" s="2012"/>
      <c r="AX88" s="2012"/>
      <c r="AY88" s="2012"/>
      <c r="AZ88" s="2012"/>
      <c r="BA88" s="2012"/>
      <c r="BB88" s="2012"/>
      <c r="BC88" s="2012"/>
      <c r="BD88" s="2012"/>
      <c r="BE88" s="2012"/>
      <c r="BF88" s="2012"/>
      <c r="BG88" s="2012"/>
      <c r="BH88" s="2012"/>
      <c r="BI88" s="2012"/>
      <c r="BJ88" s="2012"/>
      <c r="BK88" s="2012"/>
      <c r="BL88" s="2012"/>
      <c r="BM88" s="2012"/>
      <c r="BN88" s="2012"/>
      <c r="BO88" s="2012"/>
      <c r="BP88" s="2012"/>
      <c r="BQ88" s="2012"/>
      <c r="BR88" s="2012"/>
      <c r="BS88" s="2012"/>
      <c r="BT88" s="2012"/>
      <c r="BU88" s="2012"/>
      <c r="BV88" s="2012"/>
      <c r="BW88" s="2012"/>
      <c r="BX88" s="2012"/>
      <c r="BY88" s="2012"/>
      <c r="BZ88" s="2012"/>
      <c r="CA88" s="2012"/>
      <c r="CB88" s="2012"/>
      <c r="CC88" s="2012" t="e">
        <f>Neoclassic!#REF!</f>
        <v>#REF!</v>
      </c>
      <c r="CD88" s="2012"/>
      <c r="CE88" s="2012"/>
      <c r="CF88" s="2012"/>
      <c r="CG88" s="2012"/>
      <c r="CH88" s="2012"/>
      <c r="CI88" s="2012"/>
      <c r="CJ88" s="2012"/>
      <c r="CK88" s="2012"/>
      <c r="CL88" s="2012"/>
      <c r="CM88" s="2012"/>
      <c r="CN88" s="2012"/>
      <c r="CO88" s="2012"/>
      <c r="CP88" s="2012"/>
      <c r="CQ88" s="2012"/>
      <c r="CR88" s="2012"/>
      <c r="CS88" s="2012"/>
      <c r="CT88" s="2012"/>
      <c r="CU88" s="2012"/>
      <c r="CV88" s="2012"/>
      <c r="CW88" s="2012"/>
      <c r="CX88" s="2012"/>
      <c r="CY88" s="2012"/>
      <c r="CZ88" s="2012"/>
      <c r="DA88" s="2012"/>
      <c r="DB88" s="2012"/>
      <c r="DC88" s="2012"/>
      <c r="DD88" s="2012"/>
      <c r="DE88" s="2012"/>
      <c r="DF88" s="2012"/>
      <c r="DG88" s="2012"/>
      <c r="DH88" s="2012"/>
      <c r="DI88" s="2012"/>
      <c r="DJ88" s="2012"/>
      <c r="DK88" s="2012"/>
      <c r="DL88" s="2012"/>
      <c r="DM88" s="2012"/>
      <c r="DN88" s="2012"/>
      <c r="DO88" s="2013"/>
      <c r="DP88" s="2012"/>
      <c r="DQ88" s="2012"/>
      <c r="DR88" s="2014"/>
      <c r="FF88" s="1616"/>
    </row>
    <row r="89" spans="1:162" hidden="1" outlineLevel="2">
      <c r="A89" s="1628" t="s">
        <v>1255</v>
      </c>
      <c r="B89" s="1628" t="s">
        <v>2078</v>
      </c>
      <c r="C89" s="1628" t="s">
        <v>2089</v>
      </c>
      <c r="D89" s="1628"/>
      <c r="E89" s="2012">
        <f>'Classic Rimini '!G41</f>
        <v>6850</v>
      </c>
      <c r="F89" s="2012">
        <f>'Classic Rimini '!H41</f>
        <v>5200</v>
      </c>
      <c r="G89" s="2012">
        <f>'Classic Rimini '!I41</f>
        <v>6000</v>
      </c>
      <c r="H89" s="2012">
        <f>'Classic Rimini '!K41</f>
        <v>0</v>
      </c>
      <c r="I89" s="2012" t="e">
        <f>'Classic Rimini '!#REF!</f>
        <v>#REF!</v>
      </c>
      <c r="J89" s="2012" t="e">
        <f>'Classic Rimini '!#REF!</f>
        <v>#REF!</v>
      </c>
      <c r="K89" s="2012" t="e">
        <f>'Classic Rimini '!#REF!</f>
        <v>#REF!</v>
      </c>
      <c r="L89" s="2012">
        <f t="shared" si="95"/>
        <v>5200</v>
      </c>
      <c r="M89" s="2012">
        <f t="shared" si="96"/>
        <v>6000</v>
      </c>
      <c r="N89" s="2012"/>
      <c r="O89" s="2012"/>
      <c r="P89" s="2012"/>
      <c r="Q89" s="2012"/>
      <c r="R89" s="2012"/>
      <c r="S89" s="2012"/>
      <c r="T89" s="2012"/>
      <c r="U89" s="2012"/>
      <c r="V89" s="2012"/>
      <c r="W89" s="2012"/>
      <c r="X89" s="2012"/>
      <c r="Y89" s="2012"/>
      <c r="Z89" s="2012"/>
      <c r="AA89" s="2012"/>
      <c r="AB89" s="2012"/>
      <c r="AC89" s="2012"/>
      <c r="AD89" s="2012"/>
      <c r="AE89" s="2012"/>
      <c r="AF89" s="2009" t="e">
        <f>'Provеnce Amelia'!#REF!</f>
        <v>#REF!</v>
      </c>
      <c r="AG89" s="2009" t="e">
        <f>AF89</f>
        <v>#REF!</v>
      </c>
      <c r="AH89" s="2009" t="e">
        <f>'Provеnce Amelia'!#REF!</f>
        <v>#REF!</v>
      </c>
      <c r="AI89" s="2009" t="e">
        <f>AH89</f>
        <v>#REF!</v>
      </c>
      <c r="AJ89" s="2009" t="e">
        <f>AH89</f>
        <v>#REF!</v>
      </c>
      <c r="AK89" s="2009" t="e">
        <f>'Provеnce Amelia'!#REF!</f>
        <v>#REF!</v>
      </c>
      <c r="AL89" s="2009" t="e">
        <f>AK89</f>
        <v>#REF!</v>
      </c>
      <c r="AM89" s="2009" t="e">
        <f>'Provеnce Amelia'!#REF!</f>
        <v>#REF!</v>
      </c>
      <c r="AN89" s="2009" t="e">
        <f>AM89</f>
        <v>#REF!</v>
      </c>
      <c r="AO89" s="2009" t="e">
        <f>'Provеnce Amelia'!#REF!</f>
        <v>#REF!</v>
      </c>
      <c r="AP89" s="2012"/>
      <c r="AQ89" s="2012"/>
      <c r="AR89" s="2012"/>
      <c r="AS89" s="2012"/>
      <c r="AT89" s="2012"/>
      <c r="AU89" s="2012"/>
      <c r="AV89" s="2012"/>
      <c r="AW89" s="2012"/>
      <c r="AX89" s="2012"/>
      <c r="AY89" s="2012"/>
      <c r="AZ89" s="2012"/>
      <c r="BA89" s="2012"/>
      <c r="BB89" s="2012"/>
      <c r="BC89" s="2012"/>
      <c r="BD89" s="2012"/>
      <c r="BE89" s="2012"/>
      <c r="BF89" s="2012"/>
      <c r="BG89" s="2012"/>
      <c r="BH89" s="2012"/>
      <c r="BI89" s="2012"/>
      <c r="BJ89" s="2012"/>
      <c r="BK89" s="2012"/>
      <c r="BL89" s="2012"/>
      <c r="BM89" s="2012"/>
      <c r="BN89" s="2012"/>
      <c r="BO89" s="2012"/>
      <c r="BP89" s="2012"/>
      <c r="BQ89" s="2012"/>
      <c r="BR89" s="2012"/>
      <c r="BS89" s="2012"/>
      <c r="BT89" s="2012"/>
      <c r="BU89" s="2012"/>
      <c r="BV89" s="2012"/>
      <c r="BW89" s="2012"/>
      <c r="BX89" s="2012"/>
      <c r="BY89" s="2012"/>
      <c r="BZ89" s="2012"/>
      <c r="CA89" s="2012"/>
      <c r="CB89" s="2012"/>
      <c r="CC89" s="2012" t="e">
        <f>Neoclassic!#REF!</f>
        <v>#REF!</v>
      </c>
      <c r="CD89" s="2012"/>
      <c r="CE89" s="2012"/>
      <c r="CF89" s="2012"/>
      <c r="CG89" s="2012"/>
      <c r="CH89" s="2012"/>
      <c r="CI89" s="2012"/>
      <c r="CJ89" s="2012"/>
      <c r="CK89" s="2012"/>
      <c r="CL89" s="2012"/>
      <c r="CM89" s="2012"/>
      <c r="CN89" s="2012"/>
      <c r="CO89" s="2012"/>
      <c r="CP89" s="2012"/>
      <c r="CQ89" s="2012"/>
      <c r="CR89" s="2012"/>
      <c r="CS89" s="2012"/>
      <c r="CT89" s="2012"/>
      <c r="CU89" s="2012"/>
      <c r="CV89" s="2012"/>
      <c r="CW89" s="2012"/>
      <c r="CX89" s="2012"/>
      <c r="CY89" s="2012"/>
      <c r="CZ89" s="2012"/>
      <c r="DA89" s="2012"/>
      <c r="DB89" s="2012"/>
      <c r="DC89" s="2012"/>
      <c r="DD89" s="2012"/>
      <c r="DE89" s="2012"/>
      <c r="DF89" s="2012"/>
      <c r="DG89" s="2012"/>
      <c r="DH89" s="2012"/>
      <c r="DI89" s="2012"/>
      <c r="DJ89" s="2012"/>
      <c r="DK89" s="2012"/>
      <c r="DL89" s="2012"/>
      <c r="DM89" s="2012"/>
      <c r="DN89" s="2012"/>
      <c r="DO89" s="2013"/>
      <c r="DP89" s="2012"/>
      <c r="DQ89" s="2012"/>
      <c r="DR89" s="2014"/>
      <c r="FF89" s="1616"/>
    </row>
    <row r="90" spans="1:162" s="1613" customFormat="1" hidden="1" outlineLevel="1" collapsed="1">
      <c r="A90" s="1627" t="s">
        <v>1255</v>
      </c>
      <c r="B90" s="1627" t="s">
        <v>2076</v>
      </c>
      <c r="C90" s="1627" t="s">
        <v>2090</v>
      </c>
      <c r="D90" s="1627"/>
      <c r="E90" s="2009">
        <f>E87+'Classic Rimini '!$G$43</f>
        <v>6500</v>
      </c>
      <c r="F90" s="2009">
        <f>F87+'Classic Rimini '!H43</f>
        <v>4650</v>
      </c>
      <c r="G90" s="2009">
        <f>G87+'Classic Rimini '!$I$43</f>
        <v>5450</v>
      </c>
      <c r="H90" s="2009"/>
      <c r="I90" s="2009" t="e">
        <f>I87+'Classic Rimini '!#REF!</f>
        <v>#REF!</v>
      </c>
      <c r="J90" s="2009" t="e">
        <f>J87+'Classic Rimini '!#REF!</f>
        <v>#REF!</v>
      </c>
      <c r="K90" s="2009" t="e">
        <f>K87+'Classic Rimini '!#REF!</f>
        <v>#REF!</v>
      </c>
      <c r="L90" s="2009">
        <f t="shared" si="95"/>
        <v>4650</v>
      </c>
      <c r="M90" s="2009">
        <f t="shared" si="96"/>
        <v>5450</v>
      </c>
      <c r="N90" s="2009"/>
      <c r="O90" s="2009"/>
      <c r="P90" s="2009"/>
      <c r="Q90" s="2009"/>
      <c r="R90" s="2009"/>
      <c r="S90" s="2009"/>
      <c r="T90" s="2009"/>
      <c r="U90" s="2009"/>
      <c r="V90" s="2009"/>
      <c r="W90" s="2009"/>
      <c r="X90" s="2009"/>
      <c r="Y90" s="2009"/>
      <c r="Z90" s="2009"/>
      <c r="AA90" s="2009"/>
      <c r="AB90" s="2009"/>
      <c r="AC90" s="2009"/>
      <c r="AD90" s="2009"/>
      <c r="AE90" s="2009"/>
      <c r="AF90" s="2009">
        <f>AF87+'Provеnce Amelia'!$H$26</f>
        <v>700</v>
      </c>
      <c r="AG90" s="2009">
        <f>AG87+'Provеnce Amelia'!$H$26</f>
        <v>700</v>
      </c>
      <c r="AH90" s="2009">
        <f>AH87+'Provеnce Amelia'!$H$26</f>
        <v>700</v>
      </c>
      <c r="AI90" s="2009">
        <f>AI87+'Provеnce Amelia'!$H$26</f>
        <v>700</v>
      </c>
      <c r="AJ90" s="2009">
        <f>AJ87+'Provеnce Amelia'!$H$26</f>
        <v>700</v>
      </c>
      <c r="AK90" s="2009">
        <f>AK87+'Provеnce Amelia'!$H$26</f>
        <v>700</v>
      </c>
      <c r="AL90" s="2009">
        <f>AL87+'Provеnce Amelia'!$H$26</f>
        <v>700</v>
      </c>
      <c r="AM90" s="2009" t="e">
        <f>AM87+'Provеnce Amelia'!$H$26</f>
        <v>#REF!</v>
      </c>
      <c r="AN90" s="2009" t="e">
        <f>AN87+'Provеnce Amelia'!$H$26</f>
        <v>#REF!</v>
      </c>
      <c r="AO90" s="2009" t="e">
        <f>AO87+'Provеnce Amelia'!$H$26</f>
        <v>#REF!</v>
      </c>
      <c r="AP90" s="2009"/>
      <c r="AQ90" s="2009"/>
      <c r="AR90" s="2009"/>
      <c r="AS90" s="2009"/>
      <c r="AT90" s="2009"/>
      <c r="AU90" s="2009"/>
      <c r="AV90" s="2009"/>
      <c r="AW90" s="2009"/>
      <c r="AX90" s="2009"/>
      <c r="AY90" s="2009"/>
      <c r="AZ90" s="2009"/>
      <c r="BA90" s="2009"/>
      <c r="BB90" s="2009"/>
      <c r="BC90" s="2009"/>
      <c r="BD90" s="2009"/>
      <c r="BE90" s="2009"/>
      <c r="BF90" s="2009"/>
      <c r="BG90" s="2009"/>
      <c r="BH90" s="2009"/>
      <c r="BI90" s="2009"/>
      <c r="BJ90" s="2009"/>
      <c r="BK90" s="2009"/>
      <c r="BL90" s="2009"/>
      <c r="BM90" s="2009"/>
      <c r="BN90" s="2009"/>
      <c r="BO90" s="2009"/>
      <c r="BP90" s="2009"/>
      <c r="BQ90" s="2009"/>
      <c r="BR90" s="2009"/>
      <c r="BS90" s="2009"/>
      <c r="BT90" s="2009"/>
      <c r="BU90" s="2009"/>
      <c r="BV90" s="2009"/>
      <c r="BW90" s="2009"/>
      <c r="BX90" s="2009"/>
      <c r="BY90" s="2009"/>
      <c r="BZ90" s="2009"/>
      <c r="CA90" s="2009"/>
      <c r="CB90" s="2009"/>
      <c r="CC90" s="2009" t="e">
        <f>CC87+Neoclassic!#REF!</f>
        <v>#REF!</v>
      </c>
      <c r="CD90" s="2009"/>
      <c r="CE90" s="2009"/>
      <c r="CF90" s="2009"/>
      <c r="CG90" s="2009"/>
      <c r="CH90" s="2009"/>
      <c r="CI90" s="2009"/>
      <c r="CJ90" s="2009"/>
      <c r="CK90" s="2009"/>
      <c r="CL90" s="2009"/>
      <c r="CM90" s="2009"/>
      <c r="CN90" s="2009"/>
      <c r="CO90" s="2009"/>
      <c r="CP90" s="2009"/>
      <c r="CQ90" s="2009"/>
      <c r="CR90" s="2009"/>
      <c r="CS90" s="2009"/>
      <c r="CT90" s="2009"/>
      <c r="CU90" s="2009"/>
      <c r="CV90" s="2009"/>
      <c r="CW90" s="2009"/>
      <c r="CX90" s="2009"/>
      <c r="CY90" s="2009"/>
      <c r="CZ90" s="2009"/>
      <c r="DA90" s="2009"/>
      <c r="DB90" s="2009"/>
      <c r="DC90" s="2009"/>
      <c r="DD90" s="2009"/>
      <c r="DE90" s="2009"/>
      <c r="DF90" s="2009"/>
      <c r="DG90" s="2009"/>
      <c r="DH90" s="2009"/>
      <c r="DI90" s="2009"/>
      <c r="DJ90" s="2009"/>
      <c r="DK90" s="2009"/>
      <c r="DL90" s="2009"/>
      <c r="DM90" s="2009"/>
      <c r="DN90" s="2009"/>
      <c r="DO90" s="2010"/>
      <c r="DP90" s="2009"/>
      <c r="DQ90" s="2009"/>
      <c r="DR90" s="2011"/>
      <c r="DS90" s="1987"/>
      <c r="DT90" s="1987"/>
      <c r="DU90" s="1987"/>
      <c r="DV90" s="1987"/>
      <c r="DW90" s="1987"/>
      <c r="DX90" s="1987"/>
      <c r="DY90" s="1987"/>
      <c r="DZ90" s="1987"/>
      <c r="EA90" s="1987"/>
      <c r="EB90" s="1987"/>
      <c r="EC90" s="1987"/>
      <c r="ED90" s="1987"/>
      <c r="FF90" s="1614"/>
    </row>
    <row r="91" spans="1:162" hidden="1" outlineLevel="2">
      <c r="A91" s="1628" t="s">
        <v>1255</v>
      </c>
      <c r="B91" s="1628" t="s">
        <v>2077</v>
      </c>
      <c r="C91" s="1628" t="s">
        <v>2090</v>
      </c>
      <c r="D91" s="1628"/>
      <c r="E91" s="2012">
        <f>E88+'Classic Rimini '!$G$43</f>
        <v>7100</v>
      </c>
      <c r="F91" s="2012">
        <f>F88+'Classic Rimini '!$H$43</f>
        <v>5250</v>
      </c>
      <c r="G91" s="2012">
        <f>G88+'Classic Rimini '!$I$43</f>
        <v>6050</v>
      </c>
      <c r="H91" s="2012"/>
      <c r="I91" s="2012" t="e">
        <f>I88+'Classic Rimini '!#REF!</f>
        <v>#REF!</v>
      </c>
      <c r="J91" s="2012" t="e">
        <f>J88+'Classic Rimini '!#REF!</f>
        <v>#REF!</v>
      </c>
      <c r="K91" s="2012" t="e">
        <f>K88+'Classic Rimini '!#REF!</f>
        <v>#REF!</v>
      </c>
      <c r="L91" s="2012">
        <f t="shared" si="95"/>
        <v>5250</v>
      </c>
      <c r="M91" s="2012">
        <f t="shared" si="96"/>
        <v>6050</v>
      </c>
      <c r="N91" s="2012"/>
      <c r="O91" s="2012"/>
      <c r="P91" s="2012"/>
      <c r="Q91" s="2012"/>
      <c r="R91" s="2012"/>
      <c r="S91" s="2012"/>
      <c r="T91" s="2012"/>
      <c r="U91" s="2012"/>
      <c r="V91" s="2012"/>
      <c r="W91" s="2012"/>
      <c r="X91" s="2012"/>
      <c r="Y91" s="2012"/>
      <c r="Z91" s="2012"/>
      <c r="AA91" s="2012"/>
      <c r="AB91" s="2012"/>
      <c r="AC91" s="2012"/>
      <c r="AD91" s="2012"/>
      <c r="AE91" s="2012"/>
      <c r="AF91" s="2015" t="e">
        <f>AF88+'Provеnce Amelia'!$H$26</f>
        <v>#VALUE!</v>
      </c>
      <c r="AG91" s="2015" t="e">
        <f>AG88+'Provеnce Amelia'!$H$26</f>
        <v>#VALUE!</v>
      </c>
      <c r="AH91" s="2015" t="e">
        <f>AH88+'Provеnce Amelia'!$H$26</f>
        <v>#VALUE!</v>
      </c>
      <c r="AI91" s="2015" t="e">
        <f>AI88+'Provеnce Amelia'!$H$26</f>
        <v>#VALUE!</v>
      </c>
      <c r="AJ91" s="2015" t="e">
        <f>AJ88+'Provеnce Amelia'!$H$26</f>
        <v>#VALUE!</v>
      </c>
      <c r="AK91" s="2015" t="e">
        <f>AK88+'Provеnce Amelia'!$H$26</f>
        <v>#VALUE!</v>
      </c>
      <c r="AL91" s="2015" t="e">
        <f>AL88+'Provеnce Amelia'!$H$26</f>
        <v>#VALUE!</v>
      </c>
      <c r="AM91" s="2015" t="e">
        <f>AM88+'Provеnce Amelia'!$H$26</f>
        <v>#REF!</v>
      </c>
      <c r="AN91" s="2015" t="e">
        <f>AN88+'Provеnce Amelia'!$H$26</f>
        <v>#REF!</v>
      </c>
      <c r="AO91" s="2015" t="e">
        <f>AO88+'Provеnce Amelia'!$H$26</f>
        <v>#REF!</v>
      </c>
      <c r="AP91" s="2012"/>
      <c r="AQ91" s="2012"/>
      <c r="AR91" s="2012"/>
      <c r="AS91" s="2012"/>
      <c r="AT91" s="2012"/>
      <c r="AU91" s="2012"/>
      <c r="AV91" s="2012"/>
      <c r="AW91" s="2012"/>
      <c r="AX91" s="2012"/>
      <c r="AY91" s="2012"/>
      <c r="AZ91" s="2012"/>
      <c r="BA91" s="2012"/>
      <c r="BB91" s="2012"/>
      <c r="BC91" s="2012"/>
      <c r="BD91" s="2012"/>
      <c r="BE91" s="2012"/>
      <c r="BF91" s="2012"/>
      <c r="BG91" s="2012"/>
      <c r="BH91" s="2012"/>
      <c r="BI91" s="2012"/>
      <c r="BJ91" s="2012"/>
      <c r="BK91" s="2012"/>
      <c r="BL91" s="2012"/>
      <c r="BM91" s="2012"/>
      <c r="BN91" s="2012"/>
      <c r="BO91" s="2012"/>
      <c r="BP91" s="2012"/>
      <c r="BQ91" s="2012"/>
      <c r="BR91" s="2012"/>
      <c r="BS91" s="2012"/>
      <c r="BT91" s="2012"/>
      <c r="BU91" s="2012"/>
      <c r="BV91" s="2012"/>
      <c r="BW91" s="2012"/>
      <c r="BX91" s="2012"/>
      <c r="BY91" s="2012"/>
      <c r="BZ91" s="2012"/>
      <c r="CA91" s="2012"/>
      <c r="CB91" s="2012"/>
      <c r="CC91" s="2015" t="e">
        <f>CC88+Neoclassic!#REF!</f>
        <v>#REF!</v>
      </c>
      <c r="CD91" s="2012"/>
      <c r="CE91" s="2012"/>
      <c r="CF91" s="2012"/>
      <c r="CG91" s="2012"/>
      <c r="CH91" s="2012"/>
      <c r="CI91" s="2012"/>
      <c r="CJ91" s="2012"/>
      <c r="CK91" s="2012"/>
      <c r="CL91" s="2012"/>
      <c r="CM91" s="2012"/>
      <c r="CN91" s="2012"/>
      <c r="CO91" s="2012"/>
      <c r="CP91" s="2012"/>
      <c r="CQ91" s="2012"/>
      <c r="CR91" s="2012"/>
      <c r="CS91" s="2012"/>
      <c r="CT91" s="2012"/>
      <c r="CU91" s="2012"/>
      <c r="CV91" s="2012"/>
      <c r="CW91" s="2012"/>
      <c r="CX91" s="2012"/>
      <c r="CY91" s="2012"/>
      <c r="CZ91" s="2012"/>
      <c r="DA91" s="2012"/>
      <c r="DB91" s="2012"/>
      <c r="DC91" s="2012"/>
      <c r="DD91" s="2012"/>
      <c r="DE91" s="2012"/>
      <c r="DF91" s="2012"/>
      <c r="DG91" s="2012"/>
      <c r="DH91" s="2012"/>
      <c r="DI91" s="2012"/>
      <c r="DJ91" s="2012"/>
      <c r="DK91" s="2012"/>
      <c r="DL91" s="2012"/>
      <c r="DM91" s="2012"/>
      <c r="DN91" s="2012"/>
      <c r="DO91" s="2013"/>
      <c r="DP91" s="2012"/>
      <c r="DQ91" s="2012"/>
      <c r="DR91" s="2014"/>
      <c r="FF91" s="1616"/>
    </row>
    <row r="92" spans="1:162" hidden="1" outlineLevel="2">
      <c r="A92" s="1628" t="s">
        <v>1255</v>
      </c>
      <c r="B92" s="1628" t="s">
        <v>2078</v>
      </c>
      <c r="C92" s="1628" t="s">
        <v>2090</v>
      </c>
      <c r="D92" s="1628"/>
      <c r="E92" s="2012">
        <f>E89+'Classic Rimini '!$G$43</f>
        <v>7550</v>
      </c>
      <c r="F92" s="2012">
        <f>F89+'Classic Rimini '!$H$43</f>
        <v>5700</v>
      </c>
      <c r="G92" s="2012">
        <f>G89+'Classic Rimini '!$I$43</f>
        <v>6500</v>
      </c>
      <c r="H92" s="2012"/>
      <c r="I92" s="2012" t="e">
        <f>I89+'Classic Rimini '!#REF!</f>
        <v>#REF!</v>
      </c>
      <c r="J92" s="2012" t="e">
        <f>J89+'Classic Rimini '!#REF!</f>
        <v>#REF!</v>
      </c>
      <c r="K92" s="2012" t="e">
        <f>K89+'Classic Rimini '!#REF!</f>
        <v>#REF!</v>
      </c>
      <c r="L92" s="2012">
        <f t="shared" si="95"/>
        <v>5700</v>
      </c>
      <c r="M92" s="2012">
        <f t="shared" si="96"/>
        <v>6500</v>
      </c>
      <c r="N92" s="2012"/>
      <c r="O92" s="2012"/>
      <c r="P92" s="2012"/>
      <c r="Q92" s="2012"/>
      <c r="R92" s="2012"/>
      <c r="S92" s="2012"/>
      <c r="T92" s="2012"/>
      <c r="U92" s="2012"/>
      <c r="V92" s="2012"/>
      <c r="W92" s="2012"/>
      <c r="X92" s="2012"/>
      <c r="Y92" s="2012"/>
      <c r="Z92" s="2012"/>
      <c r="AA92" s="2012"/>
      <c r="AB92" s="2012"/>
      <c r="AC92" s="2012"/>
      <c r="AD92" s="2012"/>
      <c r="AE92" s="2012"/>
      <c r="AF92" s="2015" t="e">
        <f>AF89+'Provеnce Amelia'!$H$26</f>
        <v>#REF!</v>
      </c>
      <c r="AG92" s="2015" t="e">
        <f>AG89+'Provеnce Amelia'!$H$26</f>
        <v>#REF!</v>
      </c>
      <c r="AH92" s="2015" t="e">
        <f>AH89+'Provеnce Amelia'!$H$26</f>
        <v>#REF!</v>
      </c>
      <c r="AI92" s="2015" t="e">
        <f>AI89+'Provеnce Amelia'!$H$26</f>
        <v>#REF!</v>
      </c>
      <c r="AJ92" s="2015" t="e">
        <f>AJ89+'Provеnce Amelia'!$H$26</f>
        <v>#REF!</v>
      </c>
      <c r="AK92" s="2015" t="e">
        <f>AK89+'Provеnce Amelia'!$H$26</f>
        <v>#REF!</v>
      </c>
      <c r="AL92" s="2015" t="e">
        <f>AL89+'Provеnce Amelia'!$H$26</f>
        <v>#REF!</v>
      </c>
      <c r="AM92" s="2015" t="e">
        <f>AM89+'Provеnce Amelia'!$H$26</f>
        <v>#REF!</v>
      </c>
      <c r="AN92" s="2015" t="e">
        <f>AN89+'Provеnce Amelia'!$H$26</f>
        <v>#REF!</v>
      </c>
      <c r="AO92" s="2015" t="e">
        <f>AO89+'Provеnce Amelia'!$H$26</f>
        <v>#REF!</v>
      </c>
      <c r="AP92" s="2012"/>
      <c r="AQ92" s="2012"/>
      <c r="AR92" s="2012"/>
      <c r="AS92" s="2012"/>
      <c r="AT92" s="2012"/>
      <c r="AU92" s="2012"/>
      <c r="AV92" s="2012"/>
      <c r="AW92" s="2012"/>
      <c r="AX92" s="2012"/>
      <c r="AY92" s="2012"/>
      <c r="AZ92" s="2012"/>
      <c r="BA92" s="2012"/>
      <c r="BB92" s="2012"/>
      <c r="BC92" s="2012"/>
      <c r="BD92" s="2012"/>
      <c r="BE92" s="2012"/>
      <c r="BF92" s="2012"/>
      <c r="BG92" s="2012"/>
      <c r="BH92" s="2012"/>
      <c r="BI92" s="2012"/>
      <c r="BJ92" s="2012"/>
      <c r="BK92" s="2012"/>
      <c r="BL92" s="2012"/>
      <c r="BM92" s="2012"/>
      <c r="BN92" s="2012"/>
      <c r="BO92" s="2012"/>
      <c r="BP92" s="2012"/>
      <c r="BQ92" s="2012"/>
      <c r="BR92" s="2012"/>
      <c r="BS92" s="2012"/>
      <c r="BT92" s="2012"/>
      <c r="BU92" s="2012"/>
      <c r="BV92" s="2012"/>
      <c r="BW92" s="2012"/>
      <c r="BX92" s="2012"/>
      <c r="BY92" s="2012"/>
      <c r="BZ92" s="2012"/>
      <c r="CA92" s="2012"/>
      <c r="CB92" s="2012"/>
      <c r="CC92" s="2015" t="e">
        <f>CC89+Neoclassic!#REF!</f>
        <v>#REF!</v>
      </c>
      <c r="CD92" s="2012"/>
      <c r="CE92" s="2012"/>
      <c r="CF92" s="2012"/>
      <c r="CG92" s="2012"/>
      <c r="CH92" s="2012"/>
      <c r="CI92" s="2012"/>
      <c r="CJ92" s="2012"/>
      <c r="CK92" s="2012"/>
      <c r="CL92" s="2012"/>
      <c r="CM92" s="2012"/>
      <c r="CN92" s="2012"/>
      <c r="CO92" s="2012"/>
      <c r="CP92" s="2012"/>
      <c r="CQ92" s="2012"/>
      <c r="CR92" s="2012"/>
      <c r="CS92" s="2012"/>
      <c r="CT92" s="2012"/>
      <c r="CU92" s="2012"/>
      <c r="CV92" s="2012"/>
      <c r="CW92" s="2012"/>
      <c r="CX92" s="2012"/>
      <c r="CY92" s="2012"/>
      <c r="CZ92" s="2012"/>
      <c r="DA92" s="2012"/>
      <c r="DB92" s="2012"/>
      <c r="DC92" s="2012"/>
      <c r="DD92" s="2012"/>
      <c r="DE92" s="2012"/>
      <c r="DF92" s="2012"/>
      <c r="DG92" s="2012"/>
      <c r="DH92" s="2012"/>
      <c r="DI92" s="2012"/>
      <c r="DJ92" s="2012"/>
      <c r="DK92" s="2012"/>
      <c r="DL92" s="2012"/>
      <c r="DM92" s="2012"/>
      <c r="DN92" s="2012"/>
      <c r="DO92" s="2013"/>
      <c r="DP92" s="2012"/>
      <c r="DQ92" s="2012"/>
      <c r="DR92" s="2014"/>
      <c r="FF92" s="1616"/>
    </row>
    <row r="93" spans="1:162" hidden="1" outlineLevel="2">
      <c r="A93" s="1628" t="s">
        <v>1255</v>
      </c>
      <c r="B93" s="1628" t="s">
        <v>2076</v>
      </c>
      <c r="C93" s="1628" t="s">
        <v>2091</v>
      </c>
      <c r="D93" s="1628"/>
      <c r="E93" s="2012">
        <f>E90</f>
        <v>6500</v>
      </c>
      <c r="F93" s="2012">
        <f t="shared" ref="F93:K93" si="97">F90</f>
        <v>4650</v>
      </c>
      <c r="G93" s="2012">
        <f t="shared" si="97"/>
        <v>5450</v>
      </c>
      <c r="H93" s="2012">
        <f t="shared" si="97"/>
        <v>0</v>
      </c>
      <c r="I93" s="2012" t="e">
        <f t="shared" si="97"/>
        <v>#REF!</v>
      </c>
      <c r="J93" s="2012" t="e">
        <f t="shared" si="97"/>
        <v>#REF!</v>
      </c>
      <c r="K93" s="2012" t="e">
        <f t="shared" si="97"/>
        <v>#REF!</v>
      </c>
      <c r="L93" s="2012">
        <f t="shared" si="95"/>
        <v>4650</v>
      </c>
      <c r="M93" s="2012">
        <f t="shared" si="96"/>
        <v>5450</v>
      </c>
      <c r="N93" s="2012"/>
      <c r="O93" s="2012"/>
      <c r="P93" s="2012"/>
      <c r="Q93" s="2012"/>
      <c r="R93" s="2012"/>
      <c r="S93" s="2012"/>
      <c r="T93" s="2012"/>
      <c r="U93" s="2012"/>
      <c r="V93" s="2012"/>
      <c r="W93" s="2012"/>
      <c r="X93" s="2012"/>
      <c r="Y93" s="2012"/>
      <c r="Z93" s="2012"/>
      <c r="AA93" s="2012"/>
      <c r="AB93" s="2012"/>
      <c r="AC93" s="2012"/>
      <c r="AD93" s="2012"/>
      <c r="AE93" s="2012"/>
      <c r="AF93" s="2012">
        <f>AF90</f>
        <v>700</v>
      </c>
      <c r="AG93" s="2012">
        <f t="shared" ref="AG93:AO93" si="98">AG90</f>
        <v>700</v>
      </c>
      <c r="AH93" s="2012">
        <f t="shared" si="98"/>
        <v>700</v>
      </c>
      <c r="AI93" s="2012">
        <f t="shared" si="98"/>
        <v>700</v>
      </c>
      <c r="AJ93" s="2012">
        <f t="shared" si="98"/>
        <v>700</v>
      </c>
      <c r="AK93" s="2012">
        <f t="shared" si="98"/>
        <v>700</v>
      </c>
      <c r="AL93" s="2012">
        <f t="shared" si="98"/>
        <v>700</v>
      </c>
      <c r="AM93" s="2012" t="e">
        <f t="shared" si="98"/>
        <v>#REF!</v>
      </c>
      <c r="AN93" s="2012" t="e">
        <f t="shared" si="98"/>
        <v>#REF!</v>
      </c>
      <c r="AO93" s="2012" t="e">
        <f t="shared" si="98"/>
        <v>#REF!</v>
      </c>
      <c r="AP93" s="2012"/>
      <c r="AQ93" s="2012"/>
      <c r="AR93" s="2012"/>
      <c r="AS93" s="2012"/>
      <c r="AT93" s="2012"/>
      <c r="AU93" s="2012"/>
      <c r="AV93" s="2012"/>
      <c r="AW93" s="2012"/>
      <c r="AX93" s="2012"/>
      <c r="AY93" s="2012"/>
      <c r="AZ93" s="2012"/>
      <c r="BA93" s="2012"/>
      <c r="BB93" s="2012"/>
      <c r="BC93" s="2012"/>
      <c r="BD93" s="2012"/>
      <c r="BE93" s="2012"/>
      <c r="BF93" s="2012"/>
      <c r="BG93" s="2012"/>
      <c r="BH93" s="2012"/>
      <c r="BI93" s="2012"/>
      <c r="BJ93" s="2012"/>
      <c r="BK93" s="2012"/>
      <c r="BL93" s="2012"/>
      <c r="BM93" s="2012"/>
      <c r="BN93" s="2012"/>
      <c r="BO93" s="2012"/>
      <c r="BP93" s="2012"/>
      <c r="BQ93" s="2012"/>
      <c r="BR93" s="2012"/>
      <c r="BS93" s="2012"/>
      <c r="BT93" s="2012"/>
      <c r="BU93" s="2012"/>
      <c r="BV93" s="2012"/>
      <c r="BW93" s="2012"/>
      <c r="BX93" s="2012"/>
      <c r="BY93" s="2012"/>
      <c r="BZ93" s="2012"/>
      <c r="CA93" s="2012"/>
      <c r="CB93" s="2012"/>
      <c r="CC93" s="2012" t="e">
        <f>CC90</f>
        <v>#REF!</v>
      </c>
      <c r="CD93" s="2012"/>
      <c r="CE93" s="2012"/>
      <c r="CF93" s="2012"/>
      <c r="CG93" s="2012"/>
      <c r="CH93" s="2012"/>
      <c r="CI93" s="2012"/>
      <c r="CJ93" s="2012"/>
      <c r="CK93" s="2012"/>
      <c r="CL93" s="2012"/>
      <c r="CM93" s="2012"/>
      <c r="CN93" s="2012"/>
      <c r="CO93" s="2012"/>
      <c r="CP93" s="2012"/>
      <c r="CQ93" s="2012"/>
      <c r="CR93" s="2012"/>
      <c r="CS93" s="2012"/>
      <c r="CT93" s="2012"/>
      <c r="CU93" s="2012"/>
      <c r="CV93" s="2012"/>
      <c r="CW93" s="2012"/>
      <c r="CX93" s="2012"/>
      <c r="CY93" s="2012"/>
      <c r="CZ93" s="2012"/>
      <c r="DA93" s="2012"/>
      <c r="DB93" s="2012"/>
      <c r="DC93" s="2012"/>
      <c r="DD93" s="2012"/>
      <c r="DE93" s="2012"/>
      <c r="DF93" s="2012"/>
      <c r="DG93" s="2012"/>
      <c r="DH93" s="2012"/>
      <c r="DI93" s="2012"/>
      <c r="DJ93" s="2012"/>
      <c r="DK93" s="2012"/>
      <c r="DL93" s="2012"/>
      <c r="DM93" s="2012"/>
      <c r="DN93" s="2012"/>
      <c r="DO93" s="2013"/>
      <c r="DP93" s="2012"/>
      <c r="DQ93" s="2012"/>
      <c r="DR93" s="2014"/>
      <c r="FF93" s="1616"/>
    </row>
    <row r="94" spans="1:162" hidden="1" outlineLevel="2">
      <c r="A94" s="1628" t="s">
        <v>1255</v>
      </c>
      <c r="B94" s="1628" t="s">
        <v>2077</v>
      </c>
      <c r="C94" s="1628" t="s">
        <v>2091</v>
      </c>
      <c r="D94" s="1628"/>
      <c r="E94" s="2012">
        <f t="shared" ref="E94:K95" si="99">E91</f>
        <v>7100</v>
      </c>
      <c r="F94" s="2012">
        <f t="shared" si="99"/>
        <v>5250</v>
      </c>
      <c r="G94" s="2012">
        <f t="shared" si="99"/>
        <v>6050</v>
      </c>
      <c r="H94" s="2012">
        <f t="shared" si="99"/>
        <v>0</v>
      </c>
      <c r="I94" s="2012" t="e">
        <f t="shared" si="99"/>
        <v>#REF!</v>
      </c>
      <c r="J94" s="2012" t="e">
        <f t="shared" si="99"/>
        <v>#REF!</v>
      </c>
      <c r="K94" s="2012" t="e">
        <f t="shared" si="99"/>
        <v>#REF!</v>
      </c>
      <c r="L94" s="2012">
        <f t="shared" si="95"/>
        <v>5250</v>
      </c>
      <c r="M94" s="2012">
        <f t="shared" si="96"/>
        <v>6050</v>
      </c>
      <c r="N94" s="2012"/>
      <c r="O94" s="2012"/>
      <c r="P94" s="2012"/>
      <c r="Q94" s="2012"/>
      <c r="R94" s="2012"/>
      <c r="S94" s="2012"/>
      <c r="T94" s="2012"/>
      <c r="U94" s="2012"/>
      <c r="V94" s="2012"/>
      <c r="W94" s="2012"/>
      <c r="X94" s="2012"/>
      <c r="Y94" s="2012"/>
      <c r="Z94" s="2012"/>
      <c r="AA94" s="2012"/>
      <c r="AB94" s="2012"/>
      <c r="AC94" s="2012"/>
      <c r="AD94" s="2012"/>
      <c r="AE94" s="2012"/>
      <c r="AF94" s="2012" t="e">
        <f t="shared" ref="AF94:AO95" si="100">AF91</f>
        <v>#VALUE!</v>
      </c>
      <c r="AG94" s="2012" t="e">
        <f t="shared" si="100"/>
        <v>#VALUE!</v>
      </c>
      <c r="AH94" s="2012" t="e">
        <f t="shared" si="100"/>
        <v>#VALUE!</v>
      </c>
      <c r="AI94" s="2012" t="e">
        <f t="shared" si="100"/>
        <v>#VALUE!</v>
      </c>
      <c r="AJ94" s="2012" t="e">
        <f t="shared" si="100"/>
        <v>#VALUE!</v>
      </c>
      <c r="AK94" s="2012" t="e">
        <f t="shared" si="100"/>
        <v>#VALUE!</v>
      </c>
      <c r="AL94" s="2012" t="e">
        <f t="shared" si="100"/>
        <v>#VALUE!</v>
      </c>
      <c r="AM94" s="2012" t="e">
        <f t="shared" si="100"/>
        <v>#REF!</v>
      </c>
      <c r="AN94" s="2012" t="e">
        <f t="shared" si="100"/>
        <v>#REF!</v>
      </c>
      <c r="AO94" s="2012" t="e">
        <f t="shared" si="100"/>
        <v>#REF!</v>
      </c>
      <c r="AP94" s="2012"/>
      <c r="AQ94" s="2012"/>
      <c r="AR94" s="2012"/>
      <c r="AS94" s="2012"/>
      <c r="AT94" s="2012"/>
      <c r="AU94" s="2012"/>
      <c r="AV94" s="2012"/>
      <c r="AW94" s="2012"/>
      <c r="AX94" s="2012"/>
      <c r="AY94" s="2012"/>
      <c r="AZ94" s="2012"/>
      <c r="BA94" s="2012"/>
      <c r="BB94" s="2012"/>
      <c r="BC94" s="2012"/>
      <c r="BD94" s="2012"/>
      <c r="BE94" s="2012"/>
      <c r="BF94" s="2012"/>
      <c r="BG94" s="2012"/>
      <c r="BH94" s="2012"/>
      <c r="BI94" s="2012"/>
      <c r="BJ94" s="2012"/>
      <c r="BK94" s="2012"/>
      <c r="BL94" s="2012"/>
      <c r="BM94" s="2012"/>
      <c r="BN94" s="2012"/>
      <c r="BO94" s="2012"/>
      <c r="BP94" s="2012"/>
      <c r="BQ94" s="2012"/>
      <c r="BR94" s="2012"/>
      <c r="BS94" s="2012"/>
      <c r="BT94" s="2012"/>
      <c r="BU94" s="2012"/>
      <c r="BV94" s="2012"/>
      <c r="BW94" s="2012"/>
      <c r="BX94" s="2012"/>
      <c r="BY94" s="2012"/>
      <c r="BZ94" s="2012"/>
      <c r="CA94" s="2012"/>
      <c r="CB94" s="2012"/>
      <c r="CC94" s="2012" t="e">
        <f>CC91</f>
        <v>#REF!</v>
      </c>
      <c r="CD94" s="2012"/>
      <c r="CE94" s="2012"/>
      <c r="CF94" s="2012"/>
      <c r="CG94" s="2012"/>
      <c r="CH94" s="2012"/>
      <c r="CI94" s="2012"/>
      <c r="CJ94" s="2012"/>
      <c r="CK94" s="2012"/>
      <c r="CL94" s="2012"/>
      <c r="CM94" s="2012"/>
      <c r="CN94" s="2012"/>
      <c r="CO94" s="2012"/>
      <c r="CP94" s="2012"/>
      <c r="CQ94" s="2012"/>
      <c r="CR94" s="2012"/>
      <c r="CS94" s="2012"/>
      <c r="CT94" s="2012"/>
      <c r="CU94" s="2012"/>
      <c r="CV94" s="2012"/>
      <c r="CW94" s="2012"/>
      <c r="CX94" s="2012"/>
      <c r="CY94" s="2012"/>
      <c r="CZ94" s="2012"/>
      <c r="DA94" s="2012"/>
      <c r="DB94" s="2012"/>
      <c r="DC94" s="2012"/>
      <c r="DD94" s="2012"/>
      <c r="DE94" s="2012"/>
      <c r="DF94" s="2012"/>
      <c r="DG94" s="2012"/>
      <c r="DH94" s="2012"/>
      <c r="DI94" s="2012"/>
      <c r="DJ94" s="2012"/>
      <c r="DK94" s="2012"/>
      <c r="DL94" s="2012"/>
      <c r="DM94" s="2012"/>
      <c r="DN94" s="2012"/>
      <c r="DO94" s="2013"/>
      <c r="DP94" s="2012"/>
      <c r="DQ94" s="2012"/>
      <c r="DR94" s="2014"/>
      <c r="FF94" s="1616"/>
    </row>
    <row r="95" spans="1:162" hidden="1" outlineLevel="2">
      <c r="A95" s="1628" t="s">
        <v>1255</v>
      </c>
      <c r="B95" s="1628" t="s">
        <v>2078</v>
      </c>
      <c r="C95" s="1628" t="s">
        <v>2091</v>
      </c>
      <c r="D95" s="1628"/>
      <c r="E95" s="2012">
        <f t="shared" si="99"/>
        <v>7550</v>
      </c>
      <c r="F95" s="2012">
        <f t="shared" si="99"/>
        <v>5700</v>
      </c>
      <c r="G95" s="2012">
        <f t="shared" si="99"/>
        <v>6500</v>
      </c>
      <c r="H95" s="2012">
        <f t="shared" si="99"/>
        <v>0</v>
      </c>
      <c r="I95" s="2012" t="e">
        <f t="shared" si="99"/>
        <v>#REF!</v>
      </c>
      <c r="J95" s="2012" t="e">
        <f t="shared" si="99"/>
        <v>#REF!</v>
      </c>
      <c r="K95" s="2012" t="e">
        <f t="shared" si="99"/>
        <v>#REF!</v>
      </c>
      <c r="L95" s="2012">
        <f t="shared" si="95"/>
        <v>5700</v>
      </c>
      <c r="M95" s="2012">
        <f t="shared" si="96"/>
        <v>6500</v>
      </c>
      <c r="N95" s="2012"/>
      <c r="O95" s="2012"/>
      <c r="P95" s="2012"/>
      <c r="Q95" s="2012"/>
      <c r="R95" s="2012"/>
      <c r="S95" s="2012"/>
      <c r="T95" s="2012"/>
      <c r="U95" s="2012"/>
      <c r="V95" s="2012"/>
      <c r="W95" s="2012"/>
      <c r="X95" s="2012"/>
      <c r="Y95" s="2012"/>
      <c r="Z95" s="2012"/>
      <c r="AA95" s="2012"/>
      <c r="AB95" s="2012"/>
      <c r="AC95" s="2012"/>
      <c r="AD95" s="2012"/>
      <c r="AE95" s="2012"/>
      <c r="AF95" s="2012" t="e">
        <f t="shared" si="100"/>
        <v>#REF!</v>
      </c>
      <c r="AG95" s="2012" t="e">
        <f t="shared" si="100"/>
        <v>#REF!</v>
      </c>
      <c r="AH95" s="2012" t="e">
        <f t="shared" si="100"/>
        <v>#REF!</v>
      </c>
      <c r="AI95" s="2012" t="e">
        <f t="shared" si="100"/>
        <v>#REF!</v>
      </c>
      <c r="AJ95" s="2012" t="e">
        <f t="shared" si="100"/>
        <v>#REF!</v>
      </c>
      <c r="AK95" s="2012" t="e">
        <f t="shared" si="100"/>
        <v>#REF!</v>
      </c>
      <c r="AL95" s="2012" t="e">
        <f t="shared" si="100"/>
        <v>#REF!</v>
      </c>
      <c r="AM95" s="2012" t="e">
        <f t="shared" si="100"/>
        <v>#REF!</v>
      </c>
      <c r="AN95" s="2012" t="e">
        <f t="shared" si="100"/>
        <v>#REF!</v>
      </c>
      <c r="AO95" s="2012" t="e">
        <f t="shared" si="100"/>
        <v>#REF!</v>
      </c>
      <c r="AP95" s="2012"/>
      <c r="AQ95" s="2012"/>
      <c r="AR95" s="2012"/>
      <c r="AS95" s="2012"/>
      <c r="AT95" s="2012"/>
      <c r="AU95" s="2012"/>
      <c r="AV95" s="2012"/>
      <c r="AW95" s="2012"/>
      <c r="AX95" s="2012"/>
      <c r="AY95" s="2012"/>
      <c r="AZ95" s="2012"/>
      <c r="BA95" s="2012"/>
      <c r="BB95" s="2012"/>
      <c r="BC95" s="2012"/>
      <c r="BD95" s="2012"/>
      <c r="BE95" s="2012"/>
      <c r="BF95" s="2012"/>
      <c r="BG95" s="2012"/>
      <c r="BH95" s="2012"/>
      <c r="BI95" s="2012"/>
      <c r="BJ95" s="2012"/>
      <c r="BK95" s="2012"/>
      <c r="BL95" s="2012"/>
      <c r="BM95" s="2012"/>
      <c r="BN95" s="2012"/>
      <c r="BO95" s="2012"/>
      <c r="BP95" s="2012"/>
      <c r="BQ95" s="2012"/>
      <c r="BR95" s="2012"/>
      <c r="BS95" s="2012"/>
      <c r="BT95" s="2012"/>
      <c r="BU95" s="2012"/>
      <c r="BV95" s="2012"/>
      <c r="BW95" s="2012"/>
      <c r="BX95" s="2012"/>
      <c r="BY95" s="2012"/>
      <c r="BZ95" s="2012"/>
      <c r="CA95" s="2012"/>
      <c r="CB95" s="2012"/>
      <c r="CC95" s="2012" t="e">
        <f>CC92</f>
        <v>#REF!</v>
      </c>
      <c r="CD95" s="2012"/>
      <c r="CE95" s="2012"/>
      <c r="CF95" s="2012"/>
      <c r="CG95" s="2012"/>
      <c r="CH95" s="2012"/>
      <c r="CI95" s="2012"/>
      <c r="CJ95" s="2012"/>
      <c r="CK95" s="2012"/>
      <c r="CL95" s="2012"/>
      <c r="CM95" s="2012"/>
      <c r="CN95" s="2012"/>
      <c r="CO95" s="2012"/>
      <c r="CP95" s="2012"/>
      <c r="CQ95" s="2012"/>
      <c r="CR95" s="2012"/>
      <c r="CS95" s="2012"/>
      <c r="CT95" s="2012"/>
      <c r="CU95" s="2012"/>
      <c r="CV95" s="2012"/>
      <c r="CW95" s="2012"/>
      <c r="CX95" s="2012"/>
      <c r="CY95" s="2012"/>
      <c r="CZ95" s="2012"/>
      <c r="DA95" s="2012"/>
      <c r="DB95" s="2012"/>
      <c r="DC95" s="2012"/>
      <c r="DD95" s="2012"/>
      <c r="DE95" s="2012"/>
      <c r="DF95" s="2012"/>
      <c r="DG95" s="2012"/>
      <c r="DH95" s="2012"/>
      <c r="DI95" s="2012"/>
      <c r="DJ95" s="2012"/>
      <c r="DK95" s="2012"/>
      <c r="DL95" s="2012"/>
      <c r="DM95" s="2012"/>
      <c r="DN95" s="2012"/>
      <c r="DO95" s="2013"/>
      <c r="DP95" s="2012"/>
      <c r="DQ95" s="2012"/>
      <c r="DR95" s="2014"/>
      <c r="FF95" s="1616"/>
    </row>
    <row r="96" spans="1:162" s="1632" customFormat="1" hidden="1" outlineLevel="1" collapsed="1">
      <c r="A96" s="1630" t="s">
        <v>1255</v>
      </c>
      <c r="B96" s="1630" t="s">
        <v>2079</v>
      </c>
      <c r="C96" s="1630" t="s">
        <v>2092</v>
      </c>
      <c r="D96" s="1630"/>
      <c r="E96" s="2016"/>
      <c r="F96" s="2016"/>
      <c r="G96" s="2016"/>
      <c r="H96" s="2016"/>
      <c r="I96" s="2016"/>
      <c r="J96" s="2016"/>
      <c r="K96" s="2016"/>
      <c r="L96" s="2016"/>
      <c r="M96" s="2016"/>
      <c r="N96" s="2016"/>
      <c r="O96" s="2016"/>
      <c r="P96" s="2016"/>
      <c r="Q96" s="2016"/>
      <c r="R96" s="2016"/>
      <c r="S96" s="2016"/>
      <c r="T96" s="2016"/>
      <c r="U96" s="2016"/>
      <c r="V96" s="2016"/>
      <c r="W96" s="2016"/>
      <c r="X96" s="2016"/>
      <c r="Y96" s="2016"/>
      <c r="Z96" s="2016"/>
      <c r="AA96" s="2016"/>
      <c r="AB96" s="2016"/>
      <c r="AC96" s="2016"/>
      <c r="AD96" s="2016"/>
      <c r="AE96" s="2016"/>
      <c r="AF96" s="2016"/>
      <c r="AG96" s="2016"/>
      <c r="AH96" s="2016"/>
      <c r="AI96" s="2016"/>
      <c r="AJ96" s="2016"/>
      <c r="AK96" s="2016"/>
      <c r="AL96" s="2016"/>
      <c r="AM96" s="2016"/>
      <c r="AN96" s="2016"/>
      <c r="AO96" s="2016"/>
      <c r="AP96" s="2016"/>
      <c r="AQ96" s="2016"/>
      <c r="AR96" s="2016"/>
      <c r="AS96" s="2016"/>
      <c r="AT96" s="2016"/>
      <c r="AU96" s="2016"/>
      <c r="AV96" s="2016"/>
      <c r="AW96" s="2016"/>
      <c r="AX96" s="2016"/>
      <c r="AY96" s="2016"/>
      <c r="AZ96" s="2016"/>
      <c r="BA96" s="2016"/>
      <c r="BB96" s="2016"/>
      <c r="BC96" s="2016"/>
      <c r="BD96" s="2016"/>
      <c r="BE96" s="2016"/>
      <c r="BF96" s="2016"/>
      <c r="BG96" s="2016"/>
      <c r="BH96" s="2016"/>
      <c r="BI96" s="2016"/>
      <c r="BJ96" s="2016"/>
      <c r="BK96" s="2016"/>
      <c r="BL96" s="2016"/>
      <c r="BM96" s="2016"/>
      <c r="BN96" s="2016"/>
      <c r="BO96" s="2016"/>
      <c r="BP96" s="2016"/>
      <c r="BQ96" s="2016"/>
      <c r="BR96" s="2016"/>
      <c r="BS96" s="2016"/>
      <c r="BT96" s="2016"/>
      <c r="BU96" s="2016"/>
      <c r="BV96" s="2016"/>
      <c r="BW96" s="2016"/>
      <c r="BX96" s="2016"/>
      <c r="BY96" s="2016"/>
      <c r="BZ96" s="2016"/>
      <c r="CA96" s="2016"/>
      <c r="CB96" s="2016"/>
      <c r="CC96" s="2016" t="e">
        <f>Neoclassic!#REF!</f>
        <v>#REF!</v>
      </c>
      <c r="CD96" s="2016"/>
      <c r="CE96" s="2016"/>
      <c r="CF96" s="2016"/>
      <c r="CG96" s="2016"/>
      <c r="CH96" s="2016"/>
      <c r="CI96" s="2016"/>
      <c r="CJ96" s="2016"/>
      <c r="CK96" s="2016"/>
      <c r="CL96" s="2016"/>
      <c r="CM96" s="2016"/>
      <c r="CN96" s="2016"/>
      <c r="CO96" s="2016"/>
      <c r="CP96" s="2016"/>
      <c r="CQ96" s="2016"/>
      <c r="CR96" s="2016"/>
      <c r="CS96" s="2016"/>
      <c r="CT96" s="2016"/>
      <c r="CU96" s="2016"/>
      <c r="CV96" s="2016"/>
      <c r="CW96" s="2016"/>
      <c r="CX96" s="2016"/>
      <c r="CY96" s="2016"/>
      <c r="CZ96" s="2016"/>
      <c r="DA96" s="2016"/>
      <c r="DB96" s="2016"/>
      <c r="DC96" s="2016"/>
      <c r="DD96" s="2016"/>
      <c r="DE96" s="2016"/>
      <c r="DF96" s="2016"/>
      <c r="DG96" s="2016"/>
      <c r="DH96" s="2016"/>
      <c r="DI96" s="2016"/>
      <c r="DJ96" s="2016"/>
      <c r="DK96" s="2016"/>
      <c r="DL96" s="2016"/>
      <c r="DM96" s="2016"/>
      <c r="DN96" s="2016"/>
      <c r="DO96" s="2017"/>
      <c r="DP96" s="2016"/>
      <c r="DQ96" s="2016"/>
      <c r="DR96" s="2018"/>
      <c r="DS96" s="2018"/>
      <c r="DT96" s="2018"/>
      <c r="DU96" s="2018"/>
      <c r="DV96" s="2018"/>
      <c r="DW96" s="2018"/>
      <c r="DX96" s="2018"/>
      <c r="DY96" s="2018"/>
      <c r="DZ96" s="2018"/>
      <c r="EA96" s="2018"/>
      <c r="EB96" s="2018"/>
      <c r="EC96" s="2018"/>
      <c r="ED96" s="2018"/>
      <c r="FF96" s="1631"/>
    </row>
    <row r="97" spans="1:162" s="1632" customFormat="1" hidden="1" outlineLevel="1">
      <c r="A97" s="1630" t="s">
        <v>1255</v>
      </c>
      <c r="B97" s="1630" t="s">
        <v>2079</v>
      </c>
      <c r="C97" s="1630" t="s">
        <v>2090</v>
      </c>
      <c r="D97" s="1630"/>
      <c r="E97" s="2016"/>
      <c r="F97" s="2016"/>
      <c r="G97" s="2016"/>
      <c r="H97" s="2016"/>
      <c r="I97" s="2016"/>
      <c r="J97" s="2016"/>
      <c r="K97" s="2016"/>
      <c r="L97" s="2016"/>
      <c r="M97" s="2016"/>
      <c r="N97" s="2016"/>
      <c r="O97" s="2016"/>
      <c r="P97" s="2016"/>
      <c r="Q97" s="2016"/>
      <c r="R97" s="2016"/>
      <c r="S97" s="2016"/>
      <c r="T97" s="2016"/>
      <c r="U97" s="2016"/>
      <c r="V97" s="2016"/>
      <c r="W97" s="2016"/>
      <c r="X97" s="2016"/>
      <c r="Y97" s="2016"/>
      <c r="Z97" s="2016"/>
      <c r="AA97" s="2016"/>
      <c r="AB97" s="2016"/>
      <c r="AC97" s="2016"/>
      <c r="AD97" s="2016"/>
      <c r="AE97" s="2016"/>
      <c r="AF97" s="2016"/>
      <c r="AG97" s="2016"/>
      <c r="AH97" s="2016"/>
      <c r="AI97" s="2016"/>
      <c r="AJ97" s="2016"/>
      <c r="AK97" s="2016"/>
      <c r="AL97" s="2016"/>
      <c r="AM97" s="2016"/>
      <c r="AN97" s="2016"/>
      <c r="AO97" s="2016"/>
      <c r="AP97" s="2016"/>
      <c r="AQ97" s="2016"/>
      <c r="AR97" s="2016"/>
      <c r="AS97" s="2016"/>
      <c r="AT97" s="2016"/>
      <c r="AU97" s="2016"/>
      <c r="AV97" s="2016"/>
      <c r="AW97" s="2016"/>
      <c r="AX97" s="2016"/>
      <c r="AY97" s="2016"/>
      <c r="AZ97" s="2016"/>
      <c r="BA97" s="2016"/>
      <c r="BB97" s="2016"/>
      <c r="BC97" s="2016"/>
      <c r="BD97" s="2016"/>
      <c r="BE97" s="2016"/>
      <c r="BF97" s="2016"/>
      <c r="BG97" s="2016"/>
      <c r="BH97" s="2016"/>
      <c r="BI97" s="2016"/>
      <c r="BJ97" s="2016"/>
      <c r="BK97" s="2016"/>
      <c r="BL97" s="2016"/>
      <c r="BM97" s="2016"/>
      <c r="BN97" s="2016"/>
      <c r="BO97" s="2016"/>
      <c r="BP97" s="2016"/>
      <c r="BQ97" s="2016"/>
      <c r="BR97" s="2016"/>
      <c r="BS97" s="2016"/>
      <c r="BT97" s="2016"/>
      <c r="BU97" s="2016"/>
      <c r="BV97" s="2016"/>
      <c r="BW97" s="2016"/>
      <c r="BX97" s="2016"/>
      <c r="BY97" s="2016"/>
      <c r="BZ97" s="2016"/>
      <c r="CA97" s="2016"/>
      <c r="CB97" s="2016"/>
      <c r="CC97" s="2016" t="e">
        <f>CC96+Neoclassic!#REF!</f>
        <v>#REF!</v>
      </c>
      <c r="CD97" s="2016"/>
      <c r="CE97" s="2016"/>
      <c r="CF97" s="2016"/>
      <c r="CG97" s="2016"/>
      <c r="CH97" s="2016"/>
      <c r="CI97" s="2016"/>
      <c r="CJ97" s="2016"/>
      <c r="CK97" s="2016"/>
      <c r="CL97" s="2016"/>
      <c r="CM97" s="2016"/>
      <c r="CN97" s="2016"/>
      <c r="CO97" s="2016"/>
      <c r="CP97" s="2016"/>
      <c r="CQ97" s="2016"/>
      <c r="CR97" s="2016"/>
      <c r="CS97" s="2016"/>
      <c r="CT97" s="2016"/>
      <c r="CU97" s="2016"/>
      <c r="CV97" s="2016"/>
      <c r="CW97" s="2016"/>
      <c r="CX97" s="2016"/>
      <c r="CY97" s="2016"/>
      <c r="CZ97" s="2016"/>
      <c r="DA97" s="2016"/>
      <c r="DB97" s="2016"/>
      <c r="DC97" s="2016"/>
      <c r="DD97" s="2016"/>
      <c r="DE97" s="2016"/>
      <c r="DF97" s="2016"/>
      <c r="DG97" s="2016"/>
      <c r="DH97" s="2016"/>
      <c r="DI97" s="2016"/>
      <c r="DJ97" s="2016"/>
      <c r="DK97" s="2016"/>
      <c r="DL97" s="2016"/>
      <c r="DM97" s="2016"/>
      <c r="DN97" s="2016"/>
      <c r="DO97" s="2017"/>
      <c r="DP97" s="2016"/>
      <c r="DQ97" s="2016"/>
      <c r="DR97" s="2018"/>
      <c r="DS97" s="2018"/>
      <c r="DT97" s="2018"/>
      <c r="DU97" s="2018"/>
      <c r="DV97" s="2018"/>
      <c r="DW97" s="2018"/>
      <c r="DX97" s="2018"/>
      <c r="DY97" s="2018"/>
      <c r="DZ97" s="2018"/>
      <c r="EA97" s="2018"/>
      <c r="EB97" s="2018"/>
      <c r="EC97" s="2018"/>
      <c r="ED97" s="2018"/>
      <c r="FF97" s="1631"/>
    </row>
    <row r="98" spans="1:162" s="1632" customFormat="1" hidden="1" outlineLevel="2">
      <c r="A98" s="1630" t="s">
        <v>1255</v>
      </c>
      <c r="B98" s="1630" t="s">
        <v>2079</v>
      </c>
      <c r="C98" s="1630" t="s">
        <v>2091</v>
      </c>
      <c r="D98" s="1630"/>
      <c r="E98" s="2016"/>
      <c r="F98" s="2016"/>
      <c r="G98" s="2016"/>
      <c r="H98" s="2016"/>
      <c r="I98" s="2016"/>
      <c r="J98" s="2016"/>
      <c r="K98" s="2016"/>
      <c r="L98" s="2016"/>
      <c r="M98" s="2016"/>
      <c r="N98" s="2016"/>
      <c r="O98" s="2016"/>
      <c r="P98" s="2016"/>
      <c r="Q98" s="2016"/>
      <c r="R98" s="2016"/>
      <c r="S98" s="2016"/>
      <c r="T98" s="2016"/>
      <c r="U98" s="2016"/>
      <c r="V98" s="2016"/>
      <c r="W98" s="2016"/>
      <c r="X98" s="2016"/>
      <c r="Y98" s="2016"/>
      <c r="Z98" s="2016"/>
      <c r="AA98" s="2016"/>
      <c r="AB98" s="2016"/>
      <c r="AC98" s="2016"/>
      <c r="AD98" s="2016"/>
      <c r="AE98" s="2016"/>
      <c r="AF98" s="2016"/>
      <c r="AG98" s="2016"/>
      <c r="AH98" s="2016"/>
      <c r="AI98" s="2016"/>
      <c r="AJ98" s="2016"/>
      <c r="AK98" s="2016"/>
      <c r="AL98" s="2016"/>
      <c r="AM98" s="2016"/>
      <c r="AN98" s="2016"/>
      <c r="AO98" s="2016"/>
      <c r="AP98" s="2016"/>
      <c r="AQ98" s="2016"/>
      <c r="AR98" s="2016"/>
      <c r="AS98" s="2016"/>
      <c r="AT98" s="2016"/>
      <c r="AU98" s="2016"/>
      <c r="AV98" s="2016"/>
      <c r="AW98" s="2016"/>
      <c r="AX98" s="2016"/>
      <c r="AY98" s="2016"/>
      <c r="AZ98" s="2016"/>
      <c r="BA98" s="2016"/>
      <c r="BB98" s="2016"/>
      <c r="BC98" s="2016"/>
      <c r="BD98" s="2016"/>
      <c r="BE98" s="2016"/>
      <c r="BF98" s="2016"/>
      <c r="BG98" s="2016"/>
      <c r="BH98" s="2016"/>
      <c r="BI98" s="2016"/>
      <c r="BJ98" s="2016"/>
      <c r="BK98" s="2016"/>
      <c r="BL98" s="2016"/>
      <c r="BM98" s="2016"/>
      <c r="BN98" s="2016"/>
      <c r="BO98" s="2016"/>
      <c r="BP98" s="2016"/>
      <c r="BQ98" s="2016"/>
      <c r="BR98" s="2016"/>
      <c r="BS98" s="2016"/>
      <c r="BT98" s="2016"/>
      <c r="BU98" s="2016"/>
      <c r="BV98" s="2016"/>
      <c r="BW98" s="2016"/>
      <c r="BX98" s="2016"/>
      <c r="BY98" s="2016"/>
      <c r="BZ98" s="2016"/>
      <c r="CA98" s="2016"/>
      <c r="CB98" s="2016"/>
      <c r="CC98" s="2016" t="e">
        <f>CC97</f>
        <v>#REF!</v>
      </c>
      <c r="CD98" s="2016"/>
      <c r="CE98" s="2016"/>
      <c r="CF98" s="2016"/>
      <c r="CG98" s="2016"/>
      <c r="CH98" s="2016"/>
      <c r="CI98" s="2016"/>
      <c r="CJ98" s="2016"/>
      <c r="CK98" s="2016"/>
      <c r="CL98" s="2016"/>
      <c r="CM98" s="2016"/>
      <c r="CN98" s="2016"/>
      <c r="CO98" s="2016"/>
      <c r="CP98" s="2016"/>
      <c r="CQ98" s="2016"/>
      <c r="CR98" s="2016"/>
      <c r="CS98" s="2016"/>
      <c r="CT98" s="2016"/>
      <c r="CU98" s="2016"/>
      <c r="CV98" s="2016"/>
      <c r="CW98" s="2016"/>
      <c r="CX98" s="2016"/>
      <c r="CY98" s="2016"/>
      <c r="CZ98" s="2016"/>
      <c r="DA98" s="2016"/>
      <c r="DB98" s="2016"/>
      <c r="DC98" s="2016"/>
      <c r="DD98" s="2016"/>
      <c r="DE98" s="2016"/>
      <c r="DF98" s="2016"/>
      <c r="DG98" s="2016"/>
      <c r="DH98" s="2016"/>
      <c r="DI98" s="2016"/>
      <c r="DJ98" s="2016"/>
      <c r="DK98" s="2016"/>
      <c r="DL98" s="2016"/>
      <c r="DM98" s="2016"/>
      <c r="DN98" s="2016"/>
      <c r="DO98" s="2017"/>
      <c r="DP98" s="2016"/>
      <c r="DQ98" s="2016"/>
      <c r="DR98" s="2018"/>
      <c r="DS98" s="2018"/>
      <c r="DT98" s="2018"/>
      <c r="DU98" s="2018"/>
      <c r="DV98" s="2018"/>
      <c r="DW98" s="2018"/>
      <c r="DX98" s="2018"/>
      <c r="DY98" s="2018"/>
      <c r="DZ98" s="2018"/>
      <c r="EA98" s="2018"/>
      <c r="EB98" s="2018"/>
      <c r="EC98" s="2018"/>
      <c r="ED98" s="2018"/>
      <c r="FF98" s="1631"/>
    </row>
    <row r="99" spans="1:162" s="1613" customFormat="1" hidden="1" outlineLevel="1" collapsed="1">
      <c r="A99" s="1623" t="s">
        <v>1314</v>
      </c>
      <c r="B99" s="1623" t="s">
        <v>2070</v>
      </c>
      <c r="C99" s="1623" t="s">
        <v>2092</v>
      </c>
      <c r="D99" s="1623" t="s">
        <v>2085</v>
      </c>
      <c r="E99" s="2000"/>
      <c r="F99" s="2000"/>
      <c r="G99" s="2000"/>
      <c r="H99" s="2000"/>
      <c r="I99" s="2000"/>
      <c r="J99" s="2000"/>
      <c r="K99" s="2000"/>
      <c r="L99" s="2000"/>
      <c r="M99" s="2000"/>
      <c r="N99" s="2000"/>
      <c r="O99" s="2000"/>
      <c r="P99" s="2000"/>
      <c r="Q99" s="2000">
        <f>'E-Classic'!J29</f>
        <v>5200</v>
      </c>
      <c r="R99" s="2000">
        <f>'E-Classic'!K29</f>
        <v>3400</v>
      </c>
      <c r="S99" s="2000" t="e">
        <f>'E-Classic'!#REF!</f>
        <v>#REF!</v>
      </c>
      <c r="T99" s="2000"/>
      <c r="U99" s="2000"/>
      <c r="V99" s="2000"/>
      <c r="W99" s="2000"/>
      <c r="X99" s="2000"/>
      <c r="Y99" s="2000"/>
      <c r="Z99" s="2000"/>
      <c r="AA99" s="2000"/>
      <c r="AB99" s="2000"/>
      <c r="AC99" s="2000"/>
      <c r="AD99" s="2000"/>
      <c r="AE99" s="2000"/>
      <c r="AF99" s="2000"/>
      <c r="AG99" s="2000"/>
      <c r="AH99" s="2000"/>
      <c r="AI99" s="2000"/>
      <c r="AJ99" s="2000"/>
      <c r="AK99" s="2000"/>
      <c r="AL99" s="2000"/>
      <c r="AM99" s="2000"/>
      <c r="AN99" s="2000"/>
      <c r="AO99" s="2000"/>
      <c r="AP99" s="2000"/>
      <c r="AQ99" s="2000"/>
      <c r="AR99" s="2000">
        <f>'Modern Turin'!G25</f>
        <v>5200</v>
      </c>
      <c r="AS99" s="2000">
        <f>'Modern Turin'!H25</f>
        <v>3400</v>
      </c>
      <c r="AT99" s="2000">
        <f>'Modern Turin'!I25</f>
        <v>3400</v>
      </c>
      <c r="AU99" s="2000">
        <f>'Modern Turin'!K25</f>
        <v>3400</v>
      </c>
      <c r="AV99" s="2000"/>
      <c r="AW99" s="2000"/>
      <c r="AX99" s="2000">
        <f>'Modern Bergamo'!G26</f>
        <v>5200</v>
      </c>
      <c r="AY99" s="2000">
        <f>'Modern Bergamo'!H26</f>
        <v>3400</v>
      </c>
      <c r="AZ99" s="2000" t="e">
        <f>'Modern Bergamo'!#REF!</f>
        <v>#REF!</v>
      </c>
      <c r="BA99" s="2000">
        <f>'Modern Bergamo'!I26</f>
        <v>3400</v>
      </c>
      <c r="BB99" s="2000">
        <f>'Modern Bergamo'!J26</f>
        <v>3400</v>
      </c>
      <c r="BC99" s="2000">
        <f>'Modern Bergamo'!K26</f>
        <v>3400</v>
      </c>
      <c r="BD99" s="2000"/>
      <c r="BE99" s="2000"/>
      <c r="BF99" s="2000">
        <f>AX99</f>
        <v>5200</v>
      </c>
      <c r="BG99" s="2000">
        <f t="shared" ref="BG99:BM99" si="101">AY99</f>
        <v>3400</v>
      </c>
      <c r="BH99" s="2000" t="e">
        <f t="shared" si="101"/>
        <v>#REF!</v>
      </c>
      <c r="BI99" s="2000">
        <f t="shared" si="101"/>
        <v>3400</v>
      </c>
      <c r="BJ99" s="2000">
        <f t="shared" si="101"/>
        <v>3400</v>
      </c>
      <c r="BK99" s="2000">
        <f t="shared" si="101"/>
        <v>3400</v>
      </c>
      <c r="BL99" s="2000">
        <f t="shared" si="101"/>
        <v>0</v>
      </c>
      <c r="BM99" s="2000">
        <f t="shared" si="101"/>
        <v>0</v>
      </c>
      <c r="BN99" s="2000"/>
      <c r="BO99" s="2000" t="s">
        <v>5</v>
      </c>
      <c r="BP99" s="2000" t="s">
        <v>5</v>
      </c>
      <c r="BQ99" s="2000">
        <f>Fusion!J23</f>
        <v>1700</v>
      </c>
      <c r="BR99" s="2000">
        <f>BQ99</f>
        <v>1700</v>
      </c>
      <c r="BS99" s="2000"/>
      <c r="BT99" s="2000"/>
      <c r="BU99" s="2000"/>
      <c r="BV99" s="2000"/>
      <c r="BW99" s="2000"/>
      <c r="BX99" s="2000" t="s">
        <v>5</v>
      </c>
      <c r="BY99" s="2000" t="s">
        <v>5</v>
      </c>
      <c r="BZ99" s="2000"/>
      <c r="CA99" s="2000"/>
      <c r="CB99" s="2000"/>
      <c r="CC99" s="2000"/>
      <c r="CD99" s="2000"/>
      <c r="CE99" s="2000"/>
      <c r="CF99" s="2000"/>
      <c r="CG99" s="2000"/>
      <c r="CH99" s="2000"/>
      <c r="CI99" s="2000"/>
      <c r="CJ99" s="2000"/>
      <c r="CK99" s="2000"/>
      <c r="CL99" s="2000"/>
      <c r="CM99" s="2000"/>
      <c r="CN99" s="2000"/>
      <c r="CO99" s="2000"/>
      <c r="CP99" s="2000"/>
      <c r="CQ99" s="2000"/>
      <c r="CR99" s="2000"/>
      <c r="CS99" s="2000"/>
      <c r="CT99" s="2000"/>
      <c r="CU99" s="2000"/>
      <c r="CV99" s="2000"/>
      <c r="CW99" s="2000"/>
      <c r="CX99" s="2000"/>
      <c r="CY99" s="2000"/>
      <c r="CZ99" s="2000"/>
      <c r="DA99" s="2000"/>
      <c r="DB99" s="2000"/>
      <c r="DC99" s="2000"/>
      <c r="DD99" s="2000"/>
      <c r="DE99" s="2000"/>
      <c r="DF99" s="2000"/>
      <c r="DG99" s="2000"/>
      <c r="DH99" s="2000"/>
      <c r="DI99" s="2000"/>
      <c r="DJ99" s="2000"/>
      <c r="DK99" s="2000"/>
      <c r="DL99" s="2000"/>
      <c r="DM99" s="2000"/>
      <c r="DN99" s="2000"/>
      <c r="DO99" s="2001"/>
      <c r="DP99" s="2000"/>
      <c r="DQ99" s="2000"/>
      <c r="DR99" s="2002"/>
      <c r="DS99" s="2002"/>
      <c r="DT99" s="2002"/>
      <c r="DU99" s="2002"/>
      <c r="DV99" s="2002"/>
      <c r="DW99" s="2002"/>
      <c r="DX99" s="2002"/>
      <c r="DY99" s="2002"/>
      <c r="DZ99" s="2002"/>
      <c r="EA99" s="2002"/>
      <c r="EB99" s="1987"/>
      <c r="EC99" s="1987"/>
      <c r="ED99" s="1987"/>
      <c r="FF99" s="1614"/>
    </row>
    <row r="100" spans="1:162" hidden="1" outlineLevel="2">
      <c r="A100" s="1624" t="s">
        <v>1314</v>
      </c>
      <c r="B100" s="1624" t="s">
        <v>2070</v>
      </c>
      <c r="C100" s="1624" t="s">
        <v>2092</v>
      </c>
      <c r="D100" s="1624" t="s">
        <v>722</v>
      </c>
      <c r="E100" s="2003"/>
      <c r="F100" s="2003"/>
      <c r="G100" s="2003"/>
      <c r="H100" s="2003"/>
      <c r="I100" s="2003"/>
      <c r="J100" s="2003"/>
      <c r="K100" s="2003"/>
      <c r="L100" s="2003"/>
      <c r="M100" s="2003"/>
      <c r="N100" s="2003"/>
      <c r="O100" s="2003"/>
      <c r="P100" s="2003"/>
      <c r="Q100" s="2003">
        <f>$Q$99</f>
        <v>5200</v>
      </c>
      <c r="R100" s="2003">
        <f>$R$99</f>
        <v>3400</v>
      </c>
      <c r="S100" s="2003" t="e">
        <f>$S$99</f>
        <v>#REF!</v>
      </c>
      <c r="T100" s="2003"/>
      <c r="U100" s="2003"/>
      <c r="V100" s="2003"/>
      <c r="W100" s="2003"/>
      <c r="X100" s="2003"/>
      <c r="Y100" s="2003"/>
      <c r="Z100" s="2003"/>
      <c r="AA100" s="2003"/>
      <c r="AB100" s="2003"/>
      <c r="AC100" s="2003"/>
      <c r="AD100" s="2003"/>
      <c r="AE100" s="2003"/>
      <c r="AF100" s="2003"/>
      <c r="AG100" s="2003"/>
      <c r="AH100" s="2003"/>
      <c r="AI100" s="2003"/>
      <c r="AJ100" s="2003"/>
      <c r="AK100" s="2003"/>
      <c r="AL100" s="2003"/>
      <c r="AM100" s="2003"/>
      <c r="AN100" s="2003"/>
      <c r="AO100" s="2003"/>
      <c r="AP100" s="2003"/>
      <c r="AQ100" s="2003"/>
      <c r="AR100" s="2003">
        <f>$AR$99</f>
        <v>5200</v>
      </c>
      <c r="AS100" s="2003">
        <f>$AS$99</f>
        <v>3400</v>
      </c>
      <c r="AT100" s="2003">
        <f>$AT$99</f>
        <v>3400</v>
      </c>
      <c r="AU100" s="2003">
        <f>$AU$99</f>
        <v>3400</v>
      </c>
      <c r="AV100" s="2003"/>
      <c r="AW100" s="2003"/>
      <c r="AX100" s="2003">
        <f>$AX$99</f>
        <v>5200</v>
      </c>
      <c r="AY100" s="2003">
        <f>$AY$99</f>
        <v>3400</v>
      </c>
      <c r="AZ100" s="2003" t="e">
        <f>$AZ$99</f>
        <v>#REF!</v>
      </c>
      <c r="BA100" s="2003">
        <f>$BA$99</f>
        <v>3400</v>
      </c>
      <c r="BB100" s="2003">
        <f>$BB$99</f>
        <v>3400</v>
      </c>
      <c r="BC100" s="2003">
        <f>$BC$99</f>
        <v>3400</v>
      </c>
      <c r="BD100" s="2003"/>
      <c r="BE100" s="2003"/>
      <c r="BF100" s="2003">
        <f>$BF$99</f>
        <v>5200</v>
      </c>
      <c r="BG100" s="2003">
        <f>$BG$99</f>
        <v>3400</v>
      </c>
      <c r="BH100" s="2003" t="e">
        <f>$BH$99</f>
        <v>#REF!</v>
      </c>
      <c r="BI100" s="2003">
        <f>$BI$99</f>
        <v>3400</v>
      </c>
      <c r="BJ100" s="2003">
        <f>$BJ$99</f>
        <v>3400</v>
      </c>
      <c r="BK100" s="2003">
        <f>$BK$99</f>
        <v>3400</v>
      </c>
      <c r="BL100" s="2003">
        <f>$BL$99</f>
        <v>0</v>
      </c>
      <c r="BM100" s="2003">
        <f>$BM$99</f>
        <v>0</v>
      </c>
      <c r="BN100" s="2003"/>
      <c r="BO100" s="2003"/>
      <c r="BP100" s="2003"/>
      <c r="BQ100" s="2003">
        <f>Fusion!J23</f>
        <v>1700</v>
      </c>
      <c r="BR100" s="2006">
        <f>BQ100</f>
        <v>1700</v>
      </c>
      <c r="BS100" s="2003"/>
      <c r="BT100" s="2003"/>
      <c r="BU100" s="2003"/>
      <c r="BV100" s="2003"/>
      <c r="BW100" s="2003"/>
      <c r="BX100" s="2003"/>
      <c r="BY100" s="2003"/>
      <c r="BZ100" s="2003"/>
      <c r="CA100" s="2003"/>
      <c r="CB100" s="2003"/>
      <c r="CC100" s="2003"/>
      <c r="CD100" s="2003"/>
      <c r="CE100" s="2003"/>
      <c r="CF100" s="2003"/>
      <c r="CG100" s="2003"/>
      <c r="CH100" s="2003"/>
      <c r="CI100" s="2003"/>
      <c r="CJ100" s="2003"/>
      <c r="CK100" s="2003"/>
      <c r="CL100" s="2003"/>
      <c r="CM100" s="2003"/>
      <c r="CN100" s="2003"/>
      <c r="CO100" s="2003"/>
      <c r="CP100" s="2003"/>
      <c r="CQ100" s="2003"/>
      <c r="CR100" s="2003"/>
      <c r="CS100" s="2003"/>
      <c r="CT100" s="2003"/>
      <c r="CU100" s="2003"/>
      <c r="CV100" s="2003"/>
      <c r="CW100" s="2003"/>
      <c r="CX100" s="2003"/>
      <c r="CY100" s="2003"/>
      <c r="CZ100" s="2003"/>
      <c r="DA100" s="2003"/>
      <c r="DB100" s="2003"/>
      <c r="DC100" s="2003"/>
      <c r="DD100" s="2003"/>
      <c r="DE100" s="2003"/>
      <c r="DF100" s="2003"/>
      <c r="DG100" s="2003"/>
      <c r="DH100" s="2003"/>
      <c r="DI100" s="2003"/>
      <c r="DJ100" s="2003"/>
      <c r="DK100" s="2003"/>
      <c r="DL100" s="2003"/>
      <c r="DM100" s="2003"/>
      <c r="DN100" s="2003"/>
      <c r="DO100" s="2004"/>
      <c r="DP100" s="2003"/>
      <c r="DQ100" s="2003"/>
      <c r="DR100" s="2005"/>
      <c r="DS100" s="2005"/>
      <c r="DT100" s="2005"/>
      <c r="DU100" s="2005"/>
      <c r="DV100" s="2005"/>
      <c r="DW100" s="2005"/>
      <c r="DX100" s="2005"/>
      <c r="DY100" s="2005"/>
      <c r="DZ100" s="2005"/>
      <c r="EA100" s="2005"/>
      <c r="FF100" s="1616"/>
    </row>
    <row r="101" spans="1:162" hidden="1" outlineLevel="2">
      <c r="A101" s="1624" t="s">
        <v>1314</v>
      </c>
      <c r="B101" s="1624" t="s">
        <v>2070</v>
      </c>
      <c r="C101" s="1624" t="s">
        <v>2092</v>
      </c>
      <c r="D101" s="1624" t="s">
        <v>2086</v>
      </c>
      <c r="E101" s="2003"/>
      <c r="F101" s="2003"/>
      <c r="G101" s="2003"/>
      <c r="H101" s="2003"/>
      <c r="I101" s="2003"/>
      <c r="J101" s="2003"/>
      <c r="K101" s="2003"/>
      <c r="L101" s="2003"/>
      <c r="M101" s="2003"/>
      <c r="N101" s="2003"/>
      <c r="O101" s="2003"/>
      <c r="P101" s="2003"/>
      <c r="Q101" s="2003">
        <f t="shared" ref="Q101:Q110" si="102">$Q$99</f>
        <v>5200</v>
      </c>
      <c r="R101" s="2003">
        <f t="shared" ref="R101:R110" si="103">$R$99</f>
        <v>3400</v>
      </c>
      <c r="S101" s="2003" t="e">
        <f t="shared" ref="S101:S110" si="104">$S$99</f>
        <v>#REF!</v>
      </c>
      <c r="T101" s="2003"/>
      <c r="U101" s="2003"/>
      <c r="V101" s="2003"/>
      <c r="W101" s="2003"/>
      <c r="X101" s="2003"/>
      <c r="Y101" s="2003"/>
      <c r="Z101" s="2003"/>
      <c r="AA101" s="2003"/>
      <c r="AB101" s="2003"/>
      <c r="AC101" s="2003"/>
      <c r="AD101" s="2003"/>
      <c r="AE101" s="2003"/>
      <c r="AF101" s="2003"/>
      <c r="AG101" s="2003"/>
      <c r="AH101" s="2003"/>
      <c r="AI101" s="2003"/>
      <c r="AJ101" s="2003"/>
      <c r="AK101" s="2003"/>
      <c r="AL101" s="2003"/>
      <c r="AM101" s="2003"/>
      <c r="AN101" s="2003"/>
      <c r="AO101" s="2003"/>
      <c r="AP101" s="2003"/>
      <c r="AQ101" s="2003"/>
      <c r="AR101" s="2003">
        <f t="shared" ref="AR101:AR110" si="105">$AR$99</f>
        <v>5200</v>
      </c>
      <c r="AS101" s="2003">
        <f t="shared" ref="AS101:AS110" si="106">$AS$99</f>
        <v>3400</v>
      </c>
      <c r="AT101" s="2003">
        <f t="shared" ref="AT101:AT110" si="107">$AT$99</f>
        <v>3400</v>
      </c>
      <c r="AU101" s="2003">
        <f t="shared" ref="AU101:AU110" si="108">$AU$99</f>
        <v>3400</v>
      </c>
      <c r="AV101" s="2003"/>
      <c r="AW101" s="2003"/>
      <c r="AX101" s="2003">
        <f t="shared" ref="AX101:AX110" si="109">$AX$99</f>
        <v>5200</v>
      </c>
      <c r="AY101" s="2003">
        <f t="shared" ref="AY101:AY110" si="110">$AY$99</f>
        <v>3400</v>
      </c>
      <c r="AZ101" s="2003" t="e">
        <f t="shared" ref="AZ101:AZ110" si="111">$AZ$99</f>
        <v>#REF!</v>
      </c>
      <c r="BA101" s="2003">
        <f t="shared" ref="BA101:BA110" si="112">$BA$99</f>
        <v>3400</v>
      </c>
      <c r="BB101" s="2003">
        <f t="shared" ref="BB101:BB110" si="113">$BB$99</f>
        <v>3400</v>
      </c>
      <c r="BC101" s="2003">
        <f t="shared" ref="BC101:BC110" si="114">$BC$99</f>
        <v>3400</v>
      </c>
      <c r="BD101" s="2003"/>
      <c r="BE101" s="2003"/>
      <c r="BF101" s="2003">
        <f t="shared" ref="BF101:BF110" si="115">$BF$99</f>
        <v>5200</v>
      </c>
      <c r="BG101" s="2003">
        <f t="shared" ref="BG101:BG110" si="116">$BG$99</f>
        <v>3400</v>
      </c>
      <c r="BH101" s="2003" t="e">
        <f t="shared" ref="BH101:BH110" si="117">$BH$99</f>
        <v>#REF!</v>
      </c>
      <c r="BI101" s="2003">
        <f t="shared" ref="BI101:BI110" si="118">$BI$99</f>
        <v>3400</v>
      </c>
      <c r="BJ101" s="2003">
        <f t="shared" ref="BJ101:BJ110" si="119">$BJ$99</f>
        <v>3400</v>
      </c>
      <c r="BK101" s="2003">
        <f t="shared" ref="BK101:BK110" si="120">$BK$99</f>
        <v>3400</v>
      </c>
      <c r="BL101" s="2003">
        <f t="shared" ref="BL101:BL110" si="121">$BL$99</f>
        <v>0</v>
      </c>
      <c r="BM101" s="2003">
        <f t="shared" ref="BM101:BM110" si="122">$BM$99</f>
        <v>0</v>
      </c>
      <c r="BN101" s="2003"/>
      <c r="BO101" s="2003"/>
      <c r="BP101" s="2003"/>
      <c r="BQ101" s="2003">
        <f>$BQ$100</f>
        <v>1700</v>
      </c>
      <c r="BR101" s="2006">
        <f>BQ101</f>
        <v>1700</v>
      </c>
      <c r="BS101" s="2003"/>
      <c r="BT101" s="2003"/>
      <c r="BU101" s="2003"/>
      <c r="BV101" s="2003"/>
      <c r="BW101" s="2003"/>
      <c r="BX101" s="2003"/>
      <c r="BY101" s="2003"/>
      <c r="BZ101" s="2003"/>
      <c r="CA101" s="2003"/>
      <c r="CB101" s="2003"/>
      <c r="CC101" s="2003"/>
      <c r="CD101" s="2003"/>
      <c r="CE101" s="2003"/>
      <c r="CF101" s="2003"/>
      <c r="CG101" s="2003"/>
      <c r="CH101" s="2003"/>
      <c r="CI101" s="2003"/>
      <c r="CJ101" s="2003"/>
      <c r="CK101" s="2003"/>
      <c r="CL101" s="2003"/>
      <c r="CM101" s="2003"/>
      <c r="CN101" s="2003"/>
      <c r="CO101" s="2003"/>
      <c r="CP101" s="2003"/>
      <c r="CQ101" s="2003"/>
      <c r="CR101" s="2003"/>
      <c r="CS101" s="2003"/>
      <c r="CT101" s="2003"/>
      <c r="CU101" s="2003"/>
      <c r="CV101" s="2003"/>
      <c r="CW101" s="2003"/>
      <c r="CX101" s="2003"/>
      <c r="CY101" s="2003"/>
      <c r="CZ101" s="2003"/>
      <c r="DA101" s="2003"/>
      <c r="DB101" s="2003"/>
      <c r="DC101" s="2003"/>
      <c r="DD101" s="2003"/>
      <c r="DE101" s="2003"/>
      <c r="DF101" s="2003"/>
      <c r="DG101" s="2003"/>
      <c r="DH101" s="2003"/>
      <c r="DI101" s="2003"/>
      <c r="DJ101" s="2003"/>
      <c r="DK101" s="2003"/>
      <c r="DL101" s="2003"/>
      <c r="DM101" s="2003"/>
      <c r="DN101" s="2003"/>
      <c r="DO101" s="2004"/>
      <c r="DP101" s="2003"/>
      <c r="DQ101" s="2003"/>
      <c r="DR101" s="2005"/>
      <c r="DS101" s="2005"/>
      <c r="DT101" s="2005"/>
      <c r="DU101" s="2005"/>
      <c r="DV101" s="2005"/>
      <c r="DW101" s="2005"/>
      <c r="DX101" s="2005"/>
      <c r="DY101" s="2005"/>
      <c r="DZ101" s="2005"/>
      <c r="EA101" s="2005"/>
      <c r="FF101" s="1616"/>
    </row>
    <row r="102" spans="1:162" hidden="1" outlineLevel="2">
      <c r="A102" s="1624" t="s">
        <v>1314</v>
      </c>
      <c r="B102" s="1624" t="s">
        <v>2070</v>
      </c>
      <c r="C102" s="1624" t="s">
        <v>2092</v>
      </c>
      <c r="D102" s="1624" t="s">
        <v>2087</v>
      </c>
      <c r="E102" s="2003"/>
      <c r="F102" s="2003"/>
      <c r="G102" s="2003"/>
      <c r="H102" s="2003"/>
      <c r="I102" s="2003"/>
      <c r="J102" s="2003"/>
      <c r="K102" s="2003"/>
      <c r="L102" s="2003"/>
      <c r="M102" s="2003"/>
      <c r="N102" s="2003"/>
      <c r="O102" s="2003"/>
      <c r="P102" s="2003"/>
      <c r="Q102" s="2003">
        <f t="shared" si="102"/>
        <v>5200</v>
      </c>
      <c r="R102" s="2003">
        <f t="shared" si="103"/>
        <v>3400</v>
      </c>
      <c r="S102" s="2003" t="e">
        <f t="shared" si="104"/>
        <v>#REF!</v>
      </c>
      <c r="T102" s="2003"/>
      <c r="U102" s="2003"/>
      <c r="V102" s="2003"/>
      <c r="W102" s="2003"/>
      <c r="X102" s="2003"/>
      <c r="Y102" s="2003"/>
      <c r="Z102" s="2003"/>
      <c r="AA102" s="2003"/>
      <c r="AB102" s="2003"/>
      <c r="AC102" s="2003"/>
      <c r="AD102" s="2003"/>
      <c r="AE102" s="2003"/>
      <c r="AF102" s="2003"/>
      <c r="AG102" s="2003"/>
      <c r="AH102" s="2003"/>
      <c r="AI102" s="2003"/>
      <c r="AJ102" s="2003"/>
      <c r="AK102" s="2003"/>
      <c r="AL102" s="2003"/>
      <c r="AM102" s="2003"/>
      <c r="AN102" s="2003"/>
      <c r="AO102" s="2003"/>
      <c r="AP102" s="2003"/>
      <c r="AQ102" s="2003"/>
      <c r="AR102" s="2003">
        <f t="shared" si="105"/>
        <v>5200</v>
      </c>
      <c r="AS102" s="2003">
        <f t="shared" si="106"/>
        <v>3400</v>
      </c>
      <c r="AT102" s="2003">
        <f t="shared" si="107"/>
        <v>3400</v>
      </c>
      <c r="AU102" s="2003">
        <f t="shared" si="108"/>
        <v>3400</v>
      </c>
      <c r="AV102" s="2003"/>
      <c r="AW102" s="2003"/>
      <c r="AX102" s="2003">
        <f t="shared" si="109"/>
        <v>5200</v>
      </c>
      <c r="AY102" s="2003">
        <f t="shared" si="110"/>
        <v>3400</v>
      </c>
      <c r="AZ102" s="2003" t="e">
        <f t="shared" si="111"/>
        <v>#REF!</v>
      </c>
      <c r="BA102" s="2003">
        <f t="shared" si="112"/>
        <v>3400</v>
      </c>
      <c r="BB102" s="2003">
        <f t="shared" si="113"/>
        <v>3400</v>
      </c>
      <c r="BC102" s="2003">
        <f t="shared" si="114"/>
        <v>3400</v>
      </c>
      <c r="BD102" s="2003"/>
      <c r="BE102" s="2003"/>
      <c r="BF102" s="2003">
        <f t="shared" si="115"/>
        <v>5200</v>
      </c>
      <c r="BG102" s="2003">
        <f t="shared" si="116"/>
        <v>3400</v>
      </c>
      <c r="BH102" s="2003" t="e">
        <f t="shared" si="117"/>
        <v>#REF!</v>
      </c>
      <c r="BI102" s="2003">
        <f t="shared" si="118"/>
        <v>3400</v>
      </c>
      <c r="BJ102" s="2003">
        <f t="shared" si="119"/>
        <v>3400</v>
      </c>
      <c r="BK102" s="2003">
        <f t="shared" si="120"/>
        <v>3400</v>
      </c>
      <c r="BL102" s="2003">
        <f t="shared" si="121"/>
        <v>0</v>
      </c>
      <c r="BM102" s="2003">
        <f t="shared" si="122"/>
        <v>0</v>
      </c>
      <c r="BN102" s="2003"/>
      <c r="BO102" s="2003"/>
      <c r="BP102" s="2003"/>
      <c r="BQ102" s="2003">
        <f>$BQ$100</f>
        <v>1700</v>
      </c>
      <c r="BR102" s="2006">
        <f>BQ102</f>
        <v>1700</v>
      </c>
      <c r="BS102" s="2003"/>
      <c r="BT102" s="2003"/>
      <c r="BU102" s="2003"/>
      <c r="BV102" s="2003"/>
      <c r="BW102" s="2003"/>
      <c r="BX102" s="2003"/>
      <c r="BY102" s="2003"/>
      <c r="BZ102" s="2003"/>
      <c r="CA102" s="2003"/>
      <c r="CB102" s="2003"/>
      <c r="CC102" s="2003"/>
      <c r="CD102" s="2003"/>
      <c r="CE102" s="2003"/>
      <c r="CF102" s="2003"/>
      <c r="CG102" s="2003"/>
      <c r="CH102" s="2003"/>
      <c r="CI102" s="2003"/>
      <c r="CJ102" s="2003"/>
      <c r="CK102" s="2003"/>
      <c r="CL102" s="2003"/>
      <c r="CM102" s="2003"/>
      <c r="CN102" s="2003"/>
      <c r="CO102" s="2003"/>
      <c r="CP102" s="2003"/>
      <c r="CQ102" s="2003"/>
      <c r="CR102" s="2003"/>
      <c r="CS102" s="2003"/>
      <c r="CT102" s="2003"/>
      <c r="CU102" s="2003"/>
      <c r="CV102" s="2003"/>
      <c r="CW102" s="2003"/>
      <c r="CX102" s="2003"/>
      <c r="CY102" s="2003"/>
      <c r="CZ102" s="2003"/>
      <c r="DA102" s="2003"/>
      <c r="DB102" s="2003"/>
      <c r="DC102" s="2003"/>
      <c r="DD102" s="2003"/>
      <c r="DE102" s="2003"/>
      <c r="DF102" s="2003"/>
      <c r="DG102" s="2003"/>
      <c r="DH102" s="2003"/>
      <c r="DI102" s="2003"/>
      <c r="DJ102" s="2003"/>
      <c r="DK102" s="2003"/>
      <c r="DL102" s="2003"/>
      <c r="DM102" s="2003"/>
      <c r="DN102" s="2003"/>
      <c r="DO102" s="2004"/>
      <c r="DP102" s="2003"/>
      <c r="DQ102" s="2003"/>
      <c r="DR102" s="2005"/>
      <c r="DS102" s="2005"/>
      <c r="DT102" s="2005"/>
      <c r="DU102" s="2005"/>
      <c r="DV102" s="2005"/>
      <c r="DW102" s="2005"/>
      <c r="DX102" s="2005"/>
      <c r="DY102" s="2005"/>
      <c r="DZ102" s="2005"/>
      <c r="EA102" s="2005"/>
      <c r="FF102" s="1616"/>
    </row>
    <row r="103" spans="1:162" hidden="1" outlineLevel="2">
      <c r="A103" s="1624" t="s">
        <v>1314</v>
      </c>
      <c r="B103" s="1624" t="s">
        <v>2071</v>
      </c>
      <c r="C103" s="1624" t="s">
        <v>2092</v>
      </c>
      <c r="D103" s="1624" t="s">
        <v>2085</v>
      </c>
      <c r="E103" s="2003"/>
      <c r="F103" s="2003"/>
      <c r="G103" s="2003"/>
      <c r="H103" s="2003"/>
      <c r="I103" s="2003"/>
      <c r="J103" s="2003"/>
      <c r="K103" s="2003"/>
      <c r="L103" s="2003"/>
      <c r="M103" s="2003"/>
      <c r="N103" s="2003"/>
      <c r="O103" s="2003"/>
      <c r="P103" s="2003"/>
      <c r="Q103" s="2003">
        <f t="shared" si="102"/>
        <v>5200</v>
      </c>
      <c r="R103" s="2003">
        <f t="shared" si="103"/>
        <v>3400</v>
      </c>
      <c r="S103" s="2003" t="e">
        <f t="shared" si="104"/>
        <v>#REF!</v>
      </c>
      <c r="T103" s="2003"/>
      <c r="U103" s="2003"/>
      <c r="V103" s="2003"/>
      <c r="W103" s="2003"/>
      <c r="X103" s="2003"/>
      <c r="Y103" s="2003"/>
      <c r="Z103" s="2003"/>
      <c r="AA103" s="2003"/>
      <c r="AB103" s="2003"/>
      <c r="AC103" s="2003"/>
      <c r="AD103" s="2003"/>
      <c r="AE103" s="2003"/>
      <c r="AF103" s="2003"/>
      <c r="AG103" s="2003"/>
      <c r="AH103" s="2003"/>
      <c r="AI103" s="2003"/>
      <c r="AJ103" s="2003"/>
      <c r="AK103" s="2003"/>
      <c r="AL103" s="2003"/>
      <c r="AM103" s="2003"/>
      <c r="AN103" s="2003"/>
      <c r="AO103" s="2003"/>
      <c r="AP103" s="2003"/>
      <c r="AQ103" s="2003"/>
      <c r="AR103" s="2003">
        <f t="shared" si="105"/>
        <v>5200</v>
      </c>
      <c r="AS103" s="2003">
        <f t="shared" si="106"/>
        <v>3400</v>
      </c>
      <c r="AT103" s="2003">
        <f t="shared" si="107"/>
        <v>3400</v>
      </c>
      <c r="AU103" s="2003">
        <f t="shared" si="108"/>
        <v>3400</v>
      </c>
      <c r="AV103" s="2003"/>
      <c r="AW103" s="2003"/>
      <c r="AX103" s="2003">
        <f t="shared" si="109"/>
        <v>5200</v>
      </c>
      <c r="AY103" s="2003">
        <f t="shared" si="110"/>
        <v>3400</v>
      </c>
      <c r="AZ103" s="2003" t="e">
        <f t="shared" si="111"/>
        <v>#REF!</v>
      </c>
      <c r="BA103" s="2003">
        <f t="shared" si="112"/>
        <v>3400</v>
      </c>
      <c r="BB103" s="2003">
        <f t="shared" si="113"/>
        <v>3400</v>
      </c>
      <c r="BC103" s="2003">
        <f t="shared" si="114"/>
        <v>3400</v>
      </c>
      <c r="BD103" s="2003"/>
      <c r="BE103" s="2003"/>
      <c r="BF103" s="2003">
        <f t="shared" si="115"/>
        <v>5200</v>
      </c>
      <c r="BG103" s="2003">
        <f t="shared" si="116"/>
        <v>3400</v>
      </c>
      <c r="BH103" s="2003" t="e">
        <f t="shared" si="117"/>
        <v>#REF!</v>
      </c>
      <c r="BI103" s="2003">
        <f t="shared" si="118"/>
        <v>3400</v>
      </c>
      <c r="BJ103" s="2003">
        <f t="shared" si="119"/>
        <v>3400</v>
      </c>
      <c r="BK103" s="2003">
        <f t="shared" si="120"/>
        <v>3400</v>
      </c>
      <c r="BL103" s="2003">
        <f t="shared" si="121"/>
        <v>0</v>
      </c>
      <c r="BM103" s="2003">
        <f t="shared" si="122"/>
        <v>0</v>
      </c>
      <c r="BN103" s="2003"/>
      <c r="BO103" s="2003"/>
      <c r="BP103" s="2003"/>
      <c r="BQ103" s="2003"/>
      <c r="BR103" s="2006"/>
      <c r="BS103" s="2003"/>
      <c r="BT103" s="2003"/>
      <c r="BU103" s="2003"/>
      <c r="BV103" s="2003"/>
      <c r="BW103" s="2003"/>
      <c r="BX103" s="2003"/>
      <c r="BY103" s="2003"/>
      <c r="BZ103" s="2003"/>
      <c r="CA103" s="2003"/>
      <c r="CB103" s="2003"/>
      <c r="CC103" s="2003"/>
      <c r="CD103" s="2003"/>
      <c r="CE103" s="2003"/>
      <c r="CF103" s="2003"/>
      <c r="CG103" s="2003"/>
      <c r="CH103" s="2003"/>
      <c r="CI103" s="2003"/>
      <c r="CJ103" s="2003"/>
      <c r="CK103" s="2003"/>
      <c r="CL103" s="2003"/>
      <c r="CM103" s="2003"/>
      <c r="CN103" s="2003"/>
      <c r="CO103" s="2003"/>
      <c r="CP103" s="2003"/>
      <c r="CQ103" s="2003"/>
      <c r="CR103" s="2003"/>
      <c r="CS103" s="2003"/>
      <c r="CT103" s="2003"/>
      <c r="CU103" s="2003"/>
      <c r="CV103" s="2003"/>
      <c r="CW103" s="2003"/>
      <c r="CX103" s="2003"/>
      <c r="CY103" s="2003"/>
      <c r="CZ103" s="2003"/>
      <c r="DA103" s="2003"/>
      <c r="DB103" s="2003"/>
      <c r="DC103" s="2003"/>
      <c r="DD103" s="2003"/>
      <c r="DE103" s="2003"/>
      <c r="DF103" s="2003"/>
      <c r="DG103" s="2003"/>
      <c r="DH103" s="2003"/>
      <c r="DI103" s="2003"/>
      <c r="DJ103" s="2003"/>
      <c r="DK103" s="2003"/>
      <c r="DL103" s="2003"/>
      <c r="DM103" s="2003"/>
      <c r="DN103" s="2003"/>
      <c r="DO103" s="2004"/>
      <c r="DP103" s="2003"/>
      <c r="DQ103" s="2003"/>
      <c r="DR103" s="2005"/>
      <c r="DS103" s="2005"/>
      <c r="DT103" s="2005"/>
      <c r="DU103" s="2005"/>
      <c r="DV103" s="2005"/>
      <c r="DW103" s="2005"/>
      <c r="DX103" s="2005"/>
      <c r="DY103" s="2005"/>
      <c r="DZ103" s="2005"/>
      <c r="EA103" s="2005"/>
      <c r="FF103" s="1616"/>
    </row>
    <row r="104" spans="1:162" hidden="1" outlineLevel="2">
      <c r="A104" s="1624" t="s">
        <v>1314</v>
      </c>
      <c r="B104" s="1624" t="s">
        <v>2071</v>
      </c>
      <c r="C104" s="1624" t="s">
        <v>2092</v>
      </c>
      <c r="D104" s="1624" t="s">
        <v>722</v>
      </c>
      <c r="E104" s="2003"/>
      <c r="F104" s="2003"/>
      <c r="G104" s="2003"/>
      <c r="H104" s="2003"/>
      <c r="I104" s="2003"/>
      <c r="J104" s="2003"/>
      <c r="K104" s="2003"/>
      <c r="L104" s="2003"/>
      <c r="M104" s="2003"/>
      <c r="N104" s="2003"/>
      <c r="O104" s="2003"/>
      <c r="P104" s="2003"/>
      <c r="Q104" s="2003">
        <f t="shared" si="102"/>
        <v>5200</v>
      </c>
      <c r="R104" s="2003">
        <f t="shared" si="103"/>
        <v>3400</v>
      </c>
      <c r="S104" s="2003" t="e">
        <f t="shared" si="104"/>
        <v>#REF!</v>
      </c>
      <c r="T104" s="2003"/>
      <c r="U104" s="2003"/>
      <c r="V104" s="2003"/>
      <c r="W104" s="2003"/>
      <c r="X104" s="2003"/>
      <c r="Y104" s="2003"/>
      <c r="Z104" s="2003"/>
      <c r="AA104" s="2003"/>
      <c r="AB104" s="2003"/>
      <c r="AC104" s="2003"/>
      <c r="AD104" s="2003"/>
      <c r="AE104" s="2003"/>
      <c r="AF104" s="2003"/>
      <c r="AG104" s="2003"/>
      <c r="AH104" s="2003"/>
      <c r="AI104" s="2003"/>
      <c r="AJ104" s="2003"/>
      <c r="AK104" s="2003"/>
      <c r="AL104" s="2003"/>
      <c r="AM104" s="2003"/>
      <c r="AN104" s="2003"/>
      <c r="AO104" s="2003"/>
      <c r="AP104" s="2003"/>
      <c r="AQ104" s="2003"/>
      <c r="AR104" s="2003">
        <f t="shared" si="105"/>
        <v>5200</v>
      </c>
      <c r="AS104" s="2003">
        <f t="shared" si="106"/>
        <v>3400</v>
      </c>
      <c r="AT104" s="2003">
        <f t="shared" si="107"/>
        <v>3400</v>
      </c>
      <c r="AU104" s="2003">
        <f t="shared" si="108"/>
        <v>3400</v>
      </c>
      <c r="AV104" s="2003"/>
      <c r="AW104" s="2003"/>
      <c r="AX104" s="2003">
        <f t="shared" si="109"/>
        <v>5200</v>
      </c>
      <c r="AY104" s="2003">
        <f t="shared" si="110"/>
        <v>3400</v>
      </c>
      <c r="AZ104" s="2003" t="e">
        <f t="shared" si="111"/>
        <v>#REF!</v>
      </c>
      <c r="BA104" s="2003">
        <f t="shared" si="112"/>
        <v>3400</v>
      </c>
      <c r="BB104" s="2003">
        <f t="shared" si="113"/>
        <v>3400</v>
      </c>
      <c r="BC104" s="2003">
        <f t="shared" si="114"/>
        <v>3400</v>
      </c>
      <c r="BD104" s="2003"/>
      <c r="BE104" s="2003"/>
      <c r="BF104" s="2003">
        <f t="shared" si="115"/>
        <v>5200</v>
      </c>
      <c r="BG104" s="2003">
        <f t="shared" si="116"/>
        <v>3400</v>
      </c>
      <c r="BH104" s="2003" t="e">
        <f t="shared" si="117"/>
        <v>#REF!</v>
      </c>
      <c r="BI104" s="2003">
        <f t="shared" si="118"/>
        <v>3400</v>
      </c>
      <c r="BJ104" s="2003">
        <f t="shared" si="119"/>
        <v>3400</v>
      </c>
      <c r="BK104" s="2003">
        <f t="shared" si="120"/>
        <v>3400</v>
      </c>
      <c r="BL104" s="2003">
        <f t="shared" si="121"/>
        <v>0</v>
      </c>
      <c r="BM104" s="2003">
        <f t="shared" si="122"/>
        <v>0</v>
      </c>
      <c r="BN104" s="2003"/>
      <c r="BO104" s="2003"/>
      <c r="BP104" s="2003"/>
      <c r="BQ104" s="2003"/>
      <c r="BR104" s="2006"/>
      <c r="BS104" s="2003"/>
      <c r="BT104" s="2003"/>
      <c r="BU104" s="2003"/>
      <c r="BV104" s="2003"/>
      <c r="BW104" s="2003"/>
      <c r="BX104" s="2003"/>
      <c r="BY104" s="2003"/>
      <c r="BZ104" s="2003"/>
      <c r="CA104" s="2003"/>
      <c r="CB104" s="2003"/>
      <c r="CC104" s="2003"/>
      <c r="CD104" s="2003"/>
      <c r="CE104" s="2003"/>
      <c r="CF104" s="2003"/>
      <c r="CG104" s="2003"/>
      <c r="CH104" s="2003"/>
      <c r="CI104" s="2003"/>
      <c r="CJ104" s="2003"/>
      <c r="CK104" s="2003"/>
      <c r="CL104" s="2003"/>
      <c r="CM104" s="2003"/>
      <c r="CN104" s="2003"/>
      <c r="CO104" s="2003"/>
      <c r="CP104" s="2003"/>
      <c r="CQ104" s="2003"/>
      <c r="CR104" s="2003"/>
      <c r="CS104" s="2003"/>
      <c r="CT104" s="2003"/>
      <c r="CU104" s="2003"/>
      <c r="CV104" s="2003"/>
      <c r="CW104" s="2003"/>
      <c r="CX104" s="2003"/>
      <c r="CY104" s="2003"/>
      <c r="CZ104" s="2003"/>
      <c r="DA104" s="2003"/>
      <c r="DB104" s="2003"/>
      <c r="DC104" s="2003"/>
      <c r="DD104" s="2003"/>
      <c r="DE104" s="2003"/>
      <c r="DF104" s="2003"/>
      <c r="DG104" s="2003"/>
      <c r="DH104" s="2003"/>
      <c r="DI104" s="2003"/>
      <c r="DJ104" s="2003"/>
      <c r="DK104" s="2003"/>
      <c r="DL104" s="2003"/>
      <c r="DM104" s="2003"/>
      <c r="DN104" s="2003"/>
      <c r="DO104" s="2004"/>
      <c r="DP104" s="2003"/>
      <c r="DQ104" s="2003"/>
      <c r="DR104" s="2005"/>
      <c r="DS104" s="2005"/>
      <c r="DT104" s="2005"/>
      <c r="DU104" s="2005"/>
      <c r="DV104" s="2005"/>
      <c r="DW104" s="2005"/>
      <c r="DX104" s="2005"/>
      <c r="DY104" s="2005"/>
      <c r="DZ104" s="2005"/>
      <c r="EA104" s="2005"/>
      <c r="FF104" s="1616"/>
    </row>
    <row r="105" spans="1:162" hidden="1" outlineLevel="2">
      <c r="A105" s="1624" t="s">
        <v>1314</v>
      </c>
      <c r="B105" s="1624" t="s">
        <v>2071</v>
      </c>
      <c r="C105" s="1624" t="s">
        <v>2092</v>
      </c>
      <c r="D105" s="1624" t="s">
        <v>2086</v>
      </c>
      <c r="E105" s="2003"/>
      <c r="F105" s="2003"/>
      <c r="G105" s="2003"/>
      <c r="H105" s="2003"/>
      <c r="I105" s="2003"/>
      <c r="J105" s="2003"/>
      <c r="K105" s="2003"/>
      <c r="L105" s="2003"/>
      <c r="M105" s="2003"/>
      <c r="N105" s="2003"/>
      <c r="O105" s="2003"/>
      <c r="P105" s="2003"/>
      <c r="Q105" s="2003">
        <f t="shared" si="102"/>
        <v>5200</v>
      </c>
      <c r="R105" s="2003">
        <f t="shared" si="103"/>
        <v>3400</v>
      </c>
      <c r="S105" s="2003" t="e">
        <f t="shared" si="104"/>
        <v>#REF!</v>
      </c>
      <c r="T105" s="2003"/>
      <c r="U105" s="2003"/>
      <c r="V105" s="2003"/>
      <c r="W105" s="2003"/>
      <c r="X105" s="2003"/>
      <c r="Y105" s="2003"/>
      <c r="Z105" s="2003"/>
      <c r="AA105" s="2003"/>
      <c r="AB105" s="2003"/>
      <c r="AC105" s="2003"/>
      <c r="AD105" s="2003"/>
      <c r="AE105" s="2003"/>
      <c r="AF105" s="2003"/>
      <c r="AG105" s="2003"/>
      <c r="AH105" s="2003"/>
      <c r="AI105" s="2003"/>
      <c r="AJ105" s="2003"/>
      <c r="AK105" s="2003"/>
      <c r="AL105" s="2003"/>
      <c r="AM105" s="2003"/>
      <c r="AN105" s="2003"/>
      <c r="AO105" s="2003"/>
      <c r="AP105" s="2003"/>
      <c r="AQ105" s="2003"/>
      <c r="AR105" s="2003">
        <f t="shared" si="105"/>
        <v>5200</v>
      </c>
      <c r="AS105" s="2003">
        <f t="shared" si="106"/>
        <v>3400</v>
      </c>
      <c r="AT105" s="2003">
        <f t="shared" si="107"/>
        <v>3400</v>
      </c>
      <c r="AU105" s="2003">
        <f t="shared" si="108"/>
        <v>3400</v>
      </c>
      <c r="AV105" s="2003"/>
      <c r="AW105" s="2003"/>
      <c r="AX105" s="2003">
        <f t="shared" si="109"/>
        <v>5200</v>
      </c>
      <c r="AY105" s="2003">
        <f t="shared" si="110"/>
        <v>3400</v>
      </c>
      <c r="AZ105" s="2003" t="e">
        <f t="shared" si="111"/>
        <v>#REF!</v>
      </c>
      <c r="BA105" s="2003">
        <f t="shared" si="112"/>
        <v>3400</v>
      </c>
      <c r="BB105" s="2003">
        <f t="shared" si="113"/>
        <v>3400</v>
      </c>
      <c r="BC105" s="2003">
        <f t="shared" si="114"/>
        <v>3400</v>
      </c>
      <c r="BD105" s="2003"/>
      <c r="BE105" s="2003"/>
      <c r="BF105" s="2003">
        <f t="shared" si="115"/>
        <v>5200</v>
      </c>
      <c r="BG105" s="2003">
        <f t="shared" si="116"/>
        <v>3400</v>
      </c>
      <c r="BH105" s="2003" t="e">
        <f t="shared" si="117"/>
        <v>#REF!</v>
      </c>
      <c r="BI105" s="2003">
        <f t="shared" si="118"/>
        <v>3400</v>
      </c>
      <c r="BJ105" s="2003">
        <f t="shared" si="119"/>
        <v>3400</v>
      </c>
      <c r="BK105" s="2003">
        <f t="shared" si="120"/>
        <v>3400</v>
      </c>
      <c r="BL105" s="2003">
        <f t="shared" si="121"/>
        <v>0</v>
      </c>
      <c r="BM105" s="2003">
        <f t="shared" si="122"/>
        <v>0</v>
      </c>
      <c r="BN105" s="2003"/>
      <c r="BO105" s="2003"/>
      <c r="BP105" s="2003"/>
      <c r="BQ105" s="2003"/>
      <c r="BR105" s="2006"/>
      <c r="BS105" s="2003"/>
      <c r="BT105" s="2003"/>
      <c r="BU105" s="2003"/>
      <c r="BV105" s="2003"/>
      <c r="BW105" s="2003"/>
      <c r="BX105" s="2003"/>
      <c r="BY105" s="2003"/>
      <c r="BZ105" s="2003"/>
      <c r="CA105" s="2003"/>
      <c r="CB105" s="2003"/>
      <c r="CC105" s="2003"/>
      <c r="CD105" s="2003"/>
      <c r="CE105" s="2003"/>
      <c r="CF105" s="2003"/>
      <c r="CG105" s="2003"/>
      <c r="CH105" s="2003"/>
      <c r="CI105" s="2003"/>
      <c r="CJ105" s="2003"/>
      <c r="CK105" s="2003"/>
      <c r="CL105" s="2003"/>
      <c r="CM105" s="2003"/>
      <c r="CN105" s="2003"/>
      <c r="CO105" s="2003"/>
      <c r="CP105" s="2003"/>
      <c r="CQ105" s="2003"/>
      <c r="CR105" s="2003"/>
      <c r="CS105" s="2003"/>
      <c r="CT105" s="2003"/>
      <c r="CU105" s="2003"/>
      <c r="CV105" s="2003"/>
      <c r="CW105" s="2003"/>
      <c r="CX105" s="2003"/>
      <c r="CY105" s="2003"/>
      <c r="CZ105" s="2003"/>
      <c r="DA105" s="2003"/>
      <c r="DB105" s="2003"/>
      <c r="DC105" s="2003"/>
      <c r="DD105" s="2003"/>
      <c r="DE105" s="2003"/>
      <c r="DF105" s="2003"/>
      <c r="DG105" s="2003"/>
      <c r="DH105" s="2003"/>
      <c r="DI105" s="2003"/>
      <c r="DJ105" s="2003"/>
      <c r="DK105" s="2003"/>
      <c r="DL105" s="2003"/>
      <c r="DM105" s="2003"/>
      <c r="DN105" s="2003"/>
      <c r="DO105" s="2004"/>
      <c r="DP105" s="2003"/>
      <c r="DQ105" s="2003"/>
      <c r="DR105" s="2005"/>
      <c r="DS105" s="2005"/>
      <c r="DT105" s="2005"/>
      <c r="DU105" s="2005"/>
      <c r="DV105" s="2005"/>
      <c r="DW105" s="2005"/>
      <c r="DX105" s="2005"/>
      <c r="DY105" s="2005"/>
      <c r="DZ105" s="2005"/>
      <c r="EA105" s="2005"/>
      <c r="FF105" s="1616"/>
    </row>
    <row r="106" spans="1:162" hidden="1" outlineLevel="2">
      <c r="A106" s="1624" t="s">
        <v>1314</v>
      </c>
      <c r="B106" s="1624" t="s">
        <v>2071</v>
      </c>
      <c r="C106" s="1624" t="s">
        <v>2092</v>
      </c>
      <c r="D106" s="1624" t="s">
        <v>2087</v>
      </c>
      <c r="E106" s="2003"/>
      <c r="F106" s="2003"/>
      <c r="G106" s="2003"/>
      <c r="H106" s="2003"/>
      <c r="I106" s="2003"/>
      <c r="J106" s="2003"/>
      <c r="K106" s="2003"/>
      <c r="L106" s="2003"/>
      <c r="M106" s="2003"/>
      <c r="N106" s="2003"/>
      <c r="O106" s="2003"/>
      <c r="P106" s="2003"/>
      <c r="Q106" s="2003">
        <f t="shared" si="102"/>
        <v>5200</v>
      </c>
      <c r="R106" s="2003">
        <f t="shared" si="103"/>
        <v>3400</v>
      </c>
      <c r="S106" s="2003" t="e">
        <f t="shared" si="104"/>
        <v>#REF!</v>
      </c>
      <c r="T106" s="2003"/>
      <c r="U106" s="2003"/>
      <c r="V106" s="2003"/>
      <c r="W106" s="2003"/>
      <c r="X106" s="2003"/>
      <c r="Y106" s="2003"/>
      <c r="Z106" s="2003"/>
      <c r="AA106" s="2003"/>
      <c r="AB106" s="2003"/>
      <c r="AC106" s="2003"/>
      <c r="AD106" s="2003"/>
      <c r="AE106" s="2003"/>
      <c r="AF106" s="2003"/>
      <c r="AG106" s="2003"/>
      <c r="AH106" s="2003"/>
      <c r="AI106" s="2003"/>
      <c r="AJ106" s="2003"/>
      <c r="AK106" s="2003"/>
      <c r="AL106" s="2003"/>
      <c r="AM106" s="2003"/>
      <c r="AN106" s="2003"/>
      <c r="AO106" s="2003"/>
      <c r="AP106" s="2003"/>
      <c r="AQ106" s="2003"/>
      <c r="AR106" s="2003">
        <f t="shared" si="105"/>
        <v>5200</v>
      </c>
      <c r="AS106" s="2003">
        <f t="shared" si="106"/>
        <v>3400</v>
      </c>
      <c r="AT106" s="2003">
        <f t="shared" si="107"/>
        <v>3400</v>
      </c>
      <c r="AU106" s="2003">
        <f t="shared" si="108"/>
        <v>3400</v>
      </c>
      <c r="AV106" s="2003"/>
      <c r="AW106" s="2003"/>
      <c r="AX106" s="2003">
        <f t="shared" si="109"/>
        <v>5200</v>
      </c>
      <c r="AY106" s="2003">
        <f t="shared" si="110"/>
        <v>3400</v>
      </c>
      <c r="AZ106" s="2003" t="e">
        <f t="shared" si="111"/>
        <v>#REF!</v>
      </c>
      <c r="BA106" s="2003">
        <f t="shared" si="112"/>
        <v>3400</v>
      </c>
      <c r="BB106" s="2003">
        <f t="shared" si="113"/>
        <v>3400</v>
      </c>
      <c r="BC106" s="2003">
        <f t="shared" si="114"/>
        <v>3400</v>
      </c>
      <c r="BD106" s="2003"/>
      <c r="BE106" s="2003"/>
      <c r="BF106" s="2003">
        <f t="shared" si="115"/>
        <v>5200</v>
      </c>
      <c r="BG106" s="2003">
        <f t="shared" si="116"/>
        <v>3400</v>
      </c>
      <c r="BH106" s="2003" t="e">
        <f t="shared" si="117"/>
        <v>#REF!</v>
      </c>
      <c r="BI106" s="2003">
        <f t="shared" si="118"/>
        <v>3400</v>
      </c>
      <c r="BJ106" s="2003">
        <f t="shared" si="119"/>
        <v>3400</v>
      </c>
      <c r="BK106" s="2003">
        <f t="shared" si="120"/>
        <v>3400</v>
      </c>
      <c r="BL106" s="2003">
        <f t="shared" si="121"/>
        <v>0</v>
      </c>
      <c r="BM106" s="2003">
        <f t="shared" si="122"/>
        <v>0</v>
      </c>
      <c r="BN106" s="2003"/>
      <c r="BO106" s="2003"/>
      <c r="BP106" s="2003"/>
      <c r="BQ106" s="2003"/>
      <c r="BR106" s="2006"/>
      <c r="BS106" s="2003"/>
      <c r="BT106" s="2003"/>
      <c r="BU106" s="2003"/>
      <c r="BV106" s="2003"/>
      <c r="BW106" s="2003"/>
      <c r="BX106" s="2003"/>
      <c r="BY106" s="2003"/>
      <c r="BZ106" s="2003"/>
      <c r="CA106" s="2003"/>
      <c r="CB106" s="2003"/>
      <c r="CC106" s="2003"/>
      <c r="CD106" s="2003"/>
      <c r="CE106" s="2003"/>
      <c r="CF106" s="2003"/>
      <c r="CG106" s="2003"/>
      <c r="CH106" s="2003"/>
      <c r="CI106" s="2003"/>
      <c r="CJ106" s="2003"/>
      <c r="CK106" s="2003"/>
      <c r="CL106" s="2003"/>
      <c r="CM106" s="2003"/>
      <c r="CN106" s="2003"/>
      <c r="CO106" s="2003"/>
      <c r="CP106" s="2003"/>
      <c r="CQ106" s="2003"/>
      <c r="CR106" s="2003"/>
      <c r="CS106" s="2003"/>
      <c r="CT106" s="2003"/>
      <c r="CU106" s="2003"/>
      <c r="CV106" s="2003"/>
      <c r="CW106" s="2003"/>
      <c r="CX106" s="2003"/>
      <c r="CY106" s="2003"/>
      <c r="CZ106" s="2003"/>
      <c r="DA106" s="2003"/>
      <c r="DB106" s="2003"/>
      <c r="DC106" s="2003"/>
      <c r="DD106" s="2003"/>
      <c r="DE106" s="2003"/>
      <c r="DF106" s="2003"/>
      <c r="DG106" s="2003"/>
      <c r="DH106" s="2003"/>
      <c r="DI106" s="2003"/>
      <c r="DJ106" s="2003"/>
      <c r="DK106" s="2003"/>
      <c r="DL106" s="2003"/>
      <c r="DM106" s="2003"/>
      <c r="DN106" s="2003"/>
      <c r="DO106" s="2004"/>
      <c r="DP106" s="2003"/>
      <c r="DQ106" s="2003"/>
      <c r="DR106" s="2005"/>
      <c r="DS106" s="2005"/>
      <c r="DT106" s="2005"/>
      <c r="DU106" s="2005"/>
      <c r="DV106" s="2005"/>
      <c r="DW106" s="2005"/>
      <c r="DX106" s="2005"/>
      <c r="DY106" s="2005"/>
      <c r="DZ106" s="2005"/>
      <c r="EA106" s="2005"/>
      <c r="FF106" s="1616"/>
    </row>
    <row r="107" spans="1:162" hidden="1" outlineLevel="2">
      <c r="A107" s="1624" t="s">
        <v>1314</v>
      </c>
      <c r="B107" s="1624" t="s">
        <v>2072</v>
      </c>
      <c r="C107" s="1624" t="s">
        <v>2092</v>
      </c>
      <c r="D107" s="1624" t="s">
        <v>2085</v>
      </c>
      <c r="E107" s="2003"/>
      <c r="F107" s="2003"/>
      <c r="G107" s="2003"/>
      <c r="H107" s="2003"/>
      <c r="I107" s="2003"/>
      <c r="J107" s="2003"/>
      <c r="K107" s="2003"/>
      <c r="L107" s="2003"/>
      <c r="M107" s="2003"/>
      <c r="N107" s="2003"/>
      <c r="O107" s="2003"/>
      <c r="P107" s="2003"/>
      <c r="Q107" s="2003">
        <f t="shared" si="102"/>
        <v>5200</v>
      </c>
      <c r="R107" s="2003">
        <f t="shared" si="103"/>
        <v>3400</v>
      </c>
      <c r="S107" s="2003" t="e">
        <f t="shared" si="104"/>
        <v>#REF!</v>
      </c>
      <c r="T107" s="2003"/>
      <c r="U107" s="2003"/>
      <c r="V107" s="2003"/>
      <c r="W107" s="2003"/>
      <c r="X107" s="2003"/>
      <c r="Y107" s="2003"/>
      <c r="Z107" s="2003"/>
      <c r="AA107" s="2003"/>
      <c r="AB107" s="2003"/>
      <c r="AC107" s="2003"/>
      <c r="AD107" s="2003"/>
      <c r="AE107" s="2003"/>
      <c r="AF107" s="2003"/>
      <c r="AG107" s="2003"/>
      <c r="AH107" s="2003"/>
      <c r="AI107" s="2003"/>
      <c r="AJ107" s="2003"/>
      <c r="AK107" s="2003"/>
      <c r="AL107" s="2003"/>
      <c r="AM107" s="2003"/>
      <c r="AN107" s="2003"/>
      <c r="AO107" s="2003"/>
      <c r="AP107" s="2003"/>
      <c r="AQ107" s="2003"/>
      <c r="AR107" s="2003">
        <f t="shared" si="105"/>
        <v>5200</v>
      </c>
      <c r="AS107" s="2003">
        <f t="shared" si="106"/>
        <v>3400</v>
      </c>
      <c r="AT107" s="2003">
        <f t="shared" si="107"/>
        <v>3400</v>
      </c>
      <c r="AU107" s="2003">
        <f t="shared" si="108"/>
        <v>3400</v>
      </c>
      <c r="AV107" s="2003"/>
      <c r="AW107" s="2003"/>
      <c r="AX107" s="2003">
        <f t="shared" si="109"/>
        <v>5200</v>
      </c>
      <c r="AY107" s="2003">
        <f t="shared" si="110"/>
        <v>3400</v>
      </c>
      <c r="AZ107" s="2003" t="e">
        <f t="shared" si="111"/>
        <v>#REF!</v>
      </c>
      <c r="BA107" s="2003">
        <f t="shared" si="112"/>
        <v>3400</v>
      </c>
      <c r="BB107" s="2003">
        <f t="shared" si="113"/>
        <v>3400</v>
      </c>
      <c r="BC107" s="2003">
        <f t="shared" si="114"/>
        <v>3400</v>
      </c>
      <c r="BD107" s="2003"/>
      <c r="BE107" s="2003"/>
      <c r="BF107" s="2003">
        <f t="shared" si="115"/>
        <v>5200</v>
      </c>
      <c r="BG107" s="2003">
        <f t="shared" si="116"/>
        <v>3400</v>
      </c>
      <c r="BH107" s="2003" t="e">
        <f t="shared" si="117"/>
        <v>#REF!</v>
      </c>
      <c r="BI107" s="2003">
        <f t="shared" si="118"/>
        <v>3400</v>
      </c>
      <c r="BJ107" s="2003">
        <f t="shared" si="119"/>
        <v>3400</v>
      </c>
      <c r="BK107" s="2003">
        <f t="shared" si="120"/>
        <v>3400</v>
      </c>
      <c r="BL107" s="2003">
        <f t="shared" si="121"/>
        <v>0</v>
      </c>
      <c r="BM107" s="2003">
        <f t="shared" si="122"/>
        <v>0</v>
      </c>
      <c r="BN107" s="2003"/>
      <c r="BO107" s="2003"/>
      <c r="BP107" s="2003"/>
      <c r="BQ107" s="2003"/>
      <c r="BR107" s="2006"/>
      <c r="BS107" s="2003"/>
      <c r="BT107" s="2003"/>
      <c r="BU107" s="2003"/>
      <c r="BV107" s="2003"/>
      <c r="BW107" s="2003"/>
      <c r="BX107" s="2003"/>
      <c r="BY107" s="2003"/>
      <c r="BZ107" s="2003"/>
      <c r="CA107" s="2003"/>
      <c r="CB107" s="2003"/>
      <c r="CC107" s="2003"/>
      <c r="CD107" s="2003"/>
      <c r="CE107" s="2003"/>
      <c r="CF107" s="2003"/>
      <c r="CG107" s="2003"/>
      <c r="CH107" s="2003"/>
      <c r="CI107" s="2003"/>
      <c r="CJ107" s="2003"/>
      <c r="CK107" s="2003"/>
      <c r="CL107" s="2003"/>
      <c r="CM107" s="2003"/>
      <c r="CN107" s="2003"/>
      <c r="CO107" s="2003"/>
      <c r="CP107" s="2003"/>
      <c r="CQ107" s="2003"/>
      <c r="CR107" s="2003"/>
      <c r="CS107" s="2003"/>
      <c r="CT107" s="2003"/>
      <c r="CU107" s="2003"/>
      <c r="CV107" s="2003"/>
      <c r="CW107" s="2003"/>
      <c r="CX107" s="2003"/>
      <c r="CY107" s="2003"/>
      <c r="CZ107" s="2003"/>
      <c r="DA107" s="2003"/>
      <c r="DB107" s="2003"/>
      <c r="DC107" s="2003"/>
      <c r="DD107" s="2003"/>
      <c r="DE107" s="2003"/>
      <c r="DF107" s="2003"/>
      <c r="DG107" s="2003"/>
      <c r="DH107" s="2003"/>
      <c r="DI107" s="2003"/>
      <c r="DJ107" s="2003"/>
      <c r="DK107" s="2003"/>
      <c r="DL107" s="2003"/>
      <c r="DM107" s="2003"/>
      <c r="DN107" s="2003"/>
      <c r="DO107" s="2004"/>
      <c r="DP107" s="2003"/>
      <c r="DQ107" s="2003"/>
      <c r="DR107" s="2005"/>
      <c r="DS107" s="2005"/>
      <c r="DT107" s="2005"/>
      <c r="DU107" s="2005"/>
      <c r="DV107" s="2005"/>
      <c r="DW107" s="2005"/>
      <c r="DX107" s="2005"/>
      <c r="DY107" s="2005"/>
      <c r="DZ107" s="2005"/>
      <c r="EA107" s="2005"/>
      <c r="FF107" s="1616"/>
    </row>
    <row r="108" spans="1:162" hidden="1" outlineLevel="2">
      <c r="A108" s="1624" t="s">
        <v>1314</v>
      </c>
      <c r="B108" s="1624" t="s">
        <v>2072</v>
      </c>
      <c r="C108" s="1624" t="s">
        <v>2092</v>
      </c>
      <c r="D108" s="1624" t="s">
        <v>722</v>
      </c>
      <c r="E108" s="2003"/>
      <c r="F108" s="2003"/>
      <c r="G108" s="2003"/>
      <c r="H108" s="2003"/>
      <c r="I108" s="2003"/>
      <c r="J108" s="2003"/>
      <c r="K108" s="2003"/>
      <c r="L108" s="2003"/>
      <c r="M108" s="2003"/>
      <c r="N108" s="2003"/>
      <c r="O108" s="2003"/>
      <c r="P108" s="2003"/>
      <c r="Q108" s="2003">
        <f t="shared" si="102"/>
        <v>5200</v>
      </c>
      <c r="R108" s="2003">
        <f t="shared" si="103"/>
        <v>3400</v>
      </c>
      <c r="S108" s="2003" t="e">
        <f t="shared" si="104"/>
        <v>#REF!</v>
      </c>
      <c r="T108" s="2003"/>
      <c r="U108" s="2003"/>
      <c r="V108" s="2003"/>
      <c r="W108" s="2003"/>
      <c r="X108" s="2003"/>
      <c r="Y108" s="2003"/>
      <c r="Z108" s="2003"/>
      <c r="AA108" s="2003"/>
      <c r="AB108" s="2003"/>
      <c r="AC108" s="2003"/>
      <c r="AD108" s="2003"/>
      <c r="AE108" s="2003"/>
      <c r="AF108" s="2003"/>
      <c r="AG108" s="2003"/>
      <c r="AH108" s="2003"/>
      <c r="AI108" s="2003"/>
      <c r="AJ108" s="2003"/>
      <c r="AK108" s="2003"/>
      <c r="AL108" s="2003"/>
      <c r="AM108" s="2003"/>
      <c r="AN108" s="2003"/>
      <c r="AO108" s="2003"/>
      <c r="AP108" s="2003"/>
      <c r="AQ108" s="2003"/>
      <c r="AR108" s="2003">
        <f t="shared" si="105"/>
        <v>5200</v>
      </c>
      <c r="AS108" s="2003">
        <f t="shared" si="106"/>
        <v>3400</v>
      </c>
      <c r="AT108" s="2003">
        <f t="shared" si="107"/>
        <v>3400</v>
      </c>
      <c r="AU108" s="2003">
        <f t="shared" si="108"/>
        <v>3400</v>
      </c>
      <c r="AV108" s="2003"/>
      <c r="AW108" s="2003"/>
      <c r="AX108" s="2003">
        <f t="shared" si="109"/>
        <v>5200</v>
      </c>
      <c r="AY108" s="2003">
        <f t="shared" si="110"/>
        <v>3400</v>
      </c>
      <c r="AZ108" s="2003" t="e">
        <f t="shared" si="111"/>
        <v>#REF!</v>
      </c>
      <c r="BA108" s="2003">
        <f t="shared" si="112"/>
        <v>3400</v>
      </c>
      <c r="BB108" s="2003">
        <f t="shared" si="113"/>
        <v>3400</v>
      </c>
      <c r="BC108" s="2003">
        <f t="shared" si="114"/>
        <v>3400</v>
      </c>
      <c r="BD108" s="2003"/>
      <c r="BE108" s="2003"/>
      <c r="BF108" s="2003">
        <f t="shared" si="115"/>
        <v>5200</v>
      </c>
      <c r="BG108" s="2003">
        <f t="shared" si="116"/>
        <v>3400</v>
      </c>
      <c r="BH108" s="2003" t="e">
        <f t="shared" si="117"/>
        <v>#REF!</v>
      </c>
      <c r="BI108" s="2003">
        <f t="shared" si="118"/>
        <v>3400</v>
      </c>
      <c r="BJ108" s="2003">
        <f t="shared" si="119"/>
        <v>3400</v>
      </c>
      <c r="BK108" s="2003">
        <f t="shared" si="120"/>
        <v>3400</v>
      </c>
      <c r="BL108" s="2003">
        <f t="shared" si="121"/>
        <v>0</v>
      </c>
      <c r="BM108" s="2003">
        <f t="shared" si="122"/>
        <v>0</v>
      </c>
      <c r="BN108" s="2003"/>
      <c r="BO108" s="2003"/>
      <c r="BP108" s="2003"/>
      <c r="BQ108" s="2003"/>
      <c r="BR108" s="2006"/>
      <c r="BS108" s="2003"/>
      <c r="BT108" s="2003"/>
      <c r="BU108" s="2003"/>
      <c r="BV108" s="2003"/>
      <c r="BW108" s="2003"/>
      <c r="BX108" s="2003"/>
      <c r="BY108" s="2003"/>
      <c r="BZ108" s="2003"/>
      <c r="CA108" s="2003"/>
      <c r="CB108" s="2003"/>
      <c r="CC108" s="2003"/>
      <c r="CD108" s="2003"/>
      <c r="CE108" s="2003"/>
      <c r="CF108" s="2003"/>
      <c r="CG108" s="2003"/>
      <c r="CH108" s="2003"/>
      <c r="CI108" s="2003"/>
      <c r="CJ108" s="2003"/>
      <c r="CK108" s="2003"/>
      <c r="CL108" s="2003"/>
      <c r="CM108" s="2003"/>
      <c r="CN108" s="2003"/>
      <c r="CO108" s="2003"/>
      <c r="CP108" s="2003"/>
      <c r="CQ108" s="2003"/>
      <c r="CR108" s="2003"/>
      <c r="CS108" s="2003"/>
      <c r="CT108" s="2003"/>
      <c r="CU108" s="2003"/>
      <c r="CV108" s="2003"/>
      <c r="CW108" s="2003"/>
      <c r="CX108" s="2003"/>
      <c r="CY108" s="2003"/>
      <c r="CZ108" s="2003"/>
      <c r="DA108" s="2003"/>
      <c r="DB108" s="2003"/>
      <c r="DC108" s="2003"/>
      <c r="DD108" s="2003"/>
      <c r="DE108" s="2003"/>
      <c r="DF108" s="2003"/>
      <c r="DG108" s="2003"/>
      <c r="DH108" s="2003"/>
      <c r="DI108" s="2003"/>
      <c r="DJ108" s="2003"/>
      <c r="DK108" s="2003"/>
      <c r="DL108" s="2003"/>
      <c r="DM108" s="2003"/>
      <c r="DN108" s="2003"/>
      <c r="DO108" s="2004"/>
      <c r="DP108" s="2003"/>
      <c r="DQ108" s="2003"/>
      <c r="DR108" s="2005"/>
      <c r="DS108" s="2005"/>
      <c r="DT108" s="2005"/>
      <c r="DU108" s="2005"/>
      <c r="DV108" s="2005"/>
      <c r="DW108" s="2005"/>
      <c r="DX108" s="2005"/>
      <c r="DY108" s="2005"/>
      <c r="DZ108" s="2005"/>
      <c r="EA108" s="2005"/>
      <c r="FF108" s="1616"/>
    </row>
    <row r="109" spans="1:162" hidden="1" outlineLevel="2">
      <c r="A109" s="1624" t="s">
        <v>1314</v>
      </c>
      <c r="B109" s="1624" t="s">
        <v>2072</v>
      </c>
      <c r="C109" s="1624" t="s">
        <v>2092</v>
      </c>
      <c r="D109" s="1624" t="s">
        <v>2086</v>
      </c>
      <c r="E109" s="2003"/>
      <c r="F109" s="2003"/>
      <c r="G109" s="2003"/>
      <c r="H109" s="2003"/>
      <c r="I109" s="2003"/>
      <c r="J109" s="2003"/>
      <c r="K109" s="2003"/>
      <c r="L109" s="2003"/>
      <c r="M109" s="2003"/>
      <c r="N109" s="2003"/>
      <c r="O109" s="2003"/>
      <c r="P109" s="2003"/>
      <c r="Q109" s="2003">
        <f t="shared" si="102"/>
        <v>5200</v>
      </c>
      <c r="R109" s="2003">
        <f t="shared" si="103"/>
        <v>3400</v>
      </c>
      <c r="S109" s="2003" t="e">
        <f t="shared" si="104"/>
        <v>#REF!</v>
      </c>
      <c r="T109" s="2003"/>
      <c r="U109" s="2003"/>
      <c r="V109" s="2003"/>
      <c r="W109" s="2003"/>
      <c r="X109" s="2003"/>
      <c r="Y109" s="2003"/>
      <c r="Z109" s="2003"/>
      <c r="AA109" s="2003"/>
      <c r="AB109" s="2003"/>
      <c r="AC109" s="2003"/>
      <c r="AD109" s="2003"/>
      <c r="AE109" s="2003"/>
      <c r="AF109" s="2003"/>
      <c r="AG109" s="2003"/>
      <c r="AH109" s="2003"/>
      <c r="AI109" s="2003"/>
      <c r="AJ109" s="2003"/>
      <c r="AK109" s="2003"/>
      <c r="AL109" s="2003"/>
      <c r="AM109" s="2003"/>
      <c r="AN109" s="2003"/>
      <c r="AO109" s="2003"/>
      <c r="AP109" s="2003"/>
      <c r="AQ109" s="2003"/>
      <c r="AR109" s="2003">
        <f t="shared" si="105"/>
        <v>5200</v>
      </c>
      <c r="AS109" s="2003">
        <f t="shared" si="106"/>
        <v>3400</v>
      </c>
      <c r="AT109" s="2003">
        <f t="shared" si="107"/>
        <v>3400</v>
      </c>
      <c r="AU109" s="2003">
        <f t="shared" si="108"/>
        <v>3400</v>
      </c>
      <c r="AV109" s="2003"/>
      <c r="AW109" s="2003"/>
      <c r="AX109" s="2003">
        <f t="shared" si="109"/>
        <v>5200</v>
      </c>
      <c r="AY109" s="2003">
        <f t="shared" si="110"/>
        <v>3400</v>
      </c>
      <c r="AZ109" s="2003" t="e">
        <f t="shared" si="111"/>
        <v>#REF!</v>
      </c>
      <c r="BA109" s="2003">
        <f t="shared" si="112"/>
        <v>3400</v>
      </c>
      <c r="BB109" s="2003">
        <f t="shared" si="113"/>
        <v>3400</v>
      </c>
      <c r="BC109" s="2003">
        <f t="shared" si="114"/>
        <v>3400</v>
      </c>
      <c r="BD109" s="2003"/>
      <c r="BE109" s="2003"/>
      <c r="BF109" s="2003">
        <f t="shared" si="115"/>
        <v>5200</v>
      </c>
      <c r="BG109" s="2003">
        <f t="shared" si="116"/>
        <v>3400</v>
      </c>
      <c r="BH109" s="2003" t="e">
        <f t="shared" si="117"/>
        <v>#REF!</v>
      </c>
      <c r="BI109" s="2003">
        <f t="shared" si="118"/>
        <v>3400</v>
      </c>
      <c r="BJ109" s="2003">
        <f t="shared" si="119"/>
        <v>3400</v>
      </c>
      <c r="BK109" s="2003">
        <f t="shared" si="120"/>
        <v>3400</v>
      </c>
      <c r="BL109" s="2003">
        <f t="shared" si="121"/>
        <v>0</v>
      </c>
      <c r="BM109" s="2003">
        <f t="shared" si="122"/>
        <v>0</v>
      </c>
      <c r="BN109" s="2003"/>
      <c r="BO109" s="2003"/>
      <c r="BP109" s="2003"/>
      <c r="BQ109" s="2003"/>
      <c r="BR109" s="2006"/>
      <c r="BS109" s="2003"/>
      <c r="BT109" s="2003"/>
      <c r="BU109" s="2003"/>
      <c r="BV109" s="2003"/>
      <c r="BW109" s="2003"/>
      <c r="BX109" s="2003"/>
      <c r="BY109" s="2003"/>
      <c r="BZ109" s="2003"/>
      <c r="CA109" s="2003"/>
      <c r="CB109" s="2003"/>
      <c r="CC109" s="2003"/>
      <c r="CD109" s="2003"/>
      <c r="CE109" s="2003"/>
      <c r="CF109" s="2003"/>
      <c r="CG109" s="2003"/>
      <c r="CH109" s="2003"/>
      <c r="CI109" s="2003"/>
      <c r="CJ109" s="2003"/>
      <c r="CK109" s="2003"/>
      <c r="CL109" s="2003"/>
      <c r="CM109" s="2003"/>
      <c r="CN109" s="2003"/>
      <c r="CO109" s="2003"/>
      <c r="CP109" s="2003"/>
      <c r="CQ109" s="2003"/>
      <c r="CR109" s="2003"/>
      <c r="CS109" s="2003"/>
      <c r="CT109" s="2003"/>
      <c r="CU109" s="2003"/>
      <c r="CV109" s="2003"/>
      <c r="CW109" s="2003"/>
      <c r="CX109" s="2003"/>
      <c r="CY109" s="2003"/>
      <c r="CZ109" s="2003"/>
      <c r="DA109" s="2003"/>
      <c r="DB109" s="2003"/>
      <c r="DC109" s="2003"/>
      <c r="DD109" s="2003"/>
      <c r="DE109" s="2003"/>
      <c r="DF109" s="2003"/>
      <c r="DG109" s="2003"/>
      <c r="DH109" s="2003"/>
      <c r="DI109" s="2003"/>
      <c r="DJ109" s="2003"/>
      <c r="DK109" s="2003"/>
      <c r="DL109" s="2003"/>
      <c r="DM109" s="2003"/>
      <c r="DN109" s="2003"/>
      <c r="DO109" s="2004"/>
      <c r="DP109" s="2003"/>
      <c r="DQ109" s="2003"/>
      <c r="DR109" s="2005"/>
      <c r="DS109" s="2005"/>
      <c r="DT109" s="2005"/>
      <c r="DU109" s="2005"/>
      <c r="DV109" s="2005"/>
      <c r="DW109" s="2005"/>
      <c r="DX109" s="2005"/>
      <c r="DY109" s="2005"/>
      <c r="DZ109" s="2005"/>
      <c r="EA109" s="2005"/>
      <c r="FF109" s="1616"/>
    </row>
    <row r="110" spans="1:162" hidden="1" outlineLevel="2">
      <c r="A110" s="1624" t="s">
        <v>1314</v>
      </c>
      <c r="B110" s="1624" t="s">
        <v>2072</v>
      </c>
      <c r="C110" s="1624" t="s">
        <v>2092</v>
      </c>
      <c r="D110" s="1624" t="s">
        <v>2087</v>
      </c>
      <c r="E110" s="2003"/>
      <c r="F110" s="2003"/>
      <c r="G110" s="2003"/>
      <c r="H110" s="2003"/>
      <c r="I110" s="2003"/>
      <c r="J110" s="2003"/>
      <c r="K110" s="2003"/>
      <c r="L110" s="2003"/>
      <c r="M110" s="2003"/>
      <c r="N110" s="2003"/>
      <c r="O110" s="2003"/>
      <c r="P110" s="2003"/>
      <c r="Q110" s="2003">
        <f t="shared" si="102"/>
        <v>5200</v>
      </c>
      <c r="R110" s="2003">
        <f t="shared" si="103"/>
        <v>3400</v>
      </c>
      <c r="S110" s="2003" t="e">
        <f t="shared" si="104"/>
        <v>#REF!</v>
      </c>
      <c r="T110" s="2003"/>
      <c r="U110" s="2003"/>
      <c r="V110" s="2003"/>
      <c r="W110" s="2003"/>
      <c r="X110" s="2003"/>
      <c r="Y110" s="2003"/>
      <c r="Z110" s="2003"/>
      <c r="AA110" s="2003"/>
      <c r="AB110" s="2003"/>
      <c r="AC110" s="2003"/>
      <c r="AD110" s="2003"/>
      <c r="AE110" s="2003"/>
      <c r="AF110" s="2003"/>
      <c r="AG110" s="2003"/>
      <c r="AH110" s="2003"/>
      <c r="AI110" s="2003"/>
      <c r="AJ110" s="2003"/>
      <c r="AK110" s="2003"/>
      <c r="AL110" s="2003"/>
      <c r="AM110" s="2003"/>
      <c r="AN110" s="2003"/>
      <c r="AO110" s="2003"/>
      <c r="AP110" s="2003"/>
      <c r="AQ110" s="2003"/>
      <c r="AR110" s="2003">
        <f t="shared" si="105"/>
        <v>5200</v>
      </c>
      <c r="AS110" s="2003">
        <f t="shared" si="106"/>
        <v>3400</v>
      </c>
      <c r="AT110" s="2003">
        <f t="shared" si="107"/>
        <v>3400</v>
      </c>
      <c r="AU110" s="2003">
        <f t="shared" si="108"/>
        <v>3400</v>
      </c>
      <c r="AV110" s="2003"/>
      <c r="AW110" s="2003"/>
      <c r="AX110" s="2003">
        <f t="shared" si="109"/>
        <v>5200</v>
      </c>
      <c r="AY110" s="2003">
        <f t="shared" si="110"/>
        <v>3400</v>
      </c>
      <c r="AZ110" s="2003" t="e">
        <f t="shared" si="111"/>
        <v>#REF!</v>
      </c>
      <c r="BA110" s="2003">
        <f t="shared" si="112"/>
        <v>3400</v>
      </c>
      <c r="BB110" s="2003">
        <f t="shared" si="113"/>
        <v>3400</v>
      </c>
      <c r="BC110" s="2003">
        <f t="shared" si="114"/>
        <v>3400</v>
      </c>
      <c r="BD110" s="2003"/>
      <c r="BE110" s="2003"/>
      <c r="BF110" s="2003">
        <f t="shared" si="115"/>
        <v>5200</v>
      </c>
      <c r="BG110" s="2003">
        <f t="shared" si="116"/>
        <v>3400</v>
      </c>
      <c r="BH110" s="2003" t="e">
        <f t="shared" si="117"/>
        <v>#REF!</v>
      </c>
      <c r="BI110" s="2003">
        <f t="shared" si="118"/>
        <v>3400</v>
      </c>
      <c r="BJ110" s="2003">
        <f t="shared" si="119"/>
        <v>3400</v>
      </c>
      <c r="BK110" s="2003">
        <f t="shared" si="120"/>
        <v>3400</v>
      </c>
      <c r="BL110" s="2003">
        <f t="shared" si="121"/>
        <v>0</v>
      </c>
      <c r="BM110" s="2003">
        <f t="shared" si="122"/>
        <v>0</v>
      </c>
      <c r="BN110" s="2003"/>
      <c r="BO110" s="2003"/>
      <c r="BP110" s="2003"/>
      <c r="BQ110" s="2003"/>
      <c r="BR110" s="2006"/>
      <c r="BS110" s="2003"/>
      <c r="BT110" s="2003"/>
      <c r="BU110" s="2003"/>
      <c r="BV110" s="2003"/>
      <c r="BW110" s="2003"/>
      <c r="BX110" s="2003"/>
      <c r="BY110" s="2003"/>
      <c r="BZ110" s="2003"/>
      <c r="CA110" s="2003"/>
      <c r="CB110" s="2003"/>
      <c r="CC110" s="2003"/>
      <c r="CD110" s="2003"/>
      <c r="CE110" s="2003"/>
      <c r="CF110" s="2003"/>
      <c r="CG110" s="2003"/>
      <c r="CH110" s="2003"/>
      <c r="CI110" s="2003"/>
      <c r="CJ110" s="2003"/>
      <c r="CK110" s="2003"/>
      <c r="CL110" s="2003"/>
      <c r="CM110" s="2003"/>
      <c r="CN110" s="2003"/>
      <c r="CO110" s="2003"/>
      <c r="CP110" s="2003"/>
      <c r="CQ110" s="2003"/>
      <c r="CR110" s="2003"/>
      <c r="CS110" s="2003"/>
      <c r="CT110" s="2003"/>
      <c r="CU110" s="2003"/>
      <c r="CV110" s="2003"/>
      <c r="CW110" s="2003"/>
      <c r="CX110" s="2003"/>
      <c r="CY110" s="2003"/>
      <c r="CZ110" s="2003"/>
      <c r="DA110" s="2003"/>
      <c r="DB110" s="2003"/>
      <c r="DC110" s="2003"/>
      <c r="DD110" s="2003"/>
      <c r="DE110" s="2003"/>
      <c r="DF110" s="2003"/>
      <c r="DG110" s="2003"/>
      <c r="DH110" s="2003"/>
      <c r="DI110" s="2003"/>
      <c r="DJ110" s="2003"/>
      <c r="DK110" s="2003"/>
      <c r="DL110" s="2003"/>
      <c r="DM110" s="2003"/>
      <c r="DN110" s="2003"/>
      <c r="DO110" s="2004"/>
      <c r="DP110" s="2003"/>
      <c r="DQ110" s="2003"/>
      <c r="DR110" s="2005"/>
      <c r="DS110" s="2005"/>
      <c r="DT110" s="2005"/>
      <c r="DU110" s="2005"/>
      <c r="DV110" s="2005"/>
      <c r="DW110" s="2005"/>
      <c r="DX110" s="2005"/>
      <c r="DY110" s="2005"/>
      <c r="DZ110" s="2005"/>
      <c r="EA110" s="2005"/>
      <c r="FF110" s="1616"/>
    </row>
    <row r="111" spans="1:162" s="1613" customFormat="1" hidden="1" outlineLevel="1" collapsed="1">
      <c r="A111" s="1623" t="s">
        <v>1314</v>
      </c>
      <c r="B111" s="1623" t="s">
        <v>2070</v>
      </c>
      <c r="C111" s="1623" t="s">
        <v>2090</v>
      </c>
      <c r="D111" s="1623" t="s">
        <v>2085</v>
      </c>
      <c r="E111" s="2000"/>
      <c r="F111" s="2000"/>
      <c r="G111" s="2000"/>
      <c r="H111" s="2000"/>
      <c r="I111" s="2000"/>
      <c r="J111" s="2000"/>
      <c r="K111" s="2000"/>
      <c r="L111" s="2000"/>
      <c r="M111" s="2000"/>
      <c r="N111" s="2000"/>
      <c r="O111" s="2000"/>
      <c r="P111" s="2000"/>
      <c r="Q111" s="2000">
        <f>Q99+'E-Classic'!J31</f>
        <v>5900</v>
      </c>
      <c r="R111" s="2000">
        <f>R99+'E-Classic'!K31</f>
        <v>4100</v>
      </c>
      <c r="S111" s="2000" t="e">
        <f>S99+'E-Classic'!#REF!</f>
        <v>#REF!</v>
      </c>
      <c r="T111" s="2000"/>
      <c r="U111" s="2000"/>
      <c r="V111" s="2000"/>
      <c r="W111" s="2000"/>
      <c r="X111" s="2000"/>
      <c r="Y111" s="2000"/>
      <c r="Z111" s="2000"/>
      <c r="AA111" s="2000"/>
      <c r="AB111" s="2000"/>
      <c r="AC111" s="2000"/>
      <c r="AD111" s="2000"/>
      <c r="AE111" s="2000"/>
      <c r="AF111" s="2000"/>
      <c r="AG111" s="2000"/>
      <c r="AH111" s="2000"/>
      <c r="AI111" s="2000"/>
      <c r="AJ111" s="2000"/>
      <c r="AK111" s="2000"/>
      <c r="AL111" s="2000"/>
      <c r="AM111" s="2000"/>
      <c r="AN111" s="2000"/>
      <c r="AO111" s="2000"/>
      <c r="AP111" s="2000"/>
      <c r="AQ111" s="2000"/>
      <c r="AR111" s="2000">
        <f>AR99+'Modern Turin'!G27</f>
        <v>5900</v>
      </c>
      <c r="AS111" s="2000">
        <f>AS99+'Modern Turin'!H27</f>
        <v>3900</v>
      </c>
      <c r="AT111" s="2000">
        <f>AT99+'Modern Turin'!I27</f>
        <v>3900</v>
      </c>
      <c r="AU111" s="2000">
        <f>AU99+'Modern Turin'!K27</f>
        <v>3900</v>
      </c>
      <c r="AV111" s="2000"/>
      <c r="AW111" s="2000"/>
      <c r="AX111" s="2000">
        <f>AX99+'Modern Bergamo'!G28</f>
        <v>5900</v>
      </c>
      <c r="AY111" s="2000">
        <f>AY99+'Modern Bergamo'!H28</f>
        <v>3900</v>
      </c>
      <c r="AZ111" s="2000" t="e">
        <f>AZ99+'Modern Bergamo'!#REF!</f>
        <v>#REF!</v>
      </c>
      <c r="BA111" s="2000">
        <f>BA99+'Modern Bergamo'!I28</f>
        <v>3900</v>
      </c>
      <c r="BB111" s="2000">
        <f>BB99+'Modern Bergamo'!J28</f>
        <v>3900</v>
      </c>
      <c r="BC111" s="2000">
        <f>BC99+'Modern Bergamo'!K28</f>
        <v>3900</v>
      </c>
      <c r="BD111" s="2000"/>
      <c r="BE111" s="2000"/>
      <c r="BF111" s="2000">
        <f>AX111</f>
        <v>5900</v>
      </c>
      <c r="BG111" s="2000">
        <f t="shared" ref="BG111:BM111" si="123">AY111</f>
        <v>3900</v>
      </c>
      <c r="BH111" s="2000" t="e">
        <f t="shared" si="123"/>
        <v>#REF!</v>
      </c>
      <c r="BI111" s="2000">
        <f t="shared" si="123"/>
        <v>3900</v>
      </c>
      <c r="BJ111" s="2000">
        <f t="shared" si="123"/>
        <v>3900</v>
      </c>
      <c r="BK111" s="2000">
        <f t="shared" si="123"/>
        <v>3900</v>
      </c>
      <c r="BL111" s="2000">
        <f t="shared" si="123"/>
        <v>0</v>
      </c>
      <c r="BM111" s="2000">
        <f t="shared" si="123"/>
        <v>0</v>
      </c>
      <c r="BN111" s="2000"/>
      <c r="BO111" s="2000"/>
      <c r="BP111" s="2000" t="s">
        <v>5</v>
      </c>
      <c r="BQ111" s="2000">
        <f>BQ99+Fusion!$J$25</f>
        <v>2200</v>
      </c>
      <c r="BR111" s="2000">
        <f>BR99+Fusion!$J$25</f>
        <v>2200</v>
      </c>
      <c r="BS111" s="2000"/>
      <c r="BT111" s="2000"/>
      <c r="BU111" s="2000"/>
      <c r="BV111" s="2000"/>
      <c r="BW111" s="2000"/>
      <c r="BX111" s="2000" t="s">
        <v>5</v>
      </c>
      <c r="BY111" s="2000" t="s">
        <v>5</v>
      </c>
      <c r="BZ111" s="2000"/>
      <c r="CA111" s="2000"/>
      <c r="CB111" s="2000"/>
      <c r="CC111" s="2000"/>
      <c r="CD111" s="2000"/>
      <c r="CE111" s="2000"/>
      <c r="CF111" s="2000"/>
      <c r="CG111" s="2000"/>
      <c r="CH111" s="2000"/>
      <c r="CI111" s="2000"/>
      <c r="CJ111" s="2000"/>
      <c r="CK111" s="2000"/>
      <c r="CL111" s="2000"/>
      <c r="CM111" s="2000"/>
      <c r="CN111" s="2000"/>
      <c r="CO111" s="2000"/>
      <c r="CP111" s="2000"/>
      <c r="CQ111" s="2000"/>
      <c r="CR111" s="2000"/>
      <c r="CS111" s="2000"/>
      <c r="CT111" s="2000"/>
      <c r="CU111" s="2000"/>
      <c r="CV111" s="2000"/>
      <c r="CW111" s="2000"/>
      <c r="CX111" s="2000"/>
      <c r="CY111" s="2000"/>
      <c r="CZ111" s="2000"/>
      <c r="DA111" s="2000"/>
      <c r="DB111" s="2000"/>
      <c r="DC111" s="2000"/>
      <c r="DD111" s="2000"/>
      <c r="DE111" s="2000"/>
      <c r="DF111" s="2000"/>
      <c r="DG111" s="2000"/>
      <c r="DH111" s="2000"/>
      <c r="DI111" s="2000"/>
      <c r="DJ111" s="2000"/>
      <c r="DK111" s="2000"/>
      <c r="DL111" s="2000"/>
      <c r="DM111" s="2000"/>
      <c r="DN111" s="2000"/>
      <c r="DO111" s="2001"/>
      <c r="DP111" s="2000"/>
      <c r="DQ111" s="2000"/>
      <c r="DR111" s="2002"/>
      <c r="DS111" s="2002"/>
      <c r="DT111" s="2002"/>
      <c r="DU111" s="2002"/>
      <c r="DV111" s="2002"/>
      <c r="DW111" s="2002"/>
      <c r="DX111" s="2002"/>
      <c r="DY111" s="2002"/>
      <c r="DZ111" s="2002"/>
      <c r="EA111" s="2002"/>
      <c r="EB111" s="1987"/>
      <c r="EC111" s="1987"/>
      <c r="ED111" s="1987"/>
      <c r="FF111" s="1614"/>
    </row>
    <row r="112" spans="1:162" hidden="1" outlineLevel="2">
      <c r="A112" s="1624" t="s">
        <v>1314</v>
      </c>
      <c r="B112" s="1624" t="s">
        <v>2070</v>
      </c>
      <c r="C112" s="1624" t="s">
        <v>2090</v>
      </c>
      <c r="D112" s="1624" t="s">
        <v>722</v>
      </c>
      <c r="E112" s="2003"/>
      <c r="F112" s="2003"/>
      <c r="G112" s="2003"/>
      <c r="H112" s="2003"/>
      <c r="I112" s="2003"/>
      <c r="J112" s="2003"/>
      <c r="K112" s="2003"/>
      <c r="L112" s="2003"/>
      <c r="M112" s="2003"/>
      <c r="N112" s="2003"/>
      <c r="O112" s="2003"/>
      <c r="P112" s="2003"/>
      <c r="Q112" s="2003">
        <f>$Q$111</f>
        <v>5900</v>
      </c>
      <c r="R112" s="2003">
        <f>$R$111</f>
        <v>4100</v>
      </c>
      <c r="S112" s="2003" t="e">
        <f>$S$111</f>
        <v>#REF!</v>
      </c>
      <c r="T112" s="2003"/>
      <c r="U112" s="2003"/>
      <c r="V112" s="2003"/>
      <c r="W112" s="2003"/>
      <c r="X112" s="2003"/>
      <c r="Y112" s="2003"/>
      <c r="Z112" s="2003"/>
      <c r="AA112" s="2003"/>
      <c r="AB112" s="2003"/>
      <c r="AC112" s="2003"/>
      <c r="AD112" s="2003"/>
      <c r="AE112" s="2003"/>
      <c r="AF112" s="2003"/>
      <c r="AG112" s="2003"/>
      <c r="AH112" s="2003"/>
      <c r="AI112" s="2003"/>
      <c r="AJ112" s="2003"/>
      <c r="AK112" s="2003"/>
      <c r="AL112" s="2003"/>
      <c r="AM112" s="2003"/>
      <c r="AN112" s="2003"/>
      <c r="AO112" s="2003"/>
      <c r="AP112" s="2003"/>
      <c r="AQ112" s="2003"/>
      <c r="AR112" s="2003">
        <f>$AR$111</f>
        <v>5900</v>
      </c>
      <c r="AS112" s="2003">
        <f>$AS$111</f>
        <v>3900</v>
      </c>
      <c r="AT112" s="2003">
        <f>$AT$111</f>
        <v>3900</v>
      </c>
      <c r="AU112" s="2003">
        <f>$AU$111</f>
        <v>3900</v>
      </c>
      <c r="AV112" s="2003"/>
      <c r="AW112" s="2003"/>
      <c r="AX112" s="2003">
        <f>$AX$111</f>
        <v>5900</v>
      </c>
      <c r="AY112" s="2003">
        <f>$AY$111</f>
        <v>3900</v>
      </c>
      <c r="AZ112" s="2003" t="e">
        <f>$AZ$111</f>
        <v>#REF!</v>
      </c>
      <c r="BA112" s="2003">
        <f>$BA$111</f>
        <v>3900</v>
      </c>
      <c r="BB112" s="2003">
        <f>$BB$111</f>
        <v>3900</v>
      </c>
      <c r="BC112" s="2003">
        <f>$BC$111</f>
        <v>3900</v>
      </c>
      <c r="BD112" s="2003"/>
      <c r="BE112" s="2003"/>
      <c r="BF112" s="2003">
        <f>$BF$111</f>
        <v>5900</v>
      </c>
      <c r="BG112" s="2003">
        <f>$BG$111</f>
        <v>3900</v>
      </c>
      <c r="BH112" s="2003" t="e">
        <f>$BH$111</f>
        <v>#REF!</v>
      </c>
      <c r="BI112" s="2003">
        <f>$BI$111</f>
        <v>3900</v>
      </c>
      <c r="BJ112" s="2003">
        <f>$BJ$111</f>
        <v>3900</v>
      </c>
      <c r="BK112" s="2003">
        <f>$BK$111</f>
        <v>3900</v>
      </c>
      <c r="BL112" s="2003">
        <f>BL111</f>
        <v>0</v>
      </c>
      <c r="BM112" s="2003">
        <f>BM111</f>
        <v>0</v>
      </c>
      <c r="BN112" s="2003"/>
      <c r="BO112" s="2003"/>
      <c r="BP112" s="2003"/>
      <c r="BQ112" s="2003">
        <f>$BQ$111</f>
        <v>2200</v>
      </c>
      <c r="BR112" s="2003">
        <f>$BR$111</f>
        <v>2200</v>
      </c>
      <c r="BS112" s="2003"/>
      <c r="BT112" s="2003"/>
      <c r="BU112" s="2003"/>
      <c r="BV112" s="2003"/>
      <c r="BW112" s="2003"/>
      <c r="BX112" s="2003"/>
      <c r="BY112" s="2003"/>
      <c r="BZ112" s="2003"/>
      <c r="CA112" s="2003"/>
      <c r="CB112" s="2003"/>
      <c r="CC112" s="2003"/>
      <c r="CD112" s="2003"/>
      <c r="CE112" s="2003"/>
      <c r="CF112" s="2003"/>
      <c r="CG112" s="2003"/>
      <c r="CH112" s="2003"/>
      <c r="CI112" s="2003"/>
      <c r="CJ112" s="2003"/>
      <c r="CK112" s="2003"/>
      <c r="CL112" s="2003"/>
      <c r="CM112" s="2003"/>
      <c r="CN112" s="2003"/>
      <c r="CO112" s="2003"/>
      <c r="CP112" s="2003"/>
      <c r="CQ112" s="2003"/>
      <c r="CR112" s="2003"/>
      <c r="CS112" s="2003"/>
      <c r="CT112" s="2003"/>
      <c r="CU112" s="2003"/>
      <c r="CV112" s="2003"/>
      <c r="CW112" s="2003"/>
      <c r="CX112" s="2003"/>
      <c r="CY112" s="2003"/>
      <c r="CZ112" s="2003"/>
      <c r="DA112" s="2003"/>
      <c r="DB112" s="2003"/>
      <c r="DC112" s="2003"/>
      <c r="DD112" s="2003"/>
      <c r="DE112" s="2003"/>
      <c r="DF112" s="2003"/>
      <c r="DG112" s="2003"/>
      <c r="DH112" s="2003"/>
      <c r="DI112" s="2003"/>
      <c r="DJ112" s="2003"/>
      <c r="DK112" s="2003"/>
      <c r="DL112" s="2003"/>
      <c r="DM112" s="2003"/>
      <c r="DN112" s="2003"/>
      <c r="DO112" s="2004"/>
      <c r="DP112" s="2003"/>
      <c r="DQ112" s="2003"/>
      <c r="DR112" s="2005"/>
      <c r="DS112" s="2005"/>
      <c r="DT112" s="2005"/>
      <c r="DU112" s="2005"/>
      <c r="DV112" s="2005"/>
      <c r="DW112" s="2005"/>
      <c r="DX112" s="2005"/>
      <c r="DY112" s="2005"/>
      <c r="DZ112" s="2005"/>
      <c r="EA112" s="2005"/>
      <c r="FF112" s="1616"/>
    </row>
    <row r="113" spans="1:162" hidden="1" outlineLevel="2">
      <c r="A113" s="1624" t="s">
        <v>1314</v>
      </c>
      <c r="B113" s="1624" t="s">
        <v>2070</v>
      </c>
      <c r="C113" s="1624" t="s">
        <v>2090</v>
      </c>
      <c r="D113" s="1624" t="s">
        <v>2086</v>
      </c>
      <c r="E113" s="2003"/>
      <c r="F113" s="2003"/>
      <c r="G113" s="2003"/>
      <c r="H113" s="2003"/>
      <c r="I113" s="2003"/>
      <c r="J113" s="2003"/>
      <c r="K113" s="2003"/>
      <c r="L113" s="2003"/>
      <c r="M113" s="2003"/>
      <c r="N113" s="2003"/>
      <c r="O113" s="2003"/>
      <c r="P113" s="2003"/>
      <c r="Q113" s="2003">
        <f t="shared" ref="Q113:Q134" si="124">$Q$111</f>
        <v>5900</v>
      </c>
      <c r="R113" s="2003">
        <f t="shared" ref="R113:R134" si="125">$R$111</f>
        <v>4100</v>
      </c>
      <c r="S113" s="2003" t="e">
        <f t="shared" ref="S113:S134" si="126">$S$111</f>
        <v>#REF!</v>
      </c>
      <c r="T113" s="2003"/>
      <c r="U113" s="2003"/>
      <c r="V113" s="2003"/>
      <c r="W113" s="2003"/>
      <c r="X113" s="2003"/>
      <c r="Y113" s="2003"/>
      <c r="Z113" s="2003"/>
      <c r="AA113" s="2003"/>
      <c r="AB113" s="2003"/>
      <c r="AC113" s="2003"/>
      <c r="AD113" s="2003"/>
      <c r="AE113" s="2003"/>
      <c r="AF113" s="2003"/>
      <c r="AG113" s="2003"/>
      <c r="AH113" s="2003"/>
      <c r="AI113" s="2003"/>
      <c r="AJ113" s="2003"/>
      <c r="AK113" s="2003"/>
      <c r="AL113" s="2003"/>
      <c r="AM113" s="2003"/>
      <c r="AN113" s="2003"/>
      <c r="AO113" s="2003"/>
      <c r="AP113" s="2003"/>
      <c r="AQ113" s="2003"/>
      <c r="AR113" s="2003">
        <f t="shared" ref="AR113:AR134" si="127">$AR$111</f>
        <v>5900</v>
      </c>
      <c r="AS113" s="2003">
        <f t="shared" ref="AS113:AS134" si="128">$AS$111</f>
        <v>3900</v>
      </c>
      <c r="AT113" s="2003">
        <f t="shared" ref="AT113:AT134" si="129">$AT$111</f>
        <v>3900</v>
      </c>
      <c r="AU113" s="2003">
        <f t="shared" ref="AU113:AU134" si="130">$AU$111</f>
        <v>3900</v>
      </c>
      <c r="AV113" s="2003"/>
      <c r="AW113" s="2003"/>
      <c r="AX113" s="2003">
        <f t="shared" ref="AX113:AX134" si="131">$AX$111</f>
        <v>5900</v>
      </c>
      <c r="AY113" s="2003">
        <f t="shared" ref="AY113:AY134" si="132">$AY$111</f>
        <v>3900</v>
      </c>
      <c r="AZ113" s="2003" t="e">
        <f t="shared" ref="AZ113:AZ134" si="133">$AZ$111</f>
        <v>#REF!</v>
      </c>
      <c r="BA113" s="2003">
        <f t="shared" ref="BA113:BA134" si="134">$BA$111</f>
        <v>3900</v>
      </c>
      <c r="BB113" s="2003">
        <f t="shared" ref="BB113:BB134" si="135">$BB$111</f>
        <v>3900</v>
      </c>
      <c r="BC113" s="2003">
        <f t="shared" ref="BC113:BC134" si="136">$BC$111</f>
        <v>3900</v>
      </c>
      <c r="BD113" s="2003"/>
      <c r="BE113" s="2003"/>
      <c r="BF113" s="2003">
        <f t="shared" ref="BF113:BF133" si="137">$BF$111</f>
        <v>5900</v>
      </c>
      <c r="BG113" s="2003">
        <f t="shared" ref="BG113:BG134" si="138">$BG$111</f>
        <v>3900</v>
      </c>
      <c r="BH113" s="2003" t="e">
        <f t="shared" ref="BH113:BH134" si="139">$BH$111</f>
        <v>#REF!</v>
      </c>
      <c r="BI113" s="2003">
        <f t="shared" ref="BI113:BI134" si="140">$BI$111</f>
        <v>3900</v>
      </c>
      <c r="BJ113" s="2003">
        <f t="shared" ref="BJ113:BJ134" si="141">$BJ$111</f>
        <v>3900</v>
      </c>
      <c r="BK113" s="2003">
        <f t="shared" ref="BK113:BK134" si="142">$BK$111</f>
        <v>3900</v>
      </c>
      <c r="BL113" s="2003">
        <f t="shared" ref="BL113:BL133" si="143">BL112</f>
        <v>0</v>
      </c>
      <c r="BM113" s="2003">
        <f t="shared" ref="BM113:BM133" si="144">BM112</f>
        <v>0</v>
      </c>
      <c r="BN113" s="2003"/>
      <c r="BO113" s="2003"/>
      <c r="BP113" s="2003"/>
      <c r="BQ113" s="2003">
        <f>$BQ$111</f>
        <v>2200</v>
      </c>
      <c r="BR113" s="2003">
        <f>$BR$111</f>
        <v>2200</v>
      </c>
      <c r="BS113" s="2003"/>
      <c r="BT113" s="2003"/>
      <c r="BU113" s="2003"/>
      <c r="BV113" s="2003"/>
      <c r="BW113" s="2003"/>
      <c r="BX113" s="2003"/>
      <c r="BY113" s="2003"/>
      <c r="BZ113" s="2003"/>
      <c r="CA113" s="2003"/>
      <c r="CB113" s="2003"/>
      <c r="CC113" s="2003"/>
      <c r="CD113" s="2003"/>
      <c r="CE113" s="2003"/>
      <c r="CF113" s="2003"/>
      <c r="CG113" s="2003"/>
      <c r="CH113" s="2003"/>
      <c r="CI113" s="2003"/>
      <c r="CJ113" s="2003"/>
      <c r="CK113" s="2003"/>
      <c r="CL113" s="2003"/>
      <c r="CM113" s="2003"/>
      <c r="CN113" s="2003"/>
      <c r="CO113" s="2003"/>
      <c r="CP113" s="2003"/>
      <c r="CQ113" s="2003"/>
      <c r="CR113" s="2003"/>
      <c r="CS113" s="2003"/>
      <c r="CT113" s="2003"/>
      <c r="CU113" s="2003"/>
      <c r="CV113" s="2003"/>
      <c r="CW113" s="2003"/>
      <c r="CX113" s="2003"/>
      <c r="CY113" s="2003"/>
      <c r="CZ113" s="2003"/>
      <c r="DA113" s="2003"/>
      <c r="DB113" s="2003"/>
      <c r="DC113" s="2003"/>
      <c r="DD113" s="2003"/>
      <c r="DE113" s="2003"/>
      <c r="DF113" s="2003"/>
      <c r="DG113" s="2003"/>
      <c r="DH113" s="2003"/>
      <c r="DI113" s="2003"/>
      <c r="DJ113" s="2003"/>
      <c r="DK113" s="2003"/>
      <c r="DL113" s="2003"/>
      <c r="DM113" s="2003"/>
      <c r="DN113" s="2003"/>
      <c r="DO113" s="2004"/>
      <c r="DP113" s="2003"/>
      <c r="DQ113" s="2003"/>
      <c r="DR113" s="2005"/>
      <c r="DS113" s="2005"/>
      <c r="DT113" s="2005"/>
      <c r="DU113" s="2005"/>
      <c r="DV113" s="2005"/>
      <c r="DW113" s="2005"/>
      <c r="DX113" s="2005"/>
      <c r="DY113" s="2005"/>
      <c r="DZ113" s="2005"/>
      <c r="EA113" s="2005"/>
      <c r="FF113" s="1616"/>
    </row>
    <row r="114" spans="1:162" hidden="1" outlineLevel="2">
      <c r="A114" s="1624" t="s">
        <v>1314</v>
      </c>
      <c r="B114" s="1624" t="s">
        <v>2070</v>
      </c>
      <c r="C114" s="1624" t="s">
        <v>2090</v>
      </c>
      <c r="D114" s="1624" t="s">
        <v>2087</v>
      </c>
      <c r="E114" s="2003"/>
      <c r="F114" s="2003"/>
      <c r="G114" s="2003"/>
      <c r="H114" s="2003"/>
      <c r="I114" s="2003"/>
      <c r="J114" s="2003"/>
      <c r="K114" s="2003"/>
      <c r="L114" s="2003"/>
      <c r="M114" s="2003"/>
      <c r="N114" s="2003"/>
      <c r="O114" s="2003"/>
      <c r="P114" s="2003"/>
      <c r="Q114" s="2003">
        <f t="shared" si="124"/>
        <v>5900</v>
      </c>
      <c r="R114" s="2003">
        <f t="shared" si="125"/>
        <v>4100</v>
      </c>
      <c r="S114" s="2003" t="e">
        <f t="shared" si="126"/>
        <v>#REF!</v>
      </c>
      <c r="T114" s="2003"/>
      <c r="U114" s="2003"/>
      <c r="V114" s="2003"/>
      <c r="W114" s="2003"/>
      <c r="X114" s="2003"/>
      <c r="Y114" s="2003"/>
      <c r="Z114" s="2003"/>
      <c r="AA114" s="2003"/>
      <c r="AB114" s="2003"/>
      <c r="AC114" s="2003"/>
      <c r="AD114" s="2003"/>
      <c r="AE114" s="2003"/>
      <c r="AF114" s="2003"/>
      <c r="AG114" s="2003"/>
      <c r="AH114" s="2003"/>
      <c r="AI114" s="2003"/>
      <c r="AJ114" s="2003"/>
      <c r="AK114" s="2003"/>
      <c r="AL114" s="2003"/>
      <c r="AM114" s="2003"/>
      <c r="AN114" s="2003"/>
      <c r="AO114" s="2003"/>
      <c r="AP114" s="2003"/>
      <c r="AQ114" s="2003"/>
      <c r="AR114" s="2003">
        <f t="shared" si="127"/>
        <v>5900</v>
      </c>
      <c r="AS114" s="2003">
        <f t="shared" si="128"/>
        <v>3900</v>
      </c>
      <c r="AT114" s="2003">
        <f t="shared" si="129"/>
        <v>3900</v>
      </c>
      <c r="AU114" s="2003">
        <f t="shared" si="130"/>
        <v>3900</v>
      </c>
      <c r="AV114" s="2003"/>
      <c r="AW114" s="2003"/>
      <c r="AX114" s="2003">
        <f t="shared" si="131"/>
        <v>5900</v>
      </c>
      <c r="AY114" s="2003">
        <f t="shared" si="132"/>
        <v>3900</v>
      </c>
      <c r="AZ114" s="2003" t="e">
        <f t="shared" si="133"/>
        <v>#REF!</v>
      </c>
      <c r="BA114" s="2003">
        <f t="shared" si="134"/>
        <v>3900</v>
      </c>
      <c r="BB114" s="2003">
        <f t="shared" si="135"/>
        <v>3900</v>
      </c>
      <c r="BC114" s="2003">
        <f t="shared" si="136"/>
        <v>3900</v>
      </c>
      <c r="BD114" s="2003"/>
      <c r="BE114" s="2003"/>
      <c r="BF114" s="2003">
        <f t="shared" si="137"/>
        <v>5900</v>
      </c>
      <c r="BG114" s="2003">
        <f t="shared" si="138"/>
        <v>3900</v>
      </c>
      <c r="BH114" s="2003" t="e">
        <f t="shared" si="139"/>
        <v>#REF!</v>
      </c>
      <c r="BI114" s="2003">
        <f t="shared" si="140"/>
        <v>3900</v>
      </c>
      <c r="BJ114" s="2003">
        <f t="shared" si="141"/>
        <v>3900</v>
      </c>
      <c r="BK114" s="2003">
        <f t="shared" si="142"/>
        <v>3900</v>
      </c>
      <c r="BL114" s="2003">
        <f t="shared" si="143"/>
        <v>0</v>
      </c>
      <c r="BM114" s="2003">
        <f t="shared" si="144"/>
        <v>0</v>
      </c>
      <c r="BN114" s="2003"/>
      <c r="BO114" s="2003"/>
      <c r="BP114" s="2003"/>
      <c r="BQ114" s="2003">
        <f>$BQ$111</f>
        <v>2200</v>
      </c>
      <c r="BR114" s="2003">
        <f>$BR$111</f>
        <v>2200</v>
      </c>
      <c r="BS114" s="2003"/>
      <c r="BT114" s="2003"/>
      <c r="BU114" s="2003"/>
      <c r="BV114" s="2003"/>
      <c r="BW114" s="2003"/>
      <c r="BX114" s="2003"/>
      <c r="BY114" s="2003"/>
      <c r="BZ114" s="2003"/>
      <c r="CA114" s="2003"/>
      <c r="CB114" s="2003"/>
      <c r="CC114" s="2003"/>
      <c r="CD114" s="2003"/>
      <c r="CE114" s="2003"/>
      <c r="CF114" s="2003"/>
      <c r="CG114" s="2003"/>
      <c r="CH114" s="2003"/>
      <c r="CI114" s="2003"/>
      <c r="CJ114" s="2003"/>
      <c r="CK114" s="2003"/>
      <c r="CL114" s="2003"/>
      <c r="CM114" s="2003"/>
      <c r="CN114" s="2003"/>
      <c r="CO114" s="2003"/>
      <c r="CP114" s="2003"/>
      <c r="CQ114" s="2003"/>
      <c r="CR114" s="2003"/>
      <c r="CS114" s="2003"/>
      <c r="CT114" s="2003"/>
      <c r="CU114" s="2003"/>
      <c r="CV114" s="2003"/>
      <c r="CW114" s="2003"/>
      <c r="CX114" s="2003"/>
      <c r="CY114" s="2003"/>
      <c r="CZ114" s="2003"/>
      <c r="DA114" s="2003"/>
      <c r="DB114" s="2003"/>
      <c r="DC114" s="2003"/>
      <c r="DD114" s="2003"/>
      <c r="DE114" s="2003"/>
      <c r="DF114" s="2003"/>
      <c r="DG114" s="2003"/>
      <c r="DH114" s="2003"/>
      <c r="DI114" s="2003"/>
      <c r="DJ114" s="2003"/>
      <c r="DK114" s="2003"/>
      <c r="DL114" s="2003"/>
      <c r="DM114" s="2003"/>
      <c r="DN114" s="2003"/>
      <c r="DO114" s="2004"/>
      <c r="DP114" s="2003"/>
      <c r="DQ114" s="2003"/>
      <c r="DR114" s="2005"/>
      <c r="DS114" s="2005"/>
      <c r="DT114" s="2005"/>
      <c r="DU114" s="2005"/>
      <c r="DV114" s="2005"/>
      <c r="DW114" s="2005"/>
      <c r="DX114" s="2005"/>
      <c r="DY114" s="2005"/>
      <c r="DZ114" s="2005"/>
      <c r="EA114" s="2005"/>
      <c r="FF114" s="1616"/>
    </row>
    <row r="115" spans="1:162" hidden="1" outlineLevel="2">
      <c r="A115" s="1624" t="s">
        <v>1314</v>
      </c>
      <c r="B115" s="1624" t="s">
        <v>2071</v>
      </c>
      <c r="C115" s="1624" t="s">
        <v>2090</v>
      </c>
      <c r="D115" s="1624" t="s">
        <v>2085</v>
      </c>
      <c r="E115" s="2003"/>
      <c r="F115" s="2003"/>
      <c r="G115" s="2003"/>
      <c r="H115" s="2003"/>
      <c r="I115" s="2003"/>
      <c r="J115" s="2003"/>
      <c r="K115" s="2003"/>
      <c r="L115" s="2003"/>
      <c r="M115" s="2003"/>
      <c r="N115" s="2003"/>
      <c r="O115" s="2003"/>
      <c r="P115" s="2003"/>
      <c r="Q115" s="2003">
        <f t="shared" si="124"/>
        <v>5900</v>
      </c>
      <c r="R115" s="2003">
        <f t="shared" si="125"/>
        <v>4100</v>
      </c>
      <c r="S115" s="2003" t="e">
        <f t="shared" si="126"/>
        <v>#REF!</v>
      </c>
      <c r="T115" s="2003"/>
      <c r="U115" s="2003"/>
      <c r="V115" s="2003"/>
      <c r="W115" s="2003"/>
      <c r="X115" s="2003"/>
      <c r="Y115" s="2003"/>
      <c r="Z115" s="2003"/>
      <c r="AA115" s="2003"/>
      <c r="AB115" s="2003"/>
      <c r="AC115" s="2003"/>
      <c r="AD115" s="2003"/>
      <c r="AE115" s="2003"/>
      <c r="AF115" s="2003"/>
      <c r="AG115" s="2003"/>
      <c r="AH115" s="2003"/>
      <c r="AI115" s="2003"/>
      <c r="AJ115" s="2003"/>
      <c r="AK115" s="2003"/>
      <c r="AL115" s="2003"/>
      <c r="AM115" s="2003"/>
      <c r="AN115" s="2003"/>
      <c r="AO115" s="2003"/>
      <c r="AP115" s="2003"/>
      <c r="AQ115" s="2003"/>
      <c r="AR115" s="2003">
        <f t="shared" si="127"/>
        <v>5900</v>
      </c>
      <c r="AS115" s="2003">
        <f t="shared" si="128"/>
        <v>3900</v>
      </c>
      <c r="AT115" s="2003">
        <f t="shared" si="129"/>
        <v>3900</v>
      </c>
      <c r="AU115" s="2003">
        <f t="shared" si="130"/>
        <v>3900</v>
      </c>
      <c r="AV115" s="2003"/>
      <c r="AW115" s="2003"/>
      <c r="AX115" s="2003">
        <f t="shared" si="131"/>
        <v>5900</v>
      </c>
      <c r="AY115" s="2003">
        <f t="shared" si="132"/>
        <v>3900</v>
      </c>
      <c r="AZ115" s="2003" t="e">
        <f t="shared" si="133"/>
        <v>#REF!</v>
      </c>
      <c r="BA115" s="2003">
        <f t="shared" si="134"/>
        <v>3900</v>
      </c>
      <c r="BB115" s="2003">
        <f t="shared" si="135"/>
        <v>3900</v>
      </c>
      <c r="BC115" s="2003">
        <f t="shared" si="136"/>
        <v>3900</v>
      </c>
      <c r="BD115" s="2003"/>
      <c r="BE115" s="2003"/>
      <c r="BF115" s="2003">
        <f t="shared" si="137"/>
        <v>5900</v>
      </c>
      <c r="BG115" s="2003">
        <f t="shared" si="138"/>
        <v>3900</v>
      </c>
      <c r="BH115" s="2003" t="e">
        <f t="shared" si="139"/>
        <v>#REF!</v>
      </c>
      <c r="BI115" s="2003">
        <f t="shared" si="140"/>
        <v>3900</v>
      </c>
      <c r="BJ115" s="2003">
        <f t="shared" si="141"/>
        <v>3900</v>
      </c>
      <c r="BK115" s="2003">
        <f t="shared" si="142"/>
        <v>3900</v>
      </c>
      <c r="BL115" s="2003">
        <f t="shared" si="143"/>
        <v>0</v>
      </c>
      <c r="BM115" s="2003">
        <f t="shared" si="144"/>
        <v>0</v>
      </c>
      <c r="BN115" s="2003"/>
      <c r="BO115" s="2003"/>
      <c r="BP115" s="2003"/>
      <c r="BQ115" s="2003"/>
      <c r="BR115" s="2003"/>
      <c r="BS115" s="2003"/>
      <c r="BT115" s="2003"/>
      <c r="BU115" s="2003"/>
      <c r="BV115" s="2003"/>
      <c r="BW115" s="2003"/>
      <c r="BX115" s="2003"/>
      <c r="BY115" s="2003"/>
      <c r="BZ115" s="2003"/>
      <c r="CA115" s="2003"/>
      <c r="CB115" s="2003"/>
      <c r="CC115" s="2003"/>
      <c r="CD115" s="2003"/>
      <c r="CE115" s="2003"/>
      <c r="CF115" s="2003"/>
      <c r="CG115" s="2003"/>
      <c r="CH115" s="2003"/>
      <c r="CI115" s="2003"/>
      <c r="CJ115" s="2003"/>
      <c r="CK115" s="2003"/>
      <c r="CL115" s="2003"/>
      <c r="CM115" s="2003"/>
      <c r="CN115" s="2003"/>
      <c r="CO115" s="2003"/>
      <c r="CP115" s="2003"/>
      <c r="CQ115" s="2003"/>
      <c r="CR115" s="2003"/>
      <c r="CS115" s="2003"/>
      <c r="CT115" s="2003"/>
      <c r="CU115" s="2003"/>
      <c r="CV115" s="2003"/>
      <c r="CW115" s="2003"/>
      <c r="CX115" s="2003"/>
      <c r="CY115" s="2003"/>
      <c r="CZ115" s="2003"/>
      <c r="DA115" s="2003"/>
      <c r="DB115" s="2003"/>
      <c r="DC115" s="2003"/>
      <c r="DD115" s="2003"/>
      <c r="DE115" s="2003"/>
      <c r="DF115" s="2003"/>
      <c r="DG115" s="2003"/>
      <c r="DH115" s="2003"/>
      <c r="DI115" s="2003"/>
      <c r="DJ115" s="2003"/>
      <c r="DK115" s="2003"/>
      <c r="DL115" s="2003"/>
      <c r="DM115" s="2003"/>
      <c r="DN115" s="2003"/>
      <c r="DO115" s="2004"/>
      <c r="DP115" s="2003"/>
      <c r="DQ115" s="2003"/>
      <c r="DR115" s="2005"/>
      <c r="DS115" s="2005"/>
      <c r="DT115" s="2005"/>
      <c r="DU115" s="2005"/>
      <c r="DV115" s="2005"/>
      <c r="DW115" s="2005"/>
      <c r="DX115" s="2005"/>
      <c r="DY115" s="2005"/>
      <c r="DZ115" s="2005"/>
      <c r="EA115" s="2005"/>
      <c r="FF115" s="1616"/>
    </row>
    <row r="116" spans="1:162" hidden="1" outlineLevel="2">
      <c r="A116" s="1624" t="s">
        <v>1314</v>
      </c>
      <c r="B116" s="1624" t="s">
        <v>2071</v>
      </c>
      <c r="C116" s="1624" t="s">
        <v>2090</v>
      </c>
      <c r="D116" s="1624" t="s">
        <v>722</v>
      </c>
      <c r="E116" s="2003"/>
      <c r="F116" s="2003"/>
      <c r="G116" s="2003"/>
      <c r="H116" s="2003"/>
      <c r="I116" s="2003"/>
      <c r="J116" s="2003"/>
      <c r="K116" s="2003"/>
      <c r="L116" s="2003"/>
      <c r="M116" s="2003"/>
      <c r="N116" s="2003"/>
      <c r="O116" s="2003"/>
      <c r="P116" s="2003"/>
      <c r="Q116" s="2003">
        <f t="shared" si="124"/>
        <v>5900</v>
      </c>
      <c r="R116" s="2003">
        <f t="shared" si="125"/>
        <v>4100</v>
      </c>
      <c r="S116" s="2003" t="e">
        <f t="shared" si="126"/>
        <v>#REF!</v>
      </c>
      <c r="T116" s="2003"/>
      <c r="U116" s="2003"/>
      <c r="V116" s="2003"/>
      <c r="W116" s="2003"/>
      <c r="X116" s="2003"/>
      <c r="Y116" s="2003"/>
      <c r="Z116" s="2003"/>
      <c r="AA116" s="2003"/>
      <c r="AB116" s="2003"/>
      <c r="AC116" s="2003"/>
      <c r="AD116" s="2003"/>
      <c r="AE116" s="2003"/>
      <c r="AF116" s="2003"/>
      <c r="AG116" s="2003"/>
      <c r="AH116" s="2003"/>
      <c r="AI116" s="2003"/>
      <c r="AJ116" s="2003"/>
      <c r="AK116" s="2003"/>
      <c r="AL116" s="2003"/>
      <c r="AM116" s="2003"/>
      <c r="AN116" s="2003"/>
      <c r="AO116" s="2003"/>
      <c r="AP116" s="2003"/>
      <c r="AQ116" s="2003"/>
      <c r="AR116" s="2003">
        <f t="shared" si="127"/>
        <v>5900</v>
      </c>
      <c r="AS116" s="2003">
        <f t="shared" si="128"/>
        <v>3900</v>
      </c>
      <c r="AT116" s="2003">
        <f t="shared" si="129"/>
        <v>3900</v>
      </c>
      <c r="AU116" s="2003">
        <f t="shared" si="130"/>
        <v>3900</v>
      </c>
      <c r="AV116" s="2003"/>
      <c r="AW116" s="2003"/>
      <c r="AX116" s="2003">
        <f t="shared" si="131"/>
        <v>5900</v>
      </c>
      <c r="AY116" s="2003">
        <f t="shared" si="132"/>
        <v>3900</v>
      </c>
      <c r="AZ116" s="2003" t="e">
        <f t="shared" si="133"/>
        <v>#REF!</v>
      </c>
      <c r="BA116" s="2003">
        <f t="shared" si="134"/>
        <v>3900</v>
      </c>
      <c r="BB116" s="2003">
        <f t="shared" si="135"/>
        <v>3900</v>
      </c>
      <c r="BC116" s="2003">
        <f t="shared" si="136"/>
        <v>3900</v>
      </c>
      <c r="BD116" s="2003"/>
      <c r="BE116" s="2003"/>
      <c r="BF116" s="2003">
        <f t="shared" si="137"/>
        <v>5900</v>
      </c>
      <c r="BG116" s="2003">
        <f t="shared" si="138"/>
        <v>3900</v>
      </c>
      <c r="BH116" s="2003" t="e">
        <f t="shared" si="139"/>
        <v>#REF!</v>
      </c>
      <c r="BI116" s="2003">
        <f t="shared" si="140"/>
        <v>3900</v>
      </c>
      <c r="BJ116" s="2003">
        <f t="shared" si="141"/>
        <v>3900</v>
      </c>
      <c r="BK116" s="2003">
        <f t="shared" si="142"/>
        <v>3900</v>
      </c>
      <c r="BL116" s="2003">
        <f t="shared" si="143"/>
        <v>0</v>
      </c>
      <c r="BM116" s="2003">
        <f t="shared" si="144"/>
        <v>0</v>
      </c>
      <c r="BN116" s="2003"/>
      <c r="BO116" s="2003"/>
      <c r="BP116" s="2003"/>
      <c r="BQ116" s="2003"/>
      <c r="BR116" s="2003"/>
      <c r="BS116" s="2003"/>
      <c r="BT116" s="2003"/>
      <c r="BU116" s="2003"/>
      <c r="BV116" s="2003"/>
      <c r="BW116" s="2003"/>
      <c r="BX116" s="2003"/>
      <c r="BY116" s="2003"/>
      <c r="BZ116" s="2003"/>
      <c r="CA116" s="2003"/>
      <c r="CB116" s="2003"/>
      <c r="CC116" s="2003"/>
      <c r="CD116" s="2003"/>
      <c r="CE116" s="2003"/>
      <c r="CF116" s="2003"/>
      <c r="CG116" s="2003"/>
      <c r="CH116" s="2003"/>
      <c r="CI116" s="2003"/>
      <c r="CJ116" s="2003"/>
      <c r="CK116" s="2003"/>
      <c r="CL116" s="2003"/>
      <c r="CM116" s="2003"/>
      <c r="CN116" s="2003"/>
      <c r="CO116" s="2003"/>
      <c r="CP116" s="2003"/>
      <c r="CQ116" s="2003"/>
      <c r="CR116" s="2003"/>
      <c r="CS116" s="2003"/>
      <c r="CT116" s="2003"/>
      <c r="CU116" s="2003"/>
      <c r="CV116" s="2003"/>
      <c r="CW116" s="2003"/>
      <c r="CX116" s="2003"/>
      <c r="CY116" s="2003"/>
      <c r="CZ116" s="2003"/>
      <c r="DA116" s="2003"/>
      <c r="DB116" s="2003"/>
      <c r="DC116" s="2003"/>
      <c r="DD116" s="2003"/>
      <c r="DE116" s="2003"/>
      <c r="DF116" s="2003"/>
      <c r="DG116" s="2003"/>
      <c r="DH116" s="2003"/>
      <c r="DI116" s="2003"/>
      <c r="DJ116" s="2003"/>
      <c r="DK116" s="2003"/>
      <c r="DL116" s="2003"/>
      <c r="DM116" s="2003"/>
      <c r="DN116" s="2003"/>
      <c r="DO116" s="2004"/>
      <c r="DP116" s="2003"/>
      <c r="DQ116" s="2003"/>
      <c r="DR116" s="2005"/>
      <c r="DS116" s="2005"/>
      <c r="DT116" s="2005"/>
      <c r="DU116" s="2005"/>
      <c r="DV116" s="2005"/>
      <c r="DW116" s="2005"/>
      <c r="DX116" s="2005"/>
      <c r="DY116" s="2005"/>
      <c r="DZ116" s="2005"/>
      <c r="EA116" s="2005"/>
      <c r="FF116" s="1616"/>
    </row>
    <row r="117" spans="1:162" hidden="1" outlineLevel="2">
      <c r="A117" s="1624" t="s">
        <v>1314</v>
      </c>
      <c r="B117" s="1624" t="s">
        <v>2071</v>
      </c>
      <c r="C117" s="1624" t="s">
        <v>2090</v>
      </c>
      <c r="D117" s="1624" t="s">
        <v>2086</v>
      </c>
      <c r="E117" s="2003"/>
      <c r="F117" s="2003"/>
      <c r="G117" s="2003"/>
      <c r="H117" s="2003"/>
      <c r="I117" s="2003"/>
      <c r="J117" s="2003"/>
      <c r="K117" s="2003"/>
      <c r="L117" s="2003"/>
      <c r="M117" s="2003"/>
      <c r="N117" s="2003"/>
      <c r="O117" s="2003"/>
      <c r="P117" s="2003"/>
      <c r="Q117" s="2003">
        <f t="shared" si="124"/>
        <v>5900</v>
      </c>
      <c r="R117" s="2003">
        <f t="shared" si="125"/>
        <v>4100</v>
      </c>
      <c r="S117" s="2003" t="e">
        <f t="shared" si="126"/>
        <v>#REF!</v>
      </c>
      <c r="T117" s="2003"/>
      <c r="U117" s="2003"/>
      <c r="V117" s="2003"/>
      <c r="W117" s="2003"/>
      <c r="X117" s="2003"/>
      <c r="Y117" s="2003"/>
      <c r="Z117" s="2003"/>
      <c r="AA117" s="2003"/>
      <c r="AB117" s="2003"/>
      <c r="AC117" s="2003"/>
      <c r="AD117" s="2003"/>
      <c r="AE117" s="2003"/>
      <c r="AF117" s="2003"/>
      <c r="AG117" s="2003"/>
      <c r="AH117" s="2003"/>
      <c r="AI117" s="2003"/>
      <c r="AJ117" s="2003"/>
      <c r="AK117" s="2003"/>
      <c r="AL117" s="2003"/>
      <c r="AM117" s="2003"/>
      <c r="AN117" s="2003"/>
      <c r="AO117" s="2003"/>
      <c r="AP117" s="2003"/>
      <c r="AQ117" s="2003"/>
      <c r="AR117" s="2003">
        <f t="shared" si="127"/>
        <v>5900</v>
      </c>
      <c r="AS117" s="2003">
        <f t="shared" si="128"/>
        <v>3900</v>
      </c>
      <c r="AT117" s="2003">
        <f t="shared" si="129"/>
        <v>3900</v>
      </c>
      <c r="AU117" s="2003">
        <f t="shared" si="130"/>
        <v>3900</v>
      </c>
      <c r="AV117" s="2003"/>
      <c r="AW117" s="2003"/>
      <c r="AX117" s="2003">
        <f t="shared" si="131"/>
        <v>5900</v>
      </c>
      <c r="AY117" s="2003">
        <f t="shared" si="132"/>
        <v>3900</v>
      </c>
      <c r="AZ117" s="2003" t="e">
        <f t="shared" si="133"/>
        <v>#REF!</v>
      </c>
      <c r="BA117" s="2003">
        <f t="shared" si="134"/>
        <v>3900</v>
      </c>
      <c r="BB117" s="2003">
        <f t="shared" si="135"/>
        <v>3900</v>
      </c>
      <c r="BC117" s="2003">
        <f t="shared" si="136"/>
        <v>3900</v>
      </c>
      <c r="BD117" s="2003"/>
      <c r="BE117" s="2003"/>
      <c r="BF117" s="2003">
        <f t="shared" si="137"/>
        <v>5900</v>
      </c>
      <c r="BG117" s="2003">
        <f t="shared" si="138"/>
        <v>3900</v>
      </c>
      <c r="BH117" s="2003" t="e">
        <f t="shared" si="139"/>
        <v>#REF!</v>
      </c>
      <c r="BI117" s="2003">
        <f t="shared" si="140"/>
        <v>3900</v>
      </c>
      <c r="BJ117" s="2003">
        <f t="shared" si="141"/>
        <v>3900</v>
      </c>
      <c r="BK117" s="2003">
        <f t="shared" si="142"/>
        <v>3900</v>
      </c>
      <c r="BL117" s="2003">
        <f t="shared" si="143"/>
        <v>0</v>
      </c>
      <c r="BM117" s="2003">
        <f t="shared" si="144"/>
        <v>0</v>
      </c>
      <c r="BN117" s="2003"/>
      <c r="BO117" s="2003"/>
      <c r="BP117" s="2003"/>
      <c r="BQ117" s="2003"/>
      <c r="BR117" s="2003"/>
      <c r="BS117" s="2003"/>
      <c r="BT117" s="2003"/>
      <c r="BU117" s="2003"/>
      <c r="BV117" s="2003"/>
      <c r="BW117" s="2003"/>
      <c r="BX117" s="2003"/>
      <c r="BY117" s="2003"/>
      <c r="BZ117" s="2003"/>
      <c r="CA117" s="2003"/>
      <c r="CB117" s="2003"/>
      <c r="CC117" s="2003"/>
      <c r="CD117" s="2003"/>
      <c r="CE117" s="2003"/>
      <c r="CF117" s="2003"/>
      <c r="CG117" s="2003"/>
      <c r="CH117" s="2003"/>
      <c r="CI117" s="2003"/>
      <c r="CJ117" s="2003"/>
      <c r="CK117" s="2003"/>
      <c r="CL117" s="2003"/>
      <c r="CM117" s="2003"/>
      <c r="CN117" s="2003"/>
      <c r="CO117" s="2003"/>
      <c r="CP117" s="2003"/>
      <c r="CQ117" s="2003"/>
      <c r="CR117" s="2003"/>
      <c r="CS117" s="2003"/>
      <c r="CT117" s="2003"/>
      <c r="CU117" s="2003"/>
      <c r="CV117" s="2003"/>
      <c r="CW117" s="2003"/>
      <c r="CX117" s="2003"/>
      <c r="CY117" s="2003"/>
      <c r="CZ117" s="2003"/>
      <c r="DA117" s="2003"/>
      <c r="DB117" s="2003"/>
      <c r="DC117" s="2003"/>
      <c r="DD117" s="2003"/>
      <c r="DE117" s="2003"/>
      <c r="DF117" s="2003"/>
      <c r="DG117" s="2003"/>
      <c r="DH117" s="2003"/>
      <c r="DI117" s="2003"/>
      <c r="DJ117" s="2003"/>
      <c r="DK117" s="2003"/>
      <c r="DL117" s="2003"/>
      <c r="DM117" s="2003"/>
      <c r="DN117" s="2003"/>
      <c r="DO117" s="2004"/>
      <c r="DP117" s="2003"/>
      <c r="DQ117" s="2003"/>
      <c r="DR117" s="2005"/>
      <c r="DS117" s="2005"/>
      <c r="DT117" s="2005"/>
      <c r="DU117" s="2005"/>
      <c r="DV117" s="2005"/>
      <c r="DW117" s="2005"/>
      <c r="DX117" s="2005"/>
      <c r="DY117" s="2005"/>
      <c r="DZ117" s="2005"/>
      <c r="EA117" s="2005"/>
      <c r="FF117" s="1616"/>
    </row>
    <row r="118" spans="1:162" hidden="1" outlineLevel="2">
      <c r="A118" s="1624" t="s">
        <v>1314</v>
      </c>
      <c r="B118" s="1624" t="s">
        <v>2071</v>
      </c>
      <c r="C118" s="1624" t="s">
        <v>2090</v>
      </c>
      <c r="D118" s="1624" t="s">
        <v>2087</v>
      </c>
      <c r="E118" s="2003"/>
      <c r="F118" s="2003"/>
      <c r="G118" s="2003"/>
      <c r="H118" s="2003"/>
      <c r="I118" s="2003"/>
      <c r="J118" s="2003"/>
      <c r="K118" s="2003"/>
      <c r="L118" s="2003"/>
      <c r="M118" s="2003"/>
      <c r="N118" s="2003"/>
      <c r="O118" s="2003"/>
      <c r="P118" s="2003"/>
      <c r="Q118" s="2003">
        <f t="shared" si="124"/>
        <v>5900</v>
      </c>
      <c r="R118" s="2003">
        <f t="shared" si="125"/>
        <v>4100</v>
      </c>
      <c r="S118" s="2003" t="e">
        <f t="shared" si="126"/>
        <v>#REF!</v>
      </c>
      <c r="T118" s="2003"/>
      <c r="U118" s="2003"/>
      <c r="V118" s="2003"/>
      <c r="W118" s="2003"/>
      <c r="X118" s="2003"/>
      <c r="Y118" s="2003"/>
      <c r="Z118" s="2003"/>
      <c r="AA118" s="2003"/>
      <c r="AB118" s="2003"/>
      <c r="AC118" s="2003"/>
      <c r="AD118" s="2003"/>
      <c r="AE118" s="2003"/>
      <c r="AF118" s="2003"/>
      <c r="AG118" s="2003"/>
      <c r="AH118" s="2003"/>
      <c r="AI118" s="2003"/>
      <c r="AJ118" s="2003"/>
      <c r="AK118" s="2003"/>
      <c r="AL118" s="2003"/>
      <c r="AM118" s="2003"/>
      <c r="AN118" s="2003"/>
      <c r="AO118" s="2003"/>
      <c r="AP118" s="2003"/>
      <c r="AQ118" s="2003"/>
      <c r="AR118" s="2003">
        <f t="shared" si="127"/>
        <v>5900</v>
      </c>
      <c r="AS118" s="2003">
        <f t="shared" si="128"/>
        <v>3900</v>
      </c>
      <c r="AT118" s="2003">
        <f t="shared" si="129"/>
        <v>3900</v>
      </c>
      <c r="AU118" s="2003">
        <f t="shared" si="130"/>
        <v>3900</v>
      </c>
      <c r="AV118" s="2003"/>
      <c r="AW118" s="2003"/>
      <c r="AX118" s="2003">
        <f t="shared" si="131"/>
        <v>5900</v>
      </c>
      <c r="AY118" s="2003">
        <f t="shared" si="132"/>
        <v>3900</v>
      </c>
      <c r="AZ118" s="2003" t="e">
        <f t="shared" si="133"/>
        <v>#REF!</v>
      </c>
      <c r="BA118" s="2003">
        <f t="shared" si="134"/>
        <v>3900</v>
      </c>
      <c r="BB118" s="2003">
        <f t="shared" si="135"/>
        <v>3900</v>
      </c>
      <c r="BC118" s="2003">
        <f t="shared" si="136"/>
        <v>3900</v>
      </c>
      <c r="BD118" s="2003"/>
      <c r="BE118" s="2003"/>
      <c r="BF118" s="2003">
        <f t="shared" si="137"/>
        <v>5900</v>
      </c>
      <c r="BG118" s="2003">
        <f t="shared" si="138"/>
        <v>3900</v>
      </c>
      <c r="BH118" s="2003" t="e">
        <f t="shared" si="139"/>
        <v>#REF!</v>
      </c>
      <c r="BI118" s="2003">
        <f t="shared" si="140"/>
        <v>3900</v>
      </c>
      <c r="BJ118" s="2003">
        <f t="shared" si="141"/>
        <v>3900</v>
      </c>
      <c r="BK118" s="2003">
        <f t="shared" si="142"/>
        <v>3900</v>
      </c>
      <c r="BL118" s="2003">
        <f t="shared" si="143"/>
        <v>0</v>
      </c>
      <c r="BM118" s="2003">
        <f t="shared" si="144"/>
        <v>0</v>
      </c>
      <c r="BN118" s="2003"/>
      <c r="BO118" s="2003"/>
      <c r="BP118" s="2003"/>
      <c r="BQ118" s="2003"/>
      <c r="BR118" s="2003"/>
      <c r="BS118" s="2003"/>
      <c r="BT118" s="2003"/>
      <c r="BU118" s="2003"/>
      <c r="BV118" s="2003"/>
      <c r="BW118" s="2003"/>
      <c r="BX118" s="2003"/>
      <c r="BY118" s="2003"/>
      <c r="BZ118" s="2003"/>
      <c r="CA118" s="2003"/>
      <c r="CB118" s="2003"/>
      <c r="CC118" s="2003"/>
      <c r="CD118" s="2003"/>
      <c r="CE118" s="2003"/>
      <c r="CF118" s="2003"/>
      <c r="CG118" s="2003"/>
      <c r="CH118" s="2003"/>
      <c r="CI118" s="2003"/>
      <c r="CJ118" s="2003"/>
      <c r="CK118" s="2003"/>
      <c r="CL118" s="2003"/>
      <c r="CM118" s="2003"/>
      <c r="CN118" s="2003"/>
      <c r="CO118" s="2003"/>
      <c r="CP118" s="2003"/>
      <c r="CQ118" s="2003"/>
      <c r="CR118" s="2003"/>
      <c r="CS118" s="2003"/>
      <c r="CT118" s="2003"/>
      <c r="CU118" s="2003"/>
      <c r="CV118" s="2003"/>
      <c r="CW118" s="2003"/>
      <c r="CX118" s="2003"/>
      <c r="CY118" s="2003"/>
      <c r="CZ118" s="2003"/>
      <c r="DA118" s="2003"/>
      <c r="DB118" s="2003"/>
      <c r="DC118" s="2003"/>
      <c r="DD118" s="2003"/>
      <c r="DE118" s="2003"/>
      <c r="DF118" s="2003"/>
      <c r="DG118" s="2003"/>
      <c r="DH118" s="2003"/>
      <c r="DI118" s="2003"/>
      <c r="DJ118" s="2003"/>
      <c r="DK118" s="2003"/>
      <c r="DL118" s="2003"/>
      <c r="DM118" s="2003"/>
      <c r="DN118" s="2003"/>
      <c r="DO118" s="2004"/>
      <c r="DP118" s="2003"/>
      <c r="DQ118" s="2003"/>
      <c r="DR118" s="2005"/>
      <c r="DS118" s="2005"/>
      <c r="DT118" s="2005"/>
      <c r="DU118" s="2005"/>
      <c r="DV118" s="2005"/>
      <c r="DW118" s="2005"/>
      <c r="DX118" s="2005"/>
      <c r="DY118" s="2005"/>
      <c r="DZ118" s="2005"/>
      <c r="EA118" s="2005"/>
      <c r="FF118" s="1616"/>
    </row>
    <row r="119" spans="1:162" hidden="1" outlineLevel="2">
      <c r="A119" s="1624" t="s">
        <v>1314</v>
      </c>
      <c r="B119" s="1624" t="s">
        <v>2072</v>
      </c>
      <c r="C119" s="1624" t="s">
        <v>2090</v>
      </c>
      <c r="D119" s="1624" t="s">
        <v>2085</v>
      </c>
      <c r="E119" s="2003"/>
      <c r="F119" s="2003"/>
      <c r="G119" s="2003"/>
      <c r="H119" s="2003"/>
      <c r="I119" s="2003"/>
      <c r="J119" s="2003"/>
      <c r="K119" s="2003"/>
      <c r="L119" s="2003"/>
      <c r="M119" s="2003"/>
      <c r="N119" s="2003"/>
      <c r="O119" s="2003"/>
      <c r="P119" s="2003"/>
      <c r="Q119" s="2003">
        <f t="shared" si="124"/>
        <v>5900</v>
      </c>
      <c r="R119" s="2003">
        <f t="shared" si="125"/>
        <v>4100</v>
      </c>
      <c r="S119" s="2003" t="e">
        <f t="shared" si="126"/>
        <v>#REF!</v>
      </c>
      <c r="T119" s="2003"/>
      <c r="U119" s="2003"/>
      <c r="V119" s="2003"/>
      <c r="W119" s="2003"/>
      <c r="X119" s="2003"/>
      <c r="Y119" s="2003"/>
      <c r="Z119" s="2003"/>
      <c r="AA119" s="2003"/>
      <c r="AB119" s="2003"/>
      <c r="AC119" s="2003"/>
      <c r="AD119" s="2003"/>
      <c r="AE119" s="2003"/>
      <c r="AF119" s="2003"/>
      <c r="AG119" s="2003"/>
      <c r="AH119" s="2003"/>
      <c r="AI119" s="2003"/>
      <c r="AJ119" s="2003"/>
      <c r="AK119" s="2003"/>
      <c r="AL119" s="2003"/>
      <c r="AM119" s="2003"/>
      <c r="AN119" s="2003"/>
      <c r="AO119" s="2003"/>
      <c r="AP119" s="2003"/>
      <c r="AQ119" s="2003"/>
      <c r="AR119" s="2003">
        <f t="shared" si="127"/>
        <v>5900</v>
      </c>
      <c r="AS119" s="2003">
        <f t="shared" si="128"/>
        <v>3900</v>
      </c>
      <c r="AT119" s="2003">
        <f t="shared" si="129"/>
        <v>3900</v>
      </c>
      <c r="AU119" s="2003">
        <f t="shared" si="130"/>
        <v>3900</v>
      </c>
      <c r="AV119" s="2003"/>
      <c r="AW119" s="2003"/>
      <c r="AX119" s="2003">
        <f t="shared" si="131"/>
        <v>5900</v>
      </c>
      <c r="AY119" s="2003">
        <f t="shared" si="132"/>
        <v>3900</v>
      </c>
      <c r="AZ119" s="2003" t="e">
        <f t="shared" si="133"/>
        <v>#REF!</v>
      </c>
      <c r="BA119" s="2003">
        <f t="shared" si="134"/>
        <v>3900</v>
      </c>
      <c r="BB119" s="2003">
        <f t="shared" si="135"/>
        <v>3900</v>
      </c>
      <c r="BC119" s="2003">
        <f t="shared" si="136"/>
        <v>3900</v>
      </c>
      <c r="BD119" s="2003"/>
      <c r="BE119" s="2003"/>
      <c r="BF119" s="2003">
        <f t="shared" si="137"/>
        <v>5900</v>
      </c>
      <c r="BG119" s="2003">
        <f t="shared" si="138"/>
        <v>3900</v>
      </c>
      <c r="BH119" s="2003" t="e">
        <f t="shared" si="139"/>
        <v>#REF!</v>
      </c>
      <c r="BI119" s="2003">
        <f t="shared" si="140"/>
        <v>3900</v>
      </c>
      <c r="BJ119" s="2003">
        <f t="shared" si="141"/>
        <v>3900</v>
      </c>
      <c r="BK119" s="2003">
        <f t="shared" si="142"/>
        <v>3900</v>
      </c>
      <c r="BL119" s="2003">
        <f t="shared" si="143"/>
        <v>0</v>
      </c>
      <c r="BM119" s="2003">
        <f t="shared" si="144"/>
        <v>0</v>
      </c>
      <c r="BN119" s="2003"/>
      <c r="BO119" s="2003"/>
      <c r="BP119" s="2003"/>
      <c r="BQ119" s="2003"/>
      <c r="BR119" s="2003"/>
      <c r="BS119" s="2003"/>
      <c r="BT119" s="2003"/>
      <c r="BU119" s="2003"/>
      <c r="BV119" s="2003"/>
      <c r="BW119" s="2003"/>
      <c r="BX119" s="2003"/>
      <c r="BY119" s="2003"/>
      <c r="BZ119" s="2003"/>
      <c r="CA119" s="2003"/>
      <c r="CB119" s="2003"/>
      <c r="CC119" s="2003"/>
      <c r="CD119" s="2003"/>
      <c r="CE119" s="2003"/>
      <c r="CF119" s="2003"/>
      <c r="CG119" s="2003"/>
      <c r="CH119" s="2003"/>
      <c r="CI119" s="2003"/>
      <c r="CJ119" s="2003"/>
      <c r="CK119" s="2003"/>
      <c r="CL119" s="2003"/>
      <c r="CM119" s="2003"/>
      <c r="CN119" s="2003"/>
      <c r="CO119" s="2003"/>
      <c r="CP119" s="2003"/>
      <c r="CQ119" s="2003"/>
      <c r="CR119" s="2003"/>
      <c r="CS119" s="2003"/>
      <c r="CT119" s="2003"/>
      <c r="CU119" s="2003"/>
      <c r="CV119" s="2003"/>
      <c r="CW119" s="2003"/>
      <c r="CX119" s="2003"/>
      <c r="CY119" s="2003"/>
      <c r="CZ119" s="2003"/>
      <c r="DA119" s="2003"/>
      <c r="DB119" s="2003"/>
      <c r="DC119" s="2003"/>
      <c r="DD119" s="2003"/>
      <c r="DE119" s="2003"/>
      <c r="DF119" s="2003"/>
      <c r="DG119" s="2003"/>
      <c r="DH119" s="2003"/>
      <c r="DI119" s="2003"/>
      <c r="DJ119" s="2003"/>
      <c r="DK119" s="2003"/>
      <c r="DL119" s="2003"/>
      <c r="DM119" s="2003"/>
      <c r="DN119" s="2003"/>
      <c r="DO119" s="2004"/>
      <c r="DP119" s="2003"/>
      <c r="DQ119" s="2003"/>
      <c r="DR119" s="2005"/>
      <c r="DS119" s="2005"/>
      <c r="DT119" s="2005"/>
      <c r="DU119" s="2005"/>
      <c r="DV119" s="2005"/>
      <c r="DW119" s="2005"/>
      <c r="DX119" s="2005"/>
      <c r="DY119" s="2005"/>
      <c r="DZ119" s="2005"/>
      <c r="EA119" s="2005"/>
      <c r="FF119" s="1616"/>
    </row>
    <row r="120" spans="1:162" hidden="1" outlineLevel="2">
      <c r="A120" s="1624" t="s">
        <v>1314</v>
      </c>
      <c r="B120" s="1624" t="s">
        <v>2072</v>
      </c>
      <c r="C120" s="1624" t="s">
        <v>2090</v>
      </c>
      <c r="D120" s="1624" t="s">
        <v>722</v>
      </c>
      <c r="E120" s="2003"/>
      <c r="F120" s="2003"/>
      <c r="G120" s="2003"/>
      <c r="H120" s="2003"/>
      <c r="I120" s="2003"/>
      <c r="J120" s="2003"/>
      <c r="K120" s="2003"/>
      <c r="L120" s="2003"/>
      <c r="M120" s="2003"/>
      <c r="N120" s="2003"/>
      <c r="O120" s="2003"/>
      <c r="P120" s="2003"/>
      <c r="Q120" s="2003">
        <f t="shared" si="124"/>
        <v>5900</v>
      </c>
      <c r="R120" s="2003">
        <f t="shared" si="125"/>
        <v>4100</v>
      </c>
      <c r="S120" s="2003" t="e">
        <f t="shared" si="126"/>
        <v>#REF!</v>
      </c>
      <c r="T120" s="2003"/>
      <c r="U120" s="2003"/>
      <c r="V120" s="2003"/>
      <c r="W120" s="2003"/>
      <c r="X120" s="2003"/>
      <c r="Y120" s="2003"/>
      <c r="Z120" s="2003"/>
      <c r="AA120" s="2003"/>
      <c r="AB120" s="2003"/>
      <c r="AC120" s="2003"/>
      <c r="AD120" s="2003"/>
      <c r="AE120" s="2003"/>
      <c r="AF120" s="2003"/>
      <c r="AG120" s="2003"/>
      <c r="AH120" s="2003"/>
      <c r="AI120" s="2003"/>
      <c r="AJ120" s="2003"/>
      <c r="AK120" s="2003"/>
      <c r="AL120" s="2003"/>
      <c r="AM120" s="2003"/>
      <c r="AN120" s="2003"/>
      <c r="AO120" s="2003"/>
      <c r="AP120" s="2003"/>
      <c r="AQ120" s="2003"/>
      <c r="AR120" s="2003">
        <f t="shared" si="127"/>
        <v>5900</v>
      </c>
      <c r="AS120" s="2003">
        <f t="shared" si="128"/>
        <v>3900</v>
      </c>
      <c r="AT120" s="2003">
        <f t="shared" si="129"/>
        <v>3900</v>
      </c>
      <c r="AU120" s="2003">
        <f t="shared" si="130"/>
        <v>3900</v>
      </c>
      <c r="AV120" s="2003"/>
      <c r="AW120" s="2003"/>
      <c r="AX120" s="2003">
        <f t="shared" si="131"/>
        <v>5900</v>
      </c>
      <c r="AY120" s="2003">
        <f t="shared" si="132"/>
        <v>3900</v>
      </c>
      <c r="AZ120" s="2003" t="e">
        <f t="shared" si="133"/>
        <v>#REF!</v>
      </c>
      <c r="BA120" s="2003">
        <f t="shared" si="134"/>
        <v>3900</v>
      </c>
      <c r="BB120" s="2003">
        <f t="shared" si="135"/>
        <v>3900</v>
      </c>
      <c r="BC120" s="2003">
        <f t="shared" si="136"/>
        <v>3900</v>
      </c>
      <c r="BD120" s="2003"/>
      <c r="BE120" s="2005"/>
      <c r="BF120" s="2003">
        <f t="shared" si="137"/>
        <v>5900</v>
      </c>
      <c r="BG120" s="2003">
        <f t="shared" si="138"/>
        <v>3900</v>
      </c>
      <c r="BH120" s="2003" t="e">
        <f t="shared" si="139"/>
        <v>#REF!</v>
      </c>
      <c r="BI120" s="2003">
        <f t="shared" si="140"/>
        <v>3900</v>
      </c>
      <c r="BJ120" s="2003">
        <f t="shared" si="141"/>
        <v>3900</v>
      </c>
      <c r="BK120" s="2003">
        <f t="shared" si="142"/>
        <v>3900</v>
      </c>
      <c r="BL120" s="2003">
        <f t="shared" si="143"/>
        <v>0</v>
      </c>
      <c r="BM120" s="2003">
        <f t="shared" si="144"/>
        <v>0</v>
      </c>
      <c r="BN120" s="2003"/>
      <c r="BO120" s="2005"/>
      <c r="BP120" s="2003"/>
      <c r="BQ120" s="2003"/>
      <c r="BR120" s="2003"/>
      <c r="BS120" s="2003"/>
      <c r="BT120" s="2003"/>
      <c r="BU120" s="2003"/>
      <c r="BV120" s="2003"/>
      <c r="BW120" s="2003"/>
      <c r="BX120" s="2003"/>
      <c r="BY120" s="2003"/>
      <c r="BZ120" s="2003"/>
      <c r="CA120" s="2003"/>
      <c r="CB120" s="2003"/>
      <c r="CC120" s="2003"/>
      <c r="CD120" s="2003"/>
      <c r="CE120" s="2003"/>
      <c r="CF120" s="2003"/>
      <c r="CG120" s="2003"/>
      <c r="CH120" s="2003"/>
      <c r="CI120" s="2003"/>
      <c r="CJ120" s="2003"/>
      <c r="CK120" s="2003"/>
      <c r="CL120" s="2003"/>
      <c r="CM120" s="2003"/>
      <c r="CN120" s="2003"/>
      <c r="CO120" s="2003"/>
      <c r="CP120" s="2003"/>
      <c r="CQ120" s="2003"/>
      <c r="CR120" s="2003"/>
      <c r="CS120" s="2003"/>
      <c r="CT120" s="2003"/>
      <c r="CU120" s="2003"/>
      <c r="CV120" s="2003"/>
      <c r="CW120" s="2003"/>
      <c r="CX120" s="2003"/>
      <c r="CY120" s="2003"/>
      <c r="CZ120" s="2003"/>
      <c r="DA120" s="2003"/>
      <c r="DB120" s="2003"/>
      <c r="DC120" s="2003"/>
      <c r="DD120" s="2003"/>
      <c r="DE120" s="2003"/>
      <c r="DF120" s="2003"/>
      <c r="DG120" s="2003"/>
      <c r="DH120" s="2003"/>
      <c r="DI120" s="2003"/>
      <c r="DJ120" s="2003"/>
      <c r="DK120" s="2003"/>
      <c r="DL120" s="2003"/>
      <c r="DM120" s="2003"/>
      <c r="DN120" s="2003"/>
      <c r="DO120" s="2004"/>
      <c r="DP120" s="2003"/>
      <c r="DQ120" s="2003"/>
      <c r="DR120" s="2005"/>
      <c r="DS120" s="2005"/>
      <c r="DT120" s="2005"/>
      <c r="DU120" s="2005"/>
      <c r="DV120" s="2005"/>
      <c r="DW120" s="2005"/>
      <c r="DX120" s="2005"/>
      <c r="DY120" s="2005"/>
      <c r="DZ120" s="2005"/>
      <c r="EA120" s="2005"/>
      <c r="FF120" s="1616"/>
    </row>
    <row r="121" spans="1:162" hidden="1" outlineLevel="2">
      <c r="A121" s="1624" t="s">
        <v>1314</v>
      </c>
      <c r="B121" s="1624" t="s">
        <v>2072</v>
      </c>
      <c r="C121" s="1624" t="s">
        <v>2090</v>
      </c>
      <c r="D121" s="1624" t="s">
        <v>2086</v>
      </c>
      <c r="E121" s="2003"/>
      <c r="F121" s="2003"/>
      <c r="G121" s="2003"/>
      <c r="H121" s="2003"/>
      <c r="I121" s="2003"/>
      <c r="J121" s="2003"/>
      <c r="K121" s="2003"/>
      <c r="L121" s="2003"/>
      <c r="M121" s="2003"/>
      <c r="N121" s="2003"/>
      <c r="O121" s="2003"/>
      <c r="P121" s="2003"/>
      <c r="Q121" s="2003">
        <f t="shared" si="124"/>
        <v>5900</v>
      </c>
      <c r="R121" s="2003">
        <f t="shared" si="125"/>
        <v>4100</v>
      </c>
      <c r="S121" s="2003" t="e">
        <f t="shared" si="126"/>
        <v>#REF!</v>
      </c>
      <c r="T121" s="2003"/>
      <c r="U121" s="2003"/>
      <c r="V121" s="2003"/>
      <c r="W121" s="2003"/>
      <c r="X121" s="2003"/>
      <c r="Y121" s="2003"/>
      <c r="Z121" s="2003"/>
      <c r="AA121" s="2003"/>
      <c r="AB121" s="2003"/>
      <c r="AC121" s="2003"/>
      <c r="AD121" s="2003"/>
      <c r="AE121" s="2003"/>
      <c r="AF121" s="2003"/>
      <c r="AG121" s="2003"/>
      <c r="AH121" s="2003"/>
      <c r="AI121" s="2003"/>
      <c r="AJ121" s="2003"/>
      <c r="AK121" s="2003"/>
      <c r="AL121" s="2003"/>
      <c r="AM121" s="2003"/>
      <c r="AN121" s="2003"/>
      <c r="AO121" s="2003"/>
      <c r="AP121" s="2003"/>
      <c r="AQ121" s="2003"/>
      <c r="AR121" s="2003">
        <f t="shared" si="127"/>
        <v>5900</v>
      </c>
      <c r="AS121" s="2003">
        <f t="shared" si="128"/>
        <v>3900</v>
      </c>
      <c r="AT121" s="2003">
        <f t="shared" si="129"/>
        <v>3900</v>
      </c>
      <c r="AU121" s="2003">
        <f t="shared" si="130"/>
        <v>3900</v>
      </c>
      <c r="AV121" s="2003"/>
      <c r="AW121" s="2003"/>
      <c r="AX121" s="2003">
        <f t="shared" si="131"/>
        <v>5900</v>
      </c>
      <c r="AY121" s="2003">
        <f t="shared" si="132"/>
        <v>3900</v>
      </c>
      <c r="AZ121" s="2003" t="e">
        <f t="shared" si="133"/>
        <v>#REF!</v>
      </c>
      <c r="BA121" s="2003">
        <f t="shared" si="134"/>
        <v>3900</v>
      </c>
      <c r="BB121" s="2003">
        <f t="shared" si="135"/>
        <v>3900</v>
      </c>
      <c r="BC121" s="2003">
        <f t="shared" si="136"/>
        <v>3900</v>
      </c>
      <c r="BD121" s="2003"/>
      <c r="BE121" s="2005"/>
      <c r="BF121" s="2003">
        <f t="shared" si="137"/>
        <v>5900</v>
      </c>
      <c r="BG121" s="2003">
        <f t="shared" si="138"/>
        <v>3900</v>
      </c>
      <c r="BH121" s="2003" t="e">
        <f t="shared" si="139"/>
        <v>#REF!</v>
      </c>
      <c r="BI121" s="2003">
        <f t="shared" si="140"/>
        <v>3900</v>
      </c>
      <c r="BJ121" s="2003">
        <f t="shared" si="141"/>
        <v>3900</v>
      </c>
      <c r="BK121" s="2003">
        <f t="shared" si="142"/>
        <v>3900</v>
      </c>
      <c r="BL121" s="2003">
        <f t="shared" si="143"/>
        <v>0</v>
      </c>
      <c r="BM121" s="2003">
        <f t="shared" si="144"/>
        <v>0</v>
      </c>
      <c r="BN121" s="2003"/>
      <c r="BO121" s="2005"/>
      <c r="BP121" s="2003"/>
      <c r="BQ121" s="2003"/>
      <c r="BR121" s="2003"/>
      <c r="BS121" s="2003"/>
      <c r="BT121" s="2003"/>
      <c r="BU121" s="2003"/>
      <c r="BV121" s="2003"/>
      <c r="BW121" s="2003"/>
      <c r="BX121" s="2003"/>
      <c r="BY121" s="2003"/>
      <c r="BZ121" s="2003"/>
      <c r="CA121" s="2003"/>
      <c r="CB121" s="2003"/>
      <c r="CC121" s="2003"/>
      <c r="CD121" s="2003"/>
      <c r="CE121" s="2003"/>
      <c r="CF121" s="2003"/>
      <c r="CG121" s="2003"/>
      <c r="CH121" s="2003"/>
      <c r="CI121" s="2003"/>
      <c r="CJ121" s="2003"/>
      <c r="CK121" s="2003"/>
      <c r="CL121" s="2003"/>
      <c r="CM121" s="2003"/>
      <c r="CN121" s="2003"/>
      <c r="CO121" s="2003"/>
      <c r="CP121" s="2003"/>
      <c r="CQ121" s="2003"/>
      <c r="CR121" s="2003"/>
      <c r="CS121" s="2003"/>
      <c r="CT121" s="2003"/>
      <c r="CU121" s="2003"/>
      <c r="CV121" s="2003"/>
      <c r="CW121" s="2003"/>
      <c r="CX121" s="2003"/>
      <c r="CY121" s="2003"/>
      <c r="CZ121" s="2003"/>
      <c r="DA121" s="2003"/>
      <c r="DB121" s="2003"/>
      <c r="DC121" s="2003"/>
      <c r="DD121" s="2003"/>
      <c r="DE121" s="2003"/>
      <c r="DF121" s="2003"/>
      <c r="DG121" s="2003"/>
      <c r="DH121" s="2003"/>
      <c r="DI121" s="2003"/>
      <c r="DJ121" s="2003"/>
      <c r="DK121" s="2003"/>
      <c r="DL121" s="2003"/>
      <c r="DM121" s="2003"/>
      <c r="DN121" s="2003"/>
      <c r="DO121" s="2004"/>
      <c r="DP121" s="2003"/>
      <c r="DQ121" s="2003"/>
      <c r="DR121" s="2005"/>
      <c r="DS121" s="2005"/>
      <c r="DT121" s="2005"/>
      <c r="DU121" s="2005"/>
      <c r="DV121" s="2005"/>
      <c r="DW121" s="2005"/>
      <c r="DX121" s="2005"/>
      <c r="DY121" s="2005"/>
      <c r="DZ121" s="2005"/>
      <c r="EA121" s="2005"/>
      <c r="FF121" s="1616"/>
    </row>
    <row r="122" spans="1:162" hidden="1" outlineLevel="2">
      <c r="A122" s="1624" t="s">
        <v>1314</v>
      </c>
      <c r="B122" s="1624" t="s">
        <v>2072</v>
      </c>
      <c r="C122" s="1624" t="s">
        <v>2090</v>
      </c>
      <c r="D122" s="1624" t="s">
        <v>2087</v>
      </c>
      <c r="E122" s="2003"/>
      <c r="F122" s="2003"/>
      <c r="G122" s="2003"/>
      <c r="H122" s="2003"/>
      <c r="I122" s="2003"/>
      <c r="J122" s="2003"/>
      <c r="K122" s="2003"/>
      <c r="L122" s="2003"/>
      <c r="M122" s="2003"/>
      <c r="N122" s="2003"/>
      <c r="O122" s="2003"/>
      <c r="P122" s="2003"/>
      <c r="Q122" s="2003">
        <f t="shared" si="124"/>
        <v>5900</v>
      </c>
      <c r="R122" s="2003">
        <f t="shared" si="125"/>
        <v>4100</v>
      </c>
      <c r="S122" s="2003" t="e">
        <f t="shared" si="126"/>
        <v>#REF!</v>
      </c>
      <c r="T122" s="2003"/>
      <c r="U122" s="2003"/>
      <c r="V122" s="2003"/>
      <c r="W122" s="2003"/>
      <c r="X122" s="2003"/>
      <c r="Y122" s="2003"/>
      <c r="Z122" s="2003"/>
      <c r="AA122" s="2003"/>
      <c r="AB122" s="2003"/>
      <c r="AC122" s="2003"/>
      <c r="AD122" s="2003"/>
      <c r="AE122" s="2003"/>
      <c r="AF122" s="2003"/>
      <c r="AG122" s="2003"/>
      <c r="AH122" s="2003"/>
      <c r="AI122" s="2003"/>
      <c r="AJ122" s="2003"/>
      <c r="AK122" s="2003"/>
      <c r="AL122" s="2003"/>
      <c r="AM122" s="2003"/>
      <c r="AN122" s="2003"/>
      <c r="AO122" s="2003"/>
      <c r="AP122" s="2003"/>
      <c r="AQ122" s="2003"/>
      <c r="AR122" s="2003">
        <f t="shared" si="127"/>
        <v>5900</v>
      </c>
      <c r="AS122" s="2003">
        <f t="shared" si="128"/>
        <v>3900</v>
      </c>
      <c r="AT122" s="2003">
        <f t="shared" si="129"/>
        <v>3900</v>
      </c>
      <c r="AU122" s="2003">
        <f t="shared" si="130"/>
        <v>3900</v>
      </c>
      <c r="AV122" s="2003"/>
      <c r="AW122" s="2003"/>
      <c r="AX122" s="2003">
        <f t="shared" si="131"/>
        <v>5900</v>
      </c>
      <c r="AY122" s="2003">
        <f t="shared" si="132"/>
        <v>3900</v>
      </c>
      <c r="AZ122" s="2003" t="e">
        <f t="shared" si="133"/>
        <v>#REF!</v>
      </c>
      <c r="BA122" s="2003">
        <f t="shared" si="134"/>
        <v>3900</v>
      </c>
      <c r="BB122" s="2003">
        <f t="shared" si="135"/>
        <v>3900</v>
      </c>
      <c r="BC122" s="2003">
        <f t="shared" si="136"/>
        <v>3900</v>
      </c>
      <c r="BD122" s="2003"/>
      <c r="BE122" s="2005"/>
      <c r="BF122" s="2003">
        <f t="shared" si="137"/>
        <v>5900</v>
      </c>
      <c r="BG122" s="2003">
        <f t="shared" si="138"/>
        <v>3900</v>
      </c>
      <c r="BH122" s="2003" t="e">
        <f t="shared" si="139"/>
        <v>#REF!</v>
      </c>
      <c r="BI122" s="2003">
        <f t="shared" si="140"/>
        <v>3900</v>
      </c>
      <c r="BJ122" s="2003">
        <f t="shared" si="141"/>
        <v>3900</v>
      </c>
      <c r="BK122" s="2003">
        <f t="shared" si="142"/>
        <v>3900</v>
      </c>
      <c r="BL122" s="2003">
        <f t="shared" si="143"/>
        <v>0</v>
      </c>
      <c r="BM122" s="2003">
        <f t="shared" si="144"/>
        <v>0</v>
      </c>
      <c r="BN122" s="2003"/>
      <c r="BO122" s="2005"/>
      <c r="BP122" s="2003"/>
      <c r="BQ122" s="2003"/>
      <c r="BR122" s="2003"/>
      <c r="BS122" s="2003"/>
      <c r="BT122" s="2003"/>
      <c r="BU122" s="2003"/>
      <c r="BV122" s="2003"/>
      <c r="BW122" s="2003"/>
      <c r="BX122" s="2003"/>
      <c r="BY122" s="2003"/>
      <c r="BZ122" s="2003"/>
      <c r="CA122" s="2003"/>
      <c r="CB122" s="2003"/>
      <c r="CC122" s="2003"/>
      <c r="CD122" s="2003"/>
      <c r="CE122" s="2003"/>
      <c r="CF122" s="2003"/>
      <c r="CG122" s="2003"/>
      <c r="CH122" s="2003"/>
      <c r="CI122" s="2003"/>
      <c r="CJ122" s="2003"/>
      <c r="CK122" s="2003"/>
      <c r="CL122" s="2003"/>
      <c r="CM122" s="2003"/>
      <c r="CN122" s="2003"/>
      <c r="CO122" s="2003"/>
      <c r="CP122" s="2003"/>
      <c r="CQ122" s="2003"/>
      <c r="CR122" s="2003"/>
      <c r="CS122" s="2003"/>
      <c r="CT122" s="2003"/>
      <c r="CU122" s="2003"/>
      <c r="CV122" s="2003"/>
      <c r="CW122" s="2003"/>
      <c r="CX122" s="2003"/>
      <c r="CY122" s="2003"/>
      <c r="CZ122" s="2003"/>
      <c r="DA122" s="2003"/>
      <c r="DB122" s="2003"/>
      <c r="DC122" s="2003"/>
      <c r="DD122" s="2003"/>
      <c r="DE122" s="2003"/>
      <c r="DF122" s="2003"/>
      <c r="DG122" s="2003"/>
      <c r="DH122" s="2003"/>
      <c r="DI122" s="2003"/>
      <c r="DJ122" s="2003"/>
      <c r="DK122" s="2003"/>
      <c r="DL122" s="2003"/>
      <c r="DM122" s="2003"/>
      <c r="DN122" s="2003"/>
      <c r="DO122" s="2004"/>
      <c r="DP122" s="2003"/>
      <c r="DQ122" s="2003"/>
      <c r="DR122" s="2005"/>
      <c r="DS122" s="2005"/>
      <c r="DT122" s="2005"/>
      <c r="DU122" s="2005"/>
      <c r="DV122" s="2005"/>
      <c r="DW122" s="2005"/>
      <c r="DX122" s="2005"/>
      <c r="DY122" s="2005"/>
      <c r="DZ122" s="2005"/>
      <c r="EA122" s="2005"/>
      <c r="FF122" s="1616"/>
    </row>
    <row r="123" spans="1:162" hidden="1" outlineLevel="2">
      <c r="A123" s="1624" t="s">
        <v>1314</v>
      </c>
      <c r="B123" s="1624" t="s">
        <v>2070</v>
      </c>
      <c r="C123" s="1624" t="s">
        <v>2091</v>
      </c>
      <c r="D123" s="1624" t="s">
        <v>2085</v>
      </c>
      <c r="E123" s="2003"/>
      <c r="F123" s="2003"/>
      <c r="G123" s="2003"/>
      <c r="H123" s="2003"/>
      <c r="I123" s="2003"/>
      <c r="J123" s="2003"/>
      <c r="K123" s="2003"/>
      <c r="L123" s="2003"/>
      <c r="M123" s="2003"/>
      <c r="N123" s="2003"/>
      <c r="O123" s="2003"/>
      <c r="P123" s="2003"/>
      <c r="Q123" s="2003">
        <f t="shared" si="124"/>
        <v>5900</v>
      </c>
      <c r="R123" s="2003">
        <f t="shared" si="125"/>
        <v>4100</v>
      </c>
      <c r="S123" s="2003" t="e">
        <f t="shared" si="126"/>
        <v>#REF!</v>
      </c>
      <c r="T123" s="2003"/>
      <c r="U123" s="2003"/>
      <c r="V123" s="2003"/>
      <c r="W123" s="2003"/>
      <c r="X123" s="2003"/>
      <c r="Y123" s="2003"/>
      <c r="Z123" s="2003"/>
      <c r="AA123" s="2003"/>
      <c r="AB123" s="2003"/>
      <c r="AC123" s="2003"/>
      <c r="AD123" s="2003"/>
      <c r="AE123" s="2003"/>
      <c r="AF123" s="2003"/>
      <c r="AG123" s="2003"/>
      <c r="AH123" s="2003"/>
      <c r="AI123" s="2003"/>
      <c r="AJ123" s="2003"/>
      <c r="AK123" s="2003"/>
      <c r="AL123" s="2003"/>
      <c r="AM123" s="2003"/>
      <c r="AN123" s="2003"/>
      <c r="AO123" s="2003"/>
      <c r="AP123" s="2003"/>
      <c r="AQ123" s="2003"/>
      <c r="AR123" s="2003">
        <f t="shared" si="127"/>
        <v>5900</v>
      </c>
      <c r="AS123" s="2003">
        <f t="shared" si="128"/>
        <v>3900</v>
      </c>
      <c r="AT123" s="2003">
        <f t="shared" si="129"/>
        <v>3900</v>
      </c>
      <c r="AU123" s="2003">
        <f t="shared" si="130"/>
        <v>3900</v>
      </c>
      <c r="AV123" s="2003"/>
      <c r="AW123" s="2003"/>
      <c r="AX123" s="2003">
        <f t="shared" si="131"/>
        <v>5900</v>
      </c>
      <c r="AY123" s="2003">
        <f t="shared" si="132"/>
        <v>3900</v>
      </c>
      <c r="AZ123" s="2003" t="e">
        <f t="shared" si="133"/>
        <v>#REF!</v>
      </c>
      <c r="BA123" s="2003">
        <f t="shared" si="134"/>
        <v>3900</v>
      </c>
      <c r="BB123" s="2003">
        <f t="shared" si="135"/>
        <v>3900</v>
      </c>
      <c r="BC123" s="2003">
        <f t="shared" si="136"/>
        <v>3900</v>
      </c>
      <c r="BD123" s="2003"/>
      <c r="BE123" s="2005"/>
      <c r="BF123" s="2003">
        <f t="shared" si="137"/>
        <v>5900</v>
      </c>
      <c r="BG123" s="2003">
        <f t="shared" si="138"/>
        <v>3900</v>
      </c>
      <c r="BH123" s="2003" t="e">
        <f t="shared" si="139"/>
        <v>#REF!</v>
      </c>
      <c r="BI123" s="2003">
        <f t="shared" si="140"/>
        <v>3900</v>
      </c>
      <c r="BJ123" s="2003">
        <f t="shared" si="141"/>
        <v>3900</v>
      </c>
      <c r="BK123" s="2003">
        <f t="shared" si="142"/>
        <v>3900</v>
      </c>
      <c r="BL123" s="2003">
        <f t="shared" si="143"/>
        <v>0</v>
      </c>
      <c r="BM123" s="2003">
        <f t="shared" si="144"/>
        <v>0</v>
      </c>
      <c r="BN123" s="2003"/>
      <c r="BO123" s="2005"/>
      <c r="BP123" s="2003"/>
      <c r="BQ123" s="2003">
        <f t="shared" ref="BQ123:BR134" si="145">BQ111</f>
        <v>2200</v>
      </c>
      <c r="BR123" s="2003">
        <f t="shared" si="145"/>
        <v>2200</v>
      </c>
      <c r="BS123" s="2003"/>
      <c r="BT123" s="2003"/>
      <c r="BU123" s="2003"/>
      <c r="BV123" s="2003"/>
      <c r="BW123" s="2003"/>
      <c r="BX123" s="2003"/>
      <c r="BY123" s="2003"/>
      <c r="BZ123" s="2003"/>
      <c r="CA123" s="2003"/>
      <c r="CB123" s="2003"/>
      <c r="CC123" s="2003"/>
      <c r="CD123" s="2003"/>
      <c r="CE123" s="2003"/>
      <c r="CF123" s="2003"/>
      <c r="CG123" s="2003"/>
      <c r="CH123" s="2003"/>
      <c r="CI123" s="2003"/>
      <c r="CJ123" s="2003"/>
      <c r="CK123" s="2003"/>
      <c r="CL123" s="2003"/>
      <c r="CM123" s="2003"/>
      <c r="CN123" s="2003"/>
      <c r="CO123" s="2003"/>
      <c r="CP123" s="2003"/>
      <c r="CQ123" s="2003"/>
      <c r="CR123" s="2003"/>
      <c r="CS123" s="2003"/>
      <c r="CT123" s="2003"/>
      <c r="CU123" s="2003"/>
      <c r="CV123" s="2003"/>
      <c r="CW123" s="2003"/>
      <c r="CX123" s="2003"/>
      <c r="CY123" s="2003"/>
      <c r="CZ123" s="2003"/>
      <c r="DA123" s="2003"/>
      <c r="DB123" s="2003"/>
      <c r="DC123" s="2003"/>
      <c r="DD123" s="2003"/>
      <c r="DE123" s="2003"/>
      <c r="DF123" s="2003"/>
      <c r="DG123" s="2003"/>
      <c r="DH123" s="2003"/>
      <c r="DI123" s="2003"/>
      <c r="DJ123" s="2003"/>
      <c r="DK123" s="2003"/>
      <c r="DL123" s="2003"/>
      <c r="DM123" s="2003"/>
      <c r="DN123" s="2003"/>
      <c r="DO123" s="2004"/>
      <c r="DP123" s="2003"/>
      <c r="DQ123" s="2003"/>
      <c r="DR123" s="2005"/>
      <c r="DS123" s="2005"/>
      <c r="DT123" s="2005"/>
      <c r="DU123" s="2005"/>
      <c r="DV123" s="2005"/>
      <c r="DW123" s="2005"/>
      <c r="DX123" s="2005"/>
      <c r="DY123" s="2005"/>
      <c r="DZ123" s="2005"/>
      <c r="EA123" s="2005"/>
      <c r="FF123" s="1616"/>
    </row>
    <row r="124" spans="1:162" hidden="1" outlineLevel="2">
      <c r="A124" s="1624" t="s">
        <v>1314</v>
      </c>
      <c r="B124" s="1624" t="s">
        <v>2070</v>
      </c>
      <c r="C124" s="1624" t="s">
        <v>2091</v>
      </c>
      <c r="D124" s="1624" t="s">
        <v>722</v>
      </c>
      <c r="E124" s="2003"/>
      <c r="F124" s="2003"/>
      <c r="G124" s="2003"/>
      <c r="H124" s="2003"/>
      <c r="I124" s="2003"/>
      <c r="J124" s="2003"/>
      <c r="K124" s="2003"/>
      <c r="L124" s="2003"/>
      <c r="M124" s="2003"/>
      <c r="N124" s="2003"/>
      <c r="O124" s="2003"/>
      <c r="P124" s="2003"/>
      <c r="Q124" s="2003">
        <f t="shared" si="124"/>
        <v>5900</v>
      </c>
      <c r="R124" s="2003">
        <f t="shared" si="125"/>
        <v>4100</v>
      </c>
      <c r="S124" s="2003" t="e">
        <f t="shared" si="126"/>
        <v>#REF!</v>
      </c>
      <c r="T124" s="2003"/>
      <c r="U124" s="2003"/>
      <c r="V124" s="2003"/>
      <c r="W124" s="2003"/>
      <c r="X124" s="2003"/>
      <c r="Y124" s="2003"/>
      <c r="Z124" s="2003"/>
      <c r="AA124" s="2003"/>
      <c r="AB124" s="2003"/>
      <c r="AC124" s="2003"/>
      <c r="AD124" s="2003"/>
      <c r="AE124" s="2003"/>
      <c r="AF124" s="2003"/>
      <c r="AG124" s="2003"/>
      <c r="AH124" s="2003"/>
      <c r="AI124" s="2003"/>
      <c r="AJ124" s="2003"/>
      <c r="AK124" s="2003"/>
      <c r="AL124" s="2003"/>
      <c r="AM124" s="2003"/>
      <c r="AN124" s="2003"/>
      <c r="AO124" s="2003"/>
      <c r="AP124" s="2003"/>
      <c r="AQ124" s="2003"/>
      <c r="AR124" s="2003">
        <f t="shared" si="127"/>
        <v>5900</v>
      </c>
      <c r="AS124" s="2003">
        <f t="shared" si="128"/>
        <v>3900</v>
      </c>
      <c r="AT124" s="2003">
        <f t="shared" si="129"/>
        <v>3900</v>
      </c>
      <c r="AU124" s="2003">
        <f t="shared" si="130"/>
        <v>3900</v>
      </c>
      <c r="AV124" s="2003"/>
      <c r="AW124" s="2003"/>
      <c r="AX124" s="2003">
        <f t="shared" si="131"/>
        <v>5900</v>
      </c>
      <c r="AY124" s="2003">
        <f t="shared" si="132"/>
        <v>3900</v>
      </c>
      <c r="AZ124" s="2003" t="e">
        <f t="shared" si="133"/>
        <v>#REF!</v>
      </c>
      <c r="BA124" s="2003">
        <f t="shared" si="134"/>
        <v>3900</v>
      </c>
      <c r="BB124" s="2003">
        <f t="shared" si="135"/>
        <v>3900</v>
      </c>
      <c r="BC124" s="2003">
        <f t="shared" si="136"/>
        <v>3900</v>
      </c>
      <c r="BD124" s="2003"/>
      <c r="BE124" s="2005"/>
      <c r="BF124" s="2003">
        <f t="shared" si="137"/>
        <v>5900</v>
      </c>
      <c r="BG124" s="2003">
        <f t="shared" si="138"/>
        <v>3900</v>
      </c>
      <c r="BH124" s="2003" t="e">
        <f t="shared" si="139"/>
        <v>#REF!</v>
      </c>
      <c r="BI124" s="2003">
        <f t="shared" si="140"/>
        <v>3900</v>
      </c>
      <c r="BJ124" s="2003">
        <f t="shared" si="141"/>
        <v>3900</v>
      </c>
      <c r="BK124" s="2003">
        <f t="shared" si="142"/>
        <v>3900</v>
      </c>
      <c r="BL124" s="2003">
        <f t="shared" si="143"/>
        <v>0</v>
      </c>
      <c r="BM124" s="2003">
        <f t="shared" si="144"/>
        <v>0</v>
      </c>
      <c r="BN124" s="2003"/>
      <c r="BO124" s="2005"/>
      <c r="BP124" s="2003"/>
      <c r="BQ124" s="2003">
        <f t="shared" si="145"/>
        <v>2200</v>
      </c>
      <c r="BR124" s="2003">
        <f t="shared" si="145"/>
        <v>2200</v>
      </c>
      <c r="BS124" s="2003"/>
      <c r="BT124" s="2003"/>
      <c r="BU124" s="2003"/>
      <c r="BV124" s="2003"/>
      <c r="BW124" s="2003"/>
      <c r="BX124" s="2003"/>
      <c r="BY124" s="2003"/>
      <c r="BZ124" s="2003"/>
      <c r="CA124" s="2003"/>
      <c r="CB124" s="2003"/>
      <c r="CC124" s="2003"/>
      <c r="CD124" s="2003"/>
      <c r="CE124" s="2003"/>
      <c r="CF124" s="2003"/>
      <c r="CG124" s="2003"/>
      <c r="CH124" s="2003"/>
      <c r="CI124" s="2003"/>
      <c r="CJ124" s="2003"/>
      <c r="CK124" s="2003"/>
      <c r="CL124" s="2003"/>
      <c r="CM124" s="2003"/>
      <c r="CN124" s="2003"/>
      <c r="CO124" s="2003"/>
      <c r="CP124" s="2003"/>
      <c r="CQ124" s="2003"/>
      <c r="CR124" s="2003"/>
      <c r="CS124" s="2003"/>
      <c r="CT124" s="2003"/>
      <c r="CU124" s="2003"/>
      <c r="CV124" s="2003"/>
      <c r="CW124" s="2003"/>
      <c r="CX124" s="2003"/>
      <c r="CY124" s="2003"/>
      <c r="CZ124" s="2003"/>
      <c r="DA124" s="2003"/>
      <c r="DB124" s="2003"/>
      <c r="DC124" s="2003"/>
      <c r="DD124" s="2003"/>
      <c r="DE124" s="2003"/>
      <c r="DF124" s="2003"/>
      <c r="DG124" s="2003"/>
      <c r="DH124" s="2003"/>
      <c r="DI124" s="2003"/>
      <c r="DJ124" s="2003"/>
      <c r="DK124" s="2003"/>
      <c r="DL124" s="2003"/>
      <c r="DM124" s="2003"/>
      <c r="DN124" s="2003"/>
      <c r="DO124" s="2004"/>
      <c r="DP124" s="2003"/>
      <c r="DQ124" s="2003"/>
      <c r="DR124" s="2005"/>
      <c r="DS124" s="2005"/>
      <c r="DT124" s="2005"/>
      <c r="DU124" s="2005"/>
      <c r="DV124" s="2005"/>
      <c r="DW124" s="2005"/>
      <c r="DX124" s="2005"/>
      <c r="DY124" s="2005"/>
      <c r="DZ124" s="2005"/>
      <c r="EA124" s="2005"/>
      <c r="FF124" s="1616"/>
    </row>
    <row r="125" spans="1:162" hidden="1" outlineLevel="2">
      <c r="A125" s="1624" t="s">
        <v>1314</v>
      </c>
      <c r="B125" s="1624" t="s">
        <v>2070</v>
      </c>
      <c r="C125" s="1624" t="s">
        <v>2091</v>
      </c>
      <c r="D125" s="1624" t="s">
        <v>2086</v>
      </c>
      <c r="E125" s="2003"/>
      <c r="F125" s="2003"/>
      <c r="G125" s="2003"/>
      <c r="H125" s="2003"/>
      <c r="I125" s="2003"/>
      <c r="J125" s="2003"/>
      <c r="K125" s="2003"/>
      <c r="L125" s="2003"/>
      <c r="M125" s="2003"/>
      <c r="N125" s="2003"/>
      <c r="O125" s="2003"/>
      <c r="P125" s="2003"/>
      <c r="Q125" s="2003">
        <f t="shared" si="124"/>
        <v>5900</v>
      </c>
      <c r="R125" s="2003">
        <f t="shared" si="125"/>
        <v>4100</v>
      </c>
      <c r="S125" s="2003" t="e">
        <f t="shared" si="126"/>
        <v>#REF!</v>
      </c>
      <c r="T125" s="2003"/>
      <c r="U125" s="2003"/>
      <c r="V125" s="2003"/>
      <c r="W125" s="2003"/>
      <c r="X125" s="2003"/>
      <c r="Y125" s="2003"/>
      <c r="Z125" s="2003"/>
      <c r="AA125" s="2003"/>
      <c r="AB125" s="2003"/>
      <c r="AC125" s="2003"/>
      <c r="AD125" s="2003"/>
      <c r="AE125" s="2003"/>
      <c r="AF125" s="2003"/>
      <c r="AG125" s="2003"/>
      <c r="AH125" s="2003"/>
      <c r="AI125" s="2003"/>
      <c r="AJ125" s="2003"/>
      <c r="AK125" s="2003"/>
      <c r="AL125" s="2003"/>
      <c r="AM125" s="2003"/>
      <c r="AN125" s="2003"/>
      <c r="AO125" s="2003"/>
      <c r="AP125" s="2003"/>
      <c r="AQ125" s="2003"/>
      <c r="AR125" s="2003">
        <f t="shared" si="127"/>
        <v>5900</v>
      </c>
      <c r="AS125" s="2003">
        <f t="shared" si="128"/>
        <v>3900</v>
      </c>
      <c r="AT125" s="2003">
        <f t="shared" si="129"/>
        <v>3900</v>
      </c>
      <c r="AU125" s="2003">
        <f t="shared" si="130"/>
        <v>3900</v>
      </c>
      <c r="AV125" s="2003"/>
      <c r="AW125" s="2003"/>
      <c r="AX125" s="2003">
        <f t="shared" si="131"/>
        <v>5900</v>
      </c>
      <c r="AY125" s="2003">
        <f t="shared" si="132"/>
        <v>3900</v>
      </c>
      <c r="AZ125" s="2003" t="e">
        <f t="shared" si="133"/>
        <v>#REF!</v>
      </c>
      <c r="BA125" s="2003">
        <f t="shared" si="134"/>
        <v>3900</v>
      </c>
      <c r="BB125" s="2003">
        <f t="shared" si="135"/>
        <v>3900</v>
      </c>
      <c r="BC125" s="2003">
        <f t="shared" si="136"/>
        <v>3900</v>
      </c>
      <c r="BD125" s="2003"/>
      <c r="BE125" s="2005"/>
      <c r="BF125" s="2003">
        <f t="shared" si="137"/>
        <v>5900</v>
      </c>
      <c r="BG125" s="2003">
        <f t="shared" si="138"/>
        <v>3900</v>
      </c>
      <c r="BH125" s="2003" t="e">
        <f t="shared" si="139"/>
        <v>#REF!</v>
      </c>
      <c r="BI125" s="2003">
        <f t="shared" si="140"/>
        <v>3900</v>
      </c>
      <c r="BJ125" s="2003">
        <f t="shared" si="141"/>
        <v>3900</v>
      </c>
      <c r="BK125" s="2003">
        <f t="shared" si="142"/>
        <v>3900</v>
      </c>
      <c r="BL125" s="2003">
        <f t="shared" si="143"/>
        <v>0</v>
      </c>
      <c r="BM125" s="2003">
        <f t="shared" si="144"/>
        <v>0</v>
      </c>
      <c r="BN125" s="2003"/>
      <c r="BO125" s="2005"/>
      <c r="BP125" s="2003"/>
      <c r="BQ125" s="2003">
        <f t="shared" si="145"/>
        <v>2200</v>
      </c>
      <c r="BR125" s="2003">
        <f t="shared" si="145"/>
        <v>2200</v>
      </c>
      <c r="BS125" s="2003"/>
      <c r="BT125" s="2003"/>
      <c r="BU125" s="2003"/>
      <c r="BV125" s="2003"/>
      <c r="BW125" s="2003"/>
      <c r="BX125" s="2003"/>
      <c r="BY125" s="2003"/>
      <c r="BZ125" s="2003"/>
      <c r="CA125" s="2003"/>
      <c r="CB125" s="2003"/>
      <c r="CC125" s="2003"/>
      <c r="CD125" s="2003"/>
      <c r="CE125" s="2003"/>
      <c r="CF125" s="2003"/>
      <c r="CG125" s="2003"/>
      <c r="CH125" s="2003"/>
      <c r="CI125" s="2003"/>
      <c r="CJ125" s="2003"/>
      <c r="CK125" s="2003"/>
      <c r="CL125" s="2003"/>
      <c r="CM125" s="2003"/>
      <c r="CN125" s="2003"/>
      <c r="CO125" s="2003"/>
      <c r="CP125" s="2003"/>
      <c r="CQ125" s="2003"/>
      <c r="CR125" s="2003"/>
      <c r="CS125" s="2003"/>
      <c r="CT125" s="2003"/>
      <c r="CU125" s="2003"/>
      <c r="CV125" s="2003"/>
      <c r="CW125" s="2003"/>
      <c r="CX125" s="2003"/>
      <c r="CY125" s="2003"/>
      <c r="CZ125" s="2003"/>
      <c r="DA125" s="2003"/>
      <c r="DB125" s="2003"/>
      <c r="DC125" s="2003"/>
      <c r="DD125" s="2003"/>
      <c r="DE125" s="2003"/>
      <c r="DF125" s="2003"/>
      <c r="DG125" s="2003"/>
      <c r="DH125" s="2003"/>
      <c r="DI125" s="2003"/>
      <c r="DJ125" s="2003"/>
      <c r="DK125" s="2003"/>
      <c r="DL125" s="2003"/>
      <c r="DM125" s="2003"/>
      <c r="DN125" s="2003"/>
      <c r="DO125" s="2004"/>
      <c r="DP125" s="2003"/>
      <c r="DQ125" s="2003"/>
      <c r="DR125" s="2005"/>
      <c r="DS125" s="2005"/>
      <c r="DT125" s="2005"/>
      <c r="DU125" s="2005"/>
      <c r="DV125" s="2005"/>
      <c r="DW125" s="2005"/>
      <c r="DX125" s="2005"/>
      <c r="DY125" s="2005"/>
      <c r="DZ125" s="2005"/>
      <c r="EA125" s="2005"/>
      <c r="FF125" s="1616"/>
    </row>
    <row r="126" spans="1:162" hidden="1" outlineLevel="2">
      <c r="A126" s="1624" t="s">
        <v>1314</v>
      </c>
      <c r="B126" s="1624" t="s">
        <v>2070</v>
      </c>
      <c r="C126" s="1624" t="s">
        <v>2091</v>
      </c>
      <c r="D126" s="1624" t="s">
        <v>2087</v>
      </c>
      <c r="E126" s="2003"/>
      <c r="F126" s="2003"/>
      <c r="G126" s="2003"/>
      <c r="H126" s="2003"/>
      <c r="I126" s="2003"/>
      <c r="J126" s="2003"/>
      <c r="K126" s="2003"/>
      <c r="L126" s="2003"/>
      <c r="M126" s="2003"/>
      <c r="N126" s="2003"/>
      <c r="O126" s="2003"/>
      <c r="P126" s="2003"/>
      <c r="Q126" s="2003">
        <f t="shared" si="124"/>
        <v>5900</v>
      </c>
      <c r="R126" s="2003">
        <f t="shared" si="125"/>
        <v>4100</v>
      </c>
      <c r="S126" s="2003" t="e">
        <f t="shared" si="126"/>
        <v>#REF!</v>
      </c>
      <c r="T126" s="2003"/>
      <c r="U126" s="2003"/>
      <c r="V126" s="2003"/>
      <c r="W126" s="2003"/>
      <c r="X126" s="2003"/>
      <c r="Y126" s="2003"/>
      <c r="Z126" s="2003"/>
      <c r="AA126" s="2003"/>
      <c r="AB126" s="2003"/>
      <c r="AC126" s="2003"/>
      <c r="AD126" s="2003"/>
      <c r="AE126" s="2003"/>
      <c r="AF126" s="2003"/>
      <c r="AG126" s="2003"/>
      <c r="AH126" s="2003"/>
      <c r="AI126" s="2003"/>
      <c r="AJ126" s="2003"/>
      <c r="AK126" s="2003"/>
      <c r="AL126" s="2003"/>
      <c r="AM126" s="2003"/>
      <c r="AN126" s="2003"/>
      <c r="AO126" s="2003"/>
      <c r="AP126" s="2003"/>
      <c r="AQ126" s="2003"/>
      <c r="AR126" s="2003">
        <f t="shared" si="127"/>
        <v>5900</v>
      </c>
      <c r="AS126" s="2003">
        <f t="shared" si="128"/>
        <v>3900</v>
      </c>
      <c r="AT126" s="2003">
        <f t="shared" si="129"/>
        <v>3900</v>
      </c>
      <c r="AU126" s="2003">
        <f t="shared" si="130"/>
        <v>3900</v>
      </c>
      <c r="AV126" s="2003"/>
      <c r="AW126" s="2003"/>
      <c r="AX126" s="2003">
        <f t="shared" si="131"/>
        <v>5900</v>
      </c>
      <c r="AY126" s="2003">
        <f t="shared" si="132"/>
        <v>3900</v>
      </c>
      <c r="AZ126" s="2003" t="e">
        <f t="shared" si="133"/>
        <v>#REF!</v>
      </c>
      <c r="BA126" s="2003">
        <f t="shared" si="134"/>
        <v>3900</v>
      </c>
      <c r="BB126" s="2003">
        <f t="shared" si="135"/>
        <v>3900</v>
      </c>
      <c r="BC126" s="2003">
        <f t="shared" si="136"/>
        <v>3900</v>
      </c>
      <c r="BD126" s="2003"/>
      <c r="BE126" s="2005"/>
      <c r="BF126" s="2003">
        <f t="shared" si="137"/>
        <v>5900</v>
      </c>
      <c r="BG126" s="2003">
        <f t="shared" si="138"/>
        <v>3900</v>
      </c>
      <c r="BH126" s="2003" t="e">
        <f t="shared" si="139"/>
        <v>#REF!</v>
      </c>
      <c r="BI126" s="2003">
        <f t="shared" si="140"/>
        <v>3900</v>
      </c>
      <c r="BJ126" s="2003">
        <f t="shared" si="141"/>
        <v>3900</v>
      </c>
      <c r="BK126" s="2003">
        <f t="shared" si="142"/>
        <v>3900</v>
      </c>
      <c r="BL126" s="2003">
        <f t="shared" si="143"/>
        <v>0</v>
      </c>
      <c r="BM126" s="2003">
        <f t="shared" si="144"/>
        <v>0</v>
      </c>
      <c r="BN126" s="2003"/>
      <c r="BO126" s="2005"/>
      <c r="BP126" s="2003"/>
      <c r="BQ126" s="2003">
        <f t="shared" si="145"/>
        <v>2200</v>
      </c>
      <c r="BR126" s="2003">
        <f t="shared" si="145"/>
        <v>2200</v>
      </c>
      <c r="BS126" s="2003"/>
      <c r="BT126" s="2003"/>
      <c r="BU126" s="2003"/>
      <c r="BV126" s="2003"/>
      <c r="BW126" s="2003"/>
      <c r="BX126" s="2003"/>
      <c r="BY126" s="2003"/>
      <c r="BZ126" s="2003"/>
      <c r="CA126" s="2003"/>
      <c r="CB126" s="2003"/>
      <c r="CC126" s="2003"/>
      <c r="CD126" s="2003"/>
      <c r="CE126" s="2003"/>
      <c r="CF126" s="2003"/>
      <c r="CG126" s="2003"/>
      <c r="CH126" s="2003"/>
      <c r="CI126" s="2003"/>
      <c r="CJ126" s="2003"/>
      <c r="CK126" s="2003"/>
      <c r="CL126" s="2003"/>
      <c r="CM126" s="2003"/>
      <c r="CN126" s="2003"/>
      <c r="CO126" s="2003"/>
      <c r="CP126" s="2003"/>
      <c r="CQ126" s="2003"/>
      <c r="CR126" s="2003"/>
      <c r="CS126" s="2003"/>
      <c r="CT126" s="2003"/>
      <c r="CU126" s="2003"/>
      <c r="CV126" s="2003"/>
      <c r="CW126" s="2003"/>
      <c r="CX126" s="2003"/>
      <c r="CY126" s="2003"/>
      <c r="CZ126" s="2003"/>
      <c r="DA126" s="2003"/>
      <c r="DB126" s="2003"/>
      <c r="DC126" s="2003"/>
      <c r="DD126" s="2003"/>
      <c r="DE126" s="2003"/>
      <c r="DF126" s="2003"/>
      <c r="DG126" s="2003"/>
      <c r="DH126" s="2003"/>
      <c r="DI126" s="2003"/>
      <c r="DJ126" s="2003"/>
      <c r="DK126" s="2003"/>
      <c r="DL126" s="2003"/>
      <c r="DM126" s="2003"/>
      <c r="DN126" s="2003"/>
      <c r="DO126" s="2004"/>
      <c r="DP126" s="2003"/>
      <c r="DQ126" s="2003"/>
      <c r="DR126" s="2005"/>
      <c r="DS126" s="2005"/>
      <c r="DT126" s="2005"/>
      <c r="DU126" s="2005"/>
      <c r="DV126" s="2005"/>
      <c r="DW126" s="2005"/>
      <c r="DX126" s="2005"/>
      <c r="DY126" s="2005"/>
      <c r="DZ126" s="2005"/>
      <c r="EA126" s="2005"/>
      <c r="FF126" s="1616"/>
    </row>
    <row r="127" spans="1:162" hidden="1" outlineLevel="2">
      <c r="A127" s="1624" t="s">
        <v>1314</v>
      </c>
      <c r="B127" s="1624" t="s">
        <v>2071</v>
      </c>
      <c r="C127" s="1624" t="s">
        <v>2091</v>
      </c>
      <c r="D127" s="1624" t="s">
        <v>2085</v>
      </c>
      <c r="E127" s="2003"/>
      <c r="F127" s="2003"/>
      <c r="G127" s="2003"/>
      <c r="H127" s="2003"/>
      <c r="I127" s="2003"/>
      <c r="J127" s="2003"/>
      <c r="K127" s="2003"/>
      <c r="L127" s="2003"/>
      <c r="M127" s="2003"/>
      <c r="N127" s="2003"/>
      <c r="O127" s="2003"/>
      <c r="P127" s="2003"/>
      <c r="Q127" s="2003">
        <f t="shared" si="124"/>
        <v>5900</v>
      </c>
      <c r="R127" s="2003">
        <f t="shared" si="125"/>
        <v>4100</v>
      </c>
      <c r="S127" s="2003" t="e">
        <f t="shared" si="126"/>
        <v>#REF!</v>
      </c>
      <c r="T127" s="2003"/>
      <c r="U127" s="2003"/>
      <c r="V127" s="2003"/>
      <c r="W127" s="2003"/>
      <c r="X127" s="2003"/>
      <c r="Y127" s="2003"/>
      <c r="Z127" s="2003"/>
      <c r="AA127" s="2003"/>
      <c r="AB127" s="2003"/>
      <c r="AC127" s="2003"/>
      <c r="AD127" s="2003"/>
      <c r="AE127" s="2003"/>
      <c r="AF127" s="2003"/>
      <c r="AG127" s="2003"/>
      <c r="AH127" s="2003"/>
      <c r="AI127" s="2003"/>
      <c r="AJ127" s="2003"/>
      <c r="AK127" s="2003"/>
      <c r="AL127" s="2003"/>
      <c r="AM127" s="2003"/>
      <c r="AN127" s="2003"/>
      <c r="AO127" s="2003"/>
      <c r="AP127" s="2003"/>
      <c r="AQ127" s="2003"/>
      <c r="AR127" s="2003">
        <f t="shared" si="127"/>
        <v>5900</v>
      </c>
      <c r="AS127" s="2003">
        <f t="shared" si="128"/>
        <v>3900</v>
      </c>
      <c r="AT127" s="2003">
        <f t="shared" si="129"/>
        <v>3900</v>
      </c>
      <c r="AU127" s="2003">
        <f t="shared" si="130"/>
        <v>3900</v>
      </c>
      <c r="AV127" s="2003"/>
      <c r="AW127" s="2003"/>
      <c r="AX127" s="2003">
        <f t="shared" si="131"/>
        <v>5900</v>
      </c>
      <c r="AY127" s="2003">
        <f t="shared" si="132"/>
        <v>3900</v>
      </c>
      <c r="AZ127" s="2003" t="e">
        <f t="shared" si="133"/>
        <v>#REF!</v>
      </c>
      <c r="BA127" s="2003">
        <f t="shared" si="134"/>
        <v>3900</v>
      </c>
      <c r="BB127" s="2003">
        <f t="shared" si="135"/>
        <v>3900</v>
      </c>
      <c r="BC127" s="2003">
        <f t="shared" si="136"/>
        <v>3900</v>
      </c>
      <c r="BD127" s="2003"/>
      <c r="BE127" s="2005"/>
      <c r="BF127" s="2003">
        <f t="shared" si="137"/>
        <v>5900</v>
      </c>
      <c r="BG127" s="2003">
        <f t="shared" si="138"/>
        <v>3900</v>
      </c>
      <c r="BH127" s="2003" t="e">
        <f t="shared" si="139"/>
        <v>#REF!</v>
      </c>
      <c r="BI127" s="2003">
        <f t="shared" si="140"/>
        <v>3900</v>
      </c>
      <c r="BJ127" s="2003">
        <f t="shared" si="141"/>
        <v>3900</v>
      </c>
      <c r="BK127" s="2003">
        <f t="shared" si="142"/>
        <v>3900</v>
      </c>
      <c r="BL127" s="2003">
        <f t="shared" si="143"/>
        <v>0</v>
      </c>
      <c r="BM127" s="2003">
        <f t="shared" si="144"/>
        <v>0</v>
      </c>
      <c r="BN127" s="2003"/>
      <c r="BO127" s="2005"/>
      <c r="BP127" s="2003"/>
      <c r="BQ127" s="2003">
        <f t="shared" si="145"/>
        <v>0</v>
      </c>
      <c r="BR127" s="2003">
        <f t="shared" si="145"/>
        <v>0</v>
      </c>
      <c r="BS127" s="2003"/>
      <c r="BT127" s="2003"/>
      <c r="BU127" s="2003"/>
      <c r="BV127" s="2003"/>
      <c r="BW127" s="2003"/>
      <c r="BX127" s="2003"/>
      <c r="BY127" s="2003"/>
      <c r="BZ127" s="2003"/>
      <c r="CA127" s="2003"/>
      <c r="CB127" s="2003"/>
      <c r="CC127" s="2003"/>
      <c r="CD127" s="2003"/>
      <c r="CE127" s="2003"/>
      <c r="CF127" s="2003"/>
      <c r="CG127" s="2003"/>
      <c r="CH127" s="2003"/>
      <c r="CI127" s="2003"/>
      <c r="CJ127" s="2003"/>
      <c r="CK127" s="2003"/>
      <c r="CL127" s="2003"/>
      <c r="CM127" s="2003"/>
      <c r="CN127" s="2003"/>
      <c r="CO127" s="2003"/>
      <c r="CP127" s="2003"/>
      <c r="CQ127" s="2003"/>
      <c r="CR127" s="2003"/>
      <c r="CS127" s="2003"/>
      <c r="CT127" s="2003"/>
      <c r="CU127" s="2003"/>
      <c r="CV127" s="2003"/>
      <c r="CW127" s="2003"/>
      <c r="CX127" s="2003"/>
      <c r="CY127" s="2003"/>
      <c r="CZ127" s="2003"/>
      <c r="DA127" s="2003"/>
      <c r="DB127" s="2003"/>
      <c r="DC127" s="2003"/>
      <c r="DD127" s="2003"/>
      <c r="DE127" s="2003"/>
      <c r="DF127" s="2003"/>
      <c r="DG127" s="2003"/>
      <c r="DH127" s="2003"/>
      <c r="DI127" s="2003"/>
      <c r="DJ127" s="2003"/>
      <c r="DK127" s="2003"/>
      <c r="DL127" s="2003"/>
      <c r="DM127" s="2003"/>
      <c r="DN127" s="2003"/>
      <c r="DO127" s="2004"/>
      <c r="DP127" s="2003"/>
      <c r="DQ127" s="2003"/>
      <c r="DR127" s="2005"/>
      <c r="DS127" s="2005"/>
      <c r="DT127" s="2005"/>
      <c r="DU127" s="2005"/>
      <c r="DV127" s="2005"/>
      <c r="DW127" s="2005"/>
      <c r="DX127" s="2005"/>
      <c r="DY127" s="2005"/>
      <c r="DZ127" s="2005"/>
      <c r="EA127" s="2005"/>
      <c r="FF127" s="1616"/>
    </row>
    <row r="128" spans="1:162" hidden="1" outlineLevel="2">
      <c r="A128" s="1624" t="s">
        <v>1314</v>
      </c>
      <c r="B128" s="1624" t="s">
        <v>2071</v>
      </c>
      <c r="C128" s="1624" t="s">
        <v>2091</v>
      </c>
      <c r="D128" s="1624" t="s">
        <v>722</v>
      </c>
      <c r="E128" s="2003"/>
      <c r="F128" s="2003"/>
      <c r="G128" s="2003"/>
      <c r="H128" s="2003"/>
      <c r="I128" s="2003"/>
      <c r="J128" s="2003"/>
      <c r="K128" s="2003"/>
      <c r="L128" s="2003"/>
      <c r="M128" s="2003"/>
      <c r="N128" s="2003"/>
      <c r="O128" s="2003"/>
      <c r="P128" s="2003"/>
      <c r="Q128" s="2003">
        <f t="shared" si="124"/>
        <v>5900</v>
      </c>
      <c r="R128" s="2003">
        <f t="shared" si="125"/>
        <v>4100</v>
      </c>
      <c r="S128" s="2003" t="e">
        <f t="shared" si="126"/>
        <v>#REF!</v>
      </c>
      <c r="T128" s="2003"/>
      <c r="U128" s="2003"/>
      <c r="V128" s="2003"/>
      <c r="W128" s="2003"/>
      <c r="X128" s="2003"/>
      <c r="Y128" s="2003"/>
      <c r="Z128" s="2003"/>
      <c r="AA128" s="2003"/>
      <c r="AB128" s="2003"/>
      <c r="AC128" s="2003"/>
      <c r="AD128" s="2003"/>
      <c r="AE128" s="2003"/>
      <c r="AF128" s="2003"/>
      <c r="AG128" s="2003"/>
      <c r="AH128" s="2003"/>
      <c r="AI128" s="2003"/>
      <c r="AJ128" s="2003"/>
      <c r="AK128" s="2003"/>
      <c r="AL128" s="2003"/>
      <c r="AM128" s="2003"/>
      <c r="AN128" s="2003"/>
      <c r="AO128" s="2003"/>
      <c r="AP128" s="2003"/>
      <c r="AQ128" s="2003"/>
      <c r="AR128" s="2003">
        <f t="shared" si="127"/>
        <v>5900</v>
      </c>
      <c r="AS128" s="2003">
        <f t="shared" si="128"/>
        <v>3900</v>
      </c>
      <c r="AT128" s="2003">
        <f t="shared" si="129"/>
        <v>3900</v>
      </c>
      <c r="AU128" s="2003">
        <f t="shared" si="130"/>
        <v>3900</v>
      </c>
      <c r="AV128" s="2003"/>
      <c r="AW128" s="2003"/>
      <c r="AX128" s="2003">
        <f t="shared" si="131"/>
        <v>5900</v>
      </c>
      <c r="AY128" s="2003">
        <f t="shared" si="132"/>
        <v>3900</v>
      </c>
      <c r="AZ128" s="2003" t="e">
        <f t="shared" si="133"/>
        <v>#REF!</v>
      </c>
      <c r="BA128" s="2003">
        <f t="shared" si="134"/>
        <v>3900</v>
      </c>
      <c r="BB128" s="2003">
        <f t="shared" si="135"/>
        <v>3900</v>
      </c>
      <c r="BC128" s="2003">
        <f t="shared" si="136"/>
        <v>3900</v>
      </c>
      <c r="BD128" s="2003"/>
      <c r="BE128" s="2005"/>
      <c r="BF128" s="2003">
        <f t="shared" si="137"/>
        <v>5900</v>
      </c>
      <c r="BG128" s="2003">
        <f t="shared" si="138"/>
        <v>3900</v>
      </c>
      <c r="BH128" s="2003" t="e">
        <f t="shared" si="139"/>
        <v>#REF!</v>
      </c>
      <c r="BI128" s="2003">
        <f t="shared" si="140"/>
        <v>3900</v>
      </c>
      <c r="BJ128" s="2003">
        <f t="shared" si="141"/>
        <v>3900</v>
      </c>
      <c r="BK128" s="2003">
        <f t="shared" si="142"/>
        <v>3900</v>
      </c>
      <c r="BL128" s="2003">
        <f t="shared" si="143"/>
        <v>0</v>
      </c>
      <c r="BM128" s="2003">
        <f t="shared" si="144"/>
        <v>0</v>
      </c>
      <c r="BN128" s="2003"/>
      <c r="BO128" s="2005"/>
      <c r="BP128" s="2003"/>
      <c r="BQ128" s="2003">
        <f t="shared" si="145"/>
        <v>0</v>
      </c>
      <c r="BR128" s="2003">
        <f t="shared" si="145"/>
        <v>0</v>
      </c>
      <c r="BS128" s="2003"/>
      <c r="BT128" s="2003"/>
      <c r="BU128" s="2003"/>
      <c r="BV128" s="2003"/>
      <c r="BW128" s="2003"/>
      <c r="BX128" s="2003"/>
      <c r="BY128" s="2003"/>
      <c r="BZ128" s="2003"/>
      <c r="CA128" s="2003"/>
      <c r="CB128" s="2003"/>
      <c r="CC128" s="2003"/>
      <c r="CD128" s="2003"/>
      <c r="CE128" s="2003"/>
      <c r="CF128" s="2003"/>
      <c r="CG128" s="2003"/>
      <c r="CH128" s="2003"/>
      <c r="CI128" s="2003"/>
      <c r="CJ128" s="2003"/>
      <c r="CK128" s="2003"/>
      <c r="CL128" s="2003"/>
      <c r="CM128" s="2003"/>
      <c r="CN128" s="2003"/>
      <c r="CO128" s="2003"/>
      <c r="CP128" s="2003"/>
      <c r="CQ128" s="2003"/>
      <c r="CR128" s="2003"/>
      <c r="CS128" s="2003"/>
      <c r="CT128" s="2003"/>
      <c r="CU128" s="2003"/>
      <c r="CV128" s="2003"/>
      <c r="CW128" s="2003"/>
      <c r="CX128" s="2003"/>
      <c r="CY128" s="2003"/>
      <c r="CZ128" s="2003"/>
      <c r="DA128" s="2003"/>
      <c r="DB128" s="2003"/>
      <c r="DC128" s="2003"/>
      <c r="DD128" s="2003"/>
      <c r="DE128" s="2003"/>
      <c r="DF128" s="2003"/>
      <c r="DG128" s="2003"/>
      <c r="DH128" s="2003"/>
      <c r="DI128" s="2003"/>
      <c r="DJ128" s="2003"/>
      <c r="DK128" s="2003"/>
      <c r="DL128" s="2003"/>
      <c r="DM128" s="2003"/>
      <c r="DN128" s="2003"/>
      <c r="DO128" s="2004"/>
      <c r="DP128" s="2003"/>
      <c r="DQ128" s="2003"/>
      <c r="DR128" s="2005"/>
      <c r="DS128" s="2005"/>
      <c r="DT128" s="2005"/>
      <c r="DU128" s="2005"/>
      <c r="DV128" s="2005"/>
      <c r="DW128" s="2005"/>
      <c r="DX128" s="2005"/>
      <c r="DY128" s="2005"/>
      <c r="DZ128" s="2005"/>
      <c r="EA128" s="2005"/>
      <c r="FF128" s="1616"/>
    </row>
    <row r="129" spans="1:162" hidden="1" outlineLevel="2">
      <c r="A129" s="1624" t="s">
        <v>1314</v>
      </c>
      <c r="B129" s="1624" t="s">
        <v>2071</v>
      </c>
      <c r="C129" s="1624" t="s">
        <v>2091</v>
      </c>
      <c r="D129" s="1624" t="s">
        <v>2086</v>
      </c>
      <c r="E129" s="2003"/>
      <c r="F129" s="2003"/>
      <c r="G129" s="2003"/>
      <c r="H129" s="2003"/>
      <c r="I129" s="2003"/>
      <c r="J129" s="2003"/>
      <c r="K129" s="2003"/>
      <c r="L129" s="2003"/>
      <c r="M129" s="2003"/>
      <c r="N129" s="2003"/>
      <c r="O129" s="2003"/>
      <c r="P129" s="2003"/>
      <c r="Q129" s="2003">
        <f t="shared" si="124"/>
        <v>5900</v>
      </c>
      <c r="R129" s="2003">
        <f t="shared" si="125"/>
        <v>4100</v>
      </c>
      <c r="S129" s="2003" t="e">
        <f t="shared" si="126"/>
        <v>#REF!</v>
      </c>
      <c r="T129" s="2003"/>
      <c r="U129" s="2003"/>
      <c r="V129" s="2003"/>
      <c r="W129" s="2003"/>
      <c r="X129" s="2003"/>
      <c r="Y129" s="2003"/>
      <c r="Z129" s="2003"/>
      <c r="AA129" s="2003"/>
      <c r="AB129" s="2003"/>
      <c r="AC129" s="2003"/>
      <c r="AD129" s="2003"/>
      <c r="AE129" s="2003"/>
      <c r="AF129" s="2003"/>
      <c r="AG129" s="2003"/>
      <c r="AH129" s="2003"/>
      <c r="AI129" s="2003"/>
      <c r="AJ129" s="2003"/>
      <c r="AK129" s="2003"/>
      <c r="AL129" s="2003"/>
      <c r="AM129" s="2003"/>
      <c r="AN129" s="2003"/>
      <c r="AO129" s="2003"/>
      <c r="AP129" s="2003"/>
      <c r="AQ129" s="2003"/>
      <c r="AR129" s="2003">
        <f t="shared" si="127"/>
        <v>5900</v>
      </c>
      <c r="AS129" s="2003">
        <f t="shared" si="128"/>
        <v>3900</v>
      </c>
      <c r="AT129" s="2003">
        <f t="shared" si="129"/>
        <v>3900</v>
      </c>
      <c r="AU129" s="2003">
        <f t="shared" si="130"/>
        <v>3900</v>
      </c>
      <c r="AV129" s="2003"/>
      <c r="AW129" s="2003"/>
      <c r="AX129" s="2003">
        <f t="shared" si="131"/>
        <v>5900</v>
      </c>
      <c r="AY129" s="2003">
        <f t="shared" si="132"/>
        <v>3900</v>
      </c>
      <c r="AZ129" s="2003" t="e">
        <f t="shared" si="133"/>
        <v>#REF!</v>
      </c>
      <c r="BA129" s="2003">
        <f t="shared" si="134"/>
        <v>3900</v>
      </c>
      <c r="BB129" s="2003">
        <f t="shared" si="135"/>
        <v>3900</v>
      </c>
      <c r="BC129" s="2003">
        <f t="shared" si="136"/>
        <v>3900</v>
      </c>
      <c r="BD129" s="2003"/>
      <c r="BE129" s="2005"/>
      <c r="BF129" s="2003">
        <f t="shared" si="137"/>
        <v>5900</v>
      </c>
      <c r="BG129" s="2003">
        <f t="shared" si="138"/>
        <v>3900</v>
      </c>
      <c r="BH129" s="2003" t="e">
        <f t="shared" si="139"/>
        <v>#REF!</v>
      </c>
      <c r="BI129" s="2003">
        <f t="shared" si="140"/>
        <v>3900</v>
      </c>
      <c r="BJ129" s="2003">
        <f t="shared" si="141"/>
        <v>3900</v>
      </c>
      <c r="BK129" s="2003">
        <f t="shared" si="142"/>
        <v>3900</v>
      </c>
      <c r="BL129" s="2003">
        <f t="shared" si="143"/>
        <v>0</v>
      </c>
      <c r="BM129" s="2003">
        <f t="shared" si="144"/>
        <v>0</v>
      </c>
      <c r="BN129" s="2003"/>
      <c r="BO129" s="2005"/>
      <c r="BP129" s="2003"/>
      <c r="BQ129" s="2003">
        <f t="shared" si="145"/>
        <v>0</v>
      </c>
      <c r="BR129" s="2003">
        <f t="shared" si="145"/>
        <v>0</v>
      </c>
      <c r="BS129" s="2003"/>
      <c r="BT129" s="2003"/>
      <c r="BU129" s="2003"/>
      <c r="BV129" s="2003"/>
      <c r="BW129" s="2003"/>
      <c r="BX129" s="2003"/>
      <c r="BY129" s="2003"/>
      <c r="BZ129" s="2003"/>
      <c r="CA129" s="2003"/>
      <c r="CB129" s="2003"/>
      <c r="CC129" s="2003"/>
      <c r="CD129" s="2003"/>
      <c r="CE129" s="2003"/>
      <c r="CF129" s="2003"/>
      <c r="CG129" s="2003"/>
      <c r="CH129" s="2003"/>
      <c r="CI129" s="2003"/>
      <c r="CJ129" s="2003"/>
      <c r="CK129" s="2003"/>
      <c r="CL129" s="2003"/>
      <c r="CM129" s="2003"/>
      <c r="CN129" s="2003"/>
      <c r="CO129" s="2003"/>
      <c r="CP129" s="2003"/>
      <c r="CQ129" s="2003"/>
      <c r="CR129" s="2003"/>
      <c r="CS129" s="2003"/>
      <c r="CT129" s="2003"/>
      <c r="CU129" s="2003"/>
      <c r="CV129" s="2003"/>
      <c r="CW129" s="2003"/>
      <c r="CX129" s="2003"/>
      <c r="CY129" s="2003"/>
      <c r="CZ129" s="2003"/>
      <c r="DA129" s="2003"/>
      <c r="DB129" s="2003"/>
      <c r="DC129" s="2003"/>
      <c r="DD129" s="2003"/>
      <c r="DE129" s="2003"/>
      <c r="DF129" s="2003"/>
      <c r="DG129" s="2003"/>
      <c r="DH129" s="2003"/>
      <c r="DI129" s="2003"/>
      <c r="DJ129" s="2003"/>
      <c r="DK129" s="2003"/>
      <c r="DL129" s="2003"/>
      <c r="DM129" s="2003"/>
      <c r="DN129" s="2003"/>
      <c r="DO129" s="2004"/>
      <c r="DP129" s="2003"/>
      <c r="DQ129" s="2003"/>
      <c r="DR129" s="2005"/>
      <c r="DS129" s="2005"/>
      <c r="DT129" s="2005"/>
      <c r="DU129" s="2005"/>
      <c r="DV129" s="2005"/>
      <c r="DW129" s="2005"/>
      <c r="DX129" s="2005"/>
      <c r="DY129" s="2005"/>
      <c r="DZ129" s="2005"/>
      <c r="EA129" s="2005"/>
      <c r="FF129" s="1616"/>
    </row>
    <row r="130" spans="1:162" hidden="1" outlineLevel="2">
      <c r="A130" s="1624" t="s">
        <v>1314</v>
      </c>
      <c r="B130" s="1624" t="s">
        <v>2071</v>
      </c>
      <c r="C130" s="1624" t="s">
        <v>2091</v>
      </c>
      <c r="D130" s="1624" t="s">
        <v>2087</v>
      </c>
      <c r="E130" s="2003"/>
      <c r="F130" s="2003"/>
      <c r="G130" s="2003"/>
      <c r="H130" s="2003"/>
      <c r="I130" s="2003"/>
      <c r="J130" s="2003"/>
      <c r="K130" s="2003"/>
      <c r="L130" s="2003"/>
      <c r="M130" s="2003"/>
      <c r="N130" s="2003"/>
      <c r="O130" s="2003"/>
      <c r="P130" s="2003"/>
      <c r="Q130" s="2003">
        <f t="shared" si="124"/>
        <v>5900</v>
      </c>
      <c r="R130" s="2003">
        <f t="shared" si="125"/>
        <v>4100</v>
      </c>
      <c r="S130" s="2003" t="e">
        <f t="shared" si="126"/>
        <v>#REF!</v>
      </c>
      <c r="T130" s="2003"/>
      <c r="U130" s="2003"/>
      <c r="V130" s="2003"/>
      <c r="W130" s="2003"/>
      <c r="X130" s="2003"/>
      <c r="Y130" s="2003"/>
      <c r="Z130" s="2003"/>
      <c r="AA130" s="2003"/>
      <c r="AB130" s="2003"/>
      <c r="AC130" s="2003"/>
      <c r="AD130" s="2003"/>
      <c r="AE130" s="2003"/>
      <c r="AF130" s="2003"/>
      <c r="AG130" s="2003"/>
      <c r="AH130" s="2003"/>
      <c r="AI130" s="2003"/>
      <c r="AJ130" s="2003"/>
      <c r="AK130" s="2003"/>
      <c r="AL130" s="2003"/>
      <c r="AM130" s="2003"/>
      <c r="AN130" s="2003"/>
      <c r="AO130" s="2003"/>
      <c r="AP130" s="2003"/>
      <c r="AQ130" s="2003"/>
      <c r="AR130" s="2003">
        <f t="shared" si="127"/>
        <v>5900</v>
      </c>
      <c r="AS130" s="2003">
        <f t="shared" si="128"/>
        <v>3900</v>
      </c>
      <c r="AT130" s="2003">
        <f t="shared" si="129"/>
        <v>3900</v>
      </c>
      <c r="AU130" s="2003">
        <f t="shared" si="130"/>
        <v>3900</v>
      </c>
      <c r="AV130" s="2003"/>
      <c r="AW130" s="2003"/>
      <c r="AX130" s="2003">
        <f t="shared" si="131"/>
        <v>5900</v>
      </c>
      <c r="AY130" s="2003">
        <f t="shared" si="132"/>
        <v>3900</v>
      </c>
      <c r="AZ130" s="2003" t="e">
        <f t="shared" si="133"/>
        <v>#REF!</v>
      </c>
      <c r="BA130" s="2003">
        <f t="shared" si="134"/>
        <v>3900</v>
      </c>
      <c r="BB130" s="2003">
        <f t="shared" si="135"/>
        <v>3900</v>
      </c>
      <c r="BC130" s="2003">
        <f t="shared" si="136"/>
        <v>3900</v>
      </c>
      <c r="BD130" s="2003"/>
      <c r="BE130" s="2005"/>
      <c r="BF130" s="2003">
        <f t="shared" si="137"/>
        <v>5900</v>
      </c>
      <c r="BG130" s="2003">
        <f t="shared" si="138"/>
        <v>3900</v>
      </c>
      <c r="BH130" s="2003" t="e">
        <f t="shared" si="139"/>
        <v>#REF!</v>
      </c>
      <c r="BI130" s="2003">
        <f t="shared" si="140"/>
        <v>3900</v>
      </c>
      <c r="BJ130" s="2003">
        <f t="shared" si="141"/>
        <v>3900</v>
      </c>
      <c r="BK130" s="2003">
        <f t="shared" si="142"/>
        <v>3900</v>
      </c>
      <c r="BL130" s="2003">
        <f t="shared" si="143"/>
        <v>0</v>
      </c>
      <c r="BM130" s="2003">
        <f t="shared" si="144"/>
        <v>0</v>
      </c>
      <c r="BN130" s="2003"/>
      <c r="BO130" s="2005"/>
      <c r="BP130" s="2003"/>
      <c r="BQ130" s="2003">
        <f t="shared" si="145"/>
        <v>0</v>
      </c>
      <c r="BR130" s="2003">
        <f t="shared" si="145"/>
        <v>0</v>
      </c>
      <c r="BS130" s="2003"/>
      <c r="BT130" s="2003"/>
      <c r="BU130" s="2003"/>
      <c r="BV130" s="2003"/>
      <c r="BW130" s="2003"/>
      <c r="BX130" s="2003"/>
      <c r="BY130" s="2003"/>
      <c r="BZ130" s="2003"/>
      <c r="CA130" s="2003"/>
      <c r="CB130" s="2003"/>
      <c r="CC130" s="2003"/>
      <c r="CD130" s="2003"/>
      <c r="CE130" s="2003"/>
      <c r="CF130" s="2003"/>
      <c r="CG130" s="2003"/>
      <c r="CH130" s="2003"/>
      <c r="CI130" s="2003"/>
      <c r="CJ130" s="2003"/>
      <c r="CK130" s="2003"/>
      <c r="CL130" s="2003"/>
      <c r="CM130" s="2003"/>
      <c r="CN130" s="2003"/>
      <c r="CO130" s="2003"/>
      <c r="CP130" s="2003"/>
      <c r="CQ130" s="2003"/>
      <c r="CR130" s="2003"/>
      <c r="CS130" s="2003"/>
      <c r="CT130" s="2003"/>
      <c r="CU130" s="2003"/>
      <c r="CV130" s="2003"/>
      <c r="CW130" s="2003"/>
      <c r="CX130" s="2003"/>
      <c r="CY130" s="2003"/>
      <c r="CZ130" s="2003"/>
      <c r="DA130" s="2003"/>
      <c r="DB130" s="2003"/>
      <c r="DC130" s="2003"/>
      <c r="DD130" s="2003"/>
      <c r="DE130" s="2003"/>
      <c r="DF130" s="2003"/>
      <c r="DG130" s="2003"/>
      <c r="DH130" s="2003"/>
      <c r="DI130" s="2003"/>
      <c r="DJ130" s="2003"/>
      <c r="DK130" s="2003"/>
      <c r="DL130" s="2003"/>
      <c r="DM130" s="2003"/>
      <c r="DN130" s="2003"/>
      <c r="DO130" s="2004"/>
      <c r="DP130" s="2003"/>
      <c r="DQ130" s="2003"/>
      <c r="DR130" s="2005"/>
      <c r="DS130" s="2005"/>
      <c r="DT130" s="2005"/>
      <c r="DU130" s="2005"/>
      <c r="DV130" s="2005"/>
      <c r="DW130" s="2005"/>
      <c r="DX130" s="2005"/>
      <c r="DY130" s="2005"/>
      <c r="DZ130" s="2005"/>
      <c r="EA130" s="2005"/>
      <c r="FF130" s="1616"/>
    </row>
    <row r="131" spans="1:162" hidden="1" outlineLevel="2">
      <c r="A131" s="1624" t="s">
        <v>1314</v>
      </c>
      <c r="B131" s="1624" t="s">
        <v>2072</v>
      </c>
      <c r="C131" s="1624" t="s">
        <v>2091</v>
      </c>
      <c r="D131" s="1624" t="s">
        <v>2085</v>
      </c>
      <c r="E131" s="2003"/>
      <c r="F131" s="2003"/>
      <c r="G131" s="2003"/>
      <c r="H131" s="2003"/>
      <c r="I131" s="2003"/>
      <c r="J131" s="2003"/>
      <c r="K131" s="2003"/>
      <c r="L131" s="2003"/>
      <c r="M131" s="2003"/>
      <c r="N131" s="2003"/>
      <c r="O131" s="2003"/>
      <c r="P131" s="2003"/>
      <c r="Q131" s="2003">
        <f t="shared" si="124"/>
        <v>5900</v>
      </c>
      <c r="R131" s="2003">
        <f t="shared" si="125"/>
        <v>4100</v>
      </c>
      <c r="S131" s="2003" t="e">
        <f t="shared" si="126"/>
        <v>#REF!</v>
      </c>
      <c r="T131" s="2003"/>
      <c r="U131" s="2003"/>
      <c r="V131" s="2003"/>
      <c r="W131" s="2003"/>
      <c r="X131" s="2003"/>
      <c r="Y131" s="2003"/>
      <c r="Z131" s="2003"/>
      <c r="AA131" s="2003"/>
      <c r="AB131" s="2003"/>
      <c r="AC131" s="2003"/>
      <c r="AD131" s="2003"/>
      <c r="AE131" s="2003"/>
      <c r="AF131" s="2003"/>
      <c r="AG131" s="2003"/>
      <c r="AH131" s="2003"/>
      <c r="AI131" s="2003"/>
      <c r="AJ131" s="2003"/>
      <c r="AK131" s="2003"/>
      <c r="AL131" s="2003"/>
      <c r="AM131" s="2003"/>
      <c r="AN131" s="2003"/>
      <c r="AO131" s="2003"/>
      <c r="AP131" s="2003"/>
      <c r="AQ131" s="2003"/>
      <c r="AR131" s="2003">
        <f t="shared" si="127"/>
        <v>5900</v>
      </c>
      <c r="AS131" s="2003">
        <f t="shared" si="128"/>
        <v>3900</v>
      </c>
      <c r="AT131" s="2003">
        <f t="shared" si="129"/>
        <v>3900</v>
      </c>
      <c r="AU131" s="2003">
        <f t="shared" si="130"/>
        <v>3900</v>
      </c>
      <c r="AV131" s="2003"/>
      <c r="AW131" s="2003"/>
      <c r="AX131" s="2003">
        <f t="shared" si="131"/>
        <v>5900</v>
      </c>
      <c r="AY131" s="2003">
        <f t="shared" si="132"/>
        <v>3900</v>
      </c>
      <c r="AZ131" s="2003" t="e">
        <f t="shared" si="133"/>
        <v>#REF!</v>
      </c>
      <c r="BA131" s="2003">
        <f t="shared" si="134"/>
        <v>3900</v>
      </c>
      <c r="BB131" s="2003">
        <f t="shared" si="135"/>
        <v>3900</v>
      </c>
      <c r="BC131" s="2003">
        <f t="shared" si="136"/>
        <v>3900</v>
      </c>
      <c r="BD131" s="2003"/>
      <c r="BE131" s="2005"/>
      <c r="BF131" s="2003">
        <f t="shared" si="137"/>
        <v>5900</v>
      </c>
      <c r="BG131" s="2003">
        <f t="shared" si="138"/>
        <v>3900</v>
      </c>
      <c r="BH131" s="2003" t="e">
        <f t="shared" si="139"/>
        <v>#REF!</v>
      </c>
      <c r="BI131" s="2003">
        <f t="shared" si="140"/>
        <v>3900</v>
      </c>
      <c r="BJ131" s="2003">
        <f t="shared" si="141"/>
        <v>3900</v>
      </c>
      <c r="BK131" s="2003">
        <f t="shared" si="142"/>
        <v>3900</v>
      </c>
      <c r="BL131" s="2003">
        <f t="shared" si="143"/>
        <v>0</v>
      </c>
      <c r="BM131" s="2003">
        <f t="shared" si="144"/>
        <v>0</v>
      </c>
      <c r="BN131" s="2003"/>
      <c r="BO131" s="2005"/>
      <c r="BP131" s="2003"/>
      <c r="BQ131" s="2003">
        <f t="shared" si="145"/>
        <v>0</v>
      </c>
      <c r="BR131" s="2003">
        <f t="shared" si="145"/>
        <v>0</v>
      </c>
      <c r="BS131" s="2003"/>
      <c r="BT131" s="2003"/>
      <c r="BU131" s="2003"/>
      <c r="BV131" s="2003"/>
      <c r="BW131" s="2003"/>
      <c r="BX131" s="2003"/>
      <c r="BY131" s="2003"/>
      <c r="BZ131" s="2003"/>
      <c r="CA131" s="2003"/>
      <c r="CB131" s="2003"/>
      <c r="CC131" s="2003"/>
      <c r="CD131" s="2003"/>
      <c r="CE131" s="2003"/>
      <c r="CF131" s="2003"/>
      <c r="CG131" s="2003"/>
      <c r="CH131" s="2003"/>
      <c r="CI131" s="2003"/>
      <c r="CJ131" s="2003"/>
      <c r="CK131" s="2003"/>
      <c r="CL131" s="2003"/>
      <c r="CM131" s="2003"/>
      <c r="CN131" s="2003"/>
      <c r="CO131" s="2003"/>
      <c r="CP131" s="2003"/>
      <c r="CQ131" s="2003"/>
      <c r="CR131" s="2003"/>
      <c r="CS131" s="2003"/>
      <c r="CT131" s="2003"/>
      <c r="CU131" s="2003"/>
      <c r="CV131" s="2003"/>
      <c r="CW131" s="2003"/>
      <c r="CX131" s="2003"/>
      <c r="CY131" s="2003"/>
      <c r="CZ131" s="2003"/>
      <c r="DA131" s="2003"/>
      <c r="DB131" s="2003"/>
      <c r="DC131" s="2003"/>
      <c r="DD131" s="2003"/>
      <c r="DE131" s="2003"/>
      <c r="DF131" s="2003"/>
      <c r="DG131" s="2003"/>
      <c r="DH131" s="2003"/>
      <c r="DI131" s="2003"/>
      <c r="DJ131" s="2003"/>
      <c r="DK131" s="2003"/>
      <c r="DL131" s="2003"/>
      <c r="DM131" s="2003"/>
      <c r="DN131" s="2003"/>
      <c r="DO131" s="2004"/>
      <c r="DP131" s="2003"/>
      <c r="DQ131" s="2003"/>
      <c r="DR131" s="2005"/>
      <c r="DS131" s="2005"/>
      <c r="DT131" s="2005"/>
      <c r="DU131" s="2005"/>
      <c r="DV131" s="2005"/>
      <c r="DW131" s="2005"/>
      <c r="DX131" s="2005"/>
      <c r="DY131" s="2005"/>
      <c r="DZ131" s="2005"/>
      <c r="EA131" s="2005"/>
      <c r="FF131" s="1616"/>
    </row>
    <row r="132" spans="1:162" hidden="1" outlineLevel="2">
      <c r="A132" s="1624" t="s">
        <v>1314</v>
      </c>
      <c r="B132" s="1624" t="s">
        <v>2072</v>
      </c>
      <c r="C132" s="1624" t="s">
        <v>2091</v>
      </c>
      <c r="D132" s="1624" t="s">
        <v>722</v>
      </c>
      <c r="E132" s="2003"/>
      <c r="F132" s="2003"/>
      <c r="G132" s="2003"/>
      <c r="H132" s="2003"/>
      <c r="I132" s="2003"/>
      <c r="J132" s="2003"/>
      <c r="K132" s="2003"/>
      <c r="L132" s="2003"/>
      <c r="M132" s="2003"/>
      <c r="N132" s="2003"/>
      <c r="O132" s="2003"/>
      <c r="P132" s="2003"/>
      <c r="Q132" s="2003">
        <f t="shared" si="124"/>
        <v>5900</v>
      </c>
      <c r="R132" s="2003">
        <f t="shared" si="125"/>
        <v>4100</v>
      </c>
      <c r="S132" s="2003" t="e">
        <f t="shared" si="126"/>
        <v>#REF!</v>
      </c>
      <c r="T132" s="2003"/>
      <c r="U132" s="2003"/>
      <c r="V132" s="2003"/>
      <c r="W132" s="2003"/>
      <c r="X132" s="2003"/>
      <c r="Y132" s="2003"/>
      <c r="Z132" s="2003"/>
      <c r="AA132" s="2003"/>
      <c r="AB132" s="2003"/>
      <c r="AC132" s="2003"/>
      <c r="AD132" s="2003"/>
      <c r="AE132" s="2003"/>
      <c r="AF132" s="2003"/>
      <c r="AG132" s="2003"/>
      <c r="AH132" s="2003"/>
      <c r="AI132" s="2003"/>
      <c r="AJ132" s="2003"/>
      <c r="AK132" s="2003"/>
      <c r="AL132" s="2003"/>
      <c r="AM132" s="2003"/>
      <c r="AN132" s="2003"/>
      <c r="AO132" s="2003"/>
      <c r="AP132" s="2003"/>
      <c r="AQ132" s="2003"/>
      <c r="AR132" s="2003">
        <f t="shared" si="127"/>
        <v>5900</v>
      </c>
      <c r="AS132" s="2003">
        <f t="shared" si="128"/>
        <v>3900</v>
      </c>
      <c r="AT132" s="2003">
        <f t="shared" si="129"/>
        <v>3900</v>
      </c>
      <c r="AU132" s="2003">
        <f t="shared" si="130"/>
        <v>3900</v>
      </c>
      <c r="AV132" s="2003"/>
      <c r="AW132" s="2003"/>
      <c r="AX132" s="2003">
        <f t="shared" si="131"/>
        <v>5900</v>
      </c>
      <c r="AY132" s="2003">
        <f t="shared" si="132"/>
        <v>3900</v>
      </c>
      <c r="AZ132" s="2003" t="e">
        <f t="shared" si="133"/>
        <v>#REF!</v>
      </c>
      <c r="BA132" s="2003">
        <f t="shared" si="134"/>
        <v>3900</v>
      </c>
      <c r="BB132" s="2003">
        <f t="shared" si="135"/>
        <v>3900</v>
      </c>
      <c r="BC132" s="2003">
        <f t="shared" si="136"/>
        <v>3900</v>
      </c>
      <c r="BD132" s="2003"/>
      <c r="BE132" s="2005"/>
      <c r="BF132" s="2003">
        <f t="shared" si="137"/>
        <v>5900</v>
      </c>
      <c r="BG132" s="2003">
        <f t="shared" si="138"/>
        <v>3900</v>
      </c>
      <c r="BH132" s="2003" t="e">
        <f t="shared" si="139"/>
        <v>#REF!</v>
      </c>
      <c r="BI132" s="2003">
        <f t="shared" si="140"/>
        <v>3900</v>
      </c>
      <c r="BJ132" s="2003">
        <f t="shared" si="141"/>
        <v>3900</v>
      </c>
      <c r="BK132" s="2003">
        <f t="shared" si="142"/>
        <v>3900</v>
      </c>
      <c r="BL132" s="2003">
        <f t="shared" si="143"/>
        <v>0</v>
      </c>
      <c r="BM132" s="2003">
        <f t="shared" si="144"/>
        <v>0</v>
      </c>
      <c r="BN132" s="2003"/>
      <c r="BO132" s="2005"/>
      <c r="BP132" s="2003"/>
      <c r="BQ132" s="2003">
        <f t="shared" si="145"/>
        <v>0</v>
      </c>
      <c r="BR132" s="2003">
        <f t="shared" si="145"/>
        <v>0</v>
      </c>
      <c r="BS132" s="2003"/>
      <c r="BT132" s="2003"/>
      <c r="BU132" s="2003"/>
      <c r="BV132" s="2003"/>
      <c r="BW132" s="2003"/>
      <c r="BX132" s="2003"/>
      <c r="BY132" s="2003"/>
      <c r="BZ132" s="2003"/>
      <c r="CA132" s="2003"/>
      <c r="CB132" s="2003"/>
      <c r="CC132" s="2003"/>
      <c r="CD132" s="2003"/>
      <c r="CE132" s="2003"/>
      <c r="CF132" s="2003"/>
      <c r="CG132" s="2003"/>
      <c r="CH132" s="2003"/>
      <c r="CI132" s="2003"/>
      <c r="CJ132" s="2003"/>
      <c r="CK132" s="2003"/>
      <c r="CL132" s="2003"/>
      <c r="CM132" s="2003"/>
      <c r="CN132" s="2003"/>
      <c r="CO132" s="2003"/>
      <c r="CP132" s="2003"/>
      <c r="CQ132" s="2003"/>
      <c r="CR132" s="2003"/>
      <c r="CS132" s="2003"/>
      <c r="CT132" s="2003"/>
      <c r="CU132" s="2003"/>
      <c r="CV132" s="2003"/>
      <c r="CW132" s="2003"/>
      <c r="CX132" s="2003"/>
      <c r="CY132" s="2003"/>
      <c r="CZ132" s="2003"/>
      <c r="DA132" s="2003"/>
      <c r="DB132" s="2003"/>
      <c r="DC132" s="2003"/>
      <c r="DD132" s="2003"/>
      <c r="DE132" s="2003"/>
      <c r="DF132" s="2003"/>
      <c r="DG132" s="2003"/>
      <c r="DH132" s="2003"/>
      <c r="DI132" s="2003"/>
      <c r="DJ132" s="2003"/>
      <c r="DK132" s="2003"/>
      <c r="DL132" s="2003"/>
      <c r="DM132" s="2003"/>
      <c r="DN132" s="2003"/>
      <c r="DO132" s="2004"/>
      <c r="DP132" s="2003"/>
      <c r="DQ132" s="2003"/>
      <c r="DR132" s="2005"/>
      <c r="DS132" s="2005"/>
      <c r="DT132" s="2005"/>
      <c r="DU132" s="2005"/>
      <c r="DV132" s="2005"/>
      <c r="DW132" s="2005"/>
      <c r="DX132" s="2005"/>
      <c r="DY132" s="2005"/>
      <c r="DZ132" s="2005"/>
      <c r="EA132" s="2005"/>
      <c r="FF132" s="1616"/>
    </row>
    <row r="133" spans="1:162" hidden="1" outlineLevel="2">
      <c r="A133" s="1624" t="s">
        <v>1314</v>
      </c>
      <c r="B133" s="1624" t="s">
        <v>2072</v>
      </c>
      <c r="C133" s="1624" t="s">
        <v>2091</v>
      </c>
      <c r="D133" s="1624" t="s">
        <v>2086</v>
      </c>
      <c r="E133" s="2003"/>
      <c r="F133" s="2003"/>
      <c r="G133" s="2003"/>
      <c r="H133" s="2003"/>
      <c r="I133" s="2003"/>
      <c r="J133" s="2003"/>
      <c r="K133" s="2003"/>
      <c r="L133" s="2003"/>
      <c r="M133" s="2003"/>
      <c r="N133" s="2003"/>
      <c r="O133" s="2003"/>
      <c r="P133" s="2003"/>
      <c r="Q133" s="2003">
        <f t="shared" si="124"/>
        <v>5900</v>
      </c>
      <c r="R133" s="2003">
        <f t="shared" si="125"/>
        <v>4100</v>
      </c>
      <c r="S133" s="2003" t="e">
        <f t="shared" si="126"/>
        <v>#REF!</v>
      </c>
      <c r="T133" s="2003"/>
      <c r="U133" s="2003"/>
      <c r="V133" s="2003"/>
      <c r="W133" s="2003"/>
      <c r="X133" s="2003"/>
      <c r="Y133" s="2003"/>
      <c r="Z133" s="2003"/>
      <c r="AA133" s="2003"/>
      <c r="AB133" s="2003"/>
      <c r="AC133" s="2003"/>
      <c r="AD133" s="2003"/>
      <c r="AE133" s="2003"/>
      <c r="AF133" s="2003"/>
      <c r="AG133" s="2003"/>
      <c r="AH133" s="2003"/>
      <c r="AI133" s="2003"/>
      <c r="AJ133" s="2003"/>
      <c r="AK133" s="2003"/>
      <c r="AL133" s="2003"/>
      <c r="AM133" s="2003"/>
      <c r="AN133" s="2003"/>
      <c r="AO133" s="2003"/>
      <c r="AP133" s="2003"/>
      <c r="AQ133" s="2003"/>
      <c r="AR133" s="2003">
        <f t="shared" si="127"/>
        <v>5900</v>
      </c>
      <c r="AS133" s="2003">
        <f t="shared" si="128"/>
        <v>3900</v>
      </c>
      <c r="AT133" s="2003">
        <f t="shared" si="129"/>
        <v>3900</v>
      </c>
      <c r="AU133" s="2003">
        <f t="shared" si="130"/>
        <v>3900</v>
      </c>
      <c r="AV133" s="2003"/>
      <c r="AW133" s="2003"/>
      <c r="AX133" s="2003">
        <f t="shared" si="131"/>
        <v>5900</v>
      </c>
      <c r="AY133" s="2003">
        <f t="shared" si="132"/>
        <v>3900</v>
      </c>
      <c r="AZ133" s="2003" t="e">
        <f t="shared" si="133"/>
        <v>#REF!</v>
      </c>
      <c r="BA133" s="2003">
        <f t="shared" si="134"/>
        <v>3900</v>
      </c>
      <c r="BB133" s="2003">
        <f t="shared" si="135"/>
        <v>3900</v>
      </c>
      <c r="BC133" s="2003">
        <f t="shared" si="136"/>
        <v>3900</v>
      </c>
      <c r="BD133" s="2003"/>
      <c r="BE133" s="2005"/>
      <c r="BF133" s="2003">
        <f t="shared" si="137"/>
        <v>5900</v>
      </c>
      <c r="BG133" s="2003">
        <f t="shared" si="138"/>
        <v>3900</v>
      </c>
      <c r="BH133" s="2003" t="e">
        <f t="shared" si="139"/>
        <v>#REF!</v>
      </c>
      <c r="BI133" s="2003">
        <f t="shared" si="140"/>
        <v>3900</v>
      </c>
      <c r="BJ133" s="2003">
        <f t="shared" si="141"/>
        <v>3900</v>
      </c>
      <c r="BK133" s="2003">
        <f t="shared" si="142"/>
        <v>3900</v>
      </c>
      <c r="BL133" s="2003">
        <f t="shared" si="143"/>
        <v>0</v>
      </c>
      <c r="BM133" s="2003">
        <f t="shared" si="144"/>
        <v>0</v>
      </c>
      <c r="BN133" s="2003"/>
      <c r="BO133" s="2005"/>
      <c r="BP133" s="2003"/>
      <c r="BQ133" s="2003">
        <f t="shared" si="145"/>
        <v>0</v>
      </c>
      <c r="BR133" s="2003">
        <f t="shared" si="145"/>
        <v>0</v>
      </c>
      <c r="BS133" s="2003"/>
      <c r="BT133" s="2003"/>
      <c r="BU133" s="2003"/>
      <c r="BV133" s="2003"/>
      <c r="BW133" s="2003"/>
      <c r="BX133" s="2003"/>
      <c r="BY133" s="2003"/>
      <c r="BZ133" s="2003"/>
      <c r="CA133" s="2003"/>
      <c r="CB133" s="2003"/>
      <c r="CC133" s="2003"/>
      <c r="CD133" s="2003"/>
      <c r="CE133" s="2003"/>
      <c r="CF133" s="2003"/>
      <c r="CG133" s="2003"/>
      <c r="CH133" s="2003"/>
      <c r="CI133" s="2003"/>
      <c r="CJ133" s="2003"/>
      <c r="CK133" s="2003"/>
      <c r="CL133" s="2003"/>
      <c r="CM133" s="2003"/>
      <c r="CN133" s="2003"/>
      <c r="CO133" s="2003"/>
      <c r="CP133" s="2003"/>
      <c r="CQ133" s="2003"/>
      <c r="CR133" s="2003"/>
      <c r="CS133" s="2003"/>
      <c r="CT133" s="2003"/>
      <c r="CU133" s="2003"/>
      <c r="CV133" s="2003"/>
      <c r="CW133" s="2003"/>
      <c r="CX133" s="2003"/>
      <c r="CY133" s="2003"/>
      <c r="CZ133" s="2003"/>
      <c r="DA133" s="2003"/>
      <c r="DB133" s="2003"/>
      <c r="DC133" s="2003"/>
      <c r="DD133" s="2003"/>
      <c r="DE133" s="2003"/>
      <c r="DF133" s="2003"/>
      <c r="DG133" s="2003"/>
      <c r="DH133" s="2003"/>
      <c r="DI133" s="2003"/>
      <c r="DJ133" s="2003"/>
      <c r="DK133" s="2003"/>
      <c r="DL133" s="2003"/>
      <c r="DM133" s="2003"/>
      <c r="DN133" s="2003"/>
      <c r="DO133" s="2004"/>
      <c r="DP133" s="2003"/>
      <c r="DQ133" s="2003"/>
      <c r="DR133" s="2005"/>
      <c r="DS133" s="2005"/>
      <c r="DT133" s="2005"/>
      <c r="DU133" s="2005"/>
      <c r="DV133" s="2005"/>
      <c r="DW133" s="2005"/>
      <c r="DX133" s="2005"/>
      <c r="DY133" s="2005"/>
      <c r="DZ133" s="2005"/>
      <c r="EA133" s="2005"/>
      <c r="FF133" s="1616"/>
    </row>
    <row r="134" spans="1:162" hidden="1" outlineLevel="2">
      <c r="A134" s="1624" t="s">
        <v>1314</v>
      </c>
      <c r="B134" s="1624" t="s">
        <v>2072</v>
      </c>
      <c r="C134" s="1624" t="s">
        <v>2091</v>
      </c>
      <c r="D134" s="1624" t="s">
        <v>2087</v>
      </c>
      <c r="E134" s="2003"/>
      <c r="F134" s="2003"/>
      <c r="G134" s="2003"/>
      <c r="H134" s="2003"/>
      <c r="I134" s="2003"/>
      <c r="J134" s="2003"/>
      <c r="K134" s="2003"/>
      <c r="L134" s="2003"/>
      <c r="M134" s="2003"/>
      <c r="N134" s="2003"/>
      <c r="O134" s="2003"/>
      <c r="P134" s="2003"/>
      <c r="Q134" s="2003">
        <f t="shared" si="124"/>
        <v>5900</v>
      </c>
      <c r="R134" s="2003">
        <f t="shared" si="125"/>
        <v>4100</v>
      </c>
      <c r="S134" s="2003" t="e">
        <f t="shared" si="126"/>
        <v>#REF!</v>
      </c>
      <c r="T134" s="2003"/>
      <c r="U134" s="2003"/>
      <c r="V134" s="2003"/>
      <c r="W134" s="2003"/>
      <c r="X134" s="2003"/>
      <c r="Y134" s="2003"/>
      <c r="Z134" s="2003"/>
      <c r="AA134" s="2003"/>
      <c r="AB134" s="2003"/>
      <c r="AC134" s="2003"/>
      <c r="AD134" s="2003"/>
      <c r="AE134" s="2003"/>
      <c r="AF134" s="2003"/>
      <c r="AG134" s="2003"/>
      <c r="AH134" s="2003"/>
      <c r="AI134" s="2003"/>
      <c r="AJ134" s="2003"/>
      <c r="AK134" s="2003"/>
      <c r="AL134" s="2003"/>
      <c r="AM134" s="2003"/>
      <c r="AN134" s="2003"/>
      <c r="AO134" s="2003"/>
      <c r="AP134" s="2003"/>
      <c r="AQ134" s="2003"/>
      <c r="AR134" s="2003">
        <f t="shared" si="127"/>
        <v>5900</v>
      </c>
      <c r="AS134" s="2003">
        <f t="shared" si="128"/>
        <v>3900</v>
      </c>
      <c r="AT134" s="2003">
        <f t="shared" si="129"/>
        <v>3900</v>
      </c>
      <c r="AU134" s="2003">
        <f t="shared" si="130"/>
        <v>3900</v>
      </c>
      <c r="AV134" s="2003"/>
      <c r="AW134" s="2003"/>
      <c r="AX134" s="2003">
        <f t="shared" si="131"/>
        <v>5900</v>
      </c>
      <c r="AY134" s="2003">
        <f t="shared" si="132"/>
        <v>3900</v>
      </c>
      <c r="AZ134" s="2003" t="e">
        <f t="shared" si="133"/>
        <v>#REF!</v>
      </c>
      <c r="BA134" s="2003">
        <f t="shared" si="134"/>
        <v>3900</v>
      </c>
      <c r="BB134" s="2003">
        <f t="shared" si="135"/>
        <v>3900</v>
      </c>
      <c r="BC134" s="2003">
        <f t="shared" si="136"/>
        <v>3900</v>
      </c>
      <c r="BD134" s="2003"/>
      <c r="BE134" s="2005"/>
      <c r="BF134" s="2005"/>
      <c r="BG134" s="2003">
        <f t="shared" si="138"/>
        <v>3900</v>
      </c>
      <c r="BH134" s="2003" t="e">
        <f t="shared" si="139"/>
        <v>#REF!</v>
      </c>
      <c r="BI134" s="2003">
        <f t="shared" si="140"/>
        <v>3900</v>
      </c>
      <c r="BJ134" s="2003">
        <f t="shared" si="141"/>
        <v>3900</v>
      </c>
      <c r="BK134" s="2003">
        <f t="shared" si="142"/>
        <v>3900</v>
      </c>
      <c r="BL134" s="2003">
        <f>BL133</f>
        <v>0</v>
      </c>
      <c r="BM134" s="2003">
        <f>BM133</f>
        <v>0</v>
      </c>
      <c r="BN134" s="2003"/>
      <c r="BO134" s="2005"/>
      <c r="BP134" s="2003"/>
      <c r="BQ134" s="2003">
        <f t="shared" si="145"/>
        <v>0</v>
      </c>
      <c r="BR134" s="2003">
        <f t="shared" si="145"/>
        <v>0</v>
      </c>
      <c r="BS134" s="2003"/>
      <c r="BT134" s="2003"/>
      <c r="BU134" s="2003"/>
      <c r="BV134" s="2003"/>
      <c r="BW134" s="2003"/>
      <c r="BX134" s="2003"/>
      <c r="BY134" s="2003"/>
      <c r="BZ134" s="2003"/>
      <c r="CA134" s="2003"/>
      <c r="CB134" s="2003"/>
      <c r="CC134" s="2003"/>
      <c r="CD134" s="2003"/>
      <c r="CE134" s="2003"/>
      <c r="CF134" s="2003"/>
      <c r="CG134" s="2003"/>
      <c r="CH134" s="2003"/>
      <c r="CI134" s="2003"/>
      <c r="CJ134" s="2003"/>
      <c r="CK134" s="2003"/>
      <c r="CL134" s="2003"/>
      <c r="CM134" s="2003"/>
      <c r="CN134" s="2003"/>
      <c r="CO134" s="2003"/>
      <c r="CP134" s="2003"/>
      <c r="CQ134" s="2003"/>
      <c r="CR134" s="2003"/>
      <c r="CS134" s="2003"/>
      <c r="CT134" s="2003"/>
      <c r="CU134" s="2003"/>
      <c r="CV134" s="2003"/>
      <c r="CW134" s="2003"/>
      <c r="CX134" s="2003"/>
      <c r="CY134" s="2003"/>
      <c r="CZ134" s="2003"/>
      <c r="DA134" s="2003"/>
      <c r="DB134" s="2003"/>
      <c r="DC134" s="2003"/>
      <c r="DD134" s="2003"/>
      <c r="DE134" s="2003"/>
      <c r="DF134" s="2003"/>
      <c r="DG134" s="2003"/>
      <c r="DH134" s="2003"/>
      <c r="DI134" s="2003"/>
      <c r="DJ134" s="2003"/>
      <c r="DK134" s="2003"/>
      <c r="DL134" s="2003"/>
      <c r="DM134" s="2003"/>
      <c r="DN134" s="2003"/>
      <c r="DO134" s="2004"/>
      <c r="DP134" s="2003"/>
      <c r="DQ134" s="2003"/>
      <c r="DR134" s="2005"/>
      <c r="DS134" s="2005"/>
      <c r="DT134" s="2005"/>
      <c r="DU134" s="2005"/>
      <c r="DV134" s="2005"/>
      <c r="DW134" s="2005"/>
      <c r="DX134" s="2005"/>
      <c r="DY134" s="2005"/>
      <c r="DZ134" s="2005"/>
      <c r="EA134" s="2005"/>
      <c r="FF134" s="1616"/>
    </row>
    <row r="135" spans="1:162" s="1613" customFormat="1" hidden="1" outlineLevel="1" collapsed="1">
      <c r="A135" s="1623" t="s">
        <v>1314</v>
      </c>
      <c r="B135" s="1623" t="s">
        <v>2061</v>
      </c>
      <c r="C135" s="1623" t="s">
        <v>2092</v>
      </c>
      <c r="D135" s="1623" t="s">
        <v>2085</v>
      </c>
      <c r="E135" s="2000"/>
      <c r="F135" s="2000"/>
      <c r="G135" s="2000"/>
      <c r="H135" s="2000"/>
      <c r="I135" s="2000"/>
      <c r="J135" s="2000"/>
      <c r="K135" s="2000"/>
      <c r="L135" s="2000"/>
      <c r="M135" s="2000"/>
      <c r="N135" s="2000"/>
      <c r="O135" s="2000"/>
      <c r="P135" s="2000"/>
      <c r="Q135" s="2000"/>
      <c r="R135" s="2000"/>
      <c r="S135" s="2000"/>
      <c r="T135" s="2000"/>
      <c r="U135" s="2000"/>
      <c r="V135" s="2000"/>
      <c r="W135" s="2000"/>
      <c r="X135" s="2000"/>
      <c r="Y135" s="2000"/>
      <c r="Z135" s="2000"/>
      <c r="AA135" s="2000"/>
      <c r="AB135" s="2000"/>
      <c r="AC135" s="2000"/>
      <c r="AD135" s="2000"/>
      <c r="AE135" s="2000"/>
      <c r="AF135" s="2000"/>
      <c r="AG135" s="2000"/>
      <c r="AH135" s="2000"/>
      <c r="AI135" s="2000"/>
      <c r="AJ135" s="2000"/>
      <c r="AK135" s="2000"/>
      <c r="AL135" s="2000"/>
      <c r="AM135" s="2000"/>
      <c r="AN135" s="2000"/>
      <c r="AO135" s="2000"/>
      <c r="AP135" s="2000"/>
      <c r="AQ135" s="2000"/>
      <c r="AR135" s="2000"/>
      <c r="AS135" s="2000"/>
      <c r="AT135" s="2000"/>
      <c r="AU135" s="2000"/>
      <c r="AV135" s="2000"/>
      <c r="AW135" s="2000"/>
      <c r="AX135" s="2000"/>
      <c r="AY135" s="2000"/>
      <c r="AZ135" s="2000"/>
      <c r="BA135" s="2000"/>
      <c r="BB135" s="2000"/>
      <c r="BC135" s="2000"/>
      <c r="BD135" s="2000"/>
      <c r="BE135" s="2000"/>
      <c r="BF135" s="2000"/>
      <c r="BG135" s="2000"/>
      <c r="BH135" s="2000"/>
      <c r="BI135" s="2000"/>
      <c r="BJ135" s="2000"/>
      <c r="BK135" s="2000"/>
      <c r="BL135" s="2000"/>
      <c r="BM135" s="2000"/>
      <c r="BN135" s="2000"/>
      <c r="BO135" s="2000"/>
      <c r="BP135" s="2000" t="s">
        <v>5</v>
      </c>
      <c r="BQ135" s="2000"/>
      <c r="BR135" s="2000"/>
      <c r="BS135" s="2000"/>
      <c r="BT135" s="2000"/>
      <c r="BU135" s="2000"/>
      <c r="BV135" s="2000"/>
      <c r="BW135" s="2000"/>
      <c r="BX135" s="2000">
        <f>Fusion!M23</f>
        <v>4500</v>
      </c>
      <c r="BY135" s="2006"/>
      <c r="BZ135" s="2000">
        <f>Fusion!N23</f>
        <v>4500</v>
      </c>
      <c r="CA135" s="2006">
        <f>BZ135</f>
        <v>4500</v>
      </c>
      <c r="CB135" s="2000"/>
      <c r="CC135" s="2000"/>
      <c r="CD135" s="2000"/>
      <c r="CE135" s="2000"/>
      <c r="CF135" s="2000"/>
      <c r="CG135" s="2000"/>
      <c r="CH135" s="2000"/>
      <c r="CI135" s="2000"/>
      <c r="CJ135" s="2000"/>
      <c r="CK135" s="2000"/>
      <c r="CL135" s="2000"/>
      <c r="CM135" s="2000"/>
      <c r="CN135" s="2000"/>
      <c r="CO135" s="2000"/>
      <c r="CP135" s="2000"/>
      <c r="CQ135" s="2000"/>
      <c r="CR135" s="2000"/>
      <c r="CS135" s="2000"/>
      <c r="CT135" s="2000"/>
      <c r="CU135" s="2000"/>
      <c r="CV135" s="2000"/>
      <c r="CW135" s="2000"/>
      <c r="CX135" s="2000"/>
      <c r="CY135" s="2000"/>
      <c r="CZ135" s="2000"/>
      <c r="DA135" s="2000"/>
      <c r="DB135" s="2000"/>
      <c r="DC135" s="2000"/>
      <c r="DD135" s="2000"/>
      <c r="DE135" s="2000"/>
      <c r="DF135" s="2000"/>
      <c r="DG135" s="2000"/>
      <c r="DH135" s="2000"/>
      <c r="DI135" s="2000"/>
      <c r="DJ135" s="2000"/>
      <c r="DK135" s="2000"/>
      <c r="DL135" s="2000"/>
      <c r="DM135" s="2000"/>
      <c r="DN135" s="2000"/>
      <c r="DO135" s="2001"/>
      <c r="DP135" s="2000"/>
      <c r="DQ135" s="2000"/>
      <c r="DR135" s="2002"/>
      <c r="DS135" s="2002"/>
      <c r="DT135" s="2002"/>
      <c r="DU135" s="2002"/>
      <c r="DV135" s="2002"/>
      <c r="DW135" s="2002"/>
      <c r="DX135" s="2002"/>
      <c r="DY135" s="2002"/>
      <c r="DZ135" s="2002"/>
      <c r="EA135" s="2002"/>
      <c r="EB135" s="1987"/>
      <c r="EC135" s="1987"/>
      <c r="ED135" s="1987"/>
      <c r="FF135" s="1614"/>
    </row>
    <row r="136" spans="1:162" hidden="1" outlineLevel="2">
      <c r="A136" s="1624" t="s">
        <v>1314</v>
      </c>
      <c r="B136" s="1624" t="s">
        <v>2061</v>
      </c>
      <c r="C136" s="1624" t="s">
        <v>2092</v>
      </c>
      <c r="D136" s="1624" t="s">
        <v>722</v>
      </c>
      <c r="E136" s="2003"/>
      <c r="F136" s="2003"/>
      <c r="G136" s="2003"/>
      <c r="H136" s="2003"/>
      <c r="I136" s="2003"/>
      <c r="J136" s="2003"/>
      <c r="K136" s="2003"/>
      <c r="L136" s="2003"/>
      <c r="M136" s="2003"/>
      <c r="N136" s="2003"/>
      <c r="O136" s="2003"/>
      <c r="P136" s="2003"/>
      <c r="Q136" s="2003"/>
      <c r="R136" s="2003"/>
      <c r="S136" s="2003"/>
      <c r="T136" s="2003"/>
      <c r="U136" s="2003"/>
      <c r="V136" s="2003"/>
      <c r="W136" s="2003"/>
      <c r="X136" s="2003"/>
      <c r="Y136" s="2003"/>
      <c r="Z136" s="2003"/>
      <c r="AA136" s="2003"/>
      <c r="AB136" s="2003"/>
      <c r="AC136" s="2003"/>
      <c r="AD136" s="2003"/>
      <c r="AE136" s="2003"/>
      <c r="AF136" s="2003"/>
      <c r="AG136" s="2003"/>
      <c r="AH136" s="2003"/>
      <c r="AI136" s="2003"/>
      <c r="AJ136" s="2003"/>
      <c r="AK136" s="2003"/>
      <c r="AL136" s="2003"/>
      <c r="AM136" s="2003"/>
      <c r="AN136" s="2003"/>
      <c r="AO136" s="2003"/>
      <c r="AP136" s="2003"/>
      <c r="AQ136" s="2003"/>
      <c r="AR136" s="2003"/>
      <c r="AS136" s="2003"/>
      <c r="AT136" s="2003"/>
      <c r="AU136" s="2003"/>
      <c r="AV136" s="2003"/>
      <c r="AW136" s="2003"/>
      <c r="AX136" s="2003"/>
      <c r="AY136" s="2003"/>
      <c r="AZ136" s="2003"/>
      <c r="BA136" s="2003"/>
      <c r="BB136" s="2003"/>
      <c r="BC136" s="2003"/>
      <c r="BD136" s="2003"/>
      <c r="BE136" s="2003"/>
      <c r="BF136" s="2003"/>
      <c r="BG136" s="2003"/>
      <c r="BH136" s="2003"/>
      <c r="BI136" s="2003"/>
      <c r="BJ136" s="2003"/>
      <c r="BK136" s="2003"/>
      <c r="BL136" s="2003"/>
      <c r="BM136" s="2003"/>
      <c r="BN136" s="2003"/>
      <c r="BO136" s="2003"/>
      <c r="BP136" s="2003"/>
      <c r="BQ136" s="2003"/>
      <c r="BR136" s="2003"/>
      <c r="BS136" s="2003"/>
      <c r="BT136" s="2003"/>
      <c r="BU136" s="2003"/>
      <c r="BV136" s="2003"/>
      <c r="BW136" s="2003"/>
      <c r="BX136" s="2003">
        <f>BX135</f>
        <v>4500</v>
      </c>
      <c r="BY136" s="2006"/>
      <c r="BZ136" s="2003">
        <f>BZ135</f>
        <v>4500</v>
      </c>
      <c r="CA136" s="2006">
        <f t="shared" ref="CA136:CA155" si="146">BZ136</f>
        <v>4500</v>
      </c>
      <c r="CB136" s="2003"/>
      <c r="CC136" s="2003"/>
      <c r="CD136" s="2003"/>
      <c r="CE136" s="2003"/>
      <c r="CF136" s="2003"/>
      <c r="CG136" s="2003"/>
      <c r="CH136" s="2003"/>
      <c r="CI136" s="2003"/>
      <c r="CJ136" s="2003"/>
      <c r="CK136" s="2003"/>
      <c r="CL136" s="2003"/>
      <c r="CM136" s="2003"/>
      <c r="CN136" s="2003"/>
      <c r="CO136" s="2003"/>
      <c r="CP136" s="2003"/>
      <c r="CQ136" s="2003"/>
      <c r="CR136" s="2003"/>
      <c r="CS136" s="2003"/>
      <c r="CT136" s="2003"/>
      <c r="CU136" s="2003"/>
      <c r="CV136" s="2003"/>
      <c r="CW136" s="2003"/>
      <c r="CX136" s="2003"/>
      <c r="CY136" s="2003"/>
      <c r="CZ136" s="2003"/>
      <c r="DA136" s="2003"/>
      <c r="DB136" s="2003"/>
      <c r="DC136" s="2003"/>
      <c r="DD136" s="2003"/>
      <c r="DE136" s="2003"/>
      <c r="DF136" s="2003"/>
      <c r="DG136" s="2003"/>
      <c r="DH136" s="2003"/>
      <c r="DI136" s="2003"/>
      <c r="DJ136" s="2003"/>
      <c r="DK136" s="2003"/>
      <c r="DL136" s="2003"/>
      <c r="DM136" s="2003"/>
      <c r="DN136" s="2003"/>
      <c r="DO136" s="2004"/>
      <c r="DP136" s="2003"/>
      <c r="DQ136" s="2003"/>
      <c r="DR136" s="2005"/>
      <c r="DS136" s="2005"/>
      <c r="DT136" s="2005"/>
      <c r="DU136" s="2005"/>
      <c r="DV136" s="2005"/>
      <c r="DW136" s="2005"/>
      <c r="DX136" s="2005"/>
      <c r="DY136" s="2005"/>
      <c r="DZ136" s="2005"/>
      <c r="EA136" s="2005"/>
      <c r="FF136" s="1616"/>
    </row>
    <row r="137" spans="1:162" hidden="1" outlineLevel="2">
      <c r="A137" s="1624" t="s">
        <v>1314</v>
      </c>
      <c r="B137" s="1624" t="s">
        <v>2061</v>
      </c>
      <c r="C137" s="1624" t="s">
        <v>2092</v>
      </c>
      <c r="D137" s="1624" t="s">
        <v>2086</v>
      </c>
      <c r="E137" s="2003"/>
      <c r="F137" s="2003"/>
      <c r="G137" s="2003"/>
      <c r="H137" s="2003"/>
      <c r="I137" s="2003"/>
      <c r="J137" s="2003"/>
      <c r="K137" s="2003"/>
      <c r="L137" s="2003"/>
      <c r="M137" s="2003"/>
      <c r="N137" s="2003"/>
      <c r="O137" s="2003"/>
      <c r="P137" s="2003"/>
      <c r="Q137" s="2003"/>
      <c r="R137" s="2003"/>
      <c r="S137" s="2003"/>
      <c r="T137" s="2003"/>
      <c r="U137" s="2003"/>
      <c r="V137" s="2003"/>
      <c r="W137" s="2003"/>
      <c r="X137" s="2003"/>
      <c r="Y137" s="2003"/>
      <c r="Z137" s="2003"/>
      <c r="AA137" s="2003"/>
      <c r="AB137" s="2003"/>
      <c r="AC137" s="2003"/>
      <c r="AD137" s="2003"/>
      <c r="AE137" s="2003"/>
      <c r="AF137" s="2003"/>
      <c r="AG137" s="2003"/>
      <c r="AH137" s="2003"/>
      <c r="AI137" s="2003"/>
      <c r="AJ137" s="2003"/>
      <c r="AK137" s="2003"/>
      <c r="AL137" s="2003"/>
      <c r="AM137" s="2003"/>
      <c r="AN137" s="2003"/>
      <c r="AO137" s="2003"/>
      <c r="AP137" s="2003"/>
      <c r="AQ137" s="2003"/>
      <c r="AR137" s="2003"/>
      <c r="AS137" s="2003"/>
      <c r="AT137" s="2003"/>
      <c r="AU137" s="2003"/>
      <c r="AV137" s="2003"/>
      <c r="AW137" s="2003"/>
      <c r="AX137" s="2003"/>
      <c r="AY137" s="2003"/>
      <c r="AZ137" s="2003"/>
      <c r="BA137" s="2003"/>
      <c r="BB137" s="2003"/>
      <c r="BC137" s="2003"/>
      <c r="BD137" s="2003"/>
      <c r="BE137" s="2003"/>
      <c r="BF137" s="2003"/>
      <c r="BG137" s="2003"/>
      <c r="BH137" s="2003"/>
      <c r="BI137" s="2003"/>
      <c r="BJ137" s="2003"/>
      <c r="BK137" s="2003"/>
      <c r="BL137" s="2003"/>
      <c r="BM137" s="2003"/>
      <c r="BN137" s="2003"/>
      <c r="BO137" s="2003"/>
      <c r="BP137" s="2003" t="s">
        <v>5</v>
      </c>
      <c r="BQ137" s="2003"/>
      <c r="BR137" s="2003"/>
      <c r="BS137" s="2003"/>
      <c r="BT137" s="2003"/>
      <c r="BU137" s="2003"/>
      <c r="BV137" s="2003"/>
      <c r="BW137" s="2003"/>
      <c r="BX137" s="2003">
        <f>BX135</f>
        <v>4500</v>
      </c>
      <c r="BY137" s="2006"/>
      <c r="BZ137" s="2003">
        <f>BZ135</f>
        <v>4500</v>
      </c>
      <c r="CA137" s="2006">
        <f t="shared" si="146"/>
        <v>4500</v>
      </c>
      <c r="CB137" s="2003"/>
      <c r="CC137" s="2003"/>
      <c r="CD137" s="2003"/>
      <c r="CE137" s="2003"/>
      <c r="CF137" s="2003"/>
      <c r="CG137" s="2003"/>
      <c r="CH137" s="2003"/>
      <c r="CI137" s="2003"/>
      <c r="CJ137" s="2003"/>
      <c r="CK137" s="2003"/>
      <c r="CL137" s="2003"/>
      <c r="CM137" s="2003"/>
      <c r="CN137" s="2003"/>
      <c r="CO137" s="2003"/>
      <c r="CP137" s="2003"/>
      <c r="CQ137" s="2003"/>
      <c r="CR137" s="2003"/>
      <c r="CS137" s="2003"/>
      <c r="CT137" s="2003"/>
      <c r="CU137" s="2003"/>
      <c r="CV137" s="2003"/>
      <c r="CW137" s="2003"/>
      <c r="CX137" s="2003"/>
      <c r="CY137" s="2003"/>
      <c r="CZ137" s="2003"/>
      <c r="DA137" s="2003"/>
      <c r="DB137" s="2003"/>
      <c r="DC137" s="2003"/>
      <c r="DD137" s="2003"/>
      <c r="DE137" s="2003"/>
      <c r="DF137" s="2003"/>
      <c r="DG137" s="2003"/>
      <c r="DH137" s="2003"/>
      <c r="DI137" s="2003"/>
      <c r="DJ137" s="2003"/>
      <c r="DK137" s="2003"/>
      <c r="DL137" s="2003"/>
      <c r="DM137" s="2003"/>
      <c r="DN137" s="2003"/>
      <c r="DO137" s="2004"/>
      <c r="DP137" s="2003"/>
      <c r="DQ137" s="2003"/>
      <c r="DR137" s="2005"/>
      <c r="DS137" s="2005"/>
      <c r="DT137" s="2005"/>
      <c r="DU137" s="2005"/>
      <c r="DV137" s="2005"/>
      <c r="DW137" s="2005"/>
      <c r="DX137" s="2005"/>
      <c r="DY137" s="2005"/>
      <c r="DZ137" s="2005"/>
      <c r="EA137" s="2005"/>
      <c r="FF137" s="1616"/>
    </row>
    <row r="138" spans="1:162" hidden="1" outlineLevel="2">
      <c r="A138" s="1624" t="s">
        <v>1314</v>
      </c>
      <c r="B138" s="1624" t="s">
        <v>2061</v>
      </c>
      <c r="C138" s="1624" t="s">
        <v>2092</v>
      </c>
      <c r="D138" s="1624" t="s">
        <v>2087</v>
      </c>
      <c r="E138" s="2003"/>
      <c r="F138" s="2003"/>
      <c r="G138" s="2003"/>
      <c r="H138" s="2003"/>
      <c r="I138" s="2003"/>
      <c r="J138" s="2003"/>
      <c r="K138" s="2003"/>
      <c r="L138" s="2003"/>
      <c r="M138" s="2003"/>
      <c r="N138" s="2003"/>
      <c r="O138" s="2003"/>
      <c r="P138" s="2003"/>
      <c r="Q138" s="2003"/>
      <c r="R138" s="2003"/>
      <c r="S138" s="2003"/>
      <c r="T138" s="2003"/>
      <c r="U138" s="2003"/>
      <c r="V138" s="2003"/>
      <c r="W138" s="2003"/>
      <c r="X138" s="2003"/>
      <c r="Y138" s="2003"/>
      <c r="Z138" s="2003"/>
      <c r="AA138" s="2003"/>
      <c r="AB138" s="2003"/>
      <c r="AC138" s="2003"/>
      <c r="AD138" s="2003"/>
      <c r="AE138" s="2003"/>
      <c r="AF138" s="2003"/>
      <c r="AG138" s="2003"/>
      <c r="AH138" s="2003"/>
      <c r="AI138" s="2003"/>
      <c r="AJ138" s="2003"/>
      <c r="AK138" s="2003"/>
      <c r="AL138" s="2003"/>
      <c r="AM138" s="2003"/>
      <c r="AN138" s="2003"/>
      <c r="AO138" s="2003"/>
      <c r="AP138" s="2003"/>
      <c r="AQ138" s="2003"/>
      <c r="AR138" s="2003"/>
      <c r="AS138" s="2003"/>
      <c r="AT138" s="2003"/>
      <c r="AU138" s="2003"/>
      <c r="AV138" s="2003"/>
      <c r="AW138" s="2003"/>
      <c r="AX138" s="2003"/>
      <c r="AY138" s="2003"/>
      <c r="AZ138" s="2003"/>
      <c r="BA138" s="2003"/>
      <c r="BB138" s="2003"/>
      <c r="BC138" s="2003"/>
      <c r="BD138" s="2003"/>
      <c r="BE138" s="2003"/>
      <c r="BF138" s="2003"/>
      <c r="BG138" s="2003"/>
      <c r="BH138" s="2003"/>
      <c r="BI138" s="2003"/>
      <c r="BJ138" s="2003"/>
      <c r="BK138" s="2003"/>
      <c r="BL138" s="2003"/>
      <c r="BM138" s="2003"/>
      <c r="BN138" s="2003"/>
      <c r="BO138" s="2003"/>
      <c r="BP138" s="2003" t="s">
        <v>5</v>
      </c>
      <c r="BQ138" s="2003"/>
      <c r="BR138" s="2003"/>
      <c r="BS138" s="2003"/>
      <c r="BT138" s="2003"/>
      <c r="BU138" s="2003"/>
      <c r="BV138" s="2003"/>
      <c r="BW138" s="2003"/>
      <c r="BX138" s="2003">
        <f>BX135</f>
        <v>4500</v>
      </c>
      <c r="BY138" s="2006"/>
      <c r="BZ138" s="2003">
        <f>BZ135</f>
        <v>4500</v>
      </c>
      <c r="CA138" s="2006">
        <f t="shared" si="146"/>
        <v>4500</v>
      </c>
      <c r="CB138" s="2003"/>
      <c r="CC138" s="2003"/>
      <c r="CD138" s="2003"/>
      <c r="CE138" s="2003"/>
      <c r="CF138" s="2003"/>
      <c r="CG138" s="2003"/>
      <c r="CH138" s="2003"/>
      <c r="CI138" s="2003"/>
      <c r="CJ138" s="2003"/>
      <c r="CK138" s="2003"/>
      <c r="CL138" s="2003"/>
      <c r="CM138" s="2003"/>
      <c r="CN138" s="2003"/>
      <c r="CO138" s="2003"/>
      <c r="CP138" s="2003"/>
      <c r="CQ138" s="2003"/>
      <c r="CR138" s="2003"/>
      <c r="CS138" s="2003"/>
      <c r="CT138" s="2003"/>
      <c r="CU138" s="2003"/>
      <c r="CV138" s="2003"/>
      <c r="CW138" s="2003"/>
      <c r="CX138" s="2003"/>
      <c r="CY138" s="2003"/>
      <c r="CZ138" s="2003"/>
      <c r="DA138" s="2003"/>
      <c r="DB138" s="2003"/>
      <c r="DC138" s="2003"/>
      <c r="DD138" s="2003"/>
      <c r="DE138" s="2003"/>
      <c r="DF138" s="2003"/>
      <c r="DG138" s="2003"/>
      <c r="DH138" s="2003"/>
      <c r="DI138" s="2003"/>
      <c r="DJ138" s="2003"/>
      <c r="DK138" s="2003"/>
      <c r="DL138" s="2003"/>
      <c r="DM138" s="2003"/>
      <c r="DN138" s="2003"/>
      <c r="DO138" s="2004"/>
      <c r="DP138" s="2003"/>
      <c r="DQ138" s="2003"/>
      <c r="DR138" s="2005"/>
      <c r="DS138" s="2005"/>
      <c r="DT138" s="2005"/>
      <c r="DU138" s="2005"/>
      <c r="DV138" s="2005"/>
      <c r="DW138" s="2005"/>
      <c r="DX138" s="2005"/>
      <c r="DY138" s="2005"/>
      <c r="DZ138" s="2005"/>
      <c r="EA138" s="2005"/>
      <c r="FF138" s="1616"/>
    </row>
    <row r="139" spans="1:162" hidden="1" outlineLevel="2">
      <c r="A139" s="1624" t="s">
        <v>1314</v>
      </c>
      <c r="B139" s="1624" t="s">
        <v>2062</v>
      </c>
      <c r="C139" s="1624" t="s">
        <v>2092</v>
      </c>
      <c r="D139" s="1624" t="s">
        <v>2085</v>
      </c>
      <c r="E139" s="2003"/>
      <c r="F139" s="2003"/>
      <c r="G139" s="2003"/>
      <c r="H139" s="2003"/>
      <c r="I139" s="2003"/>
      <c r="J139" s="2003"/>
      <c r="K139" s="2003"/>
      <c r="L139" s="2003"/>
      <c r="M139" s="2003"/>
      <c r="N139" s="2003"/>
      <c r="O139" s="2003"/>
      <c r="P139" s="2003"/>
      <c r="Q139" s="2003"/>
      <c r="R139" s="2003"/>
      <c r="S139" s="2003"/>
      <c r="T139" s="2003"/>
      <c r="U139" s="2003"/>
      <c r="V139" s="2003"/>
      <c r="W139" s="2003"/>
      <c r="X139" s="2003"/>
      <c r="Y139" s="2003"/>
      <c r="Z139" s="2003"/>
      <c r="AA139" s="2003"/>
      <c r="AB139" s="2003"/>
      <c r="AC139" s="2003"/>
      <c r="AD139" s="2003"/>
      <c r="AE139" s="2003"/>
      <c r="AF139" s="2003"/>
      <c r="AG139" s="2003"/>
      <c r="AH139" s="2003"/>
      <c r="AI139" s="2003"/>
      <c r="AJ139" s="2003"/>
      <c r="AK139" s="2003"/>
      <c r="AL139" s="2003"/>
      <c r="AM139" s="2003"/>
      <c r="AN139" s="2003"/>
      <c r="AO139" s="2003"/>
      <c r="AP139" s="2003"/>
      <c r="AQ139" s="2003"/>
      <c r="AR139" s="2003"/>
      <c r="AS139" s="2003"/>
      <c r="AT139" s="2003"/>
      <c r="AU139" s="2003"/>
      <c r="AV139" s="2003"/>
      <c r="AW139" s="2003"/>
      <c r="AX139" s="2003"/>
      <c r="AY139" s="2003"/>
      <c r="AZ139" s="2003"/>
      <c r="BA139" s="2003"/>
      <c r="BB139" s="2003"/>
      <c r="BC139" s="2003"/>
      <c r="BD139" s="2003"/>
      <c r="BE139" s="2003"/>
      <c r="BF139" s="2003"/>
      <c r="BG139" s="2003"/>
      <c r="BH139" s="2003"/>
      <c r="BI139" s="2003"/>
      <c r="BJ139" s="2003"/>
      <c r="BK139" s="2003"/>
      <c r="BL139" s="2003"/>
      <c r="BM139" s="2003"/>
      <c r="BN139" s="2003"/>
      <c r="BO139" s="2003"/>
      <c r="BP139" s="2003"/>
      <c r="BQ139" s="2003"/>
      <c r="BR139" s="2003"/>
      <c r="BS139" s="2003"/>
      <c r="BT139" s="2003"/>
      <c r="BU139" s="2003"/>
      <c r="BV139" s="2003"/>
      <c r="BW139" s="2003"/>
      <c r="BX139" s="2003">
        <f>BX135</f>
        <v>4500</v>
      </c>
      <c r="BY139" s="2006">
        <f t="shared" ref="BY139:BY154" si="147">BX139</f>
        <v>4500</v>
      </c>
      <c r="BZ139" s="2003">
        <f>BZ135</f>
        <v>4500</v>
      </c>
      <c r="CA139" s="2006">
        <f t="shared" si="146"/>
        <v>4500</v>
      </c>
      <c r="CB139" s="2003"/>
      <c r="CC139" s="2003"/>
      <c r="CD139" s="2003"/>
      <c r="CE139" s="2003"/>
      <c r="CF139" s="2003"/>
      <c r="CG139" s="2003"/>
      <c r="CH139" s="2003"/>
      <c r="CI139" s="2003"/>
      <c r="CJ139" s="2003"/>
      <c r="CK139" s="2003"/>
      <c r="CL139" s="2003"/>
      <c r="CM139" s="2003"/>
      <c r="CN139" s="2003"/>
      <c r="CO139" s="2003"/>
      <c r="CP139" s="2003"/>
      <c r="CQ139" s="2003"/>
      <c r="CR139" s="2003"/>
      <c r="CS139" s="2003"/>
      <c r="CT139" s="2003"/>
      <c r="CU139" s="2003"/>
      <c r="CV139" s="2003"/>
      <c r="CW139" s="2003"/>
      <c r="CX139" s="2003"/>
      <c r="CY139" s="2003"/>
      <c r="CZ139" s="2003"/>
      <c r="DA139" s="2003"/>
      <c r="DB139" s="2003"/>
      <c r="DC139" s="2003"/>
      <c r="DD139" s="2003"/>
      <c r="DE139" s="2003"/>
      <c r="DF139" s="2003"/>
      <c r="DG139" s="2003"/>
      <c r="DH139" s="2003"/>
      <c r="DI139" s="2003"/>
      <c r="DJ139" s="2003"/>
      <c r="DK139" s="2003"/>
      <c r="DL139" s="2003"/>
      <c r="DM139" s="2003"/>
      <c r="DN139" s="2003"/>
      <c r="DO139" s="2004"/>
      <c r="DP139" s="2003"/>
      <c r="DQ139" s="2003"/>
      <c r="DR139" s="2005"/>
      <c r="DS139" s="2005"/>
      <c r="DT139" s="2005"/>
      <c r="DU139" s="2005"/>
      <c r="DV139" s="2005"/>
      <c r="DW139" s="2005"/>
      <c r="DX139" s="2005"/>
      <c r="DY139" s="2005"/>
      <c r="DZ139" s="2005"/>
      <c r="EA139" s="2005"/>
      <c r="FF139" s="1616"/>
    </row>
    <row r="140" spans="1:162" hidden="1" outlineLevel="2">
      <c r="A140" s="1624" t="s">
        <v>1314</v>
      </c>
      <c r="B140" s="1624" t="s">
        <v>2062</v>
      </c>
      <c r="C140" s="1624" t="s">
        <v>2092</v>
      </c>
      <c r="D140" s="1624" t="s">
        <v>722</v>
      </c>
      <c r="E140" s="2003"/>
      <c r="F140" s="2003"/>
      <c r="G140" s="2003"/>
      <c r="H140" s="2003"/>
      <c r="I140" s="2003"/>
      <c r="J140" s="2003"/>
      <c r="K140" s="2003"/>
      <c r="L140" s="2003"/>
      <c r="M140" s="2003"/>
      <c r="N140" s="2003"/>
      <c r="O140" s="2003"/>
      <c r="P140" s="2003"/>
      <c r="Q140" s="2003"/>
      <c r="R140" s="2003"/>
      <c r="S140" s="2003"/>
      <c r="T140" s="2003"/>
      <c r="U140" s="2003"/>
      <c r="V140" s="2003"/>
      <c r="W140" s="2003"/>
      <c r="X140" s="2003"/>
      <c r="Y140" s="2003"/>
      <c r="Z140" s="2003"/>
      <c r="AA140" s="2003"/>
      <c r="AB140" s="2003"/>
      <c r="AC140" s="2003"/>
      <c r="AD140" s="2003"/>
      <c r="AE140" s="2003"/>
      <c r="AF140" s="2003"/>
      <c r="AG140" s="2003"/>
      <c r="AH140" s="2003"/>
      <c r="AI140" s="2003"/>
      <c r="AJ140" s="2003"/>
      <c r="AK140" s="2003"/>
      <c r="AL140" s="2003"/>
      <c r="AM140" s="2003"/>
      <c r="AN140" s="2003"/>
      <c r="AO140" s="2003"/>
      <c r="AP140" s="2003"/>
      <c r="AQ140" s="2003"/>
      <c r="AR140" s="2003"/>
      <c r="AS140" s="2003"/>
      <c r="AT140" s="2003"/>
      <c r="AU140" s="2003"/>
      <c r="AV140" s="2003"/>
      <c r="AW140" s="2003"/>
      <c r="AX140" s="2003"/>
      <c r="AY140" s="2003"/>
      <c r="AZ140" s="2003"/>
      <c r="BA140" s="2003"/>
      <c r="BB140" s="2003"/>
      <c r="BC140" s="2003"/>
      <c r="BD140" s="2003"/>
      <c r="BE140" s="2003"/>
      <c r="BF140" s="2003"/>
      <c r="BG140" s="2003"/>
      <c r="BH140" s="2003"/>
      <c r="BI140" s="2003"/>
      <c r="BJ140" s="2003"/>
      <c r="BK140" s="2003"/>
      <c r="BL140" s="2003"/>
      <c r="BM140" s="2003"/>
      <c r="BN140" s="2003"/>
      <c r="BO140" s="2003"/>
      <c r="BP140" s="2003" t="s">
        <v>5</v>
      </c>
      <c r="BQ140" s="2003"/>
      <c r="BR140" s="2003"/>
      <c r="BS140" s="2003"/>
      <c r="BT140" s="2003"/>
      <c r="BU140" s="2003"/>
      <c r="BV140" s="2003"/>
      <c r="BW140" s="2003"/>
      <c r="BX140" s="2003">
        <f>BX135</f>
        <v>4500</v>
      </c>
      <c r="BY140" s="2006">
        <f t="shared" si="147"/>
        <v>4500</v>
      </c>
      <c r="BZ140" s="2003">
        <f>BZ135</f>
        <v>4500</v>
      </c>
      <c r="CA140" s="2006">
        <f t="shared" si="146"/>
        <v>4500</v>
      </c>
      <c r="CB140" s="2003"/>
      <c r="CC140" s="2003"/>
      <c r="CD140" s="2003"/>
      <c r="CE140" s="2003"/>
      <c r="CF140" s="2003"/>
      <c r="CG140" s="2003"/>
      <c r="CH140" s="2003"/>
      <c r="CI140" s="2003"/>
      <c r="CJ140" s="2003"/>
      <c r="CK140" s="2003"/>
      <c r="CL140" s="2003"/>
      <c r="CM140" s="2003"/>
      <c r="CN140" s="2003"/>
      <c r="CO140" s="2003"/>
      <c r="CP140" s="2003"/>
      <c r="CQ140" s="2003"/>
      <c r="CR140" s="2003"/>
      <c r="CS140" s="2003"/>
      <c r="CT140" s="2003"/>
      <c r="CU140" s="2003"/>
      <c r="CV140" s="2003"/>
      <c r="CW140" s="2003"/>
      <c r="CX140" s="2003"/>
      <c r="CY140" s="2003"/>
      <c r="CZ140" s="2003"/>
      <c r="DA140" s="2003"/>
      <c r="DB140" s="2003"/>
      <c r="DC140" s="2003"/>
      <c r="DD140" s="2003"/>
      <c r="DE140" s="2003"/>
      <c r="DF140" s="2003"/>
      <c r="DG140" s="2003"/>
      <c r="DH140" s="2003"/>
      <c r="DI140" s="2003"/>
      <c r="DJ140" s="2003"/>
      <c r="DK140" s="2003"/>
      <c r="DL140" s="2003"/>
      <c r="DM140" s="2003"/>
      <c r="DN140" s="2003"/>
      <c r="DO140" s="2004"/>
      <c r="DP140" s="2003"/>
      <c r="DQ140" s="2003"/>
      <c r="DR140" s="2005"/>
      <c r="DS140" s="2005"/>
      <c r="DT140" s="2005"/>
      <c r="DU140" s="2005"/>
      <c r="DV140" s="2005"/>
      <c r="DW140" s="2005"/>
      <c r="DX140" s="2005"/>
      <c r="DY140" s="2005"/>
      <c r="DZ140" s="2005"/>
      <c r="EA140" s="2005"/>
      <c r="FF140" s="1616"/>
    </row>
    <row r="141" spans="1:162" hidden="1" outlineLevel="2">
      <c r="A141" s="1624" t="s">
        <v>1314</v>
      </c>
      <c r="B141" s="1624" t="s">
        <v>2062</v>
      </c>
      <c r="C141" s="1624" t="s">
        <v>2092</v>
      </c>
      <c r="D141" s="1624" t="s">
        <v>2086</v>
      </c>
      <c r="E141" s="2003"/>
      <c r="F141" s="2003"/>
      <c r="G141" s="2003"/>
      <c r="H141" s="2003"/>
      <c r="I141" s="2003"/>
      <c r="J141" s="2003"/>
      <c r="K141" s="2003"/>
      <c r="L141" s="2003"/>
      <c r="M141" s="2003"/>
      <c r="N141" s="2003"/>
      <c r="O141" s="2003"/>
      <c r="P141" s="2003"/>
      <c r="Q141" s="2003"/>
      <c r="R141" s="2003"/>
      <c r="S141" s="2003"/>
      <c r="T141" s="2003"/>
      <c r="U141" s="2003"/>
      <c r="V141" s="2003"/>
      <c r="W141" s="2003"/>
      <c r="X141" s="2003"/>
      <c r="Y141" s="2003"/>
      <c r="Z141" s="2003"/>
      <c r="AA141" s="2003"/>
      <c r="AB141" s="2003"/>
      <c r="AC141" s="2003"/>
      <c r="AD141" s="2003"/>
      <c r="AE141" s="2003"/>
      <c r="AF141" s="2003"/>
      <c r="AG141" s="2003"/>
      <c r="AH141" s="2003"/>
      <c r="AI141" s="2003"/>
      <c r="AJ141" s="2003"/>
      <c r="AK141" s="2003"/>
      <c r="AL141" s="2003"/>
      <c r="AM141" s="2003"/>
      <c r="AN141" s="2003"/>
      <c r="AO141" s="2003"/>
      <c r="AP141" s="2003"/>
      <c r="AQ141" s="2003"/>
      <c r="AR141" s="2003"/>
      <c r="AS141" s="2003"/>
      <c r="AT141" s="2003"/>
      <c r="AU141" s="2003"/>
      <c r="AV141" s="2003"/>
      <c r="AW141" s="2003"/>
      <c r="AX141" s="2003"/>
      <c r="AY141" s="2003"/>
      <c r="AZ141" s="2003"/>
      <c r="BA141" s="2003"/>
      <c r="BB141" s="2003"/>
      <c r="BC141" s="2003"/>
      <c r="BD141" s="2003"/>
      <c r="BE141" s="2003"/>
      <c r="BF141" s="2003"/>
      <c r="BG141" s="2003"/>
      <c r="BH141" s="2003"/>
      <c r="BI141" s="2003"/>
      <c r="BJ141" s="2003"/>
      <c r="BK141" s="2003"/>
      <c r="BL141" s="2003"/>
      <c r="BM141" s="2003"/>
      <c r="BN141" s="2003"/>
      <c r="BO141" s="2003"/>
      <c r="BP141" s="2003" t="s">
        <v>5</v>
      </c>
      <c r="BQ141" s="2003"/>
      <c r="BR141" s="2003"/>
      <c r="BS141" s="2003"/>
      <c r="BT141" s="2003"/>
      <c r="BU141" s="2003"/>
      <c r="BV141" s="2003"/>
      <c r="BW141" s="2003"/>
      <c r="BX141" s="2003">
        <f>BX135</f>
        <v>4500</v>
      </c>
      <c r="BY141" s="2006">
        <f t="shared" si="147"/>
        <v>4500</v>
      </c>
      <c r="BZ141" s="2003">
        <f>BZ135</f>
        <v>4500</v>
      </c>
      <c r="CA141" s="2006">
        <f t="shared" si="146"/>
        <v>4500</v>
      </c>
      <c r="CB141" s="2003"/>
      <c r="CC141" s="2003"/>
      <c r="CD141" s="2003"/>
      <c r="CE141" s="2003"/>
      <c r="CF141" s="2003"/>
      <c r="CG141" s="2003"/>
      <c r="CH141" s="2003"/>
      <c r="CI141" s="2003"/>
      <c r="CJ141" s="2003"/>
      <c r="CK141" s="2003"/>
      <c r="CL141" s="2003"/>
      <c r="CM141" s="2003"/>
      <c r="CN141" s="2003"/>
      <c r="CO141" s="2003"/>
      <c r="CP141" s="2003"/>
      <c r="CQ141" s="2003"/>
      <c r="CR141" s="2003"/>
      <c r="CS141" s="2003"/>
      <c r="CT141" s="2003"/>
      <c r="CU141" s="2003"/>
      <c r="CV141" s="2003"/>
      <c r="CW141" s="2003"/>
      <c r="CX141" s="2003"/>
      <c r="CY141" s="2003"/>
      <c r="CZ141" s="2003"/>
      <c r="DA141" s="2003"/>
      <c r="DB141" s="2003"/>
      <c r="DC141" s="2003"/>
      <c r="DD141" s="2003"/>
      <c r="DE141" s="2003"/>
      <c r="DF141" s="2003"/>
      <c r="DG141" s="2003"/>
      <c r="DH141" s="2003"/>
      <c r="DI141" s="2003"/>
      <c r="DJ141" s="2003"/>
      <c r="DK141" s="2003"/>
      <c r="DL141" s="2003"/>
      <c r="DM141" s="2003"/>
      <c r="DN141" s="2003"/>
      <c r="DO141" s="2004"/>
      <c r="DP141" s="2003"/>
      <c r="DQ141" s="2003"/>
      <c r="DR141" s="2005"/>
      <c r="DS141" s="2005"/>
      <c r="DT141" s="2005"/>
      <c r="DU141" s="2005"/>
      <c r="DV141" s="2005"/>
      <c r="DW141" s="2005"/>
      <c r="DX141" s="2005"/>
      <c r="DY141" s="2005"/>
      <c r="DZ141" s="2005"/>
      <c r="EA141" s="2005"/>
      <c r="FF141" s="1616"/>
    </row>
    <row r="142" spans="1:162" hidden="1" outlineLevel="2">
      <c r="A142" s="1624" t="s">
        <v>1314</v>
      </c>
      <c r="B142" s="1624" t="s">
        <v>2062</v>
      </c>
      <c r="C142" s="1624" t="s">
        <v>2092</v>
      </c>
      <c r="D142" s="1624" t="s">
        <v>2087</v>
      </c>
      <c r="E142" s="2003"/>
      <c r="F142" s="2003"/>
      <c r="G142" s="2003"/>
      <c r="H142" s="2003"/>
      <c r="I142" s="2003"/>
      <c r="J142" s="2003"/>
      <c r="K142" s="2003"/>
      <c r="L142" s="2003"/>
      <c r="M142" s="2003"/>
      <c r="N142" s="2003"/>
      <c r="O142" s="2003"/>
      <c r="P142" s="2003"/>
      <c r="Q142" s="2003"/>
      <c r="R142" s="2003"/>
      <c r="S142" s="2003"/>
      <c r="T142" s="2003"/>
      <c r="U142" s="2003"/>
      <c r="V142" s="2003"/>
      <c r="W142" s="2003"/>
      <c r="X142" s="2003"/>
      <c r="Y142" s="2003"/>
      <c r="Z142" s="2003"/>
      <c r="AA142" s="2003"/>
      <c r="AB142" s="2003"/>
      <c r="AC142" s="2003"/>
      <c r="AD142" s="2003"/>
      <c r="AE142" s="2003"/>
      <c r="AF142" s="2003"/>
      <c r="AG142" s="2003"/>
      <c r="AH142" s="2003"/>
      <c r="AI142" s="2003"/>
      <c r="AJ142" s="2003"/>
      <c r="AK142" s="2003"/>
      <c r="AL142" s="2003"/>
      <c r="AM142" s="2003"/>
      <c r="AN142" s="2003"/>
      <c r="AO142" s="2003"/>
      <c r="AP142" s="2003"/>
      <c r="AQ142" s="2003"/>
      <c r="AR142" s="2003"/>
      <c r="AS142" s="2003"/>
      <c r="AT142" s="2003"/>
      <c r="AU142" s="2003"/>
      <c r="AV142" s="2003"/>
      <c r="AW142" s="2003"/>
      <c r="AX142" s="2003"/>
      <c r="AY142" s="2003"/>
      <c r="AZ142" s="2003"/>
      <c r="BA142" s="2003"/>
      <c r="BB142" s="2003"/>
      <c r="BC142" s="2003"/>
      <c r="BD142" s="2003"/>
      <c r="BE142" s="2003"/>
      <c r="BF142" s="2003"/>
      <c r="BG142" s="2003"/>
      <c r="BH142" s="2003"/>
      <c r="BI142" s="2003"/>
      <c r="BJ142" s="2003"/>
      <c r="BK142" s="2003"/>
      <c r="BL142" s="2003"/>
      <c r="BM142" s="2003"/>
      <c r="BN142" s="2003"/>
      <c r="BO142" s="2003"/>
      <c r="BP142" s="2003"/>
      <c r="BQ142" s="2003"/>
      <c r="BR142" s="2003"/>
      <c r="BS142" s="2003"/>
      <c r="BT142" s="2003"/>
      <c r="BU142" s="2003"/>
      <c r="BV142" s="2003"/>
      <c r="BW142" s="2003"/>
      <c r="BX142" s="2003">
        <f>BX135</f>
        <v>4500</v>
      </c>
      <c r="BY142" s="2006">
        <f t="shared" si="147"/>
        <v>4500</v>
      </c>
      <c r="BZ142" s="2003">
        <f>BZ135</f>
        <v>4500</v>
      </c>
      <c r="CA142" s="2006">
        <f t="shared" si="146"/>
        <v>4500</v>
      </c>
      <c r="CB142" s="2003"/>
      <c r="CC142" s="2003"/>
      <c r="CD142" s="2003"/>
      <c r="CE142" s="2003"/>
      <c r="CF142" s="2003"/>
      <c r="CG142" s="2003"/>
      <c r="CH142" s="2003"/>
      <c r="CI142" s="2003"/>
      <c r="CJ142" s="2003"/>
      <c r="CK142" s="2003"/>
      <c r="CL142" s="2003"/>
      <c r="CM142" s="2003"/>
      <c r="CN142" s="2003"/>
      <c r="CO142" s="2003"/>
      <c r="CP142" s="2003"/>
      <c r="CQ142" s="2003"/>
      <c r="CR142" s="2003"/>
      <c r="CS142" s="2003"/>
      <c r="CT142" s="2003"/>
      <c r="CU142" s="2003"/>
      <c r="CV142" s="2003"/>
      <c r="CW142" s="2003"/>
      <c r="CX142" s="2003"/>
      <c r="CY142" s="2003"/>
      <c r="CZ142" s="2003"/>
      <c r="DA142" s="2003"/>
      <c r="DB142" s="2003"/>
      <c r="DC142" s="2003"/>
      <c r="DD142" s="2003"/>
      <c r="DE142" s="2003"/>
      <c r="DF142" s="2003"/>
      <c r="DG142" s="2003"/>
      <c r="DH142" s="2003"/>
      <c r="DI142" s="2003"/>
      <c r="DJ142" s="2003"/>
      <c r="DK142" s="2003"/>
      <c r="DL142" s="2003"/>
      <c r="DM142" s="2003"/>
      <c r="DN142" s="2003"/>
      <c r="DO142" s="2004"/>
      <c r="DP142" s="2003"/>
      <c r="DQ142" s="2003"/>
      <c r="DR142" s="2005"/>
      <c r="DS142" s="2005"/>
      <c r="DT142" s="2005"/>
      <c r="DU142" s="2005"/>
      <c r="DV142" s="2005"/>
      <c r="DW142" s="2005"/>
      <c r="DX142" s="2005"/>
      <c r="DY142" s="2005"/>
      <c r="DZ142" s="2005"/>
      <c r="EA142" s="2005"/>
      <c r="FF142" s="1616"/>
    </row>
    <row r="143" spans="1:162" hidden="1" outlineLevel="2">
      <c r="A143" s="1624" t="s">
        <v>1314</v>
      </c>
      <c r="B143" s="1624" t="s">
        <v>2063</v>
      </c>
      <c r="C143" s="1624" t="s">
        <v>2092</v>
      </c>
      <c r="D143" s="1624" t="s">
        <v>2085</v>
      </c>
      <c r="E143" s="2003"/>
      <c r="F143" s="2003"/>
      <c r="G143" s="2003"/>
      <c r="H143" s="2003"/>
      <c r="I143" s="2003"/>
      <c r="J143" s="2003"/>
      <c r="K143" s="2003"/>
      <c r="L143" s="2003"/>
      <c r="M143" s="2003"/>
      <c r="N143" s="2003"/>
      <c r="O143" s="2003"/>
      <c r="P143" s="2003"/>
      <c r="Q143" s="2003"/>
      <c r="R143" s="2003"/>
      <c r="S143" s="2003"/>
      <c r="T143" s="2003"/>
      <c r="U143" s="2003"/>
      <c r="V143" s="2003"/>
      <c r="W143" s="2003"/>
      <c r="X143" s="2003"/>
      <c r="Y143" s="2003"/>
      <c r="Z143" s="2003"/>
      <c r="AA143" s="2003"/>
      <c r="AB143" s="2003"/>
      <c r="AC143" s="2003"/>
      <c r="AD143" s="2003"/>
      <c r="AE143" s="2003"/>
      <c r="AF143" s="2003"/>
      <c r="AG143" s="2003"/>
      <c r="AH143" s="2003"/>
      <c r="AI143" s="2003"/>
      <c r="AJ143" s="2003"/>
      <c r="AK143" s="2003"/>
      <c r="AL143" s="2003"/>
      <c r="AM143" s="2003"/>
      <c r="AN143" s="2003"/>
      <c r="AO143" s="2003"/>
      <c r="AP143" s="2003"/>
      <c r="AQ143" s="2003"/>
      <c r="AR143" s="2003"/>
      <c r="AS143" s="2003"/>
      <c r="AT143" s="2003"/>
      <c r="AU143" s="2003"/>
      <c r="AV143" s="2003"/>
      <c r="AW143" s="2003"/>
      <c r="AX143" s="2003"/>
      <c r="AY143" s="2003"/>
      <c r="AZ143" s="2003"/>
      <c r="BA143" s="2003"/>
      <c r="BB143" s="2003"/>
      <c r="BC143" s="2003"/>
      <c r="BD143" s="2003"/>
      <c r="BE143" s="2003"/>
      <c r="BF143" s="2003"/>
      <c r="BG143" s="2003"/>
      <c r="BH143" s="2003"/>
      <c r="BI143" s="2003"/>
      <c r="BJ143" s="2003"/>
      <c r="BK143" s="2003"/>
      <c r="BL143" s="2003"/>
      <c r="BM143" s="2003"/>
      <c r="BN143" s="2003"/>
      <c r="BO143" s="2003"/>
      <c r="BP143" s="2003"/>
      <c r="BQ143" s="2003"/>
      <c r="BR143" s="2003"/>
      <c r="BS143" s="2003"/>
      <c r="BT143" s="2003"/>
      <c r="BU143" s="2003"/>
      <c r="BV143" s="2003"/>
      <c r="BW143" s="2003"/>
      <c r="BX143" s="2003"/>
      <c r="BY143" s="2006">
        <f>BY139</f>
        <v>4500</v>
      </c>
      <c r="BZ143" s="2003">
        <f>BZ135</f>
        <v>4500</v>
      </c>
      <c r="CA143" s="2006">
        <f t="shared" si="146"/>
        <v>4500</v>
      </c>
      <c r="CB143" s="2003"/>
      <c r="CC143" s="2003"/>
      <c r="CD143" s="2003"/>
      <c r="CE143" s="2003"/>
      <c r="CF143" s="2003"/>
      <c r="CG143" s="2003"/>
      <c r="CH143" s="2003"/>
      <c r="CI143" s="2003"/>
      <c r="CJ143" s="2003"/>
      <c r="CK143" s="2003"/>
      <c r="CL143" s="2003"/>
      <c r="CM143" s="2003"/>
      <c r="CN143" s="2003"/>
      <c r="CO143" s="2003"/>
      <c r="CP143" s="2003"/>
      <c r="CQ143" s="2003"/>
      <c r="CR143" s="2003"/>
      <c r="CS143" s="2003"/>
      <c r="CT143" s="2003"/>
      <c r="CU143" s="2003"/>
      <c r="CV143" s="2003"/>
      <c r="CW143" s="2003"/>
      <c r="CX143" s="2003"/>
      <c r="CY143" s="2003"/>
      <c r="CZ143" s="2003"/>
      <c r="DA143" s="2003"/>
      <c r="DB143" s="2003"/>
      <c r="DC143" s="2003"/>
      <c r="DD143" s="2003"/>
      <c r="DE143" s="2003"/>
      <c r="DF143" s="2003"/>
      <c r="DG143" s="2003"/>
      <c r="DH143" s="2003"/>
      <c r="DI143" s="2003"/>
      <c r="DJ143" s="2003"/>
      <c r="DK143" s="2003"/>
      <c r="DL143" s="2003"/>
      <c r="DM143" s="2003"/>
      <c r="DN143" s="2003"/>
      <c r="DO143" s="2004"/>
      <c r="DP143" s="2003"/>
      <c r="DQ143" s="2003"/>
      <c r="DR143" s="2005"/>
      <c r="DS143" s="2005"/>
      <c r="DT143" s="2005"/>
      <c r="DU143" s="2005"/>
      <c r="DV143" s="2005"/>
      <c r="DW143" s="2005"/>
      <c r="DX143" s="2005"/>
      <c r="DY143" s="2005"/>
      <c r="DZ143" s="2005"/>
      <c r="EA143" s="2005"/>
      <c r="FF143" s="1616"/>
    </row>
    <row r="144" spans="1:162" hidden="1" outlineLevel="2">
      <c r="A144" s="1624" t="s">
        <v>1314</v>
      </c>
      <c r="B144" s="1624" t="s">
        <v>2063</v>
      </c>
      <c r="C144" s="1624" t="s">
        <v>2092</v>
      </c>
      <c r="D144" s="1624" t="s">
        <v>722</v>
      </c>
      <c r="E144" s="2003"/>
      <c r="F144" s="2003"/>
      <c r="G144" s="2003"/>
      <c r="H144" s="2003"/>
      <c r="I144" s="2003"/>
      <c r="J144" s="2003"/>
      <c r="K144" s="2003"/>
      <c r="L144" s="2003"/>
      <c r="M144" s="2003"/>
      <c r="N144" s="2003"/>
      <c r="O144" s="2003"/>
      <c r="P144" s="2003"/>
      <c r="Q144" s="2003"/>
      <c r="R144" s="2003"/>
      <c r="S144" s="2003"/>
      <c r="T144" s="2003"/>
      <c r="U144" s="2003"/>
      <c r="V144" s="2003"/>
      <c r="W144" s="2003"/>
      <c r="X144" s="2003"/>
      <c r="Y144" s="2003"/>
      <c r="Z144" s="2003"/>
      <c r="AA144" s="2003"/>
      <c r="AB144" s="2003"/>
      <c r="AC144" s="2003"/>
      <c r="AD144" s="2003"/>
      <c r="AE144" s="2003"/>
      <c r="AF144" s="2003"/>
      <c r="AG144" s="2003"/>
      <c r="AH144" s="2003"/>
      <c r="AI144" s="2003"/>
      <c r="AJ144" s="2003"/>
      <c r="AK144" s="2003"/>
      <c r="AL144" s="2003"/>
      <c r="AM144" s="2003"/>
      <c r="AN144" s="2003"/>
      <c r="AO144" s="2003"/>
      <c r="AP144" s="2003"/>
      <c r="AQ144" s="2003"/>
      <c r="AR144" s="2003"/>
      <c r="AS144" s="2003"/>
      <c r="AT144" s="2003"/>
      <c r="AU144" s="2003"/>
      <c r="AV144" s="2003"/>
      <c r="AW144" s="2003"/>
      <c r="AX144" s="2003"/>
      <c r="AY144" s="2003"/>
      <c r="AZ144" s="2003"/>
      <c r="BA144" s="2003"/>
      <c r="BB144" s="2003"/>
      <c r="BC144" s="2003"/>
      <c r="BD144" s="2003"/>
      <c r="BE144" s="2003"/>
      <c r="BF144" s="2003"/>
      <c r="BG144" s="2003"/>
      <c r="BH144" s="2003"/>
      <c r="BI144" s="2003"/>
      <c r="BJ144" s="2003"/>
      <c r="BK144" s="2003"/>
      <c r="BL144" s="2003"/>
      <c r="BM144" s="2003"/>
      <c r="BN144" s="2003"/>
      <c r="BO144" s="2003"/>
      <c r="BP144" s="2003" t="s">
        <v>5</v>
      </c>
      <c r="BQ144" s="2003"/>
      <c r="BR144" s="2003"/>
      <c r="BS144" s="2003"/>
      <c r="BT144" s="2003"/>
      <c r="BU144" s="2003"/>
      <c r="BV144" s="2003"/>
      <c r="BW144" s="2003"/>
      <c r="BX144" s="2003"/>
      <c r="BY144" s="2006">
        <f>BY140</f>
        <v>4500</v>
      </c>
      <c r="BZ144" s="2003">
        <f>BZ136</f>
        <v>4500</v>
      </c>
      <c r="CA144" s="2006">
        <f t="shared" si="146"/>
        <v>4500</v>
      </c>
      <c r="CB144" s="2003"/>
      <c r="CC144" s="2003"/>
      <c r="CD144" s="2003"/>
      <c r="CE144" s="2003"/>
      <c r="CF144" s="2003"/>
      <c r="CG144" s="2003"/>
      <c r="CH144" s="2003"/>
      <c r="CI144" s="2003"/>
      <c r="CJ144" s="2003"/>
      <c r="CK144" s="2003"/>
      <c r="CL144" s="2003"/>
      <c r="CM144" s="2003"/>
      <c r="CN144" s="2003"/>
      <c r="CO144" s="2003"/>
      <c r="CP144" s="2003"/>
      <c r="CQ144" s="2003"/>
      <c r="CR144" s="2003"/>
      <c r="CS144" s="2003"/>
      <c r="CT144" s="2003"/>
      <c r="CU144" s="2003"/>
      <c r="CV144" s="2003"/>
      <c r="CW144" s="2003"/>
      <c r="CX144" s="2003"/>
      <c r="CY144" s="2003"/>
      <c r="CZ144" s="2003"/>
      <c r="DA144" s="2003"/>
      <c r="DB144" s="2003"/>
      <c r="DC144" s="2003"/>
      <c r="DD144" s="2003"/>
      <c r="DE144" s="2003"/>
      <c r="DF144" s="2003"/>
      <c r="DG144" s="2003"/>
      <c r="DH144" s="2003"/>
      <c r="DI144" s="2003"/>
      <c r="DJ144" s="2003"/>
      <c r="DK144" s="2003"/>
      <c r="DL144" s="2003"/>
      <c r="DM144" s="2003"/>
      <c r="DN144" s="2003"/>
      <c r="DO144" s="2004"/>
      <c r="DP144" s="2003"/>
      <c r="DQ144" s="2003"/>
      <c r="DR144" s="2005"/>
      <c r="DS144" s="2005"/>
      <c r="DT144" s="2005"/>
      <c r="DU144" s="2005"/>
      <c r="DV144" s="2005"/>
      <c r="DW144" s="2005"/>
      <c r="DX144" s="2005"/>
      <c r="DY144" s="2005"/>
      <c r="DZ144" s="2005"/>
      <c r="EA144" s="2005"/>
      <c r="FF144" s="1616"/>
    </row>
    <row r="145" spans="1:162" hidden="1" outlineLevel="2">
      <c r="A145" s="1624" t="s">
        <v>1314</v>
      </c>
      <c r="B145" s="1624" t="s">
        <v>2063</v>
      </c>
      <c r="C145" s="1624" t="s">
        <v>2092</v>
      </c>
      <c r="D145" s="1624" t="s">
        <v>2086</v>
      </c>
      <c r="E145" s="2003"/>
      <c r="F145" s="2003"/>
      <c r="G145" s="2003"/>
      <c r="H145" s="2003"/>
      <c r="I145" s="2003"/>
      <c r="J145" s="2003"/>
      <c r="K145" s="2003"/>
      <c r="L145" s="2003"/>
      <c r="M145" s="2003"/>
      <c r="N145" s="2003"/>
      <c r="O145" s="2003"/>
      <c r="P145" s="2003"/>
      <c r="Q145" s="2003"/>
      <c r="R145" s="2003"/>
      <c r="S145" s="2003"/>
      <c r="T145" s="2003"/>
      <c r="U145" s="2003"/>
      <c r="V145" s="2003"/>
      <c r="W145" s="2003"/>
      <c r="X145" s="2003"/>
      <c r="Y145" s="2003"/>
      <c r="Z145" s="2003"/>
      <c r="AA145" s="2003"/>
      <c r="AB145" s="2003"/>
      <c r="AC145" s="2003"/>
      <c r="AD145" s="2003"/>
      <c r="AE145" s="2003"/>
      <c r="AF145" s="2003"/>
      <c r="AG145" s="2003"/>
      <c r="AH145" s="2003"/>
      <c r="AI145" s="2003"/>
      <c r="AJ145" s="2003"/>
      <c r="AK145" s="2003"/>
      <c r="AL145" s="2003"/>
      <c r="AM145" s="2003"/>
      <c r="AN145" s="2003"/>
      <c r="AO145" s="2003"/>
      <c r="AP145" s="2003"/>
      <c r="AQ145" s="2003"/>
      <c r="AR145" s="2003"/>
      <c r="AS145" s="2003"/>
      <c r="AT145" s="2003"/>
      <c r="AU145" s="2003"/>
      <c r="AV145" s="2003"/>
      <c r="AW145" s="2003"/>
      <c r="AX145" s="2003"/>
      <c r="AY145" s="2003"/>
      <c r="AZ145" s="2003"/>
      <c r="BA145" s="2003"/>
      <c r="BB145" s="2003"/>
      <c r="BC145" s="2003"/>
      <c r="BD145" s="2003"/>
      <c r="BE145" s="2003"/>
      <c r="BF145" s="2003"/>
      <c r="BG145" s="2003"/>
      <c r="BH145" s="2003"/>
      <c r="BI145" s="2003"/>
      <c r="BJ145" s="2003"/>
      <c r="BK145" s="2003"/>
      <c r="BL145" s="2003"/>
      <c r="BM145" s="2003"/>
      <c r="BN145" s="2003"/>
      <c r="BO145" s="2003"/>
      <c r="BP145" s="2003" t="s">
        <v>5</v>
      </c>
      <c r="BQ145" s="2003"/>
      <c r="BR145" s="2003"/>
      <c r="BS145" s="2003"/>
      <c r="BT145" s="2003"/>
      <c r="BU145" s="2003"/>
      <c r="BV145" s="2003"/>
      <c r="BW145" s="2003"/>
      <c r="BX145" s="2003"/>
      <c r="BY145" s="2006">
        <f>BY141</f>
        <v>4500</v>
      </c>
      <c r="BZ145" s="2003">
        <f>BZ137</f>
        <v>4500</v>
      </c>
      <c r="CA145" s="2006">
        <f t="shared" si="146"/>
        <v>4500</v>
      </c>
      <c r="CB145" s="2003"/>
      <c r="CC145" s="2003"/>
      <c r="CD145" s="2003"/>
      <c r="CE145" s="2003"/>
      <c r="CF145" s="2003"/>
      <c r="CG145" s="2003"/>
      <c r="CH145" s="2003"/>
      <c r="CI145" s="2003"/>
      <c r="CJ145" s="2003"/>
      <c r="CK145" s="2003"/>
      <c r="CL145" s="2003"/>
      <c r="CM145" s="2003"/>
      <c r="CN145" s="2003"/>
      <c r="CO145" s="2003"/>
      <c r="CP145" s="2003"/>
      <c r="CQ145" s="2003"/>
      <c r="CR145" s="2003"/>
      <c r="CS145" s="2003"/>
      <c r="CT145" s="2003"/>
      <c r="CU145" s="2003"/>
      <c r="CV145" s="2003"/>
      <c r="CW145" s="2003"/>
      <c r="CX145" s="2003"/>
      <c r="CY145" s="2003"/>
      <c r="CZ145" s="2003"/>
      <c r="DA145" s="2003"/>
      <c r="DB145" s="2003"/>
      <c r="DC145" s="2003"/>
      <c r="DD145" s="2003"/>
      <c r="DE145" s="2003"/>
      <c r="DF145" s="2003"/>
      <c r="DG145" s="2003"/>
      <c r="DH145" s="2003"/>
      <c r="DI145" s="2003"/>
      <c r="DJ145" s="2003"/>
      <c r="DK145" s="2003"/>
      <c r="DL145" s="2003"/>
      <c r="DM145" s="2003"/>
      <c r="DN145" s="2003"/>
      <c r="DO145" s="2004"/>
      <c r="DP145" s="2003"/>
      <c r="DQ145" s="2003"/>
      <c r="DR145" s="2005"/>
      <c r="DS145" s="2005"/>
      <c r="DT145" s="2005"/>
      <c r="DU145" s="2005"/>
      <c r="DV145" s="2005"/>
      <c r="DW145" s="2005"/>
      <c r="DX145" s="2005"/>
      <c r="DY145" s="2005"/>
      <c r="DZ145" s="2005"/>
      <c r="EA145" s="2005"/>
      <c r="FF145" s="1616"/>
    </row>
    <row r="146" spans="1:162" hidden="1" outlineLevel="2">
      <c r="A146" s="1624" t="s">
        <v>1314</v>
      </c>
      <c r="B146" s="1624" t="s">
        <v>2063</v>
      </c>
      <c r="C146" s="1624" t="s">
        <v>2092</v>
      </c>
      <c r="D146" s="1624" t="s">
        <v>2087</v>
      </c>
      <c r="E146" s="2003"/>
      <c r="F146" s="2003"/>
      <c r="G146" s="2003"/>
      <c r="H146" s="2003"/>
      <c r="I146" s="2003"/>
      <c r="J146" s="2003"/>
      <c r="K146" s="2003"/>
      <c r="L146" s="2003"/>
      <c r="M146" s="2003"/>
      <c r="N146" s="2003"/>
      <c r="O146" s="2003"/>
      <c r="P146" s="2003"/>
      <c r="Q146" s="2003"/>
      <c r="R146" s="2003"/>
      <c r="S146" s="2003"/>
      <c r="T146" s="2003"/>
      <c r="U146" s="2003"/>
      <c r="V146" s="2003"/>
      <c r="W146" s="2003"/>
      <c r="X146" s="2003"/>
      <c r="Y146" s="2003"/>
      <c r="Z146" s="2003"/>
      <c r="AA146" s="2003"/>
      <c r="AB146" s="2003"/>
      <c r="AC146" s="2003"/>
      <c r="AD146" s="2003"/>
      <c r="AE146" s="2003"/>
      <c r="AF146" s="2003"/>
      <c r="AG146" s="2003"/>
      <c r="AH146" s="2003"/>
      <c r="AI146" s="2003"/>
      <c r="AJ146" s="2003"/>
      <c r="AK146" s="2003"/>
      <c r="AL146" s="2003"/>
      <c r="AM146" s="2003"/>
      <c r="AN146" s="2003"/>
      <c r="AO146" s="2003"/>
      <c r="AP146" s="2003"/>
      <c r="AQ146" s="2003"/>
      <c r="AR146" s="2003"/>
      <c r="AS146" s="2003"/>
      <c r="AT146" s="2003"/>
      <c r="AU146" s="2003"/>
      <c r="AV146" s="2003"/>
      <c r="AW146" s="2003"/>
      <c r="AX146" s="2003"/>
      <c r="AY146" s="2003"/>
      <c r="AZ146" s="2003"/>
      <c r="BA146" s="2003"/>
      <c r="BB146" s="2003"/>
      <c r="BC146" s="2003"/>
      <c r="BD146" s="2003"/>
      <c r="BE146" s="2003"/>
      <c r="BF146" s="2003"/>
      <c r="BG146" s="2003"/>
      <c r="BH146" s="2003"/>
      <c r="BI146" s="2003"/>
      <c r="BJ146" s="2003"/>
      <c r="BK146" s="2003"/>
      <c r="BL146" s="2003"/>
      <c r="BM146" s="2003"/>
      <c r="BN146" s="2003"/>
      <c r="BO146" s="2003"/>
      <c r="BP146" s="2003" t="s">
        <v>5</v>
      </c>
      <c r="BQ146" s="2003"/>
      <c r="BR146" s="2003"/>
      <c r="BS146" s="2003"/>
      <c r="BT146" s="2003"/>
      <c r="BU146" s="2003"/>
      <c r="BV146" s="2003"/>
      <c r="BW146" s="2003"/>
      <c r="BX146" s="2003"/>
      <c r="BY146" s="2006">
        <f>BY142</f>
        <v>4500</v>
      </c>
      <c r="BZ146" s="2003">
        <f>BZ138</f>
        <v>4500</v>
      </c>
      <c r="CA146" s="2006">
        <f t="shared" si="146"/>
        <v>4500</v>
      </c>
      <c r="CB146" s="2003"/>
      <c r="CC146" s="2003"/>
      <c r="CD146" s="2003"/>
      <c r="CE146" s="2003"/>
      <c r="CF146" s="2003"/>
      <c r="CG146" s="2003"/>
      <c r="CH146" s="2003"/>
      <c r="CI146" s="2003"/>
      <c r="CJ146" s="2003"/>
      <c r="CK146" s="2003"/>
      <c r="CL146" s="2003"/>
      <c r="CM146" s="2003"/>
      <c r="CN146" s="2003"/>
      <c r="CO146" s="2003"/>
      <c r="CP146" s="2003"/>
      <c r="CQ146" s="2003"/>
      <c r="CR146" s="2003"/>
      <c r="CS146" s="2003"/>
      <c r="CT146" s="2003"/>
      <c r="CU146" s="2003"/>
      <c r="CV146" s="2003"/>
      <c r="CW146" s="2003"/>
      <c r="CX146" s="2003"/>
      <c r="CY146" s="2003"/>
      <c r="CZ146" s="2003"/>
      <c r="DA146" s="2003"/>
      <c r="DB146" s="2003"/>
      <c r="DC146" s="2003"/>
      <c r="DD146" s="2003"/>
      <c r="DE146" s="2003"/>
      <c r="DF146" s="2003"/>
      <c r="DG146" s="2003"/>
      <c r="DH146" s="2003"/>
      <c r="DI146" s="2003"/>
      <c r="DJ146" s="2003"/>
      <c r="DK146" s="2003"/>
      <c r="DL146" s="2003"/>
      <c r="DM146" s="2003"/>
      <c r="DN146" s="2003"/>
      <c r="DO146" s="2004"/>
      <c r="DP146" s="2003"/>
      <c r="DQ146" s="2003"/>
      <c r="DR146" s="2005"/>
      <c r="DS146" s="2005"/>
      <c r="DT146" s="2005"/>
      <c r="DU146" s="2005"/>
      <c r="DV146" s="2005"/>
      <c r="DW146" s="2005"/>
      <c r="DX146" s="2005"/>
      <c r="DY146" s="2005"/>
      <c r="DZ146" s="2005"/>
      <c r="EA146" s="2005"/>
      <c r="FF146" s="1616"/>
    </row>
    <row r="147" spans="1:162" hidden="1" outlineLevel="2">
      <c r="A147" s="1624" t="s">
        <v>1314</v>
      </c>
      <c r="B147" s="1624" t="s">
        <v>2064</v>
      </c>
      <c r="C147" s="1624" t="s">
        <v>2092</v>
      </c>
      <c r="D147" s="1624" t="s">
        <v>2085</v>
      </c>
      <c r="E147" s="2003"/>
      <c r="F147" s="2003"/>
      <c r="G147" s="2003"/>
      <c r="H147" s="2003"/>
      <c r="I147" s="2003"/>
      <c r="J147" s="2003"/>
      <c r="K147" s="2003"/>
      <c r="L147" s="2003"/>
      <c r="M147" s="2003"/>
      <c r="N147" s="2003"/>
      <c r="O147" s="2003"/>
      <c r="P147" s="2003"/>
      <c r="Q147" s="2003"/>
      <c r="R147" s="2003"/>
      <c r="S147" s="2003"/>
      <c r="T147" s="2003"/>
      <c r="U147" s="2003"/>
      <c r="V147" s="2003"/>
      <c r="W147" s="2003"/>
      <c r="X147" s="2003"/>
      <c r="Y147" s="2003"/>
      <c r="Z147" s="2003"/>
      <c r="AA147" s="2003"/>
      <c r="AB147" s="2003"/>
      <c r="AC147" s="2003"/>
      <c r="AD147" s="2003"/>
      <c r="AE147" s="2003"/>
      <c r="AF147" s="2003"/>
      <c r="AG147" s="2003"/>
      <c r="AH147" s="2003"/>
      <c r="AI147" s="2003"/>
      <c r="AJ147" s="2003"/>
      <c r="AK147" s="2003"/>
      <c r="AL147" s="2003"/>
      <c r="AM147" s="2003"/>
      <c r="AN147" s="2003"/>
      <c r="AO147" s="2003"/>
      <c r="AP147" s="2003"/>
      <c r="AQ147" s="2003"/>
      <c r="AR147" s="2003"/>
      <c r="AS147" s="2003"/>
      <c r="AT147" s="2003"/>
      <c r="AU147" s="2003"/>
      <c r="AV147" s="2003"/>
      <c r="AW147" s="2003"/>
      <c r="AX147" s="2003"/>
      <c r="AY147" s="2003"/>
      <c r="AZ147" s="2003"/>
      <c r="BA147" s="2003"/>
      <c r="BB147" s="2003"/>
      <c r="BC147" s="2003"/>
      <c r="BD147" s="2003"/>
      <c r="BE147" s="2003"/>
      <c r="BF147" s="2003"/>
      <c r="BG147" s="2003"/>
      <c r="BH147" s="2003"/>
      <c r="BI147" s="2003"/>
      <c r="BJ147" s="2003"/>
      <c r="BK147" s="2003"/>
      <c r="BL147" s="2003"/>
      <c r="BM147" s="2003"/>
      <c r="BN147" s="2003"/>
      <c r="BO147" s="2003"/>
      <c r="BP147" s="2003"/>
      <c r="BQ147" s="2003"/>
      <c r="BR147" s="2003">
        <f>Fusion!J23</f>
        <v>1700</v>
      </c>
      <c r="BS147" s="2003"/>
      <c r="BT147" s="2003"/>
      <c r="BU147" s="2003"/>
      <c r="BV147" s="2003"/>
      <c r="BW147" s="2003"/>
      <c r="BX147" s="2003"/>
      <c r="BY147" s="2006">
        <f t="shared" si="147"/>
        <v>0</v>
      </c>
      <c r="BZ147" s="2003"/>
      <c r="CA147" s="2006">
        <f t="shared" si="146"/>
        <v>0</v>
      </c>
      <c r="CB147" s="2003"/>
      <c r="CC147" s="2003"/>
      <c r="CD147" s="2003"/>
      <c r="CE147" s="2003"/>
      <c r="CF147" s="2003"/>
      <c r="CG147" s="2003"/>
      <c r="CH147" s="2003"/>
      <c r="CI147" s="2003"/>
      <c r="CJ147" s="2003"/>
      <c r="CK147" s="2003"/>
      <c r="CL147" s="2003"/>
      <c r="CM147" s="2003"/>
      <c r="CN147" s="2003"/>
      <c r="CO147" s="2003"/>
      <c r="CP147" s="2003"/>
      <c r="CQ147" s="2003"/>
      <c r="CR147" s="2003"/>
      <c r="CS147" s="2003"/>
      <c r="CT147" s="2003"/>
      <c r="CU147" s="2003"/>
      <c r="CV147" s="2003"/>
      <c r="CW147" s="2003"/>
      <c r="CX147" s="2003"/>
      <c r="CY147" s="2003"/>
      <c r="CZ147" s="2003"/>
      <c r="DA147" s="2003"/>
      <c r="DB147" s="2003"/>
      <c r="DC147" s="2003"/>
      <c r="DD147" s="2003"/>
      <c r="DE147" s="2003"/>
      <c r="DF147" s="2003"/>
      <c r="DG147" s="2003"/>
      <c r="DH147" s="2003"/>
      <c r="DI147" s="2003"/>
      <c r="DJ147" s="2003"/>
      <c r="DK147" s="2003"/>
      <c r="DL147" s="2003"/>
      <c r="DM147" s="2003"/>
      <c r="DN147" s="2003"/>
      <c r="DO147" s="2004"/>
      <c r="DP147" s="2003"/>
      <c r="DQ147" s="2003"/>
      <c r="DR147" s="2005"/>
      <c r="DS147" s="2005"/>
      <c r="DT147" s="2005"/>
      <c r="DU147" s="2005"/>
      <c r="DV147" s="2005"/>
      <c r="DW147" s="2005"/>
      <c r="DX147" s="2005"/>
      <c r="DY147" s="2005"/>
      <c r="DZ147" s="2005"/>
      <c r="EA147" s="2005"/>
      <c r="FF147" s="1616"/>
    </row>
    <row r="148" spans="1:162" hidden="1" outlineLevel="2">
      <c r="A148" s="1624" t="s">
        <v>1314</v>
      </c>
      <c r="B148" s="1624" t="s">
        <v>2064</v>
      </c>
      <c r="C148" s="1624" t="s">
        <v>2092</v>
      </c>
      <c r="D148" s="1624" t="s">
        <v>722</v>
      </c>
      <c r="E148" s="2003"/>
      <c r="F148" s="2003"/>
      <c r="G148" s="2003"/>
      <c r="H148" s="2003"/>
      <c r="I148" s="2003"/>
      <c r="J148" s="2003"/>
      <c r="K148" s="2003"/>
      <c r="L148" s="2003"/>
      <c r="M148" s="2003"/>
      <c r="N148" s="2003"/>
      <c r="O148" s="2003"/>
      <c r="P148" s="2003"/>
      <c r="Q148" s="2003"/>
      <c r="R148" s="2003"/>
      <c r="S148" s="2003"/>
      <c r="T148" s="2003"/>
      <c r="U148" s="2003"/>
      <c r="V148" s="2003"/>
      <c r="W148" s="2003"/>
      <c r="X148" s="2003"/>
      <c r="Y148" s="2003"/>
      <c r="Z148" s="2003"/>
      <c r="AA148" s="2003"/>
      <c r="AB148" s="2003"/>
      <c r="AC148" s="2003"/>
      <c r="AD148" s="2003"/>
      <c r="AE148" s="2003"/>
      <c r="AF148" s="2003"/>
      <c r="AG148" s="2003"/>
      <c r="AH148" s="2003"/>
      <c r="AI148" s="2003"/>
      <c r="AJ148" s="2003"/>
      <c r="AK148" s="2003"/>
      <c r="AL148" s="2003"/>
      <c r="AM148" s="2003"/>
      <c r="AN148" s="2003"/>
      <c r="AO148" s="2003"/>
      <c r="AP148" s="2003"/>
      <c r="AQ148" s="2003"/>
      <c r="AR148" s="2003"/>
      <c r="AS148" s="2003"/>
      <c r="AT148" s="2003"/>
      <c r="AU148" s="2003"/>
      <c r="AV148" s="2003"/>
      <c r="AW148" s="2003"/>
      <c r="AX148" s="2003"/>
      <c r="AY148" s="2003"/>
      <c r="AZ148" s="2003"/>
      <c r="BA148" s="2003"/>
      <c r="BB148" s="2003"/>
      <c r="BC148" s="2003"/>
      <c r="BD148" s="2003"/>
      <c r="BE148" s="2003"/>
      <c r="BF148" s="2003"/>
      <c r="BG148" s="2003"/>
      <c r="BH148" s="2003"/>
      <c r="BI148" s="2003"/>
      <c r="BJ148" s="2003"/>
      <c r="BK148" s="2003"/>
      <c r="BL148" s="2003"/>
      <c r="BM148" s="2003"/>
      <c r="BN148" s="2003"/>
      <c r="BO148" s="2003"/>
      <c r="BP148" s="2003" t="s">
        <v>5</v>
      </c>
      <c r="BQ148" s="2003"/>
      <c r="BR148" s="2003">
        <f>BR147</f>
        <v>1700</v>
      </c>
      <c r="BS148" s="2003"/>
      <c r="BT148" s="2003"/>
      <c r="BU148" s="2003"/>
      <c r="BV148" s="2003"/>
      <c r="BW148" s="2003"/>
      <c r="BX148" s="2003"/>
      <c r="BY148" s="2006">
        <f t="shared" si="147"/>
        <v>0</v>
      </c>
      <c r="BZ148" s="2003"/>
      <c r="CA148" s="2006">
        <f t="shared" si="146"/>
        <v>0</v>
      </c>
      <c r="CB148" s="2003"/>
      <c r="CC148" s="2003"/>
      <c r="CD148" s="2003"/>
      <c r="CE148" s="2003"/>
      <c r="CF148" s="2003"/>
      <c r="CG148" s="2003"/>
      <c r="CH148" s="2003"/>
      <c r="CI148" s="2003"/>
      <c r="CJ148" s="2003"/>
      <c r="CK148" s="2003"/>
      <c r="CL148" s="2003"/>
      <c r="CM148" s="2003"/>
      <c r="CN148" s="2003"/>
      <c r="CO148" s="2003"/>
      <c r="CP148" s="2003"/>
      <c r="CQ148" s="2003"/>
      <c r="CR148" s="2003"/>
      <c r="CS148" s="2003"/>
      <c r="CT148" s="2003"/>
      <c r="CU148" s="2003"/>
      <c r="CV148" s="2003"/>
      <c r="CW148" s="2003"/>
      <c r="CX148" s="2003"/>
      <c r="CY148" s="2003"/>
      <c r="CZ148" s="2003"/>
      <c r="DA148" s="2003"/>
      <c r="DB148" s="2003"/>
      <c r="DC148" s="2003"/>
      <c r="DD148" s="2003"/>
      <c r="DE148" s="2003"/>
      <c r="DF148" s="2003"/>
      <c r="DG148" s="2003"/>
      <c r="DH148" s="2003"/>
      <c r="DI148" s="2003"/>
      <c r="DJ148" s="2003"/>
      <c r="DK148" s="2003"/>
      <c r="DL148" s="2003"/>
      <c r="DM148" s="2003"/>
      <c r="DN148" s="2003"/>
      <c r="DO148" s="2004"/>
      <c r="DP148" s="2003"/>
      <c r="DQ148" s="2003"/>
      <c r="DR148" s="2005"/>
      <c r="DS148" s="2005"/>
      <c r="DT148" s="2005"/>
      <c r="DU148" s="2005"/>
      <c r="DV148" s="2005"/>
      <c r="DW148" s="2005"/>
      <c r="DX148" s="2005"/>
      <c r="DY148" s="2005"/>
      <c r="DZ148" s="2005"/>
      <c r="EA148" s="2005"/>
      <c r="FF148" s="1616"/>
    </row>
    <row r="149" spans="1:162" hidden="1" outlineLevel="2">
      <c r="A149" s="1624" t="s">
        <v>1314</v>
      </c>
      <c r="B149" s="1624" t="s">
        <v>2064</v>
      </c>
      <c r="C149" s="1624" t="s">
        <v>2092</v>
      </c>
      <c r="D149" s="1624" t="s">
        <v>2086</v>
      </c>
      <c r="E149" s="2003"/>
      <c r="F149" s="2003"/>
      <c r="G149" s="2003"/>
      <c r="H149" s="2003"/>
      <c r="I149" s="2003"/>
      <c r="J149" s="2003"/>
      <c r="K149" s="2003"/>
      <c r="L149" s="2003"/>
      <c r="M149" s="2003"/>
      <c r="N149" s="2003"/>
      <c r="O149" s="2003"/>
      <c r="P149" s="2003"/>
      <c r="Q149" s="2003"/>
      <c r="R149" s="2003"/>
      <c r="S149" s="2003"/>
      <c r="T149" s="2003"/>
      <c r="U149" s="2003"/>
      <c r="V149" s="2003"/>
      <c r="W149" s="2003"/>
      <c r="X149" s="2003"/>
      <c r="Y149" s="2003"/>
      <c r="Z149" s="2003"/>
      <c r="AA149" s="2003"/>
      <c r="AB149" s="2003"/>
      <c r="AC149" s="2003"/>
      <c r="AD149" s="2003"/>
      <c r="AE149" s="2003"/>
      <c r="AF149" s="2003"/>
      <c r="AG149" s="2003"/>
      <c r="AH149" s="2003"/>
      <c r="AI149" s="2003"/>
      <c r="AJ149" s="2003"/>
      <c r="AK149" s="2003"/>
      <c r="AL149" s="2003"/>
      <c r="AM149" s="2003"/>
      <c r="AN149" s="2003"/>
      <c r="AO149" s="2003"/>
      <c r="AP149" s="2003"/>
      <c r="AQ149" s="2003"/>
      <c r="AR149" s="2003"/>
      <c r="AS149" s="2003"/>
      <c r="AT149" s="2003"/>
      <c r="AU149" s="2003"/>
      <c r="AV149" s="2003"/>
      <c r="AW149" s="2003"/>
      <c r="AX149" s="2003"/>
      <c r="AY149" s="2003"/>
      <c r="AZ149" s="2003"/>
      <c r="BA149" s="2003"/>
      <c r="BB149" s="2003"/>
      <c r="BC149" s="2003"/>
      <c r="BD149" s="2003"/>
      <c r="BE149" s="2003"/>
      <c r="BF149" s="2003"/>
      <c r="BG149" s="2003"/>
      <c r="BH149" s="2003"/>
      <c r="BI149" s="2003"/>
      <c r="BJ149" s="2003"/>
      <c r="BK149" s="2003"/>
      <c r="BL149" s="2003"/>
      <c r="BM149" s="2003"/>
      <c r="BN149" s="2003"/>
      <c r="BO149" s="2003"/>
      <c r="BP149" s="2003" t="s">
        <v>5</v>
      </c>
      <c r="BQ149" s="2003"/>
      <c r="BR149" s="2003">
        <f>BR147</f>
        <v>1700</v>
      </c>
      <c r="BS149" s="2003"/>
      <c r="BT149" s="2003"/>
      <c r="BU149" s="2003"/>
      <c r="BV149" s="2003"/>
      <c r="BW149" s="2003"/>
      <c r="BX149" s="2003"/>
      <c r="BY149" s="2006">
        <f t="shared" si="147"/>
        <v>0</v>
      </c>
      <c r="BZ149" s="2003"/>
      <c r="CA149" s="2006">
        <f t="shared" si="146"/>
        <v>0</v>
      </c>
      <c r="CB149" s="2003"/>
      <c r="CC149" s="2003"/>
      <c r="CD149" s="2003"/>
      <c r="CE149" s="2003"/>
      <c r="CF149" s="2003"/>
      <c r="CG149" s="2003"/>
      <c r="CH149" s="2003"/>
      <c r="CI149" s="2003"/>
      <c r="CJ149" s="2003"/>
      <c r="CK149" s="2003"/>
      <c r="CL149" s="2003"/>
      <c r="CM149" s="2003"/>
      <c r="CN149" s="2003"/>
      <c r="CO149" s="2003"/>
      <c r="CP149" s="2003"/>
      <c r="CQ149" s="2003"/>
      <c r="CR149" s="2003"/>
      <c r="CS149" s="2003"/>
      <c r="CT149" s="2003"/>
      <c r="CU149" s="2003"/>
      <c r="CV149" s="2003"/>
      <c r="CW149" s="2003"/>
      <c r="CX149" s="2003"/>
      <c r="CY149" s="2003"/>
      <c r="CZ149" s="2003"/>
      <c r="DA149" s="2003"/>
      <c r="DB149" s="2003"/>
      <c r="DC149" s="2003"/>
      <c r="DD149" s="2003"/>
      <c r="DE149" s="2003"/>
      <c r="DF149" s="2003"/>
      <c r="DG149" s="2003"/>
      <c r="DH149" s="2003"/>
      <c r="DI149" s="2003"/>
      <c r="DJ149" s="2003"/>
      <c r="DK149" s="2003"/>
      <c r="DL149" s="2003"/>
      <c r="DM149" s="2003"/>
      <c r="DN149" s="2003"/>
      <c r="DO149" s="2004"/>
      <c r="DP149" s="2003"/>
      <c r="DQ149" s="2003"/>
      <c r="DR149" s="2005"/>
      <c r="DS149" s="2005"/>
      <c r="DT149" s="2005"/>
      <c r="DU149" s="2005"/>
      <c r="DV149" s="2005"/>
      <c r="DW149" s="2005"/>
      <c r="DX149" s="2005"/>
      <c r="DY149" s="2005"/>
      <c r="DZ149" s="2005"/>
      <c r="EA149" s="2005"/>
      <c r="FF149" s="1616"/>
    </row>
    <row r="150" spans="1:162" hidden="1" outlineLevel="2">
      <c r="A150" s="1624" t="s">
        <v>1314</v>
      </c>
      <c r="B150" s="1624" t="s">
        <v>2064</v>
      </c>
      <c r="C150" s="1624" t="s">
        <v>2092</v>
      </c>
      <c r="D150" s="1624" t="s">
        <v>2087</v>
      </c>
      <c r="E150" s="2003"/>
      <c r="F150" s="2003"/>
      <c r="G150" s="2003"/>
      <c r="H150" s="2003"/>
      <c r="I150" s="2003"/>
      <c r="J150" s="2003"/>
      <c r="K150" s="2003"/>
      <c r="L150" s="2003"/>
      <c r="M150" s="2003"/>
      <c r="N150" s="2003"/>
      <c r="O150" s="2003"/>
      <c r="P150" s="2003"/>
      <c r="Q150" s="2003"/>
      <c r="R150" s="2003"/>
      <c r="S150" s="2003"/>
      <c r="T150" s="2003"/>
      <c r="U150" s="2003"/>
      <c r="V150" s="2003"/>
      <c r="W150" s="2003"/>
      <c r="X150" s="2003"/>
      <c r="Y150" s="2003"/>
      <c r="Z150" s="2003"/>
      <c r="AA150" s="2003"/>
      <c r="AB150" s="2003"/>
      <c r="AC150" s="2003"/>
      <c r="AD150" s="2003"/>
      <c r="AE150" s="2003"/>
      <c r="AF150" s="2003"/>
      <c r="AG150" s="2003"/>
      <c r="AH150" s="2003"/>
      <c r="AI150" s="2003"/>
      <c r="AJ150" s="2003"/>
      <c r="AK150" s="2003"/>
      <c r="AL150" s="2003"/>
      <c r="AM150" s="2003"/>
      <c r="AN150" s="2003"/>
      <c r="AO150" s="2003"/>
      <c r="AP150" s="2003"/>
      <c r="AQ150" s="2003"/>
      <c r="AR150" s="2003"/>
      <c r="AS150" s="2003"/>
      <c r="AT150" s="2003"/>
      <c r="AU150" s="2003"/>
      <c r="AV150" s="2003"/>
      <c r="AW150" s="2003"/>
      <c r="AX150" s="2003"/>
      <c r="AY150" s="2003"/>
      <c r="AZ150" s="2003"/>
      <c r="BA150" s="2003"/>
      <c r="BB150" s="2003"/>
      <c r="BC150" s="2003"/>
      <c r="BD150" s="2003"/>
      <c r="BE150" s="2003"/>
      <c r="BF150" s="2003"/>
      <c r="BG150" s="2003"/>
      <c r="BH150" s="2003"/>
      <c r="BI150" s="2003"/>
      <c r="BJ150" s="2003"/>
      <c r="BK150" s="2003"/>
      <c r="BL150" s="2003"/>
      <c r="BM150" s="2003"/>
      <c r="BN150" s="2003"/>
      <c r="BO150" s="2003"/>
      <c r="BP150" s="2003" t="s">
        <v>5</v>
      </c>
      <c r="BQ150" s="2003"/>
      <c r="BR150" s="2003">
        <f>BR147</f>
        <v>1700</v>
      </c>
      <c r="BS150" s="2003"/>
      <c r="BT150" s="2003"/>
      <c r="BU150" s="2003"/>
      <c r="BV150" s="2003"/>
      <c r="BW150" s="2003"/>
      <c r="BX150" s="2003"/>
      <c r="BY150" s="2006">
        <f t="shared" si="147"/>
        <v>0</v>
      </c>
      <c r="BZ150" s="2003"/>
      <c r="CA150" s="2006">
        <f t="shared" si="146"/>
        <v>0</v>
      </c>
      <c r="CB150" s="2003"/>
      <c r="CC150" s="2003"/>
      <c r="CD150" s="2003"/>
      <c r="CE150" s="2003"/>
      <c r="CF150" s="2003"/>
      <c r="CG150" s="2003"/>
      <c r="CH150" s="2003"/>
      <c r="CI150" s="2003"/>
      <c r="CJ150" s="2003"/>
      <c r="CK150" s="2003"/>
      <c r="CL150" s="2003"/>
      <c r="CM150" s="2003"/>
      <c r="CN150" s="2003"/>
      <c r="CO150" s="2003"/>
      <c r="CP150" s="2003"/>
      <c r="CQ150" s="2003"/>
      <c r="CR150" s="2003"/>
      <c r="CS150" s="2003"/>
      <c r="CT150" s="2003"/>
      <c r="CU150" s="2003"/>
      <c r="CV150" s="2003"/>
      <c r="CW150" s="2003"/>
      <c r="CX150" s="2003"/>
      <c r="CY150" s="2003"/>
      <c r="CZ150" s="2003"/>
      <c r="DA150" s="2003"/>
      <c r="DB150" s="2003"/>
      <c r="DC150" s="2003"/>
      <c r="DD150" s="2003"/>
      <c r="DE150" s="2003"/>
      <c r="DF150" s="2003"/>
      <c r="DG150" s="2003"/>
      <c r="DH150" s="2003"/>
      <c r="DI150" s="2003"/>
      <c r="DJ150" s="2003"/>
      <c r="DK150" s="2003"/>
      <c r="DL150" s="2003"/>
      <c r="DM150" s="2003"/>
      <c r="DN150" s="2003"/>
      <c r="DO150" s="2004"/>
      <c r="DP150" s="2003"/>
      <c r="DQ150" s="2003"/>
      <c r="DR150" s="2005"/>
      <c r="DS150" s="2005"/>
      <c r="DT150" s="2005"/>
      <c r="DU150" s="2005"/>
      <c r="DV150" s="2005"/>
      <c r="DW150" s="2005"/>
      <c r="DX150" s="2005"/>
      <c r="DY150" s="2005"/>
      <c r="DZ150" s="2005"/>
      <c r="EA150" s="2005"/>
      <c r="FF150" s="1616"/>
    </row>
    <row r="151" spans="1:162" hidden="1" outlineLevel="2">
      <c r="A151" s="1624" t="s">
        <v>1314</v>
      </c>
      <c r="B151" s="1624" t="s">
        <v>2065</v>
      </c>
      <c r="C151" s="1624" t="s">
        <v>2092</v>
      </c>
      <c r="D151" s="1624" t="s">
        <v>2085</v>
      </c>
      <c r="E151" s="2003"/>
      <c r="F151" s="2003"/>
      <c r="G151" s="2003"/>
      <c r="H151" s="2003"/>
      <c r="I151" s="2003"/>
      <c r="J151" s="2003"/>
      <c r="K151" s="2003"/>
      <c r="L151" s="2003"/>
      <c r="M151" s="2003"/>
      <c r="N151" s="2003"/>
      <c r="O151" s="2003"/>
      <c r="P151" s="2003"/>
      <c r="Q151" s="2003"/>
      <c r="R151" s="2003"/>
      <c r="S151" s="2003"/>
      <c r="T151" s="2003"/>
      <c r="U151" s="2003"/>
      <c r="V151" s="2003"/>
      <c r="W151" s="2003"/>
      <c r="X151" s="2003"/>
      <c r="Y151" s="2003"/>
      <c r="Z151" s="2003"/>
      <c r="AA151" s="2003"/>
      <c r="AB151" s="2003"/>
      <c r="AC151" s="2003"/>
      <c r="AD151" s="2003"/>
      <c r="AE151" s="2003"/>
      <c r="AF151" s="2003"/>
      <c r="AG151" s="2003"/>
      <c r="AH151" s="2003"/>
      <c r="AI151" s="2003"/>
      <c r="AJ151" s="2003"/>
      <c r="AK151" s="2003"/>
      <c r="AL151" s="2003"/>
      <c r="AM151" s="2003"/>
      <c r="AN151" s="2003"/>
      <c r="AO151" s="2003"/>
      <c r="AP151" s="2003"/>
      <c r="AQ151" s="2003"/>
      <c r="AR151" s="2003"/>
      <c r="AS151" s="2003"/>
      <c r="AT151" s="2003"/>
      <c r="AU151" s="2003"/>
      <c r="AV151" s="2003"/>
      <c r="AW151" s="2003"/>
      <c r="AX151" s="2003"/>
      <c r="AY151" s="2003"/>
      <c r="AZ151" s="2003"/>
      <c r="BA151" s="2003"/>
      <c r="BB151" s="2003"/>
      <c r="BC151" s="2003"/>
      <c r="BD151" s="2003"/>
      <c r="BE151" s="2003"/>
      <c r="BF151" s="2003"/>
      <c r="BG151" s="2003"/>
      <c r="BH151" s="2003"/>
      <c r="BI151" s="2003"/>
      <c r="BJ151" s="2003"/>
      <c r="BK151" s="2003"/>
      <c r="BL151" s="2003"/>
      <c r="BM151" s="2003"/>
      <c r="BN151" s="2003"/>
      <c r="BO151" s="2003"/>
      <c r="BP151" s="2003"/>
      <c r="BQ151" s="2003">
        <f>Fusion!J23</f>
        <v>1700</v>
      </c>
      <c r="BR151" s="2003"/>
      <c r="BS151" s="2003"/>
      <c r="BT151" s="2003"/>
      <c r="BU151" s="2003"/>
      <c r="BV151" s="2003"/>
      <c r="BW151" s="2003"/>
      <c r="BX151" s="2003"/>
      <c r="BY151" s="2006">
        <f t="shared" si="147"/>
        <v>0</v>
      </c>
      <c r="BZ151" s="2003"/>
      <c r="CA151" s="2006">
        <f t="shared" si="146"/>
        <v>0</v>
      </c>
      <c r="CB151" s="2003"/>
      <c r="CC151" s="2003"/>
      <c r="CD151" s="2003"/>
      <c r="CE151" s="2003"/>
      <c r="CF151" s="2003"/>
      <c r="CG151" s="2003"/>
      <c r="CH151" s="2003"/>
      <c r="CI151" s="2003"/>
      <c r="CJ151" s="2003"/>
      <c r="CK151" s="2003"/>
      <c r="CL151" s="2003"/>
      <c r="CM151" s="2003"/>
      <c r="CN151" s="2003"/>
      <c r="CO151" s="2003"/>
      <c r="CP151" s="2003"/>
      <c r="CQ151" s="2003"/>
      <c r="CR151" s="2003"/>
      <c r="CS151" s="2003"/>
      <c r="CT151" s="2003"/>
      <c r="CU151" s="2003"/>
      <c r="CV151" s="2003"/>
      <c r="CW151" s="2003"/>
      <c r="CX151" s="2003"/>
      <c r="CY151" s="2003"/>
      <c r="CZ151" s="2003"/>
      <c r="DA151" s="2003"/>
      <c r="DB151" s="2003"/>
      <c r="DC151" s="2003"/>
      <c r="DD151" s="2003"/>
      <c r="DE151" s="2003"/>
      <c r="DF151" s="2003"/>
      <c r="DG151" s="2003"/>
      <c r="DH151" s="2003"/>
      <c r="DI151" s="2003"/>
      <c r="DJ151" s="2003"/>
      <c r="DK151" s="2003"/>
      <c r="DL151" s="2003"/>
      <c r="DM151" s="2003"/>
      <c r="DN151" s="2003"/>
      <c r="DO151" s="2004"/>
      <c r="DP151" s="2003"/>
      <c r="DQ151" s="2003"/>
      <c r="DR151" s="2005"/>
      <c r="DS151" s="2005"/>
      <c r="DT151" s="2005"/>
      <c r="DU151" s="2005"/>
      <c r="DV151" s="2005"/>
      <c r="DW151" s="2005"/>
      <c r="DX151" s="2005"/>
      <c r="DY151" s="2005"/>
      <c r="DZ151" s="2005"/>
      <c r="EA151" s="2005"/>
      <c r="FF151" s="1616"/>
    </row>
    <row r="152" spans="1:162" hidden="1" outlineLevel="2">
      <c r="A152" s="1624" t="s">
        <v>1314</v>
      </c>
      <c r="B152" s="1624" t="s">
        <v>2065</v>
      </c>
      <c r="C152" s="1624" t="s">
        <v>2092</v>
      </c>
      <c r="D152" s="1624" t="s">
        <v>722</v>
      </c>
      <c r="E152" s="2003"/>
      <c r="F152" s="2003"/>
      <c r="G152" s="2003"/>
      <c r="H152" s="2003"/>
      <c r="I152" s="2003"/>
      <c r="J152" s="2003"/>
      <c r="K152" s="2003"/>
      <c r="L152" s="2003"/>
      <c r="M152" s="2003"/>
      <c r="N152" s="2003"/>
      <c r="O152" s="2003"/>
      <c r="P152" s="2003"/>
      <c r="Q152" s="2003"/>
      <c r="R152" s="2003"/>
      <c r="S152" s="2003"/>
      <c r="T152" s="2003"/>
      <c r="U152" s="2003"/>
      <c r="V152" s="2003"/>
      <c r="W152" s="2003"/>
      <c r="X152" s="2003"/>
      <c r="Y152" s="2003"/>
      <c r="Z152" s="2003"/>
      <c r="AA152" s="2003"/>
      <c r="AB152" s="2003"/>
      <c r="AC152" s="2003"/>
      <c r="AD152" s="2003"/>
      <c r="AE152" s="2003"/>
      <c r="AF152" s="2003"/>
      <c r="AG152" s="2003"/>
      <c r="AH152" s="2003"/>
      <c r="AI152" s="2003"/>
      <c r="AJ152" s="2003"/>
      <c r="AK152" s="2003"/>
      <c r="AL152" s="2003"/>
      <c r="AM152" s="2003"/>
      <c r="AN152" s="2003"/>
      <c r="AO152" s="2003"/>
      <c r="AP152" s="2003"/>
      <c r="AQ152" s="2003"/>
      <c r="AR152" s="2003"/>
      <c r="AS152" s="2003"/>
      <c r="AT152" s="2003"/>
      <c r="AU152" s="2003"/>
      <c r="AV152" s="2003"/>
      <c r="AW152" s="2003"/>
      <c r="AX152" s="2003"/>
      <c r="AY152" s="2003"/>
      <c r="AZ152" s="2003"/>
      <c r="BA152" s="2003"/>
      <c r="BB152" s="2003"/>
      <c r="BC152" s="2003"/>
      <c r="BD152" s="2003"/>
      <c r="BE152" s="2003"/>
      <c r="BF152" s="2003"/>
      <c r="BG152" s="2003"/>
      <c r="BH152" s="2003"/>
      <c r="BI152" s="2003"/>
      <c r="BJ152" s="2003"/>
      <c r="BK152" s="2003"/>
      <c r="BL152" s="2003"/>
      <c r="BM152" s="2003"/>
      <c r="BN152" s="2003"/>
      <c r="BO152" s="2003"/>
      <c r="BP152" s="2003" t="s">
        <v>5</v>
      </c>
      <c r="BQ152" s="2003">
        <f>BQ151</f>
        <v>1700</v>
      </c>
      <c r="BR152" s="2003"/>
      <c r="BS152" s="2003"/>
      <c r="BT152" s="2003"/>
      <c r="BU152" s="2003"/>
      <c r="BV152" s="2003"/>
      <c r="BW152" s="2003"/>
      <c r="BX152" s="2003"/>
      <c r="BY152" s="2006">
        <f t="shared" si="147"/>
        <v>0</v>
      </c>
      <c r="BZ152" s="2003"/>
      <c r="CA152" s="2006">
        <f t="shared" si="146"/>
        <v>0</v>
      </c>
      <c r="CB152" s="2003"/>
      <c r="CC152" s="2003"/>
      <c r="CD152" s="2003"/>
      <c r="CE152" s="2003"/>
      <c r="CF152" s="2003"/>
      <c r="CG152" s="2003"/>
      <c r="CH152" s="2003"/>
      <c r="CI152" s="2003"/>
      <c r="CJ152" s="2003"/>
      <c r="CK152" s="2003"/>
      <c r="CL152" s="2003"/>
      <c r="CM152" s="2003"/>
      <c r="CN152" s="2003"/>
      <c r="CO152" s="2003"/>
      <c r="CP152" s="2003"/>
      <c r="CQ152" s="2003"/>
      <c r="CR152" s="2003"/>
      <c r="CS152" s="2003"/>
      <c r="CT152" s="2003"/>
      <c r="CU152" s="2003"/>
      <c r="CV152" s="2003"/>
      <c r="CW152" s="2003"/>
      <c r="CX152" s="2003"/>
      <c r="CY152" s="2003"/>
      <c r="CZ152" s="2003"/>
      <c r="DA152" s="2003"/>
      <c r="DB152" s="2003"/>
      <c r="DC152" s="2003"/>
      <c r="DD152" s="2003"/>
      <c r="DE152" s="2003"/>
      <c r="DF152" s="2003"/>
      <c r="DG152" s="2003"/>
      <c r="DH152" s="2003"/>
      <c r="DI152" s="2003"/>
      <c r="DJ152" s="2003"/>
      <c r="DK152" s="2003"/>
      <c r="DL152" s="2003"/>
      <c r="DM152" s="2003"/>
      <c r="DN152" s="2003"/>
      <c r="DO152" s="2004"/>
      <c r="DP152" s="2003"/>
      <c r="DQ152" s="2003"/>
      <c r="DR152" s="2005"/>
      <c r="DS152" s="2005"/>
      <c r="DT152" s="2005"/>
      <c r="DU152" s="2005"/>
      <c r="DV152" s="2005"/>
      <c r="DW152" s="2005"/>
      <c r="DX152" s="2005"/>
      <c r="DY152" s="2005"/>
      <c r="DZ152" s="2005"/>
      <c r="EA152" s="2005"/>
      <c r="FF152" s="1616"/>
    </row>
    <row r="153" spans="1:162" hidden="1" outlineLevel="2">
      <c r="A153" s="1624" t="s">
        <v>1314</v>
      </c>
      <c r="B153" s="1624" t="s">
        <v>2065</v>
      </c>
      <c r="C153" s="1624" t="s">
        <v>2092</v>
      </c>
      <c r="D153" s="1624" t="s">
        <v>2086</v>
      </c>
      <c r="E153" s="2003"/>
      <c r="F153" s="2003"/>
      <c r="G153" s="2003"/>
      <c r="H153" s="2003"/>
      <c r="I153" s="2003"/>
      <c r="J153" s="2003"/>
      <c r="K153" s="2003"/>
      <c r="L153" s="2003"/>
      <c r="M153" s="2003"/>
      <c r="N153" s="2003"/>
      <c r="O153" s="2003"/>
      <c r="P153" s="2003"/>
      <c r="Q153" s="2003"/>
      <c r="R153" s="2003"/>
      <c r="S153" s="2003"/>
      <c r="T153" s="2003"/>
      <c r="U153" s="2003"/>
      <c r="V153" s="2003"/>
      <c r="W153" s="2003"/>
      <c r="X153" s="2003"/>
      <c r="Y153" s="2003"/>
      <c r="Z153" s="2003"/>
      <c r="AA153" s="2003"/>
      <c r="AB153" s="2003"/>
      <c r="AC153" s="2003"/>
      <c r="AD153" s="2003"/>
      <c r="AE153" s="2003"/>
      <c r="AF153" s="2003"/>
      <c r="AG153" s="2003"/>
      <c r="AH153" s="2003"/>
      <c r="AI153" s="2003"/>
      <c r="AJ153" s="2003"/>
      <c r="AK153" s="2003"/>
      <c r="AL153" s="2003"/>
      <c r="AM153" s="2003"/>
      <c r="AN153" s="2003"/>
      <c r="AO153" s="2003"/>
      <c r="AP153" s="2003"/>
      <c r="AQ153" s="2003"/>
      <c r="AR153" s="2003"/>
      <c r="AS153" s="2003"/>
      <c r="AT153" s="2003"/>
      <c r="AU153" s="2003"/>
      <c r="AV153" s="2003"/>
      <c r="AW153" s="2003"/>
      <c r="AX153" s="2003"/>
      <c r="AY153" s="2003"/>
      <c r="AZ153" s="2003"/>
      <c r="BA153" s="2003"/>
      <c r="BB153" s="2003"/>
      <c r="BC153" s="2003"/>
      <c r="BD153" s="2003"/>
      <c r="BE153" s="2003"/>
      <c r="BF153" s="2003"/>
      <c r="BG153" s="2003"/>
      <c r="BH153" s="2003"/>
      <c r="BI153" s="2003"/>
      <c r="BJ153" s="2003"/>
      <c r="BK153" s="2003"/>
      <c r="BL153" s="2003"/>
      <c r="BM153" s="2003"/>
      <c r="BN153" s="2003"/>
      <c r="BO153" s="2003"/>
      <c r="BP153" s="2003" t="s">
        <v>5</v>
      </c>
      <c r="BQ153" s="2003">
        <f>BQ151</f>
        <v>1700</v>
      </c>
      <c r="BR153" s="2003"/>
      <c r="BS153" s="2003"/>
      <c r="BT153" s="2003"/>
      <c r="BU153" s="2003"/>
      <c r="BV153" s="2003"/>
      <c r="BW153" s="2003"/>
      <c r="BX153" s="2003"/>
      <c r="BY153" s="2006">
        <f t="shared" si="147"/>
        <v>0</v>
      </c>
      <c r="BZ153" s="2003"/>
      <c r="CA153" s="2006">
        <f t="shared" si="146"/>
        <v>0</v>
      </c>
      <c r="CB153" s="2003"/>
      <c r="CC153" s="2003"/>
      <c r="CD153" s="2003"/>
      <c r="CE153" s="2003"/>
      <c r="CF153" s="2003"/>
      <c r="CG153" s="2003"/>
      <c r="CH153" s="2003"/>
      <c r="CI153" s="2003"/>
      <c r="CJ153" s="2003"/>
      <c r="CK153" s="2003"/>
      <c r="CL153" s="2003"/>
      <c r="CM153" s="2003"/>
      <c r="CN153" s="2003"/>
      <c r="CO153" s="2003"/>
      <c r="CP153" s="2003"/>
      <c r="CQ153" s="2003"/>
      <c r="CR153" s="2003"/>
      <c r="CS153" s="2003"/>
      <c r="CT153" s="2003"/>
      <c r="CU153" s="2003"/>
      <c r="CV153" s="2003"/>
      <c r="CW153" s="2003"/>
      <c r="CX153" s="2003"/>
      <c r="CY153" s="2003"/>
      <c r="CZ153" s="2003"/>
      <c r="DA153" s="2003"/>
      <c r="DB153" s="2003"/>
      <c r="DC153" s="2003"/>
      <c r="DD153" s="2003"/>
      <c r="DE153" s="2003"/>
      <c r="DF153" s="2003"/>
      <c r="DG153" s="2003"/>
      <c r="DH153" s="2003"/>
      <c r="DI153" s="2003"/>
      <c r="DJ153" s="2003"/>
      <c r="DK153" s="2003"/>
      <c r="DL153" s="2003"/>
      <c r="DM153" s="2003"/>
      <c r="DN153" s="2003"/>
      <c r="DO153" s="2004"/>
      <c r="DP153" s="2003"/>
      <c r="DQ153" s="2003"/>
      <c r="DR153" s="2005"/>
      <c r="DS153" s="2005"/>
      <c r="DT153" s="2005"/>
      <c r="DU153" s="2005"/>
      <c r="DV153" s="2005"/>
      <c r="DW153" s="2005"/>
      <c r="DX153" s="2005"/>
      <c r="DY153" s="2005"/>
      <c r="DZ153" s="2005"/>
      <c r="EA153" s="2005"/>
      <c r="FF153" s="1616"/>
    </row>
    <row r="154" spans="1:162" hidden="1" outlineLevel="2">
      <c r="A154" s="1624" t="s">
        <v>1314</v>
      </c>
      <c r="B154" s="1624" t="s">
        <v>2065</v>
      </c>
      <c r="C154" s="1624" t="s">
        <v>2092</v>
      </c>
      <c r="D154" s="1624" t="s">
        <v>2087</v>
      </c>
      <c r="E154" s="2003"/>
      <c r="F154" s="2003"/>
      <c r="G154" s="2003"/>
      <c r="H154" s="2003"/>
      <c r="I154" s="2003"/>
      <c r="J154" s="2003"/>
      <c r="K154" s="2003"/>
      <c r="L154" s="2003"/>
      <c r="M154" s="2003"/>
      <c r="N154" s="2003"/>
      <c r="O154" s="2003"/>
      <c r="P154" s="2003"/>
      <c r="Q154" s="2003"/>
      <c r="R154" s="2003"/>
      <c r="S154" s="2003"/>
      <c r="T154" s="2003"/>
      <c r="U154" s="2003"/>
      <c r="V154" s="2003"/>
      <c r="W154" s="2003"/>
      <c r="X154" s="2003"/>
      <c r="Y154" s="2003"/>
      <c r="Z154" s="2003"/>
      <c r="AA154" s="2003"/>
      <c r="AB154" s="2003"/>
      <c r="AC154" s="2003"/>
      <c r="AD154" s="2003"/>
      <c r="AE154" s="2003"/>
      <c r="AF154" s="2003"/>
      <c r="AG154" s="2003"/>
      <c r="AH154" s="2003"/>
      <c r="AI154" s="2003"/>
      <c r="AJ154" s="2003"/>
      <c r="AK154" s="2003"/>
      <c r="AL154" s="2003"/>
      <c r="AM154" s="2003"/>
      <c r="AN154" s="2003"/>
      <c r="AO154" s="2003"/>
      <c r="AP154" s="2003"/>
      <c r="AQ154" s="2003"/>
      <c r="AR154" s="2003"/>
      <c r="AS154" s="2003"/>
      <c r="AT154" s="2003"/>
      <c r="AU154" s="2003"/>
      <c r="AV154" s="2003"/>
      <c r="AW154" s="2003"/>
      <c r="AX154" s="2003"/>
      <c r="AY154" s="2003"/>
      <c r="AZ154" s="2003"/>
      <c r="BA154" s="2003"/>
      <c r="BB154" s="2003"/>
      <c r="BC154" s="2003"/>
      <c r="BD154" s="2003"/>
      <c r="BE154" s="2003"/>
      <c r="BF154" s="2003"/>
      <c r="BG154" s="2003"/>
      <c r="BH154" s="2003"/>
      <c r="BI154" s="2003"/>
      <c r="BJ154" s="2003"/>
      <c r="BK154" s="2003"/>
      <c r="BL154" s="2003"/>
      <c r="BM154" s="2003"/>
      <c r="BN154" s="2003"/>
      <c r="BO154" s="2003"/>
      <c r="BP154" s="2003" t="s">
        <v>5</v>
      </c>
      <c r="BQ154" s="2003">
        <f>BQ151</f>
        <v>1700</v>
      </c>
      <c r="BR154" s="2003"/>
      <c r="BS154" s="2003"/>
      <c r="BT154" s="2003"/>
      <c r="BU154" s="2003"/>
      <c r="BV154" s="2003"/>
      <c r="BW154" s="2003"/>
      <c r="BX154" s="2003"/>
      <c r="BY154" s="2006">
        <f t="shared" si="147"/>
        <v>0</v>
      </c>
      <c r="BZ154" s="2003"/>
      <c r="CA154" s="2006">
        <f t="shared" si="146"/>
        <v>0</v>
      </c>
      <c r="CB154" s="2003"/>
      <c r="CC154" s="2003"/>
      <c r="CD154" s="2003"/>
      <c r="CE154" s="2003"/>
      <c r="CF154" s="2003"/>
      <c r="CG154" s="2003"/>
      <c r="CH154" s="2003"/>
      <c r="CI154" s="2003"/>
      <c r="CJ154" s="2003"/>
      <c r="CK154" s="2003"/>
      <c r="CL154" s="2003"/>
      <c r="CM154" s="2003"/>
      <c r="CN154" s="2003"/>
      <c r="CO154" s="2003"/>
      <c r="CP154" s="2003"/>
      <c r="CQ154" s="2003"/>
      <c r="CR154" s="2003"/>
      <c r="CS154" s="2003"/>
      <c r="CT154" s="2003"/>
      <c r="CU154" s="2003"/>
      <c r="CV154" s="2003"/>
      <c r="CW154" s="2003"/>
      <c r="CX154" s="2003"/>
      <c r="CY154" s="2003"/>
      <c r="CZ154" s="2003"/>
      <c r="DA154" s="2003"/>
      <c r="DB154" s="2003"/>
      <c r="DC154" s="2003"/>
      <c r="DD154" s="2003"/>
      <c r="DE154" s="2003"/>
      <c r="DF154" s="2003"/>
      <c r="DG154" s="2003"/>
      <c r="DH154" s="2003"/>
      <c r="DI154" s="2003"/>
      <c r="DJ154" s="2003"/>
      <c r="DK154" s="2003"/>
      <c r="DL154" s="2003"/>
      <c r="DM154" s="2003"/>
      <c r="DN154" s="2003"/>
      <c r="DO154" s="2004"/>
      <c r="DP154" s="2003"/>
      <c r="DQ154" s="2003"/>
      <c r="DR154" s="2005"/>
      <c r="DS154" s="2005"/>
      <c r="DT154" s="2005"/>
      <c r="DU154" s="2005"/>
      <c r="DV154" s="2005"/>
      <c r="DW154" s="2005"/>
      <c r="DX154" s="2005"/>
      <c r="DY154" s="2005"/>
      <c r="DZ154" s="2005"/>
      <c r="EA154" s="2005"/>
      <c r="FF154" s="1616"/>
    </row>
    <row r="155" spans="1:162" s="1633" customFormat="1" hidden="1" outlineLevel="1" collapsed="1">
      <c r="A155" s="1628" t="s">
        <v>1314</v>
      </c>
      <c r="B155" s="1628" t="s">
        <v>2061</v>
      </c>
      <c r="C155" s="1628" t="s">
        <v>2090</v>
      </c>
      <c r="D155" s="1628" t="s">
        <v>2085</v>
      </c>
      <c r="E155" s="2012"/>
      <c r="F155" s="2012"/>
      <c r="G155" s="2012"/>
      <c r="H155" s="2012"/>
      <c r="I155" s="2012"/>
      <c r="J155" s="2012"/>
      <c r="K155" s="2012"/>
      <c r="L155" s="2012"/>
      <c r="M155" s="2012"/>
      <c r="N155" s="2012"/>
      <c r="O155" s="2012"/>
      <c r="P155" s="2012"/>
      <c r="Q155" s="2012"/>
      <c r="R155" s="2012"/>
      <c r="S155" s="2012"/>
      <c r="T155" s="2012"/>
      <c r="U155" s="2012"/>
      <c r="V155" s="2012"/>
      <c r="W155" s="2012"/>
      <c r="X155" s="2012"/>
      <c r="Y155" s="2012"/>
      <c r="Z155" s="2012"/>
      <c r="AA155" s="2012"/>
      <c r="AB155" s="2012"/>
      <c r="AC155" s="2012"/>
      <c r="AD155" s="2012"/>
      <c r="AE155" s="2012"/>
      <c r="AF155" s="2012"/>
      <c r="AG155" s="2012"/>
      <c r="AH155" s="2012"/>
      <c r="AI155" s="2012"/>
      <c r="AJ155" s="2012"/>
      <c r="AK155" s="2012"/>
      <c r="AL155" s="2012"/>
      <c r="AM155" s="2012"/>
      <c r="AN155" s="2012"/>
      <c r="AO155" s="2012"/>
      <c r="AP155" s="2012"/>
      <c r="AQ155" s="2012"/>
      <c r="AR155" s="2012"/>
      <c r="AS155" s="2012"/>
      <c r="AT155" s="2012"/>
      <c r="AU155" s="2012"/>
      <c r="AV155" s="2012"/>
      <c r="AW155" s="2012"/>
      <c r="AX155" s="2012"/>
      <c r="AY155" s="2012"/>
      <c r="AZ155" s="2012"/>
      <c r="BA155" s="2012"/>
      <c r="BB155" s="2012"/>
      <c r="BC155" s="2012"/>
      <c r="BD155" s="2012"/>
      <c r="BE155" s="2012"/>
      <c r="BF155" s="2012"/>
      <c r="BG155" s="2012"/>
      <c r="BH155" s="2012"/>
      <c r="BI155" s="2012"/>
      <c r="BJ155" s="2012"/>
      <c r="BK155" s="2012"/>
      <c r="BL155" s="2012"/>
      <c r="BM155" s="2012"/>
      <c r="BN155" s="2012"/>
      <c r="BO155" s="2012"/>
      <c r="BP155" s="2012"/>
      <c r="BQ155" s="2012"/>
      <c r="BR155" s="2012"/>
      <c r="BS155" s="2012"/>
      <c r="BT155" s="2012"/>
      <c r="BU155" s="2012"/>
      <c r="BV155" s="2012"/>
      <c r="BW155" s="2012"/>
      <c r="BX155" s="2012">
        <f>BX135+Fusion!M25</f>
        <v>5600</v>
      </c>
      <c r="BY155" s="2012"/>
      <c r="BZ155" s="2012">
        <f>BZ135+Fusion!N25</f>
        <v>5600</v>
      </c>
      <c r="CA155" s="2012">
        <f t="shared" si="146"/>
        <v>5600</v>
      </c>
      <c r="CB155" s="2012"/>
      <c r="CC155" s="2012"/>
      <c r="CD155" s="2012"/>
      <c r="CE155" s="2012"/>
      <c r="CF155" s="2012"/>
      <c r="CG155" s="2012"/>
      <c r="CH155" s="2012"/>
      <c r="CI155" s="2012"/>
      <c r="CJ155" s="2012"/>
      <c r="CK155" s="2012"/>
      <c r="CL155" s="2012"/>
      <c r="CM155" s="2012"/>
      <c r="CN155" s="2012"/>
      <c r="CO155" s="2012"/>
      <c r="CP155" s="2012"/>
      <c r="CQ155" s="2012"/>
      <c r="CR155" s="2012"/>
      <c r="CS155" s="2012"/>
      <c r="CT155" s="2012"/>
      <c r="CU155" s="2012"/>
      <c r="CV155" s="2012"/>
      <c r="CW155" s="2012"/>
      <c r="CX155" s="2012"/>
      <c r="CY155" s="2012"/>
      <c r="CZ155" s="2012"/>
      <c r="DA155" s="2012"/>
      <c r="DB155" s="2012"/>
      <c r="DC155" s="2012"/>
      <c r="DD155" s="2012"/>
      <c r="DE155" s="2012"/>
      <c r="DF155" s="2012"/>
      <c r="DG155" s="2012"/>
      <c r="DH155" s="2012"/>
      <c r="DI155" s="2012"/>
      <c r="DJ155" s="2012"/>
      <c r="DK155" s="2012"/>
      <c r="DL155" s="2012"/>
      <c r="DM155" s="2012"/>
      <c r="DN155" s="2012"/>
      <c r="DO155" s="2013"/>
      <c r="DP155" s="2012"/>
      <c r="DQ155" s="2012"/>
      <c r="DR155" s="2014"/>
      <c r="DS155" s="2014"/>
      <c r="DT155" s="2014"/>
      <c r="DU155" s="2014"/>
      <c r="DV155" s="2014"/>
      <c r="DW155" s="2014"/>
      <c r="DX155" s="2014"/>
      <c r="DY155" s="2014"/>
      <c r="DZ155" s="2014"/>
      <c r="EA155" s="2014"/>
      <c r="EB155" s="2014"/>
      <c r="EC155" s="2014"/>
      <c r="ED155" s="2014"/>
      <c r="FF155" s="1629"/>
    </row>
    <row r="156" spans="1:162" hidden="1" outlineLevel="2">
      <c r="A156" s="1624" t="s">
        <v>1314</v>
      </c>
      <c r="B156" s="1624" t="s">
        <v>2061</v>
      </c>
      <c r="C156" s="1624" t="s">
        <v>2090</v>
      </c>
      <c r="D156" s="1624" t="s">
        <v>722</v>
      </c>
      <c r="E156" s="2003"/>
      <c r="F156" s="2003"/>
      <c r="G156" s="2003"/>
      <c r="H156" s="2003"/>
      <c r="I156" s="2003"/>
      <c r="J156" s="2003"/>
      <c r="K156" s="2003"/>
      <c r="L156" s="2003"/>
      <c r="M156" s="2003"/>
      <c r="N156" s="2003"/>
      <c r="O156" s="2003"/>
      <c r="P156" s="2003"/>
      <c r="Q156" s="2003"/>
      <c r="R156" s="2003"/>
      <c r="S156" s="2003"/>
      <c r="T156" s="2003"/>
      <c r="U156" s="2003"/>
      <c r="V156" s="2003"/>
      <c r="W156" s="2003"/>
      <c r="X156" s="2003"/>
      <c r="Y156" s="2003"/>
      <c r="Z156" s="2003"/>
      <c r="AA156" s="2003"/>
      <c r="AB156" s="2003"/>
      <c r="AC156" s="2003"/>
      <c r="AD156" s="2003"/>
      <c r="AE156" s="2003"/>
      <c r="AF156" s="2003"/>
      <c r="AG156" s="2003"/>
      <c r="AH156" s="2003"/>
      <c r="AI156" s="2003"/>
      <c r="AJ156" s="2003"/>
      <c r="AK156" s="2003"/>
      <c r="AL156" s="2003"/>
      <c r="AM156" s="2003"/>
      <c r="AN156" s="2003"/>
      <c r="AO156" s="2003"/>
      <c r="AP156" s="2003"/>
      <c r="AQ156" s="2003"/>
      <c r="AR156" s="2003"/>
      <c r="AS156" s="2003"/>
      <c r="AT156" s="2003"/>
      <c r="AU156" s="2003"/>
      <c r="AV156" s="2003"/>
      <c r="AW156" s="2003"/>
      <c r="AX156" s="2003"/>
      <c r="AY156" s="2003"/>
      <c r="AZ156" s="2003"/>
      <c r="BA156" s="2003"/>
      <c r="BB156" s="2003"/>
      <c r="BC156" s="2003"/>
      <c r="BD156" s="2003"/>
      <c r="BE156" s="2003"/>
      <c r="BF156" s="2003"/>
      <c r="BG156" s="2003"/>
      <c r="BH156" s="2003"/>
      <c r="BI156" s="2003"/>
      <c r="BJ156" s="2003"/>
      <c r="BK156" s="2003"/>
      <c r="BL156" s="2003"/>
      <c r="BM156" s="2003"/>
      <c r="BN156" s="2003"/>
      <c r="BO156" s="2003"/>
      <c r="BP156" s="2003" t="s">
        <v>5</v>
      </c>
      <c r="BQ156" s="2003"/>
      <c r="BR156" s="2003"/>
      <c r="BS156" s="2003"/>
      <c r="BT156" s="2003"/>
      <c r="BU156" s="2003"/>
      <c r="BV156" s="2003"/>
      <c r="BW156" s="2003"/>
      <c r="BX156" s="2003">
        <f>$BX$155</f>
        <v>5600</v>
      </c>
      <c r="BY156" s="2003"/>
      <c r="BZ156" s="2003">
        <f>$BZ$155</f>
        <v>5600</v>
      </c>
      <c r="CA156" s="2003">
        <f>$CA$155</f>
        <v>5600</v>
      </c>
      <c r="CB156" s="2003"/>
      <c r="CC156" s="2003"/>
      <c r="CD156" s="2003"/>
      <c r="CE156" s="2003"/>
      <c r="CF156" s="2003"/>
      <c r="CG156" s="2003"/>
      <c r="CH156" s="2003"/>
      <c r="CI156" s="2003"/>
      <c r="CJ156" s="2003"/>
      <c r="CK156" s="2003"/>
      <c r="CL156" s="2003"/>
      <c r="CM156" s="2003"/>
      <c r="CN156" s="2003"/>
      <c r="CO156" s="2003"/>
      <c r="CP156" s="2003"/>
      <c r="CQ156" s="2003"/>
      <c r="CR156" s="2003"/>
      <c r="CS156" s="2003"/>
      <c r="CT156" s="2003"/>
      <c r="CU156" s="2003"/>
      <c r="CV156" s="2003"/>
      <c r="CW156" s="2003"/>
      <c r="CX156" s="2003"/>
      <c r="CY156" s="2003"/>
      <c r="CZ156" s="2003"/>
      <c r="DA156" s="2003"/>
      <c r="DB156" s="2003"/>
      <c r="DC156" s="2003"/>
      <c r="DD156" s="2003"/>
      <c r="DE156" s="2003"/>
      <c r="DF156" s="2003"/>
      <c r="DG156" s="2003"/>
      <c r="DH156" s="2003"/>
      <c r="DI156" s="2003"/>
      <c r="DJ156" s="2003"/>
      <c r="DK156" s="2003"/>
      <c r="DL156" s="2003"/>
      <c r="DM156" s="2003"/>
      <c r="DN156" s="2003"/>
      <c r="DO156" s="2004"/>
      <c r="DP156" s="2003"/>
      <c r="DQ156" s="2003"/>
      <c r="DR156" s="2005"/>
      <c r="DS156" s="2005"/>
      <c r="DT156" s="2005"/>
      <c r="DU156" s="2005"/>
      <c r="DV156" s="2005"/>
      <c r="DW156" s="2005"/>
      <c r="DX156" s="2005"/>
      <c r="DY156" s="2005"/>
      <c r="DZ156" s="2005"/>
      <c r="EA156" s="2005"/>
      <c r="FF156" s="1616"/>
    </row>
    <row r="157" spans="1:162" hidden="1" outlineLevel="2">
      <c r="A157" s="1624" t="s">
        <v>1314</v>
      </c>
      <c r="B157" s="1624" t="s">
        <v>2061</v>
      </c>
      <c r="C157" s="1624" t="s">
        <v>2090</v>
      </c>
      <c r="D157" s="1624" t="s">
        <v>2086</v>
      </c>
      <c r="E157" s="2003"/>
      <c r="F157" s="2003"/>
      <c r="G157" s="2003"/>
      <c r="H157" s="2003"/>
      <c r="I157" s="2003"/>
      <c r="J157" s="2003"/>
      <c r="K157" s="2003"/>
      <c r="L157" s="2003"/>
      <c r="M157" s="2003"/>
      <c r="N157" s="2003"/>
      <c r="O157" s="2003"/>
      <c r="P157" s="2003"/>
      <c r="Q157" s="2003"/>
      <c r="R157" s="2003"/>
      <c r="S157" s="2003"/>
      <c r="T157" s="2003"/>
      <c r="U157" s="2003"/>
      <c r="V157" s="2003"/>
      <c r="W157" s="2003"/>
      <c r="X157" s="2003"/>
      <c r="Y157" s="2003"/>
      <c r="Z157" s="2003"/>
      <c r="AA157" s="2003"/>
      <c r="AB157" s="2003"/>
      <c r="AC157" s="2003"/>
      <c r="AD157" s="2003"/>
      <c r="AE157" s="2003"/>
      <c r="AF157" s="2003"/>
      <c r="AG157" s="2003"/>
      <c r="AH157" s="2003"/>
      <c r="AI157" s="2003"/>
      <c r="AJ157" s="2003"/>
      <c r="AK157" s="2003"/>
      <c r="AL157" s="2003"/>
      <c r="AM157" s="2003"/>
      <c r="AN157" s="2003"/>
      <c r="AO157" s="2003"/>
      <c r="AP157" s="2003"/>
      <c r="AQ157" s="2003"/>
      <c r="AR157" s="2003"/>
      <c r="AS157" s="2003"/>
      <c r="AT157" s="2003"/>
      <c r="AU157" s="2003"/>
      <c r="AV157" s="2003"/>
      <c r="AW157" s="2003"/>
      <c r="AX157" s="2003"/>
      <c r="AY157" s="2003"/>
      <c r="AZ157" s="2003"/>
      <c r="BA157" s="2003"/>
      <c r="BB157" s="2003"/>
      <c r="BC157" s="2003"/>
      <c r="BD157" s="2003"/>
      <c r="BE157" s="2003"/>
      <c r="BF157" s="2003"/>
      <c r="BG157" s="2003"/>
      <c r="BH157" s="2003"/>
      <c r="BI157" s="2003"/>
      <c r="BJ157" s="2003"/>
      <c r="BK157" s="2003"/>
      <c r="BL157" s="2003"/>
      <c r="BM157" s="2003"/>
      <c r="BN157" s="2003"/>
      <c r="BO157" s="2003"/>
      <c r="BP157" s="2003"/>
      <c r="BQ157" s="2003"/>
      <c r="BR157" s="2003"/>
      <c r="BS157" s="2003"/>
      <c r="BT157" s="2003"/>
      <c r="BU157" s="2003"/>
      <c r="BV157" s="2003"/>
      <c r="BW157" s="2003"/>
      <c r="BX157" s="2003">
        <f t="shared" ref="BX157:BX162" si="148">$BX$155</f>
        <v>5600</v>
      </c>
      <c r="BY157" s="2003"/>
      <c r="BZ157" s="2003">
        <f t="shared" ref="BZ157:BZ166" si="149">$BZ$155</f>
        <v>5600</v>
      </c>
      <c r="CA157" s="2003">
        <f t="shared" ref="CA157:CA166" si="150">$CA$155</f>
        <v>5600</v>
      </c>
      <c r="CB157" s="2003"/>
      <c r="CC157" s="2003"/>
      <c r="CD157" s="2003"/>
      <c r="CE157" s="2003"/>
      <c r="CF157" s="2003"/>
      <c r="CG157" s="2003"/>
      <c r="CH157" s="2003"/>
      <c r="CI157" s="2003"/>
      <c r="CJ157" s="2003"/>
      <c r="CK157" s="2003"/>
      <c r="CL157" s="2003"/>
      <c r="CM157" s="2003"/>
      <c r="CN157" s="2003"/>
      <c r="CO157" s="2003"/>
      <c r="CP157" s="2003"/>
      <c r="CQ157" s="2003"/>
      <c r="CR157" s="2003"/>
      <c r="CS157" s="2003"/>
      <c r="CT157" s="2003"/>
      <c r="CU157" s="2003"/>
      <c r="CV157" s="2003"/>
      <c r="CW157" s="2003"/>
      <c r="CX157" s="2003"/>
      <c r="CY157" s="2003"/>
      <c r="CZ157" s="2003"/>
      <c r="DA157" s="2003"/>
      <c r="DB157" s="2003"/>
      <c r="DC157" s="2003"/>
      <c r="DD157" s="2003"/>
      <c r="DE157" s="2003"/>
      <c r="DF157" s="2003"/>
      <c r="DG157" s="2003"/>
      <c r="DH157" s="2003"/>
      <c r="DI157" s="2003"/>
      <c r="DJ157" s="2003"/>
      <c r="DK157" s="2003"/>
      <c r="DL157" s="2003"/>
      <c r="DM157" s="2003"/>
      <c r="DN157" s="2003"/>
      <c r="DO157" s="2004"/>
      <c r="DP157" s="2003"/>
      <c r="DQ157" s="2003"/>
      <c r="DR157" s="2005"/>
      <c r="DS157" s="2005"/>
      <c r="DT157" s="2005"/>
      <c r="DU157" s="2005"/>
      <c r="DV157" s="2005"/>
      <c r="DW157" s="2005"/>
      <c r="DX157" s="2005"/>
      <c r="DY157" s="2005"/>
      <c r="DZ157" s="2005"/>
      <c r="EA157" s="2005"/>
      <c r="FF157" s="1616"/>
    </row>
    <row r="158" spans="1:162" hidden="1" outlineLevel="2">
      <c r="A158" s="1624" t="s">
        <v>1314</v>
      </c>
      <c r="B158" s="1624" t="s">
        <v>2061</v>
      </c>
      <c r="C158" s="1624" t="s">
        <v>2090</v>
      </c>
      <c r="D158" s="1624" t="s">
        <v>2087</v>
      </c>
      <c r="E158" s="2003"/>
      <c r="F158" s="2003"/>
      <c r="G158" s="2003"/>
      <c r="H158" s="2003"/>
      <c r="I158" s="2003"/>
      <c r="J158" s="2003"/>
      <c r="K158" s="2003"/>
      <c r="L158" s="2003"/>
      <c r="M158" s="2003"/>
      <c r="N158" s="2003"/>
      <c r="O158" s="2003"/>
      <c r="P158" s="2003"/>
      <c r="Q158" s="2003"/>
      <c r="R158" s="2003"/>
      <c r="S158" s="2003"/>
      <c r="T158" s="2003"/>
      <c r="U158" s="2003"/>
      <c r="V158" s="2003"/>
      <c r="W158" s="2003"/>
      <c r="X158" s="2003"/>
      <c r="Y158" s="2003"/>
      <c r="Z158" s="2003"/>
      <c r="AA158" s="2003"/>
      <c r="AB158" s="2003"/>
      <c r="AC158" s="2003"/>
      <c r="AD158" s="2003"/>
      <c r="AE158" s="2003"/>
      <c r="AF158" s="2003"/>
      <c r="AG158" s="2003"/>
      <c r="AH158" s="2003"/>
      <c r="AI158" s="2003"/>
      <c r="AJ158" s="2003"/>
      <c r="AK158" s="2003"/>
      <c r="AL158" s="2003"/>
      <c r="AM158" s="2003"/>
      <c r="AN158" s="2003"/>
      <c r="AO158" s="2003"/>
      <c r="AP158" s="2003"/>
      <c r="AQ158" s="2003"/>
      <c r="AR158" s="2003"/>
      <c r="AS158" s="2003"/>
      <c r="AT158" s="2003"/>
      <c r="AU158" s="2003"/>
      <c r="AV158" s="2003"/>
      <c r="AW158" s="2003"/>
      <c r="AX158" s="2003"/>
      <c r="AY158" s="2003"/>
      <c r="AZ158" s="2003"/>
      <c r="BA158" s="2003"/>
      <c r="BB158" s="2003"/>
      <c r="BC158" s="2003"/>
      <c r="BD158" s="2003"/>
      <c r="BE158" s="2003"/>
      <c r="BF158" s="2003"/>
      <c r="BG158" s="2003"/>
      <c r="BH158" s="2003"/>
      <c r="BI158" s="2003"/>
      <c r="BJ158" s="2003"/>
      <c r="BK158" s="2003"/>
      <c r="BL158" s="2003"/>
      <c r="BM158" s="2003"/>
      <c r="BN158" s="2003"/>
      <c r="BO158" s="2003"/>
      <c r="BP158" s="2003"/>
      <c r="BQ158" s="2003"/>
      <c r="BR158" s="2003"/>
      <c r="BS158" s="2003"/>
      <c r="BT158" s="2003"/>
      <c r="BU158" s="2003"/>
      <c r="BV158" s="2003"/>
      <c r="BW158" s="2003"/>
      <c r="BX158" s="2003">
        <f t="shared" si="148"/>
        <v>5600</v>
      </c>
      <c r="BY158" s="2003"/>
      <c r="BZ158" s="2003">
        <f t="shared" si="149"/>
        <v>5600</v>
      </c>
      <c r="CA158" s="2003">
        <f t="shared" si="150"/>
        <v>5600</v>
      </c>
      <c r="CB158" s="2003"/>
      <c r="CC158" s="2003"/>
      <c r="CD158" s="2003"/>
      <c r="CE158" s="2003"/>
      <c r="CF158" s="2003"/>
      <c r="CG158" s="2003"/>
      <c r="CH158" s="2003"/>
      <c r="CI158" s="2003"/>
      <c r="CJ158" s="2003"/>
      <c r="CK158" s="2003"/>
      <c r="CL158" s="2003"/>
      <c r="CM158" s="2003"/>
      <c r="CN158" s="2003"/>
      <c r="CO158" s="2003"/>
      <c r="CP158" s="2003"/>
      <c r="CQ158" s="2003"/>
      <c r="CR158" s="2003"/>
      <c r="CS158" s="2003"/>
      <c r="CT158" s="2003"/>
      <c r="CU158" s="2003"/>
      <c r="CV158" s="2003"/>
      <c r="CW158" s="2003"/>
      <c r="CX158" s="2003"/>
      <c r="CY158" s="2003"/>
      <c r="CZ158" s="2003"/>
      <c r="DA158" s="2003"/>
      <c r="DB158" s="2003"/>
      <c r="DC158" s="2003"/>
      <c r="DD158" s="2003"/>
      <c r="DE158" s="2003"/>
      <c r="DF158" s="2003"/>
      <c r="DG158" s="2003"/>
      <c r="DH158" s="2003"/>
      <c r="DI158" s="2003"/>
      <c r="DJ158" s="2003"/>
      <c r="DK158" s="2003"/>
      <c r="DL158" s="2003"/>
      <c r="DM158" s="2003"/>
      <c r="DN158" s="2003"/>
      <c r="DO158" s="2004"/>
      <c r="DP158" s="2003"/>
      <c r="DQ158" s="2003"/>
      <c r="DR158" s="2005"/>
      <c r="DS158" s="2005"/>
      <c r="DT158" s="2005"/>
      <c r="DU158" s="2005"/>
      <c r="DV158" s="2005"/>
      <c r="DW158" s="2005"/>
      <c r="DX158" s="2005"/>
      <c r="DY158" s="2005"/>
      <c r="DZ158" s="2005"/>
      <c r="EA158" s="2005"/>
      <c r="FF158" s="1616"/>
    </row>
    <row r="159" spans="1:162" hidden="1" outlineLevel="2">
      <c r="A159" s="1624" t="s">
        <v>1314</v>
      </c>
      <c r="B159" s="1624" t="s">
        <v>2062</v>
      </c>
      <c r="C159" s="1624" t="s">
        <v>2090</v>
      </c>
      <c r="D159" s="1624" t="s">
        <v>2085</v>
      </c>
      <c r="E159" s="2003"/>
      <c r="F159" s="2003"/>
      <c r="G159" s="2003"/>
      <c r="H159" s="2003"/>
      <c r="I159" s="2003"/>
      <c r="J159" s="2003"/>
      <c r="K159" s="2003"/>
      <c r="L159" s="2003"/>
      <c r="M159" s="2003"/>
      <c r="N159" s="2003"/>
      <c r="O159" s="2003"/>
      <c r="P159" s="2003"/>
      <c r="Q159" s="2003"/>
      <c r="R159" s="2003"/>
      <c r="S159" s="2003"/>
      <c r="T159" s="2003"/>
      <c r="U159" s="2003"/>
      <c r="V159" s="2003"/>
      <c r="W159" s="2003"/>
      <c r="X159" s="2003"/>
      <c r="Y159" s="2003"/>
      <c r="Z159" s="2003"/>
      <c r="AA159" s="2003"/>
      <c r="AB159" s="2003"/>
      <c r="AC159" s="2003"/>
      <c r="AD159" s="2003"/>
      <c r="AE159" s="2003"/>
      <c r="AF159" s="2003"/>
      <c r="AG159" s="2003"/>
      <c r="AH159" s="2003"/>
      <c r="AI159" s="2003"/>
      <c r="AJ159" s="2003"/>
      <c r="AK159" s="2003"/>
      <c r="AL159" s="2003"/>
      <c r="AM159" s="2003"/>
      <c r="AN159" s="2003"/>
      <c r="AO159" s="2003"/>
      <c r="AP159" s="2003"/>
      <c r="AQ159" s="2003"/>
      <c r="AR159" s="2003"/>
      <c r="AS159" s="2003"/>
      <c r="AT159" s="2003"/>
      <c r="AU159" s="2003"/>
      <c r="AV159" s="2003"/>
      <c r="AW159" s="2003"/>
      <c r="AX159" s="2003"/>
      <c r="AY159" s="2003"/>
      <c r="AZ159" s="2003"/>
      <c r="BA159" s="2003"/>
      <c r="BB159" s="2003"/>
      <c r="BC159" s="2003"/>
      <c r="BD159" s="2003"/>
      <c r="BE159" s="2003"/>
      <c r="BF159" s="2003"/>
      <c r="BG159" s="2003"/>
      <c r="BH159" s="2003"/>
      <c r="BI159" s="2003"/>
      <c r="BJ159" s="2003"/>
      <c r="BK159" s="2003"/>
      <c r="BL159" s="2003"/>
      <c r="BM159" s="2003"/>
      <c r="BN159" s="2003"/>
      <c r="BO159" s="2003"/>
      <c r="BP159" s="2003"/>
      <c r="BQ159" s="2003"/>
      <c r="BR159" s="2003"/>
      <c r="BS159" s="2003"/>
      <c r="BT159" s="2003"/>
      <c r="BU159" s="2003"/>
      <c r="BV159" s="2003"/>
      <c r="BW159" s="2003"/>
      <c r="BX159" s="2003">
        <f t="shared" si="148"/>
        <v>5600</v>
      </c>
      <c r="BY159" s="2003">
        <f>BY139+Fusion!$M$25</f>
        <v>5600</v>
      </c>
      <c r="BZ159" s="2003">
        <f t="shared" si="149"/>
        <v>5600</v>
      </c>
      <c r="CA159" s="2003">
        <f t="shared" si="150"/>
        <v>5600</v>
      </c>
      <c r="CB159" s="2003"/>
      <c r="CC159" s="2003"/>
      <c r="CD159" s="2003"/>
      <c r="CE159" s="2003"/>
      <c r="CF159" s="2003"/>
      <c r="CG159" s="2003"/>
      <c r="CH159" s="2003"/>
      <c r="CI159" s="2003"/>
      <c r="CJ159" s="2003"/>
      <c r="CK159" s="2003"/>
      <c r="CL159" s="2003"/>
      <c r="CM159" s="2003"/>
      <c r="CN159" s="2003"/>
      <c r="CO159" s="2003"/>
      <c r="CP159" s="2003"/>
      <c r="CQ159" s="2003"/>
      <c r="CR159" s="2003"/>
      <c r="CS159" s="2003"/>
      <c r="CT159" s="2003"/>
      <c r="CU159" s="2003"/>
      <c r="CV159" s="2003"/>
      <c r="CW159" s="2003"/>
      <c r="CX159" s="2003"/>
      <c r="CY159" s="2003"/>
      <c r="CZ159" s="2003"/>
      <c r="DA159" s="2003"/>
      <c r="DB159" s="2003"/>
      <c r="DC159" s="2003"/>
      <c r="DD159" s="2003"/>
      <c r="DE159" s="2003"/>
      <c r="DF159" s="2003"/>
      <c r="DG159" s="2003"/>
      <c r="DH159" s="2003"/>
      <c r="DI159" s="2003"/>
      <c r="DJ159" s="2003"/>
      <c r="DK159" s="2003"/>
      <c r="DL159" s="2003"/>
      <c r="DM159" s="2003"/>
      <c r="DN159" s="2003"/>
      <c r="DO159" s="2004"/>
      <c r="DP159" s="2003"/>
      <c r="DQ159" s="2003"/>
      <c r="DR159" s="2005"/>
      <c r="DS159" s="2005"/>
      <c r="DT159" s="2005"/>
      <c r="DU159" s="2005"/>
      <c r="DV159" s="2005"/>
      <c r="DW159" s="2005"/>
      <c r="DX159" s="2005"/>
      <c r="DY159" s="2005"/>
      <c r="DZ159" s="2005"/>
      <c r="EA159" s="2005"/>
      <c r="FF159" s="1616"/>
    </row>
    <row r="160" spans="1:162" hidden="1" outlineLevel="2">
      <c r="A160" s="1624" t="s">
        <v>1314</v>
      </c>
      <c r="B160" s="1624" t="s">
        <v>2062</v>
      </c>
      <c r="C160" s="1624" t="s">
        <v>2090</v>
      </c>
      <c r="D160" s="1624" t="s">
        <v>722</v>
      </c>
      <c r="E160" s="2003"/>
      <c r="F160" s="2003"/>
      <c r="G160" s="2003"/>
      <c r="H160" s="2003"/>
      <c r="I160" s="2003"/>
      <c r="J160" s="2003"/>
      <c r="K160" s="2003"/>
      <c r="L160" s="2003"/>
      <c r="M160" s="2003"/>
      <c r="N160" s="2003"/>
      <c r="O160" s="2003"/>
      <c r="P160" s="2003"/>
      <c r="Q160" s="2003"/>
      <c r="R160" s="2003"/>
      <c r="S160" s="2003"/>
      <c r="T160" s="2003"/>
      <c r="U160" s="2003"/>
      <c r="V160" s="2003"/>
      <c r="W160" s="2003"/>
      <c r="X160" s="2003"/>
      <c r="Y160" s="2003"/>
      <c r="Z160" s="2003"/>
      <c r="AA160" s="2003"/>
      <c r="AB160" s="2003"/>
      <c r="AC160" s="2003"/>
      <c r="AD160" s="2003"/>
      <c r="AE160" s="2003"/>
      <c r="AF160" s="2003"/>
      <c r="AG160" s="2003"/>
      <c r="AH160" s="2003"/>
      <c r="AI160" s="2003"/>
      <c r="AJ160" s="2003"/>
      <c r="AK160" s="2003"/>
      <c r="AL160" s="2003"/>
      <c r="AM160" s="2003"/>
      <c r="AN160" s="2003"/>
      <c r="AO160" s="2003"/>
      <c r="AP160" s="2003"/>
      <c r="AQ160" s="2003"/>
      <c r="AR160" s="2003"/>
      <c r="AS160" s="2003"/>
      <c r="AT160" s="2003"/>
      <c r="AU160" s="2003"/>
      <c r="AV160" s="2003"/>
      <c r="AW160" s="2003"/>
      <c r="AX160" s="2003"/>
      <c r="AY160" s="2003"/>
      <c r="AZ160" s="2003"/>
      <c r="BA160" s="2003"/>
      <c r="BB160" s="2003"/>
      <c r="BC160" s="2003"/>
      <c r="BD160" s="2003"/>
      <c r="BE160" s="2003"/>
      <c r="BF160" s="2003"/>
      <c r="BG160" s="2003"/>
      <c r="BH160" s="2003"/>
      <c r="BI160" s="2003"/>
      <c r="BJ160" s="2003"/>
      <c r="BK160" s="2003"/>
      <c r="BL160" s="2003"/>
      <c r="BM160" s="2003"/>
      <c r="BN160" s="2003"/>
      <c r="BO160" s="2003"/>
      <c r="BP160" s="2003" t="s">
        <v>5</v>
      </c>
      <c r="BQ160" s="2003"/>
      <c r="BR160" s="2003"/>
      <c r="BS160" s="2003"/>
      <c r="BT160" s="2003"/>
      <c r="BU160" s="2003"/>
      <c r="BV160" s="2003"/>
      <c r="BW160" s="2003"/>
      <c r="BX160" s="2003">
        <f t="shared" si="148"/>
        <v>5600</v>
      </c>
      <c r="BY160" s="2003">
        <f>BY140+Fusion!$M$25</f>
        <v>5600</v>
      </c>
      <c r="BZ160" s="2003">
        <f t="shared" si="149"/>
        <v>5600</v>
      </c>
      <c r="CA160" s="2003">
        <f t="shared" si="150"/>
        <v>5600</v>
      </c>
      <c r="CB160" s="2003"/>
      <c r="CC160" s="2003"/>
      <c r="CD160" s="2003"/>
      <c r="CE160" s="2003"/>
      <c r="CF160" s="2003"/>
      <c r="CG160" s="2003"/>
      <c r="CH160" s="2003"/>
      <c r="CI160" s="2003"/>
      <c r="CJ160" s="2003"/>
      <c r="CK160" s="2003"/>
      <c r="CL160" s="2003"/>
      <c r="CM160" s="2003"/>
      <c r="CN160" s="2003"/>
      <c r="CO160" s="2003"/>
      <c r="CP160" s="2003"/>
      <c r="CQ160" s="2003"/>
      <c r="CR160" s="2003"/>
      <c r="CS160" s="2003"/>
      <c r="CT160" s="2003"/>
      <c r="CU160" s="2003"/>
      <c r="CV160" s="2003"/>
      <c r="CW160" s="2003"/>
      <c r="CX160" s="2003"/>
      <c r="CY160" s="2003"/>
      <c r="CZ160" s="2003"/>
      <c r="DA160" s="2003"/>
      <c r="DB160" s="2003"/>
      <c r="DC160" s="2003"/>
      <c r="DD160" s="2003"/>
      <c r="DE160" s="2003"/>
      <c r="DF160" s="2003"/>
      <c r="DG160" s="2003"/>
      <c r="DH160" s="2003"/>
      <c r="DI160" s="2003"/>
      <c r="DJ160" s="2003"/>
      <c r="DK160" s="2003"/>
      <c r="DL160" s="2003"/>
      <c r="DM160" s="2003"/>
      <c r="DN160" s="2003"/>
      <c r="DO160" s="2004"/>
      <c r="DP160" s="2003"/>
      <c r="DQ160" s="2003"/>
      <c r="DR160" s="2005"/>
      <c r="DS160" s="2005"/>
      <c r="DT160" s="2005"/>
      <c r="DU160" s="2005"/>
      <c r="DV160" s="2005"/>
      <c r="DW160" s="2005"/>
      <c r="DX160" s="2005"/>
      <c r="DY160" s="2005"/>
      <c r="DZ160" s="2005"/>
      <c r="EA160" s="2005"/>
      <c r="FF160" s="1616"/>
    </row>
    <row r="161" spans="1:162" hidden="1" outlineLevel="2">
      <c r="A161" s="1624" t="s">
        <v>1314</v>
      </c>
      <c r="B161" s="1624" t="s">
        <v>2062</v>
      </c>
      <c r="C161" s="1624" t="s">
        <v>2090</v>
      </c>
      <c r="D161" s="1624" t="s">
        <v>2086</v>
      </c>
      <c r="E161" s="2003"/>
      <c r="F161" s="2003"/>
      <c r="G161" s="2003"/>
      <c r="H161" s="2003"/>
      <c r="I161" s="2003"/>
      <c r="J161" s="2003"/>
      <c r="K161" s="2003"/>
      <c r="L161" s="2003"/>
      <c r="M161" s="2003"/>
      <c r="N161" s="2003"/>
      <c r="O161" s="2003"/>
      <c r="P161" s="2003"/>
      <c r="Q161" s="2003"/>
      <c r="R161" s="2003"/>
      <c r="S161" s="2003"/>
      <c r="T161" s="2003"/>
      <c r="U161" s="2003"/>
      <c r="V161" s="2003"/>
      <c r="W161" s="2003"/>
      <c r="X161" s="2003"/>
      <c r="Y161" s="2003"/>
      <c r="Z161" s="2003"/>
      <c r="AA161" s="2003"/>
      <c r="AB161" s="2003"/>
      <c r="AC161" s="2003"/>
      <c r="AD161" s="2003"/>
      <c r="AE161" s="2003"/>
      <c r="AF161" s="2003"/>
      <c r="AG161" s="2003"/>
      <c r="AH161" s="2003"/>
      <c r="AI161" s="2003"/>
      <c r="AJ161" s="2003"/>
      <c r="AK161" s="2003"/>
      <c r="AL161" s="2003"/>
      <c r="AM161" s="2003"/>
      <c r="AN161" s="2003"/>
      <c r="AO161" s="2003"/>
      <c r="AP161" s="2003"/>
      <c r="AQ161" s="2003"/>
      <c r="AR161" s="2003"/>
      <c r="AS161" s="2003"/>
      <c r="AT161" s="2003"/>
      <c r="AU161" s="2003"/>
      <c r="AV161" s="2003"/>
      <c r="AW161" s="2003"/>
      <c r="AX161" s="2003"/>
      <c r="AY161" s="2003"/>
      <c r="AZ161" s="2003"/>
      <c r="BA161" s="2003"/>
      <c r="BB161" s="2003"/>
      <c r="BC161" s="2003"/>
      <c r="BD161" s="2003"/>
      <c r="BE161" s="2003"/>
      <c r="BF161" s="2003"/>
      <c r="BG161" s="2003"/>
      <c r="BH161" s="2003"/>
      <c r="BI161" s="2003"/>
      <c r="BJ161" s="2003"/>
      <c r="BK161" s="2003"/>
      <c r="BL161" s="2003"/>
      <c r="BM161" s="2003"/>
      <c r="BN161" s="2003"/>
      <c r="BO161" s="2003"/>
      <c r="BP161" s="2003" t="s">
        <v>5</v>
      </c>
      <c r="BQ161" s="2003"/>
      <c r="BR161" s="2003"/>
      <c r="BS161" s="2003"/>
      <c r="BT161" s="2003"/>
      <c r="BU161" s="2003"/>
      <c r="BV161" s="2003"/>
      <c r="BW161" s="2003"/>
      <c r="BX161" s="2003">
        <f t="shared" si="148"/>
        <v>5600</v>
      </c>
      <c r="BY161" s="2003">
        <f>BY141+Fusion!$M$25</f>
        <v>5600</v>
      </c>
      <c r="BZ161" s="2003">
        <f t="shared" si="149"/>
        <v>5600</v>
      </c>
      <c r="CA161" s="2003">
        <f t="shared" si="150"/>
        <v>5600</v>
      </c>
      <c r="CB161" s="2003"/>
      <c r="CC161" s="2003"/>
      <c r="CD161" s="2003"/>
      <c r="CE161" s="2003"/>
      <c r="CF161" s="2003"/>
      <c r="CG161" s="2003"/>
      <c r="CH161" s="2003"/>
      <c r="CI161" s="2003"/>
      <c r="CJ161" s="2003"/>
      <c r="CK161" s="2003"/>
      <c r="CL161" s="2003"/>
      <c r="CM161" s="2003"/>
      <c r="CN161" s="2003"/>
      <c r="CO161" s="2003"/>
      <c r="CP161" s="2003"/>
      <c r="CQ161" s="2003"/>
      <c r="CR161" s="2003"/>
      <c r="CS161" s="2003"/>
      <c r="CT161" s="2003"/>
      <c r="CU161" s="2003"/>
      <c r="CV161" s="2003"/>
      <c r="CW161" s="2003"/>
      <c r="CX161" s="2003"/>
      <c r="CY161" s="2003"/>
      <c r="CZ161" s="2003"/>
      <c r="DA161" s="2003"/>
      <c r="DB161" s="2003"/>
      <c r="DC161" s="2003"/>
      <c r="DD161" s="2003"/>
      <c r="DE161" s="2003"/>
      <c r="DF161" s="2003"/>
      <c r="DG161" s="2003"/>
      <c r="DH161" s="2003"/>
      <c r="DI161" s="2003"/>
      <c r="DJ161" s="2003"/>
      <c r="DK161" s="2003"/>
      <c r="DL161" s="2003"/>
      <c r="DM161" s="2003"/>
      <c r="DN161" s="2003"/>
      <c r="DO161" s="2004"/>
      <c r="DP161" s="2003"/>
      <c r="DQ161" s="2003"/>
      <c r="DR161" s="2005"/>
      <c r="DS161" s="2005"/>
      <c r="DT161" s="2005"/>
      <c r="DU161" s="2005"/>
      <c r="DV161" s="2005"/>
      <c r="DW161" s="2005"/>
      <c r="DX161" s="2005"/>
      <c r="DY161" s="2005"/>
      <c r="DZ161" s="2005"/>
      <c r="EA161" s="2005"/>
      <c r="FF161" s="1616"/>
    </row>
    <row r="162" spans="1:162" hidden="1" outlineLevel="2">
      <c r="A162" s="1624" t="s">
        <v>1314</v>
      </c>
      <c r="B162" s="1624" t="s">
        <v>2062</v>
      </c>
      <c r="C162" s="1624" t="s">
        <v>2090</v>
      </c>
      <c r="D162" s="1624" t="s">
        <v>2087</v>
      </c>
      <c r="E162" s="2003"/>
      <c r="F162" s="2003"/>
      <c r="G162" s="2003"/>
      <c r="H162" s="2003"/>
      <c r="I162" s="2003"/>
      <c r="J162" s="2003"/>
      <c r="K162" s="2003"/>
      <c r="L162" s="2003"/>
      <c r="M162" s="2003"/>
      <c r="N162" s="2003"/>
      <c r="O162" s="2003"/>
      <c r="P162" s="2003"/>
      <c r="Q162" s="2003"/>
      <c r="R162" s="2003"/>
      <c r="S162" s="2003"/>
      <c r="T162" s="2003"/>
      <c r="U162" s="2003"/>
      <c r="V162" s="2003"/>
      <c r="W162" s="2003"/>
      <c r="X162" s="2003"/>
      <c r="Y162" s="2003"/>
      <c r="Z162" s="2003"/>
      <c r="AA162" s="2003"/>
      <c r="AB162" s="2003"/>
      <c r="AC162" s="2003"/>
      <c r="AD162" s="2003"/>
      <c r="AE162" s="2003"/>
      <c r="AF162" s="2003"/>
      <c r="AG162" s="2003"/>
      <c r="AH162" s="2003"/>
      <c r="AI162" s="2003"/>
      <c r="AJ162" s="2003"/>
      <c r="AK162" s="2003"/>
      <c r="AL162" s="2003"/>
      <c r="AM162" s="2003"/>
      <c r="AN162" s="2003"/>
      <c r="AO162" s="2003"/>
      <c r="AP162" s="2003"/>
      <c r="AQ162" s="2003"/>
      <c r="AR162" s="2003"/>
      <c r="AS162" s="2003"/>
      <c r="AT162" s="2003"/>
      <c r="AU162" s="2003"/>
      <c r="AV162" s="2003"/>
      <c r="AW162" s="2003"/>
      <c r="AX162" s="2003"/>
      <c r="AY162" s="2003"/>
      <c r="AZ162" s="2003"/>
      <c r="BA162" s="2003"/>
      <c r="BB162" s="2003"/>
      <c r="BC162" s="2003"/>
      <c r="BD162" s="2003"/>
      <c r="BE162" s="2003"/>
      <c r="BF162" s="2003"/>
      <c r="BG162" s="2003"/>
      <c r="BH162" s="2003"/>
      <c r="BI162" s="2003"/>
      <c r="BJ162" s="2003"/>
      <c r="BK162" s="2003"/>
      <c r="BL162" s="2003"/>
      <c r="BM162" s="2003"/>
      <c r="BN162" s="2003"/>
      <c r="BO162" s="2003"/>
      <c r="BP162" s="2003"/>
      <c r="BQ162" s="2003"/>
      <c r="BR162" s="2003"/>
      <c r="BS162" s="2003"/>
      <c r="BT162" s="2003"/>
      <c r="BU162" s="2003"/>
      <c r="BV162" s="2003"/>
      <c r="BW162" s="2003"/>
      <c r="BX162" s="2003">
        <f t="shared" si="148"/>
        <v>5600</v>
      </c>
      <c r="BY162" s="2003">
        <f>BY142+Fusion!$M$25</f>
        <v>5600</v>
      </c>
      <c r="BZ162" s="2003">
        <f t="shared" si="149"/>
        <v>5600</v>
      </c>
      <c r="CA162" s="2003">
        <f t="shared" si="150"/>
        <v>5600</v>
      </c>
      <c r="CB162" s="2003"/>
      <c r="CC162" s="2003"/>
      <c r="CD162" s="2003"/>
      <c r="CE162" s="2003"/>
      <c r="CF162" s="2003"/>
      <c r="CG162" s="2003"/>
      <c r="CH162" s="2003"/>
      <c r="CI162" s="2003"/>
      <c r="CJ162" s="2003"/>
      <c r="CK162" s="2003"/>
      <c r="CL162" s="2003"/>
      <c r="CM162" s="2003"/>
      <c r="CN162" s="2003"/>
      <c r="CO162" s="2003"/>
      <c r="CP162" s="2003"/>
      <c r="CQ162" s="2003"/>
      <c r="CR162" s="2003"/>
      <c r="CS162" s="2003"/>
      <c r="CT162" s="2003"/>
      <c r="CU162" s="2003"/>
      <c r="CV162" s="2003"/>
      <c r="CW162" s="2003"/>
      <c r="CX162" s="2003"/>
      <c r="CY162" s="2003"/>
      <c r="CZ162" s="2003"/>
      <c r="DA162" s="2003"/>
      <c r="DB162" s="2003"/>
      <c r="DC162" s="2003"/>
      <c r="DD162" s="2003"/>
      <c r="DE162" s="2003"/>
      <c r="DF162" s="2003"/>
      <c r="DG162" s="2003"/>
      <c r="DH162" s="2003"/>
      <c r="DI162" s="2003"/>
      <c r="DJ162" s="2003"/>
      <c r="DK162" s="2003"/>
      <c r="DL162" s="2003"/>
      <c r="DM162" s="2003"/>
      <c r="DN162" s="2003"/>
      <c r="DO162" s="2004"/>
      <c r="DP162" s="2003"/>
      <c r="DQ162" s="2003"/>
      <c r="DR162" s="2005"/>
      <c r="DS162" s="2005"/>
      <c r="DT162" s="2005"/>
      <c r="DU162" s="2005"/>
      <c r="DV162" s="2005"/>
      <c r="DW162" s="2005"/>
      <c r="DX162" s="2005"/>
      <c r="DY162" s="2005"/>
      <c r="DZ162" s="2005"/>
      <c r="EA162" s="2005"/>
      <c r="FF162" s="1616"/>
    </row>
    <row r="163" spans="1:162" hidden="1" outlineLevel="2">
      <c r="A163" s="1624" t="s">
        <v>1314</v>
      </c>
      <c r="B163" s="1624" t="s">
        <v>2063</v>
      </c>
      <c r="C163" s="1624" t="s">
        <v>2090</v>
      </c>
      <c r="D163" s="1624" t="s">
        <v>2085</v>
      </c>
      <c r="E163" s="2003"/>
      <c r="F163" s="2003"/>
      <c r="G163" s="2003"/>
      <c r="H163" s="2003"/>
      <c r="I163" s="2003"/>
      <c r="J163" s="2003"/>
      <c r="K163" s="2003"/>
      <c r="L163" s="2003"/>
      <c r="M163" s="2003"/>
      <c r="N163" s="2003"/>
      <c r="O163" s="2003"/>
      <c r="P163" s="2003"/>
      <c r="Q163" s="2003"/>
      <c r="R163" s="2003"/>
      <c r="S163" s="2003"/>
      <c r="T163" s="2003"/>
      <c r="U163" s="2003"/>
      <c r="V163" s="2003"/>
      <c r="W163" s="2003"/>
      <c r="X163" s="2003"/>
      <c r="Y163" s="2003"/>
      <c r="Z163" s="2003"/>
      <c r="AA163" s="2003"/>
      <c r="AB163" s="2003"/>
      <c r="AC163" s="2003"/>
      <c r="AD163" s="2003"/>
      <c r="AE163" s="2003"/>
      <c r="AF163" s="2003"/>
      <c r="AG163" s="2003"/>
      <c r="AH163" s="2003"/>
      <c r="AI163" s="2003"/>
      <c r="AJ163" s="2003"/>
      <c r="AK163" s="2003"/>
      <c r="AL163" s="2003"/>
      <c r="AM163" s="2003"/>
      <c r="AN163" s="2003"/>
      <c r="AO163" s="2003"/>
      <c r="AP163" s="2003"/>
      <c r="AQ163" s="2003"/>
      <c r="AR163" s="2003"/>
      <c r="AS163" s="2003"/>
      <c r="AT163" s="2003"/>
      <c r="AU163" s="2003"/>
      <c r="AV163" s="2003"/>
      <c r="AW163" s="2003"/>
      <c r="AX163" s="2003"/>
      <c r="AY163" s="2003"/>
      <c r="AZ163" s="2003"/>
      <c r="BA163" s="2003"/>
      <c r="BB163" s="2003"/>
      <c r="BC163" s="2003"/>
      <c r="BD163" s="2003"/>
      <c r="BE163" s="2003"/>
      <c r="BF163" s="2003"/>
      <c r="BG163" s="2003"/>
      <c r="BH163" s="2003"/>
      <c r="BI163" s="2003"/>
      <c r="BJ163" s="2003"/>
      <c r="BK163" s="2003"/>
      <c r="BL163" s="2003"/>
      <c r="BM163" s="2003"/>
      <c r="BN163" s="2003"/>
      <c r="BO163" s="2003"/>
      <c r="BP163" s="2003" t="s">
        <v>5</v>
      </c>
      <c r="BQ163" s="2003"/>
      <c r="BR163" s="2003"/>
      <c r="BS163" s="2003"/>
      <c r="BT163" s="2003"/>
      <c r="BU163" s="2003"/>
      <c r="BV163" s="2003"/>
      <c r="BW163" s="2003"/>
      <c r="BX163" s="2003">
        <f>BX148</f>
        <v>0</v>
      </c>
      <c r="BY163" s="2003">
        <f>BY143+Fusion!$M$25</f>
        <v>5600</v>
      </c>
      <c r="BZ163" s="2003">
        <f t="shared" si="149"/>
        <v>5600</v>
      </c>
      <c r="CA163" s="2003">
        <f t="shared" si="150"/>
        <v>5600</v>
      </c>
      <c r="CB163" s="2003"/>
      <c r="CC163" s="2003"/>
      <c r="CD163" s="2003"/>
      <c r="CE163" s="2003"/>
      <c r="CF163" s="2003"/>
      <c r="CG163" s="2003"/>
      <c r="CH163" s="2003"/>
      <c r="CI163" s="2003"/>
      <c r="CJ163" s="2003"/>
      <c r="CK163" s="2003"/>
      <c r="CL163" s="2003"/>
      <c r="CM163" s="2003"/>
      <c r="CN163" s="2003"/>
      <c r="CO163" s="2003"/>
      <c r="CP163" s="2003"/>
      <c r="CQ163" s="2003"/>
      <c r="CR163" s="2003"/>
      <c r="CS163" s="2003"/>
      <c r="CT163" s="2003"/>
      <c r="CU163" s="2003"/>
      <c r="CV163" s="2003"/>
      <c r="CW163" s="2003"/>
      <c r="CX163" s="2003"/>
      <c r="CY163" s="2003"/>
      <c r="CZ163" s="2003"/>
      <c r="DA163" s="2003"/>
      <c r="DB163" s="2003"/>
      <c r="DC163" s="2003"/>
      <c r="DD163" s="2003"/>
      <c r="DE163" s="2003"/>
      <c r="DF163" s="2003"/>
      <c r="DG163" s="2003"/>
      <c r="DH163" s="2003"/>
      <c r="DI163" s="2003"/>
      <c r="DJ163" s="2003"/>
      <c r="DK163" s="2003"/>
      <c r="DL163" s="2003"/>
      <c r="DM163" s="2003"/>
      <c r="DN163" s="2003"/>
      <c r="DO163" s="2004"/>
      <c r="DP163" s="2003"/>
      <c r="DQ163" s="2003"/>
      <c r="DR163" s="2005"/>
      <c r="DS163" s="2005"/>
      <c r="DT163" s="2005"/>
      <c r="DU163" s="2005"/>
      <c r="DV163" s="2005"/>
      <c r="DW163" s="2005"/>
      <c r="DX163" s="2005"/>
      <c r="DY163" s="2005"/>
      <c r="DZ163" s="2005"/>
      <c r="EA163" s="2005"/>
      <c r="FF163" s="1616"/>
    </row>
    <row r="164" spans="1:162" hidden="1" outlineLevel="2">
      <c r="A164" s="1624" t="s">
        <v>1314</v>
      </c>
      <c r="B164" s="1624" t="s">
        <v>2063</v>
      </c>
      <c r="C164" s="1624" t="s">
        <v>2090</v>
      </c>
      <c r="D164" s="1624" t="s">
        <v>722</v>
      </c>
      <c r="E164" s="2003"/>
      <c r="F164" s="2003"/>
      <c r="G164" s="2003"/>
      <c r="H164" s="2003"/>
      <c r="I164" s="2003"/>
      <c r="J164" s="2003"/>
      <c r="K164" s="2003"/>
      <c r="L164" s="2003"/>
      <c r="M164" s="2003"/>
      <c r="N164" s="2003"/>
      <c r="O164" s="2003"/>
      <c r="P164" s="2003"/>
      <c r="Q164" s="2003"/>
      <c r="R164" s="2003"/>
      <c r="S164" s="2003"/>
      <c r="T164" s="2003"/>
      <c r="U164" s="2003"/>
      <c r="V164" s="2003"/>
      <c r="W164" s="2003"/>
      <c r="X164" s="2003"/>
      <c r="Y164" s="2003"/>
      <c r="Z164" s="2003"/>
      <c r="AA164" s="2003"/>
      <c r="AB164" s="2003"/>
      <c r="AC164" s="2003"/>
      <c r="AD164" s="2003"/>
      <c r="AE164" s="2003"/>
      <c r="AF164" s="2003"/>
      <c r="AG164" s="2003"/>
      <c r="AH164" s="2003"/>
      <c r="AI164" s="2003"/>
      <c r="AJ164" s="2003"/>
      <c r="AK164" s="2003"/>
      <c r="AL164" s="2003"/>
      <c r="AM164" s="2003"/>
      <c r="AN164" s="2003"/>
      <c r="AO164" s="2003"/>
      <c r="AP164" s="2003"/>
      <c r="AQ164" s="2003"/>
      <c r="AR164" s="2003"/>
      <c r="AS164" s="2003"/>
      <c r="AT164" s="2003"/>
      <c r="AU164" s="2003"/>
      <c r="AV164" s="2003"/>
      <c r="AW164" s="2003"/>
      <c r="AX164" s="2003"/>
      <c r="AY164" s="2003"/>
      <c r="AZ164" s="2003"/>
      <c r="BA164" s="2003"/>
      <c r="BB164" s="2003"/>
      <c r="BC164" s="2003"/>
      <c r="BD164" s="2003"/>
      <c r="BE164" s="2003"/>
      <c r="BF164" s="2003"/>
      <c r="BG164" s="2003"/>
      <c r="BH164" s="2003"/>
      <c r="BI164" s="2003"/>
      <c r="BJ164" s="2003"/>
      <c r="BK164" s="2003"/>
      <c r="BL164" s="2003"/>
      <c r="BM164" s="2003"/>
      <c r="BN164" s="2003"/>
      <c r="BO164" s="2003"/>
      <c r="BP164" s="2003" t="s">
        <v>5</v>
      </c>
      <c r="BQ164" s="2003"/>
      <c r="BR164" s="2003"/>
      <c r="BS164" s="2003"/>
      <c r="BT164" s="2003"/>
      <c r="BU164" s="2003"/>
      <c r="BV164" s="2003"/>
      <c r="BW164" s="2003"/>
      <c r="BX164" s="2003"/>
      <c r="BY164" s="2003">
        <f>BY144+Fusion!$M$25</f>
        <v>5600</v>
      </c>
      <c r="BZ164" s="2003">
        <f t="shared" si="149"/>
        <v>5600</v>
      </c>
      <c r="CA164" s="2003">
        <f t="shared" si="150"/>
        <v>5600</v>
      </c>
      <c r="CB164" s="2003"/>
      <c r="CC164" s="2003"/>
      <c r="CD164" s="2003"/>
      <c r="CE164" s="2003"/>
      <c r="CF164" s="2003"/>
      <c r="CG164" s="2003"/>
      <c r="CH164" s="2003"/>
      <c r="CI164" s="2003"/>
      <c r="CJ164" s="2003"/>
      <c r="CK164" s="2003"/>
      <c r="CL164" s="2003"/>
      <c r="CM164" s="2003"/>
      <c r="CN164" s="2003"/>
      <c r="CO164" s="2003"/>
      <c r="CP164" s="2003"/>
      <c r="CQ164" s="2003"/>
      <c r="CR164" s="2003"/>
      <c r="CS164" s="2003"/>
      <c r="CT164" s="2003"/>
      <c r="CU164" s="2003"/>
      <c r="CV164" s="2003"/>
      <c r="CW164" s="2003"/>
      <c r="CX164" s="2003"/>
      <c r="CY164" s="2003"/>
      <c r="CZ164" s="2003"/>
      <c r="DA164" s="2003"/>
      <c r="DB164" s="2003"/>
      <c r="DC164" s="2003"/>
      <c r="DD164" s="2003"/>
      <c r="DE164" s="2003"/>
      <c r="DF164" s="2003"/>
      <c r="DG164" s="2003"/>
      <c r="DH164" s="2003"/>
      <c r="DI164" s="2003"/>
      <c r="DJ164" s="2003"/>
      <c r="DK164" s="2003"/>
      <c r="DL164" s="2003"/>
      <c r="DM164" s="2003"/>
      <c r="DN164" s="2003"/>
      <c r="DO164" s="2004"/>
      <c r="DP164" s="2003"/>
      <c r="DQ164" s="2003"/>
      <c r="DR164" s="2005"/>
      <c r="DS164" s="2005"/>
      <c r="DT164" s="2005"/>
      <c r="DU164" s="2005"/>
      <c r="DV164" s="2005"/>
      <c r="DW164" s="2005"/>
      <c r="DX164" s="2005"/>
      <c r="DY164" s="2005"/>
      <c r="DZ164" s="2005"/>
      <c r="EA164" s="2005"/>
      <c r="FF164" s="1616"/>
    </row>
    <row r="165" spans="1:162" hidden="1" outlineLevel="2">
      <c r="A165" s="1624" t="s">
        <v>1314</v>
      </c>
      <c r="B165" s="1624" t="s">
        <v>2063</v>
      </c>
      <c r="C165" s="1624" t="s">
        <v>2090</v>
      </c>
      <c r="D165" s="1624" t="s">
        <v>2086</v>
      </c>
      <c r="E165" s="2003"/>
      <c r="F165" s="2003"/>
      <c r="G165" s="2003"/>
      <c r="H165" s="2003"/>
      <c r="I165" s="2003"/>
      <c r="J165" s="2003"/>
      <c r="K165" s="2003"/>
      <c r="L165" s="2003"/>
      <c r="M165" s="2003"/>
      <c r="N165" s="2003"/>
      <c r="O165" s="2003"/>
      <c r="P165" s="2003"/>
      <c r="Q165" s="2003"/>
      <c r="R165" s="2003"/>
      <c r="S165" s="2003"/>
      <c r="T165" s="2003"/>
      <c r="U165" s="2003"/>
      <c r="V165" s="2003"/>
      <c r="W165" s="2003"/>
      <c r="X165" s="2003"/>
      <c r="Y165" s="2003"/>
      <c r="Z165" s="2003"/>
      <c r="AA165" s="2003"/>
      <c r="AB165" s="2003"/>
      <c r="AC165" s="2003"/>
      <c r="AD165" s="2003"/>
      <c r="AE165" s="2003"/>
      <c r="AF165" s="2003"/>
      <c r="AG165" s="2003"/>
      <c r="AH165" s="2003"/>
      <c r="AI165" s="2003"/>
      <c r="AJ165" s="2003"/>
      <c r="AK165" s="2003"/>
      <c r="AL165" s="2003"/>
      <c r="AM165" s="2003"/>
      <c r="AN165" s="2003"/>
      <c r="AO165" s="2003"/>
      <c r="AP165" s="2003"/>
      <c r="AQ165" s="2003"/>
      <c r="AR165" s="2003"/>
      <c r="AS165" s="2003"/>
      <c r="AT165" s="2003"/>
      <c r="AU165" s="2003"/>
      <c r="AV165" s="2003"/>
      <c r="AW165" s="2003"/>
      <c r="AX165" s="2003"/>
      <c r="AY165" s="2003"/>
      <c r="AZ165" s="2003"/>
      <c r="BA165" s="2003"/>
      <c r="BB165" s="2003"/>
      <c r="BC165" s="2003"/>
      <c r="BD165" s="2003"/>
      <c r="BE165" s="2003"/>
      <c r="BF165" s="2003"/>
      <c r="BG165" s="2003"/>
      <c r="BH165" s="2003"/>
      <c r="BI165" s="2003"/>
      <c r="BJ165" s="2003"/>
      <c r="BK165" s="2003"/>
      <c r="BL165" s="2003"/>
      <c r="BM165" s="2003"/>
      <c r="BN165" s="2003"/>
      <c r="BO165" s="2003"/>
      <c r="BP165" s="2003" t="s">
        <v>5</v>
      </c>
      <c r="BQ165" s="2003"/>
      <c r="BR165" s="2003"/>
      <c r="BS165" s="2003"/>
      <c r="BT165" s="2003"/>
      <c r="BU165" s="2003"/>
      <c r="BV165" s="2003"/>
      <c r="BW165" s="2003"/>
      <c r="BX165" s="2003">
        <f>BX148</f>
        <v>0</v>
      </c>
      <c r="BY165" s="2003">
        <f>BY145+Fusion!$M$25</f>
        <v>5600</v>
      </c>
      <c r="BZ165" s="2003">
        <f t="shared" si="149"/>
        <v>5600</v>
      </c>
      <c r="CA165" s="2003">
        <f t="shared" si="150"/>
        <v>5600</v>
      </c>
      <c r="CB165" s="2003"/>
      <c r="CC165" s="2003"/>
      <c r="CD165" s="2003"/>
      <c r="CE165" s="2003"/>
      <c r="CF165" s="2003"/>
      <c r="CG165" s="2003"/>
      <c r="CH165" s="2003"/>
      <c r="CI165" s="2003"/>
      <c r="CJ165" s="2003"/>
      <c r="CK165" s="2003"/>
      <c r="CL165" s="2003"/>
      <c r="CM165" s="2003"/>
      <c r="CN165" s="2003"/>
      <c r="CO165" s="2003"/>
      <c r="CP165" s="2003"/>
      <c r="CQ165" s="2003"/>
      <c r="CR165" s="2003"/>
      <c r="CS165" s="2003"/>
      <c r="CT165" s="2003"/>
      <c r="CU165" s="2003"/>
      <c r="CV165" s="2003"/>
      <c r="CW165" s="2003"/>
      <c r="CX165" s="2003"/>
      <c r="CY165" s="2003"/>
      <c r="CZ165" s="2003"/>
      <c r="DA165" s="2003"/>
      <c r="DB165" s="2003"/>
      <c r="DC165" s="2003"/>
      <c r="DD165" s="2003"/>
      <c r="DE165" s="2003"/>
      <c r="DF165" s="2003"/>
      <c r="DG165" s="2003"/>
      <c r="DH165" s="2003"/>
      <c r="DI165" s="2003"/>
      <c r="DJ165" s="2003"/>
      <c r="DK165" s="2003"/>
      <c r="DL165" s="2003"/>
      <c r="DM165" s="2003"/>
      <c r="DN165" s="2003"/>
      <c r="DO165" s="2004"/>
      <c r="DP165" s="2003"/>
      <c r="DQ165" s="2003"/>
      <c r="DR165" s="2005"/>
      <c r="DS165" s="2005"/>
      <c r="DT165" s="2005"/>
      <c r="DU165" s="2005"/>
      <c r="DV165" s="2005"/>
      <c r="DW165" s="2005"/>
      <c r="DX165" s="2005"/>
      <c r="DY165" s="2005"/>
      <c r="DZ165" s="2005"/>
      <c r="EA165" s="2005"/>
      <c r="FF165" s="1616"/>
    </row>
    <row r="166" spans="1:162" hidden="1" outlineLevel="2">
      <c r="A166" s="1624" t="s">
        <v>1314</v>
      </c>
      <c r="B166" s="1624" t="s">
        <v>2063</v>
      </c>
      <c r="C166" s="1624" t="s">
        <v>2090</v>
      </c>
      <c r="D166" s="1624" t="s">
        <v>2087</v>
      </c>
      <c r="E166" s="2003"/>
      <c r="F166" s="2003"/>
      <c r="G166" s="2003"/>
      <c r="H166" s="2003"/>
      <c r="I166" s="2003"/>
      <c r="J166" s="2003"/>
      <c r="K166" s="2003"/>
      <c r="L166" s="2003"/>
      <c r="M166" s="2003"/>
      <c r="N166" s="2003"/>
      <c r="O166" s="2003"/>
      <c r="P166" s="2003"/>
      <c r="Q166" s="2003"/>
      <c r="R166" s="2003"/>
      <c r="S166" s="2003"/>
      <c r="T166" s="2003"/>
      <c r="U166" s="2003"/>
      <c r="V166" s="2003"/>
      <c r="W166" s="2003"/>
      <c r="X166" s="2003"/>
      <c r="Y166" s="2003"/>
      <c r="Z166" s="2003"/>
      <c r="AA166" s="2003"/>
      <c r="AB166" s="2003"/>
      <c r="AC166" s="2003"/>
      <c r="AD166" s="2003"/>
      <c r="AE166" s="2003"/>
      <c r="AF166" s="2003"/>
      <c r="AG166" s="2003"/>
      <c r="AH166" s="2003"/>
      <c r="AI166" s="2003"/>
      <c r="AJ166" s="2003"/>
      <c r="AK166" s="2003"/>
      <c r="AL166" s="2003"/>
      <c r="AM166" s="2003"/>
      <c r="AN166" s="2003"/>
      <c r="AO166" s="2003"/>
      <c r="AP166" s="2003"/>
      <c r="AQ166" s="2003"/>
      <c r="AR166" s="2003"/>
      <c r="AS166" s="2003"/>
      <c r="AT166" s="2003"/>
      <c r="AU166" s="2003"/>
      <c r="AV166" s="2003"/>
      <c r="AW166" s="2003"/>
      <c r="AX166" s="2003"/>
      <c r="AY166" s="2003"/>
      <c r="AZ166" s="2003"/>
      <c r="BA166" s="2003"/>
      <c r="BB166" s="2003"/>
      <c r="BC166" s="2003"/>
      <c r="BD166" s="2003"/>
      <c r="BE166" s="2003"/>
      <c r="BF166" s="2003"/>
      <c r="BG166" s="2003"/>
      <c r="BH166" s="2003"/>
      <c r="BI166" s="2003"/>
      <c r="BJ166" s="2003"/>
      <c r="BK166" s="2003"/>
      <c r="BL166" s="2003"/>
      <c r="BM166" s="2003"/>
      <c r="BN166" s="2003"/>
      <c r="BO166" s="2003"/>
      <c r="BP166" s="2003"/>
      <c r="BQ166" s="2003"/>
      <c r="BR166" s="2003"/>
      <c r="BS166" s="2003"/>
      <c r="BT166" s="2003"/>
      <c r="BU166" s="2003"/>
      <c r="BV166" s="2003"/>
      <c r="BW166" s="2003"/>
      <c r="BX166" s="2003"/>
      <c r="BY166" s="2003">
        <f>BY146+Fusion!$M$25</f>
        <v>5600</v>
      </c>
      <c r="BZ166" s="2003">
        <f t="shared" si="149"/>
        <v>5600</v>
      </c>
      <c r="CA166" s="2003">
        <f t="shared" si="150"/>
        <v>5600</v>
      </c>
      <c r="CB166" s="2003"/>
      <c r="CC166" s="2003"/>
      <c r="CD166" s="2003"/>
      <c r="CE166" s="2003"/>
      <c r="CF166" s="2003"/>
      <c r="CG166" s="2003"/>
      <c r="CH166" s="2003"/>
      <c r="CI166" s="2003"/>
      <c r="CJ166" s="2003"/>
      <c r="CK166" s="2003"/>
      <c r="CL166" s="2003"/>
      <c r="CM166" s="2003"/>
      <c r="CN166" s="2003"/>
      <c r="CO166" s="2003"/>
      <c r="CP166" s="2003"/>
      <c r="CQ166" s="2003"/>
      <c r="CR166" s="2003"/>
      <c r="CS166" s="2003"/>
      <c r="CT166" s="2003"/>
      <c r="CU166" s="2003"/>
      <c r="CV166" s="2003"/>
      <c r="CW166" s="2003"/>
      <c r="CX166" s="2003"/>
      <c r="CY166" s="2003"/>
      <c r="CZ166" s="2003"/>
      <c r="DA166" s="2003"/>
      <c r="DB166" s="2003"/>
      <c r="DC166" s="2003"/>
      <c r="DD166" s="2003"/>
      <c r="DE166" s="2003"/>
      <c r="DF166" s="2003"/>
      <c r="DG166" s="2003"/>
      <c r="DH166" s="2003"/>
      <c r="DI166" s="2003"/>
      <c r="DJ166" s="2003"/>
      <c r="DK166" s="2003"/>
      <c r="DL166" s="2003"/>
      <c r="DM166" s="2003"/>
      <c r="DN166" s="2003"/>
      <c r="DO166" s="2004"/>
      <c r="DP166" s="2003"/>
      <c r="DQ166" s="2003"/>
      <c r="DR166" s="2005"/>
      <c r="DS166" s="2005"/>
      <c r="DT166" s="2005"/>
      <c r="DU166" s="2005"/>
      <c r="DV166" s="2005"/>
      <c r="DW166" s="2005"/>
      <c r="DX166" s="2005"/>
      <c r="DY166" s="2005"/>
      <c r="DZ166" s="2005"/>
      <c r="EA166" s="2005"/>
      <c r="FF166" s="1616"/>
    </row>
    <row r="167" spans="1:162" hidden="1" outlineLevel="2">
      <c r="A167" s="1624" t="s">
        <v>1314</v>
      </c>
      <c r="B167" s="1624" t="s">
        <v>2064</v>
      </c>
      <c r="C167" s="1624" t="s">
        <v>2090</v>
      </c>
      <c r="D167" s="1624" t="s">
        <v>2085</v>
      </c>
      <c r="E167" s="2003"/>
      <c r="F167" s="2003"/>
      <c r="G167" s="2003"/>
      <c r="H167" s="2003"/>
      <c r="I167" s="2003"/>
      <c r="J167" s="2003"/>
      <c r="K167" s="2003"/>
      <c r="L167" s="2003"/>
      <c r="M167" s="2003"/>
      <c r="N167" s="2003"/>
      <c r="O167" s="2003"/>
      <c r="P167" s="2003"/>
      <c r="Q167" s="2003"/>
      <c r="R167" s="2003"/>
      <c r="S167" s="2003"/>
      <c r="T167" s="2003"/>
      <c r="U167" s="2003"/>
      <c r="V167" s="2003"/>
      <c r="W167" s="2003"/>
      <c r="X167" s="2003"/>
      <c r="Y167" s="2003"/>
      <c r="Z167" s="2003"/>
      <c r="AA167" s="2003"/>
      <c r="AB167" s="2003"/>
      <c r="AC167" s="2003"/>
      <c r="AD167" s="2003"/>
      <c r="AE167" s="2003"/>
      <c r="AF167" s="2003"/>
      <c r="AG167" s="2003"/>
      <c r="AH167" s="2003"/>
      <c r="AI167" s="2003"/>
      <c r="AJ167" s="2003"/>
      <c r="AK167" s="2003"/>
      <c r="AL167" s="2003"/>
      <c r="AM167" s="2003"/>
      <c r="AN167" s="2003"/>
      <c r="AO167" s="2003"/>
      <c r="AP167" s="2003"/>
      <c r="AQ167" s="2003"/>
      <c r="AR167" s="2003"/>
      <c r="AS167" s="2003"/>
      <c r="AT167" s="2003"/>
      <c r="AU167" s="2003"/>
      <c r="AV167" s="2003"/>
      <c r="AW167" s="2003"/>
      <c r="AX167" s="2003"/>
      <c r="AY167" s="2003"/>
      <c r="AZ167" s="2003"/>
      <c r="BA167" s="2003"/>
      <c r="BB167" s="2003"/>
      <c r="BC167" s="2003"/>
      <c r="BD167" s="2003"/>
      <c r="BE167" s="2003"/>
      <c r="BF167" s="2003"/>
      <c r="BG167" s="2003"/>
      <c r="BH167" s="2003"/>
      <c r="BI167" s="2003"/>
      <c r="BJ167" s="2003"/>
      <c r="BK167" s="2003"/>
      <c r="BL167" s="2003"/>
      <c r="BM167" s="2003"/>
      <c r="BN167" s="2003"/>
      <c r="BO167" s="2003"/>
      <c r="BP167" s="2003"/>
      <c r="BQ167" s="2003"/>
      <c r="BR167" s="2003">
        <f>BR147+Fusion!$J$25</f>
        <v>2200</v>
      </c>
      <c r="BS167" s="2003"/>
      <c r="BT167" s="2003"/>
      <c r="BU167" s="2003"/>
      <c r="BV167" s="2003"/>
      <c r="BW167" s="2003"/>
      <c r="BX167" s="2003"/>
      <c r="BY167" s="2003"/>
      <c r="BZ167" s="2003"/>
      <c r="CA167" s="2003"/>
      <c r="CB167" s="2003"/>
      <c r="CC167" s="2003"/>
      <c r="CD167" s="2003"/>
      <c r="CE167" s="2003"/>
      <c r="CF167" s="2003"/>
      <c r="CG167" s="2003"/>
      <c r="CH167" s="2003"/>
      <c r="CI167" s="2003"/>
      <c r="CJ167" s="2003"/>
      <c r="CK167" s="2003"/>
      <c r="CL167" s="2003"/>
      <c r="CM167" s="2003"/>
      <c r="CN167" s="2003"/>
      <c r="CO167" s="2003"/>
      <c r="CP167" s="2003"/>
      <c r="CQ167" s="2003"/>
      <c r="CR167" s="2003"/>
      <c r="CS167" s="2003"/>
      <c r="CT167" s="2003"/>
      <c r="CU167" s="2003"/>
      <c r="CV167" s="2003"/>
      <c r="CW167" s="2003"/>
      <c r="CX167" s="2003"/>
      <c r="CY167" s="2003"/>
      <c r="CZ167" s="2003"/>
      <c r="DA167" s="2003"/>
      <c r="DB167" s="2003"/>
      <c r="DC167" s="2003"/>
      <c r="DD167" s="2003"/>
      <c r="DE167" s="2003"/>
      <c r="DF167" s="2003"/>
      <c r="DG167" s="2003"/>
      <c r="DH167" s="2003"/>
      <c r="DI167" s="2003"/>
      <c r="DJ167" s="2003"/>
      <c r="DK167" s="2003"/>
      <c r="DL167" s="2003"/>
      <c r="DM167" s="2003"/>
      <c r="DN167" s="2003"/>
      <c r="DO167" s="2004"/>
      <c r="DP167" s="2003"/>
      <c r="DQ167" s="2003"/>
      <c r="DR167" s="2005"/>
      <c r="DS167" s="2005"/>
      <c r="DT167" s="2005"/>
      <c r="DU167" s="2005"/>
      <c r="DV167" s="2005"/>
      <c r="DW167" s="2005"/>
      <c r="DX167" s="2005"/>
      <c r="DY167" s="2005"/>
      <c r="DZ167" s="2005"/>
      <c r="EA167" s="2005"/>
      <c r="FF167" s="1616"/>
    </row>
    <row r="168" spans="1:162" hidden="1" outlineLevel="2">
      <c r="A168" s="1624" t="s">
        <v>1314</v>
      </c>
      <c r="B168" s="1624" t="s">
        <v>2064</v>
      </c>
      <c r="C168" s="1624" t="s">
        <v>2090</v>
      </c>
      <c r="D168" s="1624" t="s">
        <v>722</v>
      </c>
      <c r="E168" s="2003"/>
      <c r="F168" s="2003"/>
      <c r="G168" s="2003"/>
      <c r="H168" s="2003"/>
      <c r="I168" s="2003"/>
      <c r="J168" s="2003"/>
      <c r="K168" s="2003"/>
      <c r="L168" s="2003"/>
      <c r="M168" s="2003"/>
      <c r="N168" s="2003"/>
      <c r="O168" s="2003"/>
      <c r="P168" s="2003"/>
      <c r="Q168" s="2003"/>
      <c r="R168" s="2003"/>
      <c r="S168" s="2003"/>
      <c r="T168" s="2003"/>
      <c r="U168" s="2003"/>
      <c r="V168" s="2003"/>
      <c r="W168" s="2003"/>
      <c r="X168" s="2003"/>
      <c r="Y168" s="2003"/>
      <c r="Z168" s="2003"/>
      <c r="AA168" s="2003"/>
      <c r="AB168" s="2003"/>
      <c r="AC168" s="2003"/>
      <c r="AD168" s="2003"/>
      <c r="AE168" s="2003"/>
      <c r="AF168" s="2003"/>
      <c r="AG168" s="2003"/>
      <c r="AH168" s="2003"/>
      <c r="AI168" s="2003"/>
      <c r="AJ168" s="2003"/>
      <c r="AK168" s="2003"/>
      <c r="AL168" s="2003"/>
      <c r="AM168" s="2003"/>
      <c r="AN168" s="2003"/>
      <c r="AO168" s="2003"/>
      <c r="AP168" s="2003"/>
      <c r="AQ168" s="2003"/>
      <c r="AR168" s="2003"/>
      <c r="AS168" s="2003"/>
      <c r="AT168" s="2003"/>
      <c r="AU168" s="2003"/>
      <c r="AV168" s="2003"/>
      <c r="AW168" s="2003"/>
      <c r="AX168" s="2003"/>
      <c r="AY168" s="2003"/>
      <c r="AZ168" s="2003"/>
      <c r="BA168" s="2003"/>
      <c r="BB168" s="2003"/>
      <c r="BC168" s="2003"/>
      <c r="BD168" s="2003"/>
      <c r="BE168" s="2003"/>
      <c r="BF168" s="2003"/>
      <c r="BG168" s="2003"/>
      <c r="BH168" s="2003"/>
      <c r="BI168" s="2003"/>
      <c r="BJ168" s="2003"/>
      <c r="BK168" s="2003"/>
      <c r="BL168" s="2003"/>
      <c r="BM168" s="2003"/>
      <c r="BN168" s="2003"/>
      <c r="BO168" s="2003"/>
      <c r="BP168" s="2003"/>
      <c r="BQ168" s="2003"/>
      <c r="BR168" s="2003">
        <f>BR148+Fusion!$J$25</f>
        <v>2200</v>
      </c>
      <c r="BS168" s="2003"/>
      <c r="BT168" s="2003"/>
      <c r="BU168" s="2003"/>
      <c r="BV168" s="2003"/>
      <c r="BW168" s="2003"/>
      <c r="BX168" s="2003"/>
      <c r="BY168" s="2003"/>
      <c r="BZ168" s="2003"/>
      <c r="CA168" s="2003"/>
      <c r="CB168" s="2003"/>
      <c r="CC168" s="2003"/>
      <c r="CD168" s="2003"/>
      <c r="CE168" s="2003"/>
      <c r="CF168" s="2003"/>
      <c r="CG168" s="2003"/>
      <c r="CH168" s="2003"/>
      <c r="CI168" s="2003"/>
      <c r="CJ168" s="2003"/>
      <c r="CK168" s="2003"/>
      <c r="CL168" s="2003"/>
      <c r="CM168" s="2003"/>
      <c r="CN168" s="2003"/>
      <c r="CO168" s="2003"/>
      <c r="CP168" s="2003"/>
      <c r="CQ168" s="2003"/>
      <c r="CR168" s="2003"/>
      <c r="CS168" s="2003"/>
      <c r="CT168" s="2003"/>
      <c r="CU168" s="2003"/>
      <c r="CV168" s="2003"/>
      <c r="CW168" s="2003"/>
      <c r="CX168" s="2003"/>
      <c r="CY168" s="2003"/>
      <c r="CZ168" s="2003"/>
      <c r="DA168" s="2003"/>
      <c r="DB168" s="2003"/>
      <c r="DC168" s="2003"/>
      <c r="DD168" s="2003"/>
      <c r="DE168" s="2003"/>
      <c r="DF168" s="2003"/>
      <c r="DG168" s="2003"/>
      <c r="DH168" s="2003"/>
      <c r="DI168" s="2003"/>
      <c r="DJ168" s="2003"/>
      <c r="DK168" s="2003"/>
      <c r="DL168" s="2003"/>
      <c r="DM168" s="2003"/>
      <c r="DN168" s="2003"/>
      <c r="DO168" s="2004"/>
      <c r="DP168" s="2003"/>
      <c r="DQ168" s="2003"/>
      <c r="DR168" s="2005"/>
      <c r="DS168" s="2005"/>
      <c r="DT168" s="2005"/>
      <c r="DU168" s="2005"/>
      <c r="DV168" s="2005"/>
      <c r="DW168" s="2005"/>
      <c r="DX168" s="2005"/>
      <c r="DY168" s="2005"/>
      <c r="DZ168" s="2005"/>
      <c r="EA168" s="2005"/>
      <c r="FF168" s="1616"/>
    </row>
    <row r="169" spans="1:162" hidden="1" outlineLevel="2">
      <c r="A169" s="1624" t="s">
        <v>1314</v>
      </c>
      <c r="B169" s="1624" t="s">
        <v>2064</v>
      </c>
      <c r="C169" s="1624" t="s">
        <v>2090</v>
      </c>
      <c r="D169" s="1624" t="s">
        <v>2086</v>
      </c>
      <c r="E169" s="2003"/>
      <c r="F169" s="2003"/>
      <c r="G169" s="2003"/>
      <c r="H169" s="2003"/>
      <c r="I169" s="2003"/>
      <c r="J169" s="2003"/>
      <c r="K169" s="2003"/>
      <c r="L169" s="2003"/>
      <c r="M169" s="2003"/>
      <c r="N169" s="2003"/>
      <c r="O169" s="2003"/>
      <c r="P169" s="2003"/>
      <c r="Q169" s="2003"/>
      <c r="R169" s="2003"/>
      <c r="S169" s="2003"/>
      <c r="T169" s="2003"/>
      <c r="U169" s="2003"/>
      <c r="V169" s="2003"/>
      <c r="W169" s="2003"/>
      <c r="X169" s="2003"/>
      <c r="Y169" s="2003"/>
      <c r="Z169" s="2003"/>
      <c r="AA169" s="2003"/>
      <c r="AB169" s="2003"/>
      <c r="AC169" s="2003"/>
      <c r="AD169" s="2003"/>
      <c r="AE169" s="2003"/>
      <c r="AF169" s="2003"/>
      <c r="AG169" s="2003"/>
      <c r="AH169" s="2003"/>
      <c r="AI169" s="2003"/>
      <c r="AJ169" s="2003"/>
      <c r="AK169" s="2003"/>
      <c r="AL169" s="2003"/>
      <c r="AM169" s="2003"/>
      <c r="AN169" s="2003"/>
      <c r="AO169" s="2003"/>
      <c r="AP169" s="2003"/>
      <c r="AQ169" s="2003"/>
      <c r="AR169" s="2003"/>
      <c r="AS169" s="2003"/>
      <c r="AT169" s="2003"/>
      <c r="AU169" s="2003"/>
      <c r="AV169" s="2003"/>
      <c r="AW169" s="2003"/>
      <c r="AX169" s="2003"/>
      <c r="AY169" s="2003"/>
      <c r="AZ169" s="2003"/>
      <c r="BA169" s="2003"/>
      <c r="BB169" s="2003"/>
      <c r="BC169" s="2003"/>
      <c r="BD169" s="2003"/>
      <c r="BE169" s="2003"/>
      <c r="BF169" s="2003"/>
      <c r="BG169" s="2003"/>
      <c r="BH169" s="2003"/>
      <c r="BI169" s="2003"/>
      <c r="BJ169" s="2003"/>
      <c r="BK169" s="2003"/>
      <c r="BL169" s="2003"/>
      <c r="BM169" s="2003"/>
      <c r="BN169" s="2003"/>
      <c r="BO169" s="2003"/>
      <c r="BP169" s="2003"/>
      <c r="BQ169" s="2003"/>
      <c r="BR169" s="2003">
        <f>BR149+Fusion!$J$25</f>
        <v>2200</v>
      </c>
      <c r="BS169" s="2003"/>
      <c r="BT169" s="2003"/>
      <c r="BU169" s="2003"/>
      <c r="BV169" s="2003"/>
      <c r="BW169" s="2003"/>
      <c r="BX169" s="2003"/>
      <c r="BY169" s="2003"/>
      <c r="BZ169" s="2003"/>
      <c r="CA169" s="2003"/>
      <c r="CB169" s="2003"/>
      <c r="CC169" s="2003"/>
      <c r="CD169" s="2003"/>
      <c r="CE169" s="2003"/>
      <c r="CF169" s="2003"/>
      <c r="CG169" s="2003"/>
      <c r="CH169" s="2003"/>
      <c r="CI169" s="2003"/>
      <c r="CJ169" s="2003"/>
      <c r="CK169" s="2003"/>
      <c r="CL169" s="2003"/>
      <c r="CM169" s="2003"/>
      <c r="CN169" s="2003"/>
      <c r="CO169" s="2003"/>
      <c r="CP169" s="2003"/>
      <c r="CQ169" s="2003"/>
      <c r="CR169" s="2003"/>
      <c r="CS169" s="2003"/>
      <c r="CT169" s="2003"/>
      <c r="CU169" s="2003"/>
      <c r="CV169" s="2003"/>
      <c r="CW169" s="2003"/>
      <c r="CX169" s="2003"/>
      <c r="CY169" s="2003"/>
      <c r="CZ169" s="2003"/>
      <c r="DA169" s="2003"/>
      <c r="DB169" s="2003"/>
      <c r="DC169" s="2003"/>
      <c r="DD169" s="2003"/>
      <c r="DE169" s="2003"/>
      <c r="DF169" s="2003"/>
      <c r="DG169" s="2003"/>
      <c r="DH169" s="2003"/>
      <c r="DI169" s="2003"/>
      <c r="DJ169" s="2003"/>
      <c r="DK169" s="2003"/>
      <c r="DL169" s="2003"/>
      <c r="DM169" s="2003"/>
      <c r="DN169" s="2003"/>
      <c r="DO169" s="2004"/>
      <c r="DP169" s="2003"/>
      <c r="DQ169" s="2003"/>
      <c r="DR169" s="2005"/>
      <c r="DS169" s="2005"/>
      <c r="DT169" s="2005"/>
      <c r="DU169" s="2005"/>
      <c r="DV169" s="2005"/>
      <c r="DW169" s="2005"/>
      <c r="DX169" s="2005"/>
      <c r="DY169" s="2005"/>
      <c r="DZ169" s="2005"/>
      <c r="EA169" s="2005"/>
      <c r="FF169" s="1616"/>
    </row>
    <row r="170" spans="1:162" hidden="1" outlineLevel="2">
      <c r="A170" s="1624" t="s">
        <v>1314</v>
      </c>
      <c r="B170" s="1624" t="s">
        <v>2064</v>
      </c>
      <c r="C170" s="1624" t="s">
        <v>2090</v>
      </c>
      <c r="D170" s="1624" t="s">
        <v>2087</v>
      </c>
      <c r="E170" s="2003"/>
      <c r="F170" s="2003"/>
      <c r="G170" s="2003"/>
      <c r="H170" s="2003"/>
      <c r="I170" s="2003"/>
      <c r="J170" s="2003"/>
      <c r="K170" s="2003"/>
      <c r="L170" s="2003"/>
      <c r="M170" s="2003"/>
      <c r="N170" s="2003"/>
      <c r="O170" s="2003"/>
      <c r="P170" s="2003"/>
      <c r="Q170" s="2003"/>
      <c r="R170" s="2003"/>
      <c r="S170" s="2003"/>
      <c r="T170" s="2003"/>
      <c r="U170" s="2003"/>
      <c r="V170" s="2003"/>
      <c r="W170" s="2003"/>
      <c r="X170" s="2003"/>
      <c r="Y170" s="2003"/>
      <c r="Z170" s="2003"/>
      <c r="AA170" s="2003"/>
      <c r="AB170" s="2003"/>
      <c r="AC170" s="2003"/>
      <c r="AD170" s="2003"/>
      <c r="AE170" s="2003"/>
      <c r="AF170" s="2003"/>
      <c r="AG170" s="2003"/>
      <c r="AH170" s="2003"/>
      <c r="AI170" s="2003"/>
      <c r="AJ170" s="2003"/>
      <c r="AK170" s="2003"/>
      <c r="AL170" s="2003"/>
      <c r="AM170" s="2003"/>
      <c r="AN170" s="2003"/>
      <c r="AO170" s="2003"/>
      <c r="AP170" s="2003"/>
      <c r="AQ170" s="2003"/>
      <c r="AR170" s="2003"/>
      <c r="AS170" s="2003"/>
      <c r="AT170" s="2003"/>
      <c r="AU170" s="2003"/>
      <c r="AV170" s="2003"/>
      <c r="AW170" s="2003"/>
      <c r="AX170" s="2003"/>
      <c r="AY170" s="2003"/>
      <c r="AZ170" s="2003"/>
      <c r="BA170" s="2003"/>
      <c r="BB170" s="2003"/>
      <c r="BC170" s="2003"/>
      <c r="BD170" s="2003"/>
      <c r="BE170" s="2003"/>
      <c r="BF170" s="2003"/>
      <c r="BG170" s="2003"/>
      <c r="BH170" s="2003"/>
      <c r="BI170" s="2003"/>
      <c r="BJ170" s="2003"/>
      <c r="BK170" s="2003"/>
      <c r="BL170" s="2003"/>
      <c r="BM170" s="2003"/>
      <c r="BN170" s="2003"/>
      <c r="BO170" s="2003"/>
      <c r="BP170" s="2003"/>
      <c r="BQ170" s="2003"/>
      <c r="BR170" s="2003">
        <f>BR150+Fusion!$J$25</f>
        <v>2200</v>
      </c>
      <c r="BS170" s="2003"/>
      <c r="BT170" s="2003"/>
      <c r="BU170" s="2003"/>
      <c r="BV170" s="2003"/>
      <c r="BW170" s="2003"/>
      <c r="BX170" s="2003"/>
      <c r="BY170" s="2003"/>
      <c r="BZ170" s="2003"/>
      <c r="CA170" s="2003"/>
      <c r="CB170" s="2003"/>
      <c r="CC170" s="2003"/>
      <c r="CD170" s="2003"/>
      <c r="CE170" s="2003"/>
      <c r="CF170" s="2003"/>
      <c r="CG170" s="2003"/>
      <c r="CH170" s="2003"/>
      <c r="CI170" s="2003"/>
      <c r="CJ170" s="2003"/>
      <c r="CK170" s="2003"/>
      <c r="CL170" s="2003"/>
      <c r="CM170" s="2003"/>
      <c r="CN170" s="2003"/>
      <c r="CO170" s="2003"/>
      <c r="CP170" s="2003"/>
      <c r="CQ170" s="2003"/>
      <c r="CR170" s="2003"/>
      <c r="CS170" s="2003"/>
      <c r="CT170" s="2003"/>
      <c r="CU170" s="2003"/>
      <c r="CV170" s="2003"/>
      <c r="CW170" s="2003"/>
      <c r="CX170" s="2003"/>
      <c r="CY170" s="2003"/>
      <c r="CZ170" s="2003"/>
      <c r="DA170" s="2003"/>
      <c r="DB170" s="2003"/>
      <c r="DC170" s="2003"/>
      <c r="DD170" s="2003"/>
      <c r="DE170" s="2003"/>
      <c r="DF170" s="2003"/>
      <c r="DG170" s="2003"/>
      <c r="DH170" s="2003"/>
      <c r="DI170" s="2003"/>
      <c r="DJ170" s="2003"/>
      <c r="DK170" s="2003"/>
      <c r="DL170" s="2003"/>
      <c r="DM170" s="2003"/>
      <c r="DN170" s="2003"/>
      <c r="DO170" s="2004"/>
      <c r="DP170" s="2003"/>
      <c r="DQ170" s="2003"/>
      <c r="DR170" s="2005"/>
      <c r="DS170" s="2005"/>
      <c r="DT170" s="2005"/>
      <c r="DU170" s="2005"/>
      <c r="DV170" s="2005"/>
      <c r="DW170" s="2005"/>
      <c r="DX170" s="2005"/>
      <c r="DY170" s="2005"/>
      <c r="DZ170" s="2005"/>
      <c r="EA170" s="2005"/>
      <c r="FF170" s="1616"/>
    </row>
    <row r="171" spans="1:162" hidden="1" outlineLevel="2">
      <c r="A171" s="1624" t="s">
        <v>1314</v>
      </c>
      <c r="B171" s="1624" t="s">
        <v>2065</v>
      </c>
      <c r="C171" s="1624" t="s">
        <v>2090</v>
      </c>
      <c r="D171" s="1624" t="s">
        <v>2085</v>
      </c>
      <c r="E171" s="2003"/>
      <c r="F171" s="2003"/>
      <c r="G171" s="2003"/>
      <c r="H171" s="2003"/>
      <c r="I171" s="2003"/>
      <c r="J171" s="2003"/>
      <c r="K171" s="2003"/>
      <c r="L171" s="2003"/>
      <c r="M171" s="2003"/>
      <c r="N171" s="2003"/>
      <c r="O171" s="2003"/>
      <c r="P171" s="2003"/>
      <c r="Q171" s="2003"/>
      <c r="R171" s="2003"/>
      <c r="S171" s="2003"/>
      <c r="T171" s="2003"/>
      <c r="U171" s="2003"/>
      <c r="V171" s="2003"/>
      <c r="W171" s="2003"/>
      <c r="X171" s="2003"/>
      <c r="Y171" s="2003"/>
      <c r="Z171" s="2003"/>
      <c r="AA171" s="2003"/>
      <c r="AB171" s="2003"/>
      <c r="AC171" s="2003"/>
      <c r="AD171" s="2003"/>
      <c r="AE171" s="2003"/>
      <c r="AF171" s="2003"/>
      <c r="AG171" s="2003"/>
      <c r="AH171" s="2003"/>
      <c r="AI171" s="2003"/>
      <c r="AJ171" s="2003"/>
      <c r="AK171" s="2003"/>
      <c r="AL171" s="2003"/>
      <c r="AM171" s="2003"/>
      <c r="AN171" s="2003"/>
      <c r="AO171" s="2003"/>
      <c r="AP171" s="2003"/>
      <c r="AQ171" s="2003"/>
      <c r="AR171" s="2003"/>
      <c r="AS171" s="2003"/>
      <c r="AT171" s="2003"/>
      <c r="AU171" s="2003"/>
      <c r="AV171" s="2003"/>
      <c r="AW171" s="2003"/>
      <c r="AX171" s="2003"/>
      <c r="AY171" s="2003"/>
      <c r="AZ171" s="2003"/>
      <c r="BA171" s="2003"/>
      <c r="BB171" s="2003"/>
      <c r="BC171" s="2003"/>
      <c r="BD171" s="2003"/>
      <c r="BE171" s="2003"/>
      <c r="BF171" s="2003"/>
      <c r="BG171" s="2003"/>
      <c r="BH171" s="2003"/>
      <c r="BI171" s="2003"/>
      <c r="BJ171" s="2003"/>
      <c r="BK171" s="2003"/>
      <c r="BL171" s="2003"/>
      <c r="BM171" s="2003"/>
      <c r="BN171" s="2003"/>
      <c r="BO171" s="2003"/>
      <c r="BP171" s="2003"/>
      <c r="BQ171" s="2003">
        <f>BQ151+Fusion!$J$25</f>
        <v>2200</v>
      </c>
      <c r="BR171" s="2003"/>
      <c r="BS171" s="2003"/>
      <c r="BT171" s="2003"/>
      <c r="BU171" s="2003"/>
      <c r="BV171" s="2003"/>
      <c r="BW171" s="2003"/>
      <c r="BX171" s="2003"/>
      <c r="BY171" s="2003"/>
      <c r="BZ171" s="2003"/>
      <c r="CA171" s="2003"/>
      <c r="CB171" s="2003"/>
      <c r="CC171" s="2003"/>
      <c r="CD171" s="2003"/>
      <c r="CE171" s="2003"/>
      <c r="CF171" s="2003"/>
      <c r="CG171" s="2003"/>
      <c r="CH171" s="2003"/>
      <c r="CI171" s="2003"/>
      <c r="CJ171" s="2003"/>
      <c r="CK171" s="2003"/>
      <c r="CL171" s="2003"/>
      <c r="CM171" s="2003"/>
      <c r="CN171" s="2003"/>
      <c r="CO171" s="2003"/>
      <c r="CP171" s="2003"/>
      <c r="CQ171" s="2003"/>
      <c r="CR171" s="2003"/>
      <c r="CS171" s="2003"/>
      <c r="CT171" s="2003"/>
      <c r="CU171" s="2003"/>
      <c r="CV171" s="2003"/>
      <c r="CW171" s="2003"/>
      <c r="CX171" s="2003"/>
      <c r="CY171" s="2003"/>
      <c r="CZ171" s="2003"/>
      <c r="DA171" s="2003"/>
      <c r="DB171" s="2003"/>
      <c r="DC171" s="2003"/>
      <c r="DD171" s="2003"/>
      <c r="DE171" s="2003"/>
      <c r="DF171" s="2003"/>
      <c r="DG171" s="2003"/>
      <c r="DH171" s="2003"/>
      <c r="DI171" s="2003"/>
      <c r="DJ171" s="2003"/>
      <c r="DK171" s="2003"/>
      <c r="DL171" s="2003"/>
      <c r="DM171" s="2003"/>
      <c r="DN171" s="2003"/>
      <c r="DO171" s="2004"/>
      <c r="DP171" s="2003"/>
      <c r="DQ171" s="2003"/>
      <c r="DR171" s="2005"/>
      <c r="DS171" s="2005"/>
      <c r="DT171" s="2005"/>
      <c r="DU171" s="2005"/>
      <c r="DV171" s="2005"/>
      <c r="DW171" s="2005"/>
      <c r="DX171" s="2005"/>
      <c r="DY171" s="2005"/>
      <c r="DZ171" s="2005"/>
      <c r="EA171" s="2005"/>
      <c r="FF171" s="1616"/>
    </row>
    <row r="172" spans="1:162" hidden="1" outlineLevel="2">
      <c r="A172" s="1624" t="s">
        <v>1314</v>
      </c>
      <c r="B172" s="1624" t="s">
        <v>2065</v>
      </c>
      <c r="C172" s="1624" t="s">
        <v>2090</v>
      </c>
      <c r="D172" s="1624" t="s">
        <v>722</v>
      </c>
      <c r="E172" s="2003"/>
      <c r="F172" s="2003"/>
      <c r="G172" s="2003"/>
      <c r="H172" s="2003"/>
      <c r="I172" s="2003"/>
      <c r="J172" s="2003"/>
      <c r="K172" s="2003"/>
      <c r="L172" s="2003"/>
      <c r="M172" s="2003"/>
      <c r="N172" s="2003"/>
      <c r="O172" s="2003"/>
      <c r="P172" s="2003"/>
      <c r="Q172" s="2003"/>
      <c r="R172" s="2003"/>
      <c r="S172" s="2003"/>
      <c r="T172" s="2003"/>
      <c r="U172" s="2003"/>
      <c r="V172" s="2003"/>
      <c r="W172" s="2003"/>
      <c r="X172" s="2003"/>
      <c r="Y172" s="2003"/>
      <c r="Z172" s="2003"/>
      <c r="AA172" s="2003"/>
      <c r="AB172" s="2003"/>
      <c r="AC172" s="2003"/>
      <c r="AD172" s="2003"/>
      <c r="AE172" s="2003"/>
      <c r="AF172" s="2003"/>
      <c r="AG172" s="2003"/>
      <c r="AH172" s="2003"/>
      <c r="AI172" s="2003"/>
      <c r="AJ172" s="2003"/>
      <c r="AK172" s="2003"/>
      <c r="AL172" s="2003"/>
      <c r="AM172" s="2003"/>
      <c r="AN172" s="2003"/>
      <c r="AO172" s="2003"/>
      <c r="AP172" s="2003"/>
      <c r="AQ172" s="2003"/>
      <c r="AR172" s="2003"/>
      <c r="AS172" s="2003"/>
      <c r="AT172" s="2003"/>
      <c r="AU172" s="2003"/>
      <c r="AV172" s="2003"/>
      <c r="AW172" s="2003"/>
      <c r="AX172" s="2003"/>
      <c r="AY172" s="2003"/>
      <c r="AZ172" s="2003"/>
      <c r="BA172" s="2003"/>
      <c r="BB172" s="2003"/>
      <c r="BC172" s="2003"/>
      <c r="BD172" s="2003"/>
      <c r="BE172" s="2003"/>
      <c r="BF172" s="2003"/>
      <c r="BG172" s="2003"/>
      <c r="BH172" s="2003"/>
      <c r="BI172" s="2003"/>
      <c r="BJ172" s="2003"/>
      <c r="BK172" s="2003"/>
      <c r="BL172" s="2003"/>
      <c r="BM172" s="2003"/>
      <c r="BN172" s="2003"/>
      <c r="BO172" s="2003"/>
      <c r="BP172" s="2003"/>
      <c r="BQ172" s="2003">
        <f>BQ152+Fusion!$J$25</f>
        <v>2200</v>
      </c>
      <c r="BR172" s="2003"/>
      <c r="BS172" s="2003"/>
      <c r="BT172" s="2003"/>
      <c r="BU172" s="2003"/>
      <c r="BV172" s="2003"/>
      <c r="BW172" s="2003"/>
      <c r="BX172" s="2003"/>
      <c r="BY172" s="2003"/>
      <c r="BZ172" s="2003"/>
      <c r="CA172" s="2003"/>
      <c r="CB172" s="2003"/>
      <c r="CC172" s="2003"/>
      <c r="CD172" s="2003"/>
      <c r="CE172" s="2003"/>
      <c r="CF172" s="2003"/>
      <c r="CG172" s="2003"/>
      <c r="CH172" s="2003"/>
      <c r="CI172" s="2003"/>
      <c r="CJ172" s="2003"/>
      <c r="CK172" s="2003"/>
      <c r="CL172" s="2003"/>
      <c r="CM172" s="2003"/>
      <c r="CN172" s="2003"/>
      <c r="CO172" s="2003"/>
      <c r="CP172" s="2003"/>
      <c r="CQ172" s="2003"/>
      <c r="CR172" s="2003"/>
      <c r="CS172" s="2003"/>
      <c r="CT172" s="2003"/>
      <c r="CU172" s="2003"/>
      <c r="CV172" s="2003"/>
      <c r="CW172" s="2003"/>
      <c r="CX172" s="2003"/>
      <c r="CY172" s="2003"/>
      <c r="CZ172" s="2003"/>
      <c r="DA172" s="2003"/>
      <c r="DB172" s="2003"/>
      <c r="DC172" s="2003"/>
      <c r="DD172" s="2003"/>
      <c r="DE172" s="2003"/>
      <c r="DF172" s="2003"/>
      <c r="DG172" s="2003"/>
      <c r="DH172" s="2003"/>
      <c r="DI172" s="2003"/>
      <c r="DJ172" s="2003"/>
      <c r="DK172" s="2003"/>
      <c r="DL172" s="2003"/>
      <c r="DM172" s="2003"/>
      <c r="DN172" s="2003"/>
      <c r="DO172" s="2004"/>
      <c r="DP172" s="2003"/>
      <c r="DQ172" s="2003"/>
      <c r="DR172" s="2005"/>
      <c r="DS172" s="2005"/>
      <c r="DT172" s="2005"/>
      <c r="DU172" s="2005"/>
      <c r="DV172" s="2005"/>
      <c r="DW172" s="2005"/>
      <c r="DX172" s="2005"/>
      <c r="DY172" s="2005"/>
      <c r="DZ172" s="2005"/>
      <c r="EA172" s="2005"/>
      <c r="FF172" s="1616"/>
    </row>
    <row r="173" spans="1:162" hidden="1" outlineLevel="2">
      <c r="A173" s="1624" t="s">
        <v>1314</v>
      </c>
      <c r="B173" s="1624" t="s">
        <v>2065</v>
      </c>
      <c r="C173" s="1624" t="s">
        <v>2090</v>
      </c>
      <c r="D173" s="1624" t="s">
        <v>2086</v>
      </c>
      <c r="E173" s="2003"/>
      <c r="F173" s="2003"/>
      <c r="G173" s="2003"/>
      <c r="H173" s="2003"/>
      <c r="I173" s="2003"/>
      <c r="J173" s="2003"/>
      <c r="K173" s="2003"/>
      <c r="L173" s="2003"/>
      <c r="M173" s="2003"/>
      <c r="N173" s="2003"/>
      <c r="O173" s="2003"/>
      <c r="P173" s="2003"/>
      <c r="Q173" s="2003"/>
      <c r="R173" s="2003"/>
      <c r="S173" s="2003"/>
      <c r="T173" s="2003"/>
      <c r="U173" s="2003"/>
      <c r="V173" s="2003"/>
      <c r="W173" s="2003"/>
      <c r="X173" s="2003"/>
      <c r="Y173" s="2003"/>
      <c r="Z173" s="2003"/>
      <c r="AA173" s="2003"/>
      <c r="AB173" s="2003"/>
      <c r="AC173" s="2003"/>
      <c r="AD173" s="2003"/>
      <c r="AE173" s="2003"/>
      <c r="AF173" s="2003"/>
      <c r="AG173" s="2003"/>
      <c r="AH173" s="2003"/>
      <c r="AI173" s="2003"/>
      <c r="AJ173" s="2003"/>
      <c r="AK173" s="2003"/>
      <c r="AL173" s="2003"/>
      <c r="AM173" s="2003"/>
      <c r="AN173" s="2003"/>
      <c r="AO173" s="2003"/>
      <c r="AP173" s="2003"/>
      <c r="AQ173" s="2003"/>
      <c r="AR173" s="2003"/>
      <c r="AS173" s="2003"/>
      <c r="AT173" s="2003"/>
      <c r="AU173" s="2003"/>
      <c r="AV173" s="2003"/>
      <c r="AW173" s="2003"/>
      <c r="AX173" s="2003"/>
      <c r="AY173" s="2003"/>
      <c r="AZ173" s="2003"/>
      <c r="BA173" s="2003"/>
      <c r="BB173" s="2003"/>
      <c r="BC173" s="2003"/>
      <c r="BD173" s="2003"/>
      <c r="BE173" s="2003"/>
      <c r="BF173" s="2003"/>
      <c r="BG173" s="2003"/>
      <c r="BH173" s="2003"/>
      <c r="BI173" s="2003"/>
      <c r="BJ173" s="2003"/>
      <c r="BK173" s="2003"/>
      <c r="BL173" s="2003"/>
      <c r="BM173" s="2003"/>
      <c r="BN173" s="2003"/>
      <c r="BO173" s="2003"/>
      <c r="BP173" s="2003"/>
      <c r="BQ173" s="2003">
        <f>BQ153+Fusion!$J$25</f>
        <v>2200</v>
      </c>
      <c r="BR173" s="2003"/>
      <c r="BS173" s="2003"/>
      <c r="BT173" s="2003"/>
      <c r="BU173" s="2003"/>
      <c r="BV173" s="2003"/>
      <c r="BW173" s="2003"/>
      <c r="BX173" s="2003"/>
      <c r="BY173" s="2003"/>
      <c r="BZ173" s="2003"/>
      <c r="CA173" s="2003"/>
      <c r="CB173" s="2003"/>
      <c r="CC173" s="2003"/>
      <c r="CD173" s="2003"/>
      <c r="CE173" s="2003"/>
      <c r="CF173" s="2003"/>
      <c r="CG173" s="2003"/>
      <c r="CH173" s="2003"/>
      <c r="CI173" s="2003"/>
      <c r="CJ173" s="2003"/>
      <c r="CK173" s="2003"/>
      <c r="CL173" s="2003"/>
      <c r="CM173" s="2003"/>
      <c r="CN173" s="2003"/>
      <c r="CO173" s="2003"/>
      <c r="CP173" s="2003"/>
      <c r="CQ173" s="2003"/>
      <c r="CR173" s="2003"/>
      <c r="CS173" s="2003"/>
      <c r="CT173" s="2003"/>
      <c r="CU173" s="2003"/>
      <c r="CV173" s="2003"/>
      <c r="CW173" s="2003"/>
      <c r="CX173" s="2003"/>
      <c r="CY173" s="2003"/>
      <c r="CZ173" s="2003"/>
      <c r="DA173" s="2003"/>
      <c r="DB173" s="2003"/>
      <c r="DC173" s="2003"/>
      <c r="DD173" s="2003"/>
      <c r="DE173" s="2003"/>
      <c r="DF173" s="2003"/>
      <c r="DG173" s="2003"/>
      <c r="DH173" s="2003"/>
      <c r="DI173" s="2003"/>
      <c r="DJ173" s="2003"/>
      <c r="DK173" s="2003"/>
      <c r="DL173" s="2003"/>
      <c r="DM173" s="2003"/>
      <c r="DN173" s="2003"/>
      <c r="DO173" s="2004"/>
      <c r="DP173" s="2003"/>
      <c r="DQ173" s="2003"/>
      <c r="DR173" s="2005"/>
      <c r="DS173" s="2005"/>
      <c r="DT173" s="2005"/>
      <c r="DU173" s="2005"/>
      <c r="DV173" s="2005"/>
      <c r="DW173" s="2005"/>
      <c r="DX173" s="2005"/>
      <c r="DY173" s="2005"/>
      <c r="DZ173" s="2005"/>
      <c r="EA173" s="2005"/>
      <c r="FF173" s="1616"/>
    </row>
    <row r="174" spans="1:162" hidden="1" outlineLevel="2">
      <c r="A174" s="1624" t="s">
        <v>1314</v>
      </c>
      <c r="B174" s="1624" t="s">
        <v>2065</v>
      </c>
      <c r="C174" s="1624" t="s">
        <v>2090</v>
      </c>
      <c r="D174" s="1624" t="s">
        <v>2087</v>
      </c>
      <c r="E174" s="2003"/>
      <c r="F174" s="2003"/>
      <c r="G174" s="2003"/>
      <c r="H174" s="2003"/>
      <c r="I174" s="2003"/>
      <c r="J174" s="2003"/>
      <c r="K174" s="2003"/>
      <c r="L174" s="2003"/>
      <c r="M174" s="2003"/>
      <c r="N174" s="2003"/>
      <c r="O174" s="2003"/>
      <c r="P174" s="2003"/>
      <c r="Q174" s="2003"/>
      <c r="R174" s="2003"/>
      <c r="S174" s="2003"/>
      <c r="T174" s="2003"/>
      <c r="U174" s="2003"/>
      <c r="V174" s="2003"/>
      <c r="W174" s="2003"/>
      <c r="X174" s="2003"/>
      <c r="Y174" s="2003"/>
      <c r="Z174" s="2003"/>
      <c r="AA174" s="2003"/>
      <c r="AB174" s="2003"/>
      <c r="AC174" s="2003"/>
      <c r="AD174" s="2003"/>
      <c r="AE174" s="2003"/>
      <c r="AF174" s="2003"/>
      <c r="AG174" s="2003"/>
      <c r="AH174" s="2003"/>
      <c r="AI174" s="2003"/>
      <c r="AJ174" s="2003"/>
      <c r="AK174" s="2003"/>
      <c r="AL174" s="2003"/>
      <c r="AM174" s="2003"/>
      <c r="AN174" s="2003"/>
      <c r="AO174" s="2003"/>
      <c r="AP174" s="2003"/>
      <c r="AQ174" s="2003"/>
      <c r="AR174" s="2003"/>
      <c r="AS174" s="2003"/>
      <c r="AT174" s="2003"/>
      <c r="AU174" s="2003"/>
      <c r="AV174" s="2003"/>
      <c r="AW174" s="2003"/>
      <c r="AX174" s="2003"/>
      <c r="AY174" s="2003"/>
      <c r="AZ174" s="2003"/>
      <c r="BA174" s="2003"/>
      <c r="BB174" s="2003"/>
      <c r="BC174" s="2003"/>
      <c r="BD174" s="2003"/>
      <c r="BE174" s="2003"/>
      <c r="BF174" s="2003"/>
      <c r="BG174" s="2003"/>
      <c r="BH174" s="2003"/>
      <c r="BI174" s="2003"/>
      <c r="BJ174" s="2003"/>
      <c r="BK174" s="2003"/>
      <c r="BL174" s="2003"/>
      <c r="BM174" s="2003"/>
      <c r="BN174" s="2003"/>
      <c r="BO174" s="2003"/>
      <c r="BP174" s="2003"/>
      <c r="BQ174" s="2003">
        <f>BQ154+Fusion!$J$25</f>
        <v>2200</v>
      </c>
      <c r="BR174" s="2003"/>
      <c r="BS174" s="2003"/>
      <c r="BT174" s="2003"/>
      <c r="BU174" s="2003"/>
      <c r="BV174" s="2003"/>
      <c r="BW174" s="2003"/>
      <c r="BX174" s="2003"/>
      <c r="BY174" s="2003"/>
      <c r="BZ174" s="2003"/>
      <c r="CA174" s="2003"/>
      <c r="CB174" s="2003"/>
      <c r="CC174" s="2003"/>
      <c r="CD174" s="2003"/>
      <c r="CE174" s="2003"/>
      <c r="CF174" s="2003"/>
      <c r="CG174" s="2003"/>
      <c r="CH174" s="2003"/>
      <c r="CI174" s="2003"/>
      <c r="CJ174" s="2003"/>
      <c r="CK174" s="2003"/>
      <c r="CL174" s="2003"/>
      <c r="CM174" s="2003"/>
      <c r="CN174" s="2003"/>
      <c r="CO174" s="2003"/>
      <c r="CP174" s="2003"/>
      <c r="CQ174" s="2003"/>
      <c r="CR174" s="2003"/>
      <c r="CS174" s="2003"/>
      <c r="CT174" s="2003"/>
      <c r="CU174" s="2003"/>
      <c r="CV174" s="2003"/>
      <c r="CW174" s="2003"/>
      <c r="CX174" s="2003"/>
      <c r="CY174" s="2003"/>
      <c r="CZ174" s="2003"/>
      <c r="DA174" s="2003"/>
      <c r="DB174" s="2003"/>
      <c r="DC174" s="2003"/>
      <c r="DD174" s="2003"/>
      <c r="DE174" s="2003"/>
      <c r="DF174" s="2003"/>
      <c r="DG174" s="2003"/>
      <c r="DH174" s="2003"/>
      <c r="DI174" s="2003"/>
      <c r="DJ174" s="2003"/>
      <c r="DK174" s="2003"/>
      <c r="DL174" s="2003"/>
      <c r="DM174" s="2003"/>
      <c r="DN174" s="2003"/>
      <c r="DO174" s="2004"/>
      <c r="DP174" s="2003"/>
      <c r="DQ174" s="2003"/>
      <c r="DR174" s="2005"/>
      <c r="DS174" s="2005"/>
      <c r="DT174" s="2005"/>
      <c r="DU174" s="2005"/>
      <c r="DV174" s="2005"/>
      <c r="DW174" s="2005"/>
      <c r="DX174" s="2005"/>
      <c r="DY174" s="2005"/>
      <c r="DZ174" s="2005"/>
      <c r="EA174" s="2005"/>
      <c r="FF174" s="1616"/>
    </row>
    <row r="175" spans="1:162" s="1633" customFormat="1" hidden="1" outlineLevel="2">
      <c r="A175" s="1628" t="s">
        <v>1314</v>
      </c>
      <c r="B175" s="1628" t="s">
        <v>2061</v>
      </c>
      <c r="C175" s="1628" t="s">
        <v>2091</v>
      </c>
      <c r="D175" s="1628" t="s">
        <v>2085</v>
      </c>
      <c r="E175" s="2012"/>
      <c r="F175" s="2012"/>
      <c r="G175" s="2012"/>
      <c r="H175" s="2012"/>
      <c r="I175" s="2012"/>
      <c r="J175" s="2012"/>
      <c r="K175" s="2012"/>
      <c r="L175" s="2012"/>
      <c r="M175" s="2012"/>
      <c r="N175" s="2012"/>
      <c r="O175" s="2012"/>
      <c r="P175" s="2012"/>
      <c r="Q175" s="2012"/>
      <c r="R175" s="2012"/>
      <c r="S175" s="2012"/>
      <c r="T175" s="2012"/>
      <c r="U175" s="2012"/>
      <c r="V175" s="2012"/>
      <c r="W175" s="2012"/>
      <c r="X175" s="2012"/>
      <c r="Y175" s="2012"/>
      <c r="Z175" s="2012"/>
      <c r="AA175" s="2012"/>
      <c r="AB175" s="2012"/>
      <c r="AC175" s="2012"/>
      <c r="AD175" s="2012"/>
      <c r="AE175" s="2012"/>
      <c r="AF175" s="2012"/>
      <c r="AG175" s="2012"/>
      <c r="AH175" s="2012"/>
      <c r="AI175" s="2012"/>
      <c r="AJ175" s="2012"/>
      <c r="AK175" s="2012"/>
      <c r="AL175" s="2012"/>
      <c r="AM175" s="2012"/>
      <c r="AN175" s="2012"/>
      <c r="AO175" s="2012"/>
      <c r="AP175" s="2012"/>
      <c r="AQ175" s="2012"/>
      <c r="AR175" s="2012"/>
      <c r="AS175" s="2012"/>
      <c r="AT175" s="2012"/>
      <c r="AU175" s="2012"/>
      <c r="AV175" s="2012"/>
      <c r="AW175" s="2012"/>
      <c r="AX175" s="2012"/>
      <c r="AY175" s="2012"/>
      <c r="AZ175" s="2012"/>
      <c r="BA175" s="2012"/>
      <c r="BB175" s="2012"/>
      <c r="BC175" s="2012"/>
      <c r="BD175" s="2012"/>
      <c r="BE175" s="2012"/>
      <c r="BF175" s="2012"/>
      <c r="BG175" s="2012"/>
      <c r="BH175" s="2012"/>
      <c r="BI175" s="2012"/>
      <c r="BJ175" s="2012"/>
      <c r="BK175" s="2012"/>
      <c r="BL175" s="2012"/>
      <c r="BM175" s="2012"/>
      <c r="BN175" s="2012">
        <f t="shared" ref="BN175:CA175" si="151">BN155</f>
        <v>0</v>
      </c>
      <c r="BO175" s="2012">
        <f t="shared" si="151"/>
        <v>0</v>
      </c>
      <c r="BP175" s="2012">
        <f t="shared" si="151"/>
        <v>0</v>
      </c>
      <c r="BQ175" s="2012">
        <f t="shared" si="151"/>
        <v>0</v>
      </c>
      <c r="BR175" s="2012">
        <f t="shared" si="151"/>
        <v>0</v>
      </c>
      <c r="BS175" s="2012">
        <f t="shared" si="151"/>
        <v>0</v>
      </c>
      <c r="BT175" s="2012">
        <f t="shared" si="151"/>
        <v>0</v>
      </c>
      <c r="BU175" s="2012">
        <f t="shared" si="151"/>
        <v>0</v>
      </c>
      <c r="BV175" s="2012">
        <f t="shared" si="151"/>
        <v>0</v>
      </c>
      <c r="BW175" s="2012">
        <f t="shared" si="151"/>
        <v>0</v>
      </c>
      <c r="BX175" s="2012">
        <f t="shared" si="151"/>
        <v>5600</v>
      </c>
      <c r="BY175" s="2012">
        <f t="shared" si="151"/>
        <v>0</v>
      </c>
      <c r="BZ175" s="2012">
        <f t="shared" si="151"/>
        <v>5600</v>
      </c>
      <c r="CA175" s="2012">
        <f t="shared" si="151"/>
        <v>5600</v>
      </c>
      <c r="CB175" s="2012"/>
      <c r="CC175" s="2012"/>
      <c r="CD175" s="2012"/>
      <c r="CE175" s="2012"/>
      <c r="CF175" s="2012"/>
      <c r="CG175" s="2012"/>
      <c r="CH175" s="2012"/>
      <c r="CI175" s="2012"/>
      <c r="CJ175" s="2012"/>
      <c r="CK175" s="2012"/>
      <c r="CL175" s="2012"/>
      <c r="CM175" s="2012"/>
      <c r="CN175" s="2012"/>
      <c r="CO175" s="2012"/>
      <c r="CP175" s="2012"/>
      <c r="CQ175" s="2012"/>
      <c r="CR175" s="2012"/>
      <c r="CS175" s="2012"/>
      <c r="CT175" s="2012"/>
      <c r="CU175" s="2012"/>
      <c r="CV175" s="2012"/>
      <c r="CW175" s="2012"/>
      <c r="CX175" s="2012"/>
      <c r="CY175" s="2012"/>
      <c r="CZ175" s="2012"/>
      <c r="DA175" s="2012"/>
      <c r="DB175" s="2012"/>
      <c r="DC175" s="2012"/>
      <c r="DD175" s="2012"/>
      <c r="DE175" s="2012"/>
      <c r="DF175" s="2012"/>
      <c r="DG175" s="2012"/>
      <c r="DH175" s="2012"/>
      <c r="DI175" s="2012"/>
      <c r="DJ175" s="2012"/>
      <c r="DK175" s="2012"/>
      <c r="DL175" s="2012"/>
      <c r="DM175" s="2012"/>
      <c r="DN175" s="2012"/>
      <c r="DO175" s="2013"/>
      <c r="DP175" s="2012"/>
      <c r="DQ175" s="2012"/>
      <c r="DR175" s="2014"/>
      <c r="DS175" s="2014"/>
      <c r="DT175" s="2014"/>
      <c r="DU175" s="2014"/>
      <c r="DV175" s="2014"/>
      <c r="DW175" s="2014"/>
      <c r="DX175" s="2014"/>
      <c r="DY175" s="2014"/>
      <c r="DZ175" s="2014"/>
      <c r="EA175" s="2014"/>
      <c r="EB175" s="2014"/>
      <c r="EC175" s="2014"/>
      <c r="ED175" s="2014"/>
      <c r="FF175" s="1629"/>
    </row>
    <row r="176" spans="1:162" hidden="1" outlineLevel="2">
      <c r="A176" s="1624" t="s">
        <v>1314</v>
      </c>
      <c r="B176" s="1624" t="s">
        <v>2061</v>
      </c>
      <c r="C176" s="1624" t="s">
        <v>2091</v>
      </c>
      <c r="D176" s="1624" t="s">
        <v>722</v>
      </c>
      <c r="E176" s="2003"/>
      <c r="F176" s="2003"/>
      <c r="G176" s="2003"/>
      <c r="H176" s="2003"/>
      <c r="I176" s="2003"/>
      <c r="J176" s="2003"/>
      <c r="K176" s="2003"/>
      <c r="L176" s="2003"/>
      <c r="M176" s="2003"/>
      <c r="N176" s="2003"/>
      <c r="O176" s="2003"/>
      <c r="P176" s="2003"/>
      <c r="Q176" s="2003"/>
      <c r="R176" s="2003"/>
      <c r="S176" s="2003"/>
      <c r="T176" s="2003"/>
      <c r="U176" s="2003"/>
      <c r="V176" s="2003"/>
      <c r="W176" s="2003"/>
      <c r="X176" s="2003"/>
      <c r="Y176" s="2003"/>
      <c r="Z176" s="2003"/>
      <c r="AA176" s="2003"/>
      <c r="AB176" s="2003"/>
      <c r="AC176" s="2003"/>
      <c r="AD176" s="2003"/>
      <c r="AE176" s="2003"/>
      <c r="AF176" s="2003"/>
      <c r="AG176" s="2003"/>
      <c r="AH176" s="2003"/>
      <c r="AI176" s="2003"/>
      <c r="AJ176" s="2003"/>
      <c r="AK176" s="2003"/>
      <c r="AL176" s="2003"/>
      <c r="AM176" s="2003"/>
      <c r="AN176" s="2003"/>
      <c r="AO176" s="2003"/>
      <c r="AP176" s="2003"/>
      <c r="AQ176" s="2003"/>
      <c r="AR176" s="2003"/>
      <c r="AS176" s="2003"/>
      <c r="AT176" s="2003"/>
      <c r="AU176" s="2003"/>
      <c r="AV176" s="2003"/>
      <c r="AW176" s="2003"/>
      <c r="AX176" s="2003"/>
      <c r="AY176" s="2003"/>
      <c r="AZ176" s="2003"/>
      <c r="BA176" s="2003"/>
      <c r="BB176" s="2003"/>
      <c r="BC176" s="2003"/>
      <c r="BD176" s="2003"/>
      <c r="BE176" s="2003"/>
      <c r="BF176" s="2003"/>
      <c r="BG176" s="2003"/>
      <c r="BH176" s="2003"/>
      <c r="BI176" s="2003"/>
      <c r="BJ176" s="2003"/>
      <c r="BK176" s="2003"/>
      <c r="BL176" s="2003"/>
      <c r="BM176" s="2003"/>
      <c r="BN176" s="2003">
        <f t="shared" ref="BN176:CA176" si="152">BN156</f>
        <v>0</v>
      </c>
      <c r="BO176" s="2003">
        <f t="shared" si="152"/>
        <v>0</v>
      </c>
      <c r="BP176" s="2003" t="str">
        <f t="shared" si="152"/>
        <v xml:space="preserve"> </v>
      </c>
      <c r="BQ176" s="2003">
        <f t="shared" si="152"/>
        <v>0</v>
      </c>
      <c r="BR176" s="2003">
        <f t="shared" si="152"/>
        <v>0</v>
      </c>
      <c r="BS176" s="2003">
        <f t="shared" si="152"/>
        <v>0</v>
      </c>
      <c r="BT176" s="2003">
        <f t="shared" si="152"/>
        <v>0</v>
      </c>
      <c r="BU176" s="2003">
        <f t="shared" si="152"/>
        <v>0</v>
      </c>
      <c r="BV176" s="2003">
        <f t="shared" si="152"/>
        <v>0</v>
      </c>
      <c r="BW176" s="2003">
        <f t="shared" si="152"/>
        <v>0</v>
      </c>
      <c r="BX176" s="2003">
        <f t="shared" si="152"/>
        <v>5600</v>
      </c>
      <c r="BY176" s="2003">
        <f t="shared" si="152"/>
        <v>0</v>
      </c>
      <c r="BZ176" s="2003">
        <f t="shared" si="152"/>
        <v>5600</v>
      </c>
      <c r="CA176" s="2003">
        <f t="shared" si="152"/>
        <v>5600</v>
      </c>
      <c r="CB176" s="2003"/>
      <c r="CC176" s="2003"/>
      <c r="CD176" s="2003"/>
      <c r="CE176" s="2003"/>
      <c r="CF176" s="2003"/>
      <c r="CG176" s="2003"/>
      <c r="CH176" s="2003"/>
      <c r="CI176" s="2003"/>
      <c r="CJ176" s="2003"/>
      <c r="CK176" s="2003"/>
      <c r="CL176" s="2003"/>
      <c r="CM176" s="2003"/>
      <c r="CN176" s="2003"/>
      <c r="CO176" s="2003"/>
      <c r="CP176" s="2003"/>
      <c r="CQ176" s="2003"/>
      <c r="CR176" s="2003"/>
      <c r="CS176" s="2003"/>
      <c r="CT176" s="2003"/>
      <c r="CU176" s="2003"/>
      <c r="CV176" s="2003"/>
      <c r="CW176" s="2003"/>
      <c r="CX176" s="2003"/>
      <c r="CY176" s="2003"/>
      <c r="CZ176" s="2003"/>
      <c r="DA176" s="2003"/>
      <c r="DB176" s="2003"/>
      <c r="DC176" s="2003"/>
      <c r="DD176" s="2003"/>
      <c r="DE176" s="2003"/>
      <c r="DF176" s="2003"/>
      <c r="DG176" s="2003"/>
      <c r="DH176" s="2003"/>
      <c r="DI176" s="2003"/>
      <c r="DJ176" s="2003"/>
      <c r="DK176" s="2003"/>
      <c r="DL176" s="2003"/>
      <c r="DM176" s="2003"/>
      <c r="DN176" s="2003"/>
      <c r="DO176" s="2004"/>
      <c r="DP176" s="2003"/>
      <c r="DQ176" s="2003"/>
      <c r="DR176" s="2005"/>
      <c r="DS176" s="2005"/>
      <c r="DT176" s="2005"/>
      <c r="DU176" s="2005"/>
      <c r="DV176" s="2005"/>
      <c r="DW176" s="2005"/>
      <c r="DX176" s="2005"/>
      <c r="DY176" s="2005"/>
      <c r="DZ176" s="2005"/>
      <c r="EA176" s="2005"/>
      <c r="FF176" s="1616"/>
    </row>
    <row r="177" spans="1:162" hidden="1" outlineLevel="2">
      <c r="A177" s="1624" t="s">
        <v>1314</v>
      </c>
      <c r="B177" s="1624" t="s">
        <v>2061</v>
      </c>
      <c r="C177" s="1624" t="s">
        <v>2091</v>
      </c>
      <c r="D177" s="1624" t="s">
        <v>2086</v>
      </c>
      <c r="E177" s="2003"/>
      <c r="F177" s="2003"/>
      <c r="G177" s="2003"/>
      <c r="H177" s="2003"/>
      <c r="I177" s="2003"/>
      <c r="J177" s="2003"/>
      <c r="K177" s="2003"/>
      <c r="L177" s="2003"/>
      <c r="M177" s="2003"/>
      <c r="N177" s="2003"/>
      <c r="O177" s="2003"/>
      <c r="P177" s="2003"/>
      <c r="Q177" s="2003"/>
      <c r="R177" s="2003"/>
      <c r="S177" s="2003"/>
      <c r="T177" s="2003"/>
      <c r="U177" s="2003"/>
      <c r="V177" s="2003"/>
      <c r="W177" s="2003"/>
      <c r="X177" s="2003"/>
      <c r="Y177" s="2003"/>
      <c r="Z177" s="2003"/>
      <c r="AA177" s="2003"/>
      <c r="AB177" s="2003"/>
      <c r="AC177" s="2003"/>
      <c r="AD177" s="2003"/>
      <c r="AE177" s="2003"/>
      <c r="AF177" s="2003"/>
      <c r="AG177" s="2003"/>
      <c r="AH177" s="2003"/>
      <c r="AI177" s="2003"/>
      <c r="AJ177" s="2003"/>
      <c r="AK177" s="2003"/>
      <c r="AL177" s="2003"/>
      <c r="AM177" s="2003"/>
      <c r="AN177" s="2003"/>
      <c r="AO177" s="2003"/>
      <c r="AP177" s="2003"/>
      <c r="AQ177" s="2003"/>
      <c r="AR177" s="2003"/>
      <c r="AS177" s="2003"/>
      <c r="AT177" s="2003"/>
      <c r="AU177" s="2003"/>
      <c r="AV177" s="2003"/>
      <c r="AW177" s="2003"/>
      <c r="AX177" s="2003"/>
      <c r="AY177" s="2003"/>
      <c r="AZ177" s="2003"/>
      <c r="BA177" s="2003"/>
      <c r="BB177" s="2003"/>
      <c r="BC177" s="2003"/>
      <c r="BD177" s="2003"/>
      <c r="BE177" s="2003"/>
      <c r="BF177" s="2003"/>
      <c r="BG177" s="2003"/>
      <c r="BH177" s="2003"/>
      <c r="BI177" s="2003"/>
      <c r="BJ177" s="2003"/>
      <c r="BK177" s="2003"/>
      <c r="BL177" s="2003"/>
      <c r="BM177" s="2003"/>
      <c r="BN177" s="2003">
        <f t="shared" ref="BN177:CA177" si="153">BN157</f>
        <v>0</v>
      </c>
      <c r="BO177" s="2003">
        <f t="shared" si="153"/>
        <v>0</v>
      </c>
      <c r="BP177" s="2003">
        <f t="shared" si="153"/>
        <v>0</v>
      </c>
      <c r="BQ177" s="2003">
        <f t="shared" si="153"/>
        <v>0</v>
      </c>
      <c r="BR177" s="2003">
        <f t="shared" si="153"/>
        <v>0</v>
      </c>
      <c r="BS177" s="2003">
        <f t="shared" si="153"/>
        <v>0</v>
      </c>
      <c r="BT177" s="2003">
        <f t="shared" si="153"/>
        <v>0</v>
      </c>
      <c r="BU177" s="2003">
        <f t="shared" si="153"/>
        <v>0</v>
      </c>
      <c r="BV177" s="2003">
        <f t="shared" si="153"/>
        <v>0</v>
      </c>
      <c r="BW177" s="2003">
        <f t="shared" si="153"/>
        <v>0</v>
      </c>
      <c r="BX177" s="2003">
        <f t="shared" si="153"/>
        <v>5600</v>
      </c>
      <c r="BY177" s="2003">
        <f t="shared" si="153"/>
        <v>0</v>
      </c>
      <c r="BZ177" s="2003">
        <f t="shared" si="153"/>
        <v>5600</v>
      </c>
      <c r="CA177" s="2003">
        <f t="shared" si="153"/>
        <v>5600</v>
      </c>
      <c r="CB177" s="2003"/>
      <c r="CC177" s="2003"/>
      <c r="CD177" s="2003"/>
      <c r="CE177" s="2003"/>
      <c r="CF177" s="2003"/>
      <c r="CG177" s="2003"/>
      <c r="CH177" s="2003"/>
      <c r="CI177" s="2003"/>
      <c r="CJ177" s="2003"/>
      <c r="CK177" s="2003"/>
      <c r="CL177" s="2003"/>
      <c r="CM177" s="2003"/>
      <c r="CN177" s="2003"/>
      <c r="CO177" s="2003"/>
      <c r="CP177" s="2003"/>
      <c r="CQ177" s="2003"/>
      <c r="CR177" s="2003"/>
      <c r="CS177" s="2003"/>
      <c r="CT177" s="2003"/>
      <c r="CU177" s="2003"/>
      <c r="CV177" s="2003"/>
      <c r="CW177" s="2003"/>
      <c r="CX177" s="2003"/>
      <c r="CY177" s="2003"/>
      <c r="CZ177" s="2003"/>
      <c r="DA177" s="2003"/>
      <c r="DB177" s="2003"/>
      <c r="DC177" s="2003"/>
      <c r="DD177" s="2003"/>
      <c r="DE177" s="2003"/>
      <c r="DF177" s="2003"/>
      <c r="DG177" s="2003"/>
      <c r="DH177" s="2003"/>
      <c r="DI177" s="2003"/>
      <c r="DJ177" s="2003"/>
      <c r="DK177" s="2003"/>
      <c r="DL177" s="2003"/>
      <c r="DM177" s="2003"/>
      <c r="DN177" s="2003"/>
      <c r="DO177" s="2004"/>
      <c r="DP177" s="2003"/>
      <c r="DQ177" s="2003"/>
      <c r="DR177" s="2005"/>
      <c r="DS177" s="2005"/>
      <c r="DT177" s="2005"/>
      <c r="DU177" s="2005"/>
      <c r="DV177" s="2005"/>
      <c r="DW177" s="2005"/>
      <c r="DX177" s="2005"/>
      <c r="DY177" s="2005"/>
      <c r="DZ177" s="2005"/>
      <c r="EA177" s="2005"/>
      <c r="FF177" s="1616"/>
    </row>
    <row r="178" spans="1:162" hidden="1" outlineLevel="2">
      <c r="A178" s="1624" t="s">
        <v>1314</v>
      </c>
      <c r="B178" s="1624" t="s">
        <v>2061</v>
      </c>
      <c r="C178" s="1624" t="s">
        <v>2091</v>
      </c>
      <c r="D178" s="1624" t="s">
        <v>2087</v>
      </c>
      <c r="E178" s="2003"/>
      <c r="F178" s="2003"/>
      <c r="G178" s="2003"/>
      <c r="H178" s="2003"/>
      <c r="I178" s="2003"/>
      <c r="J178" s="2003"/>
      <c r="K178" s="2003"/>
      <c r="L178" s="2003"/>
      <c r="M178" s="2003"/>
      <c r="N178" s="2003"/>
      <c r="O178" s="2003"/>
      <c r="P178" s="2003"/>
      <c r="Q178" s="2003"/>
      <c r="R178" s="2003"/>
      <c r="S178" s="2003"/>
      <c r="T178" s="2003"/>
      <c r="U178" s="2003"/>
      <c r="V178" s="2003"/>
      <c r="W178" s="2003"/>
      <c r="X178" s="2003"/>
      <c r="Y178" s="2003"/>
      <c r="Z178" s="2003"/>
      <c r="AA178" s="2003"/>
      <c r="AB178" s="2003"/>
      <c r="AC178" s="2003"/>
      <c r="AD178" s="2003"/>
      <c r="AE178" s="2003"/>
      <c r="AF178" s="2003"/>
      <c r="AG178" s="2003"/>
      <c r="AH178" s="2003"/>
      <c r="AI178" s="2003"/>
      <c r="AJ178" s="2003"/>
      <c r="AK178" s="2003"/>
      <c r="AL178" s="2003"/>
      <c r="AM178" s="2003"/>
      <c r="AN178" s="2003"/>
      <c r="AO178" s="2003"/>
      <c r="AP178" s="2003"/>
      <c r="AQ178" s="2003"/>
      <c r="AR178" s="2003"/>
      <c r="AS178" s="2003"/>
      <c r="AT178" s="2003"/>
      <c r="AU178" s="2003"/>
      <c r="AV178" s="2003"/>
      <c r="AW178" s="2003"/>
      <c r="AX178" s="2003"/>
      <c r="AY178" s="2003"/>
      <c r="AZ178" s="2003"/>
      <c r="BA178" s="2003"/>
      <c r="BB178" s="2003"/>
      <c r="BC178" s="2003"/>
      <c r="BD178" s="2003"/>
      <c r="BE178" s="2003"/>
      <c r="BF178" s="2003"/>
      <c r="BG178" s="2003"/>
      <c r="BH178" s="2003"/>
      <c r="BI178" s="2003"/>
      <c r="BJ178" s="2003"/>
      <c r="BK178" s="2003"/>
      <c r="BL178" s="2003"/>
      <c r="BM178" s="2003"/>
      <c r="BN178" s="2003">
        <f t="shared" ref="BN178:CA178" si="154">BN158</f>
        <v>0</v>
      </c>
      <c r="BO178" s="2003">
        <f t="shared" si="154"/>
        <v>0</v>
      </c>
      <c r="BP178" s="2003">
        <f t="shared" si="154"/>
        <v>0</v>
      </c>
      <c r="BQ178" s="2003">
        <f t="shared" si="154"/>
        <v>0</v>
      </c>
      <c r="BR178" s="2003">
        <f t="shared" si="154"/>
        <v>0</v>
      </c>
      <c r="BS178" s="2003">
        <f t="shared" si="154"/>
        <v>0</v>
      </c>
      <c r="BT178" s="2003">
        <f t="shared" si="154"/>
        <v>0</v>
      </c>
      <c r="BU178" s="2003">
        <f t="shared" si="154"/>
        <v>0</v>
      </c>
      <c r="BV178" s="2003">
        <f t="shared" si="154"/>
        <v>0</v>
      </c>
      <c r="BW178" s="2003">
        <f t="shared" si="154"/>
        <v>0</v>
      </c>
      <c r="BX178" s="2003">
        <f t="shared" si="154"/>
        <v>5600</v>
      </c>
      <c r="BY178" s="2003">
        <f t="shared" si="154"/>
        <v>0</v>
      </c>
      <c r="BZ178" s="2003">
        <f t="shared" si="154"/>
        <v>5600</v>
      </c>
      <c r="CA178" s="2003">
        <f t="shared" si="154"/>
        <v>5600</v>
      </c>
      <c r="CB178" s="2003"/>
      <c r="CC178" s="2003"/>
      <c r="CD178" s="2003"/>
      <c r="CE178" s="2003"/>
      <c r="CF178" s="2003"/>
      <c r="CG178" s="2003"/>
      <c r="CH178" s="2003"/>
      <c r="CI178" s="2003"/>
      <c r="CJ178" s="2003"/>
      <c r="CK178" s="2003"/>
      <c r="CL178" s="2003"/>
      <c r="CM178" s="2003"/>
      <c r="CN178" s="2003"/>
      <c r="CO178" s="2003"/>
      <c r="CP178" s="2003"/>
      <c r="CQ178" s="2003"/>
      <c r="CR178" s="2003"/>
      <c r="CS178" s="2003"/>
      <c r="CT178" s="2003"/>
      <c r="CU178" s="2003"/>
      <c r="CV178" s="2003"/>
      <c r="CW178" s="2003"/>
      <c r="CX178" s="2003"/>
      <c r="CY178" s="2003"/>
      <c r="CZ178" s="2003"/>
      <c r="DA178" s="2003"/>
      <c r="DB178" s="2003"/>
      <c r="DC178" s="2003"/>
      <c r="DD178" s="2003"/>
      <c r="DE178" s="2003"/>
      <c r="DF178" s="2003"/>
      <c r="DG178" s="2003"/>
      <c r="DH178" s="2003"/>
      <c r="DI178" s="2003"/>
      <c r="DJ178" s="2003"/>
      <c r="DK178" s="2003"/>
      <c r="DL178" s="2003"/>
      <c r="DM178" s="2003"/>
      <c r="DN178" s="2003"/>
      <c r="DO178" s="2004"/>
      <c r="DP178" s="2003"/>
      <c r="DQ178" s="2003"/>
      <c r="DR178" s="2005"/>
      <c r="DS178" s="2005"/>
      <c r="DT178" s="2005"/>
      <c r="DU178" s="2005"/>
      <c r="DV178" s="2005"/>
      <c r="DW178" s="2005"/>
      <c r="DX178" s="2005"/>
      <c r="DY178" s="2005"/>
      <c r="DZ178" s="2005"/>
      <c r="EA178" s="2005"/>
      <c r="FF178" s="1616"/>
    </row>
    <row r="179" spans="1:162" hidden="1" outlineLevel="2">
      <c r="A179" s="1624" t="s">
        <v>1314</v>
      </c>
      <c r="B179" s="1624" t="s">
        <v>2062</v>
      </c>
      <c r="C179" s="1624" t="s">
        <v>2091</v>
      </c>
      <c r="D179" s="1624" t="s">
        <v>2085</v>
      </c>
      <c r="E179" s="2003"/>
      <c r="F179" s="2003"/>
      <c r="G179" s="2003"/>
      <c r="H179" s="2003"/>
      <c r="I179" s="2003"/>
      <c r="J179" s="2003"/>
      <c r="K179" s="2003"/>
      <c r="L179" s="2003"/>
      <c r="M179" s="2003"/>
      <c r="N179" s="2003"/>
      <c r="O179" s="2003"/>
      <c r="P179" s="2003"/>
      <c r="Q179" s="2003"/>
      <c r="R179" s="2003"/>
      <c r="S179" s="2003"/>
      <c r="T179" s="2003"/>
      <c r="U179" s="2003"/>
      <c r="V179" s="2003"/>
      <c r="W179" s="2003"/>
      <c r="X179" s="2003"/>
      <c r="Y179" s="2003"/>
      <c r="Z179" s="2003"/>
      <c r="AA179" s="2003"/>
      <c r="AB179" s="2003"/>
      <c r="AC179" s="2003"/>
      <c r="AD179" s="2003"/>
      <c r="AE179" s="2003"/>
      <c r="AF179" s="2003"/>
      <c r="AG179" s="2003"/>
      <c r="AH179" s="2003"/>
      <c r="AI179" s="2003"/>
      <c r="AJ179" s="2003"/>
      <c r="AK179" s="2003"/>
      <c r="AL179" s="2003"/>
      <c r="AM179" s="2003"/>
      <c r="AN179" s="2003"/>
      <c r="AO179" s="2003"/>
      <c r="AP179" s="2003"/>
      <c r="AQ179" s="2003"/>
      <c r="AR179" s="2003"/>
      <c r="AS179" s="2003"/>
      <c r="AT179" s="2003"/>
      <c r="AU179" s="2003"/>
      <c r="AV179" s="2003"/>
      <c r="AW179" s="2003"/>
      <c r="AX179" s="2003"/>
      <c r="AY179" s="2003"/>
      <c r="AZ179" s="2003"/>
      <c r="BA179" s="2003"/>
      <c r="BB179" s="2003"/>
      <c r="BC179" s="2003"/>
      <c r="BD179" s="2003"/>
      <c r="BE179" s="2003"/>
      <c r="BF179" s="2003"/>
      <c r="BG179" s="2003"/>
      <c r="BH179" s="2003"/>
      <c r="BI179" s="2003"/>
      <c r="BJ179" s="2003"/>
      <c r="BK179" s="2003"/>
      <c r="BL179" s="2003"/>
      <c r="BM179" s="2003"/>
      <c r="BN179" s="2003">
        <f t="shared" ref="BN179:CA179" si="155">BN159</f>
        <v>0</v>
      </c>
      <c r="BO179" s="2003">
        <f t="shared" si="155"/>
        <v>0</v>
      </c>
      <c r="BP179" s="2003">
        <f t="shared" si="155"/>
        <v>0</v>
      </c>
      <c r="BQ179" s="2003">
        <f t="shared" si="155"/>
        <v>0</v>
      </c>
      <c r="BR179" s="2003">
        <f t="shared" si="155"/>
        <v>0</v>
      </c>
      <c r="BS179" s="2003">
        <f t="shared" si="155"/>
        <v>0</v>
      </c>
      <c r="BT179" s="2003">
        <f t="shared" si="155"/>
        <v>0</v>
      </c>
      <c r="BU179" s="2003">
        <f t="shared" si="155"/>
        <v>0</v>
      </c>
      <c r="BV179" s="2003">
        <f t="shared" si="155"/>
        <v>0</v>
      </c>
      <c r="BW179" s="2003">
        <f t="shared" si="155"/>
        <v>0</v>
      </c>
      <c r="BX179" s="2003">
        <f t="shared" si="155"/>
        <v>5600</v>
      </c>
      <c r="BY179" s="2003">
        <f t="shared" si="155"/>
        <v>5600</v>
      </c>
      <c r="BZ179" s="2003">
        <f t="shared" si="155"/>
        <v>5600</v>
      </c>
      <c r="CA179" s="2003">
        <f t="shared" si="155"/>
        <v>5600</v>
      </c>
      <c r="CB179" s="2003"/>
      <c r="CC179" s="2003"/>
      <c r="CD179" s="2003"/>
      <c r="CE179" s="2003"/>
      <c r="CF179" s="2003"/>
      <c r="CG179" s="2003"/>
      <c r="CH179" s="2003"/>
      <c r="CI179" s="2003"/>
      <c r="CJ179" s="2003"/>
      <c r="CK179" s="2003"/>
      <c r="CL179" s="2003"/>
      <c r="CM179" s="2003"/>
      <c r="CN179" s="2003"/>
      <c r="CO179" s="2003"/>
      <c r="CP179" s="2003"/>
      <c r="CQ179" s="2003"/>
      <c r="CR179" s="2003"/>
      <c r="CS179" s="2003"/>
      <c r="CT179" s="2003"/>
      <c r="CU179" s="2003"/>
      <c r="CV179" s="2003"/>
      <c r="CW179" s="2003"/>
      <c r="CX179" s="2003"/>
      <c r="CY179" s="2003"/>
      <c r="CZ179" s="2003"/>
      <c r="DA179" s="2003"/>
      <c r="DB179" s="2003"/>
      <c r="DC179" s="2003"/>
      <c r="DD179" s="2003"/>
      <c r="DE179" s="2003"/>
      <c r="DF179" s="2003"/>
      <c r="DG179" s="2003"/>
      <c r="DH179" s="2003"/>
      <c r="DI179" s="2003"/>
      <c r="DJ179" s="2003"/>
      <c r="DK179" s="2003"/>
      <c r="DL179" s="2003"/>
      <c r="DM179" s="2003"/>
      <c r="DN179" s="2003"/>
      <c r="DO179" s="2004"/>
      <c r="DP179" s="2003"/>
      <c r="DQ179" s="2003"/>
      <c r="DR179" s="2005"/>
      <c r="DS179" s="2005"/>
      <c r="DT179" s="2005"/>
      <c r="DU179" s="2005"/>
      <c r="DV179" s="2005"/>
      <c r="DW179" s="2005"/>
      <c r="DX179" s="2005"/>
      <c r="DY179" s="2005"/>
      <c r="DZ179" s="2005"/>
      <c r="EA179" s="2005"/>
      <c r="FF179" s="1616"/>
    </row>
    <row r="180" spans="1:162" hidden="1" outlineLevel="2">
      <c r="A180" s="1624" t="s">
        <v>1314</v>
      </c>
      <c r="B180" s="1624" t="s">
        <v>2062</v>
      </c>
      <c r="C180" s="1624" t="s">
        <v>2091</v>
      </c>
      <c r="D180" s="1624" t="s">
        <v>722</v>
      </c>
      <c r="E180" s="2003"/>
      <c r="F180" s="2003"/>
      <c r="G180" s="2003"/>
      <c r="H180" s="2003"/>
      <c r="I180" s="2003"/>
      <c r="J180" s="2003"/>
      <c r="K180" s="2003"/>
      <c r="L180" s="2003"/>
      <c r="M180" s="2003"/>
      <c r="N180" s="2003"/>
      <c r="O180" s="2003"/>
      <c r="P180" s="2003"/>
      <c r="Q180" s="2003"/>
      <c r="R180" s="2003"/>
      <c r="S180" s="2003"/>
      <c r="T180" s="2003"/>
      <c r="U180" s="2003"/>
      <c r="V180" s="2003"/>
      <c r="W180" s="2003"/>
      <c r="X180" s="2003"/>
      <c r="Y180" s="2003"/>
      <c r="Z180" s="2003"/>
      <c r="AA180" s="2003"/>
      <c r="AB180" s="2003"/>
      <c r="AC180" s="2003"/>
      <c r="AD180" s="2003"/>
      <c r="AE180" s="2003"/>
      <c r="AF180" s="2003"/>
      <c r="AG180" s="2003"/>
      <c r="AH180" s="2003"/>
      <c r="AI180" s="2003"/>
      <c r="AJ180" s="2003"/>
      <c r="AK180" s="2003"/>
      <c r="AL180" s="2003"/>
      <c r="AM180" s="2003"/>
      <c r="AN180" s="2003"/>
      <c r="AO180" s="2003"/>
      <c r="AP180" s="2003"/>
      <c r="AQ180" s="2003"/>
      <c r="AR180" s="2003"/>
      <c r="AS180" s="2003"/>
      <c r="AT180" s="2003"/>
      <c r="AU180" s="2003"/>
      <c r="AV180" s="2003"/>
      <c r="AW180" s="2003"/>
      <c r="AX180" s="2003"/>
      <c r="AY180" s="2003"/>
      <c r="AZ180" s="2003"/>
      <c r="BA180" s="2003"/>
      <c r="BB180" s="2003"/>
      <c r="BC180" s="2003"/>
      <c r="BD180" s="2003"/>
      <c r="BE180" s="2003"/>
      <c r="BF180" s="2003"/>
      <c r="BG180" s="2003"/>
      <c r="BH180" s="2003"/>
      <c r="BI180" s="2003"/>
      <c r="BJ180" s="2003"/>
      <c r="BK180" s="2003"/>
      <c r="BL180" s="2003"/>
      <c r="BM180" s="2003"/>
      <c r="BN180" s="2003">
        <f t="shared" ref="BN180:CA180" si="156">BN160</f>
        <v>0</v>
      </c>
      <c r="BO180" s="2003">
        <f t="shared" si="156"/>
        <v>0</v>
      </c>
      <c r="BP180" s="2003" t="str">
        <f t="shared" si="156"/>
        <v xml:space="preserve"> </v>
      </c>
      <c r="BQ180" s="2003">
        <f t="shared" si="156"/>
        <v>0</v>
      </c>
      <c r="BR180" s="2003">
        <f t="shared" si="156"/>
        <v>0</v>
      </c>
      <c r="BS180" s="2003">
        <f t="shared" si="156"/>
        <v>0</v>
      </c>
      <c r="BT180" s="2003">
        <f t="shared" si="156"/>
        <v>0</v>
      </c>
      <c r="BU180" s="2003">
        <f t="shared" si="156"/>
        <v>0</v>
      </c>
      <c r="BV180" s="2003">
        <f t="shared" si="156"/>
        <v>0</v>
      </c>
      <c r="BW180" s="2003">
        <f t="shared" si="156"/>
        <v>0</v>
      </c>
      <c r="BX180" s="2003">
        <f t="shared" si="156"/>
        <v>5600</v>
      </c>
      <c r="BY180" s="2003">
        <f t="shared" si="156"/>
        <v>5600</v>
      </c>
      <c r="BZ180" s="2003">
        <f t="shared" si="156"/>
        <v>5600</v>
      </c>
      <c r="CA180" s="2003">
        <f t="shared" si="156"/>
        <v>5600</v>
      </c>
      <c r="CB180" s="2003"/>
      <c r="CC180" s="2003"/>
      <c r="CD180" s="2003"/>
      <c r="CE180" s="2003"/>
      <c r="CF180" s="2003"/>
      <c r="CG180" s="2003"/>
      <c r="CH180" s="2003"/>
      <c r="CI180" s="2003"/>
      <c r="CJ180" s="2003"/>
      <c r="CK180" s="2003"/>
      <c r="CL180" s="2003"/>
      <c r="CM180" s="2003"/>
      <c r="CN180" s="2003"/>
      <c r="CO180" s="2003"/>
      <c r="CP180" s="2003"/>
      <c r="CQ180" s="2003"/>
      <c r="CR180" s="2003"/>
      <c r="CS180" s="2003"/>
      <c r="CT180" s="2003"/>
      <c r="CU180" s="2003"/>
      <c r="CV180" s="2003"/>
      <c r="CW180" s="2003"/>
      <c r="CX180" s="2003"/>
      <c r="CY180" s="2003"/>
      <c r="CZ180" s="2003"/>
      <c r="DA180" s="2003"/>
      <c r="DB180" s="2003"/>
      <c r="DC180" s="2003"/>
      <c r="DD180" s="2003"/>
      <c r="DE180" s="2003"/>
      <c r="DF180" s="2003"/>
      <c r="DG180" s="2003"/>
      <c r="DH180" s="2003"/>
      <c r="DI180" s="2003"/>
      <c r="DJ180" s="2003"/>
      <c r="DK180" s="2003"/>
      <c r="DL180" s="2003"/>
      <c r="DM180" s="2003"/>
      <c r="DN180" s="2003"/>
      <c r="DO180" s="2004"/>
      <c r="DP180" s="2003"/>
      <c r="DQ180" s="2003"/>
      <c r="DR180" s="2005"/>
      <c r="DS180" s="2005"/>
      <c r="DT180" s="2005"/>
      <c r="DU180" s="2005"/>
      <c r="DV180" s="2005"/>
      <c r="DW180" s="2005"/>
      <c r="DX180" s="2005"/>
      <c r="DY180" s="2005"/>
      <c r="DZ180" s="2005"/>
      <c r="EA180" s="2005"/>
      <c r="FF180" s="1616"/>
    </row>
    <row r="181" spans="1:162" hidden="1" outlineLevel="2">
      <c r="A181" s="1624" t="s">
        <v>1314</v>
      </c>
      <c r="B181" s="1624" t="s">
        <v>2062</v>
      </c>
      <c r="C181" s="1624" t="s">
        <v>2091</v>
      </c>
      <c r="D181" s="1624" t="s">
        <v>2086</v>
      </c>
      <c r="E181" s="2003"/>
      <c r="F181" s="2003"/>
      <c r="G181" s="2003"/>
      <c r="H181" s="2003"/>
      <c r="I181" s="2003"/>
      <c r="J181" s="2003"/>
      <c r="K181" s="2003"/>
      <c r="L181" s="2003"/>
      <c r="M181" s="2003"/>
      <c r="N181" s="2003"/>
      <c r="O181" s="2003"/>
      <c r="P181" s="2003"/>
      <c r="Q181" s="2003"/>
      <c r="R181" s="2003"/>
      <c r="S181" s="2003"/>
      <c r="T181" s="2003"/>
      <c r="U181" s="2003"/>
      <c r="V181" s="2003"/>
      <c r="W181" s="2003"/>
      <c r="X181" s="2003"/>
      <c r="Y181" s="2003"/>
      <c r="Z181" s="2003"/>
      <c r="AA181" s="2003"/>
      <c r="AB181" s="2003"/>
      <c r="AC181" s="2003"/>
      <c r="AD181" s="2003"/>
      <c r="AE181" s="2003"/>
      <c r="AF181" s="2003"/>
      <c r="AG181" s="2003"/>
      <c r="AH181" s="2003"/>
      <c r="AI181" s="2003"/>
      <c r="AJ181" s="2003"/>
      <c r="AK181" s="2003"/>
      <c r="AL181" s="2003"/>
      <c r="AM181" s="2003"/>
      <c r="AN181" s="2003"/>
      <c r="AO181" s="2003"/>
      <c r="AP181" s="2003"/>
      <c r="AQ181" s="2003"/>
      <c r="AR181" s="2003"/>
      <c r="AS181" s="2003"/>
      <c r="AT181" s="2003"/>
      <c r="AU181" s="2003"/>
      <c r="AV181" s="2003"/>
      <c r="AW181" s="2003"/>
      <c r="AX181" s="2003"/>
      <c r="AY181" s="2003"/>
      <c r="AZ181" s="2003"/>
      <c r="BA181" s="2003"/>
      <c r="BB181" s="2003"/>
      <c r="BC181" s="2003"/>
      <c r="BD181" s="2003"/>
      <c r="BE181" s="2003"/>
      <c r="BF181" s="2003"/>
      <c r="BG181" s="2003"/>
      <c r="BH181" s="2003"/>
      <c r="BI181" s="2003"/>
      <c r="BJ181" s="2003"/>
      <c r="BK181" s="2003"/>
      <c r="BL181" s="2003"/>
      <c r="BM181" s="2003"/>
      <c r="BN181" s="2003">
        <f t="shared" ref="BN181:CA181" si="157">BN161</f>
        <v>0</v>
      </c>
      <c r="BO181" s="2003">
        <f t="shared" si="157"/>
        <v>0</v>
      </c>
      <c r="BP181" s="2003" t="str">
        <f t="shared" si="157"/>
        <v xml:space="preserve"> </v>
      </c>
      <c r="BQ181" s="2003">
        <f t="shared" si="157"/>
        <v>0</v>
      </c>
      <c r="BR181" s="2003">
        <f t="shared" si="157"/>
        <v>0</v>
      </c>
      <c r="BS181" s="2003">
        <f t="shared" si="157"/>
        <v>0</v>
      </c>
      <c r="BT181" s="2003">
        <f t="shared" si="157"/>
        <v>0</v>
      </c>
      <c r="BU181" s="2003">
        <f t="shared" si="157"/>
        <v>0</v>
      </c>
      <c r="BV181" s="2003">
        <f t="shared" si="157"/>
        <v>0</v>
      </c>
      <c r="BW181" s="2003">
        <f t="shared" si="157"/>
        <v>0</v>
      </c>
      <c r="BX181" s="2003">
        <f t="shared" si="157"/>
        <v>5600</v>
      </c>
      <c r="BY181" s="2003">
        <f t="shared" si="157"/>
        <v>5600</v>
      </c>
      <c r="BZ181" s="2003">
        <f t="shared" si="157"/>
        <v>5600</v>
      </c>
      <c r="CA181" s="2003">
        <f t="shared" si="157"/>
        <v>5600</v>
      </c>
      <c r="CB181" s="2003"/>
      <c r="CC181" s="2003"/>
      <c r="CD181" s="2003"/>
      <c r="CE181" s="2003"/>
      <c r="CF181" s="2003"/>
      <c r="CG181" s="2003"/>
      <c r="CH181" s="2003"/>
      <c r="CI181" s="2003"/>
      <c r="CJ181" s="2003"/>
      <c r="CK181" s="2003"/>
      <c r="CL181" s="2003"/>
      <c r="CM181" s="2003"/>
      <c r="CN181" s="2003"/>
      <c r="CO181" s="2003"/>
      <c r="CP181" s="2003"/>
      <c r="CQ181" s="2003"/>
      <c r="CR181" s="2003"/>
      <c r="CS181" s="2003"/>
      <c r="CT181" s="2003"/>
      <c r="CU181" s="2003"/>
      <c r="CV181" s="2003"/>
      <c r="CW181" s="2003"/>
      <c r="CX181" s="2003"/>
      <c r="CY181" s="2003"/>
      <c r="CZ181" s="2003"/>
      <c r="DA181" s="2003"/>
      <c r="DB181" s="2003"/>
      <c r="DC181" s="2003"/>
      <c r="DD181" s="2003"/>
      <c r="DE181" s="2003"/>
      <c r="DF181" s="2003"/>
      <c r="DG181" s="2003"/>
      <c r="DH181" s="2003"/>
      <c r="DI181" s="2003"/>
      <c r="DJ181" s="2003"/>
      <c r="DK181" s="2003"/>
      <c r="DL181" s="2003"/>
      <c r="DM181" s="2003"/>
      <c r="DN181" s="2003"/>
      <c r="DO181" s="2004"/>
      <c r="DP181" s="2003"/>
      <c r="DQ181" s="2003"/>
      <c r="DR181" s="2005"/>
      <c r="DS181" s="2005"/>
      <c r="DT181" s="2005"/>
      <c r="DU181" s="2005"/>
      <c r="DV181" s="2005"/>
      <c r="DW181" s="2005"/>
      <c r="DX181" s="2005"/>
      <c r="DY181" s="2005"/>
      <c r="DZ181" s="2005"/>
      <c r="EA181" s="2005"/>
      <c r="FF181" s="1616"/>
    </row>
    <row r="182" spans="1:162" hidden="1" outlineLevel="2">
      <c r="A182" s="1624" t="s">
        <v>1314</v>
      </c>
      <c r="B182" s="1624" t="s">
        <v>2062</v>
      </c>
      <c r="C182" s="1624" t="s">
        <v>2091</v>
      </c>
      <c r="D182" s="1624" t="s">
        <v>2087</v>
      </c>
      <c r="E182" s="2003"/>
      <c r="F182" s="2003"/>
      <c r="G182" s="2003"/>
      <c r="H182" s="2003"/>
      <c r="I182" s="2003"/>
      <c r="J182" s="2003"/>
      <c r="K182" s="2003"/>
      <c r="L182" s="2003"/>
      <c r="M182" s="2003"/>
      <c r="N182" s="2003"/>
      <c r="O182" s="2003"/>
      <c r="P182" s="2003"/>
      <c r="Q182" s="2003"/>
      <c r="R182" s="2003"/>
      <c r="S182" s="2003"/>
      <c r="T182" s="2003"/>
      <c r="U182" s="2003"/>
      <c r="V182" s="2003"/>
      <c r="W182" s="2003"/>
      <c r="X182" s="2003"/>
      <c r="Y182" s="2003"/>
      <c r="Z182" s="2003"/>
      <c r="AA182" s="2003"/>
      <c r="AB182" s="2003"/>
      <c r="AC182" s="2003"/>
      <c r="AD182" s="2003"/>
      <c r="AE182" s="2003"/>
      <c r="AF182" s="2003"/>
      <c r="AG182" s="2003"/>
      <c r="AH182" s="2003"/>
      <c r="AI182" s="2003"/>
      <c r="AJ182" s="2003"/>
      <c r="AK182" s="2003"/>
      <c r="AL182" s="2003"/>
      <c r="AM182" s="2003"/>
      <c r="AN182" s="2003"/>
      <c r="AO182" s="2003"/>
      <c r="AP182" s="2003"/>
      <c r="AQ182" s="2003"/>
      <c r="AR182" s="2003"/>
      <c r="AS182" s="2003"/>
      <c r="AT182" s="2003"/>
      <c r="AU182" s="2003"/>
      <c r="AV182" s="2003"/>
      <c r="AW182" s="2003"/>
      <c r="AX182" s="2003"/>
      <c r="AY182" s="2003"/>
      <c r="AZ182" s="2003"/>
      <c r="BA182" s="2003"/>
      <c r="BB182" s="2003"/>
      <c r="BC182" s="2003"/>
      <c r="BD182" s="2003"/>
      <c r="BE182" s="2003"/>
      <c r="BF182" s="2003"/>
      <c r="BG182" s="2003"/>
      <c r="BH182" s="2003"/>
      <c r="BI182" s="2003"/>
      <c r="BJ182" s="2003"/>
      <c r="BK182" s="2003"/>
      <c r="BL182" s="2003"/>
      <c r="BM182" s="2003"/>
      <c r="BN182" s="2003">
        <f t="shared" ref="BN182:CA182" si="158">BN162</f>
        <v>0</v>
      </c>
      <c r="BO182" s="2003">
        <f t="shared" si="158"/>
        <v>0</v>
      </c>
      <c r="BP182" s="2003">
        <f t="shared" si="158"/>
        <v>0</v>
      </c>
      <c r="BQ182" s="2003">
        <f t="shared" si="158"/>
        <v>0</v>
      </c>
      <c r="BR182" s="2003">
        <f t="shared" si="158"/>
        <v>0</v>
      </c>
      <c r="BS182" s="2003">
        <f t="shared" si="158"/>
        <v>0</v>
      </c>
      <c r="BT182" s="2003">
        <f t="shared" si="158"/>
        <v>0</v>
      </c>
      <c r="BU182" s="2003">
        <f t="shared" si="158"/>
        <v>0</v>
      </c>
      <c r="BV182" s="2003">
        <f t="shared" si="158"/>
        <v>0</v>
      </c>
      <c r="BW182" s="2003">
        <f t="shared" si="158"/>
        <v>0</v>
      </c>
      <c r="BX182" s="2003">
        <f t="shared" si="158"/>
        <v>5600</v>
      </c>
      <c r="BY182" s="2003">
        <f t="shared" si="158"/>
        <v>5600</v>
      </c>
      <c r="BZ182" s="2003">
        <f t="shared" si="158"/>
        <v>5600</v>
      </c>
      <c r="CA182" s="2003">
        <f t="shared" si="158"/>
        <v>5600</v>
      </c>
      <c r="CB182" s="2003"/>
      <c r="CC182" s="2003"/>
      <c r="CD182" s="2003"/>
      <c r="CE182" s="2003"/>
      <c r="CF182" s="2003"/>
      <c r="CG182" s="2003"/>
      <c r="CH182" s="2003"/>
      <c r="CI182" s="2003"/>
      <c r="CJ182" s="2003"/>
      <c r="CK182" s="2003"/>
      <c r="CL182" s="2003"/>
      <c r="CM182" s="2003"/>
      <c r="CN182" s="2003"/>
      <c r="CO182" s="2003"/>
      <c r="CP182" s="2003"/>
      <c r="CQ182" s="2003"/>
      <c r="CR182" s="2003"/>
      <c r="CS182" s="2003"/>
      <c r="CT182" s="2003"/>
      <c r="CU182" s="2003"/>
      <c r="CV182" s="2003"/>
      <c r="CW182" s="2003"/>
      <c r="CX182" s="2003"/>
      <c r="CY182" s="2003"/>
      <c r="CZ182" s="2003"/>
      <c r="DA182" s="2003"/>
      <c r="DB182" s="2003"/>
      <c r="DC182" s="2003"/>
      <c r="DD182" s="2003"/>
      <c r="DE182" s="2003"/>
      <c r="DF182" s="2003"/>
      <c r="DG182" s="2003"/>
      <c r="DH182" s="2003"/>
      <c r="DI182" s="2003"/>
      <c r="DJ182" s="2003"/>
      <c r="DK182" s="2003"/>
      <c r="DL182" s="2003"/>
      <c r="DM182" s="2003"/>
      <c r="DN182" s="2003"/>
      <c r="DO182" s="2004"/>
      <c r="DP182" s="2003"/>
      <c r="DQ182" s="2003"/>
      <c r="DR182" s="2005"/>
      <c r="DS182" s="2005"/>
      <c r="DT182" s="2005"/>
      <c r="DU182" s="2005"/>
      <c r="DV182" s="2005"/>
      <c r="DW182" s="2005"/>
      <c r="DX182" s="2005"/>
      <c r="DY182" s="2005"/>
      <c r="DZ182" s="2005"/>
      <c r="EA182" s="2005"/>
      <c r="FF182" s="1616"/>
    </row>
    <row r="183" spans="1:162" hidden="1" outlineLevel="2">
      <c r="A183" s="1624" t="s">
        <v>1314</v>
      </c>
      <c r="B183" s="1624" t="s">
        <v>2063</v>
      </c>
      <c r="C183" s="1624" t="s">
        <v>2091</v>
      </c>
      <c r="D183" s="1624" t="s">
        <v>2085</v>
      </c>
      <c r="E183" s="2003"/>
      <c r="F183" s="2003"/>
      <c r="G183" s="2003"/>
      <c r="H183" s="2003"/>
      <c r="I183" s="2003"/>
      <c r="J183" s="2003"/>
      <c r="K183" s="2003"/>
      <c r="L183" s="2003"/>
      <c r="M183" s="2003"/>
      <c r="N183" s="2003"/>
      <c r="O183" s="2003"/>
      <c r="P183" s="2003"/>
      <c r="Q183" s="2003"/>
      <c r="R183" s="2003"/>
      <c r="S183" s="2003"/>
      <c r="T183" s="2003"/>
      <c r="U183" s="2003"/>
      <c r="V183" s="2003"/>
      <c r="W183" s="2003"/>
      <c r="X183" s="2003"/>
      <c r="Y183" s="2003"/>
      <c r="Z183" s="2003"/>
      <c r="AA183" s="2003"/>
      <c r="AB183" s="2003"/>
      <c r="AC183" s="2003"/>
      <c r="AD183" s="2003"/>
      <c r="AE183" s="2003"/>
      <c r="AF183" s="2003"/>
      <c r="AG183" s="2003"/>
      <c r="AH183" s="2003"/>
      <c r="AI183" s="2003"/>
      <c r="AJ183" s="2003"/>
      <c r="AK183" s="2003"/>
      <c r="AL183" s="2003"/>
      <c r="AM183" s="2003"/>
      <c r="AN183" s="2003"/>
      <c r="AO183" s="2003"/>
      <c r="AP183" s="2003"/>
      <c r="AQ183" s="2003"/>
      <c r="AR183" s="2003"/>
      <c r="AS183" s="2003"/>
      <c r="AT183" s="2003"/>
      <c r="AU183" s="2003"/>
      <c r="AV183" s="2003"/>
      <c r="AW183" s="2003"/>
      <c r="AX183" s="2003"/>
      <c r="AY183" s="2003"/>
      <c r="AZ183" s="2003"/>
      <c r="BA183" s="2003"/>
      <c r="BB183" s="2003"/>
      <c r="BC183" s="2003"/>
      <c r="BD183" s="2003"/>
      <c r="BE183" s="2003"/>
      <c r="BF183" s="2003"/>
      <c r="BG183" s="2003"/>
      <c r="BH183" s="2003"/>
      <c r="BI183" s="2003"/>
      <c r="BJ183" s="2003"/>
      <c r="BK183" s="2003"/>
      <c r="BL183" s="2003"/>
      <c r="BM183" s="2003"/>
      <c r="BN183" s="2003">
        <f t="shared" ref="BN183:CA183" si="159">BN163</f>
        <v>0</v>
      </c>
      <c r="BO183" s="2003">
        <f t="shared" si="159"/>
        <v>0</v>
      </c>
      <c r="BP183" s="2003" t="str">
        <f t="shared" si="159"/>
        <v xml:space="preserve"> </v>
      </c>
      <c r="BQ183" s="2003">
        <f t="shared" si="159"/>
        <v>0</v>
      </c>
      <c r="BR183" s="2003">
        <f t="shared" si="159"/>
        <v>0</v>
      </c>
      <c r="BS183" s="2003">
        <f t="shared" si="159"/>
        <v>0</v>
      </c>
      <c r="BT183" s="2003">
        <f t="shared" si="159"/>
        <v>0</v>
      </c>
      <c r="BU183" s="2003">
        <f t="shared" si="159"/>
        <v>0</v>
      </c>
      <c r="BV183" s="2003">
        <f t="shared" si="159"/>
        <v>0</v>
      </c>
      <c r="BW183" s="2003">
        <f t="shared" si="159"/>
        <v>0</v>
      </c>
      <c r="BX183" s="2003">
        <f t="shared" si="159"/>
        <v>0</v>
      </c>
      <c r="BY183" s="2003">
        <f t="shared" si="159"/>
        <v>5600</v>
      </c>
      <c r="BZ183" s="2003">
        <f t="shared" si="159"/>
        <v>5600</v>
      </c>
      <c r="CA183" s="2003">
        <f t="shared" si="159"/>
        <v>5600</v>
      </c>
      <c r="CB183" s="2003"/>
      <c r="CC183" s="2003"/>
      <c r="CD183" s="2003"/>
      <c r="CE183" s="2003"/>
      <c r="CF183" s="2003"/>
      <c r="CG183" s="2003"/>
      <c r="CH183" s="2003"/>
      <c r="CI183" s="2003"/>
      <c r="CJ183" s="2003"/>
      <c r="CK183" s="2003"/>
      <c r="CL183" s="2003"/>
      <c r="CM183" s="2003"/>
      <c r="CN183" s="2003"/>
      <c r="CO183" s="2003"/>
      <c r="CP183" s="2003"/>
      <c r="CQ183" s="2003"/>
      <c r="CR183" s="2003"/>
      <c r="CS183" s="2003"/>
      <c r="CT183" s="2003"/>
      <c r="CU183" s="2003"/>
      <c r="CV183" s="2003"/>
      <c r="CW183" s="2003"/>
      <c r="CX183" s="2003"/>
      <c r="CY183" s="2003"/>
      <c r="CZ183" s="2003"/>
      <c r="DA183" s="2003"/>
      <c r="DB183" s="2003"/>
      <c r="DC183" s="2003"/>
      <c r="DD183" s="2003"/>
      <c r="DE183" s="2003"/>
      <c r="DF183" s="2003"/>
      <c r="DG183" s="2003"/>
      <c r="DH183" s="2003"/>
      <c r="DI183" s="2003"/>
      <c r="DJ183" s="2003"/>
      <c r="DK183" s="2003"/>
      <c r="DL183" s="2003"/>
      <c r="DM183" s="2003"/>
      <c r="DN183" s="2003"/>
      <c r="DO183" s="2004"/>
      <c r="DP183" s="2003"/>
      <c r="DQ183" s="2003"/>
      <c r="DR183" s="2005"/>
      <c r="DS183" s="2005"/>
      <c r="DT183" s="2005"/>
      <c r="DU183" s="2005"/>
      <c r="DV183" s="2005"/>
      <c r="DW183" s="2005"/>
      <c r="DX183" s="2005"/>
      <c r="DY183" s="2005"/>
      <c r="DZ183" s="2005"/>
      <c r="EA183" s="2005"/>
      <c r="FF183" s="1616"/>
    </row>
    <row r="184" spans="1:162" hidden="1" outlineLevel="2">
      <c r="A184" s="1624" t="s">
        <v>1314</v>
      </c>
      <c r="B184" s="1624" t="s">
        <v>2063</v>
      </c>
      <c r="C184" s="1624" t="s">
        <v>2091</v>
      </c>
      <c r="D184" s="1624" t="s">
        <v>722</v>
      </c>
      <c r="E184" s="2003"/>
      <c r="F184" s="2003"/>
      <c r="G184" s="2003"/>
      <c r="H184" s="2003"/>
      <c r="I184" s="2003"/>
      <c r="J184" s="2003"/>
      <c r="K184" s="2003"/>
      <c r="L184" s="2003"/>
      <c r="M184" s="2003"/>
      <c r="N184" s="2003"/>
      <c r="O184" s="2003"/>
      <c r="P184" s="2003"/>
      <c r="Q184" s="2003"/>
      <c r="R184" s="2003"/>
      <c r="S184" s="2003"/>
      <c r="T184" s="2003"/>
      <c r="U184" s="2003"/>
      <c r="V184" s="2003"/>
      <c r="W184" s="2003"/>
      <c r="X184" s="2003"/>
      <c r="Y184" s="2003"/>
      <c r="Z184" s="2003"/>
      <c r="AA184" s="2003"/>
      <c r="AB184" s="2003"/>
      <c r="AC184" s="2003"/>
      <c r="AD184" s="2003"/>
      <c r="AE184" s="2003"/>
      <c r="AF184" s="2003"/>
      <c r="AG184" s="2003"/>
      <c r="AH184" s="2003"/>
      <c r="AI184" s="2003"/>
      <c r="AJ184" s="2003"/>
      <c r="AK184" s="2003"/>
      <c r="AL184" s="2003"/>
      <c r="AM184" s="2003"/>
      <c r="AN184" s="2003"/>
      <c r="AO184" s="2003"/>
      <c r="AP184" s="2003"/>
      <c r="AQ184" s="2003"/>
      <c r="AR184" s="2003"/>
      <c r="AS184" s="2003"/>
      <c r="AT184" s="2003"/>
      <c r="AU184" s="2003"/>
      <c r="AV184" s="2003"/>
      <c r="AW184" s="2003"/>
      <c r="AX184" s="2003"/>
      <c r="AY184" s="2003"/>
      <c r="AZ184" s="2003"/>
      <c r="BA184" s="2003"/>
      <c r="BB184" s="2003"/>
      <c r="BC184" s="2003"/>
      <c r="BD184" s="2003"/>
      <c r="BE184" s="2003"/>
      <c r="BF184" s="2003"/>
      <c r="BG184" s="2003"/>
      <c r="BH184" s="2003"/>
      <c r="BI184" s="2003"/>
      <c r="BJ184" s="2003"/>
      <c r="BK184" s="2003"/>
      <c r="BL184" s="2003"/>
      <c r="BM184" s="2003"/>
      <c r="BN184" s="2003">
        <f t="shared" ref="BN184:CA184" si="160">BN164</f>
        <v>0</v>
      </c>
      <c r="BO184" s="2003">
        <f t="shared" si="160"/>
        <v>0</v>
      </c>
      <c r="BP184" s="2003" t="str">
        <f t="shared" si="160"/>
        <v xml:space="preserve"> </v>
      </c>
      <c r="BQ184" s="2003">
        <f t="shared" si="160"/>
        <v>0</v>
      </c>
      <c r="BR184" s="2003">
        <f t="shared" si="160"/>
        <v>0</v>
      </c>
      <c r="BS184" s="2003">
        <f t="shared" si="160"/>
        <v>0</v>
      </c>
      <c r="BT184" s="2003">
        <f t="shared" si="160"/>
        <v>0</v>
      </c>
      <c r="BU184" s="2003">
        <f t="shared" si="160"/>
        <v>0</v>
      </c>
      <c r="BV184" s="2003">
        <f t="shared" si="160"/>
        <v>0</v>
      </c>
      <c r="BW184" s="2003">
        <f t="shared" si="160"/>
        <v>0</v>
      </c>
      <c r="BX184" s="2003">
        <f t="shared" si="160"/>
        <v>0</v>
      </c>
      <c r="BY184" s="2003">
        <f t="shared" si="160"/>
        <v>5600</v>
      </c>
      <c r="BZ184" s="2003">
        <f t="shared" si="160"/>
        <v>5600</v>
      </c>
      <c r="CA184" s="2003">
        <f t="shared" si="160"/>
        <v>5600</v>
      </c>
      <c r="CB184" s="2003"/>
      <c r="CC184" s="2003"/>
      <c r="CD184" s="2003"/>
      <c r="CE184" s="2003"/>
      <c r="CF184" s="2003"/>
      <c r="CG184" s="2003"/>
      <c r="CH184" s="2003"/>
      <c r="CI184" s="2003"/>
      <c r="CJ184" s="2003"/>
      <c r="CK184" s="2003"/>
      <c r="CL184" s="2003"/>
      <c r="CM184" s="2003"/>
      <c r="CN184" s="2003"/>
      <c r="CO184" s="2003"/>
      <c r="CP184" s="2003"/>
      <c r="CQ184" s="2003"/>
      <c r="CR184" s="2003"/>
      <c r="CS184" s="2003"/>
      <c r="CT184" s="2003"/>
      <c r="CU184" s="2003"/>
      <c r="CV184" s="2003"/>
      <c r="CW184" s="2003"/>
      <c r="CX184" s="2003"/>
      <c r="CY184" s="2003"/>
      <c r="CZ184" s="2003"/>
      <c r="DA184" s="2003"/>
      <c r="DB184" s="2003"/>
      <c r="DC184" s="2003"/>
      <c r="DD184" s="2003"/>
      <c r="DE184" s="2003"/>
      <c r="DF184" s="2003"/>
      <c r="DG184" s="2003"/>
      <c r="DH184" s="2003"/>
      <c r="DI184" s="2003"/>
      <c r="DJ184" s="2003"/>
      <c r="DK184" s="2003"/>
      <c r="DL184" s="2003"/>
      <c r="DM184" s="2003"/>
      <c r="DN184" s="2003"/>
      <c r="DO184" s="2004"/>
      <c r="DP184" s="2003"/>
      <c r="DQ184" s="2003"/>
      <c r="DR184" s="2005"/>
      <c r="DS184" s="2005"/>
      <c r="DT184" s="2005"/>
      <c r="DU184" s="2005"/>
      <c r="DV184" s="2005"/>
      <c r="DW184" s="2005"/>
      <c r="DX184" s="2005"/>
      <c r="DY184" s="2005"/>
      <c r="DZ184" s="2005"/>
      <c r="EA184" s="2005"/>
      <c r="FF184" s="1616"/>
    </row>
    <row r="185" spans="1:162" hidden="1" outlineLevel="2">
      <c r="A185" s="1624" t="s">
        <v>1314</v>
      </c>
      <c r="B185" s="1624" t="s">
        <v>2063</v>
      </c>
      <c r="C185" s="1624" t="s">
        <v>2091</v>
      </c>
      <c r="D185" s="1624" t="s">
        <v>2086</v>
      </c>
      <c r="E185" s="2003"/>
      <c r="F185" s="2003"/>
      <c r="G185" s="2003"/>
      <c r="H185" s="2003"/>
      <c r="I185" s="2003"/>
      <c r="J185" s="2003"/>
      <c r="K185" s="2003"/>
      <c r="L185" s="2003"/>
      <c r="M185" s="2003"/>
      <c r="N185" s="2003"/>
      <c r="O185" s="2003"/>
      <c r="P185" s="2003"/>
      <c r="Q185" s="2003"/>
      <c r="R185" s="2003"/>
      <c r="S185" s="2003"/>
      <c r="T185" s="2003"/>
      <c r="U185" s="2003"/>
      <c r="V185" s="2003"/>
      <c r="W185" s="2003"/>
      <c r="X185" s="2003"/>
      <c r="Y185" s="2003"/>
      <c r="Z185" s="2003"/>
      <c r="AA185" s="2003"/>
      <c r="AB185" s="2003"/>
      <c r="AC185" s="2003"/>
      <c r="AD185" s="2003"/>
      <c r="AE185" s="2003"/>
      <c r="AF185" s="2003"/>
      <c r="AG185" s="2003"/>
      <c r="AH185" s="2003"/>
      <c r="AI185" s="2003"/>
      <c r="AJ185" s="2003"/>
      <c r="AK185" s="2003"/>
      <c r="AL185" s="2003"/>
      <c r="AM185" s="2003"/>
      <c r="AN185" s="2003"/>
      <c r="AO185" s="2003"/>
      <c r="AP185" s="2003"/>
      <c r="AQ185" s="2003"/>
      <c r="AR185" s="2003"/>
      <c r="AS185" s="2003"/>
      <c r="AT185" s="2003"/>
      <c r="AU185" s="2003"/>
      <c r="AV185" s="2003"/>
      <c r="AW185" s="2003"/>
      <c r="AX185" s="2003"/>
      <c r="AY185" s="2003"/>
      <c r="AZ185" s="2003"/>
      <c r="BA185" s="2003"/>
      <c r="BB185" s="2003"/>
      <c r="BC185" s="2003"/>
      <c r="BD185" s="2003"/>
      <c r="BE185" s="2003"/>
      <c r="BF185" s="2003"/>
      <c r="BG185" s="2003"/>
      <c r="BH185" s="2003"/>
      <c r="BI185" s="2003"/>
      <c r="BJ185" s="2003"/>
      <c r="BK185" s="2003"/>
      <c r="BL185" s="2003"/>
      <c r="BM185" s="2003"/>
      <c r="BN185" s="2003">
        <f t="shared" ref="BN185:CA185" si="161">BN165</f>
        <v>0</v>
      </c>
      <c r="BO185" s="2003">
        <f t="shared" si="161"/>
        <v>0</v>
      </c>
      <c r="BP185" s="2003" t="str">
        <f t="shared" si="161"/>
        <v xml:space="preserve"> </v>
      </c>
      <c r="BQ185" s="2003">
        <f t="shared" si="161"/>
        <v>0</v>
      </c>
      <c r="BR185" s="2003">
        <f t="shared" si="161"/>
        <v>0</v>
      </c>
      <c r="BS185" s="2003">
        <f t="shared" si="161"/>
        <v>0</v>
      </c>
      <c r="BT185" s="2003">
        <f t="shared" si="161"/>
        <v>0</v>
      </c>
      <c r="BU185" s="2003">
        <f t="shared" si="161"/>
        <v>0</v>
      </c>
      <c r="BV185" s="2003">
        <f t="shared" si="161"/>
        <v>0</v>
      </c>
      <c r="BW185" s="2003">
        <f t="shared" si="161"/>
        <v>0</v>
      </c>
      <c r="BX185" s="2003">
        <f t="shared" si="161"/>
        <v>0</v>
      </c>
      <c r="BY185" s="2003">
        <f t="shared" si="161"/>
        <v>5600</v>
      </c>
      <c r="BZ185" s="2003">
        <f t="shared" si="161"/>
        <v>5600</v>
      </c>
      <c r="CA185" s="2003">
        <f t="shared" si="161"/>
        <v>5600</v>
      </c>
      <c r="CB185" s="2003"/>
      <c r="CC185" s="2003"/>
      <c r="CD185" s="2003"/>
      <c r="CE185" s="2003"/>
      <c r="CF185" s="2003"/>
      <c r="CG185" s="2003"/>
      <c r="CH185" s="2003"/>
      <c r="CI185" s="2003"/>
      <c r="CJ185" s="2003"/>
      <c r="CK185" s="2003"/>
      <c r="CL185" s="2003"/>
      <c r="CM185" s="2003"/>
      <c r="CN185" s="2003"/>
      <c r="CO185" s="2003"/>
      <c r="CP185" s="2003"/>
      <c r="CQ185" s="2003"/>
      <c r="CR185" s="2003"/>
      <c r="CS185" s="2003"/>
      <c r="CT185" s="2003"/>
      <c r="CU185" s="2003"/>
      <c r="CV185" s="2003"/>
      <c r="CW185" s="2003"/>
      <c r="CX185" s="2003"/>
      <c r="CY185" s="2003"/>
      <c r="CZ185" s="2003"/>
      <c r="DA185" s="2003"/>
      <c r="DB185" s="2003"/>
      <c r="DC185" s="2003"/>
      <c r="DD185" s="2003"/>
      <c r="DE185" s="2003"/>
      <c r="DF185" s="2003"/>
      <c r="DG185" s="2003"/>
      <c r="DH185" s="2003"/>
      <c r="DI185" s="2003"/>
      <c r="DJ185" s="2003"/>
      <c r="DK185" s="2003"/>
      <c r="DL185" s="2003"/>
      <c r="DM185" s="2003"/>
      <c r="DN185" s="2003"/>
      <c r="DO185" s="2004"/>
      <c r="DP185" s="2003"/>
      <c r="DQ185" s="2003"/>
      <c r="DR185" s="2005"/>
      <c r="DS185" s="2005"/>
      <c r="DT185" s="2005"/>
      <c r="DU185" s="2005"/>
      <c r="DV185" s="2005"/>
      <c r="DW185" s="2005"/>
      <c r="DX185" s="2005"/>
      <c r="DY185" s="2005"/>
      <c r="DZ185" s="2005"/>
      <c r="EA185" s="2005"/>
      <c r="FF185" s="1616"/>
    </row>
    <row r="186" spans="1:162" hidden="1" outlineLevel="2">
      <c r="A186" s="1624" t="s">
        <v>1314</v>
      </c>
      <c r="B186" s="1624" t="s">
        <v>2063</v>
      </c>
      <c r="C186" s="1624" t="s">
        <v>2091</v>
      </c>
      <c r="D186" s="1624" t="s">
        <v>2087</v>
      </c>
      <c r="E186" s="2003"/>
      <c r="F186" s="2003"/>
      <c r="G186" s="2003"/>
      <c r="H186" s="2003"/>
      <c r="I186" s="2003"/>
      <c r="J186" s="2003"/>
      <c r="K186" s="2003"/>
      <c r="L186" s="2003"/>
      <c r="M186" s="2003"/>
      <c r="N186" s="2003"/>
      <c r="O186" s="2003"/>
      <c r="P186" s="2003"/>
      <c r="Q186" s="2003"/>
      <c r="R186" s="2003"/>
      <c r="S186" s="2003"/>
      <c r="T186" s="2003"/>
      <c r="U186" s="2003"/>
      <c r="V186" s="2003"/>
      <c r="W186" s="2003"/>
      <c r="X186" s="2003"/>
      <c r="Y186" s="2003"/>
      <c r="Z186" s="2003"/>
      <c r="AA186" s="2003"/>
      <c r="AB186" s="2003"/>
      <c r="AC186" s="2003"/>
      <c r="AD186" s="2003"/>
      <c r="AE186" s="2003"/>
      <c r="AF186" s="2003"/>
      <c r="AG186" s="2003"/>
      <c r="AH186" s="2003"/>
      <c r="AI186" s="2003"/>
      <c r="AJ186" s="2003"/>
      <c r="AK186" s="2003"/>
      <c r="AL186" s="2003"/>
      <c r="AM186" s="2003"/>
      <c r="AN186" s="2003"/>
      <c r="AO186" s="2003"/>
      <c r="AP186" s="2003"/>
      <c r="AQ186" s="2003"/>
      <c r="AR186" s="2003"/>
      <c r="AS186" s="2003"/>
      <c r="AT186" s="2003"/>
      <c r="AU186" s="2003"/>
      <c r="AV186" s="2003"/>
      <c r="AW186" s="2003"/>
      <c r="AX186" s="2003"/>
      <c r="AY186" s="2003"/>
      <c r="AZ186" s="2003"/>
      <c r="BA186" s="2003"/>
      <c r="BB186" s="2003"/>
      <c r="BC186" s="2003"/>
      <c r="BD186" s="2003"/>
      <c r="BE186" s="2003"/>
      <c r="BF186" s="2003"/>
      <c r="BG186" s="2003"/>
      <c r="BH186" s="2003"/>
      <c r="BI186" s="2003"/>
      <c r="BJ186" s="2003"/>
      <c r="BK186" s="2003"/>
      <c r="BL186" s="2003"/>
      <c r="BM186" s="2003"/>
      <c r="BN186" s="2003">
        <f t="shared" ref="BN186:CA186" si="162">BN166</f>
        <v>0</v>
      </c>
      <c r="BO186" s="2003">
        <f t="shared" si="162"/>
        <v>0</v>
      </c>
      <c r="BP186" s="2003">
        <f t="shared" si="162"/>
        <v>0</v>
      </c>
      <c r="BQ186" s="2003">
        <f t="shared" si="162"/>
        <v>0</v>
      </c>
      <c r="BR186" s="2003">
        <f t="shared" si="162"/>
        <v>0</v>
      </c>
      <c r="BS186" s="2003">
        <f t="shared" si="162"/>
        <v>0</v>
      </c>
      <c r="BT186" s="2003">
        <f t="shared" si="162"/>
        <v>0</v>
      </c>
      <c r="BU186" s="2003">
        <f t="shared" si="162"/>
        <v>0</v>
      </c>
      <c r="BV186" s="2003">
        <f t="shared" si="162"/>
        <v>0</v>
      </c>
      <c r="BW186" s="2003">
        <f t="shared" si="162"/>
        <v>0</v>
      </c>
      <c r="BX186" s="2003">
        <f t="shared" si="162"/>
        <v>0</v>
      </c>
      <c r="BY186" s="2003">
        <f t="shared" si="162"/>
        <v>5600</v>
      </c>
      <c r="BZ186" s="2003">
        <f t="shared" si="162"/>
        <v>5600</v>
      </c>
      <c r="CA186" s="2003">
        <f t="shared" si="162"/>
        <v>5600</v>
      </c>
      <c r="CB186" s="2003"/>
      <c r="CC186" s="2003"/>
      <c r="CD186" s="2003"/>
      <c r="CE186" s="2003"/>
      <c r="CF186" s="2003"/>
      <c r="CG186" s="2003"/>
      <c r="CH186" s="2003"/>
      <c r="CI186" s="2003"/>
      <c r="CJ186" s="2003"/>
      <c r="CK186" s="2003"/>
      <c r="CL186" s="2003"/>
      <c r="CM186" s="2003"/>
      <c r="CN186" s="2003"/>
      <c r="CO186" s="2003"/>
      <c r="CP186" s="2003"/>
      <c r="CQ186" s="2003"/>
      <c r="CR186" s="2003"/>
      <c r="CS186" s="2003"/>
      <c r="CT186" s="2003"/>
      <c r="CU186" s="2003"/>
      <c r="CV186" s="2003"/>
      <c r="CW186" s="2003"/>
      <c r="CX186" s="2003"/>
      <c r="CY186" s="2003"/>
      <c r="CZ186" s="2003"/>
      <c r="DA186" s="2003"/>
      <c r="DB186" s="2003"/>
      <c r="DC186" s="2003"/>
      <c r="DD186" s="2003"/>
      <c r="DE186" s="2003"/>
      <c r="DF186" s="2003"/>
      <c r="DG186" s="2003"/>
      <c r="DH186" s="2003"/>
      <c r="DI186" s="2003"/>
      <c r="DJ186" s="2003"/>
      <c r="DK186" s="2003"/>
      <c r="DL186" s="2003"/>
      <c r="DM186" s="2003"/>
      <c r="DN186" s="2003"/>
      <c r="DO186" s="2004"/>
      <c r="DP186" s="2003"/>
      <c r="DQ186" s="2003"/>
      <c r="DR186" s="2005"/>
      <c r="DS186" s="2005"/>
      <c r="DT186" s="2005"/>
      <c r="DU186" s="2005"/>
      <c r="DV186" s="2005"/>
      <c r="DW186" s="2005"/>
      <c r="DX186" s="2005"/>
      <c r="DY186" s="2005"/>
      <c r="DZ186" s="2005"/>
      <c r="EA186" s="2005"/>
      <c r="FF186" s="1616"/>
    </row>
    <row r="187" spans="1:162" hidden="1" outlineLevel="2">
      <c r="A187" s="1624" t="s">
        <v>1314</v>
      </c>
      <c r="B187" s="1624" t="s">
        <v>2064</v>
      </c>
      <c r="C187" s="1624" t="s">
        <v>2091</v>
      </c>
      <c r="D187" s="1624" t="s">
        <v>2085</v>
      </c>
      <c r="E187" s="2003"/>
      <c r="F187" s="2003"/>
      <c r="G187" s="2003"/>
      <c r="H187" s="2003"/>
      <c r="I187" s="2003"/>
      <c r="J187" s="2003"/>
      <c r="K187" s="2003"/>
      <c r="L187" s="2003"/>
      <c r="M187" s="2003"/>
      <c r="N187" s="2003"/>
      <c r="O187" s="2003"/>
      <c r="P187" s="2003"/>
      <c r="Q187" s="2003"/>
      <c r="R187" s="2003"/>
      <c r="S187" s="2003"/>
      <c r="T187" s="2003"/>
      <c r="U187" s="2003"/>
      <c r="V187" s="2003"/>
      <c r="W187" s="2003"/>
      <c r="X187" s="2003"/>
      <c r="Y187" s="2003"/>
      <c r="Z187" s="2003"/>
      <c r="AA187" s="2003"/>
      <c r="AB187" s="2003"/>
      <c r="AC187" s="2003"/>
      <c r="AD187" s="2003"/>
      <c r="AE187" s="2003"/>
      <c r="AF187" s="2003"/>
      <c r="AG187" s="2003"/>
      <c r="AH187" s="2003"/>
      <c r="AI187" s="2003"/>
      <c r="AJ187" s="2003"/>
      <c r="AK187" s="2003"/>
      <c r="AL187" s="2003"/>
      <c r="AM187" s="2003"/>
      <c r="AN187" s="2003"/>
      <c r="AO187" s="2003"/>
      <c r="AP187" s="2003"/>
      <c r="AQ187" s="2003"/>
      <c r="AR187" s="2003"/>
      <c r="AS187" s="2003"/>
      <c r="AT187" s="2003"/>
      <c r="AU187" s="2003"/>
      <c r="AV187" s="2003"/>
      <c r="AW187" s="2003"/>
      <c r="AX187" s="2003"/>
      <c r="AY187" s="2003"/>
      <c r="AZ187" s="2003"/>
      <c r="BA187" s="2003"/>
      <c r="BB187" s="2003"/>
      <c r="BC187" s="2003"/>
      <c r="BD187" s="2003"/>
      <c r="BE187" s="2003"/>
      <c r="BF187" s="2003"/>
      <c r="BG187" s="2003"/>
      <c r="BH187" s="2003"/>
      <c r="BI187" s="2003"/>
      <c r="BJ187" s="2003"/>
      <c r="BK187" s="2003"/>
      <c r="BL187" s="2003"/>
      <c r="BM187" s="2003"/>
      <c r="BN187" s="2003">
        <f t="shared" ref="BN187:CA187" si="163">BN167</f>
        <v>0</v>
      </c>
      <c r="BO187" s="2003">
        <f t="shared" si="163"/>
        <v>0</v>
      </c>
      <c r="BP187" s="2003">
        <f t="shared" si="163"/>
        <v>0</v>
      </c>
      <c r="BQ187" s="2003">
        <f t="shared" si="163"/>
        <v>0</v>
      </c>
      <c r="BR187" s="2003">
        <f t="shared" si="163"/>
        <v>2200</v>
      </c>
      <c r="BS187" s="2003">
        <f t="shared" si="163"/>
        <v>0</v>
      </c>
      <c r="BT187" s="2003">
        <f t="shared" si="163"/>
        <v>0</v>
      </c>
      <c r="BU187" s="2003">
        <f t="shared" si="163"/>
        <v>0</v>
      </c>
      <c r="BV187" s="2003">
        <f t="shared" si="163"/>
        <v>0</v>
      </c>
      <c r="BW187" s="2003">
        <f t="shared" si="163"/>
        <v>0</v>
      </c>
      <c r="BX187" s="2003">
        <f t="shared" si="163"/>
        <v>0</v>
      </c>
      <c r="BY187" s="2003">
        <f t="shared" si="163"/>
        <v>0</v>
      </c>
      <c r="BZ187" s="2003">
        <f t="shared" si="163"/>
        <v>0</v>
      </c>
      <c r="CA187" s="2003">
        <f t="shared" si="163"/>
        <v>0</v>
      </c>
      <c r="CB187" s="2003"/>
      <c r="CC187" s="2003"/>
      <c r="CD187" s="2003"/>
      <c r="CE187" s="2003"/>
      <c r="CF187" s="2003"/>
      <c r="CG187" s="2003"/>
      <c r="CH187" s="2003"/>
      <c r="CI187" s="2003"/>
      <c r="CJ187" s="2003"/>
      <c r="CK187" s="2003"/>
      <c r="CL187" s="2003"/>
      <c r="CM187" s="2003"/>
      <c r="CN187" s="2003"/>
      <c r="CO187" s="2003"/>
      <c r="CP187" s="2003"/>
      <c r="CQ187" s="2003"/>
      <c r="CR187" s="2003"/>
      <c r="CS187" s="2003"/>
      <c r="CT187" s="2003"/>
      <c r="CU187" s="2003"/>
      <c r="CV187" s="2003"/>
      <c r="CW187" s="2003"/>
      <c r="CX187" s="2003"/>
      <c r="CY187" s="2003"/>
      <c r="CZ187" s="2003"/>
      <c r="DA187" s="2003"/>
      <c r="DB187" s="2003"/>
      <c r="DC187" s="2003"/>
      <c r="DD187" s="2003"/>
      <c r="DE187" s="2003"/>
      <c r="DF187" s="2003"/>
      <c r="DG187" s="2003"/>
      <c r="DH187" s="2003"/>
      <c r="DI187" s="2003"/>
      <c r="DJ187" s="2003"/>
      <c r="DK187" s="2003"/>
      <c r="DL187" s="2003"/>
      <c r="DM187" s="2003"/>
      <c r="DN187" s="2003"/>
      <c r="DO187" s="2004"/>
      <c r="DP187" s="2003"/>
      <c r="DQ187" s="2003"/>
      <c r="DR187" s="2005"/>
      <c r="DS187" s="2005"/>
      <c r="DT187" s="2005"/>
      <c r="DU187" s="2005"/>
      <c r="DV187" s="2005"/>
      <c r="DW187" s="2005"/>
      <c r="DX187" s="2005"/>
      <c r="DY187" s="2005"/>
      <c r="DZ187" s="2005"/>
      <c r="EA187" s="2005"/>
      <c r="FF187" s="1616"/>
    </row>
    <row r="188" spans="1:162" hidden="1" outlineLevel="2">
      <c r="A188" s="1624" t="s">
        <v>1314</v>
      </c>
      <c r="B188" s="1624" t="s">
        <v>2064</v>
      </c>
      <c r="C188" s="1624" t="s">
        <v>2091</v>
      </c>
      <c r="D188" s="1624" t="s">
        <v>722</v>
      </c>
      <c r="E188" s="2003"/>
      <c r="F188" s="2003"/>
      <c r="G188" s="2003"/>
      <c r="H188" s="2003"/>
      <c r="I188" s="2003"/>
      <c r="J188" s="2003"/>
      <c r="K188" s="2003"/>
      <c r="L188" s="2003"/>
      <c r="M188" s="2003"/>
      <c r="N188" s="2003"/>
      <c r="O188" s="2003"/>
      <c r="P188" s="2003"/>
      <c r="Q188" s="2003"/>
      <c r="R188" s="2003"/>
      <c r="S188" s="2003"/>
      <c r="T188" s="2003"/>
      <c r="U188" s="2003"/>
      <c r="V188" s="2003"/>
      <c r="W188" s="2003"/>
      <c r="X188" s="2003"/>
      <c r="Y188" s="2003"/>
      <c r="Z188" s="2003"/>
      <c r="AA188" s="2003"/>
      <c r="AB188" s="2003"/>
      <c r="AC188" s="2003"/>
      <c r="AD188" s="2003"/>
      <c r="AE188" s="2003"/>
      <c r="AF188" s="2003"/>
      <c r="AG188" s="2003"/>
      <c r="AH188" s="2003"/>
      <c r="AI188" s="2003"/>
      <c r="AJ188" s="2003"/>
      <c r="AK188" s="2003"/>
      <c r="AL188" s="2003"/>
      <c r="AM188" s="2003"/>
      <c r="AN188" s="2003"/>
      <c r="AO188" s="2003"/>
      <c r="AP188" s="2003"/>
      <c r="AQ188" s="2003"/>
      <c r="AR188" s="2003"/>
      <c r="AS188" s="2003"/>
      <c r="AT188" s="2003"/>
      <c r="AU188" s="2003"/>
      <c r="AV188" s="2003"/>
      <c r="AW188" s="2003"/>
      <c r="AX188" s="2003"/>
      <c r="AY188" s="2003"/>
      <c r="AZ188" s="2003"/>
      <c r="BA188" s="2003"/>
      <c r="BB188" s="2003"/>
      <c r="BC188" s="2003"/>
      <c r="BD188" s="2003"/>
      <c r="BE188" s="2003"/>
      <c r="BF188" s="2003"/>
      <c r="BG188" s="2003"/>
      <c r="BH188" s="2003"/>
      <c r="BI188" s="2003"/>
      <c r="BJ188" s="2003"/>
      <c r="BK188" s="2003"/>
      <c r="BL188" s="2003"/>
      <c r="BM188" s="2003"/>
      <c r="BN188" s="2003">
        <f t="shared" ref="BN188:CA188" si="164">BN168</f>
        <v>0</v>
      </c>
      <c r="BO188" s="2003">
        <f t="shared" si="164"/>
        <v>0</v>
      </c>
      <c r="BP188" s="2003">
        <f t="shared" si="164"/>
        <v>0</v>
      </c>
      <c r="BQ188" s="2003">
        <f t="shared" si="164"/>
        <v>0</v>
      </c>
      <c r="BR188" s="2003">
        <f t="shared" si="164"/>
        <v>2200</v>
      </c>
      <c r="BS188" s="2003">
        <f t="shared" si="164"/>
        <v>0</v>
      </c>
      <c r="BT188" s="2003">
        <f t="shared" si="164"/>
        <v>0</v>
      </c>
      <c r="BU188" s="2003">
        <f t="shared" si="164"/>
        <v>0</v>
      </c>
      <c r="BV188" s="2003">
        <f t="shared" si="164"/>
        <v>0</v>
      </c>
      <c r="BW188" s="2003">
        <f t="shared" si="164"/>
        <v>0</v>
      </c>
      <c r="BX188" s="2003">
        <f t="shared" si="164"/>
        <v>0</v>
      </c>
      <c r="BY188" s="2003">
        <f t="shared" si="164"/>
        <v>0</v>
      </c>
      <c r="BZ188" s="2003">
        <f t="shared" si="164"/>
        <v>0</v>
      </c>
      <c r="CA188" s="2003">
        <f t="shared" si="164"/>
        <v>0</v>
      </c>
      <c r="CB188" s="2003"/>
      <c r="CC188" s="2003"/>
      <c r="CD188" s="2003"/>
      <c r="CE188" s="2003"/>
      <c r="CF188" s="2003"/>
      <c r="CG188" s="2003"/>
      <c r="CH188" s="2003"/>
      <c r="CI188" s="2003"/>
      <c r="CJ188" s="2003"/>
      <c r="CK188" s="2003"/>
      <c r="CL188" s="2003"/>
      <c r="CM188" s="2003"/>
      <c r="CN188" s="2003"/>
      <c r="CO188" s="2003"/>
      <c r="CP188" s="2003"/>
      <c r="CQ188" s="2003"/>
      <c r="CR188" s="2003"/>
      <c r="CS188" s="2003"/>
      <c r="CT188" s="2003"/>
      <c r="CU188" s="2003"/>
      <c r="CV188" s="2003"/>
      <c r="CW188" s="2003"/>
      <c r="CX188" s="2003"/>
      <c r="CY188" s="2003"/>
      <c r="CZ188" s="2003"/>
      <c r="DA188" s="2003"/>
      <c r="DB188" s="2003"/>
      <c r="DC188" s="2003"/>
      <c r="DD188" s="2003"/>
      <c r="DE188" s="2003"/>
      <c r="DF188" s="2003"/>
      <c r="DG188" s="2003"/>
      <c r="DH188" s="2003"/>
      <c r="DI188" s="2003"/>
      <c r="DJ188" s="2003"/>
      <c r="DK188" s="2003"/>
      <c r="DL188" s="2003"/>
      <c r="DM188" s="2003"/>
      <c r="DN188" s="2003"/>
      <c r="DO188" s="2004"/>
      <c r="DP188" s="2003"/>
      <c r="DQ188" s="2003"/>
      <c r="DR188" s="2005"/>
      <c r="DS188" s="2005"/>
      <c r="DT188" s="2005"/>
      <c r="DU188" s="2005"/>
      <c r="DV188" s="2005"/>
      <c r="DW188" s="2005"/>
      <c r="DX188" s="2005"/>
      <c r="DY188" s="2005"/>
      <c r="DZ188" s="2005"/>
      <c r="EA188" s="2005"/>
      <c r="FF188" s="1616"/>
    </row>
    <row r="189" spans="1:162" hidden="1" outlineLevel="2">
      <c r="A189" s="1624" t="s">
        <v>1314</v>
      </c>
      <c r="B189" s="1624" t="s">
        <v>2064</v>
      </c>
      <c r="C189" s="1624" t="s">
        <v>2091</v>
      </c>
      <c r="D189" s="1624" t="s">
        <v>2086</v>
      </c>
      <c r="E189" s="2003"/>
      <c r="F189" s="2003"/>
      <c r="G189" s="2003"/>
      <c r="H189" s="2003"/>
      <c r="I189" s="2003"/>
      <c r="J189" s="2003"/>
      <c r="K189" s="2003"/>
      <c r="L189" s="2003"/>
      <c r="M189" s="2003"/>
      <c r="N189" s="2003"/>
      <c r="O189" s="2003"/>
      <c r="P189" s="2003"/>
      <c r="Q189" s="2003"/>
      <c r="R189" s="2003"/>
      <c r="S189" s="2003"/>
      <c r="T189" s="2003"/>
      <c r="U189" s="2003"/>
      <c r="V189" s="2003"/>
      <c r="W189" s="2003"/>
      <c r="X189" s="2003"/>
      <c r="Y189" s="2003"/>
      <c r="Z189" s="2003"/>
      <c r="AA189" s="2003"/>
      <c r="AB189" s="2003"/>
      <c r="AC189" s="2003"/>
      <c r="AD189" s="2003"/>
      <c r="AE189" s="2003"/>
      <c r="AF189" s="2003"/>
      <c r="AG189" s="2003"/>
      <c r="AH189" s="2003"/>
      <c r="AI189" s="2003"/>
      <c r="AJ189" s="2003"/>
      <c r="AK189" s="2003"/>
      <c r="AL189" s="2003"/>
      <c r="AM189" s="2003"/>
      <c r="AN189" s="2003"/>
      <c r="AO189" s="2003"/>
      <c r="AP189" s="2003"/>
      <c r="AQ189" s="2003"/>
      <c r="AR189" s="2003"/>
      <c r="AS189" s="2003"/>
      <c r="AT189" s="2003"/>
      <c r="AU189" s="2003"/>
      <c r="AV189" s="2003"/>
      <c r="AW189" s="2003"/>
      <c r="AX189" s="2003"/>
      <c r="AY189" s="2003"/>
      <c r="AZ189" s="2003"/>
      <c r="BA189" s="2003"/>
      <c r="BB189" s="2003"/>
      <c r="BC189" s="2003"/>
      <c r="BD189" s="2003"/>
      <c r="BE189" s="2003"/>
      <c r="BF189" s="2003"/>
      <c r="BG189" s="2003"/>
      <c r="BH189" s="2003"/>
      <c r="BI189" s="2003"/>
      <c r="BJ189" s="2003"/>
      <c r="BK189" s="2003"/>
      <c r="BL189" s="2003"/>
      <c r="BM189" s="2003"/>
      <c r="BN189" s="2003">
        <f t="shared" ref="BN189:CA189" si="165">BN169</f>
        <v>0</v>
      </c>
      <c r="BO189" s="2003">
        <f t="shared" si="165"/>
        <v>0</v>
      </c>
      <c r="BP189" s="2003">
        <f t="shared" si="165"/>
        <v>0</v>
      </c>
      <c r="BQ189" s="2003">
        <f t="shared" si="165"/>
        <v>0</v>
      </c>
      <c r="BR189" s="2003">
        <f t="shared" si="165"/>
        <v>2200</v>
      </c>
      <c r="BS189" s="2003">
        <f t="shared" si="165"/>
        <v>0</v>
      </c>
      <c r="BT189" s="2003">
        <f t="shared" si="165"/>
        <v>0</v>
      </c>
      <c r="BU189" s="2003">
        <f t="shared" si="165"/>
        <v>0</v>
      </c>
      <c r="BV189" s="2003">
        <f t="shared" si="165"/>
        <v>0</v>
      </c>
      <c r="BW189" s="2003">
        <f t="shared" si="165"/>
        <v>0</v>
      </c>
      <c r="BX189" s="2003">
        <f t="shared" si="165"/>
        <v>0</v>
      </c>
      <c r="BY189" s="2003">
        <f t="shared" si="165"/>
        <v>0</v>
      </c>
      <c r="BZ189" s="2003">
        <f t="shared" si="165"/>
        <v>0</v>
      </c>
      <c r="CA189" s="2003">
        <f t="shared" si="165"/>
        <v>0</v>
      </c>
      <c r="CB189" s="2003"/>
      <c r="CC189" s="2003"/>
      <c r="CD189" s="2003"/>
      <c r="CE189" s="2003"/>
      <c r="CF189" s="2003"/>
      <c r="CG189" s="2003"/>
      <c r="CH189" s="2003"/>
      <c r="CI189" s="2003"/>
      <c r="CJ189" s="2003"/>
      <c r="CK189" s="2003"/>
      <c r="CL189" s="2003"/>
      <c r="CM189" s="2003"/>
      <c r="CN189" s="2003"/>
      <c r="CO189" s="2003"/>
      <c r="CP189" s="2003"/>
      <c r="CQ189" s="2003"/>
      <c r="CR189" s="2003"/>
      <c r="CS189" s="2003"/>
      <c r="CT189" s="2003"/>
      <c r="CU189" s="2003"/>
      <c r="CV189" s="2003"/>
      <c r="CW189" s="2003"/>
      <c r="CX189" s="2003"/>
      <c r="CY189" s="2003"/>
      <c r="CZ189" s="2003"/>
      <c r="DA189" s="2003"/>
      <c r="DB189" s="2003"/>
      <c r="DC189" s="2003"/>
      <c r="DD189" s="2003"/>
      <c r="DE189" s="2003"/>
      <c r="DF189" s="2003"/>
      <c r="DG189" s="2003"/>
      <c r="DH189" s="2003"/>
      <c r="DI189" s="2003"/>
      <c r="DJ189" s="2003"/>
      <c r="DK189" s="2003"/>
      <c r="DL189" s="2003"/>
      <c r="DM189" s="2003"/>
      <c r="DN189" s="2003"/>
      <c r="DO189" s="2004"/>
      <c r="DP189" s="2003"/>
      <c r="DQ189" s="2003"/>
      <c r="DR189" s="2005"/>
      <c r="DS189" s="2005"/>
      <c r="DT189" s="2005"/>
      <c r="DU189" s="2005"/>
      <c r="DV189" s="2005"/>
      <c r="DW189" s="2005"/>
      <c r="DX189" s="2005"/>
      <c r="DY189" s="2005"/>
      <c r="DZ189" s="2005"/>
      <c r="EA189" s="2005"/>
      <c r="FF189" s="1616"/>
    </row>
    <row r="190" spans="1:162" hidden="1" outlineLevel="2">
      <c r="A190" s="1624" t="s">
        <v>1314</v>
      </c>
      <c r="B190" s="1624" t="s">
        <v>2064</v>
      </c>
      <c r="C190" s="1624" t="s">
        <v>2091</v>
      </c>
      <c r="D190" s="1624" t="s">
        <v>2087</v>
      </c>
      <c r="E190" s="2003"/>
      <c r="F190" s="2003"/>
      <c r="G190" s="2003"/>
      <c r="H190" s="2003"/>
      <c r="I190" s="2003"/>
      <c r="J190" s="2003"/>
      <c r="K190" s="2003"/>
      <c r="L190" s="2003"/>
      <c r="M190" s="2003"/>
      <c r="N190" s="2003"/>
      <c r="O190" s="2003"/>
      <c r="P190" s="2003"/>
      <c r="Q190" s="2003"/>
      <c r="R190" s="2003"/>
      <c r="S190" s="2003"/>
      <c r="T190" s="2003"/>
      <c r="U190" s="2003"/>
      <c r="V190" s="2003"/>
      <c r="W190" s="2003"/>
      <c r="X190" s="2003"/>
      <c r="Y190" s="2003"/>
      <c r="Z190" s="2003"/>
      <c r="AA190" s="2003"/>
      <c r="AB190" s="2003"/>
      <c r="AC190" s="2003"/>
      <c r="AD190" s="2003"/>
      <c r="AE190" s="2003"/>
      <c r="AF190" s="2003"/>
      <c r="AG190" s="2003"/>
      <c r="AH190" s="2003"/>
      <c r="AI190" s="2003"/>
      <c r="AJ190" s="2003"/>
      <c r="AK190" s="2003"/>
      <c r="AL190" s="2003"/>
      <c r="AM190" s="2003"/>
      <c r="AN190" s="2003"/>
      <c r="AO190" s="2003"/>
      <c r="AP190" s="2003"/>
      <c r="AQ190" s="2003"/>
      <c r="AR190" s="2003"/>
      <c r="AS190" s="2003"/>
      <c r="AT190" s="2003"/>
      <c r="AU190" s="2003"/>
      <c r="AV190" s="2003"/>
      <c r="AW190" s="2003"/>
      <c r="AX190" s="2003"/>
      <c r="AY190" s="2003"/>
      <c r="AZ190" s="2003"/>
      <c r="BA190" s="2003"/>
      <c r="BB190" s="2003"/>
      <c r="BC190" s="2003"/>
      <c r="BD190" s="2003"/>
      <c r="BE190" s="2003"/>
      <c r="BF190" s="2003"/>
      <c r="BG190" s="2003"/>
      <c r="BH190" s="2003"/>
      <c r="BI190" s="2003"/>
      <c r="BJ190" s="2003"/>
      <c r="BK190" s="2003"/>
      <c r="BL190" s="2003"/>
      <c r="BM190" s="2003"/>
      <c r="BN190" s="2003">
        <f t="shared" ref="BN190:CA190" si="166">BN170</f>
        <v>0</v>
      </c>
      <c r="BO190" s="2003">
        <f t="shared" si="166"/>
        <v>0</v>
      </c>
      <c r="BP190" s="2003">
        <f t="shared" si="166"/>
        <v>0</v>
      </c>
      <c r="BQ190" s="2003">
        <f t="shared" si="166"/>
        <v>0</v>
      </c>
      <c r="BR190" s="2003">
        <f t="shared" si="166"/>
        <v>2200</v>
      </c>
      <c r="BS190" s="2003">
        <f t="shared" si="166"/>
        <v>0</v>
      </c>
      <c r="BT190" s="2003">
        <f t="shared" si="166"/>
        <v>0</v>
      </c>
      <c r="BU190" s="2003">
        <f t="shared" si="166"/>
        <v>0</v>
      </c>
      <c r="BV190" s="2003">
        <f t="shared" si="166"/>
        <v>0</v>
      </c>
      <c r="BW190" s="2003">
        <f t="shared" si="166"/>
        <v>0</v>
      </c>
      <c r="BX190" s="2003">
        <f t="shared" si="166"/>
        <v>0</v>
      </c>
      <c r="BY190" s="2003">
        <f t="shared" si="166"/>
        <v>0</v>
      </c>
      <c r="BZ190" s="2003">
        <f t="shared" si="166"/>
        <v>0</v>
      </c>
      <c r="CA190" s="2003">
        <f t="shared" si="166"/>
        <v>0</v>
      </c>
      <c r="CB190" s="2003"/>
      <c r="CC190" s="2003"/>
      <c r="CD190" s="2003"/>
      <c r="CE190" s="2003"/>
      <c r="CF190" s="2003"/>
      <c r="CG190" s="2003"/>
      <c r="CH190" s="2003"/>
      <c r="CI190" s="2003"/>
      <c r="CJ190" s="2003"/>
      <c r="CK190" s="2003"/>
      <c r="CL190" s="2003"/>
      <c r="CM190" s="2003"/>
      <c r="CN190" s="2003"/>
      <c r="CO190" s="2003"/>
      <c r="CP190" s="2003"/>
      <c r="CQ190" s="2003"/>
      <c r="CR190" s="2003"/>
      <c r="CS190" s="2003"/>
      <c r="CT190" s="2003"/>
      <c r="CU190" s="2003"/>
      <c r="CV190" s="2003"/>
      <c r="CW190" s="2003"/>
      <c r="CX190" s="2003"/>
      <c r="CY190" s="2003"/>
      <c r="CZ190" s="2003"/>
      <c r="DA190" s="2003"/>
      <c r="DB190" s="2003"/>
      <c r="DC190" s="2003"/>
      <c r="DD190" s="2003"/>
      <c r="DE190" s="2003"/>
      <c r="DF190" s="2003"/>
      <c r="DG190" s="2003"/>
      <c r="DH190" s="2003"/>
      <c r="DI190" s="2003"/>
      <c r="DJ190" s="2003"/>
      <c r="DK190" s="2003"/>
      <c r="DL190" s="2003"/>
      <c r="DM190" s="2003"/>
      <c r="DN190" s="2003"/>
      <c r="DO190" s="2004"/>
      <c r="DP190" s="2003"/>
      <c r="DQ190" s="2003"/>
      <c r="DR190" s="2005"/>
      <c r="DS190" s="2005"/>
      <c r="DT190" s="2005"/>
      <c r="DU190" s="2005"/>
      <c r="DV190" s="2005"/>
      <c r="DW190" s="2005"/>
      <c r="DX190" s="2005"/>
      <c r="DY190" s="2005"/>
      <c r="DZ190" s="2005"/>
      <c r="EA190" s="2005"/>
      <c r="FF190" s="1616"/>
    </row>
    <row r="191" spans="1:162" hidden="1" outlineLevel="2">
      <c r="A191" s="1624" t="s">
        <v>1314</v>
      </c>
      <c r="B191" s="1624" t="s">
        <v>2065</v>
      </c>
      <c r="C191" s="1624" t="s">
        <v>2091</v>
      </c>
      <c r="D191" s="1624" t="s">
        <v>2085</v>
      </c>
      <c r="E191" s="2003"/>
      <c r="F191" s="2003"/>
      <c r="G191" s="2003"/>
      <c r="H191" s="2003"/>
      <c r="I191" s="2003"/>
      <c r="J191" s="2003"/>
      <c r="K191" s="2003"/>
      <c r="L191" s="2003"/>
      <c r="M191" s="2003"/>
      <c r="N191" s="2003"/>
      <c r="O191" s="2003"/>
      <c r="P191" s="2003"/>
      <c r="Q191" s="2003"/>
      <c r="R191" s="2003"/>
      <c r="S191" s="2003"/>
      <c r="T191" s="2003"/>
      <c r="U191" s="2003"/>
      <c r="V191" s="2003"/>
      <c r="W191" s="2003"/>
      <c r="X191" s="2003"/>
      <c r="Y191" s="2003"/>
      <c r="Z191" s="2003"/>
      <c r="AA191" s="2003"/>
      <c r="AB191" s="2003"/>
      <c r="AC191" s="2003"/>
      <c r="AD191" s="2003"/>
      <c r="AE191" s="2003"/>
      <c r="AF191" s="2003"/>
      <c r="AG191" s="2003"/>
      <c r="AH191" s="2003"/>
      <c r="AI191" s="2003"/>
      <c r="AJ191" s="2003"/>
      <c r="AK191" s="2003"/>
      <c r="AL191" s="2003"/>
      <c r="AM191" s="2003"/>
      <c r="AN191" s="2003"/>
      <c r="AO191" s="2003"/>
      <c r="AP191" s="2003"/>
      <c r="AQ191" s="2003"/>
      <c r="AR191" s="2003"/>
      <c r="AS191" s="2003"/>
      <c r="AT191" s="2003"/>
      <c r="AU191" s="2003"/>
      <c r="AV191" s="2003"/>
      <c r="AW191" s="2003"/>
      <c r="AX191" s="2003"/>
      <c r="AY191" s="2003"/>
      <c r="AZ191" s="2003"/>
      <c r="BA191" s="2003"/>
      <c r="BB191" s="2003"/>
      <c r="BC191" s="2003"/>
      <c r="BD191" s="2003"/>
      <c r="BE191" s="2003"/>
      <c r="BF191" s="2003"/>
      <c r="BG191" s="2003"/>
      <c r="BH191" s="2003"/>
      <c r="BI191" s="2003"/>
      <c r="BJ191" s="2003"/>
      <c r="BK191" s="2003"/>
      <c r="BL191" s="2003"/>
      <c r="BM191" s="2003"/>
      <c r="BN191" s="2003">
        <f>BN171</f>
        <v>0</v>
      </c>
      <c r="BO191" s="2003">
        <f t="shared" ref="BO191:CA191" si="167">BO171</f>
        <v>0</v>
      </c>
      <c r="BP191" s="2003">
        <f t="shared" si="167"/>
        <v>0</v>
      </c>
      <c r="BQ191" s="2003">
        <f t="shared" si="167"/>
        <v>2200</v>
      </c>
      <c r="BR191" s="2003">
        <f t="shared" si="167"/>
        <v>0</v>
      </c>
      <c r="BS191" s="2003">
        <f t="shared" si="167"/>
        <v>0</v>
      </c>
      <c r="BT191" s="2003">
        <f t="shared" si="167"/>
        <v>0</v>
      </c>
      <c r="BU191" s="2003">
        <f t="shared" si="167"/>
        <v>0</v>
      </c>
      <c r="BV191" s="2003">
        <f t="shared" si="167"/>
        <v>0</v>
      </c>
      <c r="BW191" s="2003">
        <f t="shared" si="167"/>
        <v>0</v>
      </c>
      <c r="BX191" s="2003">
        <f t="shared" si="167"/>
        <v>0</v>
      </c>
      <c r="BY191" s="2003">
        <f t="shared" si="167"/>
        <v>0</v>
      </c>
      <c r="BZ191" s="2003">
        <f t="shared" si="167"/>
        <v>0</v>
      </c>
      <c r="CA191" s="2003">
        <f t="shared" si="167"/>
        <v>0</v>
      </c>
      <c r="CB191" s="2003"/>
      <c r="CC191" s="2003"/>
      <c r="CD191" s="2003"/>
      <c r="CE191" s="2003"/>
      <c r="CF191" s="2003"/>
      <c r="CG191" s="2003"/>
      <c r="CH191" s="2003"/>
      <c r="CI191" s="2003"/>
      <c r="CJ191" s="2003"/>
      <c r="CK191" s="2003"/>
      <c r="CL191" s="2003"/>
      <c r="CM191" s="2003"/>
      <c r="CN191" s="2003"/>
      <c r="CO191" s="2003"/>
      <c r="CP191" s="2003"/>
      <c r="CQ191" s="2003"/>
      <c r="CR191" s="2003"/>
      <c r="CS191" s="2003"/>
      <c r="CT191" s="2003"/>
      <c r="CU191" s="2003"/>
      <c r="CV191" s="2003"/>
      <c r="CW191" s="2003"/>
      <c r="CX191" s="2003"/>
      <c r="CY191" s="2003"/>
      <c r="CZ191" s="2003"/>
      <c r="DA191" s="2003"/>
      <c r="DB191" s="2003"/>
      <c r="DC191" s="2003"/>
      <c r="DD191" s="2003"/>
      <c r="DE191" s="2003"/>
      <c r="DF191" s="2003"/>
      <c r="DG191" s="2003"/>
      <c r="DH191" s="2003"/>
      <c r="DI191" s="2003"/>
      <c r="DJ191" s="2003"/>
      <c r="DK191" s="2003"/>
      <c r="DL191" s="2003"/>
      <c r="DM191" s="2003"/>
      <c r="DN191" s="2003"/>
      <c r="DO191" s="2004"/>
      <c r="DP191" s="2003"/>
      <c r="DQ191" s="2003"/>
      <c r="DR191" s="2005"/>
      <c r="DS191" s="2005"/>
      <c r="DT191" s="2005"/>
      <c r="DU191" s="2005"/>
      <c r="DV191" s="2005"/>
      <c r="DW191" s="2005"/>
      <c r="DX191" s="2005"/>
      <c r="DY191" s="2005"/>
      <c r="DZ191" s="2005"/>
      <c r="EA191" s="2005"/>
      <c r="FF191" s="1616"/>
    </row>
    <row r="192" spans="1:162" hidden="1" outlineLevel="2">
      <c r="A192" s="1624" t="s">
        <v>1314</v>
      </c>
      <c r="B192" s="1624" t="s">
        <v>2065</v>
      </c>
      <c r="C192" s="1624" t="s">
        <v>2091</v>
      </c>
      <c r="D192" s="1624" t="s">
        <v>722</v>
      </c>
      <c r="E192" s="2003"/>
      <c r="F192" s="2003"/>
      <c r="G192" s="2003"/>
      <c r="H192" s="2003"/>
      <c r="I192" s="2003"/>
      <c r="J192" s="2003"/>
      <c r="K192" s="2003"/>
      <c r="L192" s="2003"/>
      <c r="M192" s="2003"/>
      <c r="N192" s="2003"/>
      <c r="O192" s="2003"/>
      <c r="P192" s="2003"/>
      <c r="Q192" s="2003"/>
      <c r="R192" s="2003"/>
      <c r="S192" s="2003"/>
      <c r="T192" s="2003"/>
      <c r="U192" s="2003"/>
      <c r="V192" s="2003"/>
      <c r="W192" s="2003"/>
      <c r="X192" s="2003"/>
      <c r="Y192" s="2003"/>
      <c r="Z192" s="2003"/>
      <c r="AA192" s="2003"/>
      <c r="AB192" s="2003"/>
      <c r="AC192" s="2003"/>
      <c r="AD192" s="2003"/>
      <c r="AE192" s="2003"/>
      <c r="AF192" s="2003"/>
      <c r="AG192" s="2003"/>
      <c r="AH192" s="2003"/>
      <c r="AI192" s="2003"/>
      <c r="AJ192" s="2003"/>
      <c r="AK192" s="2003"/>
      <c r="AL192" s="2003"/>
      <c r="AM192" s="2003"/>
      <c r="AN192" s="2003"/>
      <c r="AO192" s="2003"/>
      <c r="AP192" s="2003"/>
      <c r="AQ192" s="2003"/>
      <c r="AR192" s="2003"/>
      <c r="AS192" s="2003"/>
      <c r="AT192" s="2003"/>
      <c r="AU192" s="2003"/>
      <c r="AV192" s="2003"/>
      <c r="AW192" s="2003"/>
      <c r="AX192" s="2003"/>
      <c r="AY192" s="2003"/>
      <c r="AZ192" s="2003"/>
      <c r="BA192" s="2003"/>
      <c r="BB192" s="2003"/>
      <c r="BC192" s="2003"/>
      <c r="BD192" s="2003"/>
      <c r="BE192" s="2003"/>
      <c r="BF192" s="2003"/>
      <c r="BG192" s="2003"/>
      <c r="BH192" s="2003"/>
      <c r="BI192" s="2003"/>
      <c r="BJ192" s="2003"/>
      <c r="BK192" s="2003"/>
      <c r="BL192" s="2003"/>
      <c r="BM192" s="2003"/>
      <c r="BN192" s="2003">
        <f>BN172</f>
        <v>0</v>
      </c>
      <c r="BO192" s="2003">
        <f t="shared" ref="BO192:CA192" si="168">BO172</f>
        <v>0</v>
      </c>
      <c r="BP192" s="2003">
        <f t="shared" si="168"/>
        <v>0</v>
      </c>
      <c r="BQ192" s="2003">
        <f t="shared" si="168"/>
        <v>2200</v>
      </c>
      <c r="BR192" s="2003">
        <f t="shared" si="168"/>
        <v>0</v>
      </c>
      <c r="BS192" s="2003">
        <f t="shared" si="168"/>
        <v>0</v>
      </c>
      <c r="BT192" s="2003">
        <f t="shared" si="168"/>
        <v>0</v>
      </c>
      <c r="BU192" s="2003">
        <f t="shared" si="168"/>
        <v>0</v>
      </c>
      <c r="BV192" s="2003">
        <f t="shared" si="168"/>
        <v>0</v>
      </c>
      <c r="BW192" s="2003">
        <f t="shared" si="168"/>
        <v>0</v>
      </c>
      <c r="BX192" s="2003">
        <f t="shared" si="168"/>
        <v>0</v>
      </c>
      <c r="BY192" s="2003">
        <f t="shared" si="168"/>
        <v>0</v>
      </c>
      <c r="BZ192" s="2003">
        <f t="shared" si="168"/>
        <v>0</v>
      </c>
      <c r="CA192" s="2003">
        <f t="shared" si="168"/>
        <v>0</v>
      </c>
      <c r="CB192" s="2003"/>
      <c r="CC192" s="2003"/>
      <c r="CD192" s="2003"/>
      <c r="CE192" s="2003"/>
      <c r="CF192" s="2003"/>
      <c r="CG192" s="2003"/>
      <c r="CH192" s="2003"/>
      <c r="CI192" s="2003"/>
      <c r="CJ192" s="2003"/>
      <c r="CK192" s="2003"/>
      <c r="CL192" s="2003"/>
      <c r="CM192" s="2003"/>
      <c r="CN192" s="2003"/>
      <c r="CO192" s="2003"/>
      <c r="CP192" s="2003"/>
      <c r="CQ192" s="2003"/>
      <c r="CR192" s="2003"/>
      <c r="CS192" s="2003"/>
      <c r="CT192" s="2003"/>
      <c r="CU192" s="2003"/>
      <c r="CV192" s="2003"/>
      <c r="CW192" s="2003"/>
      <c r="CX192" s="2003"/>
      <c r="CY192" s="2003"/>
      <c r="CZ192" s="2003"/>
      <c r="DA192" s="2003"/>
      <c r="DB192" s="2003"/>
      <c r="DC192" s="2003"/>
      <c r="DD192" s="2003"/>
      <c r="DE192" s="2003"/>
      <c r="DF192" s="2003"/>
      <c r="DG192" s="2003"/>
      <c r="DH192" s="2003"/>
      <c r="DI192" s="2003"/>
      <c r="DJ192" s="2003"/>
      <c r="DK192" s="2003"/>
      <c r="DL192" s="2003"/>
      <c r="DM192" s="2003"/>
      <c r="DN192" s="2003"/>
      <c r="DO192" s="2004"/>
      <c r="DP192" s="2003"/>
      <c r="DQ192" s="2003"/>
      <c r="DR192" s="2005"/>
      <c r="DS192" s="2005"/>
      <c r="DT192" s="2005"/>
      <c r="DU192" s="2005"/>
      <c r="DV192" s="2005"/>
      <c r="DW192" s="2005"/>
      <c r="DX192" s="2005"/>
      <c r="DY192" s="2005"/>
      <c r="DZ192" s="2005"/>
      <c r="EA192" s="2005"/>
      <c r="FF192" s="1616"/>
    </row>
    <row r="193" spans="1:162" hidden="1" outlineLevel="2">
      <c r="A193" s="1624" t="s">
        <v>1314</v>
      </c>
      <c r="B193" s="1624" t="s">
        <v>2065</v>
      </c>
      <c r="C193" s="1624" t="s">
        <v>2091</v>
      </c>
      <c r="D193" s="1624" t="s">
        <v>2086</v>
      </c>
      <c r="E193" s="2003"/>
      <c r="F193" s="2003"/>
      <c r="G193" s="2003"/>
      <c r="H193" s="2003"/>
      <c r="I193" s="2003"/>
      <c r="J193" s="2003"/>
      <c r="K193" s="2003"/>
      <c r="L193" s="2003"/>
      <c r="M193" s="2003"/>
      <c r="N193" s="2003"/>
      <c r="O193" s="2003"/>
      <c r="P193" s="2003"/>
      <c r="Q193" s="2003"/>
      <c r="R193" s="2003"/>
      <c r="S193" s="2003"/>
      <c r="T193" s="2003"/>
      <c r="U193" s="2003"/>
      <c r="V193" s="2003"/>
      <c r="W193" s="2003"/>
      <c r="X193" s="2003"/>
      <c r="Y193" s="2003"/>
      <c r="Z193" s="2003"/>
      <c r="AA193" s="2003"/>
      <c r="AB193" s="2003"/>
      <c r="AC193" s="2003"/>
      <c r="AD193" s="2003"/>
      <c r="AE193" s="2003"/>
      <c r="AF193" s="2003"/>
      <c r="AG193" s="2003"/>
      <c r="AH193" s="2003"/>
      <c r="AI193" s="2003"/>
      <c r="AJ193" s="2003"/>
      <c r="AK193" s="2003"/>
      <c r="AL193" s="2003"/>
      <c r="AM193" s="2003"/>
      <c r="AN193" s="2003"/>
      <c r="AO193" s="2003"/>
      <c r="AP193" s="2003"/>
      <c r="AQ193" s="2003"/>
      <c r="AR193" s="2003"/>
      <c r="AS193" s="2003"/>
      <c r="AT193" s="2003"/>
      <c r="AU193" s="2003"/>
      <c r="AV193" s="2003"/>
      <c r="AW193" s="2003"/>
      <c r="AX193" s="2003"/>
      <c r="AY193" s="2003"/>
      <c r="AZ193" s="2003"/>
      <c r="BA193" s="2003"/>
      <c r="BB193" s="2003"/>
      <c r="BC193" s="2003"/>
      <c r="BD193" s="2003"/>
      <c r="BE193" s="2003"/>
      <c r="BF193" s="2003"/>
      <c r="BG193" s="2003"/>
      <c r="BH193" s="2003"/>
      <c r="BI193" s="2003"/>
      <c r="BJ193" s="2003"/>
      <c r="BK193" s="2003"/>
      <c r="BL193" s="2003"/>
      <c r="BM193" s="2003"/>
      <c r="BN193" s="2003">
        <f>BN173</f>
        <v>0</v>
      </c>
      <c r="BO193" s="2003">
        <f t="shared" ref="BO193:CA193" si="169">BO173</f>
        <v>0</v>
      </c>
      <c r="BP193" s="2003">
        <f t="shared" si="169"/>
        <v>0</v>
      </c>
      <c r="BQ193" s="2003">
        <f t="shared" si="169"/>
        <v>2200</v>
      </c>
      <c r="BR193" s="2003">
        <f t="shared" si="169"/>
        <v>0</v>
      </c>
      <c r="BS193" s="2003">
        <f t="shared" si="169"/>
        <v>0</v>
      </c>
      <c r="BT193" s="2003">
        <f t="shared" si="169"/>
        <v>0</v>
      </c>
      <c r="BU193" s="2003">
        <f t="shared" si="169"/>
        <v>0</v>
      </c>
      <c r="BV193" s="2003">
        <f t="shared" si="169"/>
        <v>0</v>
      </c>
      <c r="BW193" s="2003">
        <f t="shared" si="169"/>
        <v>0</v>
      </c>
      <c r="BX193" s="2003">
        <f t="shared" si="169"/>
        <v>0</v>
      </c>
      <c r="BY193" s="2003">
        <f t="shared" si="169"/>
        <v>0</v>
      </c>
      <c r="BZ193" s="2003">
        <f t="shared" si="169"/>
        <v>0</v>
      </c>
      <c r="CA193" s="2003">
        <f t="shared" si="169"/>
        <v>0</v>
      </c>
      <c r="CB193" s="2003"/>
      <c r="CC193" s="2003"/>
      <c r="CD193" s="2003"/>
      <c r="CE193" s="2003"/>
      <c r="CF193" s="2003"/>
      <c r="CG193" s="2003"/>
      <c r="CH193" s="2003"/>
      <c r="CI193" s="2003"/>
      <c r="CJ193" s="2003"/>
      <c r="CK193" s="2003"/>
      <c r="CL193" s="2003"/>
      <c r="CM193" s="2003"/>
      <c r="CN193" s="2003"/>
      <c r="CO193" s="2003"/>
      <c r="CP193" s="2003"/>
      <c r="CQ193" s="2003"/>
      <c r="CR193" s="2003"/>
      <c r="CS193" s="2003"/>
      <c r="CT193" s="2003"/>
      <c r="CU193" s="2003"/>
      <c r="CV193" s="2003"/>
      <c r="CW193" s="2003"/>
      <c r="CX193" s="2003"/>
      <c r="CY193" s="2003"/>
      <c r="CZ193" s="2003"/>
      <c r="DA193" s="2003"/>
      <c r="DB193" s="2003"/>
      <c r="DC193" s="2003"/>
      <c r="DD193" s="2003"/>
      <c r="DE193" s="2003"/>
      <c r="DF193" s="2003"/>
      <c r="DG193" s="2003"/>
      <c r="DH193" s="2003"/>
      <c r="DI193" s="2003"/>
      <c r="DJ193" s="2003"/>
      <c r="DK193" s="2003"/>
      <c r="DL193" s="2003"/>
      <c r="DM193" s="2003"/>
      <c r="DN193" s="2003"/>
      <c r="DO193" s="2004"/>
      <c r="DP193" s="2003"/>
      <c r="DQ193" s="2003"/>
      <c r="DR193" s="2005"/>
      <c r="DS193" s="2005"/>
      <c r="DT193" s="2005"/>
      <c r="DU193" s="2005"/>
      <c r="DV193" s="2005"/>
      <c r="DW193" s="2005"/>
      <c r="DX193" s="2005"/>
      <c r="DY193" s="2005"/>
      <c r="DZ193" s="2005"/>
      <c r="EA193" s="2005"/>
      <c r="FF193" s="1616"/>
    </row>
    <row r="194" spans="1:162" hidden="1" outlineLevel="2">
      <c r="A194" s="1624" t="s">
        <v>1314</v>
      </c>
      <c r="B194" s="1624" t="s">
        <v>2065</v>
      </c>
      <c r="C194" s="1624" t="s">
        <v>2091</v>
      </c>
      <c r="D194" s="1624" t="s">
        <v>2087</v>
      </c>
      <c r="E194" s="2003"/>
      <c r="F194" s="2003"/>
      <c r="G194" s="2003"/>
      <c r="H194" s="2003"/>
      <c r="I194" s="2003"/>
      <c r="J194" s="2003"/>
      <c r="K194" s="2003"/>
      <c r="L194" s="2003"/>
      <c r="M194" s="2003"/>
      <c r="N194" s="2003"/>
      <c r="O194" s="2003"/>
      <c r="P194" s="2003"/>
      <c r="Q194" s="2003"/>
      <c r="R194" s="2003"/>
      <c r="S194" s="2003"/>
      <c r="T194" s="2003"/>
      <c r="U194" s="2003"/>
      <c r="V194" s="2003"/>
      <c r="W194" s="2003"/>
      <c r="X194" s="2003"/>
      <c r="Y194" s="2003"/>
      <c r="Z194" s="2003"/>
      <c r="AA194" s="2003"/>
      <c r="AB194" s="2003"/>
      <c r="AC194" s="2003"/>
      <c r="AD194" s="2003"/>
      <c r="AE194" s="2003"/>
      <c r="AF194" s="2003"/>
      <c r="AG194" s="2003"/>
      <c r="AH194" s="2003"/>
      <c r="AI194" s="2003"/>
      <c r="AJ194" s="2003"/>
      <c r="AK194" s="2003"/>
      <c r="AL194" s="2003"/>
      <c r="AM194" s="2003"/>
      <c r="AN194" s="2003"/>
      <c r="AO194" s="2003"/>
      <c r="AP194" s="2003"/>
      <c r="AQ194" s="2003"/>
      <c r="AR194" s="2003"/>
      <c r="AS194" s="2003"/>
      <c r="AT194" s="2003"/>
      <c r="AU194" s="2003"/>
      <c r="AV194" s="2003"/>
      <c r="AW194" s="2003"/>
      <c r="AX194" s="2003"/>
      <c r="AY194" s="2003"/>
      <c r="AZ194" s="2003"/>
      <c r="BA194" s="2003"/>
      <c r="BB194" s="2003"/>
      <c r="BC194" s="2003"/>
      <c r="BD194" s="2003"/>
      <c r="BE194" s="2003"/>
      <c r="BF194" s="2003"/>
      <c r="BG194" s="2003"/>
      <c r="BH194" s="2003"/>
      <c r="BI194" s="2003"/>
      <c r="BJ194" s="2003"/>
      <c r="BK194" s="2003"/>
      <c r="BL194" s="2003"/>
      <c r="BM194" s="2003"/>
      <c r="BN194" s="2003">
        <f>BN174</f>
        <v>0</v>
      </c>
      <c r="BO194" s="2003">
        <f t="shared" ref="BO194:CA194" si="170">BO174</f>
        <v>0</v>
      </c>
      <c r="BP194" s="2003">
        <f t="shared" si="170"/>
        <v>0</v>
      </c>
      <c r="BQ194" s="2003">
        <f t="shared" si="170"/>
        <v>2200</v>
      </c>
      <c r="BR194" s="2003">
        <f t="shared" si="170"/>
        <v>0</v>
      </c>
      <c r="BS194" s="2003">
        <f t="shared" si="170"/>
        <v>0</v>
      </c>
      <c r="BT194" s="2003">
        <f t="shared" si="170"/>
        <v>0</v>
      </c>
      <c r="BU194" s="2003">
        <f t="shared" si="170"/>
        <v>0</v>
      </c>
      <c r="BV194" s="2003">
        <f t="shared" si="170"/>
        <v>0</v>
      </c>
      <c r="BW194" s="2003">
        <f t="shared" si="170"/>
        <v>0</v>
      </c>
      <c r="BX194" s="2003">
        <f t="shared" si="170"/>
        <v>0</v>
      </c>
      <c r="BY194" s="2003">
        <f t="shared" si="170"/>
        <v>0</v>
      </c>
      <c r="BZ194" s="2003">
        <f t="shared" si="170"/>
        <v>0</v>
      </c>
      <c r="CA194" s="2003">
        <f t="shared" si="170"/>
        <v>0</v>
      </c>
      <c r="CB194" s="2003"/>
      <c r="CC194" s="2003"/>
      <c r="CD194" s="2003"/>
      <c r="CE194" s="2003"/>
      <c r="CF194" s="2003"/>
      <c r="CG194" s="2003"/>
      <c r="CH194" s="2003"/>
      <c r="CI194" s="2003"/>
      <c r="CJ194" s="2003"/>
      <c r="CK194" s="2003"/>
      <c r="CL194" s="2003"/>
      <c r="CM194" s="2003"/>
      <c r="CN194" s="2003"/>
      <c r="CO194" s="2003"/>
      <c r="CP194" s="2003"/>
      <c r="CQ194" s="2003"/>
      <c r="CR194" s="2003"/>
      <c r="CS194" s="2003"/>
      <c r="CT194" s="2003"/>
      <c r="CU194" s="2003"/>
      <c r="CV194" s="2003"/>
      <c r="CW194" s="2003"/>
      <c r="CX194" s="2003"/>
      <c r="CY194" s="2003"/>
      <c r="CZ194" s="2003"/>
      <c r="DA194" s="2003"/>
      <c r="DB194" s="2003"/>
      <c r="DC194" s="2003"/>
      <c r="DD194" s="2003"/>
      <c r="DE194" s="2003"/>
      <c r="DF194" s="2003"/>
      <c r="DG194" s="2003"/>
      <c r="DH194" s="2003"/>
      <c r="DI194" s="2003"/>
      <c r="DJ194" s="2003"/>
      <c r="DK194" s="2003"/>
      <c r="DL194" s="2003"/>
      <c r="DM194" s="2003"/>
      <c r="DN194" s="2003"/>
      <c r="DO194" s="2004"/>
      <c r="DP194" s="2003"/>
      <c r="DQ194" s="2003"/>
      <c r="DR194" s="2005"/>
      <c r="DS194" s="2005"/>
      <c r="DT194" s="2005"/>
      <c r="DU194" s="2005"/>
      <c r="DV194" s="2005"/>
      <c r="DW194" s="2005"/>
      <c r="DX194" s="2005"/>
      <c r="DY194" s="2005"/>
      <c r="DZ194" s="2005"/>
      <c r="EA194" s="2005"/>
      <c r="FF194" s="1616"/>
    </row>
    <row r="195" spans="1:162" hidden="1" outlineLevel="1" collapsed="1">
      <c r="A195" s="1634" t="s">
        <v>82</v>
      </c>
      <c r="B195" s="1634" t="s">
        <v>2066</v>
      </c>
      <c r="C195" s="1634" t="s">
        <v>202</v>
      </c>
      <c r="D195" s="1634"/>
      <c r="E195" s="2019"/>
      <c r="F195" s="2019"/>
      <c r="G195" s="2019"/>
      <c r="H195" s="2019"/>
      <c r="I195" s="2019"/>
      <c r="J195" s="2019"/>
      <c r="K195" s="2019"/>
      <c r="L195" s="2019"/>
      <c r="M195" s="2019"/>
      <c r="N195" s="2019"/>
      <c r="O195" s="2019"/>
      <c r="P195" s="2019"/>
      <c r="Q195" s="2019"/>
      <c r="R195" s="2019"/>
      <c r="S195" s="2019"/>
      <c r="T195" s="2019"/>
      <c r="U195" s="2019"/>
      <c r="V195" s="2019"/>
      <c r="W195" s="2019"/>
      <c r="X195" s="2019"/>
      <c r="Y195" s="2019"/>
      <c r="Z195" s="2019"/>
      <c r="AA195" s="2019"/>
      <c r="AB195" s="2019"/>
      <c r="AC195" s="2019"/>
      <c r="AD195" s="2019"/>
      <c r="AE195" s="2019"/>
      <c r="AF195" s="2019"/>
      <c r="AG195" s="2019"/>
      <c r="AH195" s="2019"/>
      <c r="AI195" s="2019"/>
      <c r="AJ195" s="2019"/>
      <c r="AK195" s="2019"/>
      <c r="AL195" s="2019"/>
      <c r="AM195" s="2019"/>
      <c r="AN195" s="2019"/>
      <c r="AO195" s="2019"/>
      <c r="AP195" s="2019"/>
      <c r="AQ195" s="2019"/>
      <c r="AR195" s="2019"/>
      <c r="AS195" s="2019"/>
      <c r="AT195" s="2019"/>
      <c r="AU195" s="2019"/>
      <c r="AV195" s="2019"/>
      <c r="AW195" s="2019"/>
      <c r="AX195" s="2019"/>
      <c r="AY195" s="2019"/>
      <c r="AZ195" s="2019"/>
      <c r="BA195" s="2019"/>
      <c r="BB195" s="2019"/>
      <c r="BC195" s="2019"/>
      <c r="BD195" s="2019"/>
      <c r="BE195" s="2019"/>
      <c r="BF195" s="2019"/>
      <c r="BG195" s="2019"/>
      <c r="BH195" s="2019"/>
      <c r="BI195" s="2019"/>
      <c r="BJ195" s="2019"/>
      <c r="BK195" s="2019"/>
      <c r="BL195" s="2019"/>
      <c r="BM195" s="2019"/>
      <c r="BN195" s="2019"/>
      <c r="BO195" s="2019"/>
      <c r="BP195" s="2019"/>
      <c r="BQ195" s="2019"/>
      <c r="BR195" s="2019"/>
      <c r="BS195" s="2019"/>
      <c r="BT195" s="2019"/>
      <c r="BU195" s="2019"/>
      <c r="BV195" s="2019"/>
      <c r="BW195" s="2019"/>
      <c r="BX195" s="2019"/>
      <c r="BY195" s="2019"/>
      <c r="BZ195" s="2019"/>
      <c r="CA195" s="2019"/>
      <c r="CB195" s="2019"/>
      <c r="CC195" s="2019"/>
      <c r="CD195" s="2019"/>
      <c r="CE195" s="2019"/>
      <c r="CF195" s="2019"/>
      <c r="CG195" s="2019"/>
      <c r="CH195" s="2019"/>
      <c r="CI195" s="2019"/>
      <c r="CJ195" s="2019"/>
      <c r="CK195" s="2019"/>
      <c r="CL195" s="2019"/>
      <c r="CM195" s="2019" t="e">
        <f>CM207+1800</f>
        <v>#VALUE!</v>
      </c>
      <c r="CN195" s="2019"/>
      <c r="CO195" s="2019"/>
      <c r="CP195" s="2019"/>
      <c r="CQ195" s="2019"/>
      <c r="CR195" s="2019"/>
      <c r="CS195" s="2019"/>
      <c r="CT195" s="2019"/>
      <c r="CU195" s="2019"/>
      <c r="CV195" s="2019"/>
      <c r="CW195" s="2019"/>
      <c r="CX195" s="2019"/>
      <c r="CY195" s="2019"/>
      <c r="CZ195" s="2019"/>
      <c r="DA195" s="2019"/>
      <c r="DB195" s="2019"/>
      <c r="DC195" s="2019"/>
      <c r="DD195" s="2019"/>
      <c r="DE195" s="2019"/>
      <c r="DF195" s="2019"/>
      <c r="DG195" s="2019"/>
      <c r="DH195" s="2019"/>
      <c r="DI195" s="2019" t="e">
        <f>Techno_Vetro!#REF!</f>
        <v>#REF!</v>
      </c>
      <c r="DJ195" s="2019" t="e">
        <f>Techno_Vetro!#REF!</f>
        <v>#REF!</v>
      </c>
      <c r="DK195" s="2019" t="e">
        <f>Techno_Vetro!#REF!</f>
        <v>#REF!</v>
      </c>
      <c r="DL195" s="2019" t="e">
        <f>Techno_Vetro!#REF!</f>
        <v>#REF!</v>
      </c>
      <c r="DM195" s="2019" t="e">
        <f>Techno_Vetro!#REF!</f>
        <v>#REF!</v>
      </c>
      <c r="DN195" s="2019" t="e">
        <f>Techno_Vetro!#REF!</f>
        <v>#REF!</v>
      </c>
      <c r="DO195" s="2019" t="e">
        <f>Techno_Vetro!#REF!</f>
        <v>#REF!</v>
      </c>
      <c r="DP195" s="2019" t="e">
        <f>Techno_Vetro!#REF!</f>
        <v>#REF!</v>
      </c>
      <c r="DQ195" s="2019" t="e">
        <f>Techno_Vetro!#REF!</f>
        <v>#REF!</v>
      </c>
      <c r="DR195" s="2020"/>
      <c r="DS195" s="2020"/>
      <c r="DT195" s="2020"/>
      <c r="DU195" s="2020"/>
      <c r="DV195" s="2020"/>
      <c r="DW195" s="2020"/>
      <c r="DX195" s="2020"/>
      <c r="DY195" s="2020"/>
      <c r="DZ195" s="2020"/>
      <c r="EA195" s="2020"/>
      <c r="EB195" s="2020"/>
      <c r="EC195" s="2020"/>
      <c r="ED195" s="2020"/>
      <c r="EE195" s="1635"/>
      <c r="FF195" s="1616"/>
    </row>
    <row r="196" spans="1:162" hidden="1" outlineLevel="1" collapsed="1">
      <c r="A196" s="1634" t="s">
        <v>82</v>
      </c>
      <c r="B196" s="1634" t="s">
        <v>2066</v>
      </c>
      <c r="C196" s="1634" t="s">
        <v>195</v>
      </c>
      <c r="D196" s="1634"/>
      <c r="E196" s="2019"/>
      <c r="F196" s="2019"/>
      <c r="G196" s="2019"/>
      <c r="H196" s="2019"/>
      <c r="I196" s="2019"/>
      <c r="J196" s="2019"/>
      <c r="K196" s="2019"/>
      <c r="L196" s="2019"/>
      <c r="M196" s="2019"/>
      <c r="N196" s="2019"/>
      <c r="O196" s="2019"/>
      <c r="P196" s="2019"/>
      <c r="Q196" s="2019"/>
      <c r="R196" s="2019"/>
      <c r="S196" s="2019"/>
      <c r="T196" s="2019"/>
      <c r="U196" s="2019"/>
      <c r="V196" s="2019"/>
      <c r="W196" s="2019"/>
      <c r="X196" s="2019"/>
      <c r="Y196" s="2019"/>
      <c r="Z196" s="2019"/>
      <c r="AA196" s="2019"/>
      <c r="AB196" s="2019"/>
      <c r="AC196" s="2019"/>
      <c r="AD196" s="2019"/>
      <c r="AE196" s="2019"/>
      <c r="AF196" s="2019"/>
      <c r="AG196" s="2019"/>
      <c r="AH196" s="2019"/>
      <c r="AI196" s="2019"/>
      <c r="AJ196" s="2019"/>
      <c r="AK196" s="2019"/>
      <c r="AL196" s="2019"/>
      <c r="AM196" s="2019"/>
      <c r="AN196" s="2019"/>
      <c r="AO196" s="2019"/>
      <c r="AP196" s="2019"/>
      <c r="AQ196" s="2019"/>
      <c r="AR196" s="2019"/>
      <c r="AS196" s="2019"/>
      <c r="AT196" s="2019"/>
      <c r="AU196" s="2019"/>
      <c r="AV196" s="2019"/>
      <c r="AW196" s="2019"/>
      <c r="AX196" s="2019"/>
      <c r="AY196" s="2019"/>
      <c r="AZ196" s="2019"/>
      <c r="BA196" s="2019"/>
      <c r="BB196" s="2019"/>
      <c r="BC196" s="2019"/>
      <c r="BD196" s="2019"/>
      <c r="BE196" s="2019"/>
      <c r="BF196" s="2019"/>
      <c r="BG196" s="2019"/>
      <c r="BH196" s="2019"/>
      <c r="BI196" s="2019"/>
      <c r="BJ196" s="2019"/>
      <c r="BK196" s="2019"/>
      <c r="BL196" s="2019"/>
      <c r="BM196" s="2019"/>
      <c r="BN196" s="2019"/>
      <c r="BO196" s="2019"/>
      <c r="BP196" s="2019"/>
      <c r="BQ196" s="2019"/>
      <c r="BR196" s="2019"/>
      <c r="BS196" s="2019"/>
      <c r="BT196" s="2019"/>
      <c r="BU196" s="2019"/>
      <c r="BV196" s="2019"/>
      <c r="BW196" s="2019"/>
      <c r="BX196" s="2019"/>
      <c r="BY196" s="2019"/>
      <c r="BZ196" s="2019"/>
      <c r="CA196" s="2019"/>
      <c r="CB196" s="2019"/>
      <c r="CC196" s="2019"/>
      <c r="CD196" s="2019"/>
      <c r="CE196" s="2019"/>
      <c r="CF196" s="2019"/>
      <c r="CG196" s="2019"/>
      <c r="CH196" s="2019"/>
      <c r="CI196" s="2019"/>
      <c r="CJ196" s="2019"/>
      <c r="CK196" s="2019"/>
      <c r="CL196" s="2019"/>
      <c r="CM196" s="2019">
        <f>CM210+1800</f>
        <v>2300</v>
      </c>
      <c r="CN196" s="2019"/>
      <c r="CO196" s="2019"/>
      <c r="CP196" s="2019"/>
      <c r="CQ196" s="2019"/>
      <c r="CR196" s="2019"/>
      <c r="CS196" s="2019"/>
      <c r="CT196" s="2019"/>
      <c r="CU196" s="2019"/>
      <c r="CV196" s="2019"/>
      <c r="CW196" s="2019"/>
      <c r="CX196" s="2019"/>
      <c r="CY196" s="2019"/>
      <c r="CZ196" s="2019"/>
      <c r="DA196" s="2019"/>
      <c r="DB196" s="2019"/>
      <c r="DC196" s="2019"/>
      <c r="DD196" s="2019"/>
      <c r="DE196" s="2019"/>
      <c r="DF196" s="2019"/>
      <c r="DG196" s="2019"/>
      <c r="DH196" s="2019"/>
      <c r="DI196" s="2019" t="e">
        <f>Techno_Vetro!#REF!</f>
        <v>#REF!</v>
      </c>
      <c r="DJ196" s="2019" t="e">
        <f>Techno_Vetro!#REF!</f>
        <v>#REF!</v>
      </c>
      <c r="DK196" s="2019" t="e">
        <f>Techno_Vetro!#REF!</f>
        <v>#REF!</v>
      </c>
      <c r="DL196" s="2019" t="e">
        <f>Techno_Vetro!#REF!</f>
        <v>#REF!</v>
      </c>
      <c r="DM196" s="2019" t="e">
        <f>Techno_Vetro!#REF!</f>
        <v>#REF!</v>
      </c>
      <c r="DN196" s="2019" t="e">
        <f>Techno_Vetro!#REF!</f>
        <v>#REF!</v>
      </c>
      <c r="DO196" s="2019" t="e">
        <f>Techno_Vetro!#REF!</f>
        <v>#REF!</v>
      </c>
      <c r="DP196" s="2019" t="e">
        <f>Techno_Vetro!#REF!</f>
        <v>#REF!</v>
      </c>
      <c r="DQ196" s="2019" t="e">
        <f>Techno_Vetro!#REF!</f>
        <v>#REF!</v>
      </c>
      <c r="DR196" s="2020"/>
      <c r="DS196" s="2020"/>
      <c r="DT196" s="2020"/>
      <c r="DU196" s="2020"/>
      <c r="DV196" s="2020"/>
      <c r="DW196" s="2020"/>
      <c r="DX196" s="2020"/>
      <c r="DY196" s="2020"/>
      <c r="DZ196" s="2020"/>
      <c r="EA196" s="2020"/>
      <c r="EB196" s="2020"/>
      <c r="EC196" s="2020"/>
      <c r="ED196" s="2020"/>
      <c r="EE196" s="1635"/>
      <c r="FF196" s="1616"/>
    </row>
    <row r="197" spans="1:162" hidden="1" outlineLevel="1">
      <c r="A197" s="1636" t="s">
        <v>55</v>
      </c>
      <c r="B197" s="1636" t="s">
        <v>2067</v>
      </c>
      <c r="C197" s="1636" t="s">
        <v>2093</v>
      </c>
      <c r="D197" s="1636"/>
      <c r="E197" s="2021"/>
      <c r="F197" s="2021"/>
      <c r="G197" s="2021"/>
      <c r="H197" s="2021"/>
      <c r="I197" s="2021"/>
      <c r="J197" s="2021"/>
      <c r="K197" s="2021"/>
      <c r="L197" s="2021"/>
      <c r="M197" s="2021"/>
      <c r="N197" s="2021"/>
      <c r="O197" s="2021"/>
      <c r="P197" s="2021"/>
      <c r="Q197" s="2021"/>
      <c r="R197" s="2021"/>
      <c r="S197" s="2021"/>
      <c r="T197" s="2021"/>
      <c r="U197" s="2021"/>
      <c r="V197" s="2021"/>
      <c r="W197" s="2021"/>
      <c r="X197" s="2021"/>
      <c r="Y197" s="2021"/>
      <c r="Z197" s="2021"/>
      <c r="AA197" s="2021"/>
      <c r="AB197" s="2021"/>
      <c r="AC197" s="2021"/>
      <c r="AD197" s="2021"/>
      <c r="AE197" s="2021"/>
      <c r="AF197" s="2021"/>
      <c r="AG197" s="2021"/>
      <c r="AH197" s="2021"/>
      <c r="AI197" s="2021"/>
      <c r="AJ197" s="2021"/>
      <c r="AK197" s="2021"/>
      <c r="AL197" s="2021"/>
      <c r="AM197" s="2021"/>
      <c r="AN197" s="2021"/>
      <c r="AO197" s="2021"/>
      <c r="AP197" s="2021"/>
      <c r="AQ197" s="2021"/>
      <c r="AR197" s="2021"/>
      <c r="AS197" s="2021"/>
      <c r="AT197" s="2021"/>
      <c r="AU197" s="2021"/>
      <c r="AV197" s="2021"/>
      <c r="AW197" s="2021"/>
      <c r="AX197" s="2021"/>
      <c r="AY197" s="2021"/>
      <c r="AZ197" s="2021"/>
      <c r="BA197" s="2021"/>
      <c r="BB197" s="2021"/>
      <c r="BC197" s="2021"/>
      <c r="BD197" s="2021"/>
      <c r="BE197" s="2021"/>
      <c r="BF197" s="2021"/>
      <c r="BG197" s="2021"/>
      <c r="BH197" s="2021"/>
      <c r="BI197" s="2021"/>
      <c r="BJ197" s="2021"/>
      <c r="BK197" s="2021"/>
      <c r="BL197" s="2021"/>
      <c r="BM197" s="2021"/>
      <c r="BN197" s="2021"/>
      <c r="BO197" s="2021"/>
      <c r="BP197" s="2021"/>
      <c r="BQ197" s="2021"/>
      <c r="BR197" s="2021"/>
      <c r="BS197" s="2021"/>
      <c r="BT197" s="2021"/>
      <c r="BU197" s="2021"/>
      <c r="BV197" s="2021"/>
      <c r="BW197" s="2021"/>
      <c r="BX197" s="2021"/>
      <c r="BY197" s="2021"/>
      <c r="BZ197" s="2021"/>
      <c r="CA197" s="2021"/>
      <c r="CB197" s="2021"/>
      <c r="CC197" s="2021"/>
      <c r="CD197" s="2021"/>
      <c r="CE197" s="2021"/>
      <c r="CF197" s="2021"/>
      <c r="CG197" s="2021"/>
      <c r="CH197" s="2021"/>
      <c r="CI197" s="2021"/>
      <c r="CJ197" s="2021"/>
      <c r="CK197" s="2021"/>
      <c r="CL197" s="2021"/>
      <c r="CM197" s="2021" t="e">
        <f>#REF!+1800</f>
        <v>#REF!</v>
      </c>
      <c r="CN197" s="2021"/>
      <c r="CO197" s="2021"/>
      <c r="CP197" s="2021"/>
      <c r="CQ197" s="2021"/>
      <c r="CR197" s="2021"/>
      <c r="CS197" s="2021"/>
      <c r="CT197" s="2021"/>
      <c r="CU197" s="2021"/>
      <c r="CV197" s="2021"/>
      <c r="CW197" s="2021"/>
      <c r="CX197" s="2021"/>
      <c r="CY197" s="2021"/>
      <c r="CZ197" s="2021"/>
      <c r="DA197" s="2021"/>
      <c r="DB197" s="2021"/>
      <c r="DC197" s="2021"/>
      <c r="DD197" s="2021"/>
      <c r="DE197" s="2021"/>
      <c r="DF197" s="2021"/>
      <c r="DG197" s="2021"/>
      <c r="DH197" s="2021"/>
      <c r="DI197" s="2021" t="str">
        <f>Techno_Vetro!G35</f>
        <v>˅</v>
      </c>
      <c r="DJ197" s="2021" t="str">
        <f>Techno_Vetro!H35</f>
        <v>˅</v>
      </c>
      <c r="DK197" s="2021" t="str">
        <f>Techno_Vetro!I35</f>
        <v>˅</v>
      </c>
      <c r="DL197" s="2021" t="str">
        <f>Techno_Vetro!J35</f>
        <v>˅</v>
      </c>
      <c r="DM197" s="2021" t="str">
        <f>Techno_Vetro!L35</f>
        <v>˅</v>
      </c>
      <c r="DN197" s="2021" t="e">
        <f>Techno_Vetro!#REF!</f>
        <v>#REF!</v>
      </c>
      <c r="DO197" s="2021" t="e">
        <f>Techno_Vetro!#REF!</f>
        <v>#REF!</v>
      </c>
      <c r="DP197" s="2021" t="e">
        <f>Techno_Vetro!#REF!</f>
        <v>#REF!</v>
      </c>
      <c r="DQ197" s="2021" t="e">
        <f>Techno_Vetro!#REF!</f>
        <v>#REF!</v>
      </c>
      <c r="DR197" s="2022"/>
      <c r="DS197" s="2022"/>
      <c r="DT197" s="2022"/>
      <c r="DU197" s="2022"/>
      <c r="DV197" s="2022"/>
      <c r="DW197" s="2022"/>
      <c r="FF197" s="1616"/>
    </row>
    <row r="198" spans="1:162" hidden="1" outlineLevel="2">
      <c r="A198" s="1636" t="s">
        <v>55</v>
      </c>
      <c r="B198" s="1636" t="s">
        <v>2067</v>
      </c>
      <c r="C198" s="1636" t="s">
        <v>2094</v>
      </c>
      <c r="D198" s="1636"/>
      <c r="E198" s="2021"/>
      <c r="F198" s="2021"/>
      <c r="G198" s="2021"/>
      <c r="H198" s="2021"/>
      <c r="I198" s="2021"/>
      <c r="J198" s="2021"/>
      <c r="K198" s="2021"/>
      <c r="L198" s="2021"/>
      <c r="M198" s="2021"/>
      <c r="N198" s="2021"/>
      <c r="O198" s="2021"/>
      <c r="P198" s="2021"/>
      <c r="Q198" s="2021"/>
      <c r="R198" s="2021"/>
      <c r="S198" s="2021"/>
      <c r="T198" s="2021"/>
      <c r="U198" s="2021"/>
      <c r="V198" s="2021"/>
      <c r="W198" s="2021"/>
      <c r="X198" s="2021"/>
      <c r="Y198" s="2021"/>
      <c r="Z198" s="2021"/>
      <c r="AA198" s="2021"/>
      <c r="AB198" s="2021"/>
      <c r="AC198" s="2021"/>
      <c r="AD198" s="2021"/>
      <c r="AE198" s="2021"/>
      <c r="AF198" s="2021"/>
      <c r="AG198" s="2021"/>
      <c r="AH198" s="2021"/>
      <c r="AI198" s="2021"/>
      <c r="AJ198" s="2021"/>
      <c r="AK198" s="2021"/>
      <c r="AL198" s="2021"/>
      <c r="AM198" s="2021"/>
      <c r="AN198" s="2021"/>
      <c r="AO198" s="2021"/>
      <c r="AP198" s="2021"/>
      <c r="AQ198" s="2021"/>
      <c r="AR198" s="2021"/>
      <c r="AS198" s="2021"/>
      <c r="AT198" s="2021"/>
      <c r="AU198" s="2021"/>
      <c r="AV198" s="2021"/>
      <c r="AW198" s="2021"/>
      <c r="AX198" s="2021"/>
      <c r="AY198" s="2021"/>
      <c r="AZ198" s="2021"/>
      <c r="BA198" s="2021"/>
      <c r="BB198" s="2021"/>
      <c r="BC198" s="2021"/>
      <c r="BD198" s="2021"/>
      <c r="BE198" s="2021"/>
      <c r="BF198" s="2021"/>
      <c r="BG198" s="2021"/>
      <c r="BH198" s="2021"/>
      <c r="BI198" s="2021"/>
      <c r="BJ198" s="2021"/>
      <c r="BK198" s="2021"/>
      <c r="BL198" s="2021"/>
      <c r="BM198" s="2021"/>
      <c r="BN198" s="2021"/>
      <c r="BO198" s="2021"/>
      <c r="BP198" s="2021"/>
      <c r="BQ198" s="2021"/>
      <c r="BR198" s="2021"/>
      <c r="BS198" s="2021"/>
      <c r="BT198" s="2021"/>
      <c r="BU198" s="2021"/>
      <c r="BV198" s="2021"/>
      <c r="BW198" s="2021"/>
      <c r="BX198" s="2021"/>
      <c r="BY198" s="2021"/>
      <c r="BZ198" s="2021"/>
      <c r="CA198" s="2021"/>
      <c r="CB198" s="2021"/>
      <c r="CC198" s="2021"/>
      <c r="CD198" s="2021"/>
      <c r="CE198" s="2021"/>
      <c r="CF198" s="2021"/>
      <c r="CG198" s="2021"/>
      <c r="CH198" s="2021"/>
      <c r="CI198" s="2021"/>
      <c r="CJ198" s="2021"/>
      <c r="CK198" s="2021"/>
      <c r="CL198" s="2021"/>
      <c r="CM198" s="2021" t="e">
        <f>#REF!+1800</f>
        <v>#REF!</v>
      </c>
      <c r="CN198" s="2021"/>
      <c r="CO198" s="2021"/>
      <c r="CP198" s="2021"/>
      <c r="CQ198" s="2021"/>
      <c r="CR198" s="2021"/>
      <c r="CS198" s="2021"/>
      <c r="CT198" s="2021"/>
      <c r="CU198" s="2021"/>
      <c r="CV198" s="2021"/>
      <c r="CW198" s="2021"/>
      <c r="CX198" s="2021"/>
      <c r="CY198" s="2021"/>
      <c r="CZ198" s="2021"/>
      <c r="DA198" s="2021"/>
      <c r="DB198" s="2021"/>
      <c r="DC198" s="2021"/>
      <c r="DD198" s="2021"/>
      <c r="DE198" s="2021"/>
      <c r="DF198" s="2021"/>
      <c r="DG198" s="2021"/>
      <c r="DH198" s="2021"/>
      <c r="DI198" s="2021" t="str">
        <f>DI197</f>
        <v>˅</v>
      </c>
      <c r="DJ198" s="2021" t="str">
        <f t="shared" ref="DJ198:DQ198" si="171">DJ197</f>
        <v>˅</v>
      </c>
      <c r="DK198" s="2021" t="str">
        <f t="shared" si="171"/>
        <v>˅</v>
      </c>
      <c r="DL198" s="2021" t="str">
        <f t="shared" si="171"/>
        <v>˅</v>
      </c>
      <c r="DM198" s="2021" t="str">
        <f t="shared" si="171"/>
        <v>˅</v>
      </c>
      <c r="DN198" s="2021" t="e">
        <f t="shared" si="171"/>
        <v>#REF!</v>
      </c>
      <c r="DO198" s="2021" t="e">
        <f t="shared" si="171"/>
        <v>#REF!</v>
      </c>
      <c r="DP198" s="2021" t="e">
        <f t="shared" si="171"/>
        <v>#REF!</v>
      </c>
      <c r="DQ198" s="2021" t="e">
        <f t="shared" si="171"/>
        <v>#REF!</v>
      </c>
      <c r="DR198" s="2022"/>
      <c r="DS198" s="2022"/>
      <c r="DT198" s="2022"/>
      <c r="DU198" s="2022"/>
      <c r="DV198" s="2022"/>
      <c r="DW198" s="2022"/>
      <c r="FF198" s="1616"/>
    </row>
    <row r="199" spans="1:162" hidden="1" outlineLevel="2">
      <c r="A199" s="1636" t="s">
        <v>55</v>
      </c>
      <c r="B199" s="1636" t="s">
        <v>2067</v>
      </c>
      <c r="C199" s="1636" t="s">
        <v>2090</v>
      </c>
      <c r="D199" s="1636"/>
      <c r="E199" s="2021"/>
      <c r="F199" s="2021"/>
      <c r="G199" s="2021"/>
      <c r="H199" s="2021"/>
      <c r="I199" s="2021"/>
      <c r="J199" s="2021"/>
      <c r="K199" s="2021"/>
      <c r="L199" s="2021"/>
      <c r="M199" s="2021"/>
      <c r="N199" s="2021"/>
      <c r="O199" s="2021"/>
      <c r="P199" s="2021"/>
      <c r="Q199" s="2021"/>
      <c r="R199" s="2021"/>
      <c r="S199" s="2021"/>
      <c r="T199" s="2021"/>
      <c r="U199" s="2021"/>
      <c r="V199" s="2021"/>
      <c r="W199" s="2021"/>
      <c r="X199" s="2021"/>
      <c r="Y199" s="2021"/>
      <c r="Z199" s="2021"/>
      <c r="AA199" s="2021"/>
      <c r="AB199" s="2021"/>
      <c r="AC199" s="2021"/>
      <c r="AD199" s="2021"/>
      <c r="AE199" s="2021"/>
      <c r="AF199" s="2021"/>
      <c r="AG199" s="2021"/>
      <c r="AH199" s="2021"/>
      <c r="AI199" s="2021"/>
      <c r="AJ199" s="2021"/>
      <c r="AK199" s="2021"/>
      <c r="AL199" s="2021"/>
      <c r="AM199" s="2021"/>
      <c r="AN199" s="2021"/>
      <c r="AO199" s="2021"/>
      <c r="AP199" s="2021"/>
      <c r="AQ199" s="2021"/>
      <c r="AR199" s="2021"/>
      <c r="AS199" s="2021"/>
      <c r="AT199" s="2021"/>
      <c r="AU199" s="2021"/>
      <c r="AV199" s="2021"/>
      <c r="AW199" s="2021"/>
      <c r="AX199" s="2021"/>
      <c r="AY199" s="2021"/>
      <c r="AZ199" s="2021"/>
      <c r="BA199" s="2021"/>
      <c r="BB199" s="2021"/>
      <c r="BC199" s="2021"/>
      <c r="BD199" s="2021"/>
      <c r="BE199" s="2021"/>
      <c r="BF199" s="2021"/>
      <c r="BG199" s="2021"/>
      <c r="BH199" s="2021"/>
      <c r="BI199" s="2021"/>
      <c r="BJ199" s="2021"/>
      <c r="BK199" s="2021"/>
      <c r="BL199" s="2021"/>
      <c r="BM199" s="2021"/>
      <c r="BN199" s="2021"/>
      <c r="BO199" s="2021"/>
      <c r="BP199" s="2021"/>
      <c r="BQ199" s="2021"/>
      <c r="BR199" s="2021"/>
      <c r="BS199" s="2021"/>
      <c r="BT199" s="2021"/>
      <c r="BU199" s="2021"/>
      <c r="BV199" s="2021"/>
      <c r="BW199" s="2021"/>
      <c r="BX199" s="2021"/>
      <c r="BY199" s="2021"/>
      <c r="BZ199" s="2021"/>
      <c r="CA199" s="2021"/>
      <c r="CB199" s="2021"/>
      <c r="CC199" s="2021"/>
      <c r="CD199" s="2021"/>
      <c r="CE199" s="2021"/>
      <c r="CF199" s="2021"/>
      <c r="CG199" s="2021"/>
      <c r="CH199" s="2021"/>
      <c r="CI199" s="2021"/>
      <c r="CJ199" s="2021"/>
      <c r="CK199" s="2021"/>
      <c r="CL199" s="2021"/>
      <c r="CM199" s="2021" t="e">
        <f>#REF!+1800</f>
        <v>#REF!</v>
      </c>
      <c r="CN199" s="2021"/>
      <c r="CO199" s="2021"/>
      <c r="CP199" s="2021"/>
      <c r="CQ199" s="2021"/>
      <c r="CR199" s="2021"/>
      <c r="CS199" s="2021"/>
      <c r="CT199" s="2021"/>
      <c r="CU199" s="2021"/>
      <c r="CV199" s="2021"/>
      <c r="CW199" s="2021"/>
      <c r="CX199" s="2021"/>
      <c r="CY199" s="2021"/>
      <c r="CZ199" s="2021"/>
      <c r="DA199" s="2021"/>
      <c r="DB199" s="2021"/>
      <c r="DC199" s="2021"/>
      <c r="DD199" s="2021"/>
      <c r="DE199" s="2021"/>
      <c r="DF199" s="2021"/>
      <c r="DG199" s="2021"/>
      <c r="DH199" s="2021"/>
      <c r="DI199" s="2021" t="str">
        <f>DI197</f>
        <v>˅</v>
      </c>
      <c r="DJ199" s="2021" t="str">
        <f t="shared" ref="DJ199:DQ199" si="172">DJ197</f>
        <v>˅</v>
      </c>
      <c r="DK199" s="2021" t="str">
        <f t="shared" si="172"/>
        <v>˅</v>
      </c>
      <c r="DL199" s="2021" t="str">
        <f t="shared" si="172"/>
        <v>˅</v>
      </c>
      <c r="DM199" s="2021" t="str">
        <f t="shared" si="172"/>
        <v>˅</v>
      </c>
      <c r="DN199" s="2021" t="e">
        <f t="shared" si="172"/>
        <v>#REF!</v>
      </c>
      <c r="DO199" s="2021" t="e">
        <f t="shared" si="172"/>
        <v>#REF!</v>
      </c>
      <c r="DP199" s="2021" t="e">
        <f t="shared" si="172"/>
        <v>#REF!</v>
      </c>
      <c r="DQ199" s="2021" t="e">
        <f t="shared" si="172"/>
        <v>#REF!</v>
      </c>
      <c r="DR199" s="2022"/>
      <c r="DS199" s="2022"/>
      <c r="DT199" s="2022"/>
      <c r="DU199" s="2022"/>
      <c r="DV199" s="2022"/>
      <c r="DW199" s="2022"/>
      <c r="FF199" s="1616"/>
    </row>
    <row r="200" spans="1:162" hidden="1" outlineLevel="2">
      <c r="A200" s="1636" t="s">
        <v>55</v>
      </c>
      <c r="B200" s="1636" t="s">
        <v>2067</v>
      </c>
      <c r="C200" s="1636" t="s">
        <v>2091</v>
      </c>
      <c r="D200" s="1636"/>
      <c r="E200" s="2021"/>
      <c r="F200" s="2021"/>
      <c r="G200" s="2021"/>
      <c r="H200" s="2021"/>
      <c r="I200" s="2021"/>
      <c r="J200" s="2021"/>
      <c r="K200" s="2021"/>
      <c r="L200" s="2021"/>
      <c r="M200" s="2021"/>
      <c r="N200" s="2021"/>
      <c r="O200" s="2021"/>
      <c r="P200" s="2021"/>
      <c r="Q200" s="2021"/>
      <c r="R200" s="2021"/>
      <c r="S200" s="2021"/>
      <c r="T200" s="2021"/>
      <c r="U200" s="2021"/>
      <c r="V200" s="2021"/>
      <c r="W200" s="2021"/>
      <c r="X200" s="2021"/>
      <c r="Y200" s="2021"/>
      <c r="Z200" s="2021"/>
      <c r="AA200" s="2021"/>
      <c r="AB200" s="2021"/>
      <c r="AC200" s="2021"/>
      <c r="AD200" s="2021"/>
      <c r="AE200" s="2021"/>
      <c r="AF200" s="2021"/>
      <c r="AG200" s="2021"/>
      <c r="AH200" s="2021"/>
      <c r="AI200" s="2021"/>
      <c r="AJ200" s="2021"/>
      <c r="AK200" s="2021"/>
      <c r="AL200" s="2021"/>
      <c r="AM200" s="2021"/>
      <c r="AN200" s="2021"/>
      <c r="AO200" s="2021"/>
      <c r="AP200" s="2021"/>
      <c r="AQ200" s="2021"/>
      <c r="AR200" s="2021"/>
      <c r="AS200" s="2021"/>
      <c r="AT200" s="2021"/>
      <c r="AU200" s="2021"/>
      <c r="AV200" s="2021"/>
      <c r="AW200" s="2021"/>
      <c r="AX200" s="2021"/>
      <c r="AY200" s="2021"/>
      <c r="AZ200" s="2021"/>
      <c r="BA200" s="2021"/>
      <c r="BB200" s="2021"/>
      <c r="BC200" s="2021"/>
      <c r="BD200" s="2021"/>
      <c r="BE200" s="2021"/>
      <c r="BF200" s="2021"/>
      <c r="BG200" s="2021"/>
      <c r="BH200" s="2021"/>
      <c r="BI200" s="2021"/>
      <c r="BJ200" s="2021"/>
      <c r="BK200" s="2021"/>
      <c r="BL200" s="2021"/>
      <c r="BM200" s="2021"/>
      <c r="BN200" s="2021"/>
      <c r="BO200" s="2021"/>
      <c r="BP200" s="2021"/>
      <c r="BQ200" s="2021"/>
      <c r="BR200" s="2021"/>
      <c r="BS200" s="2021"/>
      <c r="BT200" s="2021"/>
      <c r="BU200" s="2021"/>
      <c r="BV200" s="2021"/>
      <c r="BW200" s="2021"/>
      <c r="BX200" s="2021"/>
      <c r="BY200" s="2021"/>
      <c r="BZ200" s="2021"/>
      <c r="CA200" s="2021"/>
      <c r="CB200" s="2021"/>
      <c r="CC200" s="2021"/>
      <c r="CD200" s="2021"/>
      <c r="CE200" s="2021"/>
      <c r="CF200" s="2021"/>
      <c r="CG200" s="2021"/>
      <c r="CH200" s="2021"/>
      <c r="CI200" s="2021"/>
      <c r="CJ200" s="2021"/>
      <c r="CK200" s="2021"/>
      <c r="CL200" s="2021"/>
      <c r="CM200" s="2021" t="e">
        <f>#REF!+1800</f>
        <v>#REF!</v>
      </c>
      <c r="CN200" s="2021"/>
      <c r="CO200" s="2021"/>
      <c r="CP200" s="2021"/>
      <c r="CQ200" s="2021"/>
      <c r="CR200" s="2021"/>
      <c r="CS200" s="2021"/>
      <c r="CT200" s="2021"/>
      <c r="CU200" s="2021"/>
      <c r="CV200" s="2021"/>
      <c r="CW200" s="2021"/>
      <c r="CX200" s="2021"/>
      <c r="CY200" s="2021"/>
      <c r="CZ200" s="2021"/>
      <c r="DA200" s="2021"/>
      <c r="DB200" s="2021"/>
      <c r="DC200" s="2021"/>
      <c r="DD200" s="2021"/>
      <c r="DE200" s="2021"/>
      <c r="DF200" s="2021"/>
      <c r="DG200" s="2021"/>
      <c r="DH200" s="2021"/>
      <c r="DI200" s="2021" t="str">
        <f>DI197</f>
        <v>˅</v>
      </c>
      <c r="DJ200" s="2021" t="str">
        <f t="shared" ref="DJ200:DQ200" si="173">DJ197</f>
        <v>˅</v>
      </c>
      <c r="DK200" s="2021" t="str">
        <f t="shared" si="173"/>
        <v>˅</v>
      </c>
      <c r="DL200" s="2021" t="str">
        <f t="shared" si="173"/>
        <v>˅</v>
      </c>
      <c r="DM200" s="2021" t="str">
        <f t="shared" si="173"/>
        <v>˅</v>
      </c>
      <c r="DN200" s="2021" t="e">
        <f t="shared" si="173"/>
        <v>#REF!</v>
      </c>
      <c r="DO200" s="2021" t="e">
        <f t="shared" si="173"/>
        <v>#REF!</v>
      </c>
      <c r="DP200" s="2021" t="e">
        <f t="shared" si="173"/>
        <v>#REF!</v>
      </c>
      <c r="DQ200" s="2021" t="e">
        <f t="shared" si="173"/>
        <v>#REF!</v>
      </c>
      <c r="DR200" s="2022"/>
      <c r="DS200" s="2022"/>
      <c r="DT200" s="2022"/>
      <c r="DU200" s="2022"/>
      <c r="DV200" s="2022"/>
      <c r="DW200" s="2022"/>
      <c r="FF200" s="1616"/>
    </row>
    <row r="201" spans="1:162" hidden="1" outlineLevel="2">
      <c r="A201" s="1636" t="s">
        <v>55</v>
      </c>
      <c r="B201" s="1636" t="s">
        <v>2067</v>
      </c>
      <c r="C201" s="1636" t="s">
        <v>2095</v>
      </c>
      <c r="D201" s="1636"/>
      <c r="E201" s="2021"/>
      <c r="F201" s="2021"/>
      <c r="G201" s="2021"/>
      <c r="H201" s="2021"/>
      <c r="I201" s="2021"/>
      <c r="J201" s="2021"/>
      <c r="K201" s="2021"/>
      <c r="L201" s="2021"/>
      <c r="M201" s="2021"/>
      <c r="N201" s="2021"/>
      <c r="O201" s="2021"/>
      <c r="P201" s="2021"/>
      <c r="Q201" s="2021"/>
      <c r="R201" s="2021"/>
      <c r="S201" s="2021"/>
      <c r="T201" s="2021"/>
      <c r="U201" s="2021"/>
      <c r="V201" s="2021"/>
      <c r="W201" s="2021"/>
      <c r="X201" s="2021"/>
      <c r="Y201" s="2021"/>
      <c r="Z201" s="2021"/>
      <c r="AA201" s="2021"/>
      <c r="AB201" s="2021"/>
      <c r="AC201" s="2021"/>
      <c r="AD201" s="2021"/>
      <c r="AE201" s="2021"/>
      <c r="AF201" s="2021"/>
      <c r="AG201" s="2021"/>
      <c r="AH201" s="2021"/>
      <c r="AI201" s="2021"/>
      <c r="AJ201" s="2021"/>
      <c r="AK201" s="2021"/>
      <c r="AL201" s="2021"/>
      <c r="AM201" s="2021"/>
      <c r="AN201" s="2021"/>
      <c r="AO201" s="2021"/>
      <c r="AP201" s="2021"/>
      <c r="AQ201" s="2021"/>
      <c r="AR201" s="2021"/>
      <c r="AS201" s="2021"/>
      <c r="AT201" s="2021"/>
      <c r="AU201" s="2021"/>
      <c r="AV201" s="2021"/>
      <c r="AW201" s="2021"/>
      <c r="AX201" s="2021"/>
      <c r="AY201" s="2021"/>
      <c r="AZ201" s="2021"/>
      <c r="BA201" s="2021"/>
      <c r="BB201" s="2021"/>
      <c r="BC201" s="2021"/>
      <c r="BD201" s="2021"/>
      <c r="BE201" s="2021"/>
      <c r="BF201" s="2021"/>
      <c r="BG201" s="2021"/>
      <c r="BH201" s="2021"/>
      <c r="BI201" s="2021"/>
      <c r="BJ201" s="2021"/>
      <c r="BK201" s="2021"/>
      <c r="BL201" s="2021"/>
      <c r="BM201" s="2021"/>
      <c r="BN201" s="2021"/>
      <c r="BO201" s="2021"/>
      <c r="BP201" s="2021"/>
      <c r="BQ201" s="2021"/>
      <c r="BR201" s="2021"/>
      <c r="BS201" s="2021"/>
      <c r="BT201" s="2021"/>
      <c r="BU201" s="2021"/>
      <c r="BV201" s="2021"/>
      <c r="BW201" s="2021"/>
      <c r="BX201" s="2021"/>
      <c r="BY201" s="2021"/>
      <c r="BZ201" s="2021"/>
      <c r="CA201" s="2021"/>
      <c r="CB201" s="2021"/>
      <c r="CC201" s="2021"/>
      <c r="CD201" s="2021"/>
      <c r="CE201" s="2021"/>
      <c r="CF201" s="2021"/>
      <c r="CG201" s="2021"/>
      <c r="CH201" s="2021"/>
      <c r="CI201" s="2021"/>
      <c r="CJ201" s="2021"/>
      <c r="CK201" s="2021"/>
      <c r="CL201" s="2021"/>
      <c r="CM201" s="2021" t="e">
        <f>#REF!+1800</f>
        <v>#REF!</v>
      </c>
      <c r="CN201" s="2021"/>
      <c r="CO201" s="2021"/>
      <c r="CP201" s="2021"/>
      <c r="CQ201" s="2021"/>
      <c r="CR201" s="2021"/>
      <c r="CS201" s="2021"/>
      <c r="CT201" s="2021"/>
      <c r="CU201" s="2021"/>
      <c r="CV201" s="2021"/>
      <c r="CW201" s="2021"/>
      <c r="CX201" s="2021"/>
      <c r="CY201" s="2021"/>
      <c r="CZ201" s="2021"/>
      <c r="DA201" s="2021"/>
      <c r="DB201" s="2021"/>
      <c r="DC201" s="2021"/>
      <c r="DD201" s="2021"/>
      <c r="DE201" s="2021"/>
      <c r="DF201" s="2021"/>
      <c r="DG201" s="2021"/>
      <c r="DH201" s="2021"/>
      <c r="DI201" s="2021" t="str">
        <f>DI197</f>
        <v>˅</v>
      </c>
      <c r="DJ201" s="2021" t="str">
        <f t="shared" ref="DJ201:DQ201" si="174">DJ197</f>
        <v>˅</v>
      </c>
      <c r="DK201" s="2021" t="str">
        <f t="shared" si="174"/>
        <v>˅</v>
      </c>
      <c r="DL201" s="2021" t="str">
        <f t="shared" si="174"/>
        <v>˅</v>
      </c>
      <c r="DM201" s="2021" t="str">
        <f t="shared" si="174"/>
        <v>˅</v>
      </c>
      <c r="DN201" s="2021" t="e">
        <f t="shared" si="174"/>
        <v>#REF!</v>
      </c>
      <c r="DO201" s="2021" t="e">
        <f t="shared" si="174"/>
        <v>#REF!</v>
      </c>
      <c r="DP201" s="2021" t="e">
        <f t="shared" si="174"/>
        <v>#REF!</v>
      </c>
      <c r="DQ201" s="2021" t="e">
        <f t="shared" si="174"/>
        <v>#REF!</v>
      </c>
      <c r="DR201" s="2022"/>
      <c r="DS201" s="2022"/>
      <c r="DT201" s="2022"/>
      <c r="DU201" s="2022"/>
      <c r="DV201" s="2022"/>
      <c r="DW201" s="2022"/>
      <c r="FF201" s="1616"/>
    </row>
    <row r="202" spans="1:162" hidden="1" outlineLevel="1" collapsed="1">
      <c r="A202" s="1637" t="s">
        <v>1899</v>
      </c>
      <c r="B202" s="1637" t="s">
        <v>2068</v>
      </c>
      <c r="C202" s="1637" t="s">
        <v>2092</v>
      </c>
      <c r="D202" s="1637"/>
      <c r="E202" s="2023"/>
      <c r="F202" s="2023"/>
      <c r="G202" s="2023"/>
      <c r="H202" s="2023"/>
      <c r="I202" s="2023"/>
      <c r="J202" s="2023"/>
      <c r="K202" s="2023"/>
      <c r="L202" s="2023"/>
      <c r="M202" s="2023"/>
      <c r="N202" s="2023"/>
      <c r="O202" s="2023"/>
      <c r="P202" s="2023"/>
      <c r="Q202" s="2023"/>
      <c r="R202" s="2023"/>
      <c r="S202" s="2023"/>
      <c r="T202" s="2023"/>
      <c r="U202" s="2023"/>
      <c r="V202" s="2023"/>
      <c r="W202" s="2023"/>
      <c r="X202" s="2023"/>
      <c r="Y202" s="2023"/>
      <c r="Z202" s="2023"/>
      <c r="AA202" s="2023"/>
      <c r="AB202" s="2023"/>
      <c r="AC202" s="2023"/>
      <c r="AD202" s="2023"/>
      <c r="AE202" s="2023"/>
      <c r="AF202" s="2023"/>
      <c r="AG202" s="2023"/>
      <c r="AH202" s="2023"/>
      <c r="AI202" s="2023"/>
      <c r="AJ202" s="2023"/>
      <c r="AK202" s="2023"/>
      <c r="AL202" s="2023"/>
      <c r="AM202" s="2023"/>
      <c r="AN202" s="2023"/>
      <c r="AO202" s="2023"/>
      <c r="AP202" s="2023"/>
      <c r="AQ202" s="2023"/>
      <c r="AR202" s="2023"/>
      <c r="AS202" s="2023"/>
      <c r="AT202" s="2023"/>
      <c r="AU202" s="2023"/>
      <c r="AV202" s="2023"/>
      <c r="AW202" s="2023"/>
      <c r="AX202" s="2023"/>
      <c r="AY202" s="2023"/>
      <c r="AZ202" s="2023"/>
      <c r="BA202" s="2023"/>
      <c r="BB202" s="2023"/>
      <c r="BC202" s="2023"/>
      <c r="BD202" s="2023"/>
      <c r="BE202" s="2023"/>
      <c r="BF202" s="2023"/>
      <c r="BG202" s="2023"/>
      <c r="BH202" s="2023"/>
      <c r="BI202" s="2023"/>
      <c r="BJ202" s="2023"/>
      <c r="BK202" s="2023"/>
      <c r="BL202" s="2023"/>
      <c r="BM202" s="2023"/>
      <c r="BN202" s="2023"/>
      <c r="BO202" s="2023"/>
      <c r="BP202" s="2023"/>
      <c r="BQ202" s="2023"/>
      <c r="BR202" s="2023"/>
      <c r="BS202" s="2023"/>
      <c r="BT202" s="2023"/>
      <c r="BU202" s="2023"/>
      <c r="BV202" s="2023"/>
      <c r="BW202" s="2023"/>
      <c r="BX202" s="2023"/>
      <c r="BY202" s="2023"/>
      <c r="BZ202" s="2023"/>
      <c r="CA202" s="2023"/>
      <c r="CB202" s="2023"/>
      <c r="CC202" s="2023"/>
      <c r="CD202" s="2023"/>
      <c r="CE202" s="2023"/>
      <c r="CF202" s="2023"/>
      <c r="CG202" s="2023"/>
      <c r="CH202" s="2023"/>
      <c r="CI202" s="2023"/>
      <c r="CJ202" s="2023"/>
      <c r="CK202" s="2023" t="e">
        <f>Standart!#REF!</f>
        <v>#REF!</v>
      </c>
      <c r="CL202" s="2023" t="str">
        <f>Standart!G28</f>
        <v xml:space="preserve"> -</v>
      </c>
      <c r="CM202" s="2023" t="str">
        <f>Standart!H28</f>
        <v xml:space="preserve"> -</v>
      </c>
      <c r="CN202" s="2023" t="e">
        <f>Standart!#REF!</f>
        <v>#REF!</v>
      </c>
      <c r="CO202" s="2023" t="e">
        <f>Standart!#REF!</f>
        <v>#REF!</v>
      </c>
      <c r="CP202" s="2023" t="str">
        <f>Standart!I28</f>
        <v>˅</v>
      </c>
      <c r="CQ202" s="2023" t="str">
        <f>Standart!J28</f>
        <v>˅</v>
      </c>
      <c r="CR202" s="2023" t="str">
        <f>Standart!K28</f>
        <v xml:space="preserve"> -</v>
      </c>
      <c r="CS202" s="2023"/>
      <c r="CT202" s="2023"/>
      <c r="CU202" s="2023"/>
      <c r="CV202" s="2023"/>
      <c r="CW202" s="2023"/>
      <c r="CX202" s="2023"/>
      <c r="CY202" s="2023"/>
      <c r="CZ202" s="2023"/>
      <c r="DA202" s="2023"/>
      <c r="DB202" s="2023"/>
      <c r="DC202" s="2023"/>
      <c r="DD202" s="2023"/>
      <c r="DE202" s="2023"/>
      <c r="DF202" s="2023"/>
      <c r="DG202" s="2023"/>
      <c r="DH202" s="2023"/>
      <c r="DI202" s="2023"/>
      <c r="DJ202" s="2023"/>
      <c r="DK202" s="2023"/>
      <c r="DL202" s="2023"/>
      <c r="DM202" s="2023"/>
      <c r="DN202" s="2023"/>
      <c r="DO202" s="2024"/>
      <c r="DP202" s="2023"/>
      <c r="DQ202" s="2023"/>
      <c r="DR202" s="2025"/>
      <c r="DS202" s="2025"/>
      <c r="DT202" s="2025"/>
      <c r="DU202" s="2025"/>
      <c r="DV202" s="2025"/>
      <c r="DW202" s="2025"/>
      <c r="DX202" s="2025"/>
      <c r="DY202" s="2025"/>
      <c r="FF202" s="1616"/>
    </row>
    <row r="203" spans="1:162" hidden="1" outlineLevel="2">
      <c r="A203" s="1637" t="s">
        <v>1899</v>
      </c>
      <c r="B203" s="1637" t="s">
        <v>2068</v>
      </c>
      <c r="C203" s="1637" t="s">
        <v>2089</v>
      </c>
      <c r="D203" s="1637"/>
      <c r="E203" s="2023"/>
      <c r="F203" s="2023"/>
      <c r="G203" s="2023"/>
      <c r="H203" s="2023"/>
      <c r="I203" s="2023"/>
      <c r="J203" s="2023"/>
      <c r="K203" s="2023"/>
      <c r="L203" s="2023"/>
      <c r="M203" s="2023"/>
      <c r="N203" s="2023"/>
      <c r="O203" s="2023"/>
      <c r="P203" s="2023"/>
      <c r="Q203" s="2023"/>
      <c r="R203" s="2023"/>
      <c r="S203" s="2023"/>
      <c r="T203" s="2023"/>
      <c r="U203" s="2023"/>
      <c r="V203" s="2023"/>
      <c r="W203" s="2023"/>
      <c r="X203" s="2023"/>
      <c r="Y203" s="2023"/>
      <c r="Z203" s="2023"/>
      <c r="AA203" s="2023"/>
      <c r="AB203" s="2023"/>
      <c r="AC203" s="2023"/>
      <c r="AD203" s="2023"/>
      <c r="AE203" s="2023"/>
      <c r="AF203" s="2023"/>
      <c r="AG203" s="2023"/>
      <c r="AH203" s="2023"/>
      <c r="AI203" s="2023"/>
      <c r="AJ203" s="2023"/>
      <c r="AK203" s="2023"/>
      <c r="AL203" s="2023"/>
      <c r="AM203" s="2023"/>
      <c r="AN203" s="2023"/>
      <c r="AO203" s="2023"/>
      <c r="AP203" s="2023"/>
      <c r="AQ203" s="2023"/>
      <c r="AR203" s="2023"/>
      <c r="AS203" s="2023"/>
      <c r="AT203" s="2023"/>
      <c r="AU203" s="2023"/>
      <c r="AV203" s="2023"/>
      <c r="AW203" s="2023"/>
      <c r="AX203" s="2023"/>
      <c r="AY203" s="2023"/>
      <c r="AZ203" s="2023"/>
      <c r="BA203" s="2023"/>
      <c r="BB203" s="2023"/>
      <c r="BC203" s="2023"/>
      <c r="BD203" s="2023"/>
      <c r="BE203" s="2023"/>
      <c r="BF203" s="2023"/>
      <c r="BG203" s="2023"/>
      <c r="BH203" s="2023"/>
      <c r="BI203" s="2023"/>
      <c r="BJ203" s="2023"/>
      <c r="BK203" s="2023"/>
      <c r="BL203" s="2023"/>
      <c r="BM203" s="2023"/>
      <c r="BN203" s="2023"/>
      <c r="BO203" s="2023"/>
      <c r="BP203" s="2023"/>
      <c r="BQ203" s="2023"/>
      <c r="BR203" s="2023"/>
      <c r="BS203" s="2023"/>
      <c r="BT203" s="2023"/>
      <c r="BU203" s="2023"/>
      <c r="BV203" s="2023"/>
      <c r="BW203" s="2023"/>
      <c r="BX203" s="2023"/>
      <c r="BY203" s="2023"/>
      <c r="BZ203" s="2023"/>
      <c r="CA203" s="2023"/>
      <c r="CB203" s="2023"/>
      <c r="CC203" s="2023"/>
      <c r="CD203" s="2023"/>
      <c r="CE203" s="2023"/>
      <c r="CF203" s="2023"/>
      <c r="CG203" s="2023"/>
      <c r="CH203" s="2023"/>
      <c r="CI203" s="2023"/>
      <c r="CJ203" s="2023"/>
      <c r="CK203" s="2023" t="e">
        <f>CK202</f>
        <v>#REF!</v>
      </c>
      <c r="CL203" s="2023" t="str">
        <f t="shared" ref="CL203:CR203" si="175">CL202</f>
        <v xml:space="preserve"> -</v>
      </c>
      <c r="CM203" s="2023" t="str">
        <f t="shared" si="175"/>
        <v xml:space="preserve"> -</v>
      </c>
      <c r="CN203" s="2023" t="e">
        <f t="shared" si="175"/>
        <v>#REF!</v>
      </c>
      <c r="CO203" s="2023" t="e">
        <f t="shared" si="175"/>
        <v>#REF!</v>
      </c>
      <c r="CP203" s="2023" t="str">
        <f t="shared" si="175"/>
        <v>˅</v>
      </c>
      <c r="CQ203" s="2023" t="str">
        <f t="shared" si="175"/>
        <v>˅</v>
      </c>
      <c r="CR203" s="2023" t="str">
        <f t="shared" si="175"/>
        <v xml:space="preserve"> -</v>
      </c>
      <c r="CS203" s="2023"/>
      <c r="CT203" s="2023"/>
      <c r="CU203" s="2023"/>
      <c r="CV203" s="2023"/>
      <c r="CW203" s="2023"/>
      <c r="CX203" s="2023"/>
      <c r="CY203" s="2023"/>
      <c r="CZ203" s="2023"/>
      <c r="DA203" s="2023"/>
      <c r="DB203" s="2023"/>
      <c r="DC203" s="2023"/>
      <c r="DD203" s="2023"/>
      <c r="DE203" s="2023"/>
      <c r="DF203" s="2023"/>
      <c r="DG203" s="2023"/>
      <c r="DH203" s="2023"/>
      <c r="DI203" s="2023"/>
      <c r="DJ203" s="2023"/>
      <c r="DK203" s="2023"/>
      <c r="DL203" s="2023"/>
      <c r="DM203" s="2023"/>
      <c r="DN203" s="2023"/>
      <c r="DO203" s="2024"/>
      <c r="DP203" s="2023"/>
      <c r="DQ203" s="2023"/>
      <c r="DR203" s="2025"/>
      <c r="DS203" s="2025"/>
      <c r="DT203" s="2025"/>
      <c r="DU203" s="2025"/>
      <c r="DV203" s="2025"/>
      <c r="DW203" s="2025"/>
      <c r="DX203" s="2025"/>
      <c r="DY203" s="2025"/>
      <c r="FF203" s="1616"/>
    </row>
    <row r="204" spans="1:162" hidden="1" outlineLevel="2">
      <c r="A204" s="1637" t="s">
        <v>1899</v>
      </c>
      <c r="B204" s="1637" t="s">
        <v>2068</v>
      </c>
      <c r="C204" s="1637" t="s">
        <v>2095</v>
      </c>
      <c r="D204" s="1637"/>
      <c r="E204" s="2023"/>
      <c r="F204" s="2023"/>
      <c r="G204" s="2023"/>
      <c r="H204" s="2023"/>
      <c r="I204" s="2023"/>
      <c r="J204" s="2023"/>
      <c r="K204" s="2023"/>
      <c r="L204" s="2023"/>
      <c r="M204" s="2023"/>
      <c r="N204" s="2023"/>
      <c r="O204" s="2023"/>
      <c r="P204" s="2023"/>
      <c r="Q204" s="2023"/>
      <c r="R204" s="2023"/>
      <c r="S204" s="2023"/>
      <c r="T204" s="2023"/>
      <c r="U204" s="2023"/>
      <c r="V204" s="2023"/>
      <c r="W204" s="2023"/>
      <c r="X204" s="2023"/>
      <c r="Y204" s="2023"/>
      <c r="Z204" s="2023"/>
      <c r="AA204" s="2023"/>
      <c r="AB204" s="2023"/>
      <c r="AC204" s="2023"/>
      <c r="AD204" s="2023"/>
      <c r="AE204" s="2023"/>
      <c r="AF204" s="2023"/>
      <c r="AG204" s="2023"/>
      <c r="AH204" s="2023"/>
      <c r="AI204" s="2023"/>
      <c r="AJ204" s="2023"/>
      <c r="AK204" s="2023"/>
      <c r="AL204" s="2023"/>
      <c r="AM204" s="2023"/>
      <c r="AN204" s="2023"/>
      <c r="AO204" s="2023"/>
      <c r="AP204" s="2023"/>
      <c r="AQ204" s="2023"/>
      <c r="AR204" s="2023"/>
      <c r="AS204" s="2023"/>
      <c r="AT204" s="2023"/>
      <c r="AU204" s="2023"/>
      <c r="AV204" s="2023"/>
      <c r="AW204" s="2023"/>
      <c r="AX204" s="2023"/>
      <c r="AY204" s="2023"/>
      <c r="AZ204" s="2023"/>
      <c r="BA204" s="2023"/>
      <c r="BB204" s="2023"/>
      <c r="BC204" s="2023"/>
      <c r="BD204" s="2023"/>
      <c r="BE204" s="2023"/>
      <c r="BF204" s="2023"/>
      <c r="BG204" s="2023"/>
      <c r="BH204" s="2023"/>
      <c r="BI204" s="2023"/>
      <c r="BJ204" s="2023"/>
      <c r="BK204" s="2023"/>
      <c r="BL204" s="2023"/>
      <c r="BM204" s="2023"/>
      <c r="BN204" s="2023"/>
      <c r="BO204" s="2023"/>
      <c r="BP204" s="2023"/>
      <c r="BQ204" s="2023"/>
      <c r="BR204" s="2023"/>
      <c r="BS204" s="2023"/>
      <c r="BT204" s="2023"/>
      <c r="BU204" s="2023"/>
      <c r="BV204" s="2023"/>
      <c r="BW204" s="2023"/>
      <c r="BX204" s="2023"/>
      <c r="BY204" s="2023"/>
      <c r="BZ204" s="2023"/>
      <c r="CA204" s="2023"/>
      <c r="CB204" s="2023"/>
      <c r="CC204" s="2023"/>
      <c r="CD204" s="2023"/>
      <c r="CE204" s="2023"/>
      <c r="CF204" s="2023"/>
      <c r="CG204" s="2023"/>
      <c r="CH204" s="2023"/>
      <c r="CI204" s="2023"/>
      <c r="CJ204" s="2023"/>
      <c r="CK204" s="2023" t="e">
        <f>CK202</f>
        <v>#REF!</v>
      </c>
      <c r="CL204" s="2023" t="str">
        <f t="shared" ref="CL204:CR204" si="176">CL202</f>
        <v xml:space="preserve"> -</v>
      </c>
      <c r="CM204" s="2023" t="str">
        <f t="shared" si="176"/>
        <v xml:space="preserve"> -</v>
      </c>
      <c r="CN204" s="2023" t="e">
        <f t="shared" si="176"/>
        <v>#REF!</v>
      </c>
      <c r="CO204" s="2023" t="e">
        <f t="shared" si="176"/>
        <v>#REF!</v>
      </c>
      <c r="CP204" s="2023" t="str">
        <f t="shared" si="176"/>
        <v>˅</v>
      </c>
      <c r="CQ204" s="2023" t="str">
        <f t="shared" si="176"/>
        <v>˅</v>
      </c>
      <c r="CR204" s="2023" t="str">
        <f t="shared" si="176"/>
        <v xml:space="preserve"> -</v>
      </c>
      <c r="CS204" s="2023"/>
      <c r="CT204" s="2023"/>
      <c r="CU204" s="2023"/>
      <c r="CV204" s="2023"/>
      <c r="CW204" s="2023"/>
      <c r="CX204" s="2023"/>
      <c r="CY204" s="2023"/>
      <c r="CZ204" s="2023"/>
      <c r="DA204" s="2023"/>
      <c r="DB204" s="2023"/>
      <c r="DC204" s="2023"/>
      <c r="DD204" s="2023"/>
      <c r="DE204" s="2023"/>
      <c r="DF204" s="2023"/>
      <c r="DG204" s="2023"/>
      <c r="DH204" s="2023"/>
      <c r="DI204" s="2023"/>
      <c r="DJ204" s="2023"/>
      <c r="DK204" s="2023"/>
      <c r="DL204" s="2023"/>
      <c r="DM204" s="2023"/>
      <c r="DN204" s="2023"/>
      <c r="DO204" s="2024"/>
      <c r="DP204" s="2023"/>
      <c r="DQ204" s="2023"/>
      <c r="DR204" s="2025"/>
      <c r="DS204" s="2025"/>
      <c r="DT204" s="2025"/>
      <c r="DU204" s="2025"/>
      <c r="DV204" s="2025"/>
      <c r="DW204" s="2025"/>
      <c r="DX204" s="2025"/>
      <c r="DY204" s="2025"/>
      <c r="FF204" s="1616"/>
    </row>
    <row r="205" spans="1:162" hidden="1" outlineLevel="2">
      <c r="A205" s="1637" t="s">
        <v>1899</v>
      </c>
      <c r="B205" s="1637" t="s">
        <v>2068</v>
      </c>
      <c r="C205" s="1637" t="s">
        <v>2096</v>
      </c>
      <c r="D205" s="1637"/>
      <c r="E205" s="2023"/>
      <c r="F205" s="2023"/>
      <c r="G205" s="2023"/>
      <c r="H205" s="2023"/>
      <c r="I205" s="2023"/>
      <c r="J205" s="2023"/>
      <c r="K205" s="2023"/>
      <c r="L205" s="2023"/>
      <c r="M205" s="2023"/>
      <c r="N205" s="2023"/>
      <c r="O205" s="2023"/>
      <c r="P205" s="2023"/>
      <c r="Q205" s="2023"/>
      <c r="R205" s="2023"/>
      <c r="S205" s="2023"/>
      <c r="T205" s="2023"/>
      <c r="U205" s="2023"/>
      <c r="V205" s="2023"/>
      <c r="W205" s="2023"/>
      <c r="X205" s="2023"/>
      <c r="Y205" s="2023"/>
      <c r="Z205" s="2023"/>
      <c r="AA205" s="2023"/>
      <c r="AB205" s="2023"/>
      <c r="AC205" s="2023"/>
      <c r="AD205" s="2023"/>
      <c r="AE205" s="2023"/>
      <c r="AF205" s="2023"/>
      <c r="AG205" s="2023"/>
      <c r="AH205" s="2023"/>
      <c r="AI205" s="2023"/>
      <c r="AJ205" s="2023"/>
      <c r="AK205" s="2023"/>
      <c r="AL205" s="2023"/>
      <c r="AM205" s="2023"/>
      <c r="AN205" s="2023"/>
      <c r="AO205" s="2023"/>
      <c r="AP205" s="2023"/>
      <c r="AQ205" s="2023"/>
      <c r="AR205" s="2023"/>
      <c r="AS205" s="2023"/>
      <c r="AT205" s="2023"/>
      <c r="AU205" s="2023"/>
      <c r="AV205" s="2023"/>
      <c r="AW205" s="2023"/>
      <c r="AX205" s="2023"/>
      <c r="AY205" s="2023"/>
      <c r="AZ205" s="2023"/>
      <c r="BA205" s="2023"/>
      <c r="BB205" s="2023"/>
      <c r="BC205" s="2023"/>
      <c r="BD205" s="2023"/>
      <c r="BE205" s="2023"/>
      <c r="BF205" s="2023"/>
      <c r="BG205" s="2023"/>
      <c r="BH205" s="2023"/>
      <c r="BI205" s="2023"/>
      <c r="BJ205" s="2023"/>
      <c r="BK205" s="2023"/>
      <c r="BL205" s="2023"/>
      <c r="BM205" s="2023"/>
      <c r="BN205" s="2023"/>
      <c r="BO205" s="2023"/>
      <c r="BP205" s="2023"/>
      <c r="BQ205" s="2023"/>
      <c r="BR205" s="2023"/>
      <c r="BS205" s="2023"/>
      <c r="BT205" s="2023"/>
      <c r="BU205" s="2023"/>
      <c r="BV205" s="2023"/>
      <c r="BW205" s="2023"/>
      <c r="BX205" s="2023"/>
      <c r="BY205" s="2023"/>
      <c r="BZ205" s="2023"/>
      <c r="CA205" s="2023"/>
      <c r="CB205" s="2023"/>
      <c r="CC205" s="2023"/>
      <c r="CD205" s="2023"/>
      <c r="CE205" s="2023"/>
      <c r="CF205" s="2023"/>
      <c r="CG205" s="2023"/>
      <c r="CH205" s="2023"/>
      <c r="CI205" s="2023"/>
      <c r="CJ205" s="2023"/>
      <c r="CK205" s="2023" t="e">
        <f>Standart!#REF!</f>
        <v>#REF!</v>
      </c>
      <c r="CL205" s="2023" t="str">
        <f>Standart!G29</f>
        <v xml:space="preserve"> -</v>
      </c>
      <c r="CM205" s="2023" t="str">
        <f>Standart!H29</f>
        <v xml:space="preserve"> -</v>
      </c>
      <c r="CN205" s="2023" t="e">
        <f>Standart!#REF!</f>
        <v>#REF!</v>
      </c>
      <c r="CO205" s="2023" t="e">
        <f>Standart!#REF!</f>
        <v>#REF!</v>
      </c>
      <c r="CP205" s="2023">
        <f>Standart!I29</f>
        <v>700</v>
      </c>
      <c r="CQ205" s="2023" t="e">
        <f>Standart!#REF!</f>
        <v>#REF!</v>
      </c>
      <c r="CR205" s="2023">
        <f>Standart!J29</f>
        <v>400</v>
      </c>
      <c r="CS205" s="2023"/>
      <c r="CT205" s="2023"/>
      <c r="CU205" s="2023"/>
      <c r="CV205" s="2023"/>
      <c r="CW205" s="2023"/>
      <c r="CX205" s="2023"/>
      <c r="CY205" s="2023"/>
      <c r="CZ205" s="2023"/>
      <c r="DA205" s="2023"/>
      <c r="DB205" s="2023"/>
      <c r="DC205" s="2023"/>
      <c r="DD205" s="2023"/>
      <c r="DE205" s="2023"/>
      <c r="DF205" s="2023"/>
      <c r="DG205" s="2023"/>
      <c r="DH205" s="2023"/>
      <c r="DI205" s="2023"/>
      <c r="DJ205" s="2023"/>
      <c r="DK205" s="2023"/>
      <c r="DL205" s="2023"/>
      <c r="DM205" s="2023"/>
      <c r="DN205" s="2023"/>
      <c r="DO205" s="2024"/>
      <c r="DP205" s="2023"/>
      <c r="DQ205" s="2023"/>
      <c r="DR205" s="2025"/>
      <c r="DS205" s="2025"/>
      <c r="DT205" s="2025"/>
      <c r="DU205" s="2025"/>
      <c r="DV205" s="2025"/>
      <c r="DW205" s="2025"/>
      <c r="DX205" s="2025"/>
      <c r="DY205" s="2025"/>
      <c r="FF205" s="1616"/>
    </row>
    <row r="206" spans="1:162" hidden="1" outlineLevel="1" collapsed="1">
      <c r="A206" s="1626" t="s">
        <v>1358</v>
      </c>
      <c r="B206" s="1626" t="s">
        <v>2069</v>
      </c>
      <c r="C206" s="1626" t="s">
        <v>2092</v>
      </c>
      <c r="D206" s="1626"/>
      <c r="E206" s="2007"/>
      <c r="F206" s="2007"/>
      <c r="G206" s="2007"/>
      <c r="H206" s="2007"/>
      <c r="I206" s="2007"/>
      <c r="J206" s="2007"/>
      <c r="K206" s="2007"/>
      <c r="L206" s="2007"/>
      <c r="M206" s="2007"/>
      <c r="N206" s="2007"/>
      <c r="O206" s="2007"/>
      <c r="P206" s="2007"/>
      <c r="Q206" s="2007"/>
      <c r="R206" s="2007"/>
      <c r="S206" s="2007"/>
      <c r="T206" s="2007"/>
      <c r="U206" s="2007"/>
      <c r="V206" s="2007"/>
      <c r="W206" s="2007"/>
      <c r="X206" s="2007"/>
      <c r="Y206" s="2007"/>
      <c r="Z206" s="2007"/>
      <c r="AA206" s="2007"/>
      <c r="AB206" s="2007"/>
      <c r="AC206" s="2007"/>
      <c r="AD206" s="2007"/>
      <c r="AE206" s="2007"/>
      <c r="AF206" s="2007"/>
      <c r="AG206" s="2007"/>
      <c r="AH206" s="2007"/>
      <c r="AI206" s="2007"/>
      <c r="AJ206" s="2007"/>
      <c r="AK206" s="2007"/>
      <c r="AL206" s="2007"/>
      <c r="AM206" s="2007"/>
      <c r="AN206" s="2007"/>
      <c r="AO206" s="2007"/>
      <c r="AP206" s="2007"/>
      <c r="AQ206" s="2007"/>
      <c r="AR206" s="2007"/>
      <c r="AS206" s="2007"/>
      <c r="AT206" s="2007"/>
      <c r="AU206" s="2007"/>
      <c r="AV206" s="2007"/>
      <c r="AW206" s="2007"/>
      <c r="AX206" s="2007"/>
      <c r="AY206" s="2007"/>
      <c r="AZ206" s="2007"/>
      <c r="BA206" s="2007"/>
      <c r="BB206" s="2007"/>
      <c r="BC206" s="2007"/>
      <c r="BD206" s="2007"/>
      <c r="BE206" s="2007"/>
      <c r="BF206" s="2007"/>
      <c r="BG206" s="2007"/>
      <c r="BH206" s="2007"/>
      <c r="BI206" s="2007"/>
      <c r="BJ206" s="2007"/>
      <c r="BK206" s="2007"/>
      <c r="BL206" s="2007"/>
      <c r="BM206" s="2007"/>
      <c r="BN206" s="2007"/>
      <c r="BO206" s="2007"/>
      <c r="BP206" s="2007"/>
      <c r="BQ206" s="2007"/>
      <c r="BR206" s="2007"/>
      <c r="BS206" s="2007"/>
      <c r="BT206" s="2007"/>
      <c r="BU206" s="2007"/>
      <c r="BV206" s="2007"/>
      <c r="BW206" s="2007"/>
      <c r="BX206" s="2007"/>
      <c r="BY206" s="2007"/>
      <c r="BZ206" s="2007"/>
      <c r="CA206" s="2007"/>
      <c r="CB206" s="2007"/>
      <c r="CC206" s="2007"/>
      <c r="CD206" s="2007"/>
      <c r="CE206" s="2007"/>
      <c r="CF206" s="2007"/>
      <c r="CG206" s="2007"/>
      <c r="CH206" s="2007"/>
      <c r="CI206" s="2007"/>
      <c r="CJ206" s="2007"/>
      <c r="CK206" s="2007" t="e">
        <f>Standart!#REF!</f>
        <v>#REF!</v>
      </c>
      <c r="CL206" s="2007" t="str">
        <f>Standart!G30</f>
        <v xml:space="preserve"> -</v>
      </c>
      <c r="CM206" s="2007" t="str">
        <f>Standart!H30</f>
        <v>˅</v>
      </c>
      <c r="CN206" s="2007" t="e">
        <f>Standart!#REF!</f>
        <v>#REF!</v>
      </c>
      <c r="CO206" s="2007" t="e">
        <f>Standart!#REF!</f>
        <v>#REF!</v>
      </c>
      <c r="CP206" s="2007">
        <f>Standart!I30</f>
        <v>0</v>
      </c>
      <c r="CQ206" s="2007">
        <f>Standart!J30</f>
        <v>0</v>
      </c>
      <c r="CR206" s="2007" t="str">
        <f>Standart!K30</f>
        <v>˅</v>
      </c>
      <c r="CS206" s="2007"/>
      <c r="CT206" s="2007"/>
      <c r="CU206" s="2007"/>
      <c r="CV206" s="2007"/>
      <c r="CW206" s="2007">
        <f>'Standart Vario'!G55</f>
        <v>0</v>
      </c>
      <c r="CX206" s="2007">
        <f>'Standart Vario'!H55</f>
        <v>0</v>
      </c>
      <c r="CY206" s="2007">
        <f>'Standart Vario'!I55</f>
        <v>0</v>
      </c>
      <c r="CZ206" s="2007">
        <f>'Standart Vario'!J55</f>
        <v>0</v>
      </c>
      <c r="DA206" s="2007">
        <f>'Standart Vario'!K55</f>
        <v>0</v>
      </c>
      <c r="DB206" s="2007">
        <f>'Standart Vario'!L55</f>
        <v>0</v>
      </c>
      <c r="DC206" s="2007">
        <f>'Standart Vario'!M55</f>
        <v>0</v>
      </c>
      <c r="DD206" s="2007">
        <f>'Standart Vario'!N55</f>
        <v>0</v>
      </c>
      <c r="DE206" s="2007"/>
      <c r="DF206" s="2007"/>
      <c r="DG206" s="2007"/>
      <c r="DH206" s="2007"/>
      <c r="DI206" s="2007"/>
      <c r="DJ206" s="2007"/>
      <c r="DK206" s="2007"/>
      <c r="DL206" s="2007"/>
      <c r="DM206" s="2007"/>
      <c r="DN206" s="2007"/>
      <c r="DO206" s="2008"/>
      <c r="DP206" s="2007"/>
      <c r="DQ206" s="2007"/>
      <c r="FF206" s="1616"/>
    </row>
    <row r="207" spans="1:162" hidden="1" outlineLevel="2">
      <c r="A207" s="1626" t="s">
        <v>1358</v>
      </c>
      <c r="B207" s="1626" t="s">
        <v>2069</v>
      </c>
      <c r="C207" s="1626" t="s">
        <v>2089</v>
      </c>
      <c r="D207" s="1626"/>
      <c r="E207" s="2007"/>
      <c r="F207" s="2007"/>
      <c r="G207" s="2007"/>
      <c r="H207" s="2007"/>
      <c r="I207" s="2007"/>
      <c r="J207" s="2007"/>
      <c r="K207" s="2007"/>
      <c r="L207" s="2007"/>
      <c r="M207" s="2007"/>
      <c r="N207" s="2007"/>
      <c r="O207" s="2007"/>
      <c r="P207" s="2007"/>
      <c r="Q207" s="2007"/>
      <c r="R207" s="2007"/>
      <c r="S207" s="2007"/>
      <c r="T207" s="2007"/>
      <c r="U207" s="2007"/>
      <c r="V207" s="2007"/>
      <c r="W207" s="2007"/>
      <c r="X207" s="2007"/>
      <c r="Y207" s="2007"/>
      <c r="Z207" s="2007"/>
      <c r="AA207" s="2007"/>
      <c r="AB207" s="2007"/>
      <c r="AC207" s="2007"/>
      <c r="AD207" s="2007"/>
      <c r="AE207" s="2007"/>
      <c r="AF207" s="2007"/>
      <c r="AG207" s="2007"/>
      <c r="AH207" s="2007"/>
      <c r="AI207" s="2007"/>
      <c r="AJ207" s="2007"/>
      <c r="AK207" s="2007"/>
      <c r="AL207" s="2007"/>
      <c r="AM207" s="2007"/>
      <c r="AN207" s="2007"/>
      <c r="AO207" s="2007"/>
      <c r="AP207" s="2007"/>
      <c r="AQ207" s="2007"/>
      <c r="AR207" s="2007"/>
      <c r="AS207" s="2007"/>
      <c r="AT207" s="2007"/>
      <c r="AU207" s="2007"/>
      <c r="AV207" s="2007"/>
      <c r="AW207" s="2007"/>
      <c r="AX207" s="2007"/>
      <c r="AY207" s="2007"/>
      <c r="AZ207" s="2007"/>
      <c r="BA207" s="2007"/>
      <c r="BB207" s="2007"/>
      <c r="BC207" s="2007"/>
      <c r="BD207" s="2007"/>
      <c r="BE207" s="2007"/>
      <c r="BF207" s="2007"/>
      <c r="BG207" s="2007"/>
      <c r="BH207" s="2007"/>
      <c r="BI207" s="2007"/>
      <c r="BJ207" s="2007"/>
      <c r="BK207" s="2007"/>
      <c r="BL207" s="2007"/>
      <c r="BM207" s="2007"/>
      <c r="BN207" s="2007"/>
      <c r="BO207" s="2007"/>
      <c r="BP207" s="2007"/>
      <c r="BQ207" s="2007"/>
      <c r="BR207" s="2007"/>
      <c r="BS207" s="2007"/>
      <c r="BT207" s="2007"/>
      <c r="BU207" s="2007"/>
      <c r="BV207" s="2007"/>
      <c r="BW207" s="2007"/>
      <c r="BX207" s="2007"/>
      <c r="BY207" s="2007"/>
      <c r="BZ207" s="2007"/>
      <c r="CA207" s="2007"/>
      <c r="CB207" s="2007"/>
      <c r="CC207" s="2007"/>
      <c r="CD207" s="2007"/>
      <c r="CE207" s="2007"/>
      <c r="CF207" s="2007"/>
      <c r="CG207" s="2007"/>
      <c r="CH207" s="2007"/>
      <c r="CI207" s="2007"/>
      <c r="CJ207" s="2007"/>
      <c r="CK207" s="2007" t="e">
        <f>CK206</f>
        <v>#REF!</v>
      </c>
      <c r="CL207" s="2007" t="str">
        <f t="shared" ref="CL207:CR207" si="177">CL206</f>
        <v xml:space="preserve"> -</v>
      </c>
      <c r="CM207" s="2007" t="str">
        <f t="shared" si="177"/>
        <v>˅</v>
      </c>
      <c r="CN207" s="2007" t="e">
        <f t="shared" si="177"/>
        <v>#REF!</v>
      </c>
      <c r="CO207" s="2007" t="e">
        <f t="shared" si="177"/>
        <v>#REF!</v>
      </c>
      <c r="CP207" s="2007">
        <f t="shared" si="177"/>
        <v>0</v>
      </c>
      <c r="CQ207" s="2007">
        <f t="shared" si="177"/>
        <v>0</v>
      </c>
      <c r="CR207" s="2007" t="str">
        <f t="shared" si="177"/>
        <v>˅</v>
      </c>
      <c r="CS207" s="2007"/>
      <c r="CT207" s="2007"/>
      <c r="CU207" s="2007"/>
      <c r="CV207" s="2007"/>
      <c r="CW207" s="2007">
        <f>CW206</f>
        <v>0</v>
      </c>
      <c r="CX207" s="2007">
        <f t="shared" ref="CX207:DD207" si="178">CX206</f>
        <v>0</v>
      </c>
      <c r="CY207" s="2007">
        <f t="shared" si="178"/>
        <v>0</v>
      </c>
      <c r="CZ207" s="2007">
        <f t="shared" si="178"/>
        <v>0</v>
      </c>
      <c r="DA207" s="2007">
        <f t="shared" si="178"/>
        <v>0</v>
      </c>
      <c r="DB207" s="2007">
        <f t="shared" si="178"/>
        <v>0</v>
      </c>
      <c r="DC207" s="2007">
        <f t="shared" si="178"/>
        <v>0</v>
      </c>
      <c r="DD207" s="2007">
        <f t="shared" si="178"/>
        <v>0</v>
      </c>
      <c r="DE207" s="2007"/>
      <c r="DF207" s="2007"/>
      <c r="DG207" s="2007"/>
      <c r="DH207" s="2007"/>
      <c r="DI207" s="2007"/>
      <c r="DJ207" s="2007"/>
      <c r="DK207" s="2007"/>
      <c r="DL207" s="2007"/>
      <c r="DM207" s="2007"/>
      <c r="DN207" s="2007"/>
      <c r="DO207" s="2008"/>
      <c r="DP207" s="2007"/>
      <c r="DQ207" s="2007"/>
      <c r="FF207" s="1616"/>
    </row>
    <row r="208" spans="1:162" hidden="1" outlineLevel="2">
      <c r="A208" s="1626" t="s">
        <v>1358</v>
      </c>
      <c r="B208" s="1626" t="s">
        <v>2069</v>
      </c>
      <c r="C208" s="1626" t="s">
        <v>2095</v>
      </c>
      <c r="D208" s="1626"/>
      <c r="E208" s="2007"/>
      <c r="F208" s="2007"/>
      <c r="G208" s="2007"/>
      <c r="H208" s="2007"/>
      <c r="I208" s="2007"/>
      <c r="J208" s="2007"/>
      <c r="K208" s="2007"/>
      <c r="L208" s="2007"/>
      <c r="M208" s="2007"/>
      <c r="N208" s="2007"/>
      <c r="O208" s="2007"/>
      <c r="P208" s="2007"/>
      <c r="Q208" s="2007"/>
      <c r="R208" s="2007"/>
      <c r="S208" s="2007"/>
      <c r="T208" s="2007"/>
      <c r="U208" s="2007"/>
      <c r="V208" s="2007"/>
      <c r="W208" s="2007"/>
      <c r="X208" s="2007"/>
      <c r="Y208" s="2007"/>
      <c r="Z208" s="2007"/>
      <c r="AA208" s="2007"/>
      <c r="AB208" s="2007"/>
      <c r="AC208" s="2007"/>
      <c r="AD208" s="2007"/>
      <c r="AE208" s="2007"/>
      <c r="AF208" s="2007"/>
      <c r="AG208" s="2007"/>
      <c r="AH208" s="2007"/>
      <c r="AI208" s="2007"/>
      <c r="AJ208" s="2007"/>
      <c r="AK208" s="2007"/>
      <c r="AL208" s="2007"/>
      <c r="AM208" s="2007"/>
      <c r="AN208" s="2007"/>
      <c r="AO208" s="2007"/>
      <c r="AP208" s="2007"/>
      <c r="AQ208" s="2007"/>
      <c r="AR208" s="2007"/>
      <c r="AS208" s="2007"/>
      <c r="AT208" s="2007"/>
      <c r="AU208" s="2007"/>
      <c r="AV208" s="2007"/>
      <c r="AW208" s="2007"/>
      <c r="AX208" s="2007"/>
      <c r="AY208" s="2007"/>
      <c r="AZ208" s="2007"/>
      <c r="BA208" s="2007"/>
      <c r="BB208" s="2007"/>
      <c r="BC208" s="2007"/>
      <c r="BD208" s="2007"/>
      <c r="BE208" s="2007"/>
      <c r="BF208" s="2007"/>
      <c r="BG208" s="2007"/>
      <c r="BH208" s="2007"/>
      <c r="BI208" s="2007"/>
      <c r="BJ208" s="2007"/>
      <c r="BK208" s="2007"/>
      <c r="BL208" s="2007"/>
      <c r="BM208" s="2007"/>
      <c r="BN208" s="2007"/>
      <c r="BO208" s="2007"/>
      <c r="BP208" s="2007"/>
      <c r="BQ208" s="2007"/>
      <c r="BR208" s="2007"/>
      <c r="BS208" s="2007"/>
      <c r="BT208" s="2007"/>
      <c r="BU208" s="2007"/>
      <c r="BV208" s="2007"/>
      <c r="BW208" s="2007"/>
      <c r="BX208" s="2007"/>
      <c r="BY208" s="2007"/>
      <c r="BZ208" s="2007"/>
      <c r="CA208" s="2007"/>
      <c r="CB208" s="2007"/>
      <c r="CC208" s="2007"/>
      <c r="CD208" s="2007"/>
      <c r="CE208" s="2007"/>
      <c r="CF208" s="2007"/>
      <c r="CG208" s="2007"/>
      <c r="CH208" s="2007"/>
      <c r="CI208" s="2007"/>
      <c r="CJ208" s="2007"/>
      <c r="CK208" s="2007" t="e">
        <f>CK206</f>
        <v>#REF!</v>
      </c>
      <c r="CL208" s="2007" t="str">
        <f t="shared" ref="CL208:CR208" si="179">CL206</f>
        <v xml:space="preserve"> -</v>
      </c>
      <c r="CM208" s="2007" t="str">
        <f t="shared" si="179"/>
        <v>˅</v>
      </c>
      <c r="CN208" s="2007" t="e">
        <f t="shared" si="179"/>
        <v>#REF!</v>
      </c>
      <c r="CO208" s="2007" t="e">
        <f t="shared" si="179"/>
        <v>#REF!</v>
      </c>
      <c r="CP208" s="2007">
        <f t="shared" si="179"/>
        <v>0</v>
      </c>
      <c r="CQ208" s="2007">
        <f t="shared" si="179"/>
        <v>0</v>
      </c>
      <c r="CR208" s="2007" t="str">
        <f t="shared" si="179"/>
        <v>˅</v>
      </c>
      <c r="CS208" s="2007"/>
      <c r="CT208" s="2007"/>
      <c r="CU208" s="2007"/>
      <c r="CV208" s="2007"/>
      <c r="CW208" s="2007">
        <f>CW206</f>
        <v>0</v>
      </c>
      <c r="CX208" s="2007">
        <f t="shared" ref="CX208:DD208" si="180">CX206</f>
        <v>0</v>
      </c>
      <c r="CY208" s="2007">
        <f t="shared" si="180"/>
        <v>0</v>
      </c>
      <c r="CZ208" s="2007">
        <f t="shared" si="180"/>
        <v>0</v>
      </c>
      <c r="DA208" s="2007">
        <f t="shared" si="180"/>
        <v>0</v>
      </c>
      <c r="DB208" s="2007">
        <f t="shared" si="180"/>
        <v>0</v>
      </c>
      <c r="DC208" s="2007">
        <f t="shared" si="180"/>
        <v>0</v>
      </c>
      <c r="DD208" s="2007">
        <f t="shared" si="180"/>
        <v>0</v>
      </c>
      <c r="DE208" s="2007"/>
      <c r="DF208" s="2007"/>
      <c r="DG208" s="2007"/>
      <c r="DH208" s="2007"/>
      <c r="DI208" s="2007"/>
      <c r="DJ208" s="2007"/>
      <c r="DK208" s="2007"/>
      <c r="DL208" s="2007"/>
      <c r="DM208" s="2007"/>
      <c r="DN208" s="2007"/>
      <c r="DO208" s="2008"/>
      <c r="DP208" s="2007"/>
      <c r="DQ208" s="2007"/>
      <c r="FF208" s="1616"/>
    </row>
    <row r="209" spans="1:162" hidden="1" outlineLevel="2">
      <c r="A209" s="1626" t="s">
        <v>1358</v>
      </c>
      <c r="B209" s="1626" t="s">
        <v>2069</v>
      </c>
      <c r="C209" s="1626" t="s">
        <v>2096</v>
      </c>
      <c r="D209" s="1626"/>
      <c r="E209" s="2007"/>
      <c r="F209" s="2007"/>
      <c r="G209" s="2007"/>
      <c r="H209" s="2007"/>
      <c r="I209" s="2007"/>
      <c r="J209" s="2007"/>
      <c r="K209" s="2007"/>
      <c r="L209" s="2007"/>
      <c r="M209" s="2007"/>
      <c r="N209" s="2007"/>
      <c r="O209" s="2007"/>
      <c r="P209" s="2007"/>
      <c r="Q209" s="2007"/>
      <c r="R209" s="2007"/>
      <c r="S209" s="2007"/>
      <c r="T209" s="2007"/>
      <c r="U209" s="2007"/>
      <c r="V209" s="2007"/>
      <c r="W209" s="2007"/>
      <c r="X209" s="2007"/>
      <c r="Y209" s="2007"/>
      <c r="Z209" s="2007"/>
      <c r="AA209" s="2007"/>
      <c r="AB209" s="2007"/>
      <c r="AC209" s="2007"/>
      <c r="AD209" s="2007"/>
      <c r="AE209" s="2007"/>
      <c r="AF209" s="2007"/>
      <c r="AG209" s="2007"/>
      <c r="AH209" s="2007"/>
      <c r="AI209" s="2007"/>
      <c r="AJ209" s="2007"/>
      <c r="AK209" s="2007"/>
      <c r="AL209" s="2007"/>
      <c r="AM209" s="2007"/>
      <c r="AN209" s="2007"/>
      <c r="AO209" s="2007"/>
      <c r="AP209" s="2007"/>
      <c r="AQ209" s="2007"/>
      <c r="AR209" s="2007"/>
      <c r="AS209" s="2007"/>
      <c r="AT209" s="2007"/>
      <c r="AU209" s="2007"/>
      <c r="AV209" s="2007"/>
      <c r="AW209" s="2007"/>
      <c r="AX209" s="2007"/>
      <c r="AY209" s="2007"/>
      <c r="AZ209" s="2007"/>
      <c r="BA209" s="2007"/>
      <c r="BB209" s="2007"/>
      <c r="BC209" s="2007"/>
      <c r="BD209" s="2007"/>
      <c r="BE209" s="2007"/>
      <c r="BF209" s="2007"/>
      <c r="BG209" s="2007"/>
      <c r="BH209" s="2007"/>
      <c r="BI209" s="2007"/>
      <c r="BJ209" s="2007"/>
      <c r="BK209" s="2007"/>
      <c r="BL209" s="2007"/>
      <c r="BM209" s="2007"/>
      <c r="BN209" s="2007"/>
      <c r="BO209" s="2007"/>
      <c r="BP209" s="2007"/>
      <c r="BQ209" s="2007"/>
      <c r="BR209" s="2007"/>
      <c r="BS209" s="2007"/>
      <c r="BT209" s="2007"/>
      <c r="BU209" s="2007"/>
      <c r="BV209" s="2007"/>
      <c r="BW209" s="2007"/>
      <c r="BX209" s="2007"/>
      <c r="BY209" s="2007"/>
      <c r="BZ209" s="2007"/>
      <c r="CA209" s="2007"/>
      <c r="CB209" s="2007"/>
      <c r="CC209" s="2007"/>
      <c r="CD209" s="2007"/>
      <c r="CE209" s="2007"/>
      <c r="CF209" s="2007"/>
      <c r="CG209" s="2007"/>
      <c r="CH209" s="2007"/>
      <c r="CI209" s="2007"/>
      <c r="CJ209" s="2007"/>
      <c r="CK209" s="2007" t="e">
        <f>Standart!#REF!</f>
        <v>#REF!</v>
      </c>
      <c r="CL209" s="2007" t="str">
        <f>Standart!G31</f>
        <v xml:space="preserve"> -</v>
      </c>
      <c r="CM209" s="2007">
        <f>Standart!H31</f>
        <v>500</v>
      </c>
      <c r="CN209" s="2007" t="e">
        <f>Standart!#REF!</f>
        <v>#REF!</v>
      </c>
      <c r="CO209" s="2007" t="e">
        <f>Standart!#REF!</f>
        <v>#REF!</v>
      </c>
      <c r="CP209" s="2007">
        <f>Standart!I31</f>
        <v>0</v>
      </c>
      <c r="CQ209" s="2007">
        <f>Standart!J31</f>
        <v>0</v>
      </c>
      <c r="CR209" s="2007" t="e">
        <f>Standart!#REF!</f>
        <v>#REF!</v>
      </c>
      <c r="CS209" s="2007"/>
      <c r="CT209" s="2007"/>
      <c r="CU209" s="2007"/>
      <c r="CV209" s="2007"/>
      <c r="CW209" s="2007">
        <f>'Standart Vario'!G58</f>
        <v>0</v>
      </c>
      <c r="CX209" s="2007">
        <f>'Standart Vario'!H58</f>
        <v>0</v>
      </c>
      <c r="CY209" s="2007">
        <f>Standart!K31</f>
        <v>500</v>
      </c>
      <c r="CZ209" s="2007">
        <f>'Standart Vario'!J58</f>
        <v>0</v>
      </c>
      <c r="DA209" s="2007">
        <f>'Standart Vario'!K58</f>
        <v>500</v>
      </c>
      <c r="DB209" s="2007">
        <f>'Standart Vario'!L58</f>
        <v>0</v>
      </c>
      <c r="DC209" s="2007">
        <f>'Standart Vario'!M58</f>
        <v>1100</v>
      </c>
      <c r="DD209" s="2007">
        <f>'Standart Vario'!N58</f>
        <v>500</v>
      </c>
      <c r="DE209" s="2007"/>
      <c r="DF209" s="2007"/>
      <c r="DG209" s="2007"/>
      <c r="DH209" s="2007"/>
      <c r="DI209" s="2007"/>
      <c r="DJ209" s="2007"/>
      <c r="DK209" s="2007"/>
      <c r="DL209" s="2007"/>
      <c r="DM209" s="2007"/>
      <c r="DN209" s="2007"/>
      <c r="DO209" s="2008"/>
      <c r="DP209" s="2007"/>
      <c r="DQ209" s="2007"/>
      <c r="FF209" s="1616"/>
    </row>
    <row r="210" spans="1:162" hidden="1" outlineLevel="2">
      <c r="A210" s="1626" t="s">
        <v>1358</v>
      </c>
      <c r="B210" s="1626" t="s">
        <v>2069</v>
      </c>
      <c r="C210" s="1626" t="s">
        <v>2090</v>
      </c>
      <c r="D210" s="1626"/>
      <c r="E210" s="2007"/>
      <c r="F210" s="2007"/>
      <c r="G210" s="2007"/>
      <c r="H210" s="2007"/>
      <c r="I210" s="2007"/>
      <c r="J210" s="2007"/>
      <c r="K210" s="2007"/>
      <c r="L210" s="2007"/>
      <c r="M210" s="2007"/>
      <c r="N210" s="2007"/>
      <c r="O210" s="2007"/>
      <c r="P210" s="2007"/>
      <c r="Q210" s="2007"/>
      <c r="R210" s="2007"/>
      <c r="S210" s="2007"/>
      <c r="T210" s="2007"/>
      <c r="U210" s="2007"/>
      <c r="V210" s="2007"/>
      <c r="W210" s="2007"/>
      <c r="X210" s="2007"/>
      <c r="Y210" s="2007"/>
      <c r="Z210" s="2007"/>
      <c r="AA210" s="2007"/>
      <c r="AB210" s="2007"/>
      <c r="AC210" s="2007"/>
      <c r="AD210" s="2007"/>
      <c r="AE210" s="2007"/>
      <c r="AF210" s="2007"/>
      <c r="AG210" s="2007"/>
      <c r="AH210" s="2007"/>
      <c r="AI210" s="2007"/>
      <c r="AJ210" s="2007"/>
      <c r="AK210" s="2007"/>
      <c r="AL210" s="2007"/>
      <c r="AM210" s="2007"/>
      <c r="AN210" s="2007"/>
      <c r="AO210" s="2007"/>
      <c r="AP210" s="2007"/>
      <c r="AQ210" s="2007"/>
      <c r="AR210" s="2007"/>
      <c r="AS210" s="2007"/>
      <c r="AT210" s="2007"/>
      <c r="AU210" s="2007"/>
      <c r="AV210" s="2007"/>
      <c r="AW210" s="2007"/>
      <c r="AX210" s="2007"/>
      <c r="AY210" s="2007"/>
      <c r="AZ210" s="2007"/>
      <c r="BA210" s="2007"/>
      <c r="BB210" s="2007"/>
      <c r="BC210" s="2007"/>
      <c r="BD210" s="2007"/>
      <c r="BE210" s="2007"/>
      <c r="BF210" s="2007"/>
      <c r="BG210" s="2007"/>
      <c r="BH210" s="2007"/>
      <c r="BI210" s="2007"/>
      <c r="BJ210" s="2007"/>
      <c r="BK210" s="2007"/>
      <c r="BL210" s="2007"/>
      <c r="BM210" s="2007"/>
      <c r="BN210" s="2007"/>
      <c r="BO210" s="2007"/>
      <c r="BP210" s="2007"/>
      <c r="BQ210" s="2007"/>
      <c r="BR210" s="2007"/>
      <c r="BS210" s="2007"/>
      <c r="BT210" s="2007"/>
      <c r="BU210" s="2007"/>
      <c r="BV210" s="2007"/>
      <c r="BW210" s="2007"/>
      <c r="BX210" s="2007"/>
      <c r="BY210" s="2007"/>
      <c r="BZ210" s="2007"/>
      <c r="CA210" s="2007"/>
      <c r="CB210" s="2007"/>
      <c r="CC210" s="2007"/>
      <c r="CD210" s="2007"/>
      <c r="CE210" s="2007"/>
      <c r="CF210" s="2007"/>
      <c r="CG210" s="2007"/>
      <c r="CH210" s="2007"/>
      <c r="CI210" s="2007"/>
      <c r="CJ210" s="2007"/>
      <c r="CK210" s="2007" t="e">
        <f>Standart!#REF!</f>
        <v>#REF!</v>
      </c>
      <c r="CL210" s="2007" t="str">
        <f>Standart!G32</f>
        <v xml:space="preserve"> -</v>
      </c>
      <c r="CM210" s="2007">
        <f>Standart!H32</f>
        <v>500</v>
      </c>
      <c r="CN210" s="2007" t="e">
        <f>Standart!#REF!</f>
        <v>#REF!</v>
      </c>
      <c r="CO210" s="2007" t="e">
        <f>Standart!#REF!</f>
        <v>#REF!</v>
      </c>
      <c r="CP210" s="2007">
        <f>Standart!I32</f>
        <v>0</v>
      </c>
      <c r="CQ210" s="2007">
        <f>Standart!J32</f>
        <v>0</v>
      </c>
      <c r="CR210" s="2007" t="e">
        <f>Standart!#REF!</f>
        <v>#REF!</v>
      </c>
      <c r="CS210" s="2007"/>
      <c r="CT210" s="2007"/>
      <c r="CU210" s="2007"/>
      <c r="CV210" s="2007"/>
      <c r="CW210" s="2007">
        <f>'Standart Vario'!G59</f>
        <v>0</v>
      </c>
      <c r="CX210" s="2007">
        <f>'Standart Vario'!H59</f>
        <v>0</v>
      </c>
      <c r="CY210" s="2007">
        <f>Standart!K32</f>
        <v>500</v>
      </c>
      <c r="CZ210" s="2007">
        <f>'Standart Vario'!J59</f>
        <v>0</v>
      </c>
      <c r="DA210" s="2007">
        <f>'Standart Vario'!K59</f>
        <v>700</v>
      </c>
      <c r="DB210" s="2007">
        <f>'Standart Vario'!L59</f>
        <v>0</v>
      </c>
      <c r="DC210" s="2007">
        <f>'Standart Vario'!M59</f>
        <v>1700</v>
      </c>
      <c r="DD210" s="2007">
        <f>'Standart Vario'!N59</f>
        <v>700</v>
      </c>
      <c r="DE210" s="2007"/>
      <c r="DF210" s="2007"/>
      <c r="DG210" s="2007"/>
      <c r="DH210" s="2007"/>
      <c r="DI210" s="2007"/>
      <c r="DJ210" s="2007"/>
      <c r="DK210" s="2007"/>
      <c r="DL210" s="2007"/>
      <c r="DM210" s="2007"/>
      <c r="DN210" s="2007"/>
      <c r="DO210" s="2008"/>
      <c r="DP210" s="2007"/>
      <c r="DQ210" s="2007"/>
      <c r="FF210" s="1616"/>
    </row>
    <row r="211" spans="1:162" hidden="1" outlineLevel="2">
      <c r="A211" s="1626" t="s">
        <v>1358</v>
      </c>
      <c r="B211" s="1626" t="s">
        <v>2069</v>
      </c>
      <c r="C211" s="1626" t="s">
        <v>2091</v>
      </c>
      <c r="D211" s="1626"/>
      <c r="E211" s="2007"/>
      <c r="F211" s="2007"/>
      <c r="G211" s="2007"/>
      <c r="H211" s="2007"/>
      <c r="I211" s="2007"/>
      <c r="J211" s="2007"/>
      <c r="K211" s="2007"/>
      <c r="L211" s="2007"/>
      <c r="M211" s="2007"/>
      <c r="N211" s="2007"/>
      <c r="O211" s="2007"/>
      <c r="P211" s="2007"/>
      <c r="Q211" s="2007"/>
      <c r="R211" s="2007"/>
      <c r="S211" s="2007"/>
      <c r="T211" s="2007"/>
      <c r="U211" s="2007"/>
      <c r="V211" s="2007"/>
      <c r="W211" s="2007"/>
      <c r="X211" s="2007"/>
      <c r="Y211" s="2007"/>
      <c r="Z211" s="2007"/>
      <c r="AA211" s="2007"/>
      <c r="AB211" s="2007"/>
      <c r="AC211" s="2007"/>
      <c r="AD211" s="2007"/>
      <c r="AE211" s="2007"/>
      <c r="AF211" s="2007"/>
      <c r="AG211" s="2007"/>
      <c r="AH211" s="2007"/>
      <c r="AI211" s="2007"/>
      <c r="AJ211" s="2007"/>
      <c r="AK211" s="2007"/>
      <c r="AL211" s="2007"/>
      <c r="AM211" s="2007"/>
      <c r="AN211" s="2007"/>
      <c r="AO211" s="2007"/>
      <c r="AP211" s="2007"/>
      <c r="AQ211" s="2007"/>
      <c r="AR211" s="2007"/>
      <c r="AS211" s="2007"/>
      <c r="AT211" s="2007"/>
      <c r="AU211" s="2007"/>
      <c r="AV211" s="2007"/>
      <c r="AW211" s="2007"/>
      <c r="AX211" s="2007"/>
      <c r="AY211" s="2007"/>
      <c r="AZ211" s="2007"/>
      <c r="BA211" s="2007"/>
      <c r="BB211" s="2007"/>
      <c r="BC211" s="2007"/>
      <c r="BD211" s="2007"/>
      <c r="BE211" s="2007"/>
      <c r="BF211" s="2007"/>
      <c r="BG211" s="2007"/>
      <c r="BH211" s="2007"/>
      <c r="BI211" s="2007"/>
      <c r="BJ211" s="2007"/>
      <c r="BK211" s="2007"/>
      <c r="BL211" s="2007"/>
      <c r="BM211" s="2007"/>
      <c r="BN211" s="2007"/>
      <c r="BO211" s="2007"/>
      <c r="BP211" s="2007"/>
      <c r="BQ211" s="2007"/>
      <c r="BR211" s="2007"/>
      <c r="BS211" s="2007"/>
      <c r="BT211" s="2007"/>
      <c r="BU211" s="2007"/>
      <c r="BV211" s="2007"/>
      <c r="BW211" s="2007"/>
      <c r="BX211" s="2007"/>
      <c r="BY211" s="2007"/>
      <c r="BZ211" s="2007"/>
      <c r="CA211" s="2007"/>
      <c r="CB211" s="2007"/>
      <c r="CC211" s="2007"/>
      <c r="CD211" s="2007"/>
      <c r="CE211" s="2007"/>
      <c r="CF211" s="2007"/>
      <c r="CG211" s="2007"/>
      <c r="CH211" s="2007"/>
      <c r="CI211" s="2007"/>
      <c r="CJ211" s="2007"/>
      <c r="CK211" s="2007" t="e">
        <f>CK210</f>
        <v>#REF!</v>
      </c>
      <c r="CL211" s="2007" t="str">
        <f t="shared" ref="CL211:CR211" si="181">CL210</f>
        <v xml:space="preserve"> -</v>
      </c>
      <c r="CM211" s="2007">
        <f t="shared" si="181"/>
        <v>500</v>
      </c>
      <c r="CN211" s="2007" t="e">
        <f t="shared" si="181"/>
        <v>#REF!</v>
      </c>
      <c r="CO211" s="2007" t="e">
        <f t="shared" si="181"/>
        <v>#REF!</v>
      </c>
      <c r="CP211" s="2007">
        <f t="shared" si="181"/>
        <v>0</v>
      </c>
      <c r="CQ211" s="2007">
        <f t="shared" si="181"/>
        <v>0</v>
      </c>
      <c r="CR211" s="2007" t="e">
        <f t="shared" si="181"/>
        <v>#REF!</v>
      </c>
      <c r="CS211" s="2007"/>
      <c r="CT211" s="2007"/>
      <c r="CU211" s="2007"/>
      <c r="CV211" s="2007"/>
      <c r="CW211" s="2007">
        <f>CW210</f>
        <v>0</v>
      </c>
      <c r="CX211" s="2007">
        <f t="shared" ref="CX211:DD211" si="182">CX210</f>
        <v>0</v>
      </c>
      <c r="CY211" s="2007">
        <f t="shared" si="182"/>
        <v>500</v>
      </c>
      <c r="CZ211" s="2007">
        <f t="shared" si="182"/>
        <v>0</v>
      </c>
      <c r="DA211" s="2007">
        <f t="shared" si="182"/>
        <v>700</v>
      </c>
      <c r="DB211" s="2007">
        <f t="shared" si="182"/>
        <v>0</v>
      </c>
      <c r="DC211" s="2007">
        <f t="shared" si="182"/>
        <v>1700</v>
      </c>
      <c r="DD211" s="2007">
        <f t="shared" si="182"/>
        <v>700</v>
      </c>
      <c r="DE211" s="2007"/>
      <c r="DF211" s="2007"/>
      <c r="DG211" s="2007"/>
      <c r="DH211" s="2007"/>
      <c r="DI211" s="2007"/>
      <c r="DJ211" s="2007"/>
      <c r="DK211" s="2007"/>
      <c r="DL211" s="2007"/>
      <c r="DM211" s="2007"/>
      <c r="DN211" s="2007"/>
      <c r="DO211" s="2008"/>
      <c r="DP211" s="2007"/>
      <c r="DQ211" s="2007"/>
      <c r="FF211" s="1616"/>
    </row>
    <row r="212" spans="1:162" hidden="1" outlineLevel="1" collapsed="1">
      <c r="A212" s="1626" t="s">
        <v>1358</v>
      </c>
      <c r="B212" s="1626" t="s">
        <v>2080</v>
      </c>
      <c r="C212" s="1626" t="s">
        <v>2092</v>
      </c>
      <c r="D212" s="1626"/>
      <c r="E212" s="2007"/>
      <c r="F212" s="2007"/>
      <c r="G212" s="2007"/>
      <c r="H212" s="2007"/>
      <c r="I212" s="2007"/>
      <c r="J212" s="2007"/>
      <c r="K212" s="2007"/>
      <c r="L212" s="2007"/>
      <c r="M212" s="2007"/>
      <c r="N212" s="2007"/>
      <c r="O212" s="2007"/>
      <c r="P212" s="2007"/>
      <c r="Q212" s="2007"/>
      <c r="R212" s="2007"/>
      <c r="S212" s="2007"/>
      <c r="T212" s="2007"/>
      <c r="U212" s="2007"/>
      <c r="V212" s="2007"/>
      <c r="W212" s="2007"/>
      <c r="X212" s="2007"/>
      <c r="Y212" s="2007"/>
      <c r="Z212" s="2007"/>
      <c r="AA212" s="2007"/>
      <c r="AB212" s="2007"/>
      <c r="AC212" s="2007"/>
      <c r="AD212" s="2007"/>
      <c r="AE212" s="2007"/>
      <c r="AF212" s="2007"/>
      <c r="AG212" s="2007"/>
      <c r="AH212" s="2007"/>
      <c r="AI212" s="2007"/>
      <c r="AJ212" s="2007"/>
      <c r="AK212" s="2007"/>
      <c r="AL212" s="2007"/>
      <c r="AM212" s="2007"/>
      <c r="AN212" s="2007"/>
      <c r="AO212" s="2007"/>
      <c r="AP212" s="2007"/>
      <c r="AQ212" s="2007"/>
      <c r="AR212" s="2007"/>
      <c r="AS212" s="2007"/>
      <c r="AT212" s="2007"/>
      <c r="AU212" s="2007"/>
      <c r="AV212" s="2007"/>
      <c r="AW212" s="2007"/>
      <c r="AX212" s="2007"/>
      <c r="AY212" s="2007"/>
      <c r="AZ212" s="2007"/>
      <c r="BA212" s="2007"/>
      <c r="BB212" s="2007"/>
      <c r="BC212" s="2007"/>
      <c r="BD212" s="2007"/>
      <c r="BE212" s="2007"/>
      <c r="BF212" s="2007"/>
      <c r="BG212" s="2007"/>
      <c r="BH212" s="2007"/>
      <c r="BI212" s="2007"/>
      <c r="BJ212" s="2007"/>
      <c r="BK212" s="2007"/>
      <c r="BL212" s="2007"/>
      <c r="BM212" s="2007"/>
      <c r="BN212" s="2007"/>
      <c r="BO212" s="2007"/>
      <c r="BP212" s="2007"/>
      <c r="BQ212" s="2007"/>
      <c r="BR212" s="2007"/>
      <c r="BS212" s="2007"/>
      <c r="BT212" s="2007"/>
      <c r="BU212" s="2007"/>
      <c r="BV212" s="2007"/>
      <c r="BW212" s="2007"/>
      <c r="BX212" s="2007"/>
      <c r="BY212" s="2007"/>
      <c r="BZ212" s="2007"/>
      <c r="CA212" s="2007"/>
      <c r="CB212" s="2007"/>
      <c r="CC212" s="2007"/>
      <c r="CD212" s="2007"/>
      <c r="CE212" s="2007"/>
      <c r="CF212" s="2007"/>
      <c r="CG212" s="2007"/>
      <c r="CH212" s="2007"/>
      <c r="CI212" s="2007"/>
      <c r="CJ212" s="2007"/>
      <c r="CK212" s="2007"/>
      <c r="CL212" s="2007"/>
      <c r="CM212" s="2007"/>
      <c r="CN212" s="2007"/>
      <c r="CO212" s="2007"/>
      <c r="CP212" s="2007"/>
      <c r="CQ212" s="2007"/>
      <c r="CR212" s="2007"/>
      <c r="CS212" s="2007"/>
      <c r="CT212" s="2007"/>
      <c r="CU212" s="2007"/>
      <c r="CV212" s="2007"/>
      <c r="CW212" s="2007">
        <f>CW206+'Standart Vario'!$G$62</f>
        <v>0</v>
      </c>
      <c r="CX212" s="2007">
        <f>CX206+'Standart Vario'!$H$62</f>
        <v>0</v>
      </c>
      <c r="CY212" s="2007">
        <f>CY206+Standart!$K$36</f>
        <v>2000</v>
      </c>
      <c r="CZ212" s="2007">
        <f>CZ206+'Standart Vario'!$J$62</f>
        <v>0</v>
      </c>
      <c r="DA212" s="2007">
        <f>DA206+'Standart Vario'!$K$62</f>
        <v>0</v>
      </c>
      <c r="DB212" s="2007">
        <f>DB206+'Standart Vario'!$L$62</f>
        <v>0</v>
      </c>
      <c r="DC212" s="2007">
        <f>DC206+'Standart Vario'!$M$62</f>
        <v>0</v>
      </c>
      <c r="DD212" s="2007">
        <f>DD206+'Standart Vario'!$N$62</f>
        <v>0</v>
      </c>
      <c r="DE212" s="2007"/>
      <c r="DF212" s="2007"/>
      <c r="DG212" s="2007"/>
      <c r="DH212" s="2007"/>
      <c r="DI212" s="2007"/>
      <c r="DJ212" s="2007"/>
      <c r="DK212" s="2007"/>
      <c r="DL212" s="2007"/>
      <c r="DM212" s="2007"/>
      <c r="DN212" s="2007"/>
      <c r="DO212" s="2008"/>
      <c r="DP212" s="2007"/>
      <c r="DQ212" s="2007"/>
      <c r="FF212" s="1616"/>
    </row>
    <row r="213" spans="1:162" hidden="1" outlineLevel="2">
      <c r="A213" s="1626" t="s">
        <v>1358</v>
      </c>
      <c r="B213" s="1626" t="s">
        <v>2080</v>
      </c>
      <c r="C213" s="1626" t="s">
        <v>2089</v>
      </c>
      <c r="D213" s="1626"/>
      <c r="E213" s="2007"/>
      <c r="F213" s="2007"/>
      <c r="G213" s="2007"/>
      <c r="H213" s="2007"/>
      <c r="I213" s="2007"/>
      <c r="J213" s="2007"/>
      <c r="K213" s="2007"/>
      <c r="L213" s="2007"/>
      <c r="M213" s="2007"/>
      <c r="N213" s="2007"/>
      <c r="O213" s="2007"/>
      <c r="P213" s="2007"/>
      <c r="Q213" s="2007"/>
      <c r="R213" s="2007"/>
      <c r="S213" s="2007"/>
      <c r="T213" s="2007"/>
      <c r="U213" s="2007"/>
      <c r="V213" s="2007"/>
      <c r="W213" s="2007"/>
      <c r="X213" s="2007"/>
      <c r="Y213" s="2007"/>
      <c r="Z213" s="2007"/>
      <c r="AA213" s="2007"/>
      <c r="AB213" s="2007"/>
      <c r="AC213" s="2007"/>
      <c r="AD213" s="2007"/>
      <c r="AE213" s="2007"/>
      <c r="AF213" s="2007"/>
      <c r="AG213" s="2007"/>
      <c r="AH213" s="2007"/>
      <c r="AI213" s="2007"/>
      <c r="AJ213" s="2007"/>
      <c r="AK213" s="2007"/>
      <c r="AL213" s="2007"/>
      <c r="AM213" s="2007"/>
      <c r="AN213" s="2007"/>
      <c r="AO213" s="2007"/>
      <c r="AP213" s="2007"/>
      <c r="AQ213" s="2007"/>
      <c r="AR213" s="2007"/>
      <c r="AS213" s="2007"/>
      <c r="AT213" s="2007"/>
      <c r="AU213" s="2007"/>
      <c r="AV213" s="2007"/>
      <c r="AW213" s="2007"/>
      <c r="AX213" s="2007"/>
      <c r="AY213" s="2007"/>
      <c r="AZ213" s="2007"/>
      <c r="BA213" s="2007"/>
      <c r="BB213" s="2007"/>
      <c r="BC213" s="2007"/>
      <c r="BD213" s="2007"/>
      <c r="BE213" s="2007"/>
      <c r="BF213" s="2007"/>
      <c r="BG213" s="2007"/>
      <c r="BH213" s="2007"/>
      <c r="BI213" s="2007"/>
      <c r="BJ213" s="2007"/>
      <c r="BK213" s="2007"/>
      <c r="BL213" s="2007"/>
      <c r="BM213" s="2007"/>
      <c r="BN213" s="2007"/>
      <c r="BO213" s="2007"/>
      <c r="BP213" s="2007"/>
      <c r="BQ213" s="2007"/>
      <c r="BR213" s="2007"/>
      <c r="BS213" s="2007"/>
      <c r="BT213" s="2007"/>
      <c r="BU213" s="2007"/>
      <c r="BV213" s="2007"/>
      <c r="BW213" s="2007"/>
      <c r="BX213" s="2007"/>
      <c r="BY213" s="2007"/>
      <c r="BZ213" s="2007"/>
      <c r="CA213" s="2007"/>
      <c r="CB213" s="2007"/>
      <c r="CC213" s="2007"/>
      <c r="CD213" s="2007"/>
      <c r="CE213" s="2007"/>
      <c r="CF213" s="2007"/>
      <c r="CG213" s="2007"/>
      <c r="CH213" s="2007"/>
      <c r="CI213" s="2007"/>
      <c r="CJ213" s="2007"/>
      <c r="CK213" s="2007"/>
      <c r="CL213" s="2007"/>
      <c r="CM213" s="2007"/>
      <c r="CN213" s="2007"/>
      <c r="CO213" s="2007"/>
      <c r="CP213" s="2007"/>
      <c r="CQ213" s="2007"/>
      <c r="CR213" s="2007"/>
      <c r="CS213" s="2007"/>
      <c r="CT213" s="2007"/>
      <c r="CU213" s="2007"/>
      <c r="CV213" s="2007"/>
      <c r="CW213" s="2007">
        <f>CW207+'Standart Vario'!$G$62</f>
        <v>0</v>
      </c>
      <c r="CX213" s="2007">
        <f>CX207+'Standart Vario'!$H$62</f>
        <v>0</v>
      </c>
      <c r="CY213" s="2007">
        <f>CY207+Standart!$K$36</f>
        <v>2000</v>
      </c>
      <c r="CZ213" s="2007">
        <f>CZ207+'Standart Vario'!$J$62</f>
        <v>0</v>
      </c>
      <c r="DA213" s="2007">
        <f>DA207+'Standart Vario'!$K$62</f>
        <v>0</v>
      </c>
      <c r="DB213" s="2007">
        <f>DB207+'Standart Vario'!$L$62</f>
        <v>0</v>
      </c>
      <c r="DC213" s="2007">
        <f>DC207+'Standart Vario'!$M$62</f>
        <v>0</v>
      </c>
      <c r="DD213" s="2007">
        <f>DD207+'Standart Vario'!$N$62</f>
        <v>0</v>
      </c>
      <c r="DE213" s="2007"/>
      <c r="DF213" s="2007"/>
      <c r="DG213" s="2007"/>
      <c r="DH213" s="2007"/>
      <c r="DI213" s="2007"/>
      <c r="DJ213" s="2007"/>
      <c r="DK213" s="2007"/>
      <c r="DL213" s="2007"/>
      <c r="DM213" s="2007"/>
      <c r="DN213" s="2007"/>
      <c r="DO213" s="2008"/>
      <c r="DP213" s="2007"/>
      <c r="DQ213" s="2007"/>
      <c r="FF213" s="1616"/>
    </row>
    <row r="214" spans="1:162" hidden="1" outlineLevel="2">
      <c r="A214" s="1626" t="s">
        <v>1358</v>
      </c>
      <c r="B214" s="1626" t="s">
        <v>2080</v>
      </c>
      <c r="C214" s="1626" t="s">
        <v>2095</v>
      </c>
      <c r="D214" s="1626"/>
      <c r="E214" s="2007"/>
      <c r="F214" s="2007"/>
      <c r="G214" s="2007"/>
      <c r="H214" s="2007"/>
      <c r="I214" s="2007"/>
      <c r="J214" s="2007"/>
      <c r="K214" s="2007"/>
      <c r="L214" s="2007"/>
      <c r="M214" s="2007"/>
      <c r="N214" s="2007"/>
      <c r="O214" s="2007"/>
      <c r="P214" s="2007"/>
      <c r="Q214" s="2007"/>
      <c r="R214" s="2007"/>
      <c r="S214" s="2007"/>
      <c r="T214" s="2007"/>
      <c r="U214" s="2007"/>
      <c r="V214" s="2007"/>
      <c r="W214" s="2007"/>
      <c r="X214" s="2007"/>
      <c r="Y214" s="2007"/>
      <c r="Z214" s="2007"/>
      <c r="AA214" s="2007"/>
      <c r="AB214" s="2007"/>
      <c r="AC214" s="2007"/>
      <c r="AD214" s="2007"/>
      <c r="AE214" s="2007"/>
      <c r="AF214" s="2007"/>
      <c r="AG214" s="2007"/>
      <c r="AH214" s="2007"/>
      <c r="AI214" s="2007"/>
      <c r="AJ214" s="2007"/>
      <c r="AK214" s="2007"/>
      <c r="AL214" s="2007"/>
      <c r="AM214" s="2007"/>
      <c r="AN214" s="2007"/>
      <c r="AO214" s="2007"/>
      <c r="AP214" s="2007"/>
      <c r="AQ214" s="2007"/>
      <c r="AR214" s="2007"/>
      <c r="AS214" s="2007"/>
      <c r="AT214" s="2007"/>
      <c r="AU214" s="2007"/>
      <c r="AV214" s="2007"/>
      <c r="AW214" s="2007"/>
      <c r="AX214" s="2007"/>
      <c r="AY214" s="2007"/>
      <c r="AZ214" s="2007"/>
      <c r="BA214" s="2007"/>
      <c r="BB214" s="2007"/>
      <c r="BC214" s="2007"/>
      <c r="BD214" s="2007"/>
      <c r="BE214" s="2007"/>
      <c r="BF214" s="2007"/>
      <c r="BG214" s="2007"/>
      <c r="BH214" s="2007"/>
      <c r="BI214" s="2007"/>
      <c r="BJ214" s="2007"/>
      <c r="BK214" s="2007"/>
      <c r="BL214" s="2007"/>
      <c r="BM214" s="2007"/>
      <c r="BN214" s="2007"/>
      <c r="BO214" s="2007"/>
      <c r="BP214" s="2007"/>
      <c r="BQ214" s="2007"/>
      <c r="BR214" s="2007"/>
      <c r="BS214" s="2007"/>
      <c r="BT214" s="2007"/>
      <c r="BU214" s="2007"/>
      <c r="BV214" s="2007"/>
      <c r="BW214" s="2007"/>
      <c r="BX214" s="2007"/>
      <c r="BY214" s="2007"/>
      <c r="BZ214" s="2007"/>
      <c r="CA214" s="2007"/>
      <c r="CB214" s="2007"/>
      <c r="CC214" s="2007"/>
      <c r="CD214" s="2007"/>
      <c r="CE214" s="2007"/>
      <c r="CF214" s="2007"/>
      <c r="CG214" s="2007"/>
      <c r="CH214" s="2007"/>
      <c r="CI214" s="2007"/>
      <c r="CJ214" s="2007"/>
      <c r="CK214" s="2007"/>
      <c r="CL214" s="2007"/>
      <c r="CM214" s="2007"/>
      <c r="CN214" s="2007"/>
      <c r="CO214" s="2007"/>
      <c r="CP214" s="2007"/>
      <c r="CQ214" s="2007"/>
      <c r="CR214" s="2007"/>
      <c r="CS214" s="2007"/>
      <c r="CT214" s="2007"/>
      <c r="CU214" s="2007"/>
      <c r="CV214" s="2007"/>
      <c r="CW214" s="2007">
        <f>CW208+'Standart Vario'!$G$62</f>
        <v>0</v>
      </c>
      <c r="CX214" s="2007">
        <f>CX208+'Standart Vario'!$H$62</f>
        <v>0</v>
      </c>
      <c r="CY214" s="2007">
        <f>CY208+Standart!$K$36</f>
        <v>2000</v>
      </c>
      <c r="CZ214" s="2007">
        <f>CZ208+'Standart Vario'!$J$62</f>
        <v>0</v>
      </c>
      <c r="DA214" s="2007">
        <f>DA208+'Standart Vario'!$K$62</f>
        <v>0</v>
      </c>
      <c r="DB214" s="2007">
        <f>DB208+'Standart Vario'!$L$62</f>
        <v>0</v>
      </c>
      <c r="DC214" s="2007">
        <f>DC208+'Standart Vario'!$M$62</f>
        <v>0</v>
      </c>
      <c r="DD214" s="2007">
        <f>DD208+'Standart Vario'!$N$62</f>
        <v>0</v>
      </c>
      <c r="DE214" s="2007"/>
      <c r="DF214" s="2007"/>
      <c r="DG214" s="2007"/>
      <c r="DH214" s="2007"/>
      <c r="DI214" s="2007"/>
      <c r="DJ214" s="2007"/>
      <c r="DK214" s="2007"/>
      <c r="DL214" s="2007"/>
      <c r="DM214" s="2007"/>
      <c r="DN214" s="2007"/>
      <c r="DO214" s="2008"/>
      <c r="DP214" s="2007"/>
      <c r="DQ214" s="2007"/>
      <c r="FF214" s="1616"/>
    </row>
    <row r="215" spans="1:162" hidden="1" outlineLevel="2">
      <c r="A215" s="1626" t="s">
        <v>1358</v>
      </c>
      <c r="B215" s="1626" t="s">
        <v>2080</v>
      </c>
      <c r="C215" s="1626" t="s">
        <v>2096</v>
      </c>
      <c r="D215" s="1626"/>
      <c r="E215" s="2007"/>
      <c r="F215" s="2007"/>
      <c r="G215" s="2007"/>
      <c r="H215" s="2007"/>
      <c r="I215" s="2007"/>
      <c r="J215" s="2007"/>
      <c r="K215" s="2007"/>
      <c r="L215" s="2007"/>
      <c r="M215" s="2007"/>
      <c r="N215" s="2007"/>
      <c r="O215" s="2007"/>
      <c r="P215" s="2007"/>
      <c r="Q215" s="2007"/>
      <c r="R215" s="2007"/>
      <c r="S215" s="2007"/>
      <c r="T215" s="2007"/>
      <c r="U215" s="2007"/>
      <c r="V215" s="2007"/>
      <c r="W215" s="2007"/>
      <c r="X215" s="2007"/>
      <c r="Y215" s="2007"/>
      <c r="Z215" s="2007"/>
      <c r="AA215" s="2007"/>
      <c r="AB215" s="2007"/>
      <c r="AC215" s="2007"/>
      <c r="AD215" s="2007"/>
      <c r="AE215" s="2007"/>
      <c r="AF215" s="2007"/>
      <c r="AG215" s="2007"/>
      <c r="AH215" s="2007"/>
      <c r="AI215" s="2007"/>
      <c r="AJ215" s="2007"/>
      <c r="AK215" s="2007"/>
      <c r="AL215" s="2007"/>
      <c r="AM215" s="2007"/>
      <c r="AN215" s="2007"/>
      <c r="AO215" s="2007"/>
      <c r="AP215" s="2007"/>
      <c r="AQ215" s="2007"/>
      <c r="AR215" s="2007"/>
      <c r="AS215" s="2007"/>
      <c r="AT215" s="2007"/>
      <c r="AU215" s="2007"/>
      <c r="AV215" s="2007"/>
      <c r="AW215" s="2007"/>
      <c r="AX215" s="2007"/>
      <c r="AY215" s="2007"/>
      <c r="AZ215" s="2007"/>
      <c r="BA215" s="2007"/>
      <c r="BB215" s="2007"/>
      <c r="BC215" s="2007"/>
      <c r="BD215" s="2007"/>
      <c r="BE215" s="2007"/>
      <c r="BF215" s="2007"/>
      <c r="BG215" s="2007"/>
      <c r="BH215" s="2007"/>
      <c r="BI215" s="2007"/>
      <c r="BJ215" s="2007"/>
      <c r="BK215" s="2007"/>
      <c r="BL215" s="2007"/>
      <c r="BM215" s="2007"/>
      <c r="BN215" s="2007"/>
      <c r="BO215" s="2007"/>
      <c r="BP215" s="2007"/>
      <c r="BQ215" s="2007"/>
      <c r="BR215" s="2007"/>
      <c r="BS215" s="2007"/>
      <c r="BT215" s="2007"/>
      <c r="BU215" s="2007"/>
      <c r="BV215" s="2007"/>
      <c r="BW215" s="2007"/>
      <c r="BX215" s="2007"/>
      <c r="BY215" s="2007"/>
      <c r="BZ215" s="2007"/>
      <c r="CA215" s="2007"/>
      <c r="CB215" s="2007"/>
      <c r="CC215" s="2007"/>
      <c r="CD215" s="2007"/>
      <c r="CE215" s="2007"/>
      <c r="CF215" s="2007"/>
      <c r="CG215" s="2007"/>
      <c r="CH215" s="2007"/>
      <c r="CI215" s="2007"/>
      <c r="CJ215" s="2007"/>
      <c r="CK215" s="2007"/>
      <c r="CL215" s="2007"/>
      <c r="CM215" s="2007"/>
      <c r="CN215" s="2007"/>
      <c r="CO215" s="2007"/>
      <c r="CP215" s="2007"/>
      <c r="CQ215" s="2007"/>
      <c r="CR215" s="2007"/>
      <c r="CS215" s="2007"/>
      <c r="CT215" s="2007"/>
      <c r="CU215" s="2007"/>
      <c r="CV215" s="2007"/>
      <c r="CW215" s="2007">
        <f>CW209+'Standart Vario'!$G$62</f>
        <v>0</v>
      </c>
      <c r="CX215" s="2007">
        <f>CX209+'Standart Vario'!$H$62</f>
        <v>0</v>
      </c>
      <c r="CY215" s="2007">
        <f>CY209+Standart!$K$36</f>
        <v>2500</v>
      </c>
      <c r="CZ215" s="2007">
        <f>CZ209+'Standart Vario'!$J$62</f>
        <v>0</v>
      </c>
      <c r="DA215" s="2007">
        <f>DA209+'Standart Vario'!$K$62</f>
        <v>500</v>
      </c>
      <c r="DB215" s="2007">
        <f>DB209+'Standart Vario'!$L$62</f>
        <v>0</v>
      </c>
      <c r="DC215" s="2007">
        <f>DC209+'Standart Vario'!$M$62</f>
        <v>1100</v>
      </c>
      <c r="DD215" s="2007">
        <f>DD209+'Standart Vario'!$N$62</f>
        <v>500</v>
      </c>
      <c r="DE215" s="2007"/>
      <c r="DF215" s="2007"/>
      <c r="DG215" s="2007"/>
      <c r="DH215" s="2007"/>
      <c r="DI215" s="2007"/>
      <c r="DJ215" s="2007"/>
      <c r="DK215" s="2007"/>
      <c r="DL215" s="2007"/>
      <c r="DM215" s="2007"/>
      <c r="DN215" s="2007"/>
      <c r="DO215" s="2008"/>
      <c r="DP215" s="2007"/>
      <c r="DQ215" s="2007"/>
      <c r="FF215" s="1616"/>
    </row>
    <row r="216" spans="1:162" hidden="1" outlineLevel="2">
      <c r="A216" s="1626" t="s">
        <v>1358</v>
      </c>
      <c r="B216" s="1626" t="s">
        <v>2080</v>
      </c>
      <c r="C216" s="1626" t="s">
        <v>2090</v>
      </c>
      <c r="D216" s="1626"/>
      <c r="E216" s="2007"/>
      <c r="F216" s="2007"/>
      <c r="G216" s="2007"/>
      <c r="H216" s="2007"/>
      <c r="I216" s="2007"/>
      <c r="J216" s="2007"/>
      <c r="K216" s="2007"/>
      <c r="L216" s="2007"/>
      <c r="M216" s="2007"/>
      <c r="N216" s="2007"/>
      <c r="O216" s="2007"/>
      <c r="P216" s="2007"/>
      <c r="Q216" s="2007"/>
      <c r="R216" s="2007"/>
      <c r="S216" s="2007"/>
      <c r="T216" s="2007"/>
      <c r="U216" s="2007"/>
      <c r="V216" s="2007"/>
      <c r="W216" s="2007"/>
      <c r="X216" s="2007"/>
      <c r="Y216" s="2007"/>
      <c r="Z216" s="2007"/>
      <c r="AA216" s="2007"/>
      <c r="AB216" s="2007"/>
      <c r="AC216" s="2007"/>
      <c r="AD216" s="2007"/>
      <c r="AE216" s="2007"/>
      <c r="AF216" s="2007"/>
      <c r="AG216" s="2007"/>
      <c r="AH216" s="2007"/>
      <c r="AI216" s="2007"/>
      <c r="AJ216" s="2007"/>
      <c r="AK216" s="2007"/>
      <c r="AL216" s="2007"/>
      <c r="AM216" s="2007"/>
      <c r="AN216" s="2007"/>
      <c r="AO216" s="2007"/>
      <c r="AP216" s="2007"/>
      <c r="AQ216" s="2007"/>
      <c r="AR216" s="2007"/>
      <c r="AS216" s="2007"/>
      <c r="AT216" s="2007"/>
      <c r="AU216" s="2007"/>
      <c r="AV216" s="2007"/>
      <c r="AW216" s="2007"/>
      <c r="AX216" s="2007"/>
      <c r="AY216" s="2007"/>
      <c r="AZ216" s="2007"/>
      <c r="BA216" s="2007"/>
      <c r="BB216" s="2007"/>
      <c r="BC216" s="2007"/>
      <c r="BD216" s="2007"/>
      <c r="BE216" s="2007"/>
      <c r="BF216" s="2007"/>
      <c r="BG216" s="2007"/>
      <c r="BH216" s="2007"/>
      <c r="BI216" s="2007"/>
      <c r="BJ216" s="2007"/>
      <c r="BK216" s="2007"/>
      <c r="BL216" s="2007"/>
      <c r="BM216" s="2007"/>
      <c r="BN216" s="2007"/>
      <c r="BO216" s="2007"/>
      <c r="BP216" s="2007"/>
      <c r="BQ216" s="2007"/>
      <c r="BR216" s="2007"/>
      <c r="BS216" s="2007"/>
      <c r="BT216" s="2007"/>
      <c r="BU216" s="2007"/>
      <c r="BV216" s="2007"/>
      <c r="BW216" s="2007"/>
      <c r="BX216" s="2007"/>
      <c r="BY216" s="2007"/>
      <c r="BZ216" s="2007"/>
      <c r="CA216" s="2007"/>
      <c r="CB216" s="2007"/>
      <c r="CC216" s="2007"/>
      <c r="CD216" s="2007"/>
      <c r="CE216" s="2007"/>
      <c r="CF216" s="2007"/>
      <c r="CG216" s="2007"/>
      <c r="CH216" s="2007"/>
      <c r="CI216" s="2007"/>
      <c r="CJ216" s="2007"/>
      <c r="CK216" s="2007"/>
      <c r="CL216" s="2007"/>
      <c r="CM216" s="2007"/>
      <c r="CN216" s="2007"/>
      <c r="CO216" s="2007"/>
      <c r="CP216" s="2007"/>
      <c r="CQ216" s="2007"/>
      <c r="CR216" s="2007"/>
      <c r="CS216" s="2007"/>
      <c r="CT216" s="2007"/>
      <c r="CU216" s="2007"/>
      <c r="CV216" s="2007"/>
      <c r="CW216" s="2007">
        <f>CW210+'Standart Vario'!$G$62</f>
        <v>0</v>
      </c>
      <c r="CX216" s="2007">
        <f>CX210+'Standart Vario'!$H$62</f>
        <v>0</v>
      </c>
      <c r="CY216" s="2007">
        <f>CY210+Standart!$K$36</f>
        <v>2500</v>
      </c>
      <c r="CZ216" s="2007">
        <f>CZ210+'Standart Vario'!$J$62</f>
        <v>0</v>
      </c>
      <c r="DA216" s="2007">
        <f>DA210+'Standart Vario'!$K$62</f>
        <v>700</v>
      </c>
      <c r="DB216" s="2007">
        <f>DB210+'Standart Vario'!$L$62</f>
        <v>0</v>
      </c>
      <c r="DC216" s="2007">
        <f>DC210+'Standart Vario'!$M$62</f>
        <v>1700</v>
      </c>
      <c r="DD216" s="2007">
        <f>DD210+'Standart Vario'!$N$62</f>
        <v>700</v>
      </c>
      <c r="DE216" s="2007"/>
      <c r="DF216" s="2007"/>
      <c r="DG216" s="2007"/>
      <c r="DH216" s="2007"/>
      <c r="DI216" s="2007"/>
      <c r="DJ216" s="2007"/>
      <c r="DK216" s="2007"/>
      <c r="DL216" s="2007"/>
      <c r="DM216" s="2007"/>
      <c r="DN216" s="2007"/>
      <c r="DO216" s="2008"/>
      <c r="DP216" s="2007"/>
      <c r="DQ216" s="2007"/>
      <c r="FF216" s="1616"/>
    </row>
    <row r="217" spans="1:162" hidden="1" outlineLevel="2">
      <c r="A217" s="1626" t="s">
        <v>1358</v>
      </c>
      <c r="B217" s="1626" t="s">
        <v>2080</v>
      </c>
      <c r="C217" s="1626" t="s">
        <v>2091</v>
      </c>
      <c r="D217" s="1626"/>
      <c r="E217" s="2007"/>
      <c r="F217" s="2007"/>
      <c r="G217" s="2007"/>
      <c r="H217" s="2007"/>
      <c r="I217" s="2007"/>
      <c r="J217" s="2007"/>
      <c r="K217" s="2007"/>
      <c r="L217" s="2007"/>
      <c r="M217" s="2007"/>
      <c r="N217" s="2007"/>
      <c r="O217" s="2007"/>
      <c r="P217" s="2007"/>
      <c r="Q217" s="2007"/>
      <c r="R217" s="2007"/>
      <c r="S217" s="2007"/>
      <c r="T217" s="2007"/>
      <c r="U217" s="2007"/>
      <c r="V217" s="2007"/>
      <c r="W217" s="2007"/>
      <c r="X217" s="2007"/>
      <c r="Y217" s="2007"/>
      <c r="Z217" s="2007"/>
      <c r="AA217" s="2007"/>
      <c r="AB217" s="2007"/>
      <c r="AC217" s="2007"/>
      <c r="AD217" s="2007"/>
      <c r="AE217" s="2007"/>
      <c r="AF217" s="2007"/>
      <c r="AG217" s="2007"/>
      <c r="AH217" s="2007"/>
      <c r="AI217" s="2007"/>
      <c r="AJ217" s="2007"/>
      <c r="AK217" s="2007"/>
      <c r="AL217" s="2007"/>
      <c r="AM217" s="2007"/>
      <c r="AN217" s="2007"/>
      <c r="AO217" s="2007"/>
      <c r="AP217" s="2007"/>
      <c r="AQ217" s="2007"/>
      <c r="AR217" s="2007"/>
      <c r="AS217" s="2007"/>
      <c r="AT217" s="2007"/>
      <c r="AU217" s="2007"/>
      <c r="AV217" s="2007"/>
      <c r="AW217" s="2007"/>
      <c r="AX217" s="2007"/>
      <c r="AY217" s="2007"/>
      <c r="AZ217" s="2007"/>
      <c r="BA217" s="2007"/>
      <c r="BB217" s="2007"/>
      <c r="BC217" s="2007"/>
      <c r="BD217" s="2007"/>
      <c r="BE217" s="2007"/>
      <c r="BF217" s="2007"/>
      <c r="BG217" s="2007"/>
      <c r="BH217" s="2007"/>
      <c r="BI217" s="2007"/>
      <c r="BJ217" s="2007"/>
      <c r="BK217" s="2007"/>
      <c r="BL217" s="2007"/>
      <c r="BM217" s="2007"/>
      <c r="BN217" s="2007"/>
      <c r="BO217" s="2007"/>
      <c r="BP217" s="2007"/>
      <c r="BQ217" s="2007"/>
      <c r="BR217" s="2007"/>
      <c r="BS217" s="2007"/>
      <c r="BT217" s="2007"/>
      <c r="BU217" s="2007"/>
      <c r="BV217" s="2007"/>
      <c r="BW217" s="2007"/>
      <c r="BX217" s="2007"/>
      <c r="BY217" s="2007"/>
      <c r="BZ217" s="2007"/>
      <c r="CA217" s="2007"/>
      <c r="CB217" s="2007"/>
      <c r="CC217" s="2007"/>
      <c r="CD217" s="2007"/>
      <c r="CE217" s="2007"/>
      <c r="CF217" s="2007"/>
      <c r="CG217" s="2007"/>
      <c r="CH217" s="2007"/>
      <c r="CI217" s="2007"/>
      <c r="CJ217" s="2007"/>
      <c r="CK217" s="2007"/>
      <c r="CL217" s="2007"/>
      <c r="CM217" s="2007"/>
      <c r="CN217" s="2007"/>
      <c r="CO217" s="2007"/>
      <c r="CP217" s="2007"/>
      <c r="CQ217" s="2007"/>
      <c r="CR217" s="2007"/>
      <c r="CS217" s="2007"/>
      <c r="CT217" s="2007"/>
      <c r="CU217" s="2007"/>
      <c r="CV217" s="2007"/>
      <c r="CW217" s="2007">
        <f>CW211+'Standart Vario'!$G$62</f>
        <v>0</v>
      </c>
      <c r="CX217" s="2007">
        <f>CX211+'Standart Vario'!$H$62</f>
        <v>0</v>
      </c>
      <c r="CY217" s="2007">
        <f>CY211+Standart!$K$36</f>
        <v>2500</v>
      </c>
      <c r="CZ217" s="2007">
        <f>CZ211+'Standart Vario'!$J$62</f>
        <v>0</v>
      </c>
      <c r="DA217" s="2007">
        <f>DA211+'Standart Vario'!$K$62</f>
        <v>700</v>
      </c>
      <c r="DB217" s="2007">
        <f>DB211+'Standart Vario'!$L$62</f>
        <v>0</v>
      </c>
      <c r="DC217" s="2007">
        <f>DC211+'Standart Vario'!$M$62</f>
        <v>1700</v>
      </c>
      <c r="DD217" s="2007">
        <f>DD211+'Standart Vario'!$N$62</f>
        <v>700</v>
      </c>
      <c r="DE217" s="2007"/>
      <c r="DF217" s="2007"/>
      <c r="DG217" s="2007"/>
      <c r="DH217" s="2007"/>
      <c r="DI217" s="2007"/>
      <c r="DJ217" s="2007"/>
      <c r="DK217" s="2007"/>
      <c r="DL217" s="2007"/>
      <c r="DM217" s="2007"/>
      <c r="DN217" s="2007"/>
      <c r="DO217" s="2008"/>
      <c r="DP217" s="2007"/>
      <c r="DQ217" s="2007"/>
      <c r="FF217" s="1616"/>
    </row>
    <row r="218" spans="1:162" hidden="1" outlineLevel="1" collapsed="1">
      <c r="A218" s="1626" t="s">
        <v>1358</v>
      </c>
      <c r="B218" s="1626" t="s">
        <v>2081</v>
      </c>
      <c r="C218" s="1626" t="s">
        <v>2092</v>
      </c>
      <c r="D218" s="1626"/>
      <c r="E218" s="2007"/>
      <c r="F218" s="2007"/>
      <c r="G218" s="2007"/>
      <c r="H218" s="2007"/>
      <c r="I218" s="2007"/>
      <c r="J218" s="2007"/>
      <c r="K218" s="2007"/>
      <c r="L218" s="2007"/>
      <c r="M218" s="2007"/>
      <c r="N218" s="2007"/>
      <c r="O218" s="2007"/>
      <c r="P218" s="2007"/>
      <c r="Q218" s="2007"/>
      <c r="R218" s="2007"/>
      <c r="S218" s="2007"/>
      <c r="T218" s="2007"/>
      <c r="U218" s="2007"/>
      <c r="V218" s="2007"/>
      <c r="W218" s="2007"/>
      <c r="X218" s="2007"/>
      <c r="Y218" s="2007"/>
      <c r="Z218" s="2007"/>
      <c r="AA218" s="2007"/>
      <c r="AB218" s="2007"/>
      <c r="AC218" s="2007"/>
      <c r="AD218" s="2007"/>
      <c r="AE218" s="2007"/>
      <c r="AF218" s="2007"/>
      <c r="AG218" s="2007"/>
      <c r="AH218" s="2007"/>
      <c r="AI218" s="2007"/>
      <c r="AJ218" s="2007"/>
      <c r="AK218" s="2007"/>
      <c r="AL218" s="2007"/>
      <c r="AM218" s="2007"/>
      <c r="AN218" s="2007"/>
      <c r="AO218" s="2007"/>
      <c r="AP218" s="2007"/>
      <c r="AQ218" s="2007"/>
      <c r="AR218" s="2007"/>
      <c r="AS218" s="2007"/>
      <c r="AT218" s="2007"/>
      <c r="AU218" s="2007"/>
      <c r="AV218" s="2007"/>
      <c r="AW218" s="2007"/>
      <c r="AX218" s="2007"/>
      <c r="AY218" s="2007"/>
      <c r="AZ218" s="2007"/>
      <c r="BA218" s="2007"/>
      <c r="BB218" s="2007"/>
      <c r="BC218" s="2007"/>
      <c r="BD218" s="2007"/>
      <c r="BE218" s="2007"/>
      <c r="BF218" s="2007"/>
      <c r="BG218" s="2007"/>
      <c r="BH218" s="2007"/>
      <c r="BI218" s="2007"/>
      <c r="BJ218" s="2007"/>
      <c r="BK218" s="2007"/>
      <c r="BL218" s="2007"/>
      <c r="BM218" s="2007"/>
      <c r="BN218" s="2007"/>
      <c r="BO218" s="2007"/>
      <c r="BP218" s="2007"/>
      <c r="BQ218" s="2007"/>
      <c r="BR218" s="2007"/>
      <c r="BS218" s="2007"/>
      <c r="BT218" s="2007"/>
      <c r="BU218" s="2007"/>
      <c r="BV218" s="2007"/>
      <c r="BW218" s="2007"/>
      <c r="BX218" s="2007"/>
      <c r="BY218" s="2007"/>
      <c r="BZ218" s="2007"/>
      <c r="CA218" s="2007"/>
      <c r="CB218" s="2007"/>
      <c r="CC218" s="2007"/>
      <c r="CD218" s="2007"/>
      <c r="CE218" s="2007"/>
      <c r="CF218" s="2007"/>
      <c r="CG218" s="2007"/>
      <c r="CH218" s="2007"/>
      <c r="CI218" s="2007"/>
      <c r="CJ218" s="2007"/>
      <c r="CK218" s="2007"/>
      <c r="CL218" s="2007"/>
      <c r="CM218" s="2007"/>
      <c r="CN218" s="2007"/>
      <c r="CO218" s="2007"/>
      <c r="CP218" s="2007"/>
      <c r="CQ218" s="2007"/>
      <c r="CR218" s="2007"/>
      <c r="CS218" s="2007"/>
      <c r="CT218" s="2007"/>
      <c r="CU218" s="2007"/>
      <c r="CV218" s="2007"/>
      <c r="CW218" s="2007" t="e">
        <f>#REF!+'Standart Vario'!$G$62</f>
        <v>#REF!</v>
      </c>
      <c r="CX218" s="2007" t="e">
        <f>#REF!+'Standart Vario'!$H$62</f>
        <v>#REF!</v>
      </c>
      <c r="CY218" s="2007" t="e">
        <f>#REF!+Standart!$K$36</f>
        <v>#REF!</v>
      </c>
      <c r="CZ218" s="2007" t="e">
        <f>#REF!+'Standart Vario'!$J$62</f>
        <v>#REF!</v>
      </c>
      <c r="DA218" s="2007" t="e">
        <f>#REF!+'Standart Vario'!$K$62</f>
        <v>#REF!</v>
      </c>
      <c r="DB218" s="2007" t="e">
        <f>#REF!+'Standart Vario'!$L$62</f>
        <v>#REF!</v>
      </c>
      <c r="DC218" s="2007" t="e">
        <f>#REF!+'Standart Vario'!$M$62</f>
        <v>#REF!</v>
      </c>
      <c r="DD218" s="2007" t="e">
        <f>#REF!+'Standart Vario'!$N$62</f>
        <v>#REF!</v>
      </c>
      <c r="DE218" s="2007"/>
      <c r="DF218" s="2007"/>
      <c r="DG218" s="2007"/>
      <c r="DH218" s="2007"/>
      <c r="DI218" s="2007"/>
      <c r="DJ218" s="2007"/>
      <c r="DK218" s="2007"/>
      <c r="DL218" s="2007"/>
      <c r="DM218" s="2007"/>
      <c r="DN218" s="2007"/>
      <c r="DO218" s="2008"/>
      <c r="DP218" s="2007"/>
      <c r="DQ218" s="2007"/>
      <c r="FF218" s="1616"/>
    </row>
    <row r="219" spans="1:162" hidden="1" outlineLevel="2">
      <c r="A219" s="1626" t="s">
        <v>1358</v>
      </c>
      <c r="B219" s="1626" t="s">
        <v>2081</v>
      </c>
      <c r="C219" s="1626" t="s">
        <v>2089</v>
      </c>
      <c r="D219" s="1626"/>
      <c r="E219" s="2007"/>
      <c r="F219" s="2007"/>
      <c r="G219" s="2007"/>
      <c r="H219" s="2007"/>
      <c r="I219" s="2007"/>
      <c r="J219" s="2007"/>
      <c r="K219" s="2007"/>
      <c r="L219" s="2007"/>
      <c r="M219" s="2007"/>
      <c r="N219" s="2007"/>
      <c r="O219" s="2007"/>
      <c r="P219" s="2007"/>
      <c r="Q219" s="2007"/>
      <c r="R219" s="2007"/>
      <c r="S219" s="2007"/>
      <c r="T219" s="2007"/>
      <c r="U219" s="2007"/>
      <c r="V219" s="2007"/>
      <c r="W219" s="2007"/>
      <c r="X219" s="2007"/>
      <c r="Y219" s="2007"/>
      <c r="Z219" s="2007"/>
      <c r="AA219" s="2007"/>
      <c r="AB219" s="2007"/>
      <c r="AC219" s="2007"/>
      <c r="AD219" s="2007"/>
      <c r="AE219" s="2007"/>
      <c r="AF219" s="2007"/>
      <c r="AG219" s="2007"/>
      <c r="AH219" s="2007"/>
      <c r="AI219" s="2007"/>
      <c r="AJ219" s="2007"/>
      <c r="AK219" s="2007"/>
      <c r="AL219" s="2007"/>
      <c r="AM219" s="2007"/>
      <c r="AN219" s="2007"/>
      <c r="AO219" s="2007"/>
      <c r="AP219" s="2007"/>
      <c r="AQ219" s="2007"/>
      <c r="AR219" s="2007"/>
      <c r="AS219" s="2007"/>
      <c r="AT219" s="2007"/>
      <c r="AU219" s="2007"/>
      <c r="AV219" s="2007"/>
      <c r="AW219" s="2007"/>
      <c r="AX219" s="2007"/>
      <c r="AY219" s="2007"/>
      <c r="AZ219" s="2007"/>
      <c r="BA219" s="2007"/>
      <c r="BB219" s="2007"/>
      <c r="BC219" s="2007"/>
      <c r="BD219" s="2007"/>
      <c r="BE219" s="2007"/>
      <c r="BF219" s="2007"/>
      <c r="BG219" s="2007"/>
      <c r="BH219" s="2007"/>
      <c r="BI219" s="2007"/>
      <c r="BJ219" s="2007"/>
      <c r="BK219" s="2007"/>
      <c r="BL219" s="2007"/>
      <c r="BM219" s="2007"/>
      <c r="BN219" s="2007"/>
      <c r="BO219" s="2007"/>
      <c r="BP219" s="2007"/>
      <c r="BQ219" s="2007"/>
      <c r="BR219" s="2007"/>
      <c r="BS219" s="2007"/>
      <c r="BT219" s="2007"/>
      <c r="BU219" s="2007"/>
      <c r="BV219" s="2007"/>
      <c r="BW219" s="2007"/>
      <c r="BX219" s="2007"/>
      <c r="BY219" s="2007"/>
      <c r="BZ219" s="2007"/>
      <c r="CA219" s="2007"/>
      <c r="CB219" s="2007"/>
      <c r="CC219" s="2007"/>
      <c r="CD219" s="2007"/>
      <c r="CE219" s="2007"/>
      <c r="CF219" s="2007"/>
      <c r="CG219" s="2007"/>
      <c r="CH219" s="2007"/>
      <c r="CI219" s="2007"/>
      <c r="CJ219" s="2007"/>
      <c r="CK219" s="2007"/>
      <c r="CL219" s="2007"/>
      <c r="CM219" s="2007"/>
      <c r="CN219" s="2007"/>
      <c r="CO219" s="2007"/>
      <c r="CP219" s="2007"/>
      <c r="CQ219" s="2007"/>
      <c r="CR219" s="2007"/>
      <c r="CS219" s="2007"/>
      <c r="CT219" s="2007"/>
      <c r="CU219" s="2007"/>
      <c r="CV219" s="2007"/>
      <c r="CW219" s="2007" t="e">
        <f>#REF!+'Standart Vario'!$G$62</f>
        <v>#REF!</v>
      </c>
      <c r="CX219" s="2007" t="e">
        <f>#REF!+'Standart Vario'!$H$62</f>
        <v>#REF!</v>
      </c>
      <c r="CY219" s="2007" t="e">
        <f>#REF!+Standart!$K$36</f>
        <v>#REF!</v>
      </c>
      <c r="CZ219" s="2007" t="e">
        <f>#REF!+'Standart Vario'!$J$62</f>
        <v>#REF!</v>
      </c>
      <c r="DA219" s="2007" t="e">
        <f>#REF!+'Standart Vario'!$K$62</f>
        <v>#REF!</v>
      </c>
      <c r="DB219" s="2007" t="e">
        <f>#REF!+'Standart Vario'!$L$62</f>
        <v>#REF!</v>
      </c>
      <c r="DC219" s="2007" t="e">
        <f>#REF!+'Standart Vario'!$M$62</f>
        <v>#REF!</v>
      </c>
      <c r="DD219" s="2007" t="e">
        <f>#REF!+'Standart Vario'!$N$62</f>
        <v>#REF!</v>
      </c>
      <c r="DE219" s="2007"/>
      <c r="DF219" s="2007"/>
      <c r="DG219" s="2007"/>
      <c r="DH219" s="2007"/>
      <c r="DI219" s="2007"/>
      <c r="DJ219" s="2007"/>
      <c r="DK219" s="2007"/>
      <c r="DL219" s="2007"/>
      <c r="DM219" s="2007"/>
      <c r="DN219" s="2007"/>
      <c r="DO219" s="2008"/>
      <c r="DP219" s="2007"/>
      <c r="DQ219" s="2007"/>
      <c r="FF219" s="1616"/>
    </row>
    <row r="220" spans="1:162" hidden="1" outlineLevel="2">
      <c r="A220" s="1626" t="s">
        <v>1358</v>
      </c>
      <c r="B220" s="1626" t="s">
        <v>2081</v>
      </c>
      <c r="C220" s="1626" t="s">
        <v>2095</v>
      </c>
      <c r="D220" s="1626"/>
      <c r="E220" s="2007"/>
      <c r="F220" s="2007"/>
      <c r="G220" s="2007"/>
      <c r="H220" s="2007"/>
      <c r="I220" s="2007"/>
      <c r="J220" s="2007"/>
      <c r="K220" s="2007"/>
      <c r="L220" s="2007"/>
      <c r="M220" s="2007"/>
      <c r="N220" s="2007"/>
      <c r="O220" s="2007"/>
      <c r="P220" s="2007"/>
      <c r="Q220" s="2007"/>
      <c r="R220" s="2007"/>
      <c r="S220" s="2007"/>
      <c r="T220" s="2007"/>
      <c r="U220" s="2007"/>
      <c r="V220" s="2007"/>
      <c r="W220" s="2007"/>
      <c r="X220" s="2007"/>
      <c r="Y220" s="2007"/>
      <c r="Z220" s="2007"/>
      <c r="AA220" s="2007"/>
      <c r="AB220" s="2007"/>
      <c r="AC220" s="2007"/>
      <c r="AD220" s="2007"/>
      <c r="AE220" s="2007"/>
      <c r="AF220" s="2007"/>
      <c r="AG220" s="2007"/>
      <c r="AH220" s="2007"/>
      <c r="AI220" s="2007"/>
      <c r="AJ220" s="2007"/>
      <c r="AK220" s="2007"/>
      <c r="AL220" s="2007"/>
      <c r="AM220" s="2007"/>
      <c r="AN220" s="2007"/>
      <c r="AO220" s="2007"/>
      <c r="AP220" s="2007"/>
      <c r="AQ220" s="2007"/>
      <c r="AR220" s="2007"/>
      <c r="AS220" s="2007"/>
      <c r="AT220" s="2007"/>
      <c r="AU220" s="2007"/>
      <c r="AV220" s="2007"/>
      <c r="AW220" s="2007"/>
      <c r="AX220" s="2007"/>
      <c r="AY220" s="2007"/>
      <c r="AZ220" s="2007"/>
      <c r="BA220" s="2007"/>
      <c r="BB220" s="2007"/>
      <c r="BC220" s="2007"/>
      <c r="BD220" s="2007"/>
      <c r="BE220" s="2007"/>
      <c r="BF220" s="2007"/>
      <c r="BG220" s="2007"/>
      <c r="BH220" s="2007"/>
      <c r="BI220" s="2007"/>
      <c r="BJ220" s="2007"/>
      <c r="BK220" s="2007"/>
      <c r="BL220" s="2007"/>
      <c r="BM220" s="2007"/>
      <c r="BN220" s="2007"/>
      <c r="BO220" s="2007"/>
      <c r="BP220" s="2007"/>
      <c r="BQ220" s="2007"/>
      <c r="BR220" s="2007"/>
      <c r="BS220" s="2007"/>
      <c r="BT220" s="2007"/>
      <c r="BU220" s="2007"/>
      <c r="BV220" s="2007"/>
      <c r="BW220" s="2007"/>
      <c r="BX220" s="2007"/>
      <c r="BY220" s="2007"/>
      <c r="BZ220" s="2007"/>
      <c r="CA220" s="2007"/>
      <c r="CB220" s="2007"/>
      <c r="CC220" s="2007"/>
      <c r="CD220" s="2007"/>
      <c r="CE220" s="2007"/>
      <c r="CF220" s="2007"/>
      <c r="CG220" s="2007"/>
      <c r="CH220" s="2007"/>
      <c r="CI220" s="2007"/>
      <c r="CJ220" s="2007"/>
      <c r="CK220" s="2007"/>
      <c r="CL220" s="2007"/>
      <c r="CM220" s="2007"/>
      <c r="CN220" s="2007"/>
      <c r="CO220" s="2007"/>
      <c r="CP220" s="2007"/>
      <c r="CQ220" s="2007"/>
      <c r="CR220" s="2007"/>
      <c r="CS220" s="2007"/>
      <c r="CT220" s="2007"/>
      <c r="CU220" s="2007"/>
      <c r="CV220" s="2007"/>
      <c r="CW220" s="2007" t="e">
        <f>#REF!+'Standart Vario'!$G$62</f>
        <v>#REF!</v>
      </c>
      <c r="CX220" s="2007" t="e">
        <f>#REF!+'Standart Vario'!$H$62</f>
        <v>#REF!</v>
      </c>
      <c r="CY220" s="2007" t="e">
        <f>#REF!+Standart!$K$36</f>
        <v>#REF!</v>
      </c>
      <c r="CZ220" s="2007" t="e">
        <f>#REF!+'Standart Vario'!$J$62</f>
        <v>#REF!</v>
      </c>
      <c r="DA220" s="2007" t="e">
        <f>#REF!+'Standart Vario'!$K$62</f>
        <v>#REF!</v>
      </c>
      <c r="DB220" s="2007" t="e">
        <f>#REF!+'Standart Vario'!$L$62</f>
        <v>#REF!</v>
      </c>
      <c r="DC220" s="2007" t="e">
        <f>#REF!+'Standart Vario'!$M$62</f>
        <v>#REF!</v>
      </c>
      <c r="DD220" s="2007" t="e">
        <f>#REF!+'Standart Vario'!$N$62</f>
        <v>#REF!</v>
      </c>
      <c r="DE220" s="2007"/>
      <c r="DF220" s="2007"/>
      <c r="DG220" s="2007"/>
      <c r="DH220" s="2007"/>
      <c r="DI220" s="2007"/>
      <c r="DJ220" s="2007"/>
      <c r="DK220" s="2007"/>
      <c r="DL220" s="2007"/>
      <c r="DM220" s="2007"/>
      <c r="DN220" s="2007"/>
      <c r="DO220" s="2008"/>
      <c r="DP220" s="2007"/>
      <c r="DQ220" s="2007"/>
      <c r="FF220" s="1616"/>
    </row>
    <row r="221" spans="1:162" hidden="1" outlineLevel="2">
      <c r="A221" s="1626" t="s">
        <v>1358</v>
      </c>
      <c r="B221" s="1626" t="s">
        <v>2081</v>
      </c>
      <c r="C221" s="1626" t="s">
        <v>2096</v>
      </c>
      <c r="D221" s="1626"/>
      <c r="E221" s="2007"/>
      <c r="F221" s="2007"/>
      <c r="G221" s="2007"/>
      <c r="H221" s="2007"/>
      <c r="I221" s="2007"/>
      <c r="J221" s="2007"/>
      <c r="K221" s="2007"/>
      <c r="L221" s="2007"/>
      <c r="M221" s="2007"/>
      <c r="N221" s="2007"/>
      <c r="O221" s="2007"/>
      <c r="P221" s="2007"/>
      <c r="Q221" s="2007"/>
      <c r="R221" s="2007"/>
      <c r="S221" s="2007"/>
      <c r="T221" s="2007"/>
      <c r="U221" s="2007"/>
      <c r="V221" s="2007"/>
      <c r="W221" s="2007"/>
      <c r="X221" s="2007"/>
      <c r="Y221" s="2007"/>
      <c r="Z221" s="2007"/>
      <c r="AA221" s="2007"/>
      <c r="AB221" s="2007"/>
      <c r="AC221" s="2007"/>
      <c r="AD221" s="2007"/>
      <c r="AE221" s="2007"/>
      <c r="AF221" s="2007"/>
      <c r="AG221" s="2007"/>
      <c r="AH221" s="2007"/>
      <c r="AI221" s="2007"/>
      <c r="AJ221" s="2007"/>
      <c r="AK221" s="2007"/>
      <c r="AL221" s="2007"/>
      <c r="AM221" s="2007"/>
      <c r="AN221" s="2007"/>
      <c r="AO221" s="2007"/>
      <c r="AP221" s="2007"/>
      <c r="AQ221" s="2007"/>
      <c r="AR221" s="2007"/>
      <c r="AS221" s="2007"/>
      <c r="AT221" s="2007"/>
      <c r="AU221" s="2007"/>
      <c r="AV221" s="2007"/>
      <c r="AW221" s="2007"/>
      <c r="AX221" s="2007"/>
      <c r="AY221" s="2007"/>
      <c r="AZ221" s="2007"/>
      <c r="BA221" s="2007"/>
      <c r="BB221" s="2007"/>
      <c r="BC221" s="2007"/>
      <c r="BD221" s="2007"/>
      <c r="BE221" s="2007"/>
      <c r="BF221" s="2007"/>
      <c r="BG221" s="2007"/>
      <c r="BH221" s="2007"/>
      <c r="BI221" s="2007"/>
      <c r="BJ221" s="2007"/>
      <c r="BK221" s="2007"/>
      <c r="BL221" s="2007"/>
      <c r="BM221" s="2007"/>
      <c r="BN221" s="2007"/>
      <c r="BO221" s="2007"/>
      <c r="BP221" s="2007"/>
      <c r="BQ221" s="2007"/>
      <c r="BR221" s="2007"/>
      <c r="BS221" s="2007"/>
      <c r="BT221" s="2007"/>
      <c r="BU221" s="2007"/>
      <c r="BV221" s="2007"/>
      <c r="BW221" s="2007"/>
      <c r="BX221" s="2007"/>
      <c r="BY221" s="2007"/>
      <c r="BZ221" s="2007"/>
      <c r="CA221" s="2007"/>
      <c r="CB221" s="2007"/>
      <c r="CC221" s="2007"/>
      <c r="CD221" s="2007"/>
      <c r="CE221" s="2007"/>
      <c r="CF221" s="2007"/>
      <c r="CG221" s="2007"/>
      <c r="CH221" s="2007"/>
      <c r="CI221" s="2007"/>
      <c r="CJ221" s="2007"/>
      <c r="CK221" s="2007"/>
      <c r="CL221" s="2007"/>
      <c r="CM221" s="2007"/>
      <c r="CN221" s="2007"/>
      <c r="CO221" s="2007"/>
      <c r="CP221" s="2007"/>
      <c r="CQ221" s="2007"/>
      <c r="CR221" s="2007"/>
      <c r="CS221" s="2007"/>
      <c r="CT221" s="2007"/>
      <c r="CU221" s="2007"/>
      <c r="CV221" s="2007"/>
      <c r="CW221" s="2007" t="e">
        <f>#REF!+'Standart Vario'!$G$62</f>
        <v>#REF!</v>
      </c>
      <c r="CX221" s="2007" t="e">
        <f>#REF!+'Standart Vario'!$H$62</f>
        <v>#REF!</v>
      </c>
      <c r="CY221" s="2007" t="e">
        <f>#REF!+Standart!$K$36</f>
        <v>#REF!</v>
      </c>
      <c r="CZ221" s="2007" t="e">
        <f>#REF!+'Standart Vario'!$J$62</f>
        <v>#REF!</v>
      </c>
      <c r="DA221" s="2007" t="e">
        <f>#REF!+'Standart Vario'!$K$62</f>
        <v>#REF!</v>
      </c>
      <c r="DB221" s="2007" t="e">
        <f>#REF!+'Standart Vario'!$L$62</f>
        <v>#REF!</v>
      </c>
      <c r="DC221" s="2007" t="e">
        <f>#REF!+'Standart Vario'!$M$62</f>
        <v>#REF!</v>
      </c>
      <c r="DD221" s="2007" t="e">
        <f>#REF!+'Standart Vario'!$N$62</f>
        <v>#REF!</v>
      </c>
      <c r="DE221" s="2007"/>
      <c r="DF221" s="2007"/>
      <c r="DG221" s="2007"/>
      <c r="DH221" s="2007"/>
      <c r="DI221" s="2007"/>
      <c r="DJ221" s="2007"/>
      <c r="DK221" s="2007"/>
      <c r="DL221" s="2007"/>
      <c r="DM221" s="2007"/>
      <c r="DN221" s="2007"/>
      <c r="DO221" s="2008"/>
      <c r="DP221" s="2007"/>
      <c r="DQ221" s="2007"/>
      <c r="FF221" s="1616"/>
    </row>
    <row r="222" spans="1:162" hidden="1" outlineLevel="2">
      <c r="A222" s="1626" t="s">
        <v>1358</v>
      </c>
      <c r="B222" s="1626" t="s">
        <v>2081</v>
      </c>
      <c r="C222" s="1626" t="s">
        <v>2090</v>
      </c>
      <c r="D222" s="1626"/>
      <c r="E222" s="2007"/>
      <c r="F222" s="2007"/>
      <c r="G222" s="2007"/>
      <c r="H222" s="2007"/>
      <c r="I222" s="2007"/>
      <c r="J222" s="2007"/>
      <c r="K222" s="2007"/>
      <c r="L222" s="2007"/>
      <c r="M222" s="2007"/>
      <c r="N222" s="2007"/>
      <c r="O222" s="2007"/>
      <c r="P222" s="2007"/>
      <c r="Q222" s="2007"/>
      <c r="R222" s="2007"/>
      <c r="S222" s="2007"/>
      <c r="T222" s="2007"/>
      <c r="U222" s="2007"/>
      <c r="V222" s="2007"/>
      <c r="W222" s="2007"/>
      <c r="X222" s="2007"/>
      <c r="Y222" s="2007"/>
      <c r="Z222" s="2007"/>
      <c r="AA222" s="2007"/>
      <c r="AB222" s="2007"/>
      <c r="AC222" s="2007"/>
      <c r="AD222" s="2007"/>
      <c r="AE222" s="2007"/>
      <c r="AF222" s="2007"/>
      <c r="AG222" s="2007"/>
      <c r="AH222" s="2007"/>
      <c r="AI222" s="2007"/>
      <c r="AJ222" s="2007"/>
      <c r="AK222" s="2007"/>
      <c r="AL222" s="2007"/>
      <c r="AM222" s="2007"/>
      <c r="AN222" s="2007"/>
      <c r="AO222" s="2007"/>
      <c r="AP222" s="2007"/>
      <c r="AQ222" s="2007"/>
      <c r="AR222" s="2007"/>
      <c r="AS222" s="2007"/>
      <c r="AT222" s="2007"/>
      <c r="AU222" s="2007"/>
      <c r="AV222" s="2007"/>
      <c r="AW222" s="2007"/>
      <c r="AX222" s="2007"/>
      <c r="AY222" s="2007"/>
      <c r="AZ222" s="2007"/>
      <c r="BA222" s="2007"/>
      <c r="BB222" s="2007"/>
      <c r="BC222" s="2007"/>
      <c r="BD222" s="2007"/>
      <c r="BE222" s="2007"/>
      <c r="BF222" s="2007"/>
      <c r="BG222" s="2007"/>
      <c r="BH222" s="2007"/>
      <c r="BI222" s="2007"/>
      <c r="BJ222" s="2007"/>
      <c r="BK222" s="2007"/>
      <c r="BL222" s="2007"/>
      <c r="BM222" s="2007"/>
      <c r="BN222" s="2007"/>
      <c r="BO222" s="2007"/>
      <c r="BP222" s="2007"/>
      <c r="BQ222" s="2007"/>
      <c r="BR222" s="2007"/>
      <c r="BS222" s="2007"/>
      <c r="BT222" s="2007"/>
      <c r="BU222" s="2007"/>
      <c r="BV222" s="2007"/>
      <c r="BW222" s="2007"/>
      <c r="BX222" s="2007"/>
      <c r="BY222" s="2007"/>
      <c r="BZ222" s="2007"/>
      <c r="CA222" s="2007"/>
      <c r="CB222" s="2007"/>
      <c r="CC222" s="2007"/>
      <c r="CD222" s="2007"/>
      <c r="CE222" s="2007"/>
      <c r="CF222" s="2007"/>
      <c r="CG222" s="2007"/>
      <c r="CH222" s="2007"/>
      <c r="CI222" s="2007"/>
      <c r="CJ222" s="2007"/>
      <c r="CK222" s="2007"/>
      <c r="CL222" s="2007"/>
      <c r="CM222" s="2007"/>
      <c r="CN222" s="2007"/>
      <c r="CO222" s="2007"/>
      <c r="CP222" s="2007"/>
      <c r="CQ222" s="2007"/>
      <c r="CR222" s="2007"/>
      <c r="CS222" s="2007"/>
      <c r="CT222" s="2007"/>
      <c r="CU222" s="2007"/>
      <c r="CV222" s="2007"/>
      <c r="CW222" s="2007" t="e">
        <f>#REF!+'Standart Vario'!$G$62</f>
        <v>#REF!</v>
      </c>
      <c r="CX222" s="2007" t="e">
        <f>#REF!+'Standart Vario'!$H$62</f>
        <v>#REF!</v>
      </c>
      <c r="CY222" s="2007" t="e">
        <f>#REF!+Standart!$K$36</f>
        <v>#REF!</v>
      </c>
      <c r="CZ222" s="2007" t="e">
        <f>#REF!+'Standart Vario'!$J$62</f>
        <v>#REF!</v>
      </c>
      <c r="DA222" s="2007" t="e">
        <f>#REF!+'Standart Vario'!$K$62</f>
        <v>#REF!</v>
      </c>
      <c r="DB222" s="2007" t="e">
        <f>#REF!+'Standart Vario'!$L$62</f>
        <v>#REF!</v>
      </c>
      <c r="DC222" s="2007" t="e">
        <f>#REF!+'Standart Vario'!$M$62</f>
        <v>#REF!</v>
      </c>
      <c r="DD222" s="2007" t="e">
        <f>#REF!+'Standart Vario'!$N$62</f>
        <v>#REF!</v>
      </c>
      <c r="DE222" s="2007"/>
      <c r="DF222" s="2007"/>
      <c r="DG222" s="2007"/>
      <c r="DH222" s="2007"/>
      <c r="DI222" s="2007"/>
      <c r="DJ222" s="2007"/>
      <c r="DK222" s="2007"/>
      <c r="DL222" s="2007"/>
      <c r="DM222" s="2007"/>
      <c r="DN222" s="2007"/>
      <c r="DO222" s="2008"/>
      <c r="DP222" s="2007"/>
      <c r="DQ222" s="2007"/>
      <c r="FF222" s="1616"/>
    </row>
    <row r="223" spans="1:162" hidden="1" outlineLevel="2">
      <c r="A223" s="1626" t="s">
        <v>1358</v>
      </c>
      <c r="B223" s="1626" t="s">
        <v>2081</v>
      </c>
      <c r="C223" s="1626" t="s">
        <v>2091</v>
      </c>
      <c r="D223" s="1626"/>
      <c r="E223" s="2007"/>
      <c r="F223" s="2007"/>
      <c r="G223" s="2007"/>
      <c r="H223" s="2007"/>
      <c r="I223" s="2007"/>
      <c r="J223" s="2007"/>
      <c r="K223" s="2007"/>
      <c r="L223" s="2007"/>
      <c r="M223" s="2007"/>
      <c r="N223" s="2007"/>
      <c r="O223" s="2007"/>
      <c r="P223" s="2007"/>
      <c r="Q223" s="2007"/>
      <c r="R223" s="2007"/>
      <c r="S223" s="2007"/>
      <c r="T223" s="2007"/>
      <c r="U223" s="2007"/>
      <c r="V223" s="2007"/>
      <c r="W223" s="2007"/>
      <c r="X223" s="2007"/>
      <c r="Y223" s="2007"/>
      <c r="Z223" s="2007"/>
      <c r="AA223" s="2007"/>
      <c r="AB223" s="2007"/>
      <c r="AC223" s="2007"/>
      <c r="AD223" s="2007"/>
      <c r="AE223" s="2007"/>
      <c r="AF223" s="2007"/>
      <c r="AG223" s="2007"/>
      <c r="AH223" s="2007"/>
      <c r="AI223" s="2007"/>
      <c r="AJ223" s="2007"/>
      <c r="AK223" s="2007"/>
      <c r="AL223" s="2007"/>
      <c r="AM223" s="2007"/>
      <c r="AN223" s="2007"/>
      <c r="AO223" s="2007"/>
      <c r="AP223" s="2007"/>
      <c r="AQ223" s="2007"/>
      <c r="AR223" s="2007"/>
      <c r="AS223" s="2007"/>
      <c r="AT223" s="2007"/>
      <c r="AU223" s="2007"/>
      <c r="AV223" s="2007"/>
      <c r="AW223" s="2007"/>
      <c r="AX223" s="2007"/>
      <c r="AY223" s="2007"/>
      <c r="AZ223" s="2007"/>
      <c r="BA223" s="2007"/>
      <c r="BB223" s="2007"/>
      <c r="BC223" s="2007"/>
      <c r="BD223" s="2007"/>
      <c r="BE223" s="2007"/>
      <c r="BF223" s="2007"/>
      <c r="BG223" s="2007"/>
      <c r="BH223" s="2007"/>
      <c r="BI223" s="2007"/>
      <c r="BJ223" s="2007"/>
      <c r="BK223" s="2007"/>
      <c r="BL223" s="2007"/>
      <c r="BM223" s="2007"/>
      <c r="BN223" s="2007"/>
      <c r="BO223" s="2007"/>
      <c r="BP223" s="2007"/>
      <c r="BQ223" s="2007"/>
      <c r="BR223" s="2007"/>
      <c r="BS223" s="2007"/>
      <c r="BT223" s="2007"/>
      <c r="BU223" s="2007"/>
      <c r="BV223" s="2007"/>
      <c r="BW223" s="2007"/>
      <c r="BX223" s="2007"/>
      <c r="BY223" s="2007"/>
      <c r="BZ223" s="2007"/>
      <c r="CA223" s="2007"/>
      <c r="CB223" s="2007"/>
      <c r="CC223" s="2007"/>
      <c r="CD223" s="2007"/>
      <c r="CE223" s="2007"/>
      <c r="CF223" s="2007"/>
      <c r="CG223" s="2007"/>
      <c r="CH223" s="2007"/>
      <c r="CI223" s="2007"/>
      <c r="CJ223" s="2007"/>
      <c r="CK223" s="2007"/>
      <c r="CL223" s="2007"/>
      <c r="CM223" s="2007"/>
      <c r="CN223" s="2007"/>
      <c r="CO223" s="2007"/>
      <c r="CP223" s="2007"/>
      <c r="CQ223" s="2007"/>
      <c r="CR223" s="2007"/>
      <c r="CS223" s="2007"/>
      <c r="CT223" s="2007"/>
      <c r="CU223" s="2007"/>
      <c r="CV223" s="2007"/>
      <c r="CW223" s="2007" t="e">
        <f>#REF!+'Standart Vario'!$G$62</f>
        <v>#REF!</v>
      </c>
      <c r="CX223" s="2007" t="e">
        <f>#REF!+'Standart Vario'!$H$62</f>
        <v>#REF!</v>
      </c>
      <c r="CY223" s="2007" t="e">
        <f>#REF!+Standart!$K$36</f>
        <v>#REF!</v>
      </c>
      <c r="CZ223" s="2007" t="e">
        <f>#REF!+'Standart Vario'!$J$62</f>
        <v>#REF!</v>
      </c>
      <c r="DA223" s="2007" t="e">
        <f>#REF!+'Standart Vario'!$K$62</f>
        <v>#REF!</v>
      </c>
      <c r="DB223" s="2007" t="e">
        <f>#REF!+'Standart Vario'!$L$62</f>
        <v>#REF!</v>
      </c>
      <c r="DC223" s="2007" t="e">
        <f>#REF!+'Standart Vario'!$M$62</f>
        <v>#REF!</v>
      </c>
      <c r="DD223" s="2007" t="e">
        <f>#REF!+'Standart Vario'!$N$62</f>
        <v>#REF!</v>
      </c>
      <c r="DE223" s="2007"/>
      <c r="DF223" s="2007"/>
      <c r="DG223" s="2007"/>
      <c r="DH223" s="2007"/>
      <c r="DI223" s="2007"/>
      <c r="DJ223" s="2007"/>
      <c r="DK223" s="2007"/>
      <c r="DL223" s="2007"/>
      <c r="DM223" s="2007"/>
      <c r="DN223" s="2007"/>
      <c r="DO223" s="2008"/>
      <c r="DP223" s="2007"/>
      <c r="DQ223" s="2007"/>
      <c r="FF223" s="1616"/>
    </row>
    <row r="224" spans="1:162" hidden="1" outlineLevel="2">
      <c r="A224" s="1626" t="s">
        <v>1358</v>
      </c>
      <c r="B224" s="1626" t="s">
        <v>2082</v>
      </c>
      <c r="C224" s="1626" t="s">
        <v>2092</v>
      </c>
      <c r="D224" s="1626"/>
      <c r="E224" s="2007"/>
      <c r="F224" s="2007"/>
      <c r="G224" s="2007"/>
      <c r="H224" s="2007"/>
      <c r="I224" s="2007"/>
      <c r="J224" s="2007"/>
      <c r="K224" s="2007"/>
      <c r="L224" s="2007"/>
      <c r="M224" s="2007"/>
      <c r="N224" s="2007"/>
      <c r="O224" s="2007"/>
      <c r="P224" s="2007"/>
      <c r="Q224" s="2007"/>
      <c r="R224" s="2007"/>
      <c r="S224" s="2007"/>
      <c r="T224" s="2007"/>
      <c r="U224" s="2007"/>
      <c r="V224" s="2007"/>
      <c r="W224" s="2007"/>
      <c r="X224" s="2007"/>
      <c r="Y224" s="2007"/>
      <c r="Z224" s="2007"/>
      <c r="AA224" s="2007"/>
      <c r="AB224" s="2007"/>
      <c r="AC224" s="2007"/>
      <c r="AD224" s="2007"/>
      <c r="AE224" s="2007"/>
      <c r="AF224" s="2007"/>
      <c r="AG224" s="2007"/>
      <c r="AH224" s="2007"/>
      <c r="AI224" s="2007"/>
      <c r="AJ224" s="2007"/>
      <c r="AK224" s="2007"/>
      <c r="AL224" s="2007"/>
      <c r="AM224" s="2007"/>
      <c r="AN224" s="2007"/>
      <c r="AO224" s="2007"/>
      <c r="AP224" s="2007"/>
      <c r="AQ224" s="2007"/>
      <c r="AR224" s="2007"/>
      <c r="AS224" s="2007"/>
      <c r="AT224" s="2007"/>
      <c r="AU224" s="2007"/>
      <c r="AV224" s="2007"/>
      <c r="AW224" s="2007"/>
      <c r="AX224" s="2007"/>
      <c r="AY224" s="2007"/>
      <c r="AZ224" s="2007"/>
      <c r="BA224" s="2007"/>
      <c r="BB224" s="2007"/>
      <c r="BC224" s="2007"/>
      <c r="BD224" s="2007"/>
      <c r="BE224" s="2007"/>
      <c r="BF224" s="2007"/>
      <c r="BG224" s="2007"/>
      <c r="BH224" s="2007"/>
      <c r="BI224" s="2007"/>
      <c r="BJ224" s="2007"/>
      <c r="BK224" s="2007"/>
      <c r="BL224" s="2007"/>
      <c r="BM224" s="2007"/>
      <c r="BN224" s="2007"/>
      <c r="BO224" s="2007"/>
      <c r="BP224" s="2007"/>
      <c r="BQ224" s="2007"/>
      <c r="BR224" s="2007"/>
      <c r="BS224" s="2007"/>
      <c r="BT224" s="2007"/>
      <c r="BU224" s="2007"/>
      <c r="BV224" s="2007"/>
      <c r="BW224" s="2007"/>
      <c r="BX224" s="2007"/>
      <c r="BY224" s="2007"/>
      <c r="BZ224" s="2007"/>
      <c r="CA224" s="2007"/>
      <c r="CB224" s="2007"/>
      <c r="CC224" s="2007"/>
      <c r="CD224" s="2007"/>
      <c r="CE224" s="2007"/>
      <c r="CF224" s="2007"/>
      <c r="CG224" s="2007"/>
      <c r="CH224" s="2007"/>
      <c r="CI224" s="2007"/>
      <c r="CJ224" s="2007"/>
      <c r="CK224" s="2007"/>
      <c r="CL224" s="2007"/>
      <c r="CM224" s="2007"/>
      <c r="CN224" s="2007"/>
      <c r="CO224" s="2007"/>
      <c r="CP224" s="2007"/>
      <c r="CQ224" s="2007"/>
      <c r="CR224" s="2007"/>
      <c r="CS224" s="2007"/>
      <c r="CT224" s="2007"/>
      <c r="CU224" s="2007"/>
      <c r="CV224" s="2007"/>
      <c r="CW224" s="2007" t="e">
        <f>#REF!+'Standart Vario'!$G$62</f>
        <v>#REF!</v>
      </c>
      <c r="CX224" s="2007" t="e">
        <f>#REF!+'Standart Vario'!$H$62</f>
        <v>#REF!</v>
      </c>
      <c r="CY224" s="2007" t="e">
        <f>#REF!+Standart!$K$36</f>
        <v>#REF!</v>
      </c>
      <c r="CZ224" s="2007" t="e">
        <f>#REF!+'Standart Vario'!$J$62</f>
        <v>#REF!</v>
      </c>
      <c r="DA224" s="2007" t="e">
        <f>#REF!+'Standart Vario'!$K$62</f>
        <v>#REF!</v>
      </c>
      <c r="DB224" s="2007" t="e">
        <f>#REF!+'Standart Vario'!$L$62</f>
        <v>#REF!</v>
      </c>
      <c r="DC224" s="2007" t="e">
        <f>#REF!+'Standart Vario'!$M$62</f>
        <v>#REF!</v>
      </c>
      <c r="DD224" s="2007" t="e">
        <f>#REF!+'Standart Vario'!$N$62</f>
        <v>#REF!</v>
      </c>
      <c r="DE224" s="2007"/>
      <c r="DF224" s="2007"/>
      <c r="DG224" s="2007"/>
      <c r="DH224" s="2007"/>
      <c r="DI224" s="2007"/>
      <c r="DJ224" s="2007"/>
      <c r="DK224" s="2007"/>
      <c r="DL224" s="2007"/>
      <c r="DM224" s="2007"/>
      <c r="DN224" s="2007"/>
      <c r="DO224" s="2008"/>
      <c r="DP224" s="2007"/>
      <c r="DQ224" s="2007"/>
      <c r="FF224" s="1616"/>
    </row>
    <row r="225" spans="1:162" hidden="1" outlineLevel="2">
      <c r="A225" s="1626" t="s">
        <v>1358</v>
      </c>
      <c r="B225" s="1626" t="s">
        <v>2082</v>
      </c>
      <c r="C225" s="1626" t="s">
        <v>2089</v>
      </c>
      <c r="D225" s="1626"/>
      <c r="E225" s="2007"/>
      <c r="F225" s="2007"/>
      <c r="G225" s="2007"/>
      <c r="H225" s="2007"/>
      <c r="I225" s="2007"/>
      <c r="J225" s="2007"/>
      <c r="K225" s="2007"/>
      <c r="L225" s="2007"/>
      <c r="M225" s="2007"/>
      <c r="N225" s="2007"/>
      <c r="O225" s="2007"/>
      <c r="P225" s="2007"/>
      <c r="Q225" s="2007"/>
      <c r="R225" s="2007"/>
      <c r="S225" s="2007"/>
      <c r="T225" s="2007"/>
      <c r="U225" s="2007"/>
      <c r="V225" s="2007"/>
      <c r="W225" s="2007"/>
      <c r="X225" s="2007"/>
      <c r="Y225" s="2007"/>
      <c r="Z225" s="2007"/>
      <c r="AA225" s="2007"/>
      <c r="AB225" s="2007"/>
      <c r="AC225" s="2007"/>
      <c r="AD225" s="2007"/>
      <c r="AE225" s="2007"/>
      <c r="AF225" s="2007"/>
      <c r="AG225" s="2007"/>
      <c r="AH225" s="2007"/>
      <c r="AI225" s="2007"/>
      <c r="AJ225" s="2007"/>
      <c r="AK225" s="2007"/>
      <c r="AL225" s="2007"/>
      <c r="AM225" s="2007"/>
      <c r="AN225" s="2007"/>
      <c r="AO225" s="2007"/>
      <c r="AP225" s="2007"/>
      <c r="AQ225" s="2007"/>
      <c r="AR225" s="2007"/>
      <c r="AS225" s="2007"/>
      <c r="AT225" s="2007"/>
      <c r="AU225" s="2007"/>
      <c r="AV225" s="2007"/>
      <c r="AW225" s="2007"/>
      <c r="AX225" s="2007"/>
      <c r="AY225" s="2007"/>
      <c r="AZ225" s="2007"/>
      <c r="BA225" s="2007"/>
      <c r="BB225" s="2007"/>
      <c r="BC225" s="2007"/>
      <c r="BD225" s="2007"/>
      <c r="BE225" s="2007"/>
      <c r="BF225" s="2007"/>
      <c r="BG225" s="2007"/>
      <c r="BH225" s="2007"/>
      <c r="BI225" s="2007"/>
      <c r="BJ225" s="2007"/>
      <c r="BK225" s="2007"/>
      <c r="BL225" s="2007"/>
      <c r="BM225" s="2007"/>
      <c r="BN225" s="2007"/>
      <c r="BO225" s="2007"/>
      <c r="BP225" s="2007"/>
      <c r="BQ225" s="2007"/>
      <c r="BR225" s="2007"/>
      <c r="BS225" s="2007"/>
      <c r="BT225" s="2007"/>
      <c r="BU225" s="2007"/>
      <c r="BV225" s="2007"/>
      <c r="BW225" s="2007"/>
      <c r="BX225" s="2007"/>
      <c r="BY225" s="2007"/>
      <c r="BZ225" s="2007"/>
      <c r="CA225" s="2007"/>
      <c r="CB225" s="2007"/>
      <c r="CC225" s="2007"/>
      <c r="CD225" s="2007"/>
      <c r="CE225" s="2007"/>
      <c r="CF225" s="2007"/>
      <c r="CG225" s="2007"/>
      <c r="CH225" s="2007"/>
      <c r="CI225" s="2007"/>
      <c r="CJ225" s="2007"/>
      <c r="CK225" s="2007"/>
      <c r="CL225" s="2007"/>
      <c r="CM225" s="2007"/>
      <c r="CN225" s="2007"/>
      <c r="CO225" s="2007"/>
      <c r="CP225" s="2007"/>
      <c r="CQ225" s="2007"/>
      <c r="CR225" s="2007"/>
      <c r="CS225" s="2007"/>
      <c r="CT225" s="2007"/>
      <c r="CU225" s="2007"/>
      <c r="CV225" s="2007"/>
      <c r="CW225" s="2007" t="e">
        <f>#REF!+'Standart Vario'!$G$62</f>
        <v>#REF!</v>
      </c>
      <c r="CX225" s="2007" t="e">
        <f>#REF!+'Standart Vario'!$H$62</f>
        <v>#REF!</v>
      </c>
      <c r="CY225" s="2007" t="e">
        <f>#REF!+Standart!$K$36</f>
        <v>#REF!</v>
      </c>
      <c r="CZ225" s="2007" t="e">
        <f>#REF!+'Standart Vario'!$J$62</f>
        <v>#REF!</v>
      </c>
      <c r="DA225" s="2007" t="e">
        <f>#REF!+'Standart Vario'!$K$62</f>
        <v>#REF!</v>
      </c>
      <c r="DB225" s="2007" t="e">
        <f>#REF!+'Standart Vario'!$L$62</f>
        <v>#REF!</v>
      </c>
      <c r="DC225" s="2007" t="e">
        <f>#REF!+'Standart Vario'!$M$62</f>
        <v>#REF!</v>
      </c>
      <c r="DD225" s="2007" t="e">
        <f>#REF!+'Standart Vario'!$N$62</f>
        <v>#REF!</v>
      </c>
      <c r="DE225" s="2007"/>
      <c r="DF225" s="2007"/>
      <c r="DG225" s="2007"/>
      <c r="DH225" s="2007"/>
      <c r="DI225" s="2007"/>
      <c r="DJ225" s="2007"/>
      <c r="DK225" s="2007"/>
      <c r="DL225" s="2007"/>
      <c r="DM225" s="2007"/>
      <c r="DN225" s="2007"/>
      <c r="DO225" s="2008"/>
      <c r="DP225" s="2007"/>
      <c r="DQ225" s="2007"/>
      <c r="FF225" s="1616"/>
    </row>
    <row r="226" spans="1:162" hidden="1" outlineLevel="2">
      <c r="A226" s="1626" t="s">
        <v>1358</v>
      </c>
      <c r="B226" s="1626" t="s">
        <v>2082</v>
      </c>
      <c r="C226" s="1626" t="s">
        <v>2095</v>
      </c>
      <c r="D226" s="1626"/>
      <c r="E226" s="2007"/>
      <c r="F226" s="2007"/>
      <c r="G226" s="2007"/>
      <c r="H226" s="2007"/>
      <c r="I226" s="2007"/>
      <c r="J226" s="2007"/>
      <c r="K226" s="2007"/>
      <c r="L226" s="2007"/>
      <c r="M226" s="2007"/>
      <c r="N226" s="2007"/>
      <c r="O226" s="2007"/>
      <c r="P226" s="2007"/>
      <c r="Q226" s="2007"/>
      <c r="R226" s="2007"/>
      <c r="S226" s="2007"/>
      <c r="T226" s="2007"/>
      <c r="U226" s="2007"/>
      <c r="V226" s="2007"/>
      <c r="W226" s="2007"/>
      <c r="X226" s="2007"/>
      <c r="Y226" s="2007"/>
      <c r="Z226" s="2007"/>
      <c r="AA226" s="2007"/>
      <c r="AB226" s="2007"/>
      <c r="AC226" s="2007"/>
      <c r="AD226" s="2007"/>
      <c r="AE226" s="2007"/>
      <c r="AF226" s="2007"/>
      <c r="AG226" s="2007"/>
      <c r="AH226" s="2007"/>
      <c r="AI226" s="2007"/>
      <c r="AJ226" s="2007"/>
      <c r="AK226" s="2007"/>
      <c r="AL226" s="2007"/>
      <c r="AM226" s="2007"/>
      <c r="AN226" s="2007"/>
      <c r="AO226" s="2007"/>
      <c r="AP226" s="2007"/>
      <c r="AQ226" s="2007"/>
      <c r="AR226" s="2007"/>
      <c r="AS226" s="2007"/>
      <c r="AT226" s="2007"/>
      <c r="AU226" s="2007"/>
      <c r="AV226" s="2007"/>
      <c r="AW226" s="2007"/>
      <c r="AX226" s="2007"/>
      <c r="AY226" s="2007"/>
      <c r="AZ226" s="2007"/>
      <c r="BA226" s="2007"/>
      <c r="BB226" s="2007"/>
      <c r="BC226" s="2007"/>
      <c r="BD226" s="2007"/>
      <c r="BE226" s="2007"/>
      <c r="BF226" s="2007"/>
      <c r="BG226" s="2007"/>
      <c r="BH226" s="2007"/>
      <c r="BI226" s="2007"/>
      <c r="BJ226" s="2007"/>
      <c r="BK226" s="2007"/>
      <c r="BL226" s="2007"/>
      <c r="BM226" s="2007"/>
      <c r="BN226" s="2007"/>
      <c r="BO226" s="2007"/>
      <c r="BP226" s="2007"/>
      <c r="BQ226" s="2007"/>
      <c r="BR226" s="2007"/>
      <c r="BS226" s="2007"/>
      <c r="BT226" s="2007"/>
      <c r="BU226" s="2007"/>
      <c r="BV226" s="2007"/>
      <c r="BW226" s="2007"/>
      <c r="BX226" s="2007"/>
      <c r="BY226" s="2007"/>
      <c r="BZ226" s="2007"/>
      <c r="CA226" s="2007"/>
      <c r="CB226" s="2007"/>
      <c r="CC226" s="2007"/>
      <c r="CD226" s="2007"/>
      <c r="CE226" s="2007"/>
      <c r="CF226" s="2007"/>
      <c r="CG226" s="2007"/>
      <c r="CH226" s="2007"/>
      <c r="CI226" s="2007"/>
      <c r="CJ226" s="2007"/>
      <c r="CK226" s="2007"/>
      <c r="CL226" s="2007"/>
      <c r="CM226" s="2007"/>
      <c r="CN226" s="2007"/>
      <c r="CO226" s="2007"/>
      <c r="CP226" s="2007"/>
      <c r="CQ226" s="2007"/>
      <c r="CR226" s="2007"/>
      <c r="CS226" s="2007"/>
      <c r="CT226" s="2007"/>
      <c r="CU226" s="2007"/>
      <c r="CV226" s="2007"/>
      <c r="CW226" s="2007" t="e">
        <f>#REF!+'Standart Vario'!$G$62</f>
        <v>#REF!</v>
      </c>
      <c r="CX226" s="2007" t="e">
        <f>#REF!+'Standart Vario'!$H$62</f>
        <v>#REF!</v>
      </c>
      <c r="CY226" s="2007" t="e">
        <f>#REF!+Standart!$K$36</f>
        <v>#REF!</v>
      </c>
      <c r="CZ226" s="2007" t="e">
        <f>#REF!+'Standart Vario'!$J$62</f>
        <v>#REF!</v>
      </c>
      <c r="DA226" s="2007" t="e">
        <f>#REF!+'Standart Vario'!$K$62</f>
        <v>#REF!</v>
      </c>
      <c r="DB226" s="2007" t="e">
        <f>#REF!+'Standart Vario'!$L$62</f>
        <v>#REF!</v>
      </c>
      <c r="DC226" s="2007" t="e">
        <f>#REF!+'Standart Vario'!$M$62</f>
        <v>#REF!</v>
      </c>
      <c r="DD226" s="2007" t="e">
        <f>#REF!+'Standart Vario'!$N$62</f>
        <v>#REF!</v>
      </c>
      <c r="DE226" s="2007"/>
      <c r="DF226" s="2007"/>
      <c r="DG226" s="2007"/>
      <c r="DH226" s="2007"/>
      <c r="DI226" s="2007"/>
      <c r="DJ226" s="2007"/>
      <c r="DK226" s="2007"/>
      <c r="DL226" s="2007"/>
      <c r="DM226" s="2007"/>
      <c r="DN226" s="2007"/>
      <c r="DO226" s="2008"/>
      <c r="DP226" s="2007"/>
      <c r="DQ226" s="2007"/>
      <c r="FF226" s="1616"/>
    </row>
    <row r="227" spans="1:162" hidden="1" outlineLevel="2">
      <c r="A227" s="1626" t="s">
        <v>1358</v>
      </c>
      <c r="B227" s="1626" t="s">
        <v>2082</v>
      </c>
      <c r="C227" s="1626" t="s">
        <v>2096</v>
      </c>
      <c r="D227" s="1626"/>
      <c r="E227" s="2007"/>
      <c r="F227" s="2007"/>
      <c r="G227" s="2007"/>
      <c r="H227" s="2007"/>
      <c r="I227" s="2007"/>
      <c r="J227" s="2007"/>
      <c r="K227" s="2007"/>
      <c r="L227" s="2007"/>
      <c r="M227" s="2007"/>
      <c r="N227" s="2007"/>
      <c r="O227" s="2007"/>
      <c r="P227" s="2007"/>
      <c r="Q227" s="2007"/>
      <c r="R227" s="2007"/>
      <c r="S227" s="2007"/>
      <c r="T227" s="2007"/>
      <c r="U227" s="2007"/>
      <c r="V227" s="2007"/>
      <c r="W227" s="2007"/>
      <c r="X227" s="2007"/>
      <c r="Y227" s="2007"/>
      <c r="Z227" s="2007"/>
      <c r="AA227" s="2007"/>
      <c r="AB227" s="2007"/>
      <c r="AC227" s="2007"/>
      <c r="AD227" s="2007"/>
      <c r="AE227" s="2007"/>
      <c r="AF227" s="2007"/>
      <c r="AG227" s="2007"/>
      <c r="AH227" s="2007"/>
      <c r="AI227" s="2007"/>
      <c r="AJ227" s="2007"/>
      <c r="AK227" s="2007"/>
      <c r="AL227" s="2007"/>
      <c r="AM227" s="2007"/>
      <c r="AN227" s="2007"/>
      <c r="AO227" s="2007"/>
      <c r="AP227" s="2007"/>
      <c r="AQ227" s="2007"/>
      <c r="AR227" s="2007"/>
      <c r="AS227" s="2007"/>
      <c r="AT227" s="2007"/>
      <c r="AU227" s="2007"/>
      <c r="AV227" s="2007"/>
      <c r="AW227" s="2007"/>
      <c r="AX227" s="2007"/>
      <c r="AY227" s="2007"/>
      <c r="AZ227" s="2007"/>
      <c r="BA227" s="2007"/>
      <c r="BB227" s="2007"/>
      <c r="BC227" s="2007"/>
      <c r="BD227" s="2007"/>
      <c r="BE227" s="2007"/>
      <c r="BF227" s="2007"/>
      <c r="BG227" s="2007"/>
      <c r="BH227" s="2007"/>
      <c r="BI227" s="2007"/>
      <c r="BJ227" s="2007"/>
      <c r="BK227" s="2007"/>
      <c r="BL227" s="2007"/>
      <c r="BM227" s="2007"/>
      <c r="BN227" s="2007"/>
      <c r="BO227" s="2007"/>
      <c r="BP227" s="2007"/>
      <c r="BQ227" s="2007"/>
      <c r="BR227" s="2007"/>
      <c r="BS227" s="2007"/>
      <c r="BT227" s="2007"/>
      <c r="BU227" s="2007"/>
      <c r="BV227" s="2007"/>
      <c r="BW227" s="2007"/>
      <c r="BX227" s="2007"/>
      <c r="BY227" s="2007"/>
      <c r="BZ227" s="2007"/>
      <c r="CA227" s="2007"/>
      <c r="CB227" s="2007"/>
      <c r="CC227" s="2007"/>
      <c r="CD227" s="2007"/>
      <c r="CE227" s="2007"/>
      <c r="CF227" s="2007"/>
      <c r="CG227" s="2007"/>
      <c r="CH227" s="2007"/>
      <c r="CI227" s="2007"/>
      <c r="CJ227" s="2007"/>
      <c r="CK227" s="2007"/>
      <c r="CL227" s="2007"/>
      <c r="CM227" s="2007"/>
      <c r="CN227" s="2007"/>
      <c r="CO227" s="2007"/>
      <c r="CP227" s="2007"/>
      <c r="CQ227" s="2007"/>
      <c r="CR227" s="2007"/>
      <c r="CS227" s="2007"/>
      <c r="CT227" s="2007"/>
      <c r="CU227" s="2007"/>
      <c r="CV227" s="2007"/>
      <c r="CW227" s="2007" t="e">
        <f>#REF!+'Standart Vario'!$G$62</f>
        <v>#REF!</v>
      </c>
      <c r="CX227" s="2007" t="e">
        <f>#REF!+'Standart Vario'!$H$62</f>
        <v>#REF!</v>
      </c>
      <c r="CY227" s="2007" t="e">
        <f>#REF!+Standart!$K$36</f>
        <v>#REF!</v>
      </c>
      <c r="CZ227" s="2007" t="e">
        <f>#REF!+'Standart Vario'!$J$62</f>
        <v>#REF!</v>
      </c>
      <c r="DA227" s="2007" t="e">
        <f>#REF!+'Standart Vario'!$K$62</f>
        <v>#REF!</v>
      </c>
      <c r="DB227" s="2007" t="e">
        <f>#REF!+'Standart Vario'!$L$62</f>
        <v>#REF!</v>
      </c>
      <c r="DC227" s="2007" t="e">
        <f>#REF!+'Standart Vario'!$M$62</f>
        <v>#REF!</v>
      </c>
      <c r="DD227" s="2007" t="e">
        <f>#REF!+'Standart Vario'!$N$62</f>
        <v>#REF!</v>
      </c>
      <c r="DE227" s="2007"/>
      <c r="DF227" s="2007"/>
      <c r="DG227" s="2007"/>
      <c r="DH227" s="2007"/>
      <c r="DI227" s="2007"/>
      <c r="DJ227" s="2007"/>
      <c r="DK227" s="2007"/>
      <c r="DL227" s="2007"/>
      <c r="DM227" s="2007"/>
      <c r="DN227" s="2007"/>
      <c r="DO227" s="2008"/>
      <c r="DP227" s="2007"/>
      <c r="DQ227" s="2007"/>
      <c r="FF227" s="1616"/>
    </row>
    <row r="228" spans="1:162" hidden="1" outlineLevel="2">
      <c r="A228" s="1626" t="s">
        <v>1358</v>
      </c>
      <c r="B228" s="1626" t="s">
        <v>2082</v>
      </c>
      <c r="C228" s="1626" t="s">
        <v>2090</v>
      </c>
      <c r="D228" s="1626"/>
      <c r="E228" s="2007"/>
      <c r="F228" s="2007"/>
      <c r="G228" s="2007"/>
      <c r="H228" s="2007"/>
      <c r="I228" s="2007"/>
      <c r="J228" s="2007"/>
      <c r="K228" s="2007"/>
      <c r="L228" s="2007"/>
      <c r="M228" s="2007"/>
      <c r="N228" s="2007"/>
      <c r="O228" s="2007"/>
      <c r="P228" s="2007"/>
      <c r="Q228" s="2007"/>
      <c r="R228" s="2007"/>
      <c r="S228" s="2007"/>
      <c r="T228" s="2007"/>
      <c r="U228" s="2007"/>
      <c r="V228" s="2007"/>
      <c r="W228" s="2007"/>
      <c r="X228" s="2007"/>
      <c r="Y228" s="2007"/>
      <c r="Z228" s="2007"/>
      <c r="AA228" s="2007"/>
      <c r="AB228" s="2007"/>
      <c r="AC228" s="2007"/>
      <c r="AD228" s="2007"/>
      <c r="AE228" s="2007"/>
      <c r="AF228" s="2007"/>
      <c r="AG228" s="2007"/>
      <c r="AH228" s="2007"/>
      <c r="AI228" s="2007"/>
      <c r="AJ228" s="2007"/>
      <c r="AK228" s="2007"/>
      <c r="AL228" s="2007"/>
      <c r="AM228" s="2007"/>
      <c r="AN228" s="2007"/>
      <c r="AO228" s="2007"/>
      <c r="AP228" s="2007"/>
      <c r="AQ228" s="2007"/>
      <c r="AR228" s="2007"/>
      <c r="AS228" s="2007"/>
      <c r="AT228" s="2007"/>
      <c r="AU228" s="2007"/>
      <c r="AV228" s="2007"/>
      <c r="AW228" s="2007"/>
      <c r="AX228" s="2007"/>
      <c r="AY228" s="2007"/>
      <c r="AZ228" s="2007"/>
      <c r="BA228" s="2007"/>
      <c r="BB228" s="2007"/>
      <c r="BC228" s="2007"/>
      <c r="BD228" s="2007"/>
      <c r="BE228" s="2007"/>
      <c r="BF228" s="2007"/>
      <c r="BG228" s="2007"/>
      <c r="BH228" s="2007"/>
      <c r="BI228" s="2007"/>
      <c r="BJ228" s="2007"/>
      <c r="BK228" s="2007"/>
      <c r="BL228" s="2007"/>
      <c r="BM228" s="2007"/>
      <c r="BN228" s="2007"/>
      <c r="BO228" s="2007"/>
      <c r="BP228" s="2007"/>
      <c r="BQ228" s="2007"/>
      <c r="BR228" s="2007"/>
      <c r="BS228" s="2007"/>
      <c r="BT228" s="2007"/>
      <c r="BU228" s="2007"/>
      <c r="BV228" s="2007"/>
      <c r="BW228" s="2007"/>
      <c r="BX228" s="2007"/>
      <c r="BY228" s="2007"/>
      <c r="BZ228" s="2007"/>
      <c r="CA228" s="2007"/>
      <c r="CB228" s="2007"/>
      <c r="CC228" s="2007"/>
      <c r="CD228" s="2007"/>
      <c r="CE228" s="2007"/>
      <c r="CF228" s="2007"/>
      <c r="CG228" s="2007"/>
      <c r="CH228" s="2007"/>
      <c r="CI228" s="2007"/>
      <c r="CJ228" s="2007"/>
      <c r="CK228" s="2007"/>
      <c r="CL228" s="2007"/>
      <c r="CM228" s="2007"/>
      <c r="CN228" s="2007"/>
      <c r="CO228" s="2007"/>
      <c r="CP228" s="2007"/>
      <c r="CQ228" s="2007"/>
      <c r="CR228" s="2007"/>
      <c r="CS228" s="2007"/>
      <c r="CT228" s="2007"/>
      <c r="CU228" s="2007"/>
      <c r="CV228" s="2007"/>
      <c r="CW228" s="2007" t="e">
        <f>#REF!+'Standart Vario'!$G$62</f>
        <v>#REF!</v>
      </c>
      <c r="CX228" s="2007" t="e">
        <f>#REF!+'Standart Vario'!$H$62</f>
        <v>#REF!</v>
      </c>
      <c r="CY228" s="2007" t="e">
        <f>#REF!+Standart!$K$36</f>
        <v>#REF!</v>
      </c>
      <c r="CZ228" s="2007" t="e">
        <f>#REF!+'Standart Vario'!$J$62</f>
        <v>#REF!</v>
      </c>
      <c r="DA228" s="2007" t="e">
        <f>#REF!+'Standart Vario'!$K$62</f>
        <v>#REF!</v>
      </c>
      <c r="DB228" s="2007" t="e">
        <f>#REF!+'Standart Vario'!$L$62</f>
        <v>#REF!</v>
      </c>
      <c r="DC228" s="2007" t="e">
        <f>#REF!+'Standart Vario'!$M$62</f>
        <v>#REF!</v>
      </c>
      <c r="DD228" s="2007" t="e">
        <f>#REF!+'Standart Vario'!$N$62</f>
        <v>#REF!</v>
      </c>
      <c r="DE228" s="2007"/>
      <c r="DF228" s="2007"/>
      <c r="DG228" s="2007"/>
      <c r="DH228" s="2007"/>
      <c r="DI228" s="2007"/>
      <c r="DJ228" s="2007"/>
      <c r="DK228" s="2007"/>
      <c r="DL228" s="2007"/>
      <c r="DM228" s="2007"/>
      <c r="DN228" s="2007"/>
      <c r="DO228" s="2008"/>
      <c r="DP228" s="2007"/>
      <c r="DQ228" s="2007"/>
      <c r="FF228" s="1616"/>
    </row>
    <row r="229" spans="1:162" hidden="1" outlineLevel="2">
      <c r="A229" s="1626" t="s">
        <v>1358</v>
      </c>
      <c r="B229" s="1626" t="s">
        <v>2082</v>
      </c>
      <c r="C229" s="1626" t="s">
        <v>2091</v>
      </c>
      <c r="D229" s="1626"/>
      <c r="E229" s="2007"/>
      <c r="F229" s="2007"/>
      <c r="G229" s="2007"/>
      <c r="H229" s="2007"/>
      <c r="I229" s="2007"/>
      <c r="J229" s="2007"/>
      <c r="K229" s="2007"/>
      <c r="L229" s="2007"/>
      <c r="M229" s="2007"/>
      <c r="N229" s="2007"/>
      <c r="O229" s="2007"/>
      <c r="P229" s="2007"/>
      <c r="Q229" s="2007"/>
      <c r="R229" s="2007"/>
      <c r="S229" s="2007"/>
      <c r="T229" s="2007"/>
      <c r="U229" s="2007"/>
      <c r="V229" s="2007"/>
      <c r="W229" s="2007"/>
      <c r="X229" s="2007"/>
      <c r="Y229" s="2007"/>
      <c r="Z229" s="2007"/>
      <c r="AA229" s="2007"/>
      <c r="AB229" s="2007"/>
      <c r="AC229" s="2007"/>
      <c r="AD229" s="2007"/>
      <c r="AE229" s="2007"/>
      <c r="AF229" s="2007"/>
      <c r="AG229" s="2007"/>
      <c r="AH229" s="2007"/>
      <c r="AI229" s="2007"/>
      <c r="AJ229" s="2007"/>
      <c r="AK229" s="2007"/>
      <c r="AL229" s="2007"/>
      <c r="AM229" s="2007"/>
      <c r="AN229" s="2007"/>
      <c r="AO229" s="2007"/>
      <c r="AP229" s="2007"/>
      <c r="AQ229" s="2007"/>
      <c r="AR229" s="2007"/>
      <c r="AS229" s="2007"/>
      <c r="AT229" s="2007"/>
      <c r="AU229" s="2007"/>
      <c r="AV229" s="2007"/>
      <c r="AW229" s="2007"/>
      <c r="AX229" s="2007"/>
      <c r="AY229" s="2007"/>
      <c r="AZ229" s="2007"/>
      <c r="BA229" s="2007"/>
      <c r="BB229" s="2007"/>
      <c r="BC229" s="2007"/>
      <c r="BD229" s="2007"/>
      <c r="BE229" s="2007"/>
      <c r="BF229" s="2007"/>
      <c r="BG229" s="2007"/>
      <c r="BH229" s="2007"/>
      <c r="BI229" s="2007"/>
      <c r="BJ229" s="2007"/>
      <c r="BK229" s="2007"/>
      <c r="BL229" s="2007"/>
      <c r="BM229" s="2007"/>
      <c r="BN229" s="2007"/>
      <c r="BO229" s="2007"/>
      <c r="BP229" s="2007"/>
      <c r="BQ229" s="2007"/>
      <c r="BR229" s="2007"/>
      <c r="BS229" s="2007"/>
      <c r="BT229" s="2007"/>
      <c r="BU229" s="2007"/>
      <c r="BV229" s="2007"/>
      <c r="BW229" s="2007"/>
      <c r="BX229" s="2007"/>
      <c r="BY229" s="2007"/>
      <c r="BZ229" s="2007"/>
      <c r="CA229" s="2007"/>
      <c r="CB229" s="2007"/>
      <c r="CC229" s="2007"/>
      <c r="CD229" s="2007"/>
      <c r="CE229" s="2007"/>
      <c r="CF229" s="2007"/>
      <c r="CG229" s="2007"/>
      <c r="CH229" s="2007"/>
      <c r="CI229" s="2007"/>
      <c r="CJ229" s="2007"/>
      <c r="CK229" s="2007"/>
      <c r="CL229" s="2007"/>
      <c r="CM229" s="2007"/>
      <c r="CN229" s="2007"/>
      <c r="CO229" s="2007"/>
      <c r="CP229" s="2007"/>
      <c r="CQ229" s="2007"/>
      <c r="CR229" s="2007"/>
      <c r="CS229" s="2007"/>
      <c r="CT229" s="2007"/>
      <c r="CU229" s="2007"/>
      <c r="CV229" s="2007"/>
      <c r="CW229" s="2007" t="e">
        <f>#REF!+'Standart Vario'!$G$62</f>
        <v>#REF!</v>
      </c>
      <c r="CX229" s="2007" t="e">
        <f>#REF!+'Standart Vario'!$H$62</f>
        <v>#REF!</v>
      </c>
      <c r="CY229" s="2007" t="e">
        <f>#REF!+Standart!$K$36</f>
        <v>#REF!</v>
      </c>
      <c r="CZ229" s="2007" t="e">
        <f>#REF!+'Standart Vario'!$J$62</f>
        <v>#REF!</v>
      </c>
      <c r="DA229" s="2007" t="e">
        <f>#REF!+'Standart Vario'!$K$62</f>
        <v>#REF!</v>
      </c>
      <c r="DB229" s="2007" t="e">
        <f>#REF!+'Standart Vario'!$L$62</f>
        <v>#REF!</v>
      </c>
      <c r="DC229" s="2007" t="e">
        <f>#REF!+'Standart Vario'!$M$62</f>
        <v>#REF!</v>
      </c>
      <c r="DD229" s="2007" t="e">
        <f>#REF!+'Standart Vario'!$N$62</f>
        <v>#REF!</v>
      </c>
      <c r="DE229" s="2007"/>
      <c r="DF229" s="2007"/>
      <c r="DG229" s="2007"/>
      <c r="DH229" s="2007"/>
      <c r="DI229" s="2007"/>
      <c r="DJ229" s="2007"/>
      <c r="DK229" s="2007"/>
      <c r="DL229" s="2007"/>
      <c r="DM229" s="2007"/>
      <c r="DN229" s="2007"/>
      <c r="DO229" s="2008"/>
      <c r="DP229" s="2007"/>
      <c r="DQ229" s="2007"/>
      <c r="FF229" s="1616"/>
    </row>
    <row r="230" spans="1:162" hidden="1" outlineLevel="2">
      <c r="A230" s="1626" t="s">
        <v>1358</v>
      </c>
      <c r="B230" s="1626" t="s">
        <v>2083</v>
      </c>
      <c r="C230" s="1626" t="s">
        <v>2092</v>
      </c>
      <c r="D230" s="1626"/>
      <c r="E230" s="2007"/>
      <c r="F230" s="2007"/>
      <c r="G230" s="2007"/>
      <c r="H230" s="2007"/>
      <c r="I230" s="2007"/>
      <c r="J230" s="2007"/>
      <c r="K230" s="2007"/>
      <c r="L230" s="2007"/>
      <c r="M230" s="2007"/>
      <c r="N230" s="2007"/>
      <c r="O230" s="2007"/>
      <c r="P230" s="2007"/>
      <c r="Q230" s="2007"/>
      <c r="R230" s="2007"/>
      <c r="S230" s="2007"/>
      <c r="T230" s="2007"/>
      <c r="U230" s="2007"/>
      <c r="V230" s="2007"/>
      <c r="W230" s="2007"/>
      <c r="X230" s="2007"/>
      <c r="Y230" s="2007"/>
      <c r="Z230" s="2007"/>
      <c r="AA230" s="2007"/>
      <c r="AB230" s="2007"/>
      <c r="AC230" s="2007"/>
      <c r="AD230" s="2007"/>
      <c r="AE230" s="2007"/>
      <c r="AF230" s="2007"/>
      <c r="AG230" s="2007"/>
      <c r="AH230" s="2007"/>
      <c r="AI230" s="2007"/>
      <c r="AJ230" s="2007"/>
      <c r="AK230" s="2007"/>
      <c r="AL230" s="2007"/>
      <c r="AM230" s="2007"/>
      <c r="AN230" s="2007"/>
      <c r="AO230" s="2007"/>
      <c r="AP230" s="2007"/>
      <c r="AQ230" s="2007"/>
      <c r="AR230" s="2007"/>
      <c r="AS230" s="2007"/>
      <c r="AT230" s="2007"/>
      <c r="AU230" s="2007"/>
      <c r="AV230" s="2007"/>
      <c r="AW230" s="2007"/>
      <c r="AX230" s="2007"/>
      <c r="AY230" s="2007"/>
      <c r="AZ230" s="2007"/>
      <c r="BA230" s="2007"/>
      <c r="BB230" s="2007"/>
      <c r="BC230" s="2007"/>
      <c r="BD230" s="2007"/>
      <c r="BE230" s="2007"/>
      <c r="BF230" s="2007"/>
      <c r="BG230" s="2007"/>
      <c r="BH230" s="2007"/>
      <c r="BI230" s="2007"/>
      <c r="BJ230" s="2007"/>
      <c r="BK230" s="2007"/>
      <c r="BL230" s="2007"/>
      <c r="BM230" s="2007"/>
      <c r="BN230" s="2007"/>
      <c r="BO230" s="2007"/>
      <c r="BP230" s="2007"/>
      <c r="BQ230" s="2007"/>
      <c r="BR230" s="2007"/>
      <c r="BS230" s="2007"/>
      <c r="BT230" s="2007"/>
      <c r="BU230" s="2007"/>
      <c r="BV230" s="2007"/>
      <c r="BW230" s="2007"/>
      <c r="BX230" s="2007"/>
      <c r="BY230" s="2007"/>
      <c r="BZ230" s="2007"/>
      <c r="CA230" s="2007"/>
      <c r="CB230" s="2007"/>
      <c r="CC230" s="2007"/>
      <c r="CD230" s="2007"/>
      <c r="CE230" s="2007"/>
      <c r="CF230" s="2007"/>
      <c r="CG230" s="2007"/>
      <c r="CH230" s="2007"/>
      <c r="CI230" s="2007"/>
      <c r="CJ230" s="2007"/>
      <c r="CK230" s="2007"/>
      <c r="CL230" s="2007"/>
      <c r="CM230" s="2007"/>
      <c r="CN230" s="2007"/>
      <c r="CO230" s="2007"/>
      <c r="CP230" s="2007"/>
      <c r="CQ230" s="2007"/>
      <c r="CR230" s="2007"/>
      <c r="CS230" s="2007"/>
      <c r="CT230" s="2007"/>
      <c r="CU230" s="2007"/>
      <c r="CV230" s="2007"/>
      <c r="CW230" s="2007">
        <f>CW206+'Standart Vario'!$G$63</f>
        <v>0</v>
      </c>
      <c r="CX230" s="2007">
        <f>CX206+'Standart Vario'!$H$63</f>
        <v>0</v>
      </c>
      <c r="CY230" s="2007">
        <f>CY206+Standart!$K$37</f>
        <v>3000</v>
      </c>
      <c r="CZ230" s="2007">
        <f>CZ206+'Standart Vario'!$J$63</f>
        <v>0</v>
      </c>
      <c r="DA230" s="2007">
        <f>DA206+'Standart Vario'!$K$63</f>
        <v>0</v>
      </c>
      <c r="DB230" s="2007">
        <f>DB206+'Standart Vario'!$L$63</f>
        <v>0</v>
      </c>
      <c r="DC230" s="2007">
        <f>DC206+'Standart Vario'!$M$63</f>
        <v>2300</v>
      </c>
      <c r="DD230" s="2007">
        <f>DD206+'Standart Vario'!$N$63</f>
        <v>0</v>
      </c>
      <c r="DE230" s="2007"/>
      <c r="DF230" s="2007"/>
      <c r="DG230" s="2007"/>
      <c r="DH230" s="2007"/>
      <c r="DI230" s="2007"/>
      <c r="DJ230" s="2007"/>
      <c r="DK230" s="2007"/>
      <c r="DL230" s="2007"/>
      <c r="DM230" s="2007"/>
      <c r="DN230" s="2007"/>
      <c r="DO230" s="2008"/>
      <c r="DP230" s="2007"/>
      <c r="DQ230" s="2007"/>
      <c r="FF230" s="1616"/>
    </row>
    <row r="231" spans="1:162" hidden="1" outlineLevel="2">
      <c r="A231" s="1626" t="s">
        <v>1358</v>
      </c>
      <c r="B231" s="1626" t="s">
        <v>2083</v>
      </c>
      <c r="C231" s="1626" t="s">
        <v>2089</v>
      </c>
      <c r="D231" s="1626"/>
      <c r="E231" s="2007"/>
      <c r="F231" s="2007"/>
      <c r="G231" s="2007"/>
      <c r="H231" s="2007"/>
      <c r="I231" s="2007"/>
      <c r="J231" s="2007"/>
      <c r="K231" s="2007"/>
      <c r="L231" s="2007"/>
      <c r="M231" s="2007"/>
      <c r="N231" s="2007"/>
      <c r="O231" s="2007"/>
      <c r="P231" s="2007"/>
      <c r="Q231" s="2007"/>
      <c r="R231" s="2007"/>
      <c r="S231" s="2007"/>
      <c r="T231" s="2007"/>
      <c r="U231" s="2007"/>
      <c r="V231" s="2007"/>
      <c r="W231" s="2007"/>
      <c r="X231" s="2007"/>
      <c r="Y231" s="2007"/>
      <c r="Z231" s="2007"/>
      <c r="AA231" s="2007"/>
      <c r="AB231" s="2007"/>
      <c r="AC231" s="2007"/>
      <c r="AD231" s="2007"/>
      <c r="AE231" s="2007"/>
      <c r="AF231" s="2007"/>
      <c r="AG231" s="2007"/>
      <c r="AH231" s="2007"/>
      <c r="AI231" s="2007"/>
      <c r="AJ231" s="2007"/>
      <c r="AK231" s="2007"/>
      <c r="AL231" s="2007"/>
      <c r="AM231" s="2007"/>
      <c r="AN231" s="2007"/>
      <c r="AO231" s="2007"/>
      <c r="AP231" s="2007"/>
      <c r="AQ231" s="2007"/>
      <c r="AR231" s="2007"/>
      <c r="AS231" s="2007"/>
      <c r="AT231" s="2007"/>
      <c r="AU231" s="2007"/>
      <c r="AV231" s="2007"/>
      <c r="AW231" s="2007"/>
      <c r="AX231" s="2007"/>
      <c r="AY231" s="2007"/>
      <c r="AZ231" s="2007"/>
      <c r="BA231" s="2007"/>
      <c r="BB231" s="2007"/>
      <c r="BC231" s="2007"/>
      <c r="BD231" s="2007"/>
      <c r="BE231" s="2007"/>
      <c r="BF231" s="2007"/>
      <c r="BG231" s="2007"/>
      <c r="BH231" s="2007"/>
      <c r="BI231" s="2007"/>
      <c r="BJ231" s="2007"/>
      <c r="BK231" s="2007"/>
      <c r="BL231" s="2007"/>
      <c r="BM231" s="2007"/>
      <c r="BN231" s="2007"/>
      <c r="BO231" s="2007"/>
      <c r="BP231" s="2007"/>
      <c r="BQ231" s="2007"/>
      <c r="BR231" s="2007"/>
      <c r="BS231" s="2007"/>
      <c r="BT231" s="2007"/>
      <c r="BU231" s="2007"/>
      <c r="BV231" s="2007"/>
      <c r="BW231" s="2007"/>
      <c r="BX231" s="2007"/>
      <c r="BY231" s="2007"/>
      <c r="BZ231" s="2007"/>
      <c r="CA231" s="2007"/>
      <c r="CB231" s="2007"/>
      <c r="CC231" s="2007"/>
      <c r="CD231" s="2007"/>
      <c r="CE231" s="2007"/>
      <c r="CF231" s="2007"/>
      <c r="CG231" s="2007"/>
      <c r="CH231" s="2007"/>
      <c r="CI231" s="2007"/>
      <c r="CJ231" s="2007"/>
      <c r="CK231" s="2007"/>
      <c r="CL231" s="2007"/>
      <c r="CM231" s="2007"/>
      <c r="CN231" s="2007"/>
      <c r="CO231" s="2007"/>
      <c r="CP231" s="2007"/>
      <c r="CQ231" s="2007"/>
      <c r="CR231" s="2007"/>
      <c r="CS231" s="2007"/>
      <c r="CT231" s="2007"/>
      <c r="CU231" s="2007"/>
      <c r="CV231" s="2007"/>
      <c r="CW231" s="2007">
        <f>CW207+'Standart Vario'!$G$63</f>
        <v>0</v>
      </c>
      <c r="CX231" s="2007">
        <f>CX207+'Standart Vario'!$H$63</f>
        <v>0</v>
      </c>
      <c r="CY231" s="2007">
        <f>CY207+Standart!$K$37</f>
        <v>3000</v>
      </c>
      <c r="CZ231" s="2007">
        <f>CZ207+'Standart Vario'!$J$63</f>
        <v>0</v>
      </c>
      <c r="DA231" s="2007">
        <f>DA207+'Standart Vario'!$K$63</f>
        <v>0</v>
      </c>
      <c r="DB231" s="2007">
        <f>DB207+'Standart Vario'!$L$63</f>
        <v>0</v>
      </c>
      <c r="DC231" s="2007">
        <f>DC207+'Standart Vario'!$M$63</f>
        <v>2300</v>
      </c>
      <c r="DD231" s="2007">
        <f>DD207+'Standart Vario'!$N$63</f>
        <v>0</v>
      </c>
      <c r="DE231" s="2007"/>
      <c r="DF231" s="2007"/>
      <c r="DG231" s="2007"/>
      <c r="DH231" s="2007"/>
      <c r="DI231" s="2007"/>
      <c r="DJ231" s="2007"/>
      <c r="DK231" s="2007"/>
      <c r="DL231" s="2007"/>
      <c r="DM231" s="2007"/>
      <c r="DN231" s="2007"/>
      <c r="DO231" s="2008"/>
      <c r="DP231" s="2007"/>
      <c r="DQ231" s="2007"/>
      <c r="FF231" s="1616"/>
    </row>
    <row r="232" spans="1:162" hidden="1" outlineLevel="2">
      <c r="A232" s="1626" t="s">
        <v>1358</v>
      </c>
      <c r="B232" s="1626" t="s">
        <v>2083</v>
      </c>
      <c r="C232" s="1626" t="s">
        <v>2095</v>
      </c>
      <c r="D232" s="1626"/>
      <c r="E232" s="2007"/>
      <c r="F232" s="2007"/>
      <c r="G232" s="2007"/>
      <c r="H232" s="2007"/>
      <c r="I232" s="2007"/>
      <c r="J232" s="2007"/>
      <c r="K232" s="2007"/>
      <c r="L232" s="2007"/>
      <c r="M232" s="2007"/>
      <c r="N232" s="2007"/>
      <c r="O232" s="2007"/>
      <c r="P232" s="2007"/>
      <c r="Q232" s="2007"/>
      <c r="R232" s="2007"/>
      <c r="S232" s="2007"/>
      <c r="T232" s="2007"/>
      <c r="U232" s="2007"/>
      <c r="V232" s="2007"/>
      <c r="W232" s="2007"/>
      <c r="X232" s="2007"/>
      <c r="Y232" s="2007"/>
      <c r="Z232" s="2007"/>
      <c r="AA232" s="2007"/>
      <c r="AB232" s="2007"/>
      <c r="AC232" s="2007"/>
      <c r="AD232" s="2007"/>
      <c r="AE232" s="2007"/>
      <c r="AF232" s="2007"/>
      <c r="AG232" s="2007"/>
      <c r="AH232" s="2007"/>
      <c r="AI232" s="2007"/>
      <c r="AJ232" s="2007"/>
      <c r="AK232" s="2007"/>
      <c r="AL232" s="2007"/>
      <c r="AM232" s="2007"/>
      <c r="AN232" s="2007"/>
      <c r="AO232" s="2007"/>
      <c r="AP232" s="2007"/>
      <c r="AQ232" s="2007"/>
      <c r="AR232" s="2007"/>
      <c r="AS232" s="2007"/>
      <c r="AT232" s="2007"/>
      <c r="AU232" s="2007"/>
      <c r="AV232" s="2007"/>
      <c r="AW232" s="2007"/>
      <c r="AX232" s="2007"/>
      <c r="AY232" s="2007"/>
      <c r="AZ232" s="2007"/>
      <c r="BA232" s="2007"/>
      <c r="BB232" s="2007"/>
      <c r="BC232" s="2007"/>
      <c r="BD232" s="2007"/>
      <c r="BE232" s="2007"/>
      <c r="BF232" s="2007"/>
      <c r="BG232" s="2007"/>
      <c r="BH232" s="2007"/>
      <c r="BI232" s="2007"/>
      <c r="BJ232" s="2007"/>
      <c r="BK232" s="2007"/>
      <c r="BL232" s="2007"/>
      <c r="BM232" s="2007"/>
      <c r="BN232" s="2007"/>
      <c r="BO232" s="2007"/>
      <c r="BP232" s="2007"/>
      <c r="BQ232" s="2007"/>
      <c r="BR232" s="2007"/>
      <c r="BS232" s="2007"/>
      <c r="BT232" s="2007"/>
      <c r="BU232" s="2007"/>
      <c r="BV232" s="2007"/>
      <c r="BW232" s="2007"/>
      <c r="BX232" s="2007"/>
      <c r="BY232" s="2007"/>
      <c r="BZ232" s="2007"/>
      <c r="CA232" s="2007"/>
      <c r="CB232" s="2007"/>
      <c r="CC232" s="2007"/>
      <c r="CD232" s="2007"/>
      <c r="CE232" s="2007"/>
      <c r="CF232" s="2007"/>
      <c r="CG232" s="2007"/>
      <c r="CH232" s="2007"/>
      <c r="CI232" s="2007"/>
      <c r="CJ232" s="2007"/>
      <c r="CK232" s="2007"/>
      <c r="CL232" s="2007"/>
      <c r="CM232" s="2007"/>
      <c r="CN232" s="2007"/>
      <c r="CO232" s="2007"/>
      <c r="CP232" s="2007"/>
      <c r="CQ232" s="2007"/>
      <c r="CR232" s="2007"/>
      <c r="CS232" s="2007"/>
      <c r="CT232" s="2007"/>
      <c r="CU232" s="2007"/>
      <c r="CV232" s="2007"/>
      <c r="CW232" s="2007">
        <f>CW208+'Standart Vario'!$G$63</f>
        <v>0</v>
      </c>
      <c r="CX232" s="2007">
        <f>CX208+'Standart Vario'!$H$63</f>
        <v>0</v>
      </c>
      <c r="CY232" s="2007">
        <f>CY208+Standart!$K$37</f>
        <v>3000</v>
      </c>
      <c r="CZ232" s="2007">
        <f>CZ208+'Standart Vario'!$J$63</f>
        <v>0</v>
      </c>
      <c r="DA232" s="2007">
        <f>DA208+'Standart Vario'!$K$63</f>
        <v>0</v>
      </c>
      <c r="DB232" s="2007">
        <f>DB208+'Standart Vario'!$L$63</f>
        <v>0</v>
      </c>
      <c r="DC232" s="2007">
        <f>DC208+'Standart Vario'!$M$63</f>
        <v>2300</v>
      </c>
      <c r="DD232" s="2007">
        <f>DD208+'Standart Vario'!$N$63</f>
        <v>0</v>
      </c>
      <c r="DE232" s="2007"/>
      <c r="DF232" s="2007"/>
      <c r="DG232" s="2007"/>
      <c r="DH232" s="2007"/>
      <c r="DI232" s="2007"/>
      <c r="DJ232" s="2007"/>
      <c r="DK232" s="2007"/>
      <c r="DL232" s="2007"/>
      <c r="DM232" s="2007"/>
      <c r="DN232" s="2007"/>
      <c r="DO232" s="2008"/>
      <c r="DP232" s="2007"/>
      <c r="DQ232" s="2007"/>
      <c r="FF232" s="1616"/>
    </row>
    <row r="233" spans="1:162" hidden="1" outlineLevel="2">
      <c r="A233" s="1626" t="s">
        <v>1358</v>
      </c>
      <c r="B233" s="1626" t="s">
        <v>2083</v>
      </c>
      <c r="C233" s="1626" t="s">
        <v>2096</v>
      </c>
      <c r="D233" s="1626"/>
      <c r="E233" s="2007"/>
      <c r="F233" s="2007"/>
      <c r="G233" s="2007"/>
      <c r="H233" s="2007"/>
      <c r="I233" s="2007"/>
      <c r="J233" s="2007"/>
      <c r="K233" s="2007"/>
      <c r="L233" s="2007"/>
      <c r="M233" s="2007"/>
      <c r="N233" s="2007"/>
      <c r="O233" s="2007"/>
      <c r="P233" s="2007"/>
      <c r="Q233" s="2007"/>
      <c r="R233" s="2007"/>
      <c r="S233" s="2007"/>
      <c r="T233" s="2007"/>
      <c r="U233" s="2007"/>
      <c r="V233" s="2007"/>
      <c r="W233" s="2007"/>
      <c r="X233" s="2007"/>
      <c r="Y233" s="2007"/>
      <c r="Z233" s="2007"/>
      <c r="AA233" s="2007"/>
      <c r="AB233" s="2007"/>
      <c r="AC233" s="2007"/>
      <c r="AD233" s="2007"/>
      <c r="AE233" s="2007"/>
      <c r="AF233" s="2007"/>
      <c r="AG233" s="2007"/>
      <c r="AH233" s="2007"/>
      <c r="AI233" s="2007"/>
      <c r="AJ233" s="2007"/>
      <c r="AK233" s="2007"/>
      <c r="AL233" s="2007"/>
      <c r="AM233" s="2007"/>
      <c r="AN233" s="2007"/>
      <c r="AO233" s="2007"/>
      <c r="AP233" s="2007"/>
      <c r="AQ233" s="2007"/>
      <c r="AR233" s="2007"/>
      <c r="AS233" s="2007"/>
      <c r="AT233" s="2007"/>
      <c r="AU233" s="2007"/>
      <c r="AV233" s="2007"/>
      <c r="AW233" s="2007"/>
      <c r="AX233" s="2007"/>
      <c r="AY233" s="2007"/>
      <c r="AZ233" s="2007"/>
      <c r="BA233" s="2007"/>
      <c r="BB233" s="2007"/>
      <c r="BC233" s="2007"/>
      <c r="BD233" s="2007"/>
      <c r="BE233" s="2007"/>
      <c r="BF233" s="2007"/>
      <c r="BG233" s="2007"/>
      <c r="BH233" s="2007"/>
      <c r="BI233" s="2007"/>
      <c r="BJ233" s="2007"/>
      <c r="BK233" s="2007"/>
      <c r="BL233" s="2007"/>
      <c r="BM233" s="2007"/>
      <c r="BN233" s="2007"/>
      <c r="BO233" s="2007"/>
      <c r="BP233" s="2007"/>
      <c r="BQ233" s="2007"/>
      <c r="BR233" s="2007"/>
      <c r="BS233" s="2007"/>
      <c r="BT233" s="2007"/>
      <c r="BU233" s="2007"/>
      <c r="BV233" s="2007"/>
      <c r="BW233" s="2007"/>
      <c r="BX233" s="2007"/>
      <c r="BY233" s="2007"/>
      <c r="BZ233" s="2007"/>
      <c r="CA233" s="2007"/>
      <c r="CB233" s="2007"/>
      <c r="CC233" s="2007"/>
      <c r="CD233" s="2007"/>
      <c r="CE233" s="2007"/>
      <c r="CF233" s="2007"/>
      <c r="CG233" s="2007"/>
      <c r="CH233" s="2007"/>
      <c r="CI233" s="2007"/>
      <c r="CJ233" s="2007"/>
      <c r="CK233" s="2007"/>
      <c r="CL233" s="2007"/>
      <c r="CM233" s="2007"/>
      <c r="CN233" s="2007"/>
      <c r="CO233" s="2007"/>
      <c r="CP233" s="2007"/>
      <c r="CQ233" s="2007"/>
      <c r="CR233" s="2007"/>
      <c r="CS233" s="2007"/>
      <c r="CT233" s="2007"/>
      <c r="CU233" s="2007"/>
      <c r="CV233" s="2007"/>
      <c r="CW233" s="2007">
        <f>CW209+'Standart Vario'!$G$63</f>
        <v>0</v>
      </c>
      <c r="CX233" s="2007">
        <f>CX209+'Standart Vario'!$H$63</f>
        <v>0</v>
      </c>
      <c r="CY233" s="2007">
        <f>CY209+Standart!$K$37</f>
        <v>3500</v>
      </c>
      <c r="CZ233" s="2007">
        <f>CZ209+'Standart Vario'!$J$63</f>
        <v>0</v>
      </c>
      <c r="DA233" s="2007">
        <f>DA209+'Standart Vario'!$K$63</f>
        <v>500</v>
      </c>
      <c r="DB233" s="2007">
        <f>DB209+'Standart Vario'!$L$63</f>
        <v>0</v>
      </c>
      <c r="DC233" s="2007">
        <f>DC209+'Standart Vario'!$M$63</f>
        <v>3400</v>
      </c>
      <c r="DD233" s="2007">
        <f>DD209+'Standart Vario'!$N$63</f>
        <v>500</v>
      </c>
      <c r="DE233" s="2007"/>
      <c r="DF233" s="2007"/>
      <c r="DG233" s="2007"/>
      <c r="DH233" s="2007"/>
      <c r="DI233" s="2007"/>
      <c r="DJ233" s="2007"/>
      <c r="DK233" s="2007"/>
      <c r="DL233" s="2007"/>
      <c r="DM233" s="2007"/>
      <c r="DN233" s="2007"/>
      <c r="DO233" s="2008"/>
      <c r="DP233" s="2007"/>
      <c r="DQ233" s="2007"/>
      <c r="FF233" s="1616"/>
    </row>
    <row r="234" spans="1:162" hidden="1" outlineLevel="2">
      <c r="A234" s="1626" t="s">
        <v>1358</v>
      </c>
      <c r="B234" s="1626" t="s">
        <v>2083</v>
      </c>
      <c r="C234" s="1626" t="s">
        <v>2090</v>
      </c>
      <c r="D234" s="1626"/>
      <c r="E234" s="2007"/>
      <c r="F234" s="2007"/>
      <c r="G234" s="2007"/>
      <c r="H234" s="2007"/>
      <c r="I234" s="2007"/>
      <c r="J234" s="2007"/>
      <c r="K234" s="2007"/>
      <c r="L234" s="2007"/>
      <c r="M234" s="2007"/>
      <c r="N234" s="2007"/>
      <c r="O234" s="2007"/>
      <c r="P234" s="2007"/>
      <c r="Q234" s="2007"/>
      <c r="R234" s="2007"/>
      <c r="S234" s="2007"/>
      <c r="T234" s="2007"/>
      <c r="U234" s="2007"/>
      <c r="V234" s="2007"/>
      <c r="W234" s="2007"/>
      <c r="X234" s="2007"/>
      <c r="Y234" s="2007"/>
      <c r="Z234" s="2007"/>
      <c r="AA234" s="2007"/>
      <c r="AB234" s="2007"/>
      <c r="AC234" s="2007"/>
      <c r="AD234" s="2007"/>
      <c r="AE234" s="2007"/>
      <c r="AF234" s="2007"/>
      <c r="AG234" s="2007"/>
      <c r="AH234" s="2007"/>
      <c r="AI234" s="2007"/>
      <c r="AJ234" s="2007"/>
      <c r="AK234" s="2007"/>
      <c r="AL234" s="2007"/>
      <c r="AM234" s="2007"/>
      <c r="AN234" s="2007"/>
      <c r="AO234" s="2007"/>
      <c r="AP234" s="2007"/>
      <c r="AQ234" s="2007"/>
      <c r="AR234" s="2007"/>
      <c r="AS234" s="2007"/>
      <c r="AT234" s="2007"/>
      <c r="AU234" s="2007"/>
      <c r="AV234" s="2007"/>
      <c r="AW234" s="2007"/>
      <c r="AX234" s="2007"/>
      <c r="AY234" s="2007"/>
      <c r="AZ234" s="2007"/>
      <c r="BA234" s="2007"/>
      <c r="BB234" s="2007"/>
      <c r="BC234" s="2007"/>
      <c r="BD234" s="2007"/>
      <c r="BE234" s="2007"/>
      <c r="BF234" s="2007"/>
      <c r="BG234" s="2007"/>
      <c r="BH234" s="2007"/>
      <c r="BI234" s="2007"/>
      <c r="BJ234" s="2007"/>
      <c r="BK234" s="2007"/>
      <c r="BL234" s="2007"/>
      <c r="BM234" s="2007"/>
      <c r="BN234" s="2007"/>
      <c r="BO234" s="2007"/>
      <c r="BP234" s="2007"/>
      <c r="BQ234" s="2007"/>
      <c r="BR234" s="2007"/>
      <c r="BS234" s="2007"/>
      <c r="BT234" s="2007"/>
      <c r="BU234" s="2007"/>
      <c r="BV234" s="2007"/>
      <c r="BW234" s="2007"/>
      <c r="BX234" s="2007"/>
      <c r="BY234" s="2007"/>
      <c r="BZ234" s="2007"/>
      <c r="CA234" s="2007"/>
      <c r="CB234" s="2007"/>
      <c r="CC234" s="2007"/>
      <c r="CD234" s="2007"/>
      <c r="CE234" s="2007"/>
      <c r="CF234" s="2007"/>
      <c r="CG234" s="2007"/>
      <c r="CH234" s="2007"/>
      <c r="CI234" s="2007"/>
      <c r="CJ234" s="2007"/>
      <c r="CK234" s="2007"/>
      <c r="CL234" s="2007"/>
      <c r="CM234" s="2007"/>
      <c r="CN234" s="2007"/>
      <c r="CO234" s="2007"/>
      <c r="CP234" s="2007"/>
      <c r="CQ234" s="2007"/>
      <c r="CR234" s="2007"/>
      <c r="CS234" s="2007"/>
      <c r="CT234" s="2007"/>
      <c r="CU234" s="2007"/>
      <c r="CV234" s="2007"/>
      <c r="CW234" s="2007">
        <f>CW210+'Standart Vario'!$G$63</f>
        <v>0</v>
      </c>
      <c r="CX234" s="2007">
        <f>CX210+'Standart Vario'!$H$63</f>
        <v>0</v>
      </c>
      <c r="CY234" s="2007">
        <f>CY210+Standart!$K$37</f>
        <v>3500</v>
      </c>
      <c r="CZ234" s="2007">
        <f>CZ210+'Standart Vario'!$J$63</f>
        <v>0</v>
      </c>
      <c r="DA234" s="2007">
        <f>DA210+'Standart Vario'!$K$63</f>
        <v>700</v>
      </c>
      <c r="DB234" s="2007">
        <f>DB210+'Standart Vario'!$L$63</f>
        <v>0</v>
      </c>
      <c r="DC234" s="2007">
        <f>DC210+'Standart Vario'!$M$63</f>
        <v>4000</v>
      </c>
      <c r="DD234" s="2007">
        <f>DD210+'Standart Vario'!$N$63</f>
        <v>700</v>
      </c>
      <c r="DE234" s="2007"/>
      <c r="DF234" s="2007"/>
      <c r="DG234" s="2007"/>
      <c r="DH234" s="2007"/>
      <c r="DI234" s="2007"/>
      <c r="DJ234" s="2007"/>
      <c r="DK234" s="2007"/>
      <c r="DL234" s="2007"/>
      <c r="DM234" s="2007"/>
      <c r="DN234" s="2007"/>
      <c r="DO234" s="2008"/>
      <c r="DP234" s="2007"/>
      <c r="DQ234" s="2007"/>
      <c r="FF234" s="1616"/>
    </row>
    <row r="235" spans="1:162" hidden="1" outlineLevel="2">
      <c r="A235" s="1626" t="s">
        <v>1358</v>
      </c>
      <c r="B235" s="1626" t="s">
        <v>2083</v>
      </c>
      <c r="C235" s="1626" t="s">
        <v>2091</v>
      </c>
      <c r="D235" s="1626"/>
      <c r="E235" s="2007"/>
      <c r="F235" s="2007"/>
      <c r="G235" s="2007"/>
      <c r="H235" s="2007"/>
      <c r="I235" s="2007"/>
      <c r="J235" s="2007"/>
      <c r="K235" s="2007"/>
      <c r="L235" s="2007"/>
      <c r="M235" s="2007"/>
      <c r="N235" s="2007"/>
      <c r="O235" s="2007"/>
      <c r="P235" s="2007"/>
      <c r="Q235" s="2007"/>
      <c r="R235" s="2007"/>
      <c r="S235" s="2007"/>
      <c r="T235" s="2007"/>
      <c r="U235" s="2007"/>
      <c r="V235" s="2007"/>
      <c r="W235" s="2007"/>
      <c r="X235" s="2007"/>
      <c r="Y235" s="2007"/>
      <c r="Z235" s="2007"/>
      <c r="AA235" s="2007"/>
      <c r="AB235" s="2007"/>
      <c r="AC235" s="2007"/>
      <c r="AD235" s="2007"/>
      <c r="AE235" s="2007"/>
      <c r="AF235" s="2007"/>
      <c r="AG235" s="2007"/>
      <c r="AH235" s="2007"/>
      <c r="AI235" s="2007"/>
      <c r="AJ235" s="2007"/>
      <c r="AK235" s="2007"/>
      <c r="AL235" s="2007"/>
      <c r="AM235" s="2007"/>
      <c r="AN235" s="2007"/>
      <c r="AO235" s="2007"/>
      <c r="AP235" s="2007"/>
      <c r="AQ235" s="2007"/>
      <c r="AR235" s="2007"/>
      <c r="AS235" s="2007"/>
      <c r="AT235" s="2007"/>
      <c r="AU235" s="2007"/>
      <c r="AV235" s="2007"/>
      <c r="AW235" s="2007"/>
      <c r="AX235" s="2007"/>
      <c r="AY235" s="2007"/>
      <c r="AZ235" s="2007"/>
      <c r="BA235" s="2007"/>
      <c r="BB235" s="2007"/>
      <c r="BC235" s="2007"/>
      <c r="BD235" s="2007"/>
      <c r="BE235" s="2007"/>
      <c r="BF235" s="2007"/>
      <c r="BG235" s="2007"/>
      <c r="BH235" s="2007"/>
      <c r="BI235" s="2007"/>
      <c r="BJ235" s="2007"/>
      <c r="BK235" s="2007"/>
      <c r="BL235" s="2007"/>
      <c r="BM235" s="2007"/>
      <c r="BN235" s="2007"/>
      <c r="BO235" s="2007"/>
      <c r="BP235" s="2007"/>
      <c r="BQ235" s="2007"/>
      <c r="BR235" s="2007"/>
      <c r="BS235" s="2007"/>
      <c r="BT235" s="2007"/>
      <c r="BU235" s="2007"/>
      <c r="BV235" s="2007"/>
      <c r="BW235" s="2007"/>
      <c r="BX235" s="2007"/>
      <c r="BY235" s="2007"/>
      <c r="BZ235" s="2007"/>
      <c r="CA235" s="2007"/>
      <c r="CB235" s="2007"/>
      <c r="CC235" s="2007"/>
      <c r="CD235" s="2007"/>
      <c r="CE235" s="2007"/>
      <c r="CF235" s="2007"/>
      <c r="CG235" s="2007"/>
      <c r="CH235" s="2007"/>
      <c r="CI235" s="2007"/>
      <c r="CJ235" s="2007"/>
      <c r="CK235" s="2007"/>
      <c r="CL235" s="2007"/>
      <c r="CM235" s="2007"/>
      <c r="CN235" s="2007"/>
      <c r="CO235" s="2007"/>
      <c r="CP235" s="2007"/>
      <c r="CQ235" s="2007"/>
      <c r="CR235" s="2007"/>
      <c r="CS235" s="2007"/>
      <c r="CT235" s="2007"/>
      <c r="CU235" s="2007"/>
      <c r="CV235" s="2007"/>
      <c r="CW235" s="2007">
        <f>CW211+'Standart Vario'!$G$63</f>
        <v>0</v>
      </c>
      <c r="CX235" s="2007">
        <f>CX211+'Standart Vario'!$H$63</f>
        <v>0</v>
      </c>
      <c r="CY235" s="2007">
        <f>CY211+Standart!$K$37</f>
        <v>3500</v>
      </c>
      <c r="CZ235" s="2007">
        <f>CZ211+'Standart Vario'!$J$63</f>
        <v>0</v>
      </c>
      <c r="DA235" s="2007">
        <f>DA211+'Standart Vario'!$K$63</f>
        <v>700</v>
      </c>
      <c r="DB235" s="2007">
        <f>DB211+'Standart Vario'!$L$63</f>
        <v>0</v>
      </c>
      <c r="DC235" s="2007">
        <f>DC211+'Standart Vario'!$M$63</f>
        <v>4000</v>
      </c>
      <c r="DD235" s="2007">
        <f>DD211+'Standart Vario'!$N$63</f>
        <v>700</v>
      </c>
      <c r="DE235" s="2007"/>
      <c r="DF235" s="2007"/>
      <c r="DG235" s="2007"/>
      <c r="DH235" s="2007"/>
      <c r="DI235" s="2007"/>
      <c r="DJ235" s="2007"/>
      <c r="DK235" s="2007"/>
      <c r="DL235" s="2007"/>
      <c r="DM235" s="2007"/>
      <c r="DN235" s="2007"/>
      <c r="DO235" s="2008"/>
      <c r="DP235" s="2007"/>
      <c r="DQ235" s="2007"/>
      <c r="FF235" s="1616"/>
    </row>
    <row r="236" spans="1:162" hidden="1" outlineLevel="2">
      <c r="A236" s="1626" t="s">
        <v>1358</v>
      </c>
      <c r="B236" s="1626" t="s">
        <v>2084</v>
      </c>
      <c r="C236" s="1626" t="s">
        <v>2092</v>
      </c>
      <c r="D236" s="1626"/>
      <c r="E236" s="2007"/>
      <c r="F236" s="2007"/>
      <c r="G236" s="2007"/>
      <c r="H236" s="2007"/>
      <c r="I236" s="2007"/>
      <c r="J236" s="2007"/>
      <c r="K236" s="2007"/>
      <c r="L236" s="2007"/>
      <c r="M236" s="2007"/>
      <c r="N236" s="2007"/>
      <c r="O236" s="2007"/>
      <c r="P236" s="2007"/>
      <c r="Q236" s="2007"/>
      <c r="R236" s="2007"/>
      <c r="S236" s="2007"/>
      <c r="T236" s="2007"/>
      <c r="U236" s="2007"/>
      <c r="V236" s="2007"/>
      <c r="W236" s="2007"/>
      <c r="X236" s="2007"/>
      <c r="Y236" s="2007"/>
      <c r="Z236" s="2007"/>
      <c r="AA236" s="2007"/>
      <c r="AB236" s="2007"/>
      <c r="AC236" s="2007"/>
      <c r="AD236" s="2007"/>
      <c r="AE236" s="2007"/>
      <c r="AF236" s="2007"/>
      <c r="AG236" s="2007"/>
      <c r="AH236" s="2007"/>
      <c r="AI236" s="2007"/>
      <c r="AJ236" s="2007"/>
      <c r="AK236" s="2007"/>
      <c r="AL236" s="2007"/>
      <c r="AM236" s="2007"/>
      <c r="AN236" s="2007"/>
      <c r="AO236" s="2007"/>
      <c r="AP236" s="2007"/>
      <c r="AQ236" s="2007"/>
      <c r="AR236" s="2007"/>
      <c r="AS236" s="2007"/>
      <c r="AT236" s="2007"/>
      <c r="AU236" s="2007"/>
      <c r="AV236" s="2007"/>
      <c r="AW236" s="2007"/>
      <c r="AX236" s="2007"/>
      <c r="AY236" s="2007"/>
      <c r="AZ236" s="2007"/>
      <c r="BA236" s="2007"/>
      <c r="BB236" s="2007"/>
      <c r="BC236" s="2007"/>
      <c r="BD236" s="2007"/>
      <c r="BE236" s="2007"/>
      <c r="BF236" s="2007"/>
      <c r="BG236" s="2007"/>
      <c r="BH236" s="2007"/>
      <c r="BI236" s="2007"/>
      <c r="BJ236" s="2007"/>
      <c r="BK236" s="2007"/>
      <c r="BL236" s="2007"/>
      <c r="BM236" s="2007"/>
      <c r="BN236" s="2007"/>
      <c r="BO236" s="2007"/>
      <c r="BP236" s="2007"/>
      <c r="BQ236" s="2007"/>
      <c r="BR236" s="2007"/>
      <c r="BS236" s="2007"/>
      <c r="BT236" s="2007"/>
      <c r="BU236" s="2007"/>
      <c r="BV236" s="2007"/>
      <c r="BW236" s="2007"/>
      <c r="BX236" s="2007"/>
      <c r="BY236" s="2007"/>
      <c r="BZ236" s="2007"/>
      <c r="CA236" s="2007"/>
      <c r="CB236" s="2007"/>
      <c r="CC236" s="2007"/>
      <c r="CD236" s="2007"/>
      <c r="CE236" s="2007"/>
      <c r="CF236" s="2007"/>
      <c r="CG236" s="2007"/>
      <c r="CH236" s="2007"/>
      <c r="CI236" s="2007"/>
      <c r="CJ236" s="2007"/>
      <c r="CK236" s="2007" t="e">
        <f>Standart!#REF!</f>
        <v>#REF!</v>
      </c>
      <c r="CL236" s="2007" t="str">
        <f>Standart!G35</f>
        <v xml:space="preserve"> -</v>
      </c>
      <c r="CM236" s="2007">
        <f>Standart!H35</f>
        <v>2000</v>
      </c>
      <c r="CN236" s="2007" t="e">
        <f>Standart!#REF!</f>
        <v>#REF!</v>
      </c>
      <c r="CO236" s="2007" t="e">
        <f>Standart!#REF!</f>
        <v>#REF!</v>
      </c>
      <c r="CP236" s="2007">
        <f>Standart!I35</f>
        <v>0</v>
      </c>
      <c r="CQ236" s="2007">
        <f>Standart!J35</f>
        <v>0</v>
      </c>
      <c r="CR236" s="2007">
        <f>Standart!K35</f>
        <v>0</v>
      </c>
      <c r="CS236" s="2007"/>
      <c r="CT236" s="2007"/>
      <c r="CU236" s="2007"/>
      <c r="CV236" s="2007"/>
      <c r="CW236" s="2007"/>
      <c r="CX236" s="2007"/>
      <c r="CY236" s="2007"/>
      <c r="CZ236" s="2007"/>
      <c r="DA236" s="2007"/>
      <c r="DB236" s="2007"/>
      <c r="DC236" s="2007"/>
      <c r="DD236" s="2007"/>
      <c r="DE236" s="2007"/>
      <c r="DF236" s="2007"/>
      <c r="DG236" s="2007"/>
      <c r="DH236" s="2007"/>
      <c r="DI236" s="2007"/>
      <c r="DJ236" s="2007"/>
      <c r="DK236" s="2007"/>
      <c r="DL236" s="2007"/>
      <c r="DM236" s="2007"/>
      <c r="DN236" s="2007"/>
      <c r="DO236" s="2008"/>
      <c r="DP236" s="2007"/>
      <c r="DQ236" s="2007"/>
      <c r="FF236" s="1616"/>
    </row>
    <row r="237" spans="1:162" hidden="1" outlineLevel="2">
      <c r="A237" s="1626" t="s">
        <v>1358</v>
      </c>
      <c r="B237" s="1626" t="s">
        <v>2084</v>
      </c>
      <c r="C237" s="1626" t="s">
        <v>2089</v>
      </c>
      <c r="D237" s="1626"/>
      <c r="E237" s="2007"/>
      <c r="F237" s="2007"/>
      <c r="G237" s="2007"/>
      <c r="H237" s="2007"/>
      <c r="I237" s="2007"/>
      <c r="J237" s="2007"/>
      <c r="K237" s="2007"/>
      <c r="L237" s="2007"/>
      <c r="M237" s="2007"/>
      <c r="N237" s="2007"/>
      <c r="O237" s="2007"/>
      <c r="P237" s="2007"/>
      <c r="Q237" s="2007"/>
      <c r="R237" s="2007"/>
      <c r="S237" s="2007"/>
      <c r="T237" s="2007"/>
      <c r="U237" s="2007"/>
      <c r="V237" s="2007"/>
      <c r="W237" s="2007"/>
      <c r="X237" s="2007"/>
      <c r="Y237" s="2007"/>
      <c r="Z237" s="2007"/>
      <c r="AA237" s="2007"/>
      <c r="AB237" s="2007"/>
      <c r="AC237" s="2007"/>
      <c r="AD237" s="2007"/>
      <c r="AE237" s="2007"/>
      <c r="AF237" s="2007"/>
      <c r="AG237" s="2007"/>
      <c r="AH237" s="2007"/>
      <c r="AI237" s="2007"/>
      <c r="AJ237" s="2007"/>
      <c r="AK237" s="2007"/>
      <c r="AL237" s="2007"/>
      <c r="AM237" s="2007"/>
      <c r="AN237" s="2007"/>
      <c r="AO237" s="2007"/>
      <c r="AP237" s="2007"/>
      <c r="AQ237" s="2007"/>
      <c r="AR237" s="2007"/>
      <c r="AS237" s="2007"/>
      <c r="AT237" s="2007"/>
      <c r="AU237" s="2007"/>
      <c r="AV237" s="2007"/>
      <c r="AW237" s="2007"/>
      <c r="AX237" s="2007"/>
      <c r="AY237" s="2007"/>
      <c r="AZ237" s="2007"/>
      <c r="BA237" s="2007"/>
      <c r="BB237" s="2007"/>
      <c r="BC237" s="2007"/>
      <c r="BD237" s="2007"/>
      <c r="BE237" s="2007"/>
      <c r="BF237" s="2007"/>
      <c r="BG237" s="2007"/>
      <c r="BH237" s="2007"/>
      <c r="BI237" s="2007"/>
      <c r="BJ237" s="2007"/>
      <c r="BK237" s="2007"/>
      <c r="BL237" s="2007"/>
      <c r="BM237" s="2007"/>
      <c r="BN237" s="2007"/>
      <c r="BO237" s="2007"/>
      <c r="BP237" s="2007"/>
      <c r="BQ237" s="2007"/>
      <c r="BR237" s="2007"/>
      <c r="BS237" s="2007"/>
      <c r="BT237" s="2007"/>
      <c r="BU237" s="2007"/>
      <c r="BV237" s="2007"/>
      <c r="BW237" s="2007"/>
      <c r="BX237" s="2007"/>
      <c r="BY237" s="2007"/>
      <c r="BZ237" s="2007"/>
      <c r="CA237" s="2007"/>
      <c r="CB237" s="2007"/>
      <c r="CC237" s="2007"/>
      <c r="CD237" s="2007"/>
      <c r="CE237" s="2007"/>
      <c r="CF237" s="2007"/>
      <c r="CG237" s="2007"/>
      <c r="CH237" s="2007"/>
      <c r="CI237" s="2007"/>
      <c r="CJ237" s="2007"/>
      <c r="CK237" s="2007" t="e">
        <f>CK236</f>
        <v>#REF!</v>
      </c>
      <c r="CL237" s="2007" t="str">
        <f t="shared" ref="CL237:CR238" si="183">CL236</f>
        <v xml:space="preserve"> -</v>
      </c>
      <c r="CM237" s="2007">
        <f t="shared" si="183"/>
        <v>2000</v>
      </c>
      <c r="CN237" s="2007" t="e">
        <f t="shared" si="183"/>
        <v>#REF!</v>
      </c>
      <c r="CO237" s="2007" t="e">
        <f t="shared" si="183"/>
        <v>#REF!</v>
      </c>
      <c r="CP237" s="2007">
        <f t="shared" si="183"/>
        <v>0</v>
      </c>
      <c r="CQ237" s="2007">
        <f t="shared" si="183"/>
        <v>0</v>
      </c>
      <c r="CR237" s="2007">
        <f t="shared" si="183"/>
        <v>0</v>
      </c>
      <c r="CS237" s="2007"/>
      <c r="CT237" s="2007"/>
      <c r="CU237" s="2007"/>
      <c r="CV237" s="2007"/>
      <c r="CW237" s="2007"/>
      <c r="CX237" s="2007"/>
      <c r="CY237" s="2007"/>
      <c r="CZ237" s="2007"/>
      <c r="DA237" s="2007"/>
      <c r="DB237" s="2007"/>
      <c r="DC237" s="2007"/>
      <c r="DD237" s="2007"/>
      <c r="DE237" s="2007"/>
      <c r="DF237" s="2007"/>
      <c r="DG237" s="2007"/>
      <c r="DH237" s="2007"/>
      <c r="DI237" s="2007"/>
      <c r="DJ237" s="2007"/>
      <c r="DK237" s="2007"/>
      <c r="DL237" s="2007"/>
      <c r="DM237" s="2007"/>
      <c r="DN237" s="2007">
        <v>3000</v>
      </c>
      <c r="DO237" s="2008">
        <v>3000</v>
      </c>
      <c r="DP237" s="2007"/>
      <c r="DQ237" s="2007"/>
      <c r="FF237" s="1616"/>
    </row>
    <row r="238" spans="1:162" hidden="1" outlineLevel="2">
      <c r="A238" s="1626" t="s">
        <v>1358</v>
      </c>
      <c r="B238" s="1626" t="s">
        <v>2084</v>
      </c>
      <c r="C238" s="1626" t="s">
        <v>2095</v>
      </c>
      <c r="D238" s="1626"/>
      <c r="E238" s="2007"/>
      <c r="F238" s="2007"/>
      <c r="G238" s="2007"/>
      <c r="H238" s="2007"/>
      <c r="I238" s="2007"/>
      <c r="J238" s="2007"/>
      <c r="K238" s="2007"/>
      <c r="L238" s="2007"/>
      <c r="M238" s="2007"/>
      <c r="N238" s="2007"/>
      <c r="O238" s="2007"/>
      <c r="P238" s="2007"/>
      <c r="Q238" s="2007"/>
      <c r="R238" s="2007"/>
      <c r="S238" s="2007"/>
      <c r="T238" s="2007"/>
      <c r="U238" s="2007"/>
      <c r="V238" s="2007"/>
      <c r="W238" s="2007"/>
      <c r="X238" s="2007"/>
      <c r="Y238" s="2007"/>
      <c r="Z238" s="2007"/>
      <c r="AA238" s="2007"/>
      <c r="AB238" s="2007"/>
      <c r="AC238" s="2007"/>
      <c r="AD238" s="2007"/>
      <c r="AE238" s="2007"/>
      <c r="AF238" s="2007"/>
      <c r="AG238" s="2007"/>
      <c r="AH238" s="2007"/>
      <c r="AI238" s="2007"/>
      <c r="AJ238" s="2007"/>
      <c r="AK238" s="2007"/>
      <c r="AL238" s="2007"/>
      <c r="AM238" s="2007"/>
      <c r="AN238" s="2007"/>
      <c r="AO238" s="2007"/>
      <c r="AP238" s="2007"/>
      <c r="AQ238" s="2007"/>
      <c r="AR238" s="2007"/>
      <c r="AS238" s="2007"/>
      <c r="AT238" s="2007"/>
      <c r="AU238" s="2007"/>
      <c r="AV238" s="2007"/>
      <c r="AW238" s="2007"/>
      <c r="AX238" s="2007"/>
      <c r="AY238" s="2007"/>
      <c r="AZ238" s="2007"/>
      <c r="BA238" s="2007"/>
      <c r="BB238" s="2007"/>
      <c r="BC238" s="2007"/>
      <c r="BD238" s="2007"/>
      <c r="BE238" s="2007"/>
      <c r="BF238" s="2007"/>
      <c r="BG238" s="2007"/>
      <c r="BH238" s="2007"/>
      <c r="BI238" s="2007"/>
      <c r="BJ238" s="2007"/>
      <c r="BK238" s="2007"/>
      <c r="BL238" s="2007"/>
      <c r="BM238" s="2007"/>
      <c r="BN238" s="2007"/>
      <c r="BO238" s="2007"/>
      <c r="BP238" s="2007"/>
      <c r="BQ238" s="2007"/>
      <c r="BR238" s="2007"/>
      <c r="BS238" s="2007"/>
      <c r="BT238" s="2007"/>
      <c r="BU238" s="2007"/>
      <c r="BV238" s="2007"/>
      <c r="BW238" s="2007"/>
      <c r="BX238" s="2007"/>
      <c r="BY238" s="2007"/>
      <c r="BZ238" s="2007"/>
      <c r="CA238" s="2007"/>
      <c r="CB238" s="2007"/>
      <c r="CC238" s="2007"/>
      <c r="CD238" s="2007"/>
      <c r="CE238" s="2007"/>
      <c r="CF238" s="2007"/>
      <c r="CG238" s="2007"/>
      <c r="CH238" s="2007"/>
      <c r="CI238" s="2007"/>
      <c r="CJ238" s="2007"/>
      <c r="CK238" s="2007" t="e">
        <f>CK237</f>
        <v>#REF!</v>
      </c>
      <c r="CL238" s="2007" t="str">
        <f t="shared" si="183"/>
        <v xml:space="preserve"> -</v>
      </c>
      <c r="CM238" s="2007">
        <f t="shared" si="183"/>
        <v>2000</v>
      </c>
      <c r="CN238" s="2007" t="e">
        <f t="shared" si="183"/>
        <v>#REF!</v>
      </c>
      <c r="CO238" s="2007" t="e">
        <f t="shared" si="183"/>
        <v>#REF!</v>
      </c>
      <c r="CP238" s="2007">
        <f t="shared" si="183"/>
        <v>0</v>
      </c>
      <c r="CQ238" s="2007">
        <f t="shared" si="183"/>
        <v>0</v>
      </c>
      <c r="CR238" s="2007">
        <f t="shared" si="183"/>
        <v>0</v>
      </c>
      <c r="CS238" s="2007"/>
      <c r="CT238" s="2007"/>
      <c r="CU238" s="2007"/>
      <c r="CV238" s="2007"/>
      <c r="CW238" s="2007"/>
      <c r="CX238" s="2007"/>
      <c r="CY238" s="2007"/>
      <c r="CZ238" s="2007"/>
      <c r="DA238" s="2007"/>
      <c r="DB238" s="2007"/>
      <c r="DC238" s="2007"/>
      <c r="DD238" s="2007"/>
      <c r="DE238" s="2007"/>
      <c r="DF238" s="2007"/>
      <c r="DG238" s="2007"/>
      <c r="DH238" s="2007"/>
      <c r="DI238" s="2007"/>
      <c r="DJ238" s="2007"/>
      <c r="DK238" s="2007"/>
      <c r="DL238" s="2007"/>
      <c r="DM238" s="2007"/>
      <c r="DN238" s="2007">
        <v>0</v>
      </c>
      <c r="DO238" s="2008">
        <v>0</v>
      </c>
      <c r="DP238" s="2007"/>
      <c r="DQ238" s="2007"/>
      <c r="FF238" s="1616"/>
    </row>
    <row r="239" spans="1:162" hidden="1" outlineLevel="2">
      <c r="A239" s="1626" t="s">
        <v>1358</v>
      </c>
      <c r="B239" s="1626" t="s">
        <v>2084</v>
      </c>
      <c r="C239" s="1626" t="s">
        <v>2096</v>
      </c>
      <c r="D239" s="1626"/>
      <c r="E239" s="2007"/>
      <c r="F239" s="2007"/>
      <c r="G239" s="2007"/>
      <c r="H239" s="2007"/>
      <c r="I239" s="2007"/>
      <c r="J239" s="2007"/>
      <c r="K239" s="2007"/>
      <c r="L239" s="2007"/>
      <c r="M239" s="2007"/>
      <c r="N239" s="2007"/>
      <c r="O239" s="2007"/>
      <c r="P239" s="2007"/>
      <c r="Q239" s="2007"/>
      <c r="R239" s="2007"/>
      <c r="S239" s="2007"/>
      <c r="T239" s="2007"/>
      <c r="U239" s="2007"/>
      <c r="V239" s="2007"/>
      <c r="W239" s="2007"/>
      <c r="X239" s="2007"/>
      <c r="Y239" s="2007"/>
      <c r="Z239" s="2007"/>
      <c r="AA239" s="2007"/>
      <c r="AB239" s="2007"/>
      <c r="AC239" s="2007"/>
      <c r="AD239" s="2007"/>
      <c r="AE239" s="2007"/>
      <c r="AF239" s="2007"/>
      <c r="AG239" s="2007"/>
      <c r="AH239" s="2007"/>
      <c r="AI239" s="2007"/>
      <c r="AJ239" s="2007"/>
      <c r="AK239" s="2007"/>
      <c r="AL239" s="2007"/>
      <c r="AM239" s="2007"/>
      <c r="AN239" s="2007"/>
      <c r="AO239" s="2007"/>
      <c r="AP239" s="2007"/>
      <c r="AQ239" s="2007"/>
      <c r="AR239" s="2007"/>
      <c r="AS239" s="2007"/>
      <c r="AT239" s="2007"/>
      <c r="AU239" s="2007"/>
      <c r="AV239" s="2007"/>
      <c r="AW239" s="2007"/>
      <c r="AX239" s="2007"/>
      <c r="AY239" s="2007"/>
      <c r="AZ239" s="2007"/>
      <c r="BA239" s="2007"/>
      <c r="BB239" s="2007"/>
      <c r="BC239" s="2007"/>
      <c r="BD239" s="2007"/>
      <c r="BE239" s="2007"/>
      <c r="BF239" s="2007"/>
      <c r="BG239" s="2007"/>
      <c r="BH239" s="2007"/>
      <c r="BI239" s="2007"/>
      <c r="BJ239" s="2007"/>
      <c r="BK239" s="2007"/>
      <c r="BL239" s="2007"/>
      <c r="BM239" s="2007"/>
      <c r="BN239" s="2007"/>
      <c r="BO239" s="2007"/>
      <c r="BP239" s="2007"/>
      <c r="BQ239" s="2007"/>
      <c r="BR239" s="2007"/>
      <c r="BS239" s="2007"/>
      <c r="BT239" s="2007"/>
      <c r="BU239" s="2007"/>
      <c r="BV239" s="2007"/>
      <c r="BW239" s="2007"/>
      <c r="BX239" s="2007"/>
      <c r="BY239" s="2007"/>
      <c r="BZ239" s="2007"/>
      <c r="CA239" s="2007"/>
      <c r="CB239" s="2007"/>
      <c r="CC239" s="2007"/>
      <c r="CD239" s="2007"/>
      <c r="CE239" s="2007"/>
      <c r="CF239" s="2007"/>
      <c r="CG239" s="2007"/>
      <c r="CH239" s="2007"/>
      <c r="CI239" s="2007"/>
      <c r="CJ239" s="2007"/>
      <c r="CK239" s="2007" t="e">
        <f>CK209+Standart!#REF!</f>
        <v>#REF!</v>
      </c>
      <c r="CL239" s="2007" t="e">
        <f>CL209+Standart!G35</f>
        <v>#VALUE!</v>
      </c>
      <c r="CM239" s="2007">
        <f>CM209+Standart!H35</f>
        <v>2500</v>
      </c>
      <c r="CN239" s="2007"/>
      <c r="CO239" s="2007" t="e">
        <f>CO209+Standart!#REF!</f>
        <v>#REF!</v>
      </c>
      <c r="CP239" s="2007">
        <f>CP209+Standart!I35</f>
        <v>0</v>
      </c>
      <c r="CQ239" s="2007">
        <f>CQ209+Standart!J35</f>
        <v>0</v>
      </c>
      <c r="CR239" s="2007" t="e">
        <f>CR209+Standart!K35</f>
        <v>#REF!</v>
      </c>
      <c r="CS239" s="2007"/>
      <c r="CT239" s="2007"/>
      <c r="CU239" s="2007"/>
      <c r="CV239" s="2007"/>
      <c r="CW239" s="2007"/>
      <c r="CX239" s="2007"/>
      <c r="CY239" s="2007"/>
      <c r="CZ239" s="2007"/>
      <c r="DA239" s="2007"/>
      <c r="DB239" s="2007"/>
      <c r="DC239" s="2007"/>
      <c r="DD239" s="2007"/>
      <c r="DE239" s="2007"/>
      <c r="DF239" s="2007"/>
      <c r="DG239" s="2007"/>
      <c r="DH239" s="2007"/>
      <c r="DI239" s="2007"/>
      <c r="DJ239" s="2007"/>
      <c r="DK239" s="2007"/>
      <c r="DL239" s="2007"/>
      <c r="DM239" s="2007"/>
      <c r="DN239" s="2007"/>
      <c r="DO239" s="2008"/>
      <c r="DP239" s="2007"/>
      <c r="DQ239" s="2007"/>
      <c r="FF239" s="1616"/>
    </row>
    <row r="240" spans="1:162" hidden="1" outlineLevel="2">
      <c r="A240" s="1626" t="s">
        <v>1358</v>
      </c>
      <c r="B240" s="1626" t="s">
        <v>2084</v>
      </c>
      <c r="C240" s="1626" t="s">
        <v>2090</v>
      </c>
      <c r="D240" s="1626"/>
      <c r="E240" s="2007"/>
      <c r="F240" s="2007"/>
      <c r="G240" s="2007"/>
      <c r="H240" s="2007"/>
      <c r="I240" s="2007"/>
      <c r="J240" s="2007"/>
      <c r="K240" s="2007"/>
      <c r="L240" s="2007"/>
      <c r="M240" s="2007"/>
      <c r="N240" s="2007"/>
      <c r="O240" s="2007"/>
      <c r="P240" s="2007"/>
      <c r="Q240" s="2007"/>
      <c r="R240" s="2007"/>
      <c r="S240" s="2007"/>
      <c r="T240" s="2007"/>
      <c r="U240" s="2007"/>
      <c r="V240" s="2007"/>
      <c r="W240" s="2007"/>
      <c r="X240" s="2007"/>
      <c r="Y240" s="2007"/>
      <c r="Z240" s="2007"/>
      <c r="AA240" s="2007"/>
      <c r="AB240" s="2007"/>
      <c r="AC240" s="2007"/>
      <c r="AD240" s="2007"/>
      <c r="AE240" s="2007"/>
      <c r="AF240" s="2007"/>
      <c r="AG240" s="2007"/>
      <c r="AH240" s="2007"/>
      <c r="AI240" s="2007"/>
      <c r="AJ240" s="2007"/>
      <c r="AK240" s="2007"/>
      <c r="AL240" s="2007"/>
      <c r="AM240" s="2007"/>
      <c r="AN240" s="2007"/>
      <c r="AO240" s="2007"/>
      <c r="AP240" s="2007"/>
      <c r="AQ240" s="2007"/>
      <c r="AR240" s="2007"/>
      <c r="AS240" s="2007"/>
      <c r="AT240" s="2007"/>
      <c r="AU240" s="2007"/>
      <c r="AV240" s="2007"/>
      <c r="AW240" s="2007"/>
      <c r="AX240" s="2007"/>
      <c r="AY240" s="2007"/>
      <c r="AZ240" s="2007"/>
      <c r="BA240" s="2007"/>
      <c r="BB240" s="2007"/>
      <c r="BC240" s="2007"/>
      <c r="BD240" s="2007"/>
      <c r="BE240" s="2007"/>
      <c r="BF240" s="2007"/>
      <c r="BG240" s="2007"/>
      <c r="BH240" s="2007"/>
      <c r="BI240" s="2007"/>
      <c r="BJ240" s="2007"/>
      <c r="BK240" s="2007"/>
      <c r="BL240" s="2007"/>
      <c r="BM240" s="2007"/>
      <c r="BN240" s="2007"/>
      <c r="BO240" s="2007"/>
      <c r="BP240" s="2007"/>
      <c r="BQ240" s="2007"/>
      <c r="BR240" s="2007"/>
      <c r="BS240" s="2007"/>
      <c r="BT240" s="2007"/>
      <c r="BU240" s="2007"/>
      <c r="BV240" s="2007"/>
      <c r="BW240" s="2007"/>
      <c r="BX240" s="2007"/>
      <c r="BY240" s="2007"/>
      <c r="BZ240" s="2007"/>
      <c r="CA240" s="2007"/>
      <c r="CB240" s="2007"/>
      <c r="CC240" s="2007"/>
      <c r="CD240" s="2007"/>
      <c r="CE240" s="2007"/>
      <c r="CF240" s="2007"/>
      <c r="CG240" s="2007"/>
      <c r="CH240" s="2007"/>
      <c r="CI240" s="2007"/>
      <c r="CJ240" s="2007"/>
      <c r="CK240" s="2007" t="e">
        <f>CK210+Standart!#REF!</f>
        <v>#REF!</v>
      </c>
      <c r="CL240" s="2007" t="e">
        <f>CL210+Standart!G35</f>
        <v>#VALUE!</v>
      </c>
      <c r="CM240" s="2007">
        <f>CM210+Standart!H35</f>
        <v>2500</v>
      </c>
      <c r="CN240" s="2007"/>
      <c r="CO240" s="2007" t="e">
        <f>CO210+Standart!#REF!</f>
        <v>#REF!</v>
      </c>
      <c r="CP240" s="2007">
        <f>CP210+Standart!I35</f>
        <v>0</v>
      </c>
      <c r="CQ240" s="2007">
        <f>CQ210+Standart!J35</f>
        <v>0</v>
      </c>
      <c r="CR240" s="2007" t="e">
        <f>CR210+Standart!K35</f>
        <v>#REF!</v>
      </c>
      <c r="CS240" s="2007"/>
      <c r="CT240" s="2007"/>
      <c r="CU240" s="2007"/>
      <c r="CV240" s="2007"/>
      <c r="CW240" s="2007"/>
      <c r="CX240" s="2007"/>
      <c r="CY240" s="2007"/>
      <c r="CZ240" s="2007"/>
      <c r="DA240" s="2007"/>
      <c r="DB240" s="2007"/>
      <c r="DC240" s="2007"/>
      <c r="DD240" s="2007"/>
      <c r="DE240" s="2007"/>
      <c r="DF240" s="2007"/>
      <c r="DG240" s="2007"/>
      <c r="DH240" s="2007"/>
      <c r="DI240" s="2007"/>
      <c r="DJ240" s="2007"/>
      <c r="DK240" s="2007"/>
      <c r="DL240" s="2007"/>
      <c r="DM240" s="2007"/>
      <c r="DN240" s="2007"/>
      <c r="DO240" s="2008"/>
      <c r="DP240" s="2007"/>
      <c r="DQ240" s="2007"/>
      <c r="FF240" s="1616"/>
    </row>
    <row r="241" spans="1:162" hidden="1" outlineLevel="2">
      <c r="A241" s="1626" t="s">
        <v>1358</v>
      </c>
      <c r="B241" s="1626" t="s">
        <v>2084</v>
      </c>
      <c r="C241" s="1626" t="s">
        <v>2091</v>
      </c>
      <c r="D241" s="1626"/>
      <c r="E241" s="2007"/>
      <c r="F241" s="2007"/>
      <c r="G241" s="2007"/>
      <c r="H241" s="2007"/>
      <c r="I241" s="2007"/>
      <c r="J241" s="2007"/>
      <c r="K241" s="2007"/>
      <c r="L241" s="2007"/>
      <c r="M241" s="2007"/>
      <c r="N241" s="2007"/>
      <c r="O241" s="2007"/>
      <c r="P241" s="2007"/>
      <c r="Q241" s="2007"/>
      <c r="R241" s="2007"/>
      <c r="S241" s="2007"/>
      <c r="T241" s="2007"/>
      <c r="U241" s="2007"/>
      <c r="V241" s="2007"/>
      <c r="W241" s="2007"/>
      <c r="X241" s="2007"/>
      <c r="Y241" s="2007"/>
      <c r="Z241" s="2007"/>
      <c r="AA241" s="2007"/>
      <c r="AB241" s="2007"/>
      <c r="AC241" s="2007"/>
      <c r="AD241" s="2007"/>
      <c r="AE241" s="2007"/>
      <c r="AF241" s="2007"/>
      <c r="AG241" s="2007"/>
      <c r="AH241" s="2007"/>
      <c r="AI241" s="2007"/>
      <c r="AJ241" s="2007"/>
      <c r="AK241" s="2007"/>
      <c r="AL241" s="2007"/>
      <c r="AM241" s="2007"/>
      <c r="AN241" s="2007"/>
      <c r="AO241" s="2007"/>
      <c r="AP241" s="2007"/>
      <c r="AQ241" s="2007"/>
      <c r="AR241" s="2007"/>
      <c r="AS241" s="2007"/>
      <c r="AT241" s="2007"/>
      <c r="AU241" s="2007"/>
      <c r="AV241" s="2007"/>
      <c r="AW241" s="2007"/>
      <c r="AX241" s="2007"/>
      <c r="AY241" s="2007"/>
      <c r="AZ241" s="2007"/>
      <c r="BA241" s="2007"/>
      <c r="BB241" s="2007"/>
      <c r="BC241" s="2007"/>
      <c r="BD241" s="2007"/>
      <c r="BE241" s="2007"/>
      <c r="BF241" s="2007"/>
      <c r="BG241" s="2007"/>
      <c r="BH241" s="2007"/>
      <c r="BI241" s="2007"/>
      <c r="BJ241" s="2007"/>
      <c r="BK241" s="2007"/>
      <c r="BL241" s="2007"/>
      <c r="BM241" s="2007"/>
      <c r="BN241" s="2007"/>
      <c r="BO241" s="2007"/>
      <c r="BP241" s="2007"/>
      <c r="BQ241" s="2007"/>
      <c r="BR241" s="2007"/>
      <c r="BS241" s="2007"/>
      <c r="BT241" s="2007"/>
      <c r="BU241" s="2007"/>
      <c r="BV241" s="2007"/>
      <c r="BW241" s="2007"/>
      <c r="BX241" s="2007"/>
      <c r="BY241" s="2007"/>
      <c r="BZ241" s="2007"/>
      <c r="CA241" s="2007"/>
      <c r="CB241" s="2007"/>
      <c r="CC241" s="2007"/>
      <c r="CD241" s="2007"/>
      <c r="CE241" s="2007"/>
      <c r="CF241" s="2007"/>
      <c r="CG241" s="2007"/>
      <c r="CH241" s="2007"/>
      <c r="CI241" s="2007"/>
      <c r="CJ241" s="2007"/>
      <c r="CK241" s="2007" t="e">
        <f>CK240</f>
        <v>#REF!</v>
      </c>
      <c r="CL241" s="2007" t="e">
        <f t="shared" ref="CL241:CR241" si="184">CL240</f>
        <v>#VALUE!</v>
      </c>
      <c r="CM241" s="2007">
        <f t="shared" si="184"/>
        <v>2500</v>
      </c>
      <c r="CN241" s="2007">
        <f t="shared" si="184"/>
        <v>0</v>
      </c>
      <c r="CO241" s="2007" t="e">
        <f t="shared" si="184"/>
        <v>#REF!</v>
      </c>
      <c r="CP241" s="2007">
        <f t="shared" si="184"/>
        <v>0</v>
      </c>
      <c r="CQ241" s="2007">
        <f t="shared" si="184"/>
        <v>0</v>
      </c>
      <c r="CR241" s="2007" t="e">
        <f t="shared" si="184"/>
        <v>#REF!</v>
      </c>
      <c r="CS241" s="2007"/>
      <c r="CT241" s="2007"/>
      <c r="CU241" s="2007"/>
      <c r="CV241" s="2007"/>
      <c r="CW241" s="2007"/>
      <c r="CX241" s="2007"/>
      <c r="CY241" s="2007"/>
      <c r="CZ241" s="2007"/>
      <c r="DA241" s="2007"/>
      <c r="DB241" s="2007"/>
      <c r="DC241" s="2007"/>
      <c r="DD241" s="2007"/>
      <c r="DE241" s="2007"/>
      <c r="DF241" s="2007"/>
      <c r="DG241" s="2007"/>
      <c r="DH241" s="2007"/>
      <c r="DI241" s="2007"/>
      <c r="DJ241" s="2007"/>
      <c r="DK241" s="2007"/>
      <c r="DL241" s="2007"/>
      <c r="DM241" s="2007"/>
      <c r="DN241" s="2007"/>
      <c r="DO241" s="2008"/>
      <c r="DP241" s="2007"/>
      <c r="DQ241" s="2007"/>
      <c r="FF241" s="1616"/>
    </row>
    <row r="242" spans="1:162" hidden="1" outlineLevel="1" collapsed="1"/>
    <row r="243" spans="1:162" hidden="1" outlineLevel="1"/>
    <row r="244" spans="1:162" hidden="1" outlineLevel="1"/>
    <row r="245" spans="1:162" hidden="1" outlineLevel="1"/>
    <row r="246" spans="1:162" collapsed="1"/>
  </sheetData>
  <autoFilter ref="A1:ET24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8"/>
  <dimension ref="A1:D23"/>
  <sheetViews>
    <sheetView view="pageBreakPreview" zoomScale="80" zoomScaleNormal="100" zoomScaleSheetLayoutView="80" workbookViewId="0">
      <selection activeCell="C62" sqref="C62"/>
    </sheetView>
  </sheetViews>
  <sheetFormatPr defaultColWidth="9.140625" defaultRowHeight="15"/>
  <cols>
    <col min="1" max="1" width="9.7109375" style="129" bestFit="1" customWidth="1"/>
    <col min="2" max="2" width="6.42578125" style="129" customWidth="1"/>
    <col min="3" max="3" width="35.5703125" style="129" customWidth="1"/>
    <col min="4" max="4" width="11.85546875" style="129" customWidth="1"/>
    <col min="5" max="6" width="9.140625" style="129"/>
    <col min="7" max="7" width="11.7109375" style="129" customWidth="1"/>
    <col min="8" max="8" width="12.7109375" style="129" customWidth="1"/>
    <col min="9" max="16384" width="9.140625" style="129"/>
  </cols>
  <sheetData>
    <row r="1" spans="1:4" s="2307" customFormat="1">
      <c r="B1" s="2308" t="s">
        <v>490</v>
      </c>
    </row>
    <row r="4" spans="1:4">
      <c r="A4" s="627"/>
    </row>
    <row r="7" spans="1:4" ht="21">
      <c r="A7" s="582" t="s">
        <v>865</v>
      </c>
    </row>
    <row r="10" spans="1:4">
      <c r="A10" s="579"/>
      <c r="B10" s="4061" t="s">
        <v>272</v>
      </c>
      <c r="C10" s="676" t="s">
        <v>846</v>
      </c>
      <c r="D10" s="4061" t="s">
        <v>848</v>
      </c>
    </row>
    <row r="11" spans="1:4" ht="30">
      <c r="A11" s="580"/>
      <c r="B11" s="4061"/>
      <c r="C11" s="676" t="s">
        <v>847</v>
      </c>
      <c r="D11" s="4061"/>
    </row>
    <row r="12" spans="1:4">
      <c r="A12" s="580"/>
      <c r="B12" s="4061"/>
      <c r="C12" s="677" t="s">
        <v>849</v>
      </c>
      <c r="D12" s="4061"/>
    </row>
    <row r="13" spans="1:4">
      <c r="A13" s="580"/>
      <c r="B13" s="678">
        <v>1</v>
      </c>
      <c r="C13" s="679" t="s">
        <v>850</v>
      </c>
      <c r="D13" s="680">
        <v>1</v>
      </c>
    </row>
    <row r="14" spans="1:4">
      <c r="A14" s="580"/>
      <c r="B14" s="678">
        <v>2</v>
      </c>
      <c r="C14" s="679" t="s">
        <v>851</v>
      </c>
      <c r="D14" s="680">
        <v>2</v>
      </c>
    </row>
    <row r="15" spans="1:4">
      <c r="A15" s="580"/>
      <c r="B15" s="678">
        <v>3</v>
      </c>
      <c r="C15" s="679" t="s">
        <v>852</v>
      </c>
      <c r="D15" s="680">
        <v>3</v>
      </c>
    </row>
    <row r="16" spans="1:4">
      <c r="A16" s="580"/>
      <c r="B16" s="678">
        <v>4</v>
      </c>
      <c r="C16" s="679" t="s">
        <v>853</v>
      </c>
      <c r="D16" s="680">
        <v>4</v>
      </c>
    </row>
    <row r="17" spans="1:4">
      <c r="A17" s="580"/>
      <c r="B17" s="678">
        <v>5</v>
      </c>
      <c r="C17" s="679" t="s">
        <v>854</v>
      </c>
      <c r="D17" s="680">
        <v>5</v>
      </c>
    </row>
    <row r="18" spans="1:4">
      <c r="A18" s="580"/>
      <c r="B18" s="678">
        <v>6</v>
      </c>
      <c r="C18" s="679" t="s">
        <v>855</v>
      </c>
      <c r="D18" s="680">
        <v>7</v>
      </c>
    </row>
    <row r="19" spans="1:4">
      <c r="A19" s="580"/>
      <c r="B19" s="678">
        <v>7</v>
      </c>
      <c r="C19" s="679" t="s">
        <v>856</v>
      </c>
      <c r="D19" s="680">
        <v>10</v>
      </c>
    </row>
    <row r="23" spans="1:4">
      <c r="C23" s="581"/>
    </row>
  </sheetData>
  <mergeCells count="2">
    <mergeCell ref="B10:B12"/>
    <mergeCell ref="D10:D12"/>
  </mergeCells>
  <hyperlinks>
    <hyperlink ref="B1" location="Содержание!A1" display="Вернуться в содержание"/>
  </hyperlinks>
  <pageMargins left="0.70866141732283472" right="0.70866141732283472" top="0.74803149606299213" bottom="0.74803149606299213" header="0.31496062992125984" footer="0.31496062992125984"/>
  <pageSetup paperSize="9" scale="78" orientation="portrait" r:id="rId1"/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9">
    <tabColor theme="1" tint="0.14999847407452621"/>
  </sheetPr>
  <dimension ref="A1:H89"/>
  <sheetViews>
    <sheetView view="pageBreakPreview" topLeftCell="A21" zoomScale="80" zoomScaleNormal="100" zoomScaleSheetLayoutView="80" workbookViewId="0">
      <selection activeCell="B9" sqref="B9"/>
    </sheetView>
  </sheetViews>
  <sheetFormatPr defaultColWidth="9.140625" defaultRowHeight="15"/>
  <cols>
    <col min="1" max="1" width="4" style="477" bestFit="1" customWidth="1"/>
    <col min="2" max="2" width="24.5703125" style="477" customWidth="1"/>
    <col min="3" max="3" width="21.7109375" style="477" bestFit="1" customWidth="1"/>
    <col min="4" max="4" width="27.28515625" style="477" bestFit="1" customWidth="1"/>
    <col min="5" max="5" width="16" style="485" hidden="1" customWidth="1"/>
    <col min="6" max="6" width="17.85546875" style="477" hidden="1" customWidth="1"/>
    <col min="7" max="7" width="20.42578125" style="485" hidden="1" customWidth="1"/>
    <col min="8" max="8" width="16.140625" style="486" customWidth="1"/>
    <col min="9" max="16384" width="9.140625" style="477"/>
  </cols>
  <sheetData>
    <row r="1" spans="1:8" s="479" customFormat="1" ht="12" hidden="1">
      <c r="B1" s="480" t="s">
        <v>493</v>
      </c>
      <c r="C1" s="480" t="s">
        <v>494</v>
      </c>
      <c r="D1" s="480" t="s">
        <v>495</v>
      </c>
      <c r="G1" s="481"/>
      <c r="H1" s="482"/>
    </row>
    <row r="2" spans="1:8" hidden="1">
      <c r="B2" s="483" t="s">
        <v>496</v>
      </c>
      <c r="C2" s="484">
        <v>0</v>
      </c>
      <c r="D2" s="483" t="s">
        <v>497</v>
      </c>
      <c r="E2" s="477"/>
    </row>
    <row r="3" spans="1:8" hidden="1">
      <c r="B3" s="483" t="s">
        <v>498</v>
      </c>
      <c r="C3" s="484">
        <v>0.03</v>
      </c>
      <c r="D3" s="483" t="s">
        <v>499</v>
      </c>
      <c r="E3" s="477"/>
    </row>
    <row r="4" spans="1:8" hidden="1">
      <c r="B4" s="483" t="s">
        <v>500</v>
      </c>
      <c r="C4" s="484">
        <v>0.05</v>
      </c>
      <c r="D4" s="483" t="s">
        <v>501</v>
      </c>
      <c r="E4" s="477"/>
    </row>
    <row r="5" spans="1:8" hidden="1">
      <c r="B5" s="483" t="s">
        <v>502</v>
      </c>
      <c r="C5" s="484">
        <v>0.1</v>
      </c>
      <c r="D5" s="483" t="s">
        <v>503</v>
      </c>
      <c r="E5" s="477"/>
    </row>
    <row r="6" spans="1:8" hidden="1">
      <c r="B6" s="483" t="s">
        <v>504</v>
      </c>
      <c r="C6" s="484">
        <v>0.12</v>
      </c>
      <c r="D6" s="483" t="s">
        <v>505</v>
      </c>
      <c r="E6" s="477"/>
    </row>
    <row r="7" spans="1:8" hidden="1">
      <c r="B7" s="483" t="s">
        <v>506</v>
      </c>
      <c r="C7" s="484">
        <v>0.18</v>
      </c>
      <c r="D7" s="483" t="s">
        <v>507</v>
      </c>
      <c r="E7" s="477"/>
    </row>
    <row r="8" spans="1:8" hidden="1">
      <c r="B8" s="483" t="s">
        <v>508</v>
      </c>
      <c r="C8" s="484">
        <v>0.2</v>
      </c>
      <c r="D8" s="483" t="s">
        <v>509</v>
      </c>
      <c r="E8" s="477"/>
    </row>
    <row r="9" spans="1:8" s="478" customFormat="1">
      <c r="B9" s="25"/>
      <c r="C9" s="514"/>
      <c r="D9" s="25"/>
      <c r="G9" s="485"/>
      <c r="H9" s="486"/>
    </row>
    <row r="10" spans="1:8" s="478" customFormat="1">
      <c r="B10" s="25"/>
      <c r="C10" s="514"/>
      <c r="D10" s="25"/>
      <c r="G10" s="485"/>
      <c r="H10" s="486"/>
    </row>
    <row r="11" spans="1:8" s="478" customFormat="1" ht="15.75">
      <c r="B11" s="455" t="s">
        <v>1163</v>
      </c>
      <c r="C11" s="514"/>
      <c r="D11" s="25"/>
      <c r="G11" s="485"/>
      <c r="H11" s="486"/>
    </row>
    <row r="13" spans="1:8" s="102" customFormat="1" ht="30">
      <c r="A13" s="487"/>
      <c r="B13" s="488" t="s">
        <v>510</v>
      </c>
      <c r="C13" s="488" t="s">
        <v>511</v>
      </c>
      <c r="D13" s="488" t="s">
        <v>512</v>
      </c>
      <c r="E13" s="489" t="s">
        <v>513</v>
      </c>
      <c r="F13" s="488" t="s">
        <v>514</v>
      </c>
      <c r="G13" s="489" t="s">
        <v>515</v>
      </c>
      <c r="H13" s="488" t="s">
        <v>516</v>
      </c>
    </row>
    <row r="14" spans="1:8">
      <c r="A14" s="490">
        <v>1</v>
      </c>
      <c r="B14" s="491" t="s">
        <v>517</v>
      </c>
      <c r="C14" s="492" t="s">
        <v>518</v>
      </c>
      <c r="D14" s="492" t="s">
        <v>519</v>
      </c>
      <c r="E14" s="493">
        <v>200636</v>
      </c>
      <c r="F14" s="487" t="s">
        <v>520</v>
      </c>
      <c r="G14" s="494">
        <v>8600</v>
      </c>
      <c r="H14" s="495">
        <v>0.2</v>
      </c>
    </row>
    <row r="15" spans="1:8">
      <c r="A15" s="490">
        <v>2</v>
      </c>
      <c r="B15" s="491" t="s">
        <v>521</v>
      </c>
      <c r="C15" s="492" t="s">
        <v>522</v>
      </c>
      <c r="D15" s="492" t="s">
        <v>519</v>
      </c>
      <c r="E15" s="493">
        <v>92052</v>
      </c>
      <c r="F15" s="487" t="s">
        <v>520</v>
      </c>
      <c r="G15" s="494">
        <v>9291</v>
      </c>
      <c r="H15" s="495">
        <v>0.2</v>
      </c>
    </row>
    <row r="16" spans="1:8">
      <c r="A16" s="490">
        <v>3</v>
      </c>
      <c r="B16" s="491" t="s">
        <v>523</v>
      </c>
      <c r="C16" s="492" t="s">
        <v>524</v>
      </c>
      <c r="D16" s="492" t="s">
        <v>519</v>
      </c>
      <c r="E16" s="493">
        <v>179586</v>
      </c>
      <c r="F16" s="487" t="s">
        <v>525</v>
      </c>
      <c r="G16" s="494">
        <v>10500</v>
      </c>
      <c r="H16" s="495">
        <v>0.2</v>
      </c>
    </row>
    <row r="17" spans="1:8">
      <c r="A17" s="490">
        <v>4</v>
      </c>
      <c r="B17" s="491" t="s">
        <v>526</v>
      </c>
      <c r="C17" s="492" t="s">
        <v>527</v>
      </c>
      <c r="D17" s="492" t="s">
        <v>519</v>
      </c>
      <c r="E17" s="493">
        <v>592069</v>
      </c>
      <c r="F17" s="487" t="s">
        <v>528</v>
      </c>
      <c r="G17" s="494">
        <v>8356</v>
      </c>
      <c r="H17" s="495">
        <v>0.18</v>
      </c>
    </row>
    <row r="18" spans="1:8">
      <c r="A18" s="490">
        <v>5</v>
      </c>
      <c r="B18" s="491" t="s">
        <v>529</v>
      </c>
      <c r="C18" s="492" t="s">
        <v>530</v>
      </c>
      <c r="D18" s="492" t="s">
        <v>519</v>
      </c>
      <c r="E18" s="493">
        <v>263906</v>
      </c>
      <c r="F18" s="487" t="s">
        <v>528</v>
      </c>
      <c r="G18" s="494">
        <v>7993</v>
      </c>
      <c r="H18" s="495">
        <v>0.18</v>
      </c>
    </row>
    <row r="19" spans="1:8">
      <c r="A19" s="490">
        <v>6</v>
      </c>
      <c r="B19" s="491" t="s">
        <v>531</v>
      </c>
      <c r="C19" s="492" t="s">
        <v>530</v>
      </c>
      <c r="D19" s="492" t="s">
        <v>519</v>
      </c>
      <c r="E19" s="493">
        <v>577668</v>
      </c>
      <c r="F19" s="487" t="s">
        <v>528</v>
      </c>
      <c r="G19" s="494">
        <v>7599</v>
      </c>
      <c r="H19" s="495">
        <v>0.18</v>
      </c>
    </row>
    <row r="20" spans="1:8">
      <c r="A20" s="490">
        <v>7</v>
      </c>
      <c r="B20" s="491" t="s">
        <v>532</v>
      </c>
      <c r="C20" s="492" t="s">
        <v>533</v>
      </c>
      <c r="D20" s="492" t="s">
        <v>519</v>
      </c>
      <c r="E20" s="493">
        <v>269486</v>
      </c>
      <c r="F20" s="487" t="s">
        <v>534</v>
      </c>
      <c r="G20" s="494">
        <v>7568</v>
      </c>
      <c r="H20" s="495">
        <v>0.18</v>
      </c>
    </row>
    <row r="21" spans="1:8">
      <c r="A21" s="490">
        <v>8</v>
      </c>
      <c r="B21" s="491" t="s">
        <v>535</v>
      </c>
      <c r="C21" s="492" t="s">
        <v>536</v>
      </c>
      <c r="D21" s="492" t="s">
        <v>519</v>
      </c>
      <c r="E21" s="493">
        <v>214397</v>
      </c>
      <c r="F21" s="487" t="s">
        <v>534</v>
      </c>
      <c r="G21" s="494">
        <v>7029</v>
      </c>
      <c r="H21" s="495">
        <v>0.18</v>
      </c>
    </row>
    <row r="22" spans="1:8">
      <c r="A22" s="490">
        <v>9</v>
      </c>
      <c r="B22" s="491" t="s">
        <v>537</v>
      </c>
      <c r="C22" s="492" t="s">
        <v>538</v>
      </c>
      <c r="D22" s="492" t="s">
        <v>519</v>
      </c>
      <c r="E22" s="493">
        <v>323964</v>
      </c>
      <c r="F22" s="487" t="s">
        <v>534</v>
      </c>
      <c r="G22" s="494">
        <v>5501</v>
      </c>
      <c r="H22" s="495">
        <v>0.12</v>
      </c>
    </row>
    <row r="23" spans="1:8">
      <c r="A23" s="490">
        <v>10</v>
      </c>
      <c r="B23" s="491" t="s">
        <v>539</v>
      </c>
      <c r="C23" s="492" t="s">
        <v>540</v>
      </c>
      <c r="D23" s="492" t="s">
        <v>519</v>
      </c>
      <c r="E23" s="493">
        <v>404357</v>
      </c>
      <c r="F23" s="487" t="s">
        <v>541</v>
      </c>
      <c r="G23" s="494">
        <v>4842</v>
      </c>
      <c r="H23" s="495">
        <v>0.12</v>
      </c>
    </row>
    <row r="24" spans="1:8">
      <c r="A24" s="490">
        <v>11</v>
      </c>
      <c r="B24" s="491" t="s">
        <v>542</v>
      </c>
      <c r="C24" s="492" t="s">
        <v>543</v>
      </c>
      <c r="D24" s="492" t="s">
        <v>544</v>
      </c>
      <c r="E24" s="493">
        <v>587225</v>
      </c>
      <c r="F24" s="487" t="s">
        <v>541</v>
      </c>
      <c r="G24" s="494">
        <v>4411</v>
      </c>
      <c r="H24" s="496">
        <v>0.12</v>
      </c>
    </row>
    <row r="25" spans="1:8">
      <c r="A25" s="490">
        <v>12</v>
      </c>
      <c r="B25" s="491" t="s">
        <v>545</v>
      </c>
      <c r="C25" s="492" t="s">
        <v>546</v>
      </c>
      <c r="D25" s="492" t="s">
        <v>544</v>
      </c>
      <c r="E25" s="493">
        <v>973891</v>
      </c>
      <c r="F25" s="487" t="s">
        <v>547</v>
      </c>
      <c r="G25" s="494">
        <v>3346</v>
      </c>
      <c r="H25" s="496">
        <v>0.12</v>
      </c>
    </row>
    <row r="26" spans="1:8">
      <c r="A26" s="490">
        <v>13</v>
      </c>
      <c r="B26" s="491" t="s">
        <v>548</v>
      </c>
      <c r="C26" s="492" t="s">
        <v>549</v>
      </c>
      <c r="D26" s="492" t="s">
        <v>544</v>
      </c>
      <c r="E26" s="493">
        <v>522940</v>
      </c>
      <c r="F26" s="487" t="s">
        <v>550</v>
      </c>
      <c r="G26" s="494">
        <v>2829</v>
      </c>
      <c r="H26" s="496">
        <v>0.1</v>
      </c>
    </row>
    <row r="27" spans="1:8">
      <c r="A27" s="490">
        <v>14</v>
      </c>
      <c r="B27" s="491" t="s">
        <v>551</v>
      </c>
      <c r="C27" s="492" t="s">
        <v>552</v>
      </c>
      <c r="D27" s="492" t="s">
        <v>544</v>
      </c>
      <c r="E27" s="493">
        <v>532884</v>
      </c>
      <c r="F27" s="487" t="s">
        <v>547</v>
      </c>
      <c r="G27" s="494">
        <v>2826</v>
      </c>
      <c r="H27" s="496">
        <v>0.1</v>
      </c>
    </row>
    <row r="28" spans="1:8">
      <c r="A28" s="490">
        <v>15</v>
      </c>
      <c r="B28" s="491" t="s">
        <v>553</v>
      </c>
      <c r="C28" s="492" t="s">
        <v>554</v>
      </c>
      <c r="D28" s="492" t="s">
        <v>544</v>
      </c>
      <c r="E28" s="493">
        <v>612091</v>
      </c>
      <c r="F28" s="487" t="s">
        <v>550</v>
      </c>
      <c r="G28" s="494">
        <v>2800</v>
      </c>
      <c r="H28" s="496">
        <v>0.1</v>
      </c>
    </row>
    <row r="29" spans="1:8" ht="30">
      <c r="A29" s="490">
        <v>16</v>
      </c>
      <c r="B29" s="491" t="s">
        <v>555</v>
      </c>
      <c r="C29" s="492" t="s">
        <v>556</v>
      </c>
      <c r="D29" s="492" t="s">
        <v>544</v>
      </c>
      <c r="E29" s="493">
        <v>1473737</v>
      </c>
      <c r="F29" s="487" t="s">
        <v>550</v>
      </c>
      <c r="G29" s="494">
        <v>2575</v>
      </c>
      <c r="H29" s="496">
        <v>0.1</v>
      </c>
    </row>
    <row r="30" spans="1:8">
      <c r="A30" s="490">
        <v>17</v>
      </c>
      <c r="B30" s="491" t="s">
        <v>557</v>
      </c>
      <c r="C30" s="492" t="s">
        <v>558</v>
      </c>
      <c r="D30" s="492" t="s">
        <v>544</v>
      </c>
      <c r="E30" s="493">
        <v>1153971</v>
      </c>
      <c r="F30" s="487" t="s">
        <v>550</v>
      </c>
      <c r="G30" s="494">
        <v>1924</v>
      </c>
      <c r="H30" s="496">
        <v>0.1</v>
      </c>
    </row>
    <row r="31" spans="1:8" ht="30">
      <c r="A31" s="490">
        <v>18</v>
      </c>
      <c r="B31" s="491" t="s">
        <v>559</v>
      </c>
      <c r="C31" s="492" t="s">
        <v>560</v>
      </c>
      <c r="D31" s="492" t="s">
        <v>561</v>
      </c>
      <c r="E31" s="493">
        <v>251860</v>
      </c>
      <c r="F31" s="487" t="s">
        <v>562</v>
      </c>
      <c r="G31" s="494">
        <v>2412</v>
      </c>
      <c r="H31" s="496">
        <v>0.1</v>
      </c>
    </row>
    <row r="32" spans="1:8" ht="30">
      <c r="A32" s="490">
        <v>19</v>
      </c>
      <c r="B32" s="491" t="s">
        <v>563</v>
      </c>
      <c r="C32" s="492" t="s">
        <v>560</v>
      </c>
      <c r="D32" s="492" t="s">
        <v>561</v>
      </c>
      <c r="E32" s="493">
        <v>306703</v>
      </c>
      <c r="F32" s="487" t="s">
        <v>562</v>
      </c>
      <c r="G32" s="494">
        <v>2198</v>
      </c>
      <c r="H32" s="496">
        <v>0.1</v>
      </c>
    </row>
    <row r="33" spans="1:8">
      <c r="A33" s="490">
        <v>20</v>
      </c>
      <c r="B33" s="491" t="s">
        <v>564</v>
      </c>
      <c r="C33" s="492" t="s">
        <v>565</v>
      </c>
      <c r="D33" s="492" t="s">
        <v>561</v>
      </c>
      <c r="E33" s="493">
        <v>581758</v>
      </c>
      <c r="F33" s="487" t="s">
        <v>562</v>
      </c>
      <c r="G33" s="494">
        <v>1412</v>
      </c>
      <c r="H33" s="495">
        <v>0.05</v>
      </c>
    </row>
    <row r="34" spans="1:8">
      <c r="A34" s="490">
        <v>21</v>
      </c>
      <c r="B34" s="491" t="s">
        <v>566</v>
      </c>
      <c r="C34" s="492" t="s">
        <v>567</v>
      </c>
      <c r="D34" s="492" t="s">
        <v>561</v>
      </c>
      <c r="E34" s="493">
        <v>333640</v>
      </c>
      <c r="F34" s="487" t="s">
        <v>562</v>
      </c>
      <c r="G34" s="494">
        <v>1276</v>
      </c>
      <c r="H34" s="495">
        <v>0.05</v>
      </c>
    </row>
    <row r="35" spans="1:8">
      <c r="A35" s="490">
        <v>22</v>
      </c>
      <c r="B35" s="491" t="s">
        <v>568</v>
      </c>
      <c r="C35" s="492" t="s">
        <v>569</v>
      </c>
      <c r="D35" s="492" t="s">
        <v>561</v>
      </c>
      <c r="E35" s="493">
        <v>1350136</v>
      </c>
      <c r="F35" s="487" t="s">
        <v>562</v>
      </c>
      <c r="G35" s="494">
        <v>1123</v>
      </c>
      <c r="H35" s="495">
        <v>0.05</v>
      </c>
    </row>
    <row r="36" spans="1:8" s="11" customFormat="1">
      <c r="A36" s="497">
        <v>23</v>
      </c>
      <c r="B36" s="491" t="s">
        <v>570</v>
      </c>
      <c r="C36" s="498" t="s">
        <v>571</v>
      </c>
      <c r="D36" s="498" t="s">
        <v>561</v>
      </c>
      <c r="E36" s="499">
        <v>1130273</v>
      </c>
      <c r="F36" s="500" t="s">
        <v>562</v>
      </c>
      <c r="G36" s="501">
        <v>1000</v>
      </c>
      <c r="H36" s="502">
        <v>0.05</v>
      </c>
    </row>
    <row r="37" spans="1:8" s="11" customFormat="1">
      <c r="A37" s="497">
        <v>24</v>
      </c>
      <c r="B37" s="491" t="s">
        <v>572</v>
      </c>
      <c r="C37" s="498" t="s">
        <v>573</v>
      </c>
      <c r="D37" s="498" t="s">
        <v>574</v>
      </c>
      <c r="E37" s="499">
        <v>991530</v>
      </c>
      <c r="F37" s="500" t="s">
        <v>562</v>
      </c>
      <c r="G37" s="501">
        <v>806</v>
      </c>
      <c r="H37" s="502">
        <v>0.03</v>
      </c>
    </row>
    <row r="38" spans="1:8" s="11" customFormat="1">
      <c r="A38" s="497">
        <v>25</v>
      </c>
      <c r="B38" s="491" t="s">
        <v>575</v>
      </c>
      <c r="C38" s="498" t="s">
        <v>576</v>
      </c>
      <c r="D38" s="498" t="s">
        <v>574</v>
      </c>
      <c r="E38" s="499">
        <v>546987</v>
      </c>
      <c r="F38" s="500" t="s">
        <v>562</v>
      </c>
      <c r="G38" s="501">
        <v>645</v>
      </c>
      <c r="H38" s="502">
        <v>0.03</v>
      </c>
    </row>
    <row r="39" spans="1:8" s="11" customFormat="1">
      <c r="A39" s="497">
        <v>26</v>
      </c>
      <c r="B39" s="491" t="s">
        <v>577</v>
      </c>
      <c r="C39" s="498" t="s">
        <v>578</v>
      </c>
      <c r="D39" s="498" t="s">
        <v>574</v>
      </c>
      <c r="E39" s="499">
        <v>473668</v>
      </c>
      <c r="F39" s="500" t="s">
        <v>579</v>
      </c>
      <c r="G39" s="501">
        <v>620</v>
      </c>
      <c r="H39" s="502">
        <v>0.03</v>
      </c>
    </row>
    <row r="40" spans="1:8" s="11" customFormat="1">
      <c r="A40" s="497">
        <v>27</v>
      </c>
      <c r="B40" s="491" t="s">
        <v>580</v>
      </c>
      <c r="C40" s="498" t="s">
        <v>581</v>
      </c>
      <c r="D40" s="498" t="s">
        <v>574</v>
      </c>
      <c r="E40" s="499">
        <v>1062300</v>
      </c>
      <c r="F40" s="500" t="s">
        <v>562</v>
      </c>
      <c r="G40" s="501">
        <v>600</v>
      </c>
      <c r="H40" s="502">
        <v>0.03</v>
      </c>
    </row>
    <row r="41" spans="1:8" s="11" customFormat="1">
      <c r="A41" s="497">
        <v>28</v>
      </c>
      <c r="B41" s="491" t="s">
        <v>582</v>
      </c>
      <c r="C41" s="498" t="s">
        <v>583</v>
      </c>
      <c r="D41" s="498" t="s">
        <v>574</v>
      </c>
      <c r="E41" s="499">
        <v>628116</v>
      </c>
      <c r="F41" s="500" t="s">
        <v>584</v>
      </c>
      <c r="G41" s="501">
        <v>591</v>
      </c>
      <c r="H41" s="502">
        <v>0</v>
      </c>
    </row>
    <row r="42" spans="1:8" s="11" customFormat="1">
      <c r="A42" s="497">
        <v>29</v>
      </c>
      <c r="B42" s="491" t="s">
        <v>585</v>
      </c>
      <c r="C42" s="498" t="s">
        <v>586</v>
      </c>
      <c r="D42" s="498" t="s">
        <v>574</v>
      </c>
      <c r="E42" s="499">
        <v>837831</v>
      </c>
      <c r="F42" s="500" t="s">
        <v>579</v>
      </c>
      <c r="G42" s="501">
        <v>447</v>
      </c>
      <c r="H42" s="502">
        <v>0</v>
      </c>
    </row>
    <row r="43" spans="1:8" s="11" customFormat="1" ht="30">
      <c r="A43" s="497">
        <v>30</v>
      </c>
      <c r="B43" s="491" t="s">
        <v>587</v>
      </c>
      <c r="C43" s="498" t="s">
        <v>588</v>
      </c>
      <c r="D43" s="498" t="s">
        <v>574</v>
      </c>
      <c r="E43" s="499">
        <v>1250615</v>
      </c>
      <c r="F43" s="500" t="s">
        <v>579</v>
      </c>
      <c r="G43" s="501">
        <v>440</v>
      </c>
      <c r="H43" s="496">
        <v>0</v>
      </c>
    </row>
    <row r="44" spans="1:8" s="11" customFormat="1">
      <c r="A44" s="497">
        <v>31</v>
      </c>
      <c r="B44" s="491" t="s">
        <v>589</v>
      </c>
      <c r="C44" s="498" t="s">
        <v>590</v>
      </c>
      <c r="D44" s="498" t="s">
        <v>574</v>
      </c>
      <c r="E44" s="499">
        <v>517137</v>
      </c>
      <c r="F44" s="500" t="s">
        <v>579</v>
      </c>
      <c r="G44" s="501">
        <v>378</v>
      </c>
      <c r="H44" s="502">
        <v>0</v>
      </c>
    </row>
    <row r="45" spans="1:8" s="11" customFormat="1">
      <c r="A45" s="497">
        <v>32</v>
      </c>
      <c r="B45" s="491" t="s">
        <v>591</v>
      </c>
      <c r="C45" s="498" t="s">
        <v>592</v>
      </c>
      <c r="D45" s="498" t="s">
        <v>574</v>
      </c>
      <c r="E45" s="499">
        <v>248688</v>
      </c>
      <c r="F45" s="500" t="s">
        <v>579</v>
      </c>
      <c r="G45" s="501">
        <v>318</v>
      </c>
      <c r="H45" s="502">
        <v>0</v>
      </c>
    </row>
    <row r="46" spans="1:8" s="11" customFormat="1">
      <c r="A46" s="497">
        <v>33</v>
      </c>
      <c r="B46" s="491" t="s">
        <v>593</v>
      </c>
      <c r="C46" s="498" t="s">
        <v>594</v>
      </c>
      <c r="D46" s="498" t="s">
        <v>574</v>
      </c>
      <c r="E46" s="499">
        <v>1164896</v>
      </c>
      <c r="F46" s="500" t="s">
        <v>584</v>
      </c>
      <c r="G46" s="501">
        <v>254</v>
      </c>
      <c r="H46" s="502">
        <v>0</v>
      </c>
    </row>
    <row r="47" spans="1:8" s="11" customFormat="1">
      <c r="A47" s="497">
        <v>34</v>
      </c>
      <c r="B47" s="491" t="s">
        <v>595</v>
      </c>
      <c r="C47" s="498" t="s">
        <v>596</v>
      </c>
      <c r="D47" s="498" t="s">
        <v>574</v>
      </c>
      <c r="E47" s="499">
        <v>453645</v>
      </c>
      <c r="F47" s="500" t="s">
        <v>579</v>
      </c>
      <c r="G47" s="501">
        <v>236</v>
      </c>
      <c r="H47" s="502">
        <v>0</v>
      </c>
    </row>
    <row r="48" spans="1:8" s="11" customFormat="1">
      <c r="A48" s="497">
        <v>35</v>
      </c>
      <c r="B48" s="491" t="s">
        <v>597</v>
      </c>
      <c r="C48" s="498" t="s">
        <v>598</v>
      </c>
      <c r="D48" s="498" t="s">
        <v>574</v>
      </c>
      <c r="E48" s="499">
        <v>297425</v>
      </c>
      <c r="F48" s="500" t="s">
        <v>579</v>
      </c>
      <c r="G48" s="501">
        <v>233</v>
      </c>
      <c r="H48" s="502">
        <v>0</v>
      </c>
    </row>
    <row r="49" spans="1:8" s="11" customFormat="1">
      <c r="A49" s="497">
        <v>36</v>
      </c>
      <c r="B49" s="491" t="s">
        <v>599</v>
      </c>
      <c r="C49" s="498" t="s">
        <v>600</v>
      </c>
      <c r="D49" s="498" t="s">
        <v>574</v>
      </c>
      <c r="E49" s="499">
        <v>1143546</v>
      </c>
      <c r="F49" s="500" t="s">
        <v>584</v>
      </c>
      <c r="G49" s="501">
        <v>226</v>
      </c>
      <c r="H49" s="502">
        <v>0</v>
      </c>
    </row>
    <row r="50" spans="1:8" s="11" customFormat="1">
      <c r="A50" s="497">
        <v>37</v>
      </c>
      <c r="B50" s="491" t="s">
        <v>601</v>
      </c>
      <c r="C50" s="498" t="s">
        <v>602</v>
      </c>
      <c r="D50" s="498" t="s">
        <v>574</v>
      </c>
      <c r="E50" s="499">
        <v>613793</v>
      </c>
      <c r="F50" s="500" t="s">
        <v>579</v>
      </c>
      <c r="G50" s="501">
        <v>0</v>
      </c>
      <c r="H50" s="502">
        <v>0</v>
      </c>
    </row>
    <row r="51" spans="1:8" s="11" customFormat="1">
      <c r="A51" s="497">
        <v>38</v>
      </c>
      <c r="B51" s="491" t="s">
        <v>603</v>
      </c>
      <c r="C51" s="498" t="s">
        <v>604</v>
      </c>
      <c r="D51" s="498" t="s">
        <v>605</v>
      </c>
      <c r="E51" s="499">
        <v>326863</v>
      </c>
      <c r="F51" s="500" t="s">
        <v>579</v>
      </c>
      <c r="G51" s="501">
        <v>1266</v>
      </c>
      <c r="H51" s="502">
        <v>0.05</v>
      </c>
    </row>
    <row r="52" spans="1:8" s="11" customFormat="1">
      <c r="A52" s="497">
        <v>39</v>
      </c>
      <c r="B52" s="491" t="s">
        <v>606</v>
      </c>
      <c r="C52" s="498" t="s">
        <v>607</v>
      </c>
      <c r="D52" s="498" t="s">
        <v>605</v>
      </c>
      <c r="E52" s="499">
        <v>415640</v>
      </c>
      <c r="F52" s="500" t="s">
        <v>579</v>
      </c>
      <c r="G52" s="501">
        <v>1204</v>
      </c>
      <c r="H52" s="502">
        <v>0.05</v>
      </c>
    </row>
    <row r="53" spans="1:8" s="11" customFormat="1">
      <c r="A53" s="497">
        <v>40</v>
      </c>
      <c r="B53" s="491" t="s">
        <v>608</v>
      </c>
      <c r="C53" s="498" t="s">
        <v>609</v>
      </c>
      <c r="D53" s="498" t="s">
        <v>605</v>
      </c>
      <c r="E53" s="499">
        <v>356426</v>
      </c>
      <c r="F53" s="500" t="s">
        <v>579</v>
      </c>
      <c r="G53" s="501">
        <v>1122</v>
      </c>
      <c r="H53" s="502">
        <v>0.05</v>
      </c>
    </row>
    <row r="54" spans="1:8" s="11" customFormat="1">
      <c r="A54" s="497">
        <v>41</v>
      </c>
      <c r="B54" s="491" t="s">
        <v>610</v>
      </c>
      <c r="C54" s="498" t="s">
        <v>611</v>
      </c>
      <c r="D54" s="498" t="s">
        <v>605</v>
      </c>
      <c r="E54" s="499">
        <v>414595</v>
      </c>
      <c r="F54" s="500" t="s">
        <v>579</v>
      </c>
      <c r="G54" s="501">
        <v>1093</v>
      </c>
      <c r="H54" s="502">
        <v>0.03</v>
      </c>
    </row>
    <row r="55" spans="1:8" s="11" customFormat="1">
      <c r="A55" s="497">
        <v>42</v>
      </c>
      <c r="B55" s="491" t="s">
        <v>612</v>
      </c>
      <c r="C55" s="498" t="s">
        <v>613</v>
      </c>
      <c r="D55" s="498" t="s">
        <v>605</v>
      </c>
      <c r="E55" s="499">
        <v>317854</v>
      </c>
      <c r="F55" s="500" t="s">
        <v>579</v>
      </c>
      <c r="G55" s="501">
        <v>1074</v>
      </c>
      <c r="H55" s="502">
        <v>0.03</v>
      </c>
    </row>
    <row r="56" spans="1:8" s="11" customFormat="1">
      <c r="A56" s="497">
        <v>43</v>
      </c>
      <c r="B56" s="491" t="s">
        <v>614</v>
      </c>
      <c r="C56" s="498" t="s">
        <v>615</v>
      </c>
      <c r="D56" s="498" t="s">
        <v>605</v>
      </c>
      <c r="E56" s="499">
        <v>403726</v>
      </c>
      <c r="F56" s="500" t="s">
        <v>579</v>
      </c>
      <c r="G56" s="501">
        <v>1058</v>
      </c>
      <c r="H56" s="502">
        <v>0.03</v>
      </c>
    </row>
    <row r="57" spans="1:8" s="11" customFormat="1">
      <c r="A57" s="497">
        <v>44</v>
      </c>
      <c r="B57" s="491" t="s">
        <v>616</v>
      </c>
      <c r="C57" s="498" t="s">
        <v>617</v>
      </c>
      <c r="D57" s="498" t="s">
        <v>605</v>
      </c>
      <c r="E57" s="499">
        <v>325185</v>
      </c>
      <c r="F57" s="500" t="s">
        <v>579</v>
      </c>
      <c r="G57" s="501">
        <v>963</v>
      </c>
      <c r="H57" s="502">
        <v>0.03</v>
      </c>
    </row>
    <row r="58" spans="1:8" s="11" customFormat="1">
      <c r="A58" s="497">
        <v>45</v>
      </c>
      <c r="B58" s="491" t="s">
        <v>618</v>
      </c>
      <c r="C58" s="498" t="s">
        <v>618</v>
      </c>
      <c r="D58" s="498" t="s">
        <v>605</v>
      </c>
      <c r="E58" s="499">
        <v>11514330</v>
      </c>
      <c r="F58" s="500" t="s">
        <v>579</v>
      </c>
      <c r="G58" s="501">
        <v>873</v>
      </c>
      <c r="H58" s="502">
        <v>0</v>
      </c>
    </row>
    <row r="59" spans="1:8" s="11" customFormat="1">
      <c r="A59" s="497">
        <v>46</v>
      </c>
      <c r="B59" s="491" t="s">
        <v>619</v>
      </c>
      <c r="C59" s="498" t="s">
        <v>620</v>
      </c>
      <c r="D59" s="498" t="s">
        <v>605</v>
      </c>
      <c r="E59" s="499">
        <v>889989</v>
      </c>
      <c r="F59" s="500" t="s">
        <v>579</v>
      </c>
      <c r="G59" s="501">
        <v>871</v>
      </c>
      <c r="H59" s="502">
        <v>0.03</v>
      </c>
    </row>
    <row r="60" spans="1:8" s="11" customFormat="1">
      <c r="A60" s="497">
        <v>47</v>
      </c>
      <c r="B60" s="491" t="s">
        <v>621</v>
      </c>
      <c r="C60" s="498" t="s">
        <v>622</v>
      </c>
      <c r="D60" s="498" t="s">
        <v>605</v>
      </c>
      <c r="E60" s="499">
        <v>501129</v>
      </c>
      <c r="F60" s="500" t="s">
        <v>579</v>
      </c>
      <c r="G60" s="501">
        <v>856</v>
      </c>
      <c r="H60" s="502">
        <v>0.03</v>
      </c>
    </row>
    <row r="61" spans="1:8" s="11" customFormat="1">
      <c r="A61" s="497">
        <v>48</v>
      </c>
      <c r="B61" s="491" t="s">
        <v>623</v>
      </c>
      <c r="C61" s="498" t="s">
        <v>624</v>
      </c>
      <c r="D61" s="498" t="s">
        <v>605</v>
      </c>
      <c r="E61" s="499">
        <v>591486</v>
      </c>
      <c r="F61" s="500" t="s">
        <v>579</v>
      </c>
      <c r="G61" s="501">
        <v>801</v>
      </c>
      <c r="H61" s="502">
        <v>0.03</v>
      </c>
    </row>
    <row r="62" spans="1:8" s="11" customFormat="1">
      <c r="A62" s="497">
        <v>49</v>
      </c>
      <c r="B62" s="491" t="s">
        <v>625</v>
      </c>
      <c r="C62" s="498" t="s">
        <v>626</v>
      </c>
      <c r="D62" s="498" t="s">
        <v>605</v>
      </c>
      <c r="E62" s="499">
        <v>268617</v>
      </c>
      <c r="F62" s="500" t="s">
        <v>579</v>
      </c>
      <c r="G62" s="501">
        <v>792</v>
      </c>
      <c r="H62" s="502">
        <v>0.03</v>
      </c>
    </row>
    <row r="63" spans="1:8" s="11" customFormat="1">
      <c r="A63" s="497">
        <v>50</v>
      </c>
      <c r="B63" s="491" t="s">
        <v>627</v>
      </c>
      <c r="C63" s="498" t="s">
        <v>628</v>
      </c>
      <c r="D63" s="498" t="s">
        <v>605</v>
      </c>
      <c r="E63" s="499">
        <v>508124</v>
      </c>
      <c r="F63" s="500" t="s">
        <v>579</v>
      </c>
      <c r="G63" s="501">
        <v>782</v>
      </c>
      <c r="H63" s="502">
        <v>0.03</v>
      </c>
    </row>
    <row r="64" spans="1:8" s="11" customFormat="1">
      <c r="A64" s="497">
        <v>51</v>
      </c>
      <c r="B64" s="491" t="s">
        <v>629</v>
      </c>
      <c r="C64" s="498" t="s">
        <v>630</v>
      </c>
      <c r="D64" s="498" t="s">
        <v>605</v>
      </c>
      <c r="E64" s="499">
        <v>409277</v>
      </c>
      <c r="F64" s="500" t="s">
        <v>579</v>
      </c>
      <c r="G64" s="501">
        <v>685</v>
      </c>
      <c r="H64" s="502">
        <v>0.03</v>
      </c>
    </row>
    <row r="65" spans="1:8" s="11" customFormat="1" ht="30">
      <c r="A65" s="497">
        <v>52</v>
      </c>
      <c r="B65" s="491" t="s">
        <v>631</v>
      </c>
      <c r="C65" s="498" t="s">
        <v>632</v>
      </c>
      <c r="D65" s="498" t="s">
        <v>605</v>
      </c>
      <c r="E65" s="499">
        <v>348256</v>
      </c>
      <c r="F65" s="500" t="s">
        <v>579</v>
      </c>
      <c r="G65" s="501">
        <v>683</v>
      </c>
      <c r="H65" s="496">
        <v>0.03</v>
      </c>
    </row>
    <row r="66" spans="1:8" s="11" customFormat="1">
      <c r="A66" s="497">
        <v>53</v>
      </c>
      <c r="B66" s="491" t="s">
        <v>633</v>
      </c>
      <c r="C66" s="498" t="s">
        <v>634</v>
      </c>
      <c r="D66" s="498" t="s">
        <v>605</v>
      </c>
      <c r="E66" s="499">
        <v>525062</v>
      </c>
      <c r="F66" s="500" t="s">
        <v>579</v>
      </c>
      <c r="G66" s="501">
        <v>676</v>
      </c>
      <c r="H66" s="502">
        <v>0.03</v>
      </c>
    </row>
    <row r="67" spans="1:8" s="11" customFormat="1">
      <c r="A67" s="497">
        <v>54</v>
      </c>
      <c r="B67" s="491" t="s">
        <v>635</v>
      </c>
      <c r="C67" s="498" t="s">
        <v>636</v>
      </c>
      <c r="D67" s="498" t="s">
        <v>605</v>
      </c>
      <c r="E67" s="499">
        <v>280457</v>
      </c>
      <c r="F67" s="500" t="s">
        <v>579</v>
      </c>
      <c r="G67" s="501">
        <v>637</v>
      </c>
      <c r="H67" s="502">
        <v>0.03</v>
      </c>
    </row>
    <row r="68" spans="1:8" s="11" customFormat="1">
      <c r="A68" s="497">
        <v>55</v>
      </c>
      <c r="B68" s="491" t="s">
        <v>637</v>
      </c>
      <c r="C68" s="498" t="s">
        <v>638</v>
      </c>
      <c r="D68" s="498" t="s">
        <v>639</v>
      </c>
      <c r="E68" s="499">
        <v>307664</v>
      </c>
      <c r="F68" s="500" t="s">
        <v>579</v>
      </c>
      <c r="G68" s="501">
        <v>2392</v>
      </c>
      <c r="H68" s="503">
        <v>0.1</v>
      </c>
    </row>
    <row r="69" spans="1:8" s="70" customFormat="1" ht="30">
      <c r="A69" s="497">
        <v>56</v>
      </c>
      <c r="B69" s="491" t="s">
        <v>640</v>
      </c>
      <c r="C69" s="504" t="s">
        <v>641</v>
      </c>
      <c r="D69" s="504" t="s">
        <v>639</v>
      </c>
      <c r="E69" s="505">
        <v>431491</v>
      </c>
      <c r="F69" s="506" t="s">
        <v>642</v>
      </c>
      <c r="G69" s="507">
        <v>2145</v>
      </c>
      <c r="H69" s="508">
        <v>0.1</v>
      </c>
    </row>
    <row r="70" spans="1:8" s="11" customFormat="1">
      <c r="A70" s="497">
        <v>57</v>
      </c>
      <c r="B70" s="491" t="s">
        <v>643</v>
      </c>
      <c r="C70" s="498" t="s">
        <v>644</v>
      </c>
      <c r="D70" s="498" t="s">
        <v>639</v>
      </c>
      <c r="E70" s="499">
        <v>263540</v>
      </c>
      <c r="F70" s="500" t="s">
        <v>579</v>
      </c>
      <c r="G70" s="501">
        <v>1689</v>
      </c>
      <c r="H70" s="502">
        <v>0.05</v>
      </c>
    </row>
    <row r="71" spans="1:8" s="11" customFormat="1">
      <c r="A71" s="497">
        <v>58</v>
      </c>
      <c r="B71" s="491" t="s">
        <v>645</v>
      </c>
      <c r="C71" s="498" t="s">
        <v>646</v>
      </c>
      <c r="D71" s="498" t="s">
        <v>639</v>
      </c>
      <c r="E71" s="499">
        <v>203281</v>
      </c>
      <c r="F71" s="500" t="s">
        <v>579</v>
      </c>
      <c r="G71" s="501">
        <v>1618</v>
      </c>
      <c r="H71" s="502">
        <v>0.05</v>
      </c>
    </row>
    <row r="72" spans="1:8" s="11" customFormat="1" ht="30">
      <c r="A72" s="497">
        <v>59</v>
      </c>
      <c r="B72" s="491" t="s">
        <v>647</v>
      </c>
      <c r="C72" s="498" t="s">
        <v>648</v>
      </c>
      <c r="D72" s="498" t="s">
        <v>639</v>
      </c>
      <c r="E72" s="499">
        <v>348716</v>
      </c>
      <c r="F72" s="500" t="s">
        <v>579</v>
      </c>
      <c r="G72" s="501">
        <v>1589</v>
      </c>
      <c r="H72" s="496">
        <v>0.05</v>
      </c>
    </row>
    <row r="73" spans="1:8" s="11" customFormat="1">
      <c r="A73" s="497">
        <v>60</v>
      </c>
      <c r="B73" s="491" t="s">
        <v>649</v>
      </c>
      <c r="C73" s="498" t="s">
        <v>649</v>
      </c>
      <c r="D73" s="498" t="s">
        <v>639</v>
      </c>
      <c r="E73" s="499">
        <v>4848742</v>
      </c>
      <c r="F73" s="500" t="s">
        <v>579</v>
      </c>
      <c r="G73" s="501">
        <v>1576</v>
      </c>
      <c r="H73" s="502">
        <v>0.05</v>
      </c>
    </row>
    <row r="74" spans="1:8" s="11" customFormat="1">
      <c r="A74" s="497">
        <v>61</v>
      </c>
      <c r="B74" s="491" t="s">
        <v>650</v>
      </c>
      <c r="C74" s="498" t="s">
        <v>651</v>
      </c>
      <c r="D74" s="498" t="s">
        <v>639</v>
      </c>
      <c r="E74" s="499">
        <v>218724</v>
      </c>
      <c r="F74" s="500" t="s">
        <v>579</v>
      </c>
      <c r="G74" s="501">
        <v>1452</v>
      </c>
      <c r="H74" s="502">
        <v>0.05</v>
      </c>
    </row>
    <row r="75" spans="1:8" s="70" customFormat="1">
      <c r="A75" s="497">
        <v>62</v>
      </c>
      <c r="B75" s="491" t="s">
        <v>652</v>
      </c>
      <c r="C75" s="504" t="s">
        <v>653</v>
      </c>
      <c r="D75" s="504" t="s">
        <v>639</v>
      </c>
      <c r="E75" s="505">
        <v>235006</v>
      </c>
      <c r="F75" s="506" t="s">
        <v>579</v>
      </c>
      <c r="G75" s="507">
        <v>1008</v>
      </c>
      <c r="H75" s="509">
        <v>0.1</v>
      </c>
    </row>
    <row r="76" spans="1:8" s="70" customFormat="1">
      <c r="A76" s="497">
        <v>63</v>
      </c>
      <c r="B76" s="491" t="s">
        <v>654</v>
      </c>
      <c r="C76" s="504" t="s">
        <v>655</v>
      </c>
      <c r="D76" s="504" t="s">
        <v>639</v>
      </c>
      <c r="E76" s="505">
        <v>301642</v>
      </c>
      <c r="F76" s="506" t="s">
        <v>579</v>
      </c>
      <c r="G76" s="507">
        <v>994</v>
      </c>
      <c r="H76" s="509">
        <v>0.05</v>
      </c>
    </row>
    <row r="77" spans="1:8" s="11" customFormat="1">
      <c r="A77" s="497">
        <v>64</v>
      </c>
      <c r="B77" s="491" t="s">
        <v>656</v>
      </c>
      <c r="C77" s="498" t="s">
        <v>657</v>
      </c>
      <c r="D77" s="498" t="s">
        <v>658</v>
      </c>
      <c r="E77" s="499">
        <v>577990</v>
      </c>
      <c r="F77" s="500" t="s">
        <v>579</v>
      </c>
      <c r="G77" s="501">
        <v>1649</v>
      </c>
      <c r="H77" s="502">
        <v>0.05</v>
      </c>
    </row>
    <row r="78" spans="1:8" s="11" customFormat="1" ht="30">
      <c r="A78" s="497">
        <v>65</v>
      </c>
      <c r="B78" s="491" t="s">
        <v>659</v>
      </c>
      <c r="C78" s="498" t="s">
        <v>660</v>
      </c>
      <c r="D78" s="498" t="s">
        <v>658</v>
      </c>
      <c r="E78" s="499">
        <v>311635</v>
      </c>
      <c r="F78" s="500" t="s">
        <v>579</v>
      </c>
      <c r="G78" s="501">
        <v>1631</v>
      </c>
      <c r="H78" s="496">
        <v>0.05</v>
      </c>
    </row>
    <row r="79" spans="1:8" s="11" customFormat="1">
      <c r="A79" s="497">
        <v>66</v>
      </c>
      <c r="B79" s="491" t="s">
        <v>661</v>
      </c>
      <c r="C79" s="498" t="s">
        <v>662</v>
      </c>
      <c r="D79" s="498" t="s">
        <v>658</v>
      </c>
      <c r="E79" s="499">
        <v>271596</v>
      </c>
      <c r="F79" s="500" t="s">
        <v>579</v>
      </c>
      <c r="G79" s="501">
        <v>1629</v>
      </c>
      <c r="H79" s="502">
        <v>0.05</v>
      </c>
    </row>
    <row r="80" spans="1:8" s="11" customFormat="1">
      <c r="A80" s="497">
        <v>67</v>
      </c>
      <c r="B80" s="491" t="s">
        <v>663</v>
      </c>
      <c r="C80" s="498" t="s">
        <v>664</v>
      </c>
      <c r="D80" s="498" t="s">
        <v>658</v>
      </c>
      <c r="E80" s="499">
        <v>240095</v>
      </c>
      <c r="F80" s="500" t="s">
        <v>579</v>
      </c>
      <c r="G80" s="501">
        <v>1512</v>
      </c>
      <c r="H80" s="502">
        <v>0.05</v>
      </c>
    </row>
    <row r="81" spans="1:8" s="11" customFormat="1">
      <c r="A81" s="497">
        <v>68</v>
      </c>
      <c r="B81" s="491" t="s">
        <v>665</v>
      </c>
      <c r="C81" s="498" t="s">
        <v>665</v>
      </c>
      <c r="D81" s="498" t="s">
        <v>658</v>
      </c>
      <c r="E81" s="499">
        <v>398266</v>
      </c>
      <c r="F81" s="500" t="s">
        <v>579</v>
      </c>
      <c r="G81" s="501">
        <v>1371</v>
      </c>
      <c r="H81" s="502">
        <v>0.05</v>
      </c>
    </row>
    <row r="82" spans="1:8" s="11" customFormat="1">
      <c r="A82" s="497">
        <v>69</v>
      </c>
      <c r="B82" s="491" t="s">
        <v>666</v>
      </c>
      <c r="C82" s="498" t="s">
        <v>667</v>
      </c>
      <c r="D82" s="498" t="s">
        <v>668</v>
      </c>
      <c r="E82" s="499">
        <v>744933</v>
      </c>
      <c r="F82" s="500" t="s">
        <v>579</v>
      </c>
      <c r="G82" s="501">
        <v>1558</v>
      </c>
      <c r="H82" s="502">
        <v>0.05</v>
      </c>
    </row>
    <row r="83" spans="1:8" s="11" customFormat="1">
      <c r="A83" s="497">
        <v>70</v>
      </c>
      <c r="B83" s="491" t="s">
        <v>669</v>
      </c>
      <c r="C83" s="498" t="s">
        <v>670</v>
      </c>
      <c r="D83" s="498" t="s">
        <v>668</v>
      </c>
      <c r="E83" s="499">
        <v>1089851</v>
      </c>
      <c r="F83" s="500" t="s">
        <v>579</v>
      </c>
      <c r="G83" s="501">
        <v>1285</v>
      </c>
      <c r="H83" s="502">
        <v>0.05</v>
      </c>
    </row>
    <row r="84" spans="1:8" s="11" customFormat="1">
      <c r="A84" s="497">
        <v>71</v>
      </c>
      <c r="B84" s="491" t="s">
        <v>671</v>
      </c>
      <c r="C84" s="498" t="s">
        <v>672</v>
      </c>
      <c r="D84" s="498" t="s">
        <v>668</v>
      </c>
      <c r="E84" s="499">
        <v>520662</v>
      </c>
      <c r="F84" s="500" t="s">
        <v>579</v>
      </c>
      <c r="G84" s="501">
        <v>1243</v>
      </c>
      <c r="H84" s="502">
        <v>0.05</v>
      </c>
    </row>
    <row r="85" spans="1:8" s="11" customFormat="1">
      <c r="A85" s="533">
        <v>72</v>
      </c>
      <c r="B85" s="534" t="s">
        <v>685</v>
      </c>
      <c r="C85" s="535" t="s">
        <v>686</v>
      </c>
      <c r="D85" s="498" t="s">
        <v>668</v>
      </c>
      <c r="E85" s="536"/>
      <c r="F85" s="537"/>
      <c r="G85" s="538"/>
      <c r="H85" s="539">
        <v>0.05</v>
      </c>
    </row>
    <row r="86" spans="1:8" s="11" customFormat="1" ht="30">
      <c r="A86" s="497">
        <v>73</v>
      </c>
      <c r="B86" s="491" t="s">
        <v>673</v>
      </c>
      <c r="C86" s="498" t="s">
        <v>674</v>
      </c>
      <c r="D86" s="498" t="s">
        <v>668</v>
      </c>
      <c r="E86" s="499">
        <v>1021244</v>
      </c>
      <c r="F86" s="500" t="s">
        <v>579</v>
      </c>
      <c r="G86" s="501">
        <v>806</v>
      </c>
      <c r="H86" s="496">
        <v>0.03</v>
      </c>
    </row>
    <row r="87" spans="1:8" s="11" customFormat="1">
      <c r="A87" s="497">
        <v>74</v>
      </c>
      <c r="B87" s="510" t="s">
        <v>675</v>
      </c>
      <c r="C87" s="498" t="s">
        <v>676</v>
      </c>
      <c r="D87" s="498"/>
      <c r="E87" s="499">
        <v>393500</v>
      </c>
      <c r="F87" s="500" t="s">
        <v>579</v>
      </c>
      <c r="G87" s="501">
        <v>1992</v>
      </c>
      <c r="H87" s="503">
        <v>0.1</v>
      </c>
    </row>
    <row r="88" spans="1:8" s="11" customFormat="1" ht="44.25" customHeight="1">
      <c r="A88" s="4062"/>
      <c r="B88" s="4062"/>
      <c r="C88" s="4062"/>
      <c r="D88" s="4062"/>
      <c r="E88" s="4062"/>
      <c r="F88" s="4062"/>
      <c r="G88" s="511"/>
      <c r="H88" s="512"/>
    </row>
    <row r="89" spans="1:8" s="512" customFormat="1">
      <c r="A89" s="4062"/>
      <c r="B89" s="4062"/>
      <c r="C89" s="4062"/>
      <c r="D89" s="4062"/>
      <c r="E89" s="4062"/>
      <c r="F89" s="4062"/>
      <c r="G89" s="511"/>
    </row>
  </sheetData>
  <autoFilter ref="A13:H87"/>
  <mergeCells count="2">
    <mergeCell ref="A88:F88"/>
    <mergeCell ref="A89:F89"/>
  </mergeCells>
  <pageMargins left="0.70866141732283472" right="0.70866141732283472" top="0.74803149606299213" bottom="0.74803149606299213" header="0.31496062992125984" footer="0.31496062992125984"/>
  <pageSetup paperSize="9" scale="90" orientation="portrait" r:id="rId1"/>
  <rowBreaks count="1" manualBreakCount="1">
    <brk id="50" max="16383" man="1"/>
  </rowBreak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">
    <tabColor rgb="FFFF0000"/>
  </sheetPr>
  <dimension ref="A1:P32"/>
  <sheetViews>
    <sheetView view="pageBreakPreview" topLeftCell="A3" zoomScaleNormal="100" zoomScaleSheetLayoutView="100" workbookViewId="0">
      <selection activeCell="E25" sqref="E25"/>
    </sheetView>
  </sheetViews>
  <sheetFormatPr defaultColWidth="9.140625" defaultRowHeight="15" outlineLevelRow="1" outlineLevelCol="1"/>
  <cols>
    <col min="1" max="1" width="13.5703125" style="720" customWidth="1"/>
    <col min="2" max="2" width="18.85546875" style="720" customWidth="1"/>
    <col min="3" max="3" width="8.140625" style="1139" hidden="1" customWidth="1" outlineLevel="1"/>
    <col min="4" max="4" width="13.5703125" style="1139" hidden="1" customWidth="1" outlineLevel="1"/>
    <col min="5" max="5" width="18" style="717" customWidth="1" collapsed="1"/>
    <col min="6" max="6" width="13.85546875" style="1128" hidden="1" customWidth="1" outlineLevel="1"/>
    <col min="7" max="7" width="22.140625" style="719" customWidth="1" collapsed="1"/>
    <col min="8" max="8" width="9.140625" style="719"/>
    <col min="9" max="9" width="16.28515625" style="719" customWidth="1"/>
    <col min="10" max="16384" width="9.140625" style="719"/>
  </cols>
  <sheetData>
    <row r="1" spans="1:16" ht="39" hidden="1" customHeight="1" outlineLevel="1">
      <c r="B1" s="735" t="s">
        <v>923</v>
      </c>
    </row>
    <row r="2" spans="1:16" ht="210.75" hidden="1" customHeight="1" outlineLevel="1">
      <c r="B2" s="4063" t="s">
        <v>924</v>
      </c>
      <c r="C2" s="4063"/>
      <c r="D2" s="4063"/>
      <c r="E2" s="4063"/>
      <c r="F2" s="4063"/>
      <c r="G2" s="4063"/>
    </row>
    <row r="3" spans="1:16" ht="15.75" collapsed="1" thickBot="1">
      <c r="A3" s="716"/>
      <c r="F3" s="1142"/>
      <c r="G3" s="718"/>
    </row>
    <row r="4" spans="1:16" ht="15.75" thickBot="1">
      <c r="A4" s="716" t="s">
        <v>918</v>
      </c>
      <c r="B4" s="749">
        <v>1</v>
      </c>
    </row>
    <row r="5" spans="1:16">
      <c r="B5" s="720" t="s">
        <v>919</v>
      </c>
    </row>
    <row r="6" spans="1:16">
      <c r="I6" s="720" t="s">
        <v>241</v>
      </c>
    </row>
    <row r="7" spans="1:16">
      <c r="I7" s="720" t="s">
        <v>241</v>
      </c>
    </row>
    <row r="8" spans="1:16" ht="45">
      <c r="A8" s="702" t="s">
        <v>913</v>
      </c>
      <c r="B8" s="721"/>
      <c r="C8" s="1140"/>
      <c r="D8" s="1140"/>
      <c r="E8" s="722" t="s">
        <v>917</v>
      </c>
      <c r="F8" s="1143"/>
      <c r="G8" s="858" t="s">
        <v>1190</v>
      </c>
      <c r="I8" s="723"/>
    </row>
    <row r="9" spans="1:16" s="723" customFormat="1" collapsed="1">
      <c r="A9" s="736"/>
      <c r="B9" s="724" t="s">
        <v>2996</v>
      </c>
      <c r="C9" s="1138"/>
      <c r="D9" s="1138"/>
      <c r="E9" s="725"/>
      <c r="F9" s="1137"/>
      <c r="G9" s="859"/>
      <c r="O9" s="857"/>
      <c r="P9" s="857"/>
    </row>
    <row r="10" spans="1:16" s="1128" customFormat="1" hidden="1">
      <c r="A10" s="1124">
        <v>1.65</v>
      </c>
      <c r="B10" s="1125" t="s">
        <v>916</v>
      </c>
      <c r="C10" s="1126">
        <f>1-E10</f>
        <v>0</v>
      </c>
      <c r="D10" s="1126">
        <f>IF(C10&lt;=0,C24,C10)</f>
        <v>1</v>
      </c>
      <c r="E10" s="1127">
        <f>E11</f>
        <v>1</v>
      </c>
      <c r="F10" s="1126">
        <f>G10</f>
        <v>1</v>
      </c>
      <c r="G10" s="860">
        <f>G13</f>
        <v>1</v>
      </c>
    </row>
    <row r="11" spans="1:16" s="1128" customFormat="1" hidden="1">
      <c r="A11" s="1124">
        <v>1.65</v>
      </c>
      <c r="B11" s="1125" t="s">
        <v>1005</v>
      </c>
      <c r="C11" s="1126">
        <f>1-E11</f>
        <v>0</v>
      </c>
      <c r="D11" s="1126">
        <f>IF(C11&lt;=0,C24,C11)</f>
        <v>1</v>
      </c>
      <c r="E11" s="1127">
        <f>E13</f>
        <v>1</v>
      </c>
      <c r="F11" s="1126">
        <f>G11</f>
        <v>1</v>
      </c>
      <c r="G11" s="860">
        <f>G13</f>
        <v>1</v>
      </c>
      <c r="I11" s="1129"/>
      <c r="L11" s="1130"/>
    </row>
    <row r="12" spans="1:16" s="1129" customFormat="1" ht="33.75" hidden="1">
      <c r="A12" s="1131"/>
      <c r="B12" s="1132" t="s">
        <v>921</v>
      </c>
      <c r="C12" s="1133"/>
      <c r="D12" s="1133"/>
      <c r="E12" s="1133"/>
      <c r="F12" s="1133"/>
      <c r="G12" s="1133"/>
      <c r="I12" s="1128"/>
      <c r="L12" s="1134"/>
    </row>
    <row r="13" spans="1:16">
      <c r="A13" s="704">
        <v>1.65</v>
      </c>
      <c r="B13" s="726"/>
      <c r="C13" s="1126">
        <f>1-E13</f>
        <v>0</v>
      </c>
      <c r="D13" s="1126">
        <f>IF(C13&lt;=0,C24,C13)</f>
        <v>1</v>
      </c>
      <c r="E13" s="727">
        <v>1</v>
      </c>
      <c r="F13" s="1126">
        <f>G13</f>
        <v>1</v>
      </c>
      <c r="G13" s="727">
        <v>1</v>
      </c>
      <c r="I13" s="728"/>
      <c r="L13" s="717"/>
    </row>
    <row r="14" spans="1:16" s="728" customFormat="1" ht="22.5" hidden="1" outlineLevel="1">
      <c r="A14" s="705"/>
      <c r="B14" s="729" t="s">
        <v>914</v>
      </c>
      <c r="C14" s="1133"/>
      <c r="D14" s="1133"/>
      <c r="E14" s="730"/>
      <c r="F14" s="1133"/>
      <c r="G14" s="730"/>
      <c r="I14" s="719"/>
    </row>
    <row r="15" spans="1:16" hidden="1">
      <c r="A15" s="704">
        <v>1.65</v>
      </c>
      <c r="B15" s="726" t="s">
        <v>61</v>
      </c>
      <c r="C15" s="1126">
        <f>1-E15</f>
        <v>0</v>
      </c>
      <c r="D15" s="1126">
        <f>IF(C15&lt;=0,C24,C15)</f>
        <v>1</v>
      </c>
      <c r="E15" s="727">
        <f>E13</f>
        <v>1</v>
      </c>
      <c r="F15" s="1126">
        <f>G15</f>
        <v>1</v>
      </c>
      <c r="G15" s="727">
        <f>G13</f>
        <v>1</v>
      </c>
      <c r="I15" s="728"/>
    </row>
    <row r="16" spans="1:16" s="728" customFormat="1" ht="22.5" hidden="1" outlineLevel="1">
      <c r="A16" s="705"/>
      <c r="B16" s="729" t="s">
        <v>920</v>
      </c>
      <c r="C16" s="1133"/>
      <c r="D16" s="1133"/>
      <c r="E16" s="730"/>
      <c r="F16" s="1133"/>
      <c r="G16" s="730"/>
      <c r="I16" s="719"/>
    </row>
    <row r="17" spans="1:9" s="1128" customFormat="1" hidden="1">
      <c r="A17" s="1124">
        <v>1.65</v>
      </c>
      <c r="B17" s="1125" t="s">
        <v>902</v>
      </c>
      <c r="C17" s="1126">
        <f>1-E17</f>
        <v>0</v>
      </c>
      <c r="D17" s="1126">
        <f>IF(C17&lt;=0,C24,C17)</f>
        <v>1</v>
      </c>
      <c r="E17" s="1127">
        <f>E11</f>
        <v>1</v>
      </c>
      <c r="F17" s="1126">
        <f>G17</f>
        <v>1</v>
      </c>
      <c r="G17" s="860">
        <f>G11</f>
        <v>1</v>
      </c>
      <c r="I17" s="1129"/>
    </row>
    <row r="18" spans="1:9" s="1135" customFormat="1" hidden="1">
      <c r="A18" s="1136"/>
      <c r="B18" s="724" t="s">
        <v>909</v>
      </c>
      <c r="C18" s="1137"/>
      <c r="D18" s="1137"/>
      <c r="E18" s="1138"/>
      <c r="F18" s="1137"/>
      <c r="G18" s="859"/>
      <c r="I18" s="1128"/>
    </row>
    <row r="19" spans="1:9" s="1128" customFormat="1" hidden="1">
      <c r="A19" s="1124">
        <v>1.65</v>
      </c>
      <c r="B19" s="1125" t="s">
        <v>1004</v>
      </c>
      <c r="C19" s="1126">
        <f>1-E19</f>
        <v>0</v>
      </c>
      <c r="D19" s="1126">
        <f>IF(C19&lt;=0,C24,C19)</f>
        <v>1</v>
      </c>
      <c r="E19" s="1127">
        <f>E11</f>
        <v>1</v>
      </c>
      <c r="F19" s="1126">
        <f>G19</f>
        <v>1</v>
      </c>
      <c r="G19" s="860">
        <f>G21</f>
        <v>1</v>
      </c>
    </row>
    <row r="20" spans="1:9" s="1128" customFormat="1" hidden="1">
      <c r="A20" s="1124">
        <v>1.65</v>
      </c>
      <c r="B20" s="1125" t="s">
        <v>910</v>
      </c>
      <c r="C20" s="1126">
        <f>1-E20</f>
        <v>0</v>
      </c>
      <c r="D20" s="1126">
        <f>IF(C20&lt;=0,C24,C20)</f>
        <v>1</v>
      </c>
      <c r="E20" s="1127">
        <f>E19</f>
        <v>1</v>
      </c>
      <c r="F20" s="1126">
        <f>G20</f>
        <v>1</v>
      </c>
      <c r="G20" s="860">
        <f>G21</f>
        <v>1</v>
      </c>
    </row>
    <row r="21" spans="1:9" s="1128" customFormat="1" hidden="1">
      <c r="A21" s="1124">
        <v>1.65</v>
      </c>
      <c r="B21" s="1125" t="s">
        <v>911</v>
      </c>
      <c r="C21" s="1126">
        <f>1-E21</f>
        <v>0</v>
      </c>
      <c r="D21" s="1126">
        <f>IF(C21&lt;=0,C24,C21)</f>
        <v>1</v>
      </c>
      <c r="E21" s="1127">
        <f>E13</f>
        <v>1</v>
      </c>
      <c r="F21" s="1126">
        <f>G21</f>
        <v>1</v>
      </c>
      <c r="G21" s="860">
        <f>G13</f>
        <v>1</v>
      </c>
      <c r="I21" s="1135"/>
    </row>
    <row r="22" spans="1:9" s="723" customFormat="1" hidden="1" collapsed="1">
      <c r="A22" s="703"/>
      <c r="B22" s="724" t="s">
        <v>236</v>
      </c>
      <c r="C22" s="1137"/>
      <c r="D22" s="1137"/>
      <c r="E22" s="725"/>
      <c r="F22" s="1137"/>
      <c r="G22" s="859"/>
      <c r="I22" s="719"/>
    </row>
    <row r="23" spans="1:9" hidden="1">
      <c r="A23" s="704">
        <v>1.37</v>
      </c>
      <c r="B23" s="726" t="s">
        <v>236</v>
      </c>
      <c r="C23" s="1141">
        <f>1-E23</f>
        <v>0</v>
      </c>
      <c r="D23" s="1141">
        <f>IF(C23&lt;=0,C24,C23)</f>
        <v>1</v>
      </c>
      <c r="E23" s="731">
        <v>1</v>
      </c>
      <c r="F23" s="1141">
        <f>G23</f>
        <v>1</v>
      </c>
      <c r="G23" s="731">
        <v>1</v>
      </c>
      <c r="I23" s="732"/>
    </row>
    <row r="24" spans="1:9" s="732" customFormat="1" hidden="1">
      <c r="A24" s="733"/>
      <c r="B24" s="733"/>
      <c r="C24" s="1139">
        <v>1</v>
      </c>
      <c r="D24" s="1139"/>
      <c r="E24" s="734"/>
      <c r="F24" s="1139"/>
      <c r="G24" s="734"/>
      <c r="I24" s="719"/>
    </row>
    <row r="26" spans="1:9" hidden="1">
      <c r="A26" s="720" t="s">
        <v>1487</v>
      </c>
    </row>
    <row r="27" spans="1:9" ht="21" hidden="1">
      <c r="A27" s="1188" t="s">
        <v>1741</v>
      </c>
      <c r="B27" s="1189"/>
      <c r="C27" s="1288"/>
    </row>
    <row r="28" spans="1:9" ht="21" hidden="1">
      <c r="A28" s="1188" t="s">
        <v>1425</v>
      </c>
      <c r="B28" s="1189"/>
      <c r="C28" s="1288"/>
    </row>
    <row r="29" spans="1:9" ht="21" hidden="1">
      <c r="A29" s="1188" t="s">
        <v>736</v>
      </c>
      <c r="B29" s="1189"/>
      <c r="C29" s="1288"/>
    </row>
    <row r="30" spans="1:9" ht="21" hidden="1">
      <c r="A30" s="1188" t="s">
        <v>205</v>
      </c>
      <c r="B30" s="1189"/>
      <c r="C30" s="1288"/>
    </row>
    <row r="31" spans="1:9" ht="21" hidden="1">
      <c r="A31" s="1188" t="s">
        <v>1482</v>
      </c>
      <c r="B31" s="1189"/>
      <c r="C31" s="1288"/>
    </row>
    <row r="32" spans="1:9" ht="21" hidden="1">
      <c r="A32" s="1188" t="s">
        <v>1483</v>
      </c>
      <c r="B32" s="1189"/>
      <c r="C32" s="1288"/>
    </row>
  </sheetData>
  <sheetProtection formatColumns="0" insertColumns="0" deleteColumns="0"/>
  <mergeCells count="1">
    <mergeCell ref="B2:G2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34"/>
  <dimension ref="A1:J274"/>
  <sheetViews>
    <sheetView tabSelected="1" view="pageBreakPreview" zoomScaleNormal="100" zoomScaleSheetLayoutView="100" workbookViewId="0">
      <pane ySplit="1" topLeftCell="A6" activePane="bottomLeft" state="frozen"/>
      <selection pane="bottomLeft" activeCell="F267" sqref="F267"/>
    </sheetView>
  </sheetViews>
  <sheetFormatPr defaultColWidth="9.140625" defaultRowHeight="15" outlineLevelRow="2"/>
  <cols>
    <col min="1" max="1" width="18.7109375" style="654" customWidth="1"/>
    <col min="2" max="2" width="12.42578125" style="669" customWidth="1"/>
    <col min="3" max="3" width="4.42578125" style="667" customWidth="1"/>
    <col min="4" max="4" width="31" style="129" customWidth="1"/>
    <col min="5" max="5" width="46" style="654" bestFit="1" customWidth="1"/>
    <col min="6" max="6" width="32" style="129" customWidth="1"/>
    <col min="7" max="7" width="23.140625" style="129" customWidth="1"/>
    <col min="8" max="8" width="9" style="129" hidden="1" customWidth="1"/>
    <col min="9" max="9" width="10.28515625" style="129" hidden="1" customWidth="1"/>
    <col min="10" max="10" width="12.7109375" style="129" hidden="1" customWidth="1"/>
    <col min="11" max="16384" width="9.140625" style="129"/>
  </cols>
  <sheetData>
    <row r="1" spans="1:7" s="2306" customFormat="1">
      <c r="A1" s="2303"/>
      <c r="B1" s="2303" t="s">
        <v>490</v>
      </c>
      <c r="C1" s="2304"/>
      <c r="D1" s="2303"/>
      <c r="E1" s="2305"/>
    </row>
    <row r="3" spans="1:7">
      <c r="A3" s="627"/>
    </row>
    <row r="4" spans="1:7" ht="18.75">
      <c r="A4" s="675" t="s">
        <v>738</v>
      </c>
      <c r="C4" s="668"/>
    </row>
    <row r="5" spans="1:7" ht="15.75" thickBot="1"/>
    <row r="6" spans="1:7" s="670" customFormat="1" ht="27" customHeight="1">
      <c r="A6" s="845" t="s">
        <v>780</v>
      </c>
      <c r="B6" s="846" t="s">
        <v>739</v>
      </c>
      <c r="C6" s="847" t="s">
        <v>272</v>
      </c>
      <c r="D6" s="846" t="s">
        <v>811</v>
      </c>
      <c r="E6" s="846" t="s">
        <v>812</v>
      </c>
      <c r="F6" s="848" t="s">
        <v>740</v>
      </c>
    </row>
    <row r="7" spans="1:7" s="652" customFormat="1" ht="54.75" hidden="1" customHeight="1" outlineLevel="1">
      <c r="A7" s="4118" t="s">
        <v>815</v>
      </c>
      <c r="B7" s="871" t="s">
        <v>816</v>
      </c>
      <c r="C7" s="682"/>
      <c r="D7" s="4122" t="s">
        <v>783</v>
      </c>
      <c r="E7" s="4122"/>
      <c r="F7" s="4123"/>
      <c r="G7" s="683"/>
    </row>
    <row r="8" spans="1:7" s="652" customFormat="1" ht="26.25" hidden="1" customHeight="1" outlineLevel="1">
      <c r="A8" s="4118"/>
      <c r="B8" s="4119" t="s">
        <v>817</v>
      </c>
      <c r="C8" s="868">
        <v>1</v>
      </c>
      <c r="D8" s="653"/>
      <c r="E8" s="655" t="s">
        <v>781</v>
      </c>
      <c r="F8" s="840" t="s">
        <v>455</v>
      </c>
    </row>
    <row r="9" spans="1:7" s="652" customFormat="1" ht="26.25" hidden="1" customHeight="1" outlineLevel="1">
      <c r="A9" s="4118"/>
      <c r="B9" s="4119"/>
      <c r="C9" s="868">
        <v>2</v>
      </c>
      <c r="D9" s="653" t="s">
        <v>4</v>
      </c>
      <c r="E9" s="655" t="s">
        <v>782</v>
      </c>
      <c r="F9" s="840" t="s">
        <v>165</v>
      </c>
    </row>
    <row r="10" spans="1:7" s="652" customFormat="1" ht="39" hidden="1" customHeight="1" outlineLevel="1">
      <c r="A10" s="4118"/>
      <c r="B10" s="4119" t="s">
        <v>818</v>
      </c>
      <c r="C10" s="868">
        <v>3</v>
      </c>
      <c r="D10" s="696" t="s">
        <v>4</v>
      </c>
      <c r="E10" s="655" t="s">
        <v>742</v>
      </c>
      <c r="F10" s="840" t="s">
        <v>785</v>
      </c>
    </row>
    <row r="11" spans="1:7" s="652" customFormat="1" ht="15.75" hidden="1" customHeight="1" outlineLevel="1">
      <c r="A11" s="4118"/>
      <c r="B11" s="4119"/>
      <c r="C11" s="868">
        <v>4</v>
      </c>
      <c r="D11" s="653" t="s">
        <v>4</v>
      </c>
      <c r="E11" s="655" t="s">
        <v>784</v>
      </c>
      <c r="F11" s="840" t="s">
        <v>60</v>
      </c>
    </row>
    <row r="12" spans="1:7" ht="26.25" hidden="1" customHeight="1" outlineLevel="1">
      <c r="A12" s="4118"/>
      <c r="B12" s="4119"/>
      <c r="C12" s="671">
        <v>5</v>
      </c>
      <c r="D12" s="641" t="s">
        <v>4</v>
      </c>
      <c r="E12" s="655" t="s">
        <v>786</v>
      </c>
      <c r="F12" s="840" t="s">
        <v>165</v>
      </c>
      <c r="G12" s="584"/>
    </row>
    <row r="13" spans="1:7" ht="24.75" hidden="1" customHeight="1" outlineLevel="1">
      <c r="A13" s="4118" t="s">
        <v>827</v>
      </c>
      <c r="B13" s="871" t="s">
        <v>819</v>
      </c>
      <c r="C13" s="681"/>
      <c r="D13" s="4124" t="s">
        <v>787</v>
      </c>
      <c r="E13" s="4124"/>
      <c r="F13" s="4125"/>
      <c r="G13" s="584"/>
    </row>
    <row r="14" spans="1:7" ht="15.75" hidden="1" customHeight="1" outlineLevel="1">
      <c r="A14" s="4118"/>
      <c r="B14" s="4119" t="s">
        <v>771</v>
      </c>
      <c r="C14" s="671">
        <v>1</v>
      </c>
      <c r="D14" s="641" t="s">
        <v>871</v>
      </c>
      <c r="E14" s="641" t="s">
        <v>872</v>
      </c>
      <c r="F14" s="840" t="s">
        <v>306</v>
      </c>
      <c r="G14" s="584"/>
    </row>
    <row r="15" spans="1:7" ht="15.75" hidden="1" customHeight="1" outlineLevel="1">
      <c r="A15" s="4118"/>
      <c r="B15" s="4119"/>
      <c r="C15" s="671">
        <v>2</v>
      </c>
      <c r="D15" s="641" t="s">
        <v>873</v>
      </c>
      <c r="E15" s="641" t="s">
        <v>874</v>
      </c>
      <c r="F15" s="840" t="s">
        <v>772</v>
      </c>
      <c r="G15" s="584"/>
    </row>
    <row r="16" spans="1:7" ht="26.25" hidden="1" customHeight="1" outlineLevel="1">
      <c r="A16" s="4118"/>
      <c r="B16" s="871" t="s">
        <v>773</v>
      </c>
      <c r="C16" s="671">
        <v>3</v>
      </c>
      <c r="D16" s="655" t="s">
        <v>868</v>
      </c>
      <c r="E16" s="655" t="s">
        <v>775</v>
      </c>
      <c r="F16" s="840" t="s">
        <v>774</v>
      </c>
    </row>
    <row r="17" spans="1:6" ht="24.75" hidden="1" customHeight="1" outlineLevel="1">
      <c r="A17" s="4118"/>
      <c r="B17" s="871" t="s">
        <v>776</v>
      </c>
      <c r="C17" s="671">
        <v>4</v>
      </c>
      <c r="D17" s="641" t="s">
        <v>4</v>
      </c>
      <c r="E17" s="655" t="s">
        <v>777</v>
      </c>
      <c r="F17" s="840" t="s">
        <v>464</v>
      </c>
    </row>
    <row r="18" spans="1:6" ht="15.75" hidden="1" customHeight="1" outlineLevel="1">
      <c r="A18" s="4118"/>
      <c r="B18" s="4119" t="s">
        <v>778</v>
      </c>
      <c r="C18" s="671">
        <v>5</v>
      </c>
      <c r="D18" s="656" t="s">
        <v>869</v>
      </c>
      <c r="E18" s="656" t="s">
        <v>870</v>
      </c>
      <c r="F18" s="840" t="s">
        <v>165</v>
      </c>
    </row>
    <row r="19" spans="1:6" ht="15.75" hidden="1" customHeight="1" outlineLevel="1">
      <c r="A19" s="4118"/>
      <c r="B19" s="4119"/>
      <c r="C19" s="671">
        <v>6</v>
      </c>
      <c r="D19" s="637" t="s">
        <v>4</v>
      </c>
      <c r="E19" s="870" t="s">
        <v>779</v>
      </c>
      <c r="F19" s="840" t="s">
        <v>306</v>
      </c>
    </row>
    <row r="20" spans="1:6" s="666" customFormat="1" ht="15" hidden="1" customHeight="1" outlineLevel="1" collapsed="1">
      <c r="A20" s="4130" t="s">
        <v>826</v>
      </c>
      <c r="B20" s="4119" t="s">
        <v>828</v>
      </c>
      <c r="C20" s="672"/>
      <c r="D20" s="4126" t="s">
        <v>813</v>
      </c>
      <c r="E20" s="4126"/>
      <c r="F20" s="4127"/>
    </row>
    <row r="21" spans="1:6" ht="15" hidden="1" customHeight="1" outlineLevel="1">
      <c r="A21" s="4130"/>
      <c r="B21" s="4119"/>
      <c r="C21" s="673">
        <v>1</v>
      </c>
      <c r="D21" s="4121" t="s">
        <v>820</v>
      </c>
      <c r="E21" s="4121"/>
      <c r="F21" s="840" t="s">
        <v>836</v>
      </c>
    </row>
    <row r="22" spans="1:6" ht="15" hidden="1" customHeight="1" outlineLevel="1">
      <c r="A22" s="4130"/>
      <c r="B22" s="4119"/>
      <c r="C22" s="673">
        <v>2</v>
      </c>
      <c r="D22" s="4121" t="s">
        <v>862</v>
      </c>
      <c r="E22" s="4121"/>
      <c r="F22" s="840" t="s">
        <v>863</v>
      </c>
    </row>
    <row r="23" spans="1:6" ht="15" hidden="1" customHeight="1" outlineLevel="1">
      <c r="A23" s="4130"/>
      <c r="B23" s="4119"/>
      <c r="C23" s="673">
        <v>3</v>
      </c>
      <c r="D23" s="4121" t="s">
        <v>866</v>
      </c>
      <c r="E23" s="4121"/>
      <c r="F23" s="840" t="s">
        <v>867</v>
      </c>
    </row>
    <row r="24" spans="1:6" ht="15" hidden="1" customHeight="1" outlineLevel="1">
      <c r="A24" s="4130"/>
      <c r="B24" s="4119"/>
      <c r="C24" s="673">
        <v>4</v>
      </c>
      <c r="D24" s="4121" t="s">
        <v>859</v>
      </c>
      <c r="E24" s="4121"/>
      <c r="F24" s="840" t="s">
        <v>860</v>
      </c>
    </row>
    <row r="25" spans="1:6" ht="15" hidden="1" customHeight="1" outlineLevel="1">
      <c r="A25" s="4130"/>
      <c r="B25" s="4119"/>
      <c r="C25" s="673">
        <v>5</v>
      </c>
      <c r="D25" s="4121" t="s">
        <v>861</v>
      </c>
      <c r="E25" s="4121"/>
      <c r="F25" s="840" t="s">
        <v>837</v>
      </c>
    </row>
    <row r="26" spans="1:6" ht="15" hidden="1" customHeight="1" outlineLevel="1">
      <c r="A26" s="4130"/>
      <c r="B26" s="4119"/>
      <c r="C26" s="673">
        <v>6</v>
      </c>
      <c r="D26" s="4121" t="s">
        <v>821</v>
      </c>
      <c r="E26" s="4121"/>
      <c r="F26" s="840" t="s">
        <v>838</v>
      </c>
    </row>
    <row r="27" spans="1:6" ht="15" hidden="1" customHeight="1" outlineLevel="1">
      <c r="A27" s="4130"/>
      <c r="B27" s="4119"/>
      <c r="C27" s="673">
        <v>7</v>
      </c>
      <c r="D27" s="4121" t="s">
        <v>822</v>
      </c>
      <c r="E27" s="4121"/>
      <c r="F27" s="840" t="s">
        <v>839</v>
      </c>
    </row>
    <row r="28" spans="1:6" s="666" customFormat="1" ht="15" hidden="1" customHeight="1" outlineLevel="1">
      <c r="A28" s="4130"/>
      <c r="B28" s="4119"/>
      <c r="C28" s="674"/>
      <c r="D28" s="4126" t="s">
        <v>814</v>
      </c>
      <c r="E28" s="4126"/>
      <c r="F28" s="4127"/>
    </row>
    <row r="29" spans="1:6" ht="15" hidden="1" customHeight="1" outlineLevel="1">
      <c r="A29" s="4130"/>
      <c r="B29" s="4119"/>
      <c r="C29" s="673">
        <v>1</v>
      </c>
      <c r="D29" s="4121" t="s">
        <v>823</v>
      </c>
      <c r="E29" s="4121"/>
      <c r="F29" s="840" t="s">
        <v>840</v>
      </c>
    </row>
    <row r="30" spans="1:6" ht="15" hidden="1" customHeight="1" outlineLevel="1">
      <c r="A30" s="4130"/>
      <c r="B30" s="4119"/>
      <c r="C30" s="673">
        <v>2</v>
      </c>
      <c r="D30" s="4121" t="s">
        <v>824</v>
      </c>
      <c r="E30" s="4121"/>
      <c r="F30" s="840" t="s">
        <v>841</v>
      </c>
    </row>
    <row r="31" spans="1:6" ht="15" hidden="1" customHeight="1" outlineLevel="1">
      <c r="A31" s="4130"/>
      <c r="B31" s="4119"/>
      <c r="C31" s="673">
        <v>3</v>
      </c>
      <c r="D31" s="4121" t="s">
        <v>825</v>
      </c>
      <c r="E31" s="4121"/>
      <c r="F31" s="840" t="s">
        <v>842</v>
      </c>
    </row>
    <row r="32" spans="1:6" ht="15" hidden="1" customHeight="1" outlineLevel="1">
      <c r="A32" s="4130"/>
      <c r="B32" s="4119"/>
      <c r="C32" s="673">
        <v>4</v>
      </c>
      <c r="D32" s="4121" t="s">
        <v>829</v>
      </c>
      <c r="E32" s="4121"/>
      <c r="F32" s="840" t="s">
        <v>843</v>
      </c>
    </row>
    <row r="33" spans="1:6" ht="15" hidden="1" customHeight="1" outlineLevel="1">
      <c r="A33" s="4130"/>
      <c r="B33" s="4119"/>
      <c r="C33" s="673">
        <v>5</v>
      </c>
      <c r="D33" s="4121" t="s">
        <v>835</v>
      </c>
      <c r="E33" s="4121"/>
      <c r="F33" s="840" t="s">
        <v>844</v>
      </c>
    </row>
    <row r="34" spans="1:6" s="666" customFormat="1" ht="15" hidden="1" customHeight="1" outlineLevel="1">
      <c r="A34" s="4130"/>
      <c r="B34" s="4119"/>
      <c r="C34" s="674"/>
      <c r="D34" s="4126" t="s">
        <v>864</v>
      </c>
      <c r="E34" s="4126"/>
      <c r="F34" s="4127"/>
    </row>
    <row r="35" spans="1:6" ht="15" hidden="1" customHeight="1" outlineLevel="1">
      <c r="A35" s="4130"/>
      <c r="B35" s="4119"/>
      <c r="C35" s="673">
        <v>1</v>
      </c>
      <c r="D35" s="4121" t="s">
        <v>830</v>
      </c>
      <c r="E35" s="4121"/>
      <c r="F35" s="840" t="s">
        <v>845</v>
      </c>
    </row>
    <row r="36" spans="1:6" ht="15" hidden="1" customHeight="1" outlineLevel="1">
      <c r="A36" s="4130"/>
      <c r="B36" s="4119"/>
      <c r="C36" s="673">
        <v>2</v>
      </c>
      <c r="D36" s="4121" t="s">
        <v>831</v>
      </c>
      <c r="E36" s="4121"/>
      <c r="F36" s="840" t="s">
        <v>843</v>
      </c>
    </row>
    <row r="37" spans="1:6" ht="15" hidden="1" customHeight="1" outlineLevel="1">
      <c r="A37" s="4130"/>
      <c r="B37" s="4119"/>
      <c r="C37" s="673">
        <v>3</v>
      </c>
      <c r="D37" s="4121" t="s">
        <v>833</v>
      </c>
      <c r="E37" s="4121"/>
      <c r="F37" s="840" t="s">
        <v>306</v>
      </c>
    </row>
    <row r="38" spans="1:6" ht="15" hidden="1" customHeight="1" outlineLevel="1">
      <c r="A38" s="4130"/>
      <c r="B38" s="4119"/>
      <c r="C38" s="673">
        <v>4</v>
      </c>
      <c r="D38" s="4121" t="s">
        <v>832</v>
      </c>
      <c r="E38" s="4121"/>
      <c r="F38" s="840" t="s">
        <v>858</v>
      </c>
    </row>
    <row r="39" spans="1:6" ht="45.75" hidden="1" customHeight="1" outlineLevel="1">
      <c r="A39" s="4130"/>
      <c r="B39" s="4132" t="s">
        <v>876</v>
      </c>
      <c r="C39" s="673"/>
      <c r="D39" s="687" t="s">
        <v>4</v>
      </c>
      <c r="E39" s="685" t="s">
        <v>878</v>
      </c>
      <c r="F39" s="840" t="s">
        <v>877</v>
      </c>
    </row>
    <row r="40" spans="1:6" ht="45.75" hidden="1" customHeight="1" outlineLevel="1">
      <c r="A40" s="4130"/>
      <c r="B40" s="4132"/>
      <c r="C40" s="686"/>
      <c r="D40" s="687" t="s">
        <v>4</v>
      </c>
      <c r="E40" s="685" t="s">
        <v>879</v>
      </c>
      <c r="F40" s="840" t="s">
        <v>880</v>
      </c>
    </row>
    <row r="41" spans="1:6" ht="15" hidden="1" customHeight="1" outlineLevel="1" collapsed="1">
      <c r="A41" s="4130" t="s">
        <v>892</v>
      </c>
      <c r="B41" s="4119" t="s">
        <v>893</v>
      </c>
      <c r="C41" s="686"/>
      <c r="D41" s="4126" t="s">
        <v>813</v>
      </c>
      <c r="E41" s="4126"/>
      <c r="F41" s="4127"/>
    </row>
    <row r="42" spans="1:6" ht="35.25" hidden="1" customHeight="1" outlineLevel="1">
      <c r="A42" s="4130"/>
      <c r="B42" s="4119"/>
      <c r="C42" s="695">
        <v>1</v>
      </c>
      <c r="D42" s="4120" t="s">
        <v>895</v>
      </c>
      <c r="E42" s="4120"/>
      <c r="F42" s="841"/>
    </row>
    <row r="43" spans="1:6" ht="15" hidden="1" customHeight="1" outlineLevel="1">
      <c r="A43" s="4130"/>
      <c r="B43" s="4119"/>
      <c r="C43" s="686"/>
      <c r="D43" s="4126" t="s">
        <v>814</v>
      </c>
      <c r="E43" s="4126"/>
      <c r="F43" s="4127"/>
    </row>
    <row r="44" spans="1:6" ht="15" hidden="1" customHeight="1" outlineLevel="1">
      <c r="A44" s="4130"/>
      <c r="B44" s="4119"/>
      <c r="C44" s="686">
        <v>1</v>
      </c>
      <c r="D44" s="4121" t="s">
        <v>899</v>
      </c>
      <c r="E44" s="4121"/>
      <c r="F44" s="840" t="s">
        <v>894</v>
      </c>
    </row>
    <row r="45" spans="1:6" ht="15" hidden="1" customHeight="1" outlineLevel="1">
      <c r="A45" s="4130"/>
      <c r="B45" s="4119"/>
      <c r="C45" s="686">
        <v>2</v>
      </c>
      <c r="D45" s="4121" t="s">
        <v>896</v>
      </c>
      <c r="E45" s="4121"/>
      <c r="F45" s="840" t="s">
        <v>843</v>
      </c>
    </row>
    <row r="46" spans="1:6" ht="15" hidden="1" customHeight="1" outlineLevel="1">
      <c r="A46" s="4130"/>
      <c r="B46" s="4119"/>
      <c r="C46" s="686">
        <v>3</v>
      </c>
      <c r="D46" s="4121" t="s">
        <v>903</v>
      </c>
      <c r="E46" s="4121"/>
      <c r="F46" s="840" t="s">
        <v>904</v>
      </c>
    </row>
    <row r="47" spans="1:6" ht="15" hidden="1" customHeight="1" outlineLevel="1">
      <c r="A47" s="4130"/>
      <c r="B47" s="4119"/>
      <c r="C47" s="686"/>
      <c r="D47" s="4126" t="s">
        <v>864</v>
      </c>
      <c r="E47" s="4126"/>
      <c r="F47" s="4127"/>
    </row>
    <row r="48" spans="1:6" ht="29.25" hidden="1" customHeight="1" outlineLevel="1">
      <c r="A48" s="4130"/>
      <c r="B48" s="4119"/>
      <c r="C48" s="695">
        <v>1</v>
      </c>
      <c r="D48" s="4120" t="s">
        <v>897</v>
      </c>
      <c r="E48" s="4120"/>
      <c r="F48" s="840" t="s">
        <v>877</v>
      </c>
    </row>
    <row r="49" spans="1:6" ht="29.25" hidden="1" customHeight="1" outlineLevel="1">
      <c r="A49" s="4130"/>
      <c r="B49" s="4119"/>
      <c r="C49" s="695">
        <v>2</v>
      </c>
      <c r="D49" s="4120" t="s">
        <v>901</v>
      </c>
      <c r="E49" s="4120"/>
      <c r="F49" s="840" t="s">
        <v>295</v>
      </c>
    </row>
    <row r="50" spans="1:6" ht="15" hidden="1" customHeight="1" outlineLevel="1">
      <c r="A50" s="4130"/>
      <c r="B50" s="4119"/>
      <c r="C50" s="686">
        <v>3</v>
      </c>
      <c r="D50" s="4121" t="s">
        <v>898</v>
      </c>
      <c r="E50" s="4121"/>
      <c r="F50" s="840" t="s">
        <v>880</v>
      </c>
    </row>
    <row r="51" spans="1:6" ht="36" hidden="1" customHeight="1" outlineLevel="1">
      <c r="A51" s="4130"/>
      <c r="B51" s="4132" t="s">
        <v>905</v>
      </c>
      <c r="C51" s="686">
        <v>1</v>
      </c>
      <c r="D51" s="698" t="s">
        <v>4</v>
      </c>
      <c r="E51" s="699" t="s">
        <v>906</v>
      </c>
      <c r="F51" s="840" t="s">
        <v>838</v>
      </c>
    </row>
    <row r="52" spans="1:6" ht="15.75" hidden="1" customHeight="1" outlineLevel="1" thickBot="1">
      <c r="A52" s="4131"/>
      <c r="B52" s="4133"/>
      <c r="C52" s="835">
        <v>2</v>
      </c>
      <c r="D52" s="836" t="s">
        <v>907</v>
      </c>
      <c r="E52" s="837" t="s">
        <v>908</v>
      </c>
      <c r="F52" s="849" t="s">
        <v>4</v>
      </c>
    </row>
    <row r="53" spans="1:6" ht="15" hidden="1" customHeight="1" outlineLevel="1">
      <c r="A53" s="4137" t="s">
        <v>1156</v>
      </c>
      <c r="B53" s="4144" t="s">
        <v>1155</v>
      </c>
      <c r="C53" s="838"/>
      <c r="D53" s="4146" t="s">
        <v>965</v>
      </c>
      <c r="E53" s="4146"/>
      <c r="F53" s="839"/>
    </row>
    <row r="54" spans="1:6" ht="29.25" hidden="1" customHeight="1" outlineLevel="1">
      <c r="A54" s="4138"/>
      <c r="B54" s="4145"/>
      <c r="C54" s="695">
        <v>1</v>
      </c>
      <c r="D54" s="4139" t="s">
        <v>966</v>
      </c>
      <c r="E54" s="4139"/>
      <c r="F54" s="840" t="s">
        <v>967</v>
      </c>
    </row>
    <row r="55" spans="1:6" ht="15" hidden="1" customHeight="1" outlineLevel="1">
      <c r="A55" s="4138"/>
      <c r="B55" s="4145"/>
      <c r="C55" s="686">
        <v>2</v>
      </c>
      <c r="D55" s="4139" t="s">
        <v>968</v>
      </c>
      <c r="E55" s="4139"/>
      <c r="F55" s="840" t="s">
        <v>969</v>
      </c>
    </row>
    <row r="56" spans="1:6" hidden="1" outlineLevel="1">
      <c r="A56" s="4138"/>
      <c r="B56" s="4145"/>
      <c r="C56" s="686"/>
      <c r="D56" s="4126" t="s">
        <v>813</v>
      </c>
      <c r="E56" s="4126"/>
      <c r="F56" s="4127"/>
    </row>
    <row r="57" spans="1:6" ht="15" hidden="1" customHeight="1" outlineLevel="1">
      <c r="A57" s="4138"/>
      <c r="B57" s="4145"/>
      <c r="C57" s="686">
        <v>1</v>
      </c>
      <c r="D57" s="4139" t="s">
        <v>1153</v>
      </c>
      <c r="E57" s="4139"/>
      <c r="F57" s="841"/>
    </row>
    <row r="58" spans="1:6" ht="15" hidden="1" customHeight="1" outlineLevel="1">
      <c r="A58" s="4138"/>
      <c r="B58" s="4145"/>
      <c r="C58" s="686">
        <v>2</v>
      </c>
      <c r="D58" s="4139" t="s">
        <v>1154</v>
      </c>
      <c r="E58" s="4139"/>
      <c r="F58" s="841"/>
    </row>
    <row r="59" spans="1:6" s="666" customFormat="1" ht="15" hidden="1" customHeight="1" outlineLevel="1">
      <c r="A59" s="4138"/>
      <c r="B59" s="4145"/>
      <c r="C59" s="674"/>
      <c r="D59" s="4126" t="s">
        <v>814</v>
      </c>
      <c r="E59" s="4126"/>
      <c r="F59" s="4127"/>
    </row>
    <row r="60" spans="1:6" ht="15" hidden="1" customHeight="1" outlineLevel="1">
      <c r="A60" s="4138"/>
      <c r="B60" s="4145"/>
      <c r="C60" s="673">
        <v>1</v>
      </c>
      <c r="D60" s="4121" t="s">
        <v>1160</v>
      </c>
      <c r="E60" s="4121"/>
      <c r="F60" s="840"/>
    </row>
    <row r="61" spans="1:6" ht="15" hidden="1" customHeight="1" outlineLevel="1">
      <c r="A61" s="4138"/>
      <c r="B61" s="4145"/>
      <c r="C61" s="686">
        <v>2</v>
      </c>
      <c r="D61" s="4139" t="s">
        <v>1161</v>
      </c>
      <c r="E61" s="4139"/>
      <c r="F61" s="841"/>
    </row>
    <row r="62" spans="1:6" ht="15.75" hidden="1" outlineLevel="1" thickBot="1">
      <c r="A62" s="4138"/>
      <c r="B62" s="4145"/>
      <c r="C62" s="835">
        <v>3</v>
      </c>
      <c r="D62" s="4128" t="s">
        <v>1162</v>
      </c>
      <c r="E62" s="4128"/>
      <c r="F62" s="849"/>
    </row>
    <row r="63" spans="1:6" ht="15" hidden="1" customHeight="1" outlineLevel="1">
      <c r="A63" s="4138"/>
      <c r="B63" s="4140" t="s">
        <v>1176</v>
      </c>
      <c r="C63" s="851">
        <v>1</v>
      </c>
      <c r="D63" s="4143" t="s">
        <v>1173</v>
      </c>
      <c r="E63" s="4143"/>
      <c r="F63" s="852" t="s">
        <v>785</v>
      </c>
    </row>
    <row r="64" spans="1:6" ht="15" hidden="1" customHeight="1" outlineLevel="1">
      <c r="A64" s="4138"/>
      <c r="B64" s="4141"/>
      <c r="C64" s="853">
        <v>2</v>
      </c>
      <c r="D64" s="4136" t="s">
        <v>1172</v>
      </c>
      <c r="E64" s="4136"/>
      <c r="F64" s="850" t="s">
        <v>1169</v>
      </c>
    </row>
    <row r="65" spans="1:6" ht="15" hidden="1" customHeight="1" outlineLevel="1">
      <c r="A65" s="4138"/>
      <c r="B65" s="4141"/>
      <c r="C65" s="853">
        <v>3</v>
      </c>
      <c r="D65" s="4136" t="s">
        <v>1175</v>
      </c>
      <c r="E65" s="4136"/>
      <c r="F65" s="850" t="s">
        <v>860</v>
      </c>
    </row>
    <row r="66" spans="1:6" ht="30.75" hidden="1" outlineLevel="1" thickBot="1">
      <c r="A66" s="4138"/>
      <c r="B66" s="4142"/>
      <c r="C66" s="854">
        <v>4</v>
      </c>
      <c r="D66" s="855" t="s">
        <v>1170</v>
      </c>
      <c r="E66" s="855" t="s">
        <v>1171</v>
      </c>
      <c r="F66" s="856" t="s">
        <v>1038</v>
      </c>
    </row>
    <row r="67" spans="1:6" ht="15.75" hidden="1" customHeight="1" outlineLevel="1">
      <c r="A67" s="4138"/>
      <c r="B67" s="4145" t="s">
        <v>1177</v>
      </c>
      <c r="C67" s="861">
        <v>1</v>
      </c>
      <c r="D67" s="862" t="s">
        <v>1178</v>
      </c>
      <c r="E67" s="862" t="s">
        <v>1179</v>
      </c>
      <c r="F67" s="863" t="s">
        <v>1180</v>
      </c>
    </row>
    <row r="68" spans="1:6" hidden="1" outlineLevel="1">
      <c r="A68" s="4138"/>
      <c r="B68" s="4145"/>
      <c r="C68" s="686">
        <v>2</v>
      </c>
      <c r="D68" s="834" t="s">
        <v>1181</v>
      </c>
      <c r="E68" s="834" t="s">
        <v>1182</v>
      </c>
      <c r="F68" s="840" t="s">
        <v>306</v>
      </c>
    </row>
    <row r="69" spans="1:6" ht="30" hidden="1" outlineLevel="1">
      <c r="A69" s="4138"/>
      <c r="B69" s="4145"/>
      <c r="C69" s="686">
        <v>3</v>
      </c>
      <c r="D69" s="578" t="s">
        <v>4</v>
      </c>
      <c r="E69" s="833" t="s">
        <v>1185</v>
      </c>
      <c r="F69" s="840" t="s">
        <v>839</v>
      </c>
    </row>
    <row r="70" spans="1:6" hidden="1" outlineLevel="1">
      <c r="A70" s="4138"/>
      <c r="B70" s="4145"/>
      <c r="C70" s="686">
        <v>4</v>
      </c>
      <c r="D70" s="578" t="s">
        <v>1187</v>
      </c>
      <c r="E70" s="833" t="s">
        <v>1188</v>
      </c>
      <c r="F70" s="840" t="s">
        <v>306</v>
      </c>
    </row>
    <row r="71" spans="1:6" ht="15.75" hidden="1" outlineLevel="1" thickBot="1">
      <c r="A71" s="4138"/>
      <c r="B71" s="4147"/>
      <c r="C71" s="842">
        <v>5</v>
      </c>
      <c r="D71" s="843" t="s">
        <v>4</v>
      </c>
      <c r="E71" s="844" t="s">
        <v>1189</v>
      </c>
      <c r="F71" s="864" t="s">
        <v>306</v>
      </c>
    </row>
    <row r="72" spans="1:6" ht="60" hidden="1" outlineLevel="1">
      <c r="A72" s="4138"/>
      <c r="B72" s="869" t="s">
        <v>1192</v>
      </c>
      <c r="C72" s="873">
        <v>1</v>
      </c>
      <c r="D72" s="874" t="s">
        <v>1191</v>
      </c>
      <c r="E72" s="875" t="s">
        <v>1198</v>
      </c>
      <c r="F72" s="876"/>
    </row>
    <row r="73" spans="1:6" hidden="1" outlineLevel="1" collapsed="1">
      <c r="A73" s="4129" t="s">
        <v>1199</v>
      </c>
      <c r="B73" s="4145" t="s">
        <v>1200</v>
      </c>
      <c r="C73" s="686"/>
      <c r="D73" s="4126" t="s">
        <v>813</v>
      </c>
      <c r="E73" s="4126"/>
      <c r="F73" s="4127"/>
    </row>
    <row r="74" spans="1:6" hidden="1" outlineLevel="1">
      <c r="A74" s="4129"/>
      <c r="B74" s="4145"/>
      <c r="C74" s="686">
        <v>1</v>
      </c>
      <c r="D74" s="4139" t="s">
        <v>1201</v>
      </c>
      <c r="E74" s="4139"/>
      <c r="F74" s="840" t="s">
        <v>1202</v>
      </c>
    </row>
    <row r="75" spans="1:6" s="666" customFormat="1" hidden="1" outlineLevel="1">
      <c r="A75" s="4129"/>
      <c r="B75" s="4145"/>
      <c r="C75" s="674"/>
      <c r="D75" s="4126" t="s">
        <v>814</v>
      </c>
      <c r="E75" s="4126"/>
      <c r="F75" s="4127"/>
    </row>
    <row r="76" spans="1:6" ht="15" hidden="1" customHeight="1" outlineLevel="1">
      <c r="A76" s="4129"/>
      <c r="B76" s="4145"/>
      <c r="C76" s="673">
        <v>1</v>
      </c>
      <c r="D76" s="4121" t="s">
        <v>1203</v>
      </c>
      <c r="E76" s="4121"/>
      <c r="F76" s="840" t="s">
        <v>1396</v>
      </c>
    </row>
    <row r="77" spans="1:6" ht="15.75" hidden="1" outlineLevel="1" thickBot="1">
      <c r="A77" s="4129"/>
      <c r="B77" s="4145"/>
      <c r="C77" s="835">
        <v>2</v>
      </c>
      <c r="D77" s="4128" t="s">
        <v>1204</v>
      </c>
      <c r="E77" s="4128"/>
      <c r="F77" s="1153" t="s">
        <v>1396</v>
      </c>
    </row>
    <row r="78" spans="1:6" ht="14.45" hidden="1" customHeight="1" outlineLevel="1" collapsed="1">
      <c r="A78" s="4165" t="s">
        <v>1381</v>
      </c>
      <c r="B78" s="4166" t="s">
        <v>1399</v>
      </c>
      <c r="C78" s="838"/>
      <c r="D78" s="4168" t="s">
        <v>813</v>
      </c>
      <c r="E78" s="4168"/>
      <c r="F78" s="4169"/>
    </row>
    <row r="79" spans="1:6" ht="14.45" hidden="1" customHeight="1" outlineLevel="1">
      <c r="A79" s="4165"/>
      <c r="B79" s="4167"/>
      <c r="C79" s="1154">
        <v>1</v>
      </c>
      <c r="D79" s="4134" t="s">
        <v>1389</v>
      </c>
      <c r="E79" s="4135"/>
      <c r="F79" s="4161"/>
    </row>
    <row r="80" spans="1:6" s="666" customFormat="1" hidden="1" outlineLevel="1">
      <c r="A80" s="4165"/>
      <c r="B80" s="4167"/>
      <c r="C80" s="1155"/>
      <c r="D80" s="4148" t="s">
        <v>814</v>
      </c>
      <c r="E80" s="4148"/>
      <c r="F80" s="4149"/>
    </row>
    <row r="81" spans="1:6" ht="15" hidden="1" customHeight="1" outlineLevel="1">
      <c r="A81" s="4165"/>
      <c r="B81" s="4167"/>
      <c r="C81" s="1156">
        <v>1</v>
      </c>
      <c r="D81" s="4152" t="s">
        <v>1390</v>
      </c>
      <c r="E81" s="4152"/>
      <c r="F81" s="1157" t="s">
        <v>1395</v>
      </c>
    </row>
    <row r="82" spans="1:6" hidden="1" outlineLevel="1">
      <c r="A82" s="4165"/>
      <c r="B82" s="4167"/>
      <c r="C82" s="1154">
        <v>2</v>
      </c>
      <c r="D82" s="4152" t="s">
        <v>1391</v>
      </c>
      <c r="E82" s="4152"/>
      <c r="F82" s="1157" t="s">
        <v>1393</v>
      </c>
    </row>
    <row r="83" spans="1:6" hidden="1" outlineLevel="1">
      <c r="A83" s="4165"/>
      <c r="B83" s="4167"/>
      <c r="C83" s="1154">
        <v>3</v>
      </c>
      <c r="D83" s="4152" t="s">
        <v>1392</v>
      </c>
      <c r="E83" s="4152"/>
      <c r="F83" s="1157" t="s">
        <v>1394</v>
      </c>
    </row>
    <row r="84" spans="1:6" hidden="1" outlineLevel="1">
      <c r="A84" s="4165"/>
      <c r="B84" s="4167"/>
      <c r="C84" s="1154">
        <v>4</v>
      </c>
      <c r="D84" s="4152" t="s">
        <v>1397</v>
      </c>
      <c r="E84" s="4152"/>
      <c r="F84" s="1157" t="s">
        <v>165</v>
      </c>
    </row>
    <row r="85" spans="1:6" ht="15.75" hidden="1" outlineLevel="1" thickBot="1">
      <c r="A85" s="4165"/>
      <c r="B85" s="4173"/>
      <c r="C85" s="842">
        <v>5</v>
      </c>
      <c r="D85" s="4153" t="s">
        <v>1398</v>
      </c>
      <c r="E85" s="4153"/>
      <c r="F85" s="864" t="s">
        <v>1395</v>
      </c>
    </row>
    <row r="86" spans="1:6" ht="14.45" hidden="1" customHeight="1" outlineLevel="1" collapsed="1">
      <c r="A86" s="4165"/>
      <c r="B86" s="4166" t="s">
        <v>1404</v>
      </c>
      <c r="C86" s="838"/>
      <c r="D86" s="4168" t="s">
        <v>813</v>
      </c>
      <c r="E86" s="4168"/>
      <c r="F86" s="4169"/>
    </row>
    <row r="87" spans="1:6" ht="14.45" hidden="1" customHeight="1" outlineLevel="1">
      <c r="A87" s="4165"/>
      <c r="B87" s="4167"/>
      <c r="C87" s="1154">
        <v>1</v>
      </c>
      <c r="D87" s="4134" t="s">
        <v>1405</v>
      </c>
      <c r="E87" s="4135"/>
      <c r="F87" s="4161"/>
    </row>
    <row r="88" spans="1:6" s="666" customFormat="1" hidden="1" outlineLevel="1">
      <c r="A88" s="4165"/>
      <c r="B88" s="4167"/>
      <c r="C88" s="1155"/>
      <c r="D88" s="4148" t="s">
        <v>864</v>
      </c>
      <c r="E88" s="4148"/>
      <c r="F88" s="4149"/>
    </row>
    <row r="89" spans="1:6" ht="15" hidden="1" customHeight="1" outlineLevel="1">
      <c r="A89" s="4165"/>
      <c r="B89" s="4167"/>
      <c r="C89" s="1156">
        <v>1</v>
      </c>
      <c r="D89" s="4152" t="s">
        <v>1406</v>
      </c>
      <c r="E89" s="4152"/>
      <c r="F89" s="1157" t="s">
        <v>1395</v>
      </c>
    </row>
    <row r="90" spans="1:6" ht="14.45" hidden="1" customHeight="1" outlineLevel="1" collapsed="1">
      <c r="A90" s="4165"/>
      <c r="B90" s="4133" t="s">
        <v>1412</v>
      </c>
      <c r="C90" s="1154"/>
      <c r="D90" s="4148" t="s">
        <v>814</v>
      </c>
      <c r="E90" s="4148"/>
      <c r="F90" s="4149"/>
    </row>
    <row r="91" spans="1:6" ht="14.45" hidden="1" customHeight="1" outlineLevel="1">
      <c r="A91" s="4165"/>
      <c r="B91" s="4150"/>
      <c r="C91" s="1154">
        <v>1</v>
      </c>
      <c r="D91" s="4134" t="s">
        <v>1408</v>
      </c>
      <c r="E91" s="4135"/>
      <c r="F91" s="4161"/>
    </row>
    <row r="92" spans="1:6" s="666" customFormat="1" hidden="1" outlineLevel="1">
      <c r="A92" s="4165"/>
      <c r="B92" s="4150"/>
      <c r="C92" s="1155"/>
      <c r="D92" s="4148" t="s">
        <v>864</v>
      </c>
      <c r="E92" s="4148"/>
      <c r="F92" s="4149"/>
    </row>
    <row r="93" spans="1:6" ht="15" hidden="1" customHeight="1" outlineLevel="1">
      <c r="A93" s="4165"/>
      <c r="B93" s="4150"/>
      <c r="C93" s="1156">
        <v>1</v>
      </c>
      <c r="D93" s="4152" t="s">
        <v>1406</v>
      </c>
      <c r="E93" s="4152"/>
      <c r="F93" s="1157"/>
    </row>
    <row r="94" spans="1:6" ht="15.75" hidden="1" outlineLevel="1" thickBot="1">
      <c r="A94" s="4165"/>
      <c r="B94" s="4151"/>
      <c r="C94" s="842">
        <v>2</v>
      </c>
      <c r="D94" s="4153" t="s">
        <v>1407</v>
      </c>
      <c r="E94" s="4153"/>
      <c r="F94" s="864"/>
    </row>
    <row r="95" spans="1:6" ht="23.25" hidden="1" customHeight="1" outlineLevel="1" collapsed="1">
      <c r="A95" s="4165"/>
      <c r="B95" s="4150" t="s">
        <v>1411</v>
      </c>
      <c r="C95" s="1161"/>
      <c r="D95" s="4100" t="s">
        <v>814</v>
      </c>
      <c r="E95" s="4100"/>
      <c r="F95" s="4115"/>
    </row>
    <row r="96" spans="1:6" ht="23.25" hidden="1" customHeight="1" outlineLevel="1" thickBot="1">
      <c r="A96" s="4165"/>
      <c r="B96" s="4151"/>
      <c r="C96" s="842">
        <v>1</v>
      </c>
      <c r="D96" s="4155" t="s">
        <v>1413</v>
      </c>
      <c r="E96" s="4156"/>
      <c r="F96" s="864" t="s">
        <v>1414</v>
      </c>
    </row>
    <row r="97" spans="1:6" ht="14.45" hidden="1" customHeight="1" outlineLevel="1" collapsed="1">
      <c r="A97" s="4165"/>
      <c r="B97" s="4174" t="s">
        <v>1415</v>
      </c>
      <c r="C97" s="1161"/>
      <c r="D97" s="4100" t="s">
        <v>814</v>
      </c>
      <c r="E97" s="4100"/>
      <c r="F97" s="4115"/>
    </row>
    <row r="98" spans="1:6" ht="14.45" hidden="1" customHeight="1" outlineLevel="1">
      <c r="A98" s="4165"/>
      <c r="B98" s="4175"/>
      <c r="C98" s="1154">
        <v>1</v>
      </c>
      <c r="D98" s="4134" t="s">
        <v>1416</v>
      </c>
      <c r="E98" s="4135"/>
      <c r="F98" s="1157" t="s">
        <v>1417</v>
      </c>
    </row>
    <row r="99" spans="1:6" ht="14.45" hidden="1" customHeight="1" outlineLevel="1">
      <c r="A99" s="4165"/>
      <c r="B99" s="4175"/>
      <c r="C99" s="1154">
        <v>2</v>
      </c>
      <c r="D99" s="4134" t="s">
        <v>1418</v>
      </c>
      <c r="E99" s="4135"/>
      <c r="F99" s="1157" t="s">
        <v>1419</v>
      </c>
    </row>
    <row r="100" spans="1:6" ht="14.45" hidden="1" customHeight="1" outlineLevel="1" thickBot="1">
      <c r="A100" s="4086"/>
      <c r="B100" s="4175"/>
      <c r="C100" s="1154">
        <v>3</v>
      </c>
      <c r="D100" s="4134" t="s">
        <v>1420</v>
      </c>
      <c r="E100" s="4135"/>
      <c r="F100" s="1157" t="s">
        <v>1038</v>
      </c>
    </row>
    <row r="101" spans="1:6" ht="14.45" hidden="1" customHeight="1" outlineLevel="1">
      <c r="A101" s="4162" t="s">
        <v>1456</v>
      </c>
      <c r="B101" s="4170" t="s">
        <v>1458</v>
      </c>
      <c r="C101" s="1168"/>
      <c r="D101" s="4168" t="s">
        <v>813</v>
      </c>
      <c r="E101" s="4168"/>
      <c r="F101" s="4169"/>
    </row>
    <row r="102" spans="1:6" ht="14.45" hidden="1" customHeight="1" outlineLevel="1">
      <c r="A102" s="4163"/>
      <c r="B102" s="4171"/>
      <c r="C102" s="1169">
        <v>1</v>
      </c>
      <c r="D102" s="4134" t="s">
        <v>1457</v>
      </c>
      <c r="E102" s="4135"/>
      <c r="F102" s="1157"/>
    </row>
    <row r="103" spans="1:6" ht="14.45" hidden="1" customHeight="1" outlineLevel="1">
      <c r="A103" s="4163"/>
      <c r="B103" s="4171"/>
      <c r="C103" s="1168"/>
      <c r="D103" s="4134" t="s">
        <v>1462</v>
      </c>
      <c r="E103" s="4135"/>
      <c r="F103" s="863"/>
    </row>
    <row r="104" spans="1:6" ht="14.45" hidden="1" customHeight="1" outlineLevel="1">
      <c r="A104" s="4163"/>
      <c r="B104" s="4171"/>
      <c r="C104" s="1168"/>
      <c r="D104" s="4100" t="s">
        <v>814</v>
      </c>
      <c r="E104" s="4100"/>
      <c r="F104" s="4115"/>
    </row>
    <row r="105" spans="1:6" ht="14.45" hidden="1" customHeight="1" outlineLevel="1">
      <c r="A105" s="4163"/>
      <c r="B105" s="4171"/>
      <c r="C105" s="1169">
        <v>1</v>
      </c>
      <c r="D105" s="4134" t="s">
        <v>1447</v>
      </c>
      <c r="E105" s="4135"/>
      <c r="F105" s="1157" t="s">
        <v>1395</v>
      </c>
    </row>
    <row r="106" spans="1:6" ht="14.45" hidden="1" customHeight="1" outlineLevel="1">
      <c r="A106" s="4163"/>
      <c r="B106" s="4171"/>
      <c r="C106" s="1169"/>
      <c r="D106" s="1208"/>
      <c r="E106" s="1209"/>
      <c r="F106" s="1157"/>
    </row>
    <row r="107" spans="1:6" hidden="1" outlineLevel="1">
      <c r="A107" s="4163"/>
      <c r="B107" s="4171"/>
      <c r="C107" s="1170"/>
      <c r="D107" s="4148" t="s">
        <v>864</v>
      </c>
      <c r="E107" s="4148"/>
      <c r="F107" s="4149"/>
    </row>
    <row r="108" spans="1:6" ht="15.75" hidden="1" outlineLevel="1" thickBot="1">
      <c r="A108" s="4164"/>
      <c r="B108" s="4172"/>
      <c r="C108" s="1212">
        <v>1</v>
      </c>
      <c r="D108" s="4153" t="s">
        <v>1463</v>
      </c>
      <c r="E108" s="4153"/>
      <c r="F108" s="864" t="s">
        <v>1448</v>
      </c>
    </row>
    <row r="109" spans="1:6" ht="14.45" hidden="1" customHeight="1" outlineLevel="1" collapsed="1">
      <c r="A109" s="4158" t="s">
        <v>1475</v>
      </c>
      <c r="B109" s="4113" t="s">
        <v>1474</v>
      </c>
      <c r="C109" s="1168"/>
      <c r="D109" s="4100" t="s">
        <v>813</v>
      </c>
      <c r="E109" s="4100"/>
      <c r="F109" s="4115"/>
    </row>
    <row r="110" spans="1:6" ht="14.45" hidden="1" customHeight="1" outlineLevel="1">
      <c r="A110" s="4159"/>
      <c r="B110" s="4114"/>
      <c r="C110" s="1169">
        <v>1</v>
      </c>
      <c r="D110" s="4134" t="s">
        <v>1467</v>
      </c>
      <c r="E110" s="4135"/>
      <c r="F110" s="1157"/>
    </row>
    <row r="111" spans="1:6" ht="14.45" hidden="1" customHeight="1" outlineLevel="1">
      <c r="A111" s="4159"/>
      <c r="B111" s="4114"/>
      <c r="C111" s="1168"/>
      <c r="D111" s="4134"/>
      <c r="E111" s="4135"/>
      <c r="F111" s="863"/>
    </row>
    <row r="112" spans="1:6" ht="14.45" hidden="1" customHeight="1" outlineLevel="1">
      <c r="A112" s="4159"/>
      <c r="B112" s="4114"/>
      <c r="C112" s="1168"/>
      <c r="D112" s="4100" t="s">
        <v>814</v>
      </c>
      <c r="E112" s="4100"/>
      <c r="F112" s="4115"/>
    </row>
    <row r="113" spans="1:6" ht="14.45" hidden="1" customHeight="1" outlineLevel="1">
      <c r="A113" s="4159"/>
      <c r="B113" s="4114"/>
      <c r="C113" s="1169">
        <v>1</v>
      </c>
      <c r="D113" s="4134" t="s">
        <v>1468</v>
      </c>
      <c r="E113" s="4135"/>
      <c r="F113" s="1157" t="s">
        <v>1469</v>
      </c>
    </row>
    <row r="114" spans="1:6" ht="14.45" hidden="1" customHeight="1" outlineLevel="1">
      <c r="A114" s="4159"/>
      <c r="B114" s="4114"/>
      <c r="C114" s="1169">
        <v>2</v>
      </c>
      <c r="D114" s="4134" t="s">
        <v>1473</v>
      </c>
      <c r="E114" s="4154"/>
      <c r="F114" s="1157"/>
    </row>
    <row r="115" spans="1:6" ht="14.45" hidden="1" customHeight="1" outlineLevel="1">
      <c r="A115" s="4159"/>
      <c r="B115" s="4114"/>
      <c r="C115" s="1169">
        <v>3</v>
      </c>
      <c r="D115" s="4134" t="s">
        <v>1478</v>
      </c>
      <c r="E115" s="4154"/>
      <c r="F115" s="1157"/>
    </row>
    <row r="116" spans="1:6" hidden="1" outlineLevel="1">
      <c r="A116" s="4159"/>
      <c r="B116" s="4114"/>
      <c r="C116" s="1170"/>
      <c r="D116" s="4148" t="s">
        <v>864</v>
      </c>
      <c r="E116" s="4148"/>
      <c r="F116" s="4149"/>
    </row>
    <row r="117" spans="1:6" hidden="1" outlineLevel="1">
      <c r="A117" s="4159"/>
      <c r="B117" s="4114"/>
      <c r="C117" s="1171">
        <v>1</v>
      </c>
      <c r="D117" s="4152" t="s">
        <v>1476</v>
      </c>
      <c r="E117" s="4152"/>
      <c r="F117" s="1157"/>
    </row>
    <row r="118" spans="1:6" hidden="1" outlineLevel="1">
      <c r="A118" s="4159"/>
      <c r="B118" s="4114" t="s">
        <v>1480</v>
      </c>
      <c r="C118" s="1168"/>
      <c r="D118" s="4100" t="s">
        <v>814</v>
      </c>
      <c r="E118" s="4100"/>
      <c r="F118" s="4115"/>
    </row>
    <row r="119" spans="1:6" ht="15.75" hidden="1" outlineLevel="1" thickBot="1">
      <c r="A119" s="4160"/>
      <c r="B119" s="4157"/>
      <c r="C119" s="1211">
        <v>1</v>
      </c>
      <c r="D119" s="4155" t="s">
        <v>1479</v>
      </c>
      <c r="E119" s="4156"/>
      <c r="F119" s="864" t="s">
        <v>1481</v>
      </c>
    </row>
    <row r="120" spans="1:6" ht="14.45" hidden="1" customHeight="1" outlineLevel="1" collapsed="1">
      <c r="A120" s="4111" t="s">
        <v>1489</v>
      </c>
      <c r="B120" s="4113" t="s">
        <v>1490</v>
      </c>
      <c r="C120" s="1161"/>
      <c r="D120" s="4100" t="s">
        <v>813</v>
      </c>
      <c r="E120" s="4100"/>
      <c r="F120" s="4100"/>
    </row>
    <row r="121" spans="1:6" ht="14.45" hidden="1" customHeight="1" outlineLevel="1">
      <c r="A121" s="4112"/>
      <c r="B121" s="4114"/>
      <c r="C121" s="1154">
        <v>1</v>
      </c>
      <c r="D121" s="4102" t="s">
        <v>1491</v>
      </c>
      <c r="E121" s="4102"/>
      <c r="F121" s="1210" t="s">
        <v>1492</v>
      </c>
    </row>
    <row r="122" spans="1:6" ht="14.45" hidden="1" customHeight="1" outlineLevel="1" collapsed="1">
      <c r="A122" s="4112"/>
      <c r="B122" s="4114" t="s">
        <v>1493</v>
      </c>
      <c r="C122" s="1154"/>
      <c r="D122" s="4148" t="s">
        <v>1495</v>
      </c>
      <c r="E122" s="4148"/>
      <c r="F122" s="4148"/>
    </row>
    <row r="123" spans="1:6" ht="14.45" hidden="1" customHeight="1" outlineLevel="1">
      <c r="A123" s="4112"/>
      <c r="B123" s="4114"/>
      <c r="C123" s="1154">
        <v>1</v>
      </c>
      <c r="D123" s="4102" t="s">
        <v>1494</v>
      </c>
      <c r="E123" s="4102"/>
      <c r="F123" s="1210" t="s">
        <v>165</v>
      </c>
    </row>
    <row r="124" spans="1:6" ht="14.45" hidden="1" customHeight="1" outlineLevel="1">
      <c r="A124" s="4112"/>
      <c r="B124" s="4114"/>
      <c r="C124" s="1154">
        <v>2</v>
      </c>
      <c r="D124" s="4102" t="s">
        <v>1496</v>
      </c>
      <c r="E124" s="4102"/>
      <c r="F124" s="1210" t="s">
        <v>1498</v>
      </c>
    </row>
    <row r="125" spans="1:6" ht="14.45" hidden="1" customHeight="1" outlineLevel="1">
      <c r="A125" s="4112"/>
      <c r="B125" s="4114"/>
      <c r="C125" s="1154">
        <v>3</v>
      </c>
      <c r="D125" s="4102" t="s">
        <v>1497</v>
      </c>
      <c r="E125" s="4102"/>
      <c r="F125" s="1210" t="s">
        <v>306</v>
      </c>
    </row>
    <row r="126" spans="1:6" ht="14.45" hidden="1" customHeight="1" outlineLevel="1">
      <c r="A126" s="4112"/>
      <c r="B126" s="4114"/>
      <c r="C126" s="1154">
        <v>4</v>
      </c>
      <c r="D126" s="4102" t="s">
        <v>1509</v>
      </c>
      <c r="E126" s="4102"/>
      <c r="F126" s="1210" t="s">
        <v>1511</v>
      </c>
    </row>
    <row r="127" spans="1:6" ht="14.45" hidden="1" customHeight="1" outlineLevel="1">
      <c r="A127" s="4112"/>
      <c r="B127" s="4114"/>
      <c r="C127" s="1154">
        <v>5</v>
      </c>
      <c r="D127" s="4102" t="s">
        <v>1510</v>
      </c>
      <c r="E127" s="4102"/>
      <c r="F127" s="1210" t="s">
        <v>772</v>
      </c>
    </row>
    <row r="128" spans="1:6" ht="14.45" hidden="1" customHeight="1" outlineLevel="1" collapsed="1">
      <c r="A128" s="4112"/>
      <c r="B128" s="4113" t="s">
        <v>1540</v>
      </c>
      <c r="C128" s="1161"/>
      <c r="D128" s="4100" t="s">
        <v>965</v>
      </c>
      <c r="E128" s="4100"/>
      <c r="F128" s="4100"/>
    </row>
    <row r="129" spans="1:6" ht="14.45" hidden="1" customHeight="1" outlineLevel="1" thickBot="1">
      <c r="A129" s="4112"/>
      <c r="B129" s="4114"/>
      <c r="C129" s="1154">
        <v>1</v>
      </c>
      <c r="D129" s="4102" t="s">
        <v>1541</v>
      </c>
      <c r="E129" s="4102"/>
      <c r="F129" s="1210" t="s">
        <v>1542</v>
      </c>
    </row>
    <row r="130" spans="1:6" ht="14.45" hidden="1" customHeight="1" outlineLevel="1">
      <c r="A130" s="4111" t="s">
        <v>1742</v>
      </c>
      <c r="B130" s="4113" t="s">
        <v>1490</v>
      </c>
      <c r="C130" s="1161"/>
      <c r="D130" s="4100" t="s">
        <v>813</v>
      </c>
      <c r="E130" s="4100"/>
      <c r="F130" s="4100"/>
    </row>
    <row r="131" spans="1:6" ht="14.45" hidden="1" customHeight="1" outlineLevel="1">
      <c r="A131" s="4112"/>
      <c r="B131" s="4114"/>
      <c r="C131" s="1154">
        <v>1</v>
      </c>
      <c r="D131" s="4102" t="s">
        <v>1743</v>
      </c>
      <c r="E131" s="4102"/>
      <c r="F131" s="1210" t="s">
        <v>165</v>
      </c>
    </row>
    <row r="132" spans="1:6" ht="14.45" hidden="1" customHeight="1" outlineLevel="1">
      <c r="A132" s="4112"/>
      <c r="B132" s="1284"/>
      <c r="C132" s="1154">
        <v>2</v>
      </c>
      <c r="D132" s="4102" t="s">
        <v>1744</v>
      </c>
      <c r="E132" s="4102"/>
      <c r="F132" s="1210" t="s">
        <v>1746</v>
      </c>
    </row>
    <row r="133" spans="1:6" ht="14.45" hidden="1" customHeight="1" outlineLevel="1" collapsed="1">
      <c r="A133" s="4112"/>
      <c r="B133" s="4114" t="s">
        <v>1493</v>
      </c>
      <c r="C133" s="1154"/>
      <c r="D133" s="4100" t="s">
        <v>814</v>
      </c>
      <c r="E133" s="4100"/>
      <c r="F133" s="4115"/>
    </row>
    <row r="134" spans="1:6" ht="14.45" hidden="1" customHeight="1" outlineLevel="1" thickBot="1">
      <c r="A134" s="4112"/>
      <c r="B134" s="4114"/>
      <c r="C134" s="1154">
        <v>1</v>
      </c>
      <c r="D134" s="4102" t="s">
        <v>1745</v>
      </c>
      <c r="E134" s="4102"/>
      <c r="F134" s="1210" t="s">
        <v>165</v>
      </c>
    </row>
    <row r="135" spans="1:6" ht="14.45" hidden="1" customHeight="1" outlineLevel="1" collapsed="1">
      <c r="A135" s="4111" t="s">
        <v>2200</v>
      </c>
      <c r="B135" s="4096"/>
      <c r="C135" s="1161"/>
      <c r="D135" s="4100" t="s">
        <v>813</v>
      </c>
      <c r="E135" s="4100"/>
      <c r="F135" s="4100"/>
    </row>
    <row r="136" spans="1:6" ht="14.45" hidden="1" customHeight="1" outlineLevel="1">
      <c r="A136" s="4112"/>
      <c r="B136" s="4097"/>
      <c r="C136" s="1154">
        <v>1</v>
      </c>
      <c r="D136" s="4102" t="s">
        <v>1743</v>
      </c>
      <c r="E136" s="4102"/>
      <c r="F136" s="1210" t="s">
        <v>165</v>
      </c>
    </row>
    <row r="137" spans="1:6" ht="14.45" hidden="1" customHeight="1" outlineLevel="1">
      <c r="A137" s="4112"/>
      <c r="B137" s="4097"/>
      <c r="C137" s="1154">
        <v>2</v>
      </c>
      <c r="D137" s="4102" t="s">
        <v>2201</v>
      </c>
      <c r="E137" s="4102"/>
      <c r="F137" s="1210"/>
    </row>
    <row r="138" spans="1:6" ht="14.45" hidden="1" customHeight="1" outlineLevel="1">
      <c r="A138" s="4112"/>
      <c r="B138" s="4097"/>
      <c r="C138" s="1154">
        <v>3</v>
      </c>
      <c r="D138" s="4102" t="s">
        <v>2207</v>
      </c>
      <c r="E138" s="4102"/>
      <c r="F138" s="1210"/>
    </row>
    <row r="139" spans="1:6" ht="14.45" hidden="1" customHeight="1" outlineLevel="1" collapsed="1">
      <c r="A139" s="4112"/>
      <c r="B139" s="4097"/>
      <c r="C139" s="1154"/>
      <c r="D139" s="4100" t="s">
        <v>814</v>
      </c>
      <c r="E139" s="4100"/>
      <c r="F139" s="4115"/>
    </row>
    <row r="140" spans="1:6" ht="14.45" hidden="1" customHeight="1" outlineLevel="1">
      <c r="A140" s="4112"/>
      <c r="B140" s="4097"/>
      <c r="C140" s="1154">
        <v>1</v>
      </c>
      <c r="D140" s="4102" t="s">
        <v>2202</v>
      </c>
      <c r="E140" s="4102"/>
      <c r="F140" s="1210"/>
    </row>
    <row r="141" spans="1:6" ht="33" hidden="1" customHeight="1" outlineLevel="1" thickBot="1">
      <c r="A141" s="4176"/>
      <c r="B141" s="4098"/>
      <c r="C141" s="1975">
        <v>2</v>
      </c>
      <c r="D141" s="4102" t="s">
        <v>2203</v>
      </c>
      <c r="E141" s="4102"/>
      <c r="F141" s="1210"/>
    </row>
    <row r="142" spans="1:6" ht="14.45" hidden="1" customHeight="1" outlineLevel="1" collapsed="1">
      <c r="A142" s="4111" t="s">
        <v>2240</v>
      </c>
      <c r="B142" s="4096"/>
      <c r="C142" s="1154"/>
      <c r="D142" s="4100" t="s">
        <v>814</v>
      </c>
      <c r="E142" s="4100"/>
      <c r="F142" s="4115"/>
    </row>
    <row r="143" spans="1:6" ht="14.45" hidden="1" customHeight="1" outlineLevel="1">
      <c r="A143" s="4112"/>
      <c r="B143" s="4097"/>
      <c r="C143" s="1154">
        <v>1</v>
      </c>
      <c r="D143" s="4102" t="s">
        <v>2241</v>
      </c>
      <c r="E143" s="4102"/>
      <c r="F143" s="1210"/>
    </row>
    <row r="144" spans="1:6" ht="14.45" hidden="1" customHeight="1" outlineLevel="1">
      <c r="A144" s="4112"/>
      <c r="B144" s="4097"/>
      <c r="C144" s="1975"/>
      <c r="D144" s="4102"/>
      <c r="E144" s="4102"/>
      <c r="F144" s="1210"/>
    </row>
    <row r="145" spans="1:6" ht="14.45" hidden="1" customHeight="1" outlineLevel="1" thickBot="1">
      <c r="A145" s="4112"/>
      <c r="B145" s="4097"/>
      <c r="C145" s="1154"/>
      <c r="D145" s="4102"/>
      <c r="E145" s="4102"/>
      <c r="F145" s="1210"/>
    </row>
    <row r="146" spans="1:6" ht="14.45" hidden="1" customHeight="1" outlineLevel="1">
      <c r="A146" s="4179" t="s">
        <v>2385</v>
      </c>
      <c r="B146" s="4103"/>
      <c r="C146" s="1161"/>
      <c r="D146" s="4100" t="s">
        <v>813</v>
      </c>
      <c r="E146" s="4100"/>
      <c r="F146" s="4100"/>
    </row>
    <row r="147" spans="1:6" ht="14.45" hidden="1" customHeight="1" outlineLevel="1">
      <c r="A147" s="4068"/>
      <c r="B147" s="4104"/>
      <c r="C147" s="1154">
        <v>1</v>
      </c>
      <c r="D147" s="4102" t="s">
        <v>2376</v>
      </c>
      <c r="E147" s="4102"/>
      <c r="F147" s="1210" t="s">
        <v>165</v>
      </c>
    </row>
    <row r="148" spans="1:6" ht="14.45" hidden="1" customHeight="1" outlineLevel="1">
      <c r="A148" s="4068"/>
      <c r="B148" s="4104"/>
      <c r="C148" s="1154">
        <v>2</v>
      </c>
      <c r="D148" s="4102" t="s">
        <v>2377</v>
      </c>
      <c r="E148" s="4102"/>
      <c r="F148" s="1210"/>
    </row>
    <row r="149" spans="1:6" ht="14.45" hidden="1" customHeight="1" outlineLevel="1">
      <c r="A149" s="4068"/>
      <c r="B149" s="4104"/>
      <c r="C149" s="1154">
        <v>3</v>
      </c>
      <c r="D149" s="4102"/>
      <c r="E149" s="4102"/>
      <c r="F149" s="1210"/>
    </row>
    <row r="150" spans="1:6" ht="14.45" hidden="1" customHeight="1" outlineLevel="1" collapsed="1">
      <c r="A150" s="4068"/>
      <c r="B150" s="4104"/>
      <c r="C150" s="1154"/>
      <c r="D150" s="4100" t="s">
        <v>814</v>
      </c>
      <c r="E150" s="4100"/>
      <c r="F150" s="4115"/>
    </row>
    <row r="151" spans="1:6" ht="14.45" hidden="1" customHeight="1" outlineLevel="1">
      <c r="A151" s="4068"/>
      <c r="B151" s="4104"/>
      <c r="C151" s="1154">
        <v>1</v>
      </c>
      <c r="D151" s="4102" t="s">
        <v>2378</v>
      </c>
      <c r="E151" s="4102"/>
      <c r="F151" s="1210"/>
    </row>
    <row r="152" spans="1:6" hidden="1" outlineLevel="1">
      <c r="A152" s="4068"/>
      <c r="B152" s="4104"/>
      <c r="C152" s="1975">
        <v>2</v>
      </c>
      <c r="D152" s="4102" t="s">
        <v>2379</v>
      </c>
      <c r="E152" s="4102"/>
      <c r="F152" s="1210"/>
    </row>
    <row r="153" spans="1:6" hidden="1" outlineLevel="1">
      <c r="A153" s="4068"/>
      <c r="B153" s="4104"/>
      <c r="C153" s="1975">
        <v>3</v>
      </c>
      <c r="D153" s="4102" t="s">
        <v>2380</v>
      </c>
      <c r="E153" s="4102"/>
      <c r="F153" s="1210"/>
    </row>
    <row r="154" spans="1:6" hidden="1" outlineLevel="1">
      <c r="A154" s="4068"/>
      <c r="B154" s="4104"/>
      <c r="C154" s="1975">
        <v>4</v>
      </c>
      <c r="D154" s="4102" t="s">
        <v>2381</v>
      </c>
      <c r="E154" s="4102"/>
      <c r="F154" s="1210"/>
    </row>
    <row r="155" spans="1:6" hidden="1" outlineLevel="1">
      <c r="A155" s="4068"/>
      <c r="B155" s="4104"/>
      <c r="C155" s="1975">
        <v>5</v>
      </c>
      <c r="D155" s="4102" t="s">
        <v>2382</v>
      </c>
      <c r="E155" s="4102"/>
      <c r="F155" s="1210"/>
    </row>
    <row r="156" spans="1:6" hidden="1" outlineLevel="1">
      <c r="A156" s="4068"/>
      <c r="B156" s="4104"/>
      <c r="C156" s="1975">
        <v>6</v>
      </c>
      <c r="D156" s="4102" t="s">
        <v>2383</v>
      </c>
      <c r="E156" s="4102"/>
      <c r="F156" s="1210"/>
    </row>
    <row r="157" spans="1:6" ht="15.75" hidden="1" outlineLevel="1" thickBot="1">
      <c r="A157" s="4068"/>
      <c r="B157" s="4104"/>
      <c r="C157" s="1975">
        <v>7</v>
      </c>
      <c r="D157" s="4102" t="s">
        <v>2384</v>
      </c>
      <c r="E157" s="4102"/>
      <c r="F157" s="1210"/>
    </row>
    <row r="158" spans="1:6" ht="14.45" hidden="1" customHeight="1" outlineLevel="1" collapsed="1">
      <c r="A158" s="4111" t="s">
        <v>2505</v>
      </c>
      <c r="B158" s="4095" t="s">
        <v>2517</v>
      </c>
      <c r="C158" s="1161"/>
      <c r="D158" s="4100" t="s">
        <v>813</v>
      </c>
      <c r="E158" s="4100"/>
      <c r="F158" s="4100"/>
    </row>
    <row r="159" spans="1:6" ht="14.45" hidden="1" customHeight="1" outlineLevel="1">
      <c r="A159" s="4112"/>
      <c r="B159" s="4095"/>
      <c r="C159" s="1154">
        <v>1</v>
      </c>
      <c r="D159" s="4102" t="s">
        <v>2415</v>
      </c>
      <c r="E159" s="4102"/>
      <c r="F159" s="1210"/>
    </row>
    <row r="160" spans="1:6" ht="14.45" hidden="1" customHeight="1" outlineLevel="1">
      <c r="A160" s="4112"/>
      <c r="B160" s="4095"/>
      <c r="C160" s="1154">
        <v>2</v>
      </c>
      <c r="D160" s="4102" t="s">
        <v>2486</v>
      </c>
      <c r="E160" s="4102"/>
      <c r="F160" s="1210"/>
    </row>
    <row r="161" spans="1:6" ht="14.45" hidden="1" customHeight="1" outlineLevel="1">
      <c r="A161" s="4112"/>
      <c r="B161" s="4095"/>
      <c r="C161" s="1154">
        <v>3</v>
      </c>
      <c r="D161" s="4102" t="s">
        <v>2416</v>
      </c>
      <c r="E161" s="4102"/>
      <c r="F161" s="1210"/>
    </row>
    <row r="162" spans="1:6" ht="14.45" hidden="1" customHeight="1" outlineLevel="1">
      <c r="A162" s="4112"/>
      <c r="B162" s="4095"/>
      <c r="C162" s="1154">
        <v>4</v>
      </c>
      <c r="D162" s="4102" t="s">
        <v>2417</v>
      </c>
      <c r="E162" s="4102"/>
      <c r="F162" s="1210"/>
    </row>
    <row r="163" spans="1:6" ht="14.45" hidden="1" customHeight="1" outlineLevel="1" collapsed="1">
      <c r="A163" s="4112"/>
      <c r="B163" s="4095"/>
      <c r="C163" s="1154"/>
      <c r="D163" s="4100" t="s">
        <v>814</v>
      </c>
      <c r="E163" s="4100"/>
      <c r="F163" s="4115"/>
    </row>
    <row r="164" spans="1:6" ht="14.45" hidden="1" customHeight="1" outlineLevel="1">
      <c r="A164" s="4112"/>
      <c r="B164" s="4095"/>
      <c r="C164" s="1154">
        <v>1</v>
      </c>
      <c r="D164" s="4102" t="s">
        <v>2413</v>
      </c>
      <c r="E164" s="4102"/>
      <c r="F164" s="1210"/>
    </row>
    <row r="165" spans="1:6" ht="15" hidden="1" customHeight="1" outlineLevel="1">
      <c r="A165" s="4112"/>
      <c r="B165" s="4095"/>
      <c r="C165" s="1975">
        <v>2</v>
      </c>
      <c r="D165" s="4102" t="s">
        <v>2414</v>
      </c>
      <c r="E165" s="4102"/>
      <c r="F165" s="1210"/>
    </row>
    <row r="166" spans="1:6" ht="15" hidden="1" customHeight="1" outlineLevel="1">
      <c r="A166" s="4112"/>
      <c r="B166" s="4095"/>
      <c r="C166" s="1975">
        <v>3</v>
      </c>
      <c r="D166" s="4102" t="s">
        <v>2487</v>
      </c>
      <c r="E166" s="4102"/>
      <c r="F166" s="1210"/>
    </row>
    <row r="167" spans="1:6" ht="22.5" hidden="1" customHeight="1" outlineLevel="1" collapsed="1">
      <c r="A167" s="4112"/>
      <c r="B167" s="4095" t="s">
        <v>2518</v>
      </c>
      <c r="C167" s="1154"/>
      <c r="D167" s="4100" t="s">
        <v>814</v>
      </c>
      <c r="E167" s="4100"/>
      <c r="F167" s="4115"/>
    </row>
    <row r="168" spans="1:6" hidden="1" outlineLevel="1">
      <c r="A168" s="4112"/>
      <c r="B168" s="4095"/>
      <c r="C168" s="1154">
        <v>1</v>
      </c>
      <c r="D168" s="4102" t="s">
        <v>2519</v>
      </c>
      <c r="E168" s="4102"/>
      <c r="F168" s="1210"/>
    </row>
    <row r="169" spans="1:6" hidden="1" outlineLevel="1">
      <c r="A169" s="4112"/>
      <c r="B169" s="4095"/>
      <c r="C169" s="1975">
        <v>2</v>
      </c>
      <c r="D169" s="4102" t="s">
        <v>2520</v>
      </c>
      <c r="E169" s="4102"/>
      <c r="F169" s="1210"/>
    </row>
    <row r="170" spans="1:6" ht="22.5" hidden="1" customHeight="1" outlineLevel="1" collapsed="1">
      <c r="A170" s="4112"/>
      <c r="B170" s="4095" t="s">
        <v>2524</v>
      </c>
      <c r="C170" s="1154"/>
      <c r="D170" s="4100" t="s">
        <v>814</v>
      </c>
      <c r="E170" s="4100"/>
      <c r="F170" s="4115"/>
    </row>
    <row r="171" spans="1:6" hidden="1" outlineLevel="1">
      <c r="A171" s="4112"/>
      <c r="B171" s="4095"/>
      <c r="C171" s="1154">
        <v>1</v>
      </c>
      <c r="D171" s="4102" t="s">
        <v>2525</v>
      </c>
      <c r="E171" s="4102"/>
      <c r="F171" s="1210"/>
    </row>
    <row r="172" spans="1:6" hidden="1" outlineLevel="1">
      <c r="A172" s="4112"/>
      <c r="B172" s="4096"/>
    </row>
    <row r="173" spans="1:6" ht="15" hidden="1" customHeight="1" outlineLevel="1" collapsed="1">
      <c r="A173" s="4072" t="s">
        <v>2807</v>
      </c>
      <c r="B173" s="4069"/>
      <c r="C173" s="3142"/>
      <c r="D173" s="4109" t="s">
        <v>813</v>
      </c>
      <c r="E173" s="4109"/>
      <c r="F173" s="4109"/>
    </row>
    <row r="174" spans="1:6" ht="15" hidden="1" customHeight="1" outlineLevel="1">
      <c r="A174" s="4072"/>
      <c r="B174" s="4069"/>
      <c r="C174" s="3142">
        <v>1</v>
      </c>
      <c r="D174" s="4101" t="s">
        <v>1467</v>
      </c>
      <c r="E174" s="4101"/>
      <c r="F174" s="3309"/>
    </row>
    <row r="175" spans="1:6" ht="21" hidden="1" customHeight="1" outlineLevel="1">
      <c r="A175" s="4072"/>
      <c r="B175" s="4069"/>
      <c r="C175" s="3142">
        <v>2</v>
      </c>
      <c r="D175" s="4101" t="s">
        <v>2906</v>
      </c>
      <c r="E175" s="4101"/>
      <c r="F175" s="3143"/>
    </row>
    <row r="176" spans="1:6" ht="15.75" hidden="1" customHeight="1" outlineLevel="1">
      <c r="A176" s="4072"/>
      <c r="B176" s="4069"/>
      <c r="C176" s="4099">
        <v>3</v>
      </c>
      <c r="D176" s="4101" t="s">
        <v>2814</v>
      </c>
      <c r="E176" s="4101"/>
      <c r="F176" s="3145" t="s">
        <v>2815</v>
      </c>
    </row>
    <row r="177" spans="1:6" ht="17.25" hidden="1" customHeight="1" outlineLevel="1">
      <c r="A177" s="4072"/>
      <c r="B177" s="4069"/>
      <c r="C177" s="4099"/>
      <c r="D177" s="4101"/>
      <c r="E177" s="4101"/>
      <c r="F177" s="3145" t="s">
        <v>839</v>
      </c>
    </row>
    <row r="178" spans="1:6" ht="45.75" hidden="1" customHeight="1" outlineLevel="1">
      <c r="A178" s="4072"/>
      <c r="B178" s="4069"/>
      <c r="C178" s="3142">
        <v>4</v>
      </c>
      <c r="D178" s="4101" t="s">
        <v>2816</v>
      </c>
      <c r="E178" s="4101"/>
      <c r="F178" s="3303"/>
    </row>
    <row r="179" spans="1:6" ht="17.25" hidden="1" customHeight="1" outlineLevel="1">
      <c r="A179" s="4072"/>
      <c r="B179" s="4069"/>
      <c r="C179" s="3142">
        <v>5</v>
      </c>
      <c r="D179" s="4101" t="s">
        <v>2944</v>
      </c>
      <c r="E179" s="4101"/>
      <c r="F179" s="3145" t="s">
        <v>306</v>
      </c>
    </row>
    <row r="180" spans="1:6" ht="18.75" hidden="1" customHeight="1" outlineLevel="1">
      <c r="A180" s="4072"/>
      <c r="B180" s="4069"/>
      <c r="C180" s="3142"/>
      <c r="D180" s="4109" t="s">
        <v>814</v>
      </c>
      <c r="E180" s="4109"/>
      <c r="F180" s="4109"/>
    </row>
    <row r="181" spans="1:6" ht="15" hidden="1" customHeight="1" outlineLevel="2">
      <c r="A181" s="4072"/>
      <c r="B181" s="4069"/>
      <c r="C181" s="3142">
        <v>1</v>
      </c>
      <c r="D181" s="4110" t="s">
        <v>2896</v>
      </c>
      <c r="E181" s="4110"/>
      <c r="F181" s="3145" t="s">
        <v>306</v>
      </c>
    </row>
    <row r="182" spans="1:6" ht="15" hidden="1" customHeight="1" outlineLevel="2">
      <c r="A182" s="4072"/>
      <c r="B182" s="4069"/>
      <c r="C182" s="3142">
        <v>2</v>
      </c>
      <c r="D182" s="3144" t="s">
        <v>2897</v>
      </c>
      <c r="E182" s="3302"/>
      <c r="F182" s="3145" t="s">
        <v>2808</v>
      </c>
    </row>
    <row r="183" spans="1:6" ht="15" hidden="1" customHeight="1" outlineLevel="2">
      <c r="A183" s="4072"/>
      <c r="B183" s="4069"/>
      <c r="C183" s="4083">
        <v>3</v>
      </c>
      <c r="D183" s="4106" t="s">
        <v>2909</v>
      </c>
      <c r="E183" s="4106"/>
      <c r="F183" s="3145" t="s">
        <v>837</v>
      </c>
    </row>
    <row r="184" spans="1:6" ht="17.25" hidden="1" customHeight="1" outlineLevel="2">
      <c r="A184" s="4072"/>
      <c r="B184" s="4069"/>
      <c r="C184" s="4083"/>
      <c r="D184" s="4106"/>
      <c r="E184" s="4106"/>
      <c r="F184" s="4107" t="s">
        <v>2899</v>
      </c>
    </row>
    <row r="185" spans="1:6" ht="15" hidden="1" customHeight="1" outlineLevel="2">
      <c r="A185" s="4072"/>
      <c r="B185" s="4069"/>
      <c r="C185" s="3142">
        <v>4</v>
      </c>
      <c r="D185" s="3144" t="s">
        <v>2900</v>
      </c>
      <c r="E185" s="3302"/>
      <c r="F185" s="4107"/>
    </row>
    <row r="186" spans="1:6" ht="30.75" hidden="1" customHeight="1" outlineLevel="2">
      <c r="A186" s="4072"/>
      <c r="B186" s="4069"/>
      <c r="C186" s="3142">
        <v>5</v>
      </c>
      <c r="D186" s="4101" t="s">
        <v>2898</v>
      </c>
      <c r="E186" s="4101"/>
      <c r="F186" s="3303" t="s">
        <v>1746</v>
      </c>
    </row>
    <row r="187" spans="1:6" ht="15" hidden="1" customHeight="1" outlineLevel="2">
      <c r="A187" s="4072"/>
      <c r="B187" s="4069"/>
      <c r="C187" s="3142">
        <v>6</v>
      </c>
      <c r="D187" s="4110" t="s">
        <v>2901</v>
      </c>
      <c r="E187" s="4110"/>
      <c r="F187" s="3310" t="s">
        <v>837</v>
      </c>
    </row>
    <row r="188" spans="1:6" ht="15" hidden="1" customHeight="1" outlineLevel="2">
      <c r="A188" s="4072"/>
      <c r="B188" s="4069"/>
      <c r="C188" s="3142">
        <v>7</v>
      </c>
      <c r="D188" s="3302" t="s">
        <v>2926</v>
      </c>
      <c r="E188" s="3302"/>
      <c r="F188" s="3310" t="s">
        <v>969</v>
      </c>
    </row>
    <row r="189" spans="1:6" ht="31.5" hidden="1" customHeight="1" outlineLevel="2">
      <c r="A189" s="4072"/>
      <c r="B189" s="4069"/>
      <c r="C189" s="3142">
        <v>8</v>
      </c>
      <c r="D189" s="4101" t="s">
        <v>2946</v>
      </c>
      <c r="E189" s="4101"/>
      <c r="F189" s="4107" t="s">
        <v>693</v>
      </c>
    </row>
    <row r="190" spans="1:6" ht="18" hidden="1" customHeight="1" outlineLevel="2">
      <c r="A190" s="4072"/>
      <c r="B190" s="4069"/>
      <c r="C190" s="3142">
        <v>9</v>
      </c>
      <c r="D190" s="4101" t="s">
        <v>2945</v>
      </c>
      <c r="E190" s="4101"/>
      <c r="F190" s="4107"/>
    </row>
    <row r="191" spans="1:6" ht="21" hidden="1" customHeight="1" outlineLevel="2">
      <c r="A191" s="4072"/>
      <c r="B191" s="4069"/>
      <c r="C191" s="3142"/>
      <c r="D191" s="4105" t="s">
        <v>965</v>
      </c>
      <c r="E191" s="4105"/>
      <c r="F191" s="4105"/>
    </row>
    <row r="192" spans="1:6" ht="34.5" hidden="1" customHeight="1" outlineLevel="2">
      <c r="A192" s="4072"/>
      <c r="B192" s="4069"/>
      <c r="C192" s="3142">
        <v>1</v>
      </c>
      <c r="D192" s="4108" t="s">
        <v>2907</v>
      </c>
      <c r="E192" s="4108"/>
      <c r="F192" s="3310" t="s">
        <v>2902</v>
      </c>
    </row>
    <row r="193" spans="1:6" ht="30" hidden="1" customHeight="1" outlineLevel="2">
      <c r="A193" s="4072"/>
      <c r="B193" s="4069"/>
      <c r="C193" s="3142">
        <v>2</v>
      </c>
      <c r="D193" s="4101" t="s">
        <v>2905</v>
      </c>
      <c r="E193" s="4101"/>
      <c r="F193" s="3310" t="s">
        <v>2908</v>
      </c>
    </row>
    <row r="194" spans="1:6" ht="21.75" hidden="1" customHeight="1" outlineLevel="2">
      <c r="A194" s="4072"/>
      <c r="B194" s="4069"/>
      <c r="C194" s="3142"/>
      <c r="D194" s="4105" t="s">
        <v>864</v>
      </c>
      <c r="E194" s="4105"/>
      <c r="F194" s="4105"/>
    </row>
    <row r="195" spans="1:6" ht="63" hidden="1" customHeight="1" outlineLevel="2">
      <c r="A195" s="4072"/>
      <c r="B195" s="4069"/>
      <c r="C195" s="3142">
        <v>1</v>
      </c>
      <c r="D195" s="4101" t="s">
        <v>2903</v>
      </c>
      <c r="E195" s="4101"/>
      <c r="F195" s="3143"/>
    </row>
    <row r="196" spans="1:6" ht="45" hidden="1" customHeight="1" outlineLevel="2">
      <c r="A196" s="4072"/>
      <c r="B196" s="4069"/>
      <c r="C196" s="3142">
        <v>2</v>
      </c>
      <c r="D196" s="4101" t="s">
        <v>2947</v>
      </c>
      <c r="E196" s="4110"/>
      <c r="F196" s="3145" t="s">
        <v>2892</v>
      </c>
    </row>
    <row r="197" spans="1:6" ht="30" hidden="1" customHeight="1" outlineLevel="2">
      <c r="A197" s="4072"/>
      <c r="B197" s="4069"/>
      <c r="C197" s="3142">
        <v>3</v>
      </c>
      <c r="D197" s="4108" t="s">
        <v>2910</v>
      </c>
      <c r="E197" s="4108"/>
      <c r="F197" s="3143"/>
    </row>
    <row r="198" spans="1:6" ht="61.5" hidden="1" customHeight="1" outlineLevel="2">
      <c r="A198" s="4072"/>
      <c r="B198" s="4069"/>
      <c r="C198" s="3142">
        <v>4</v>
      </c>
      <c r="D198" s="4101" t="s">
        <v>2904</v>
      </c>
      <c r="E198" s="4101"/>
      <c r="F198" s="3143"/>
    </row>
    <row r="199" spans="1:6" ht="15" hidden="1" customHeight="1" outlineLevel="2">
      <c r="A199" s="4072"/>
      <c r="B199" s="4069"/>
      <c r="C199" s="4083">
        <v>5</v>
      </c>
      <c r="D199" s="4110" t="s">
        <v>2893</v>
      </c>
      <c r="E199" s="4110"/>
      <c r="F199" s="3145" t="s">
        <v>2894</v>
      </c>
    </row>
    <row r="200" spans="1:6" ht="15" hidden="1" customHeight="1" outlineLevel="2">
      <c r="A200" s="4072"/>
      <c r="B200" s="4069"/>
      <c r="C200" s="4083"/>
      <c r="D200" s="4110"/>
      <c r="E200" s="4110"/>
      <c r="F200" s="3145" t="s">
        <v>2892</v>
      </c>
    </row>
    <row r="201" spans="1:6" ht="15" hidden="1" customHeight="1" outlineLevel="2">
      <c r="A201" s="4072"/>
      <c r="B201" s="4069"/>
      <c r="C201" s="3142">
        <v>6</v>
      </c>
      <c r="D201" s="4110" t="s">
        <v>2895</v>
      </c>
      <c r="E201" s="4110"/>
      <c r="F201" s="3145" t="s">
        <v>2892</v>
      </c>
    </row>
    <row r="202" spans="1:6" ht="15" hidden="1" customHeight="1" outlineLevel="1">
      <c r="A202" s="4072"/>
      <c r="B202" s="4181" t="s">
        <v>2971</v>
      </c>
      <c r="C202" s="3142">
        <v>1</v>
      </c>
      <c r="D202" s="4110" t="s">
        <v>2968</v>
      </c>
      <c r="E202" s="4110"/>
      <c r="F202" s="3145" t="s">
        <v>2969</v>
      </c>
    </row>
    <row r="203" spans="1:6" ht="15" hidden="1" customHeight="1" outlineLevel="1">
      <c r="A203" s="4072"/>
      <c r="B203" s="4181"/>
      <c r="C203" s="3142">
        <v>2</v>
      </c>
      <c r="D203" s="4110" t="s">
        <v>2970</v>
      </c>
      <c r="E203" s="4110"/>
      <c r="F203" s="3145" t="s">
        <v>306</v>
      </c>
    </row>
    <row r="204" spans="1:6" ht="24" hidden="1" customHeight="1" outlineLevel="1">
      <c r="A204" s="4072"/>
      <c r="B204" s="3368" t="s">
        <v>2973</v>
      </c>
      <c r="C204" s="3142">
        <v>1</v>
      </c>
      <c r="D204" s="3144" t="s">
        <v>2974</v>
      </c>
      <c r="E204" s="3357"/>
      <c r="F204" s="3145" t="s">
        <v>2894</v>
      </c>
    </row>
    <row r="205" spans="1:6" ht="24" hidden="1" customHeight="1" outlineLevel="2">
      <c r="A205" s="4072"/>
      <c r="B205" s="4180" t="s">
        <v>3008</v>
      </c>
      <c r="C205" s="3142"/>
      <c r="D205" s="4116" t="s">
        <v>3011</v>
      </c>
      <c r="E205" s="4117"/>
      <c r="F205" s="3145"/>
    </row>
    <row r="206" spans="1:6" ht="27" hidden="1" customHeight="1" outlineLevel="1">
      <c r="A206" s="4072"/>
      <c r="B206" s="4180"/>
      <c r="C206" s="3142">
        <v>1</v>
      </c>
      <c r="D206" s="4182" t="s">
        <v>2998</v>
      </c>
      <c r="E206" s="4182"/>
      <c r="F206" s="3143"/>
    </row>
    <row r="207" spans="1:6" ht="21" hidden="1" customHeight="1" outlineLevel="1">
      <c r="A207" s="4072"/>
      <c r="B207" s="4180"/>
      <c r="C207" s="3142"/>
      <c r="D207" s="4177" t="s">
        <v>3010</v>
      </c>
      <c r="E207" s="4178"/>
      <c r="F207" s="3143"/>
    </row>
    <row r="208" spans="1:6" hidden="1" outlineLevel="1">
      <c r="A208" s="4072"/>
      <c r="B208" s="4180"/>
      <c r="C208" s="3142">
        <v>2</v>
      </c>
      <c r="D208" s="3143" t="s">
        <v>3009</v>
      </c>
      <c r="E208" s="3357"/>
      <c r="F208" s="3384" t="s">
        <v>306</v>
      </c>
    </row>
    <row r="209" spans="1:6" hidden="1" outlineLevel="1">
      <c r="A209" s="4072"/>
      <c r="B209" s="4180"/>
      <c r="C209" s="3142"/>
      <c r="D209" s="4116" t="s">
        <v>3012</v>
      </c>
      <c r="E209" s="4117"/>
      <c r="F209" s="3143"/>
    </row>
    <row r="210" spans="1:6" ht="90" hidden="1" outlineLevel="1">
      <c r="A210" s="4072"/>
      <c r="B210" s="4180"/>
      <c r="C210" s="3383">
        <v>3</v>
      </c>
      <c r="D210" s="3382" t="s">
        <v>3013</v>
      </c>
      <c r="E210" s="3381" t="s">
        <v>3022</v>
      </c>
    </row>
    <row r="211" spans="1:6" ht="27.75" hidden="1" customHeight="1" outlineLevel="1">
      <c r="A211" s="4072"/>
      <c r="B211" s="4180"/>
      <c r="C211" s="3142">
        <v>4</v>
      </c>
      <c r="D211" s="4064" t="s">
        <v>3014</v>
      </c>
      <c r="E211" s="4064"/>
      <c r="F211" s="3384" t="s">
        <v>2902</v>
      </c>
    </row>
    <row r="212" spans="1:6" hidden="1" outlineLevel="2" collapsed="1">
      <c r="A212" s="4072" t="s">
        <v>3163</v>
      </c>
      <c r="B212" s="4069"/>
      <c r="C212" s="3142"/>
      <c r="D212" s="4065" t="s">
        <v>3164</v>
      </c>
      <c r="E212" s="4065"/>
      <c r="F212" s="4065"/>
    </row>
    <row r="213" spans="1:6" hidden="1" outlineLevel="2">
      <c r="A213" s="4072"/>
      <c r="B213" s="4069"/>
      <c r="C213" s="3142">
        <v>1</v>
      </c>
      <c r="D213" s="4066" t="s">
        <v>3165</v>
      </c>
      <c r="E213" s="4066"/>
      <c r="F213" s="3143"/>
    </row>
    <row r="214" spans="1:6" hidden="1" outlineLevel="2">
      <c r="A214" s="4072"/>
      <c r="B214" s="4069"/>
      <c r="C214" s="3142"/>
      <c r="D214" s="4065" t="s">
        <v>3010</v>
      </c>
      <c r="E214" s="4065"/>
      <c r="F214" s="4065"/>
    </row>
    <row r="215" spans="1:6" hidden="1" outlineLevel="2">
      <c r="A215" s="4072"/>
      <c r="B215" s="4069"/>
      <c r="C215" s="3142">
        <v>2</v>
      </c>
      <c r="D215" s="3357" t="s">
        <v>3166</v>
      </c>
      <c r="E215" s="3357"/>
      <c r="F215" s="3384" t="s">
        <v>455</v>
      </c>
    </row>
    <row r="216" spans="1:6" hidden="1" outlineLevel="1">
      <c r="A216" s="4086" t="s">
        <v>3233</v>
      </c>
      <c r="B216" s="3610"/>
      <c r="C216" s="1154"/>
      <c r="D216" s="4085" t="s">
        <v>3011</v>
      </c>
      <c r="E216" s="4085"/>
      <c r="F216" s="4085"/>
    </row>
    <row r="217" spans="1:6" hidden="1" outlineLevel="1">
      <c r="A217" s="4087"/>
      <c r="B217" s="3610"/>
      <c r="C217" s="1154">
        <v>1</v>
      </c>
      <c r="D217" s="4184" t="s">
        <v>3213</v>
      </c>
      <c r="E217" s="4185"/>
      <c r="F217" s="3613" t="s">
        <v>3212</v>
      </c>
    </row>
    <row r="218" spans="1:6" hidden="1" outlineLevel="1">
      <c r="A218" s="4087"/>
      <c r="B218" s="3610"/>
      <c r="C218" s="1154"/>
      <c r="D218" s="4065" t="s">
        <v>3010</v>
      </c>
      <c r="E218" s="4065"/>
      <c r="F218" s="4065"/>
    </row>
    <row r="219" spans="1:6" hidden="1" outlineLevel="1">
      <c r="A219" s="4087"/>
      <c r="B219" s="3610"/>
      <c r="C219" s="1154">
        <v>2</v>
      </c>
      <c r="D219" s="3612" t="s">
        <v>3214</v>
      </c>
      <c r="E219" s="3611"/>
      <c r="F219" s="3613" t="s">
        <v>3215</v>
      </c>
    </row>
    <row r="220" spans="1:6" hidden="1" outlineLevel="1">
      <c r="A220" s="4087"/>
      <c r="B220" s="3610"/>
      <c r="C220" s="1154"/>
      <c r="D220" s="4085" t="s">
        <v>3012</v>
      </c>
      <c r="E220" s="4085"/>
      <c r="F220" s="4085"/>
    </row>
    <row r="221" spans="1:6" hidden="1" outlineLevel="1">
      <c r="A221" s="4080"/>
      <c r="B221" s="3610"/>
      <c r="C221" s="1154">
        <v>3</v>
      </c>
      <c r="D221" s="3612" t="s">
        <v>3216</v>
      </c>
      <c r="E221" s="3611"/>
      <c r="F221" s="3613" t="s">
        <v>3217</v>
      </c>
    </row>
    <row r="222" spans="1:6" hidden="1" outlineLevel="1" collapsed="1">
      <c r="A222" s="4086" t="s">
        <v>3286</v>
      </c>
      <c r="B222" s="3610"/>
      <c r="C222" s="1154"/>
      <c r="D222" s="4085" t="s">
        <v>3287</v>
      </c>
      <c r="E222" s="4085"/>
      <c r="F222" s="4085"/>
    </row>
    <row r="223" spans="1:6" hidden="1" outlineLevel="1">
      <c r="A223" s="4087"/>
      <c r="B223" s="3610"/>
      <c r="C223" s="1154">
        <v>1</v>
      </c>
      <c r="D223" s="4093" t="s">
        <v>3288</v>
      </c>
      <c r="E223" s="4094"/>
      <c r="F223" s="3613"/>
    </row>
    <row r="224" spans="1:6" hidden="1" outlineLevel="1">
      <c r="A224" s="4087"/>
      <c r="B224" s="3610"/>
      <c r="C224" s="1154">
        <v>2</v>
      </c>
      <c r="D224" s="4093" t="s">
        <v>3290</v>
      </c>
      <c r="E224" s="4094"/>
      <c r="F224" s="3613"/>
    </row>
    <row r="225" spans="1:8" hidden="1" outlineLevel="1">
      <c r="A225" s="4087"/>
      <c r="B225" s="3610"/>
      <c r="C225" s="1154"/>
      <c r="D225" s="4065" t="s">
        <v>3010</v>
      </c>
      <c r="E225" s="4065"/>
      <c r="F225" s="4065"/>
    </row>
    <row r="226" spans="1:8" hidden="1" outlineLevel="1">
      <c r="A226" s="4087"/>
      <c r="B226" s="3696"/>
      <c r="C226" s="835">
        <v>3</v>
      </c>
      <c r="D226" s="836" t="s">
        <v>3289</v>
      </c>
      <c r="E226" s="3697"/>
      <c r="F226" s="3698"/>
    </row>
    <row r="227" spans="1:8" hidden="1" outlineLevel="1" collapsed="1">
      <c r="A227" s="4165" t="s">
        <v>3295</v>
      </c>
      <c r="B227" s="3610"/>
      <c r="C227" s="1154"/>
      <c r="D227" s="4085" t="s">
        <v>3287</v>
      </c>
      <c r="E227" s="4085"/>
      <c r="F227" s="4085"/>
    </row>
    <row r="228" spans="1:8" hidden="1" outlineLevel="1">
      <c r="A228" s="4165"/>
      <c r="B228" s="3610"/>
      <c r="C228" s="1154">
        <v>1</v>
      </c>
      <c r="D228" s="4183" t="s">
        <v>3294</v>
      </c>
      <c r="E228" s="4183"/>
      <c r="F228" s="3613" t="s">
        <v>2286</v>
      </c>
    </row>
    <row r="229" spans="1:8" hidden="1" outlineLevel="1">
      <c r="A229" s="4165"/>
      <c r="B229" s="3610"/>
      <c r="C229" s="1154"/>
      <c r="D229" s="4085" t="s">
        <v>3010</v>
      </c>
      <c r="E229" s="4085"/>
      <c r="F229" s="4085"/>
    </row>
    <row r="230" spans="1:8" ht="26.25" hidden="1" outlineLevel="1">
      <c r="A230" s="4165"/>
      <c r="B230" s="3610"/>
      <c r="C230" s="1154">
        <v>2</v>
      </c>
      <c r="D230" s="3612" t="s">
        <v>3300</v>
      </c>
      <c r="E230" s="3699"/>
      <c r="F230" s="3613" t="s">
        <v>3299</v>
      </c>
      <c r="G230" s="234"/>
      <c r="H230" s="220"/>
    </row>
    <row r="231" spans="1:8" hidden="1" outlineLevel="1">
      <c r="A231" s="4165" t="s">
        <v>3333</v>
      </c>
      <c r="B231" s="4081"/>
      <c r="C231" s="1154"/>
      <c r="D231" s="4085" t="s">
        <v>3010</v>
      </c>
      <c r="E231" s="4085"/>
      <c r="F231" s="4085"/>
    </row>
    <row r="232" spans="1:8" hidden="1" outlineLevel="1">
      <c r="A232" s="4165"/>
      <c r="B232" s="4082"/>
      <c r="C232" s="3823">
        <v>1</v>
      </c>
      <c r="D232" s="3824" t="s">
        <v>3330</v>
      </c>
      <c r="E232" s="3825"/>
      <c r="F232" s="3826" t="s">
        <v>3305</v>
      </c>
    </row>
    <row r="233" spans="1:8" hidden="1" outlineLevel="1">
      <c r="A233" s="4072" t="s">
        <v>3365</v>
      </c>
      <c r="B233" s="4069"/>
      <c r="C233" s="3836"/>
      <c r="D233" s="4065" t="s">
        <v>3287</v>
      </c>
      <c r="E233" s="4065"/>
      <c r="F233" s="4065"/>
    </row>
    <row r="234" spans="1:8" hidden="1" outlineLevel="1">
      <c r="A234" s="4072"/>
      <c r="B234" s="4069"/>
      <c r="C234" s="3836">
        <v>1</v>
      </c>
      <c r="D234" s="3143" t="s">
        <v>3348</v>
      </c>
      <c r="E234" s="3797"/>
      <c r="F234" s="3384"/>
    </row>
    <row r="235" spans="1:8" hidden="1" outlineLevel="1">
      <c r="A235" s="4072"/>
      <c r="B235" s="4069"/>
      <c r="C235" s="3836"/>
      <c r="D235" s="4065" t="s">
        <v>3010</v>
      </c>
      <c r="E235" s="4065"/>
      <c r="F235" s="4065"/>
    </row>
    <row r="236" spans="1:8" hidden="1" outlineLevel="1">
      <c r="A236" s="4072"/>
      <c r="B236" s="4069"/>
      <c r="C236" s="3836">
        <v>2</v>
      </c>
      <c r="D236" s="3143" t="s">
        <v>3363</v>
      </c>
      <c r="E236" s="3797"/>
      <c r="F236" s="3384" t="s">
        <v>693</v>
      </c>
    </row>
    <row r="237" spans="1:8" hidden="1" outlineLevel="1">
      <c r="A237" s="4072"/>
      <c r="B237" s="4069"/>
      <c r="C237" s="4092">
        <v>3</v>
      </c>
      <c r="D237" s="4091" t="s">
        <v>3370</v>
      </c>
      <c r="E237" s="4091"/>
      <c r="F237" s="3384" t="s">
        <v>3364</v>
      </c>
    </row>
    <row r="238" spans="1:8" hidden="1" outlineLevel="1">
      <c r="A238" s="4072"/>
      <c r="B238" s="4069"/>
      <c r="C238" s="4092"/>
      <c r="D238" s="4091"/>
      <c r="E238" s="4091"/>
      <c r="F238" s="3384" t="s">
        <v>3366</v>
      </c>
    </row>
    <row r="239" spans="1:8" ht="29.25" hidden="1" customHeight="1" outlineLevel="1">
      <c r="A239" s="4072"/>
      <c r="B239" s="4069"/>
      <c r="C239" s="3852">
        <v>4</v>
      </c>
      <c r="D239" s="4088" t="s">
        <v>3373</v>
      </c>
      <c r="E239" s="4089"/>
      <c r="F239" s="3835" t="s">
        <v>3371</v>
      </c>
      <c r="G239" s="3827"/>
    </row>
    <row r="240" spans="1:8" hidden="1" outlineLevel="1">
      <c r="A240" s="4072"/>
      <c r="B240" s="4090"/>
      <c r="C240" s="3142">
        <v>5</v>
      </c>
      <c r="D240" s="3834" t="s">
        <v>3372</v>
      </c>
      <c r="E240" s="3834"/>
      <c r="F240" s="3384" t="s">
        <v>456</v>
      </c>
    </row>
    <row r="241" spans="1:6" hidden="1" outlineLevel="1">
      <c r="A241" s="4072" t="s">
        <v>3457</v>
      </c>
      <c r="B241" s="4069"/>
      <c r="C241" s="3142"/>
      <c r="D241" s="4065" t="s">
        <v>3010</v>
      </c>
      <c r="E241" s="4065"/>
      <c r="F241" s="4065"/>
    </row>
    <row r="242" spans="1:6" hidden="1" outlineLevel="1">
      <c r="A242" s="4072"/>
      <c r="B242" s="4069"/>
      <c r="C242" s="3142">
        <v>1</v>
      </c>
      <c r="D242" s="3143" t="s">
        <v>3458</v>
      </c>
      <c r="E242" s="3989"/>
      <c r="F242" s="3384" t="s">
        <v>1174</v>
      </c>
    </row>
    <row r="243" spans="1:6" hidden="1" outlineLevel="1">
      <c r="A243" s="4072"/>
      <c r="B243" s="4069"/>
      <c r="C243" s="3142">
        <v>2</v>
      </c>
      <c r="D243" s="4073" t="s">
        <v>3459</v>
      </c>
      <c r="E243" s="4074"/>
      <c r="F243" s="3384" t="s">
        <v>881</v>
      </c>
    </row>
    <row r="244" spans="1:6" hidden="1" outlineLevel="1">
      <c r="A244" s="4075" t="s">
        <v>3460</v>
      </c>
      <c r="B244" s="4081"/>
      <c r="C244" s="3142"/>
      <c r="D244" s="4065" t="s">
        <v>3010</v>
      </c>
      <c r="E244" s="4065"/>
      <c r="F244" s="4065"/>
    </row>
    <row r="245" spans="1:6" hidden="1" outlineLevel="1">
      <c r="A245" s="4080"/>
      <c r="B245" s="4082"/>
      <c r="C245" s="3142">
        <v>1</v>
      </c>
      <c r="D245" s="3143" t="s">
        <v>3461</v>
      </c>
      <c r="E245" s="3989"/>
      <c r="F245" s="3384"/>
    </row>
    <row r="246" spans="1:6" hidden="1" outlineLevel="1">
      <c r="A246" s="4075" t="s">
        <v>3460</v>
      </c>
      <c r="B246" s="4081"/>
      <c r="C246" s="3142"/>
      <c r="D246" s="4065" t="s">
        <v>3010</v>
      </c>
      <c r="E246" s="4065"/>
      <c r="F246" s="4065"/>
    </row>
    <row r="247" spans="1:6" hidden="1" outlineLevel="1">
      <c r="A247" s="4080"/>
      <c r="B247" s="4082"/>
      <c r="C247" s="3142">
        <v>1</v>
      </c>
      <c r="D247" s="129" t="s">
        <v>3462</v>
      </c>
      <c r="F247" s="3990" t="s">
        <v>3463</v>
      </c>
    </row>
    <row r="248" spans="1:6" collapsed="1">
      <c r="A248" s="4072" t="s">
        <v>3465</v>
      </c>
      <c r="B248" s="4069"/>
      <c r="C248" s="3142"/>
      <c r="D248" s="4065" t="s">
        <v>3010</v>
      </c>
      <c r="E248" s="4065"/>
      <c r="F248" s="4065"/>
    </row>
    <row r="249" spans="1:6">
      <c r="A249" s="4072"/>
      <c r="B249" s="4069"/>
      <c r="C249" s="3142">
        <v>1</v>
      </c>
      <c r="D249" s="4066" t="s">
        <v>3466</v>
      </c>
      <c r="E249" s="4066"/>
      <c r="F249" s="3143"/>
    </row>
    <row r="250" spans="1:6">
      <c r="A250" s="4072"/>
      <c r="B250" s="4069"/>
      <c r="C250" s="3142">
        <v>2</v>
      </c>
      <c r="D250" s="4073" t="s">
        <v>3467</v>
      </c>
      <c r="E250" s="4074"/>
      <c r="F250" s="3384" t="s">
        <v>3468</v>
      </c>
    </row>
    <row r="251" spans="1:6">
      <c r="A251" s="4072" t="s">
        <v>3465</v>
      </c>
      <c r="B251" s="4069" t="s">
        <v>3450</v>
      </c>
      <c r="C251" s="3142"/>
      <c r="D251" s="4065" t="s">
        <v>3010</v>
      </c>
      <c r="E251" s="4065"/>
      <c r="F251" s="4065"/>
    </row>
    <row r="252" spans="1:6">
      <c r="A252" s="4072"/>
      <c r="B252" s="4069"/>
      <c r="C252" s="3142">
        <v>1</v>
      </c>
      <c r="D252" s="3143" t="s">
        <v>3469</v>
      </c>
      <c r="E252" s="3989"/>
      <c r="F252" s="3384" t="s">
        <v>1498</v>
      </c>
    </row>
    <row r="253" spans="1:6">
      <c r="A253" s="4072"/>
      <c r="B253" s="4069"/>
      <c r="C253" s="4083">
        <v>2</v>
      </c>
      <c r="D253" s="4064" t="s">
        <v>3470</v>
      </c>
      <c r="E253" s="4064"/>
      <c r="F253" s="4084" t="s">
        <v>2892</v>
      </c>
    </row>
    <row r="254" spans="1:6">
      <c r="A254" s="4072"/>
      <c r="B254" s="4069"/>
      <c r="C254" s="4083"/>
      <c r="D254" s="4064"/>
      <c r="E254" s="4064"/>
      <c r="F254" s="4084"/>
    </row>
    <row r="255" spans="1:6">
      <c r="A255" s="4072" t="s">
        <v>3465</v>
      </c>
      <c r="B255" s="4069" t="s">
        <v>3464</v>
      </c>
      <c r="C255" s="3142"/>
      <c r="D255" s="4065" t="s">
        <v>3010</v>
      </c>
      <c r="E255" s="4065"/>
      <c r="F255" s="4065"/>
    </row>
    <row r="256" spans="1:6">
      <c r="A256" s="4072"/>
      <c r="B256" s="4069"/>
      <c r="C256" s="3142">
        <v>1</v>
      </c>
      <c r="D256" s="3143" t="s">
        <v>3437</v>
      </c>
      <c r="E256" s="3987"/>
      <c r="F256" s="3384" t="s">
        <v>3440</v>
      </c>
    </row>
    <row r="257" spans="1:6">
      <c r="A257" s="4072"/>
      <c r="B257" s="4069"/>
      <c r="C257" s="3142">
        <v>2</v>
      </c>
      <c r="D257" s="4064" t="s">
        <v>3438</v>
      </c>
      <c r="E257" s="4064"/>
      <c r="F257" s="3384" t="s">
        <v>3439</v>
      </c>
    </row>
    <row r="258" spans="1:6">
      <c r="A258" s="4072" t="s">
        <v>3465</v>
      </c>
      <c r="B258" s="4076" t="s">
        <v>3471</v>
      </c>
      <c r="C258" s="3142"/>
      <c r="D258" s="4065" t="s">
        <v>3010</v>
      </c>
      <c r="E258" s="4065"/>
      <c r="F258" s="4065"/>
    </row>
    <row r="259" spans="1:6">
      <c r="A259" s="4075"/>
      <c r="B259" s="4077"/>
      <c r="C259" s="3823">
        <v>1</v>
      </c>
      <c r="D259" s="4078" t="s">
        <v>3451</v>
      </c>
      <c r="E259" s="4079"/>
      <c r="F259" s="3826" t="s">
        <v>837</v>
      </c>
    </row>
    <row r="260" spans="1:6">
      <c r="A260" s="4067" t="s">
        <v>3472</v>
      </c>
      <c r="B260" s="4069"/>
      <c r="C260" s="3142"/>
      <c r="D260" s="4065" t="s">
        <v>3010</v>
      </c>
      <c r="E260" s="4065"/>
      <c r="F260" s="4065"/>
    </row>
    <row r="261" spans="1:6">
      <c r="A261" s="4068"/>
      <c r="B261" s="4069"/>
      <c r="C261" s="3142">
        <v>1</v>
      </c>
      <c r="D261" s="4066" t="s">
        <v>3473</v>
      </c>
      <c r="E261" s="4066"/>
      <c r="F261" s="3384" t="s">
        <v>2902</v>
      </c>
    </row>
    <row r="262" spans="1:6">
      <c r="A262" s="4068"/>
      <c r="B262" s="4069"/>
      <c r="C262" s="3142">
        <v>2</v>
      </c>
      <c r="D262" s="4066" t="s">
        <v>3476</v>
      </c>
      <c r="E262" s="4066"/>
      <c r="F262" s="3384" t="s">
        <v>306</v>
      </c>
    </row>
    <row r="263" spans="1:6">
      <c r="A263" s="4068"/>
      <c r="B263" s="4069" t="s">
        <v>3450</v>
      </c>
      <c r="C263" s="3142"/>
      <c r="D263" s="4065" t="s">
        <v>3010</v>
      </c>
      <c r="E263" s="4065"/>
      <c r="F263" s="4065"/>
    </row>
    <row r="264" spans="1:6" ht="45.75" customHeight="1">
      <c r="A264" s="4068"/>
      <c r="B264" s="4069"/>
      <c r="C264" s="3142">
        <v>1</v>
      </c>
      <c r="D264" s="4064" t="s">
        <v>3478</v>
      </c>
      <c r="E264" s="4064"/>
      <c r="F264" s="3384" t="s">
        <v>3479</v>
      </c>
    </row>
    <row r="265" spans="1:6">
      <c r="A265" s="4068"/>
      <c r="B265" s="4069" t="s">
        <v>3464</v>
      </c>
      <c r="C265" s="3836"/>
      <c r="D265" s="4065" t="s">
        <v>3010</v>
      </c>
      <c r="E265" s="4065"/>
      <c r="F265" s="4065"/>
    </row>
    <row r="266" spans="1:6">
      <c r="A266" s="4068"/>
      <c r="B266" s="4069"/>
      <c r="C266" s="3836">
        <v>1</v>
      </c>
      <c r="D266" s="4066" t="s">
        <v>3504</v>
      </c>
      <c r="E266" s="4066"/>
      <c r="F266" s="3384" t="s">
        <v>3505</v>
      </c>
    </row>
    <row r="267" spans="1:6">
      <c r="A267" s="4068"/>
      <c r="B267" s="4069"/>
      <c r="C267" s="4032">
        <v>2</v>
      </c>
      <c r="D267" s="4064" t="s">
        <v>3506</v>
      </c>
      <c r="E267" s="4064"/>
      <c r="F267" s="3384" t="s">
        <v>3507</v>
      </c>
    </row>
    <row r="268" spans="1:6">
      <c r="A268" s="4072" t="s">
        <v>3516</v>
      </c>
      <c r="B268" s="4069" t="s">
        <v>3471</v>
      </c>
      <c r="C268" s="4032"/>
      <c r="D268" s="4071" t="s">
        <v>3010</v>
      </c>
      <c r="E268" s="4071"/>
      <c r="F268" s="4071"/>
    </row>
    <row r="269" spans="1:6">
      <c r="A269" s="4072"/>
      <c r="B269" s="4069"/>
      <c r="C269" s="3142">
        <v>1</v>
      </c>
      <c r="D269" s="4070" t="s">
        <v>3508</v>
      </c>
      <c r="E269" s="4070"/>
      <c r="F269" s="4037" t="s">
        <v>837</v>
      </c>
    </row>
    <row r="270" spans="1:6">
      <c r="A270" s="4072"/>
      <c r="B270" s="4069"/>
      <c r="C270" s="3142">
        <v>2</v>
      </c>
      <c r="D270" s="4070" t="s">
        <v>3509</v>
      </c>
      <c r="E270" s="4070"/>
      <c r="F270" s="3384" t="s">
        <v>2899</v>
      </c>
    </row>
    <row r="271" spans="1:6" ht="18" customHeight="1">
      <c r="A271" s="4072"/>
      <c r="B271" s="4069"/>
      <c r="C271" s="3142">
        <v>3</v>
      </c>
      <c r="D271" s="4064" t="s">
        <v>3523</v>
      </c>
      <c r="E271" s="4064"/>
      <c r="F271" s="3384" t="s">
        <v>3507</v>
      </c>
    </row>
    <row r="272" spans="1:6">
      <c r="A272" s="4072"/>
      <c r="B272" s="4069"/>
      <c r="C272" s="3142">
        <v>4</v>
      </c>
      <c r="D272" s="4073" t="s">
        <v>3527</v>
      </c>
      <c r="E272" s="4074"/>
      <c r="F272" s="3384" t="s">
        <v>3526</v>
      </c>
    </row>
    <row r="273" spans="1:6">
      <c r="A273" s="4075" t="s">
        <v>3530</v>
      </c>
      <c r="B273" s="4069" t="s">
        <v>3528</v>
      </c>
      <c r="C273" s="3142"/>
      <c r="D273" s="4071" t="s">
        <v>3010</v>
      </c>
      <c r="E273" s="4071"/>
      <c r="F273" s="4071"/>
    </row>
    <row r="274" spans="1:6">
      <c r="A274" s="4080"/>
      <c r="B274" s="4069"/>
      <c r="C274" s="3142">
        <v>1</v>
      </c>
      <c r="D274" s="4073" t="s">
        <v>3529</v>
      </c>
      <c r="E274" s="4074"/>
      <c r="F274" s="3384" t="s">
        <v>845</v>
      </c>
    </row>
  </sheetData>
  <mergeCells count="308">
    <mergeCell ref="A273:A274"/>
    <mergeCell ref="B273:B274"/>
    <mergeCell ref="D274:E274"/>
    <mergeCell ref="D273:F273"/>
    <mergeCell ref="B205:B211"/>
    <mergeCell ref="B202:B203"/>
    <mergeCell ref="C199:C200"/>
    <mergeCell ref="D206:E206"/>
    <mergeCell ref="D203:E203"/>
    <mergeCell ref="A231:A232"/>
    <mergeCell ref="D227:F227"/>
    <mergeCell ref="D228:E228"/>
    <mergeCell ref="B231:B232"/>
    <mergeCell ref="D214:F214"/>
    <mergeCell ref="D229:F229"/>
    <mergeCell ref="A227:A230"/>
    <mergeCell ref="A222:A226"/>
    <mergeCell ref="D222:F222"/>
    <mergeCell ref="D225:F225"/>
    <mergeCell ref="D217:E217"/>
    <mergeCell ref="D213:E213"/>
    <mergeCell ref="A212:A215"/>
    <mergeCell ref="B212:B215"/>
    <mergeCell ref="D212:F212"/>
    <mergeCell ref="A135:A141"/>
    <mergeCell ref="D249:E249"/>
    <mergeCell ref="D198:E198"/>
    <mergeCell ref="D201:E201"/>
    <mergeCell ref="D207:E207"/>
    <mergeCell ref="D209:E209"/>
    <mergeCell ref="D211:E211"/>
    <mergeCell ref="D231:F231"/>
    <mergeCell ref="A146:A157"/>
    <mergeCell ref="D196:E196"/>
    <mergeCell ref="D176:E177"/>
    <mergeCell ref="D170:F170"/>
    <mergeCell ref="D171:E171"/>
    <mergeCell ref="B170:B172"/>
    <mergeCell ref="A158:A172"/>
    <mergeCell ref="D169:E169"/>
    <mergeCell ref="D167:F167"/>
    <mergeCell ref="B158:B166"/>
    <mergeCell ref="D153:E153"/>
    <mergeCell ref="A173:A211"/>
    <mergeCell ref="B142:B145"/>
    <mergeCell ref="D146:F146"/>
    <mergeCell ref="D140:E140"/>
    <mergeCell ref="D141:E141"/>
    <mergeCell ref="D84:E84"/>
    <mergeCell ref="D85:E85"/>
    <mergeCell ref="B78:B85"/>
    <mergeCell ref="D79:F79"/>
    <mergeCell ref="D78:F78"/>
    <mergeCell ref="B97:B100"/>
    <mergeCell ref="B95:B96"/>
    <mergeCell ref="D92:F92"/>
    <mergeCell ref="D100:E100"/>
    <mergeCell ref="D98:E98"/>
    <mergeCell ref="D99:E99"/>
    <mergeCell ref="D87:F87"/>
    <mergeCell ref="D96:E96"/>
    <mergeCell ref="D88:F88"/>
    <mergeCell ref="D89:E89"/>
    <mergeCell ref="A109:A119"/>
    <mergeCell ref="B128:B129"/>
    <mergeCell ref="A120:A129"/>
    <mergeCell ref="D91:F91"/>
    <mergeCell ref="D95:F95"/>
    <mergeCell ref="A101:A108"/>
    <mergeCell ref="D80:F80"/>
    <mergeCell ref="D81:E81"/>
    <mergeCell ref="D202:E202"/>
    <mergeCell ref="A78:A100"/>
    <mergeCell ref="D83:E83"/>
    <mergeCell ref="D82:E82"/>
    <mergeCell ref="B86:B89"/>
    <mergeCell ref="D86:F86"/>
    <mergeCell ref="D104:F104"/>
    <mergeCell ref="D107:F107"/>
    <mergeCell ref="D111:E111"/>
    <mergeCell ref="D112:F112"/>
    <mergeCell ref="D113:E113"/>
    <mergeCell ref="D108:E108"/>
    <mergeCell ref="B101:B108"/>
    <mergeCell ref="D101:F101"/>
    <mergeCell ref="D102:E102"/>
    <mergeCell ref="D105:E105"/>
    <mergeCell ref="D103:E103"/>
    <mergeCell ref="D90:F90"/>
    <mergeCell ref="B90:B94"/>
    <mergeCell ref="D93:E93"/>
    <mergeCell ref="D94:E94"/>
    <mergeCell ref="D97:F97"/>
    <mergeCell ref="D116:F116"/>
    <mergeCell ref="D122:F122"/>
    <mergeCell ref="D123:E123"/>
    <mergeCell ref="B122:B127"/>
    <mergeCell ref="D115:E115"/>
    <mergeCell ref="D114:E114"/>
    <mergeCell ref="D120:F120"/>
    <mergeCell ref="D124:E124"/>
    <mergeCell ref="D127:E127"/>
    <mergeCell ref="D125:E125"/>
    <mergeCell ref="D126:E126"/>
    <mergeCell ref="D118:F118"/>
    <mergeCell ref="D119:E119"/>
    <mergeCell ref="B118:B119"/>
    <mergeCell ref="D117:E117"/>
    <mergeCell ref="B120:B121"/>
    <mergeCell ref="B109:B117"/>
    <mergeCell ref="D109:F109"/>
    <mergeCell ref="D110:E110"/>
    <mergeCell ref="D121:E121"/>
    <mergeCell ref="D64:E64"/>
    <mergeCell ref="D65:E65"/>
    <mergeCell ref="A53:A72"/>
    <mergeCell ref="D73:F73"/>
    <mergeCell ref="D74:E74"/>
    <mergeCell ref="B63:B66"/>
    <mergeCell ref="D63:E63"/>
    <mergeCell ref="B53:B62"/>
    <mergeCell ref="D58:E58"/>
    <mergeCell ref="D61:E61"/>
    <mergeCell ref="D62:E62"/>
    <mergeCell ref="D56:F56"/>
    <mergeCell ref="D60:E60"/>
    <mergeCell ref="D57:E57"/>
    <mergeCell ref="D55:E55"/>
    <mergeCell ref="D53:E53"/>
    <mergeCell ref="D54:E54"/>
    <mergeCell ref="D59:F59"/>
    <mergeCell ref="B67:B71"/>
    <mergeCell ref="B73:B77"/>
    <mergeCell ref="D75:F75"/>
    <mergeCell ref="D76:E76"/>
    <mergeCell ref="D77:E77"/>
    <mergeCell ref="A73:A77"/>
    <mergeCell ref="D36:E36"/>
    <mergeCell ref="A41:A52"/>
    <mergeCell ref="B51:B52"/>
    <mergeCell ref="D45:E45"/>
    <mergeCell ref="D46:E46"/>
    <mergeCell ref="D48:E48"/>
    <mergeCell ref="A20:A40"/>
    <mergeCell ref="B41:B50"/>
    <mergeCell ref="D41:F41"/>
    <mergeCell ref="D42:E42"/>
    <mergeCell ref="B39:B40"/>
    <mergeCell ref="D43:F43"/>
    <mergeCell ref="D47:F47"/>
    <mergeCell ref="D44:E44"/>
    <mergeCell ref="D23:E23"/>
    <mergeCell ref="D24:E24"/>
    <mergeCell ref="D37:E37"/>
    <mergeCell ref="D25:E25"/>
    <mergeCell ref="D29:E29"/>
    <mergeCell ref="A7:A12"/>
    <mergeCell ref="B10:B12"/>
    <mergeCell ref="B14:B15"/>
    <mergeCell ref="B18:B19"/>
    <mergeCell ref="B8:B9"/>
    <mergeCell ref="A13:A19"/>
    <mergeCell ref="D49:E49"/>
    <mergeCell ref="D50:E50"/>
    <mergeCell ref="D31:E31"/>
    <mergeCell ref="D32:E32"/>
    <mergeCell ref="D26:E26"/>
    <mergeCell ref="D27:E27"/>
    <mergeCell ref="D35:E35"/>
    <mergeCell ref="D30:E30"/>
    <mergeCell ref="D7:F7"/>
    <mergeCell ref="D13:F13"/>
    <mergeCell ref="B20:B38"/>
    <mergeCell ref="D28:F28"/>
    <mergeCell ref="D20:F20"/>
    <mergeCell ref="D34:F34"/>
    <mergeCell ref="D33:E33"/>
    <mergeCell ref="D38:E38"/>
    <mergeCell ref="D21:E21"/>
    <mergeCell ref="D22:E22"/>
    <mergeCell ref="D128:F128"/>
    <mergeCell ref="D129:E129"/>
    <mergeCell ref="D205:E205"/>
    <mergeCell ref="D164:E164"/>
    <mergeCell ref="D165:E165"/>
    <mergeCell ref="D166:E166"/>
    <mergeCell ref="D160:E160"/>
    <mergeCell ref="D195:E195"/>
    <mergeCell ref="D175:E175"/>
    <mergeCell ref="D199:E200"/>
    <mergeCell ref="D145:E145"/>
    <mergeCell ref="D155:E155"/>
    <mergeCell ref="D156:E156"/>
    <mergeCell ref="D168:E168"/>
    <mergeCell ref="D174:E174"/>
    <mergeCell ref="D190:E190"/>
    <mergeCell ref="D178:E178"/>
    <mergeCell ref="D197:E197"/>
    <mergeCell ref="D193:E193"/>
    <mergeCell ref="D186:E186"/>
    <mergeCell ref="D139:F139"/>
    <mergeCell ref="D162:E162"/>
    <mergeCell ref="D163:F163"/>
    <mergeCell ref="D158:F158"/>
    <mergeCell ref="A130:A134"/>
    <mergeCell ref="B130:B131"/>
    <mergeCell ref="D130:F130"/>
    <mergeCell ref="D131:E131"/>
    <mergeCell ref="B133:B134"/>
    <mergeCell ref="D133:F133"/>
    <mergeCell ref="D134:E134"/>
    <mergeCell ref="D132:E132"/>
    <mergeCell ref="D189:E189"/>
    <mergeCell ref="F189:F190"/>
    <mergeCell ref="D154:E154"/>
    <mergeCell ref="D148:E148"/>
    <mergeCell ref="D149:E149"/>
    <mergeCell ref="D150:F150"/>
    <mergeCell ref="D151:E151"/>
    <mergeCell ref="D152:E152"/>
    <mergeCell ref="A142:A145"/>
    <mergeCell ref="B173:B201"/>
    <mergeCell ref="D137:E137"/>
    <mergeCell ref="D142:F142"/>
    <mergeCell ref="D143:E143"/>
    <mergeCell ref="D144:E144"/>
    <mergeCell ref="D138:E138"/>
    <mergeCell ref="D147:E147"/>
    <mergeCell ref="D194:F194"/>
    <mergeCell ref="D183:E184"/>
    <mergeCell ref="F184:F185"/>
    <mergeCell ref="D192:E192"/>
    <mergeCell ref="D191:F191"/>
    <mergeCell ref="D173:F173"/>
    <mergeCell ref="D180:F180"/>
    <mergeCell ref="D181:E181"/>
    <mergeCell ref="D187:E187"/>
    <mergeCell ref="B167:B169"/>
    <mergeCell ref="B135:B141"/>
    <mergeCell ref="C176:C177"/>
    <mergeCell ref="C183:C184"/>
    <mergeCell ref="D135:F135"/>
    <mergeCell ref="D179:E179"/>
    <mergeCell ref="D157:E157"/>
    <mergeCell ref="D136:E136"/>
    <mergeCell ref="B146:B157"/>
    <mergeCell ref="D161:E161"/>
    <mergeCell ref="D159:E159"/>
    <mergeCell ref="D220:F220"/>
    <mergeCell ref="A216:A221"/>
    <mergeCell ref="D216:F216"/>
    <mergeCell ref="D239:E239"/>
    <mergeCell ref="A233:A240"/>
    <mergeCell ref="B233:B240"/>
    <mergeCell ref="D235:F235"/>
    <mergeCell ref="D237:E238"/>
    <mergeCell ref="C237:C238"/>
    <mergeCell ref="D233:F233"/>
    <mergeCell ref="D223:E223"/>
    <mergeCell ref="D224:E224"/>
    <mergeCell ref="D218:F218"/>
    <mergeCell ref="A248:A250"/>
    <mergeCell ref="B248:B250"/>
    <mergeCell ref="D248:F248"/>
    <mergeCell ref="D250:E250"/>
    <mergeCell ref="A251:A254"/>
    <mergeCell ref="B251:B254"/>
    <mergeCell ref="D251:F251"/>
    <mergeCell ref="C253:C254"/>
    <mergeCell ref="D253:E254"/>
    <mergeCell ref="F253:F254"/>
    <mergeCell ref="A241:A243"/>
    <mergeCell ref="B241:B243"/>
    <mergeCell ref="D241:F241"/>
    <mergeCell ref="D243:E243"/>
    <mergeCell ref="A244:A245"/>
    <mergeCell ref="B244:B245"/>
    <mergeCell ref="D244:F244"/>
    <mergeCell ref="A246:A247"/>
    <mergeCell ref="B246:B247"/>
    <mergeCell ref="D246:F246"/>
    <mergeCell ref="D258:F258"/>
    <mergeCell ref="A258:A259"/>
    <mergeCell ref="B258:B259"/>
    <mergeCell ref="D262:E262"/>
    <mergeCell ref="D259:E259"/>
    <mergeCell ref="B260:B262"/>
    <mergeCell ref="D263:F263"/>
    <mergeCell ref="B263:B264"/>
    <mergeCell ref="D255:F255"/>
    <mergeCell ref="A255:A257"/>
    <mergeCell ref="B255:B257"/>
    <mergeCell ref="D257:E257"/>
    <mergeCell ref="D271:E271"/>
    <mergeCell ref="D265:F265"/>
    <mergeCell ref="D264:E264"/>
    <mergeCell ref="D266:E266"/>
    <mergeCell ref="D260:F260"/>
    <mergeCell ref="D261:E261"/>
    <mergeCell ref="A260:A267"/>
    <mergeCell ref="B265:B267"/>
    <mergeCell ref="D267:E267"/>
    <mergeCell ref="D269:E269"/>
    <mergeCell ref="D270:E270"/>
    <mergeCell ref="D268:F268"/>
    <mergeCell ref="A268:A272"/>
    <mergeCell ref="B268:B272"/>
    <mergeCell ref="D272:E272"/>
  </mergeCells>
  <hyperlinks>
    <hyperlink ref="F21" location="'E-Classic'!A1" display="E-Classic"/>
    <hyperlink ref="F26" location="'Перегородки STEEL'!A1" display="Перегородки STEEL"/>
    <hyperlink ref="F27" location="'Перегородки Grazia'!A1" display="Перегородки Grazia"/>
    <hyperlink ref="F29" location="Elegance!A1" display="Elegance"/>
    <hyperlink ref="F30" location="'Modern Turin'!A1" display="Modern Turin"/>
    <hyperlink ref="F31" location="Погонаж!A1" display="Погонаж, Плинтуса"/>
    <hyperlink ref="F32" location="'Стен. панели'!A1" display="Стен. Панели"/>
    <hyperlink ref="F33" location="Покрытия_свод_шпон_эмаль!A1" display="Покрытия"/>
    <hyperlink ref="F35" location="'Рекламная продукция'!A1" display="Рекламная продукция"/>
    <hyperlink ref="F36" location="'Стен. панели'!A1" display="Стен. Панели, Прочие конструкции"/>
    <hyperlink ref="F37" location="Погонаж!A32" display="Погонаж"/>
    <hyperlink ref="F38" location="'скидки розница'!A1" display="Скидки розница"/>
    <hyperlink ref="F25" location="Design!A1" display="Design"/>
    <hyperlink ref="F22" location="Fusion!A1" display="Fusion"/>
    <hyperlink ref="F24" location="Techno!A1" display="Techno"/>
    <hyperlink ref="F23" location="'Provеnce Sienna'!A1" display="Sienna"/>
    <hyperlink ref="F39" location="'Ограничения по размерам'!A1" display="Ограничения по размерам"/>
    <hyperlink ref="F40" location="'Доп. размеры погонажа'!A1" display="Доп. размеры погонажа"/>
    <hyperlink ref="F50" location="'Доп. размеры погонажа'!A1" display="Доп. размеры погонажа"/>
    <hyperlink ref="F44" location="'Погонаж для прочих'!A1" display="Прочий погонаж"/>
    <hyperlink ref="F48" location="'Ограничения по размерам'!A1" display="Ограничения по размерам"/>
    <hyperlink ref="F49" location="'Применение систем открыв'!A1" display="Применение систем открывания"/>
    <hyperlink ref="F45" location="'Стен. панели'!A1" display="Стен. Панели, Прочие конструкции"/>
    <hyperlink ref="F46" location="'Перегородки Corsa'!A1" display="Перегородки Corsa, Grazia"/>
    <hyperlink ref="F51" location="'Перегородки STEEL '!A1" display="Перегородки STEEL"/>
    <hyperlink ref="F54" location="'E-Classic design'!A1" display="E-classic design"/>
    <hyperlink ref="F55" location="Twist!A1" display="Twist"/>
    <hyperlink ref="F63" location="'Neoclassic Florence'!A1" display="Neoclassic Florence"/>
    <hyperlink ref="F64" location="'Standart Strada'!A1" display="Standart Strada"/>
    <hyperlink ref="F66" location="Порталы!A1" display="Порталы"/>
    <hyperlink ref="F65" location="Techno!A1" display="Techno"/>
    <hyperlink ref="F67" location="'Покрытия_artex '!A1" display="Покрытия_artex "/>
    <hyperlink ref="F68" location="Погонаж!A1" display="Погонаж"/>
    <hyperlink ref="F69" location="'Перегородки Grazia'!A1" display="Перегородки Grazia"/>
    <hyperlink ref="F70" location="Погонаж!A1" display="Погонаж"/>
    <hyperlink ref="F71" location="Погонаж!A1" display="Погонаж"/>
    <hyperlink ref="F76" location="'Покрытия_artex '!A1" display="'Покрытия_artex '!A1"/>
    <hyperlink ref="F77" location="'Покрытия_artex '!A1" display="'Покрытия_artex '!A1"/>
    <hyperlink ref="F82" location="'Provеnce design'!Print_Area" display="'Provеnce design'!Print_Area"/>
    <hyperlink ref="F83" location="Provеnce!Print_Area" display="Provеnce!Print_Area"/>
    <hyperlink ref="F81" location="Techno_Vetro!Print_Area" display="Techno_Vetro!Print_Area"/>
    <hyperlink ref="F84" location="Фурнитура!Область_печати" display="Фурнитура!Область_печати"/>
    <hyperlink ref="F85" location="Techno_Vetro!Print_Area" display="Techno_Vetro!Print_Area"/>
    <hyperlink ref="F89" location="Techno_Vetro!Print_Area" display="Techno_Vetro!Print_Area"/>
    <hyperlink ref="F96" location="Фурнитура!Область_печати" display="Фурнитура!Область_печати"/>
    <hyperlink ref="F98" location="Enamеl!Print_Area" display="Enamеl!Print_Area"/>
    <hyperlink ref="F99" location="'Скрытая дверь СКЛАД'!Print_Area" display="'Скрытая дверь СКЛАД'!Print_Area"/>
    <hyperlink ref="F100" location="Порталы!Print_Area" display="Порталы!Print_Area"/>
    <hyperlink ref="F105" location="Techno_Vetro!Print_Area" display="Techno_Vetro!Print_Area"/>
    <hyperlink ref="F108" location="Прочее!Область_печати" display="Прочее!Область_печати"/>
    <hyperlink ref="F113" location="Fusion_Plain!Print_Area" display="Fusion_Plain!Print_Area"/>
    <hyperlink ref="F119" location="'Cистемы INVISIBLE'!Print_Area" display="'Cистемы INVISIBLE'!Print_Area"/>
    <hyperlink ref="F121" location="скидки_наценки!A1" display="скидки_наценки!A1"/>
    <hyperlink ref="F123" location="Фурнитура!A1" display="Фурнитура!A1"/>
    <hyperlink ref="F124" location="Алюм.погонаж!A1" display="Алюм.погонаж!A1"/>
    <hyperlink ref="F125" location="Погонаж!A1" display="Погонаж!A1"/>
    <hyperlink ref="F126" location="'Classic '!A1" display="'Classic '!A1"/>
    <hyperlink ref="F127" location="Наценки!A1" display="Наценки!A1"/>
    <hyperlink ref="F129" location="'Двери для обьектов'!R1C1" display="'Двери для обьектов'!R1C1"/>
    <hyperlink ref="F134" location="Фурнитура!A1" display="Фурнитура!A1"/>
    <hyperlink ref="F131" location="Фурнитура!A1" display="Фурнитура!A1"/>
    <hyperlink ref="F132" location="Techno_Porte!A1" display="Techno_Porte!A1"/>
    <hyperlink ref="F136" location="Фурнитура!A1" display="Фурнитура!A1"/>
    <hyperlink ref="B1" location="Содержание!A1" display="Вернуться в содержание"/>
    <hyperlink ref="F147" location="Фурнитура!A1" display="Фурнитура!A1"/>
    <hyperlink ref="F182" location="Eclectica_Beluno!Print_Area" display="Eclectica_Beluno"/>
    <hyperlink ref="F176" location="'Перегородки Corsa'!Print_Area" display="Перегородки Corsa/Race"/>
    <hyperlink ref="F177" location="'Перегородки Grazia'!Print_Area" display="Перегородки Grazia"/>
    <hyperlink ref="F181" location="Погонаж!Print_Area" display="Погонаж"/>
    <hyperlink ref="F186" location="Techno_Porte!A1" display="Techno_Porte"/>
    <hyperlink ref="F200" location="Покрытия_шпон_эмаль!Print_Area" display="Покрытия_шпон_эмаль"/>
    <hyperlink ref="F201" location="Покрытия_шпон_эмаль!Print_Area" display="Покрытия_шпон_эмаль"/>
    <hyperlink ref="F199" location="Покрытия_ПВХ!Область_печати" display="Покрытия ПВХ"/>
    <hyperlink ref="F196" location="Покрытия_шпон_эмаль!Print_Area" display="Покрытия_шпон_эмаль"/>
    <hyperlink ref="F183" location="Design!A1" display="Design"/>
    <hyperlink ref="F187" location="Design!Область_печати" display="Design"/>
    <hyperlink ref="F192" location="'Наценки за габариты'!A1" display="Наценки за габариты"/>
    <hyperlink ref="F188" location="Twist!Print_Area" display="Twist"/>
    <hyperlink ref="F184" location="'E-Design'!Область_печати" display="E-Design"/>
    <hyperlink ref="F179" location="Погонаж!Print_Area" display="Погонаж"/>
    <hyperlink ref="F189" location="'Стен. панели'!A1" display="Стеновые панели"/>
    <hyperlink ref="F193" location="'Прочее наценки'!A1" display="Прочие наценки"/>
    <hyperlink ref="F202" location="'Перегородки Corsa'!A1" display="Перегородки Corsa"/>
    <hyperlink ref="F203" location="Погонаж!Print_Area" display="Погонаж"/>
    <hyperlink ref="F204" location="Покрытия_ПВХ!Область_печати" display="Покрытия ПВХ"/>
    <hyperlink ref="F211" location="'Наценки за габариты'!A1" display="Наценки за габариты"/>
    <hyperlink ref="F208" location="Погонаж!A1" display="Погонаж"/>
    <hyperlink ref="F215" location="Плинтуса!A1" display="Плинтуса"/>
    <hyperlink ref="F217" location="Содержание!A1" display="Содержание"/>
    <hyperlink ref="F219" location="'Алюм. перегородки Meta_Steel'!A1" display="Алюминиевые перегородки Meta"/>
    <hyperlink ref="F221" location="'Жалюзийные двери Louver'!A1" display="Жалюзийные двери Louver"/>
    <hyperlink ref="F228" location="Neoclassic!Print_Area" display="Neoclassic"/>
    <hyperlink ref="F230" location="'Provеnce Sienna'!A1" display="Коллекция Provence Sienna"/>
    <hyperlink ref="F232" location="'Алюм. двери Frame'!A1" display="Алюминиевые двери Frame"/>
    <hyperlink ref="F236" location="'Стен. панели'!A1" display="Стеновые панели"/>
    <hyperlink ref="F237" location="Techno_Porte!A1" display="Коллекция Techno Porte"/>
    <hyperlink ref="F238" location="Techno_Vetro!A1" display="Коллекция Techno Vetro"/>
    <hyperlink ref="F239" location="Алюм.погонаж!A1" display="Алюминиевый погонаж"/>
    <hyperlink ref="F240" location="Рейки!A1" display="Рейки"/>
    <hyperlink ref="F257" location="Standart!R50C8" display="Standart"/>
    <hyperlink ref="F256" location="'Современные перегородки'!R11C3" display="Современные перегородки"/>
    <hyperlink ref="F259" location="Design!R1C1" display="Design!R1C1"/>
    <hyperlink ref="F243" location="Погонаж!A1" display="Погонаж (L, Q, M, Z)"/>
    <hyperlink ref="F242" location="Порталы!A1" display="ПОРТАЛЫ: КОЛОННЫ И КАРНИЗЫ"/>
    <hyperlink ref="F247" location="'Rino Soft'!R1C1" display="'Rino Soft'"/>
    <hyperlink ref="F250" location="Фрамуги_накладки!A1" display="Фрамуги_накладки"/>
    <hyperlink ref="F252" location="Алюм.погонаж!R1C1" display="Алюм.погонаж"/>
    <hyperlink ref="F253:F254" location="Покрытия_шпон_эмаль!R1C1" display="Покрытия_шпон_эмаль!R1C1"/>
    <hyperlink ref="F261" location="'Наценки за габариты'!A1" display="Наценки за габариты"/>
    <hyperlink ref="F262" location="Погонаж!A1" display="Погонаж"/>
    <hyperlink ref="F264" location="Покрытия_шпон_эмаль!A1" display="Покрытия шпон, эмаль"/>
    <hyperlink ref="F266" location="'Современные перегородки'!R1C1" display=" Современные перегородки"/>
    <hyperlink ref="F267" location="'Алюм. двери Frame'!R1C1" display="Алюм. двери Frame"/>
    <hyperlink ref="F269" location="Design!R1C1" display="Design"/>
    <hyperlink ref="F270" location="'E-Design'!R1C1" display="E-Design"/>
    <hyperlink ref="F271" location="'Алюм. двери Frame'!R1C1" display="Алюм. двери Frame"/>
    <hyperlink ref="F272" location="'Классические прегородки'!R1C1" display="Классические прегородки"/>
    <hyperlink ref="F274" location="'Рекламная продукция'!A1" display="Рекламная продукция"/>
  </hyperlinks>
  <pageMargins left="0.70866141732283472" right="0.70866141732283472" top="0.74803149606299213" bottom="0.74803149606299213" header="0.31496062992125984" footer="0.31496062992125984"/>
  <pageSetup paperSize="9" scale="56" orientation="portrait" r:id="rId1"/>
  <rowBreaks count="1" manualBreakCount="1">
    <brk id="136" max="5" man="1"/>
  </rowBreaks>
  <colBreaks count="1" manualBreakCount="1">
    <brk id="6" max="1048575" man="1"/>
  </colBreaks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2">
    <tabColor rgb="FF92D050"/>
    <pageSetUpPr fitToPage="1"/>
  </sheetPr>
  <dimension ref="S1:V8"/>
  <sheetViews>
    <sheetView view="pageBreakPreview" zoomScale="85" zoomScaleNormal="85" zoomScaleSheetLayoutView="85" workbookViewId="0">
      <selection activeCell="W35" sqref="W35"/>
    </sheetView>
  </sheetViews>
  <sheetFormatPr defaultColWidth="9.140625" defaultRowHeight="15"/>
  <cols>
    <col min="1" max="18" width="9.140625" style="128"/>
    <col min="19" max="22" width="9.140625" style="128" hidden="1" customWidth="1"/>
    <col min="23" max="23" width="9.140625" style="128"/>
    <col min="24" max="24" width="0" style="128" hidden="1" customWidth="1"/>
    <col min="25" max="16384" width="9.140625" style="128"/>
  </cols>
  <sheetData>
    <row r="1" spans="19:22">
      <c r="S1" s="130" t="e">
        <f>VLOOKUP(R1,$U$1:$V$8,2,0)</f>
        <v>#N/A</v>
      </c>
      <c r="U1" s="128" t="s">
        <v>10</v>
      </c>
      <c r="V1" s="131">
        <v>0</v>
      </c>
    </row>
    <row r="2" spans="19:22">
      <c r="U2" s="128" t="s">
        <v>9</v>
      </c>
      <c r="V2" s="131">
        <v>0.03</v>
      </c>
    </row>
    <row r="3" spans="19:22">
      <c r="U3" s="128" t="s">
        <v>11</v>
      </c>
      <c r="V3" s="131">
        <v>0.06</v>
      </c>
    </row>
    <row r="4" spans="19:22">
      <c r="U4" s="128" t="s">
        <v>12</v>
      </c>
      <c r="V4" s="131">
        <v>0.09</v>
      </c>
    </row>
    <row r="5" spans="19:22">
      <c r="U5" s="128" t="s">
        <v>13</v>
      </c>
      <c r="V5" s="131">
        <v>0.12</v>
      </c>
    </row>
    <row r="6" spans="19:22">
      <c r="U6" s="128" t="s">
        <v>14</v>
      </c>
      <c r="V6" s="131">
        <v>0.15</v>
      </c>
    </row>
    <row r="7" spans="19:22">
      <c r="U7" s="128" t="s">
        <v>15</v>
      </c>
      <c r="V7" s="131">
        <v>0.18</v>
      </c>
    </row>
    <row r="8" spans="19:22">
      <c r="U8" s="128" t="s">
        <v>16</v>
      </c>
      <c r="V8" s="131">
        <v>0.2</v>
      </c>
    </row>
  </sheetData>
  <printOptions horizontalCentered="1"/>
  <pageMargins left="0" right="0" top="0" bottom="0" header="0" footer="0"/>
  <pageSetup paperSize="9" scale="92" orientation="landscape" r:id="rId1"/>
  <headerFooter scaleWithDoc="0"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3">
    <tabColor rgb="FF92D050"/>
  </sheetPr>
  <dimension ref="A1:Y59"/>
  <sheetViews>
    <sheetView view="pageBreakPreview" zoomScale="55" zoomScaleNormal="55" zoomScaleSheetLayoutView="55" zoomScalePageLayoutView="85" workbookViewId="0"/>
  </sheetViews>
  <sheetFormatPr defaultColWidth="9.140625" defaultRowHeight="15"/>
  <cols>
    <col min="1" max="1" width="6.140625" style="281" customWidth="1"/>
    <col min="2" max="2" width="7.7109375" style="205" customWidth="1"/>
    <col min="3" max="3" width="80.7109375" style="81" customWidth="1"/>
    <col min="4" max="4" width="7.7109375" style="190" customWidth="1"/>
    <col min="5" max="5" width="7.7109375" style="281" customWidth="1"/>
    <col min="6" max="6" width="25.7109375" style="190" customWidth="1"/>
    <col min="7" max="7" width="7.7109375" style="205" customWidth="1"/>
    <col min="8" max="8" width="80.7109375" style="190" customWidth="1"/>
    <col min="9" max="9" width="7.7109375" style="190" customWidth="1"/>
    <col min="10" max="12" width="9.140625" style="190"/>
    <col min="13" max="15" width="9.140625" style="190" hidden="1" customWidth="1"/>
    <col min="16" max="16" width="2.140625" style="190" customWidth="1"/>
    <col min="17" max="17" width="66.5703125" style="190" customWidth="1"/>
    <col min="18" max="18" width="29.42578125" style="190" customWidth="1"/>
    <col min="19" max="21" width="9.140625" style="190"/>
    <col min="22" max="22" width="52" style="190" customWidth="1"/>
    <col min="23" max="16384" width="9.140625" style="190"/>
  </cols>
  <sheetData>
    <row r="1" spans="1:25" ht="30" customHeight="1">
      <c r="B1" s="223"/>
      <c r="C1" s="2515"/>
      <c r="D1" s="224"/>
      <c r="E1" s="224"/>
      <c r="F1" s="224"/>
      <c r="G1" s="223"/>
      <c r="H1" s="4186" t="s">
        <v>253</v>
      </c>
      <c r="I1" s="4186"/>
      <c r="J1" s="224"/>
      <c r="M1" s="130" t="e">
        <f>VLOOKUP(L1,$O$1:$P$9,2,0)</f>
        <v>#N/A</v>
      </c>
      <c r="O1" s="190" t="s">
        <v>10</v>
      </c>
      <c r="P1" s="3342"/>
      <c r="Q1" s="897"/>
      <c r="R1" s="897"/>
      <c r="S1" s="897"/>
      <c r="T1" s="897"/>
      <c r="U1" s="897"/>
      <c r="V1" s="897"/>
      <c r="W1" s="897"/>
      <c r="X1" s="897"/>
      <c r="Y1" s="897"/>
    </row>
    <row r="2" spans="1:25" s="207" customFormat="1" ht="30" customHeight="1">
      <c r="A2" s="281"/>
      <c r="C2" s="737"/>
      <c r="D2" s="738"/>
      <c r="E2" s="738"/>
      <c r="F2" s="224"/>
      <c r="G2" s="223"/>
      <c r="H2" s="4186"/>
      <c r="I2" s="4186"/>
      <c r="J2" s="224"/>
      <c r="M2" s="130"/>
      <c r="P2" s="3342"/>
      <c r="Q2" s="897"/>
      <c r="R2" s="897"/>
      <c r="S2" s="897"/>
      <c r="T2" s="897"/>
      <c r="U2" s="897"/>
      <c r="V2" s="897"/>
      <c r="W2" s="897"/>
      <c r="X2" s="897"/>
      <c r="Y2" s="897"/>
    </row>
    <row r="3" spans="1:25" ht="30" customHeight="1">
      <c r="B3" s="226" t="s">
        <v>6</v>
      </c>
      <c r="C3" s="227" t="s">
        <v>248</v>
      </c>
      <c r="D3" s="225"/>
      <c r="E3" s="224"/>
      <c r="F3" s="224"/>
      <c r="G3" s="222" t="s">
        <v>85</v>
      </c>
      <c r="H3" s="288" t="s">
        <v>249</v>
      </c>
      <c r="I3" s="1147"/>
      <c r="J3" s="221"/>
      <c r="O3" s="190" t="s">
        <v>9</v>
      </c>
      <c r="P3" s="3342"/>
      <c r="Q3" s="228"/>
      <c r="R3" s="229"/>
      <c r="S3" s="738"/>
      <c r="T3" s="738"/>
      <c r="U3" s="3597"/>
      <c r="V3" s="228"/>
      <c r="W3" s="897"/>
      <c r="X3" s="897"/>
      <c r="Y3" s="897"/>
    </row>
    <row r="4" spans="1:25" ht="30" customHeight="1">
      <c r="B4" s="218"/>
      <c r="C4" s="215" t="s">
        <v>3185</v>
      </c>
      <c r="D4" s="219"/>
      <c r="E4" s="225"/>
      <c r="F4" s="225"/>
      <c r="G4" s="37"/>
      <c r="H4" s="230" t="s">
        <v>881</v>
      </c>
      <c r="I4" s="235"/>
      <c r="J4" s="220"/>
      <c r="O4" s="190" t="s">
        <v>12</v>
      </c>
      <c r="P4" s="3342"/>
      <c r="Q4" s="216"/>
      <c r="R4" s="1147"/>
      <c r="S4" s="229"/>
      <c r="T4" s="229"/>
      <c r="U4" s="3598"/>
      <c r="V4" s="3593"/>
      <c r="W4" s="897"/>
      <c r="X4" s="897"/>
      <c r="Y4" s="897"/>
    </row>
    <row r="5" spans="1:25" s="37" customFormat="1" ht="30" customHeight="1">
      <c r="B5" s="218"/>
      <c r="C5" s="230" t="s">
        <v>2953</v>
      </c>
      <c r="D5" s="231"/>
      <c r="E5" s="219"/>
      <c r="F5" s="219"/>
      <c r="H5" s="230" t="s">
        <v>1488</v>
      </c>
      <c r="I5" s="234"/>
      <c r="J5" s="220"/>
      <c r="P5" s="3600"/>
      <c r="Q5" s="3593"/>
      <c r="R5" s="221"/>
      <c r="S5" s="1147"/>
      <c r="T5" s="1147"/>
      <c r="U5" s="3596"/>
      <c r="V5" s="3593"/>
      <c r="W5" s="1146"/>
      <c r="X5" s="1146"/>
      <c r="Y5" s="1146"/>
    </row>
    <row r="6" spans="1:25" s="37" customFormat="1" ht="30" customHeight="1">
      <c r="B6" s="218"/>
      <c r="C6" s="230" t="s">
        <v>2489</v>
      </c>
      <c r="D6" s="231"/>
      <c r="E6" s="219"/>
      <c r="F6" s="219"/>
      <c r="H6" s="230" t="s">
        <v>481</v>
      </c>
      <c r="I6" s="234"/>
      <c r="J6" s="219"/>
      <c r="O6" s="37" t="s">
        <v>13</v>
      </c>
      <c r="P6" s="3600"/>
      <c r="Q6" s="3593"/>
      <c r="R6" s="221"/>
      <c r="S6" s="1147"/>
      <c r="T6" s="1147"/>
      <c r="U6" s="3598"/>
      <c r="V6" s="3593"/>
      <c r="W6" s="1146"/>
      <c r="X6" s="1146"/>
      <c r="Y6" s="1146"/>
    </row>
    <row r="7" spans="1:25" s="37" customFormat="1" ht="30" customHeight="1">
      <c r="B7" s="218"/>
      <c r="C7" s="230" t="s">
        <v>2952</v>
      </c>
      <c r="D7" s="233"/>
      <c r="E7" s="221"/>
      <c r="F7" s="219"/>
      <c r="H7" s="230" t="s">
        <v>1166</v>
      </c>
      <c r="I7" s="234"/>
      <c r="J7" s="219"/>
      <c r="O7" s="37" t="s">
        <v>14</v>
      </c>
      <c r="P7" s="3600"/>
      <c r="Q7" s="3593"/>
      <c r="R7" s="221"/>
      <c r="S7" s="221"/>
      <c r="T7" s="1147"/>
      <c r="U7" s="444"/>
      <c r="V7" s="3593"/>
      <c r="W7" s="1146"/>
      <c r="X7" s="1146"/>
      <c r="Y7" s="1146"/>
    </row>
    <row r="8" spans="1:25" s="37" customFormat="1" ht="30" customHeight="1">
      <c r="B8" s="218"/>
      <c r="C8" s="230" t="s">
        <v>2492</v>
      </c>
      <c r="D8" s="235"/>
      <c r="E8" s="220"/>
      <c r="F8" s="219"/>
      <c r="H8" s="4039" t="s">
        <v>3444</v>
      </c>
      <c r="I8" s="234"/>
      <c r="J8" s="221"/>
      <c r="O8" s="37" t="s">
        <v>15</v>
      </c>
      <c r="P8" s="3600"/>
      <c r="Q8" s="3593"/>
      <c r="R8" s="3601"/>
      <c r="S8" s="220"/>
      <c r="T8" s="1147"/>
      <c r="U8" s="444"/>
      <c r="V8" s="3593"/>
      <c r="W8" s="1146"/>
      <c r="X8" s="1146"/>
      <c r="Y8" s="1146"/>
    </row>
    <row r="9" spans="1:25" s="37" customFormat="1" ht="30" customHeight="1">
      <c r="B9" s="218"/>
      <c r="E9" s="220"/>
      <c r="F9" s="219"/>
      <c r="H9" s="4039" t="s">
        <v>456</v>
      </c>
      <c r="I9" s="234"/>
      <c r="O9" s="37" t="s">
        <v>16</v>
      </c>
      <c r="P9" s="3600"/>
      <c r="Q9" s="3596"/>
      <c r="R9" s="220"/>
      <c r="S9" s="220"/>
      <c r="T9" s="1147"/>
      <c r="U9" s="3596"/>
      <c r="V9" s="3596"/>
      <c r="W9" s="1146"/>
      <c r="X9" s="1146"/>
      <c r="Y9" s="1146"/>
    </row>
    <row r="10" spans="1:25" s="37" customFormat="1" ht="30" customHeight="1">
      <c r="B10" s="218"/>
      <c r="C10" s="215" t="s">
        <v>3189</v>
      </c>
      <c r="D10" s="220"/>
      <c r="E10" s="220"/>
      <c r="F10" s="219"/>
      <c r="P10" s="1146"/>
      <c r="Q10" s="216"/>
      <c r="R10" s="1147"/>
      <c r="S10" s="229"/>
      <c r="T10" s="229"/>
      <c r="U10" s="3598"/>
      <c r="V10" s="216"/>
      <c r="W10" s="1146"/>
      <c r="X10" s="1146"/>
      <c r="Y10" s="1146"/>
    </row>
    <row r="11" spans="1:25" s="37" customFormat="1" ht="30" customHeight="1">
      <c r="B11" s="218"/>
      <c r="C11" s="230" t="s">
        <v>2490</v>
      </c>
      <c r="D11" s="235"/>
      <c r="E11" s="220"/>
      <c r="F11" s="219"/>
      <c r="G11" s="3598" t="s">
        <v>86</v>
      </c>
      <c r="H11" s="1122" t="s">
        <v>1174</v>
      </c>
      <c r="I11" s="235"/>
      <c r="J11" s="219"/>
      <c r="P11" s="1146"/>
      <c r="S11" s="220"/>
      <c r="T11" s="1147"/>
      <c r="U11" s="3596"/>
      <c r="V11" s="216"/>
      <c r="W11" s="1146"/>
      <c r="X11" s="1146"/>
      <c r="Y11" s="1146"/>
    </row>
    <row r="12" spans="1:25" s="37" customFormat="1" ht="30" customHeight="1">
      <c r="B12" s="218"/>
      <c r="C12" s="230" t="s">
        <v>2491</v>
      </c>
      <c r="D12" s="234"/>
      <c r="E12" s="220"/>
      <c r="F12" s="219"/>
      <c r="I12" s="220"/>
      <c r="J12" s="219"/>
      <c r="P12" s="1146"/>
      <c r="Q12" s="3593"/>
      <c r="R12" s="220"/>
      <c r="S12" s="220"/>
      <c r="T12" s="1147"/>
      <c r="U12" s="444"/>
      <c r="V12" s="3593"/>
      <c r="W12" s="1146"/>
      <c r="X12" s="1146"/>
      <c r="Y12" s="1146"/>
    </row>
    <row r="13" spans="1:25" s="37" customFormat="1" ht="30" customHeight="1">
      <c r="B13" s="218"/>
      <c r="C13" s="236" t="s">
        <v>767</v>
      </c>
      <c r="D13" s="234"/>
      <c r="E13" s="220"/>
      <c r="F13" s="219"/>
      <c r="G13" s="222" t="s">
        <v>87</v>
      </c>
      <c r="H13" s="216" t="s">
        <v>247</v>
      </c>
      <c r="I13" s="235"/>
      <c r="J13" s="219"/>
      <c r="P13" s="1146"/>
      <c r="Q13" s="3602"/>
      <c r="R13" s="220"/>
      <c r="S13" s="220"/>
      <c r="T13" s="1147"/>
      <c r="U13" s="3596"/>
      <c r="V13" s="3593"/>
      <c r="W13" s="1146"/>
      <c r="X13" s="1146"/>
      <c r="Y13" s="1146"/>
    </row>
    <row r="14" spans="1:25" s="37" customFormat="1" ht="30" customHeight="1">
      <c r="B14" s="218"/>
      <c r="C14" s="230" t="s">
        <v>2493</v>
      </c>
      <c r="D14" s="234"/>
      <c r="E14" s="220"/>
      <c r="F14" s="219"/>
      <c r="H14" s="232" t="s">
        <v>3198</v>
      </c>
      <c r="I14" s="235"/>
      <c r="J14" s="219"/>
      <c r="P14" s="1146"/>
      <c r="Q14" s="3593"/>
      <c r="R14" s="220"/>
      <c r="S14" s="220"/>
      <c r="T14" s="1147"/>
      <c r="U14" s="3596"/>
      <c r="V14" s="3593"/>
      <c r="W14" s="1146"/>
      <c r="X14" s="1146"/>
      <c r="Y14" s="1146"/>
    </row>
    <row r="15" spans="1:25" s="37" customFormat="1" ht="30" customHeight="1">
      <c r="B15" s="218"/>
      <c r="C15" s="230" t="s">
        <v>2488</v>
      </c>
      <c r="D15" s="234"/>
      <c r="E15" s="220"/>
      <c r="F15" s="219"/>
      <c r="H15" s="232" t="s">
        <v>3192</v>
      </c>
      <c r="I15" s="235"/>
      <c r="J15" s="219"/>
      <c r="P15" s="1146"/>
      <c r="Q15" s="3599"/>
      <c r="R15" s="235"/>
      <c r="S15" s="220"/>
      <c r="T15" s="1147"/>
      <c r="U15" s="3603"/>
      <c r="V15" s="3596"/>
      <c r="W15" s="1146"/>
      <c r="X15" s="1146"/>
      <c r="Y15" s="1146"/>
    </row>
    <row r="16" spans="1:25" s="37" customFormat="1" ht="30" customHeight="1">
      <c r="B16" s="218"/>
      <c r="C16" s="232" t="s">
        <v>3030</v>
      </c>
      <c r="D16" s="234"/>
      <c r="E16" s="220"/>
      <c r="F16" s="219"/>
      <c r="H16" s="232" t="s">
        <v>3331</v>
      </c>
      <c r="I16" s="235"/>
      <c r="J16" s="219"/>
      <c r="P16" s="1146"/>
      <c r="Q16" s="3593"/>
      <c r="R16" s="220"/>
      <c r="S16" s="220"/>
      <c r="T16" s="1147"/>
      <c r="U16" s="3603"/>
      <c r="V16" s="3596"/>
      <c r="W16" s="1146"/>
      <c r="X16" s="1146"/>
      <c r="Y16" s="1146"/>
    </row>
    <row r="17" spans="2:25" s="37" customFormat="1" ht="30" customHeight="1">
      <c r="B17" s="218"/>
      <c r="C17" s="4039" t="s">
        <v>3512</v>
      </c>
      <c r="E17" s="220"/>
      <c r="F17" s="219"/>
      <c r="H17" s="4040" t="s">
        <v>3514</v>
      </c>
      <c r="I17" s="235"/>
      <c r="J17" s="219"/>
      <c r="P17" s="1146"/>
      <c r="Q17" s="3593"/>
      <c r="R17" s="220"/>
      <c r="S17" s="220"/>
      <c r="T17" s="1147"/>
      <c r="U17" s="3603"/>
      <c r="V17" s="3596"/>
      <c r="W17" s="1146"/>
      <c r="X17" s="1146"/>
      <c r="Y17" s="1146"/>
    </row>
    <row r="18" spans="2:25" s="37" customFormat="1" ht="30" customHeight="1">
      <c r="B18" s="218"/>
      <c r="C18" s="232" t="s">
        <v>3291</v>
      </c>
      <c r="D18" s="234"/>
      <c r="E18" s="220"/>
      <c r="F18" s="219"/>
      <c r="H18" s="4040" t="s">
        <v>3515</v>
      </c>
      <c r="I18" s="235"/>
      <c r="J18" s="219"/>
      <c r="P18" s="1146"/>
      <c r="Q18" s="3593"/>
      <c r="R18" s="220"/>
      <c r="S18" s="220"/>
      <c r="T18" s="1147"/>
      <c r="U18" s="3603"/>
      <c r="V18" s="3596"/>
      <c r="W18" s="1146"/>
      <c r="X18" s="1146"/>
      <c r="Y18" s="1146"/>
    </row>
    <row r="19" spans="2:25" s="37" customFormat="1" ht="30" customHeight="1">
      <c r="B19" s="218"/>
      <c r="C19" s="230" t="s">
        <v>2507</v>
      </c>
      <c r="D19" s="234"/>
      <c r="E19" s="220"/>
      <c r="F19" s="219"/>
      <c r="I19" s="220"/>
      <c r="J19" s="219"/>
      <c r="P19" s="1146"/>
      <c r="Q19" s="3593"/>
      <c r="R19" s="220"/>
      <c r="S19" s="220"/>
      <c r="T19" s="1147"/>
      <c r="U19" s="3603"/>
      <c r="V19" s="3596"/>
      <c r="W19" s="1146"/>
      <c r="X19" s="1146"/>
      <c r="Y19" s="1146"/>
    </row>
    <row r="20" spans="2:25" s="37" customFormat="1" ht="30" customHeight="1">
      <c r="B20" s="218"/>
      <c r="C20" s="230" t="s">
        <v>3416</v>
      </c>
      <c r="D20" s="220"/>
      <c r="E20" s="220"/>
      <c r="F20" s="219"/>
      <c r="G20" s="226" t="s">
        <v>7</v>
      </c>
      <c r="H20" s="228" t="s">
        <v>256</v>
      </c>
      <c r="J20" s="219"/>
      <c r="P20" s="1146"/>
      <c r="S20" s="220"/>
      <c r="T20" s="1147"/>
      <c r="U20" s="3603"/>
      <c r="V20" s="3596"/>
      <c r="W20" s="1146"/>
      <c r="X20" s="1146"/>
      <c r="Y20" s="1146"/>
    </row>
    <row r="21" spans="2:25" s="37" customFormat="1" ht="30" customHeight="1">
      <c r="B21" s="218"/>
      <c r="C21" s="216" t="s">
        <v>5</v>
      </c>
      <c r="D21" s="220"/>
      <c r="E21" s="220"/>
      <c r="F21" s="219"/>
      <c r="G21" s="218"/>
      <c r="H21" s="230" t="s">
        <v>693</v>
      </c>
      <c r="I21" s="235"/>
      <c r="J21" s="219"/>
      <c r="P21" s="1146"/>
      <c r="S21" s="220"/>
      <c r="T21" s="1147"/>
      <c r="U21" s="444"/>
      <c r="V21" s="216"/>
      <c r="W21" s="1146"/>
      <c r="X21" s="1146"/>
      <c r="Y21" s="1146"/>
    </row>
    <row r="22" spans="2:25" s="37" customFormat="1" ht="30" customHeight="1">
      <c r="B22" s="218"/>
      <c r="C22" s="216" t="s">
        <v>3195</v>
      </c>
      <c r="D22" s="220"/>
      <c r="E22" s="220"/>
      <c r="F22" s="219"/>
      <c r="G22" s="218"/>
      <c r="H22" s="230" t="s">
        <v>1168</v>
      </c>
      <c r="I22" s="235"/>
      <c r="J22" s="219"/>
      <c r="P22" s="1146"/>
      <c r="S22" s="220"/>
      <c r="T22" s="1147"/>
      <c r="U22" s="3596"/>
      <c r="V22" s="3593"/>
      <c r="W22" s="1146"/>
      <c r="X22" s="1146"/>
      <c r="Y22" s="1146"/>
    </row>
    <row r="23" spans="2:25" s="37" customFormat="1" ht="30" customHeight="1">
      <c r="B23" s="218"/>
      <c r="C23" s="3910" t="s">
        <v>1377</v>
      </c>
      <c r="D23" s="235"/>
      <c r="E23" s="220"/>
      <c r="F23" s="219"/>
      <c r="J23" s="219"/>
      <c r="P23" s="3600"/>
      <c r="T23" s="1147"/>
      <c r="U23" s="3598"/>
      <c r="V23" s="3595"/>
      <c r="W23" s="1146"/>
      <c r="X23" s="1146"/>
      <c r="Y23" s="1146"/>
    </row>
    <row r="24" spans="2:25" s="37" customFormat="1" ht="30" customHeight="1">
      <c r="B24" s="218"/>
      <c r="C24" s="230" t="s">
        <v>2386</v>
      </c>
      <c r="D24" s="234"/>
      <c r="E24" s="220"/>
      <c r="F24" s="219"/>
      <c r="G24" s="222" t="s">
        <v>104</v>
      </c>
      <c r="H24" s="216" t="s">
        <v>2876</v>
      </c>
      <c r="J24" s="219"/>
      <c r="P24" s="1146"/>
      <c r="T24" s="1147"/>
      <c r="U24" s="3596"/>
      <c r="V24" s="3596"/>
      <c r="W24" s="1146"/>
      <c r="X24" s="1146"/>
      <c r="Y24" s="1146"/>
    </row>
    <row r="25" spans="2:25" s="37" customFormat="1" ht="30" customHeight="1">
      <c r="B25" s="218"/>
      <c r="C25" s="3910" t="s">
        <v>1378</v>
      </c>
      <c r="D25" s="234"/>
      <c r="F25" s="219"/>
      <c r="G25" s="218"/>
      <c r="H25" s="3911" t="s">
        <v>2902</v>
      </c>
      <c r="I25" s="235"/>
      <c r="J25" s="219"/>
      <c r="P25" s="1146"/>
      <c r="T25" s="1147"/>
      <c r="U25" s="3598"/>
      <c r="V25" s="216"/>
      <c r="W25" s="1146"/>
      <c r="X25" s="1146"/>
      <c r="Y25" s="1146"/>
    </row>
    <row r="26" spans="2:25" s="37" customFormat="1" ht="30" customHeight="1">
      <c r="B26" s="218"/>
      <c r="C26" s="3910" t="s">
        <v>2205</v>
      </c>
      <c r="D26" s="234"/>
      <c r="F26" s="219"/>
      <c r="G26" s="222"/>
      <c r="H26" s="230" t="s">
        <v>2908</v>
      </c>
      <c r="I26" s="235"/>
      <c r="J26" s="219"/>
      <c r="P26" s="1146"/>
      <c r="S26" s="220"/>
      <c r="T26" s="1147"/>
      <c r="U26" s="444"/>
      <c r="V26" s="3595"/>
      <c r="W26" s="1146"/>
      <c r="X26" s="1146"/>
      <c r="Y26" s="1146"/>
    </row>
    <row r="27" spans="2:25" s="37" customFormat="1" ht="30" customHeight="1">
      <c r="B27" s="218"/>
      <c r="C27" s="3910" t="s">
        <v>2204</v>
      </c>
      <c r="D27" s="234"/>
      <c r="E27" s="220"/>
      <c r="F27" s="219"/>
      <c r="G27" s="218"/>
      <c r="I27" s="220"/>
      <c r="J27" s="219"/>
      <c r="P27" s="1146"/>
      <c r="Q27" s="3593"/>
      <c r="R27" s="220"/>
      <c r="S27" s="220"/>
      <c r="T27" s="1147"/>
      <c r="U27" s="3598"/>
      <c r="V27" s="3595"/>
      <c r="W27" s="1146"/>
      <c r="X27" s="1146"/>
      <c r="Y27" s="1146"/>
    </row>
    <row r="28" spans="2:25" s="37" customFormat="1" ht="30" customHeight="1">
      <c r="B28" s="218"/>
      <c r="E28" s="220"/>
      <c r="F28" s="219"/>
      <c r="G28" s="222" t="s">
        <v>105</v>
      </c>
      <c r="H28" s="216" t="s">
        <v>251</v>
      </c>
      <c r="I28" s="220"/>
      <c r="J28" s="219"/>
      <c r="P28" s="1146"/>
      <c r="Q28" s="3593"/>
      <c r="R28" s="220"/>
      <c r="S28" s="220"/>
      <c r="T28" s="1147"/>
      <c r="U28" s="3596"/>
      <c r="V28" s="3596"/>
      <c r="W28" s="1146"/>
      <c r="X28" s="1146"/>
      <c r="Y28" s="1146"/>
    </row>
    <row r="29" spans="2:25" s="37" customFormat="1" ht="30" customHeight="1">
      <c r="B29" s="218"/>
      <c r="C29" s="216" t="s">
        <v>2325</v>
      </c>
      <c r="D29" s="220"/>
      <c r="E29" s="220"/>
      <c r="F29" s="219"/>
      <c r="G29" s="218"/>
      <c r="H29" s="230" t="s">
        <v>1165</v>
      </c>
      <c r="I29" s="235"/>
      <c r="P29" s="1146"/>
      <c r="Q29" s="3593"/>
      <c r="R29" s="220"/>
      <c r="S29" s="220"/>
      <c r="T29" s="1147"/>
      <c r="U29" s="3598"/>
      <c r="V29" s="3595"/>
      <c r="W29" s="1146"/>
      <c r="X29" s="1146"/>
      <c r="Y29" s="1146"/>
    </row>
    <row r="30" spans="2:25" s="37" customFormat="1" ht="30" customHeight="1">
      <c r="B30" s="218"/>
      <c r="C30" s="230" t="s">
        <v>2206</v>
      </c>
      <c r="D30" s="235"/>
      <c r="E30" s="220"/>
      <c r="F30" s="219"/>
      <c r="G30" s="222"/>
      <c r="H30" s="230" t="s">
        <v>2506</v>
      </c>
      <c r="I30" s="235"/>
      <c r="P30" s="1146"/>
      <c r="Q30" s="3593"/>
      <c r="R30" s="220"/>
      <c r="S30" s="220"/>
      <c r="T30" s="1147"/>
      <c r="U30" s="3598"/>
      <c r="V30" s="3595"/>
      <c r="W30" s="1146"/>
      <c r="X30" s="1146"/>
      <c r="Y30" s="1146"/>
    </row>
    <row r="31" spans="2:25" s="37" customFormat="1" ht="30" customHeight="1">
      <c r="B31" s="218"/>
      <c r="C31" s="230" t="s">
        <v>3197</v>
      </c>
      <c r="D31" s="234"/>
      <c r="E31" s="220"/>
      <c r="F31" s="219"/>
      <c r="P31" s="1146"/>
      <c r="Q31" s="3593"/>
      <c r="R31" s="220"/>
      <c r="S31" s="220"/>
      <c r="T31" s="1147"/>
      <c r="U31" s="3598"/>
      <c r="V31" s="3595"/>
      <c r="W31" s="1146"/>
      <c r="X31" s="1146"/>
      <c r="Y31" s="1146"/>
    </row>
    <row r="32" spans="2:25" s="37" customFormat="1" ht="30" customHeight="1">
      <c r="C32" s="737"/>
      <c r="D32" s="220"/>
      <c r="F32" s="219"/>
      <c r="G32" s="222" t="s">
        <v>250</v>
      </c>
      <c r="H32" s="236" t="s">
        <v>734</v>
      </c>
      <c r="I32" s="235"/>
      <c r="J32" s="213"/>
      <c r="P32" s="1146"/>
      <c r="Q32" s="3593"/>
      <c r="R32" s="220"/>
      <c r="S32" s="220"/>
      <c r="T32" s="1147"/>
      <c r="U32" s="3598"/>
      <c r="V32" s="3595"/>
      <c r="W32" s="1146"/>
      <c r="X32" s="1146"/>
      <c r="Y32" s="1146"/>
    </row>
    <row r="33" spans="1:25" s="37" customFormat="1" ht="30" customHeight="1">
      <c r="C33" s="216" t="s">
        <v>3218</v>
      </c>
      <c r="F33" s="219"/>
      <c r="P33" s="1146"/>
      <c r="Q33" s="3596"/>
      <c r="R33" s="220"/>
      <c r="S33" s="220"/>
      <c r="T33" s="1147"/>
      <c r="U33" s="3596"/>
      <c r="V33" s="3596"/>
      <c r="W33" s="1146"/>
      <c r="X33" s="1146"/>
      <c r="Y33" s="1146"/>
    </row>
    <row r="34" spans="1:25" s="37" customFormat="1" ht="30" customHeight="1">
      <c r="C34" s="3911" t="s">
        <v>3426</v>
      </c>
      <c r="D34" s="235"/>
      <c r="F34" s="219"/>
      <c r="J34" s="213"/>
      <c r="P34" s="1146"/>
      <c r="Q34" s="3596"/>
      <c r="R34" s="220"/>
      <c r="S34" s="220"/>
      <c r="T34" s="1147"/>
      <c r="U34" s="3596"/>
      <c r="V34" s="3596"/>
      <c r="W34" s="1146"/>
      <c r="X34" s="1146"/>
      <c r="Y34" s="1146"/>
    </row>
    <row r="35" spans="1:25" s="37" customFormat="1" ht="30" customHeight="1">
      <c r="C35" s="3911" t="s">
        <v>1512</v>
      </c>
      <c r="D35" s="235"/>
      <c r="F35" s="219"/>
      <c r="I35" s="220"/>
      <c r="P35" s="1146"/>
      <c r="Q35" s="3596"/>
      <c r="R35" s="220"/>
      <c r="S35" s="221"/>
      <c r="T35" s="1147"/>
      <c r="U35" s="444"/>
      <c r="V35" s="3596"/>
      <c r="W35" s="1146"/>
      <c r="X35" s="1146"/>
      <c r="Y35" s="1146"/>
    </row>
    <row r="36" spans="1:25" s="37" customFormat="1" ht="30" customHeight="1">
      <c r="C36" s="230" t="s">
        <v>3419</v>
      </c>
      <c r="D36" s="235"/>
      <c r="F36" s="219"/>
      <c r="J36" s="190"/>
      <c r="P36" s="1146"/>
      <c r="Q36" s="3596"/>
      <c r="R36" s="220"/>
      <c r="S36" s="220"/>
      <c r="T36" s="1147"/>
      <c r="U36" s="3598"/>
      <c r="V36" s="216"/>
      <c r="W36" s="1146"/>
      <c r="X36" s="1146"/>
      <c r="Y36" s="1146"/>
    </row>
    <row r="37" spans="1:25" s="37" customFormat="1" ht="30" customHeight="1">
      <c r="F37" s="219"/>
      <c r="I37" s="220"/>
      <c r="J37" s="219"/>
      <c r="P37" s="1146"/>
      <c r="Q37" s="216"/>
      <c r="R37" s="220"/>
      <c r="S37" s="220"/>
      <c r="T37" s="1147"/>
      <c r="U37" s="3596"/>
      <c r="V37" s="3596"/>
      <c r="W37" s="1146"/>
      <c r="X37" s="1146"/>
      <c r="Y37" s="1146"/>
    </row>
    <row r="38" spans="1:25" s="37" customFormat="1" ht="30" customHeight="1">
      <c r="F38" s="219"/>
      <c r="I38" s="221"/>
      <c r="J38" s="219"/>
      <c r="P38" s="1146"/>
      <c r="Q38" s="3596"/>
      <c r="R38" s="220"/>
      <c r="S38" s="220"/>
      <c r="T38" s="1147"/>
      <c r="U38" s="3596"/>
      <c r="V38" s="3596"/>
      <c r="W38" s="1146"/>
      <c r="X38" s="1146"/>
      <c r="Y38" s="1146"/>
    </row>
    <row r="39" spans="1:25" s="37" customFormat="1" ht="30" customHeight="1">
      <c r="B39" s="1146"/>
      <c r="F39" s="219"/>
      <c r="I39" s="221"/>
      <c r="J39" s="1147"/>
      <c r="P39" s="1146"/>
      <c r="Q39" s="3596"/>
      <c r="R39" s="220"/>
      <c r="S39" s="220"/>
      <c r="T39" s="1147"/>
      <c r="U39" s="3596"/>
      <c r="V39" s="3596"/>
      <c r="W39" s="1146"/>
      <c r="X39" s="1146"/>
      <c r="Y39" s="1146"/>
    </row>
    <row r="40" spans="1:25" ht="30" customHeight="1">
      <c r="A40" s="2773"/>
      <c r="B40" s="3266"/>
      <c r="C40" s="3267" t="s">
        <v>1433</v>
      </c>
      <c r="D40" s="3268"/>
      <c r="E40" s="3269"/>
      <c r="F40" s="3268"/>
      <c r="G40" s="3270"/>
      <c r="H40" s="3269"/>
      <c r="I40" s="3269"/>
      <c r="J40" s="3271"/>
      <c r="P40" s="897"/>
      <c r="Q40" s="897"/>
      <c r="R40" s="897"/>
      <c r="S40" s="897"/>
      <c r="T40" s="897"/>
      <c r="U40" s="897"/>
      <c r="V40" s="897"/>
      <c r="W40" s="897"/>
      <c r="X40" s="897"/>
      <c r="Y40" s="897"/>
    </row>
    <row r="41" spans="1:25" s="204" customFormat="1" ht="30" customHeight="1">
      <c r="A41" s="281"/>
      <c r="B41" s="444"/>
      <c r="C41" s="81"/>
      <c r="F41" s="213"/>
      <c r="G41" s="211"/>
      <c r="H41" s="213"/>
      <c r="I41" s="213"/>
      <c r="J41" s="213"/>
      <c r="P41" s="897"/>
      <c r="Q41" s="897"/>
      <c r="R41" s="897"/>
      <c r="S41" s="897"/>
      <c r="T41" s="897"/>
      <c r="U41" s="897"/>
      <c r="V41" s="897"/>
      <c r="W41" s="897"/>
      <c r="X41" s="897"/>
      <c r="Y41" s="897"/>
    </row>
    <row r="42" spans="1:25" ht="30" customHeight="1">
      <c r="B42" s="218"/>
      <c r="C42" s="204"/>
      <c r="D42" s="204"/>
      <c r="E42" s="213"/>
      <c r="F42" s="213"/>
      <c r="G42" s="208"/>
      <c r="H42" s="213"/>
      <c r="I42" s="210"/>
      <c r="J42" s="213"/>
      <c r="P42" s="897"/>
      <c r="Q42" s="897"/>
      <c r="R42" s="897"/>
      <c r="S42" s="897"/>
      <c r="T42" s="897"/>
      <c r="U42" s="897"/>
      <c r="V42" s="897"/>
      <c r="W42" s="897"/>
      <c r="X42" s="897"/>
      <c r="Y42" s="897"/>
    </row>
    <row r="43" spans="1:25" s="204" customFormat="1" ht="30" customHeight="1">
      <c r="A43" s="281"/>
      <c r="B43" s="218"/>
      <c r="D43" s="213"/>
      <c r="E43" s="213"/>
      <c r="F43" s="213"/>
      <c r="G43" s="208"/>
      <c r="H43" s="213"/>
      <c r="I43" s="210"/>
      <c r="J43" s="210"/>
    </row>
    <row r="44" spans="1:25" s="204" customFormat="1" ht="30" customHeight="1">
      <c r="A44" s="281"/>
      <c r="B44" s="218"/>
      <c r="C44" s="212"/>
      <c r="D44" s="213"/>
      <c r="E44" s="213"/>
      <c r="F44" s="213"/>
      <c r="G44" s="208"/>
      <c r="H44" s="210"/>
      <c r="I44" s="210"/>
      <c r="J44" s="210"/>
    </row>
    <row r="45" spans="1:25" ht="30" customHeight="1">
      <c r="B45" s="211"/>
      <c r="C45" s="213"/>
      <c r="D45" s="213"/>
      <c r="E45" s="213"/>
      <c r="F45" s="213"/>
      <c r="G45" s="208"/>
      <c r="I45" s="210"/>
      <c r="J45" s="210"/>
    </row>
    <row r="46" spans="1:25" ht="30" customHeight="1">
      <c r="B46" s="211"/>
      <c r="C46" s="213"/>
      <c r="D46" s="213"/>
      <c r="E46" s="213"/>
      <c r="F46" s="210"/>
      <c r="G46" s="218"/>
      <c r="J46" s="210"/>
    </row>
    <row r="47" spans="1:25" ht="24.95" customHeight="1">
      <c r="B47" s="211"/>
      <c r="C47" s="212"/>
      <c r="D47" s="213"/>
      <c r="E47" s="210"/>
      <c r="F47" s="210"/>
      <c r="G47" s="218"/>
      <c r="J47" s="210"/>
    </row>
    <row r="48" spans="1:25" ht="24.95" customHeight="1">
      <c r="B48" s="211"/>
      <c r="C48" s="212"/>
      <c r="D48" s="210"/>
      <c r="E48" s="210"/>
      <c r="F48" s="210"/>
      <c r="G48" s="37"/>
      <c r="J48" s="210"/>
    </row>
    <row r="49" spans="1:10" ht="24.95" customHeight="1">
      <c r="B49" s="211"/>
      <c r="C49" s="209"/>
      <c r="D49" s="210"/>
      <c r="E49" s="210"/>
      <c r="F49" s="210"/>
      <c r="G49" s="226"/>
      <c r="H49" s="37"/>
      <c r="I49" s="229"/>
      <c r="J49" s="210"/>
    </row>
    <row r="50" spans="1:10" ht="24.95" customHeight="1">
      <c r="B50" s="208"/>
      <c r="C50" s="209"/>
      <c r="D50" s="210"/>
      <c r="E50" s="210"/>
      <c r="F50" s="210"/>
      <c r="G50" s="190"/>
      <c r="I50" s="220"/>
      <c r="J50" s="210"/>
    </row>
    <row r="51" spans="1:10" ht="24.95" customHeight="1">
      <c r="B51" s="208"/>
      <c r="C51" s="209"/>
      <c r="D51" s="210"/>
      <c r="E51" s="210"/>
      <c r="F51" s="210"/>
      <c r="G51" s="190"/>
      <c r="I51" s="235"/>
      <c r="J51" s="210"/>
    </row>
    <row r="52" spans="1:10" ht="24.95" customHeight="1">
      <c r="B52" s="208"/>
      <c r="C52" s="209"/>
      <c r="D52" s="210"/>
      <c r="E52" s="210"/>
      <c r="F52" s="210"/>
      <c r="G52" s="190"/>
      <c r="I52" s="235"/>
      <c r="J52" s="210"/>
    </row>
    <row r="53" spans="1:10" s="204" customFormat="1" ht="24.95" customHeight="1">
      <c r="A53" s="281"/>
      <c r="B53" s="208"/>
      <c r="C53" s="209"/>
      <c r="D53" s="210"/>
      <c r="E53" s="210"/>
      <c r="F53" s="210"/>
      <c r="I53" s="235"/>
      <c r="J53" s="190"/>
    </row>
    <row r="54" spans="1:10" ht="24.95" customHeight="1">
      <c r="B54" s="208"/>
      <c r="C54" s="209"/>
      <c r="D54" s="210"/>
      <c r="E54" s="210"/>
      <c r="F54" s="210"/>
      <c r="G54" s="190"/>
      <c r="I54" s="235"/>
    </row>
    <row r="55" spans="1:10" ht="24.95" customHeight="1">
      <c r="B55" s="208"/>
      <c r="C55" s="210"/>
      <c r="D55" s="210"/>
      <c r="E55" s="210"/>
      <c r="F55" s="210"/>
      <c r="G55" s="37"/>
      <c r="H55" s="737"/>
      <c r="I55" s="220"/>
    </row>
    <row r="56" spans="1:10" ht="24.95" customHeight="1">
      <c r="B56" s="208"/>
      <c r="C56" s="209"/>
      <c r="D56" s="210"/>
      <c r="E56" s="210"/>
    </row>
    <row r="57" spans="1:10" ht="15.75">
      <c r="B57" s="208"/>
      <c r="C57" s="209"/>
      <c r="D57" s="210"/>
    </row>
    <row r="58" spans="1:10" ht="15.75">
      <c r="B58" s="208"/>
      <c r="C58" s="209"/>
    </row>
    <row r="59" spans="1:10" ht="15.75">
      <c r="B59" s="208"/>
    </row>
  </sheetData>
  <mergeCells count="1">
    <mergeCell ref="H1:I2"/>
  </mergeCells>
  <hyperlinks>
    <hyperlink ref="C5" location="'Classic Rimini '!A1" display="Коллекция Сlassic Rimini"/>
    <hyperlink ref="C18" location="Fusion_Plainе!A1" display="Коллекция Fusion Plainе"/>
    <hyperlink ref="H3" location="Погонаж!A1" display="ПОГОНАЖНЫЕ ИЗДЕЛИЯ"/>
    <hyperlink ref="H14" location="'Современные перегородки'!A1" display="Перегородки Corsa"/>
    <hyperlink ref="H16" location="'Классические прегородки'!A1" display="Перегородки Grazia"/>
    <hyperlink ref="H7" location="Стык.элементы!A1" display="Стыковочные  элементы"/>
    <hyperlink ref="H29" location="Покрытия_шпон_эмаль!A1" display="Покрытия: ШПОН, ЭМАЛЬ"/>
    <hyperlink ref="H30" location="Покрытия_ПВХ!A1" display="Покрытия: ПВХ"/>
    <hyperlink ref="H26" location="'Прочее наценки'!A1" display="ПРОЧИЕ НАЦЕНКИ"/>
    <hyperlink ref="H21" location="'Стен. панели'!A1" display="Стеновые панели"/>
    <hyperlink ref="H4" location="Погонаж!A1" display="Погонаж (L)"/>
    <hyperlink ref="H8" location="Плинтусы!R1C1" display="Плинтусы"/>
    <hyperlink ref="H9" location="Рейки!R1C1" display="Рейки"/>
    <hyperlink ref="H11" location="Порталы!A1" display="ПОРТАЛЫ: КОЛОННЫ И КАРНИЗЫ"/>
    <hyperlink ref="H6" location="'Погонаж для прочих'!Print_Area" display="Погонаж для прочих изделий"/>
    <hyperlink ref="H32" location="'Рекламная продукция'!Print_Area" display="РЕКЛАМНАЯ ПРОДУКЦИЯ"/>
    <hyperlink ref="C8" location="'Provеnce Amelia'!A1" display="Коллекция Provence Amelia"/>
    <hyperlink ref="C14" location="'Provеnce Sienna'!A1" display="Коллекция Provence Sienna"/>
    <hyperlink ref="H18" location="'Современные перегородки'!R1C1" display="Алюминиевые перегородки Meta"/>
    <hyperlink ref="C13" location="Elegance!A1" display="Коллекция Elegance"/>
    <hyperlink ref="H22" location="Фрамуги_накладки!A1" display="Фрамуги и накладки"/>
    <hyperlink ref="C7" location="'E-Classic'!A1" display="Коллекция E-classiс"/>
    <hyperlink ref="C11" location="'Modern Bergamo'!A1" display="Коллекция Modern Bergamo"/>
    <hyperlink ref="C12" location="'Modern Turin'!A1" display="Коллекция Modern Turin"/>
    <hyperlink ref="C19" location="Fusion!A1" display="Коллекция Fusion"/>
    <hyperlink ref="H5" location="Алюм.погонаж!A1" display="Погонаж алюминиевый"/>
    <hyperlink ref="C6" location="'Classic Rosso'!A1" display="Коллекция Сlassic Rosso"/>
    <hyperlink ref="C15" location="Neoclassic!A1" display="Коллекция Neoclassic"/>
    <hyperlink ref="C17" location="Eclectica_Stripe!R1C1" display="Коллекция Eclectica Stripe"/>
    <hyperlink ref="C16" location="Eclectica_Belluno!A1" display="Коллекция Eclectica Belluno"/>
    <hyperlink ref="H15" location="'Современные перегородки'!A1" display="Перегородки Race"/>
    <hyperlink ref="H17" location="'Современные перегородки'!R1C1" display="Алюминиевые перегородки Steel"/>
    <hyperlink ref="C27" location="Standart!R1C1" display="Коллекция Standart"/>
    <hyperlink ref="C34" location="'Жалюзийные двери Louver'!R1C1" display="Жалюзийные двери Louver"/>
    <hyperlink ref="C25" location="Techno_Vetro!R1C1" display="Коллекция Techno Vetro"/>
    <hyperlink ref="C26" location="Twist!R1C1" display="Коллекция Twist"/>
    <hyperlink ref="C30" location="Design!R1C1" display="Коллекция Design"/>
    <hyperlink ref="C23" location="Techno_Porte!R1C1" display="Коллекция Techno Porte"/>
    <hyperlink ref="C20" location="'Fusion Bruno'!R1C1" display="Коллекция Fusion Bruno"/>
    <hyperlink ref="C24" location="Techno_Slot!R1C1" display="Коллекция Techno Slot"/>
    <hyperlink ref="C36" location="'Алюм. двери Frame'!R1C1" display="Алюминиевые двери Frame"/>
    <hyperlink ref="C31" location="'E-Design'!R1C1" display="Коллекция E-Design "/>
    <hyperlink ref="C35" location="'Двери для обьектов'!R1C1" display="Двери для объектов"/>
    <hyperlink ref="H25" location="'Наценки за габариты'!R1C1" display="Наценки за габариты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44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92D050"/>
  </sheetPr>
  <dimension ref="A1:V57"/>
  <sheetViews>
    <sheetView view="pageBreakPreview" zoomScale="55" zoomScaleNormal="55" zoomScaleSheetLayoutView="55" zoomScalePageLayoutView="85" workbookViewId="0">
      <selection activeCell="V3" sqref="V3"/>
    </sheetView>
  </sheetViews>
  <sheetFormatPr defaultColWidth="9.140625" defaultRowHeight="15"/>
  <cols>
    <col min="1" max="1" width="6.140625" style="589" customWidth="1"/>
    <col min="2" max="2" width="7.7109375" style="205" customWidth="1"/>
    <col min="3" max="3" width="80.7109375" style="81" customWidth="1"/>
    <col min="4" max="5" width="7.7109375" style="589" customWidth="1"/>
    <col min="6" max="6" width="25.7109375" style="589" customWidth="1"/>
    <col min="7" max="7" width="7.7109375" style="205" customWidth="1"/>
    <col min="8" max="8" width="80.7109375" style="589" customWidth="1"/>
    <col min="9" max="9" width="7.7109375" style="589" customWidth="1"/>
    <col min="10" max="12" width="9.140625" style="589"/>
    <col min="13" max="15" width="9.140625" style="589" hidden="1" customWidth="1"/>
    <col min="16" max="16" width="2.140625" style="589" customWidth="1"/>
    <col min="17" max="17" width="66.5703125" style="589" customWidth="1"/>
    <col min="18" max="18" width="29.42578125" style="589" customWidth="1"/>
    <col min="19" max="21" width="9.140625" style="589"/>
    <col min="22" max="22" width="52" style="589" customWidth="1"/>
    <col min="23" max="16384" width="9.140625" style="589"/>
  </cols>
  <sheetData>
    <row r="1" spans="2:22" ht="30" customHeight="1">
      <c r="B1" s="223"/>
      <c r="C1" s="2515"/>
      <c r="D1" s="224"/>
      <c r="E1" s="224"/>
      <c r="F1" s="224"/>
      <c r="G1" s="223"/>
      <c r="H1" s="4186" t="s">
        <v>253</v>
      </c>
      <c r="I1" s="4186"/>
      <c r="J1" s="224"/>
      <c r="M1" s="130" t="e">
        <f>VLOOKUP(L1,$O$1:$P$9,2,0)</f>
        <v>#N/A</v>
      </c>
      <c r="O1" s="589" t="s">
        <v>10</v>
      </c>
      <c r="P1" s="131">
        <v>0</v>
      </c>
    </row>
    <row r="2" spans="2:22" ht="30" customHeight="1">
      <c r="B2" s="589"/>
      <c r="C2" s="737"/>
      <c r="D2" s="738"/>
      <c r="E2" s="738"/>
      <c r="F2" s="224"/>
      <c r="G2" s="223"/>
      <c r="H2" s="4186"/>
      <c r="I2" s="4186"/>
      <c r="J2" s="224"/>
      <c r="M2" s="130"/>
      <c r="P2" s="131"/>
    </row>
    <row r="3" spans="2:22" ht="30" customHeight="1">
      <c r="B3" s="226" t="s">
        <v>6</v>
      </c>
      <c r="C3" s="227" t="s">
        <v>248</v>
      </c>
      <c r="D3" s="225"/>
      <c r="E3" s="224"/>
      <c r="F3" s="224"/>
      <c r="G3" s="223"/>
      <c r="H3" s="1163"/>
      <c r="I3" s="1163"/>
      <c r="J3" s="224"/>
      <c r="O3" s="589" t="s">
        <v>9</v>
      </c>
      <c r="P3" s="131">
        <v>0.03</v>
      </c>
      <c r="Q3" s="227" t="s">
        <v>248</v>
      </c>
      <c r="R3" s="225"/>
      <c r="S3" s="224"/>
      <c r="T3" s="224"/>
      <c r="U3" s="223"/>
      <c r="V3" s="228" t="s">
        <v>3184</v>
      </c>
    </row>
    <row r="4" spans="2:22" ht="30" customHeight="1">
      <c r="B4" s="218"/>
      <c r="C4" s="215" t="s">
        <v>245</v>
      </c>
      <c r="D4" s="219"/>
      <c r="E4" s="225"/>
      <c r="F4" s="225"/>
      <c r="G4" s="1121" t="s">
        <v>86</v>
      </c>
      <c r="H4" s="1122" t="s">
        <v>1174</v>
      </c>
      <c r="I4" s="235"/>
      <c r="O4" s="589" t="s">
        <v>12</v>
      </c>
      <c r="P4" s="131">
        <v>0.09</v>
      </c>
      <c r="Q4" s="215" t="s">
        <v>3185</v>
      </c>
      <c r="R4" s="219"/>
      <c r="S4" s="225"/>
      <c r="T4" s="225"/>
      <c r="U4" s="1121"/>
      <c r="V4" s="3589" t="s">
        <v>3186</v>
      </c>
    </row>
    <row r="5" spans="2:22" s="37" customFormat="1" ht="30" customHeight="1">
      <c r="B5" s="218"/>
      <c r="C5" s="230" t="s">
        <v>2953</v>
      </c>
      <c r="D5" s="231"/>
      <c r="E5" s="219"/>
      <c r="F5" s="219"/>
      <c r="P5" s="206"/>
      <c r="Q5" s="3589" t="s">
        <v>2953</v>
      </c>
      <c r="R5" s="231"/>
      <c r="S5" s="219"/>
      <c r="T5" s="219"/>
      <c r="U5" s="3590"/>
      <c r="V5" s="3589" t="s">
        <v>3187</v>
      </c>
    </row>
    <row r="6" spans="2:22" s="37" customFormat="1" ht="30" customHeight="1">
      <c r="B6" s="218"/>
      <c r="C6" s="230" t="s">
        <v>2489</v>
      </c>
      <c r="D6" s="231"/>
      <c r="E6" s="219"/>
      <c r="F6" s="219"/>
      <c r="G6" s="222" t="s">
        <v>87</v>
      </c>
      <c r="H6" s="216" t="s">
        <v>247</v>
      </c>
      <c r="I6" s="221"/>
      <c r="O6" s="37" t="s">
        <v>13</v>
      </c>
      <c r="P6" s="206">
        <v>0.12</v>
      </c>
      <c r="Q6" s="3589" t="s">
        <v>2489</v>
      </c>
      <c r="R6" s="231"/>
      <c r="S6" s="219"/>
      <c r="T6" s="219"/>
      <c r="U6" s="222"/>
      <c r="V6" s="3589" t="s">
        <v>3188</v>
      </c>
    </row>
    <row r="7" spans="2:22" s="37" customFormat="1" ht="30" customHeight="1">
      <c r="B7" s="218"/>
      <c r="C7" s="230" t="s">
        <v>2952</v>
      </c>
      <c r="D7" s="233"/>
      <c r="E7" s="221"/>
      <c r="F7" s="219"/>
      <c r="G7" s="218"/>
      <c r="H7" s="230" t="s">
        <v>254</v>
      </c>
      <c r="I7" s="235"/>
      <c r="O7" s="37" t="s">
        <v>14</v>
      </c>
      <c r="P7" s="206">
        <v>0.15</v>
      </c>
      <c r="Q7" s="3589" t="s">
        <v>2952</v>
      </c>
      <c r="R7" s="233"/>
      <c r="S7" s="221"/>
      <c r="T7" s="219"/>
      <c r="U7" s="218"/>
      <c r="V7" s="3589"/>
    </row>
    <row r="8" spans="2:22" s="37" customFormat="1" ht="30" customHeight="1">
      <c r="B8" s="218"/>
      <c r="C8" s="230" t="s">
        <v>2490</v>
      </c>
      <c r="D8" s="234"/>
      <c r="E8" s="220"/>
      <c r="F8" s="219"/>
      <c r="G8" s="218"/>
      <c r="H8" s="232" t="s">
        <v>255</v>
      </c>
      <c r="I8" s="235"/>
      <c r="J8" s="225"/>
      <c r="O8" s="37" t="s">
        <v>15</v>
      </c>
      <c r="P8" s="206">
        <v>0.18</v>
      </c>
      <c r="Q8" s="3589" t="s">
        <v>2492</v>
      </c>
      <c r="R8" s="3591"/>
      <c r="S8" s="220"/>
      <c r="T8" s="219"/>
      <c r="U8" s="218"/>
      <c r="V8" s="3589"/>
    </row>
    <row r="9" spans="2:22" s="37" customFormat="1" ht="30" customHeight="1">
      <c r="B9" s="218"/>
      <c r="C9" s="230" t="s">
        <v>2491</v>
      </c>
      <c r="D9" s="234"/>
      <c r="E9" s="220"/>
      <c r="F9" s="219"/>
      <c r="H9" s="232" t="s">
        <v>2508</v>
      </c>
      <c r="I9" s="235"/>
      <c r="O9" s="37" t="s">
        <v>16</v>
      </c>
      <c r="P9" s="206">
        <v>0.2</v>
      </c>
      <c r="Q9" s="3590"/>
      <c r="R9" s="617"/>
      <c r="S9" s="220"/>
      <c r="T9" s="219"/>
      <c r="U9" s="3590"/>
      <c r="V9" s="3590"/>
    </row>
    <row r="10" spans="2:22" s="37" customFormat="1" ht="30" customHeight="1">
      <c r="B10" s="218"/>
      <c r="C10" s="236" t="s">
        <v>767</v>
      </c>
      <c r="D10" s="234"/>
      <c r="E10" s="220"/>
      <c r="F10" s="219"/>
      <c r="G10" s="226"/>
      <c r="I10" s="229"/>
      <c r="Q10" s="215" t="s">
        <v>3189</v>
      </c>
      <c r="R10" s="219"/>
      <c r="S10" s="225"/>
      <c r="T10" s="225"/>
      <c r="U10" s="1121"/>
      <c r="V10" s="216" t="s">
        <v>247</v>
      </c>
    </row>
    <row r="11" spans="2:22" s="37" customFormat="1" ht="30" customHeight="1">
      <c r="B11" s="218"/>
      <c r="C11" s="236" t="s">
        <v>3173</v>
      </c>
      <c r="D11" s="234"/>
      <c r="E11" s="220"/>
      <c r="F11" s="219"/>
      <c r="G11" s="226" t="s">
        <v>7</v>
      </c>
      <c r="H11" s="228" t="s">
        <v>256</v>
      </c>
      <c r="I11" s="220"/>
      <c r="J11" s="219"/>
      <c r="Q11" s="3589" t="s">
        <v>2490</v>
      </c>
      <c r="R11" s="234"/>
      <c r="S11" s="220"/>
      <c r="T11" s="219"/>
      <c r="U11" s="3590"/>
      <c r="V11" s="215" t="s">
        <v>3190</v>
      </c>
    </row>
    <row r="12" spans="2:22" s="37" customFormat="1" ht="30" customHeight="1">
      <c r="B12" s="218"/>
      <c r="C12" s="230" t="s">
        <v>2507</v>
      </c>
      <c r="D12" s="234"/>
      <c r="E12" s="220"/>
      <c r="F12" s="219"/>
      <c r="G12" s="218"/>
      <c r="H12" s="230" t="s">
        <v>693</v>
      </c>
      <c r="I12" s="235"/>
      <c r="J12" s="219"/>
      <c r="Q12" s="3589" t="s">
        <v>2491</v>
      </c>
      <c r="R12" s="234"/>
      <c r="S12" s="220"/>
      <c r="T12" s="219"/>
      <c r="U12" s="218"/>
      <c r="V12" s="3589" t="s">
        <v>254</v>
      </c>
    </row>
    <row r="13" spans="2:22" s="37" customFormat="1" ht="30" customHeight="1">
      <c r="B13" s="218"/>
      <c r="C13" s="230" t="s">
        <v>2581</v>
      </c>
      <c r="D13" s="234"/>
      <c r="E13" s="220"/>
      <c r="F13" s="219"/>
      <c r="G13" s="218"/>
      <c r="H13" s="230" t="s">
        <v>1168</v>
      </c>
      <c r="I13" s="235"/>
      <c r="J13" s="219"/>
      <c r="Q13" s="3592" t="s">
        <v>3191</v>
      </c>
      <c r="R13" s="234"/>
      <c r="S13" s="220"/>
      <c r="T13" s="219"/>
      <c r="U13" s="3590"/>
      <c r="V13" s="3589" t="s">
        <v>3192</v>
      </c>
    </row>
    <row r="14" spans="2:22" s="37" customFormat="1" ht="30" customHeight="1">
      <c r="B14" s="218"/>
      <c r="C14" s="230" t="s">
        <v>3030</v>
      </c>
      <c r="D14" s="234"/>
      <c r="E14" s="220"/>
      <c r="F14" s="219"/>
      <c r="G14" s="218"/>
      <c r="H14" s="230" t="s">
        <v>1512</v>
      </c>
      <c r="I14" s="235"/>
      <c r="J14" s="219"/>
      <c r="Q14" s="3589" t="s">
        <v>3173</v>
      </c>
      <c r="R14" s="234"/>
      <c r="S14" s="220"/>
      <c r="T14" s="219"/>
      <c r="U14" s="3590"/>
      <c r="V14" s="3593" t="s">
        <v>255</v>
      </c>
    </row>
    <row r="15" spans="2:22" s="37" customFormat="1" ht="30" customHeight="1">
      <c r="B15" s="218"/>
      <c r="C15" s="230" t="s">
        <v>2488</v>
      </c>
      <c r="D15" s="234"/>
      <c r="E15" s="220"/>
      <c r="F15" s="219"/>
      <c r="H15" s="230" t="s">
        <v>1167</v>
      </c>
      <c r="I15" s="235"/>
      <c r="J15" s="219"/>
      <c r="Q15" s="3589" t="s">
        <v>2507</v>
      </c>
      <c r="R15" s="234"/>
      <c r="S15" s="220"/>
      <c r="T15" s="219"/>
      <c r="U15" s="226"/>
      <c r="V15" s="3590"/>
    </row>
    <row r="16" spans="2:22" s="37" customFormat="1" ht="30" customHeight="1">
      <c r="B16" s="218"/>
      <c r="D16" s="617"/>
      <c r="E16" s="220"/>
      <c r="F16" s="219"/>
      <c r="J16" s="219"/>
      <c r="Q16" s="3589" t="s">
        <v>2581</v>
      </c>
      <c r="R16" s="234"/>
      <c r="S16" s="220"/>
      <c r="T16" s="219"/>
      <c r="U16" s="218"/>
      <c r="V16" s="215" t="s">
        <v>3193</v>
      </c>
    </row>
    <row r="17" spans="2:22" s="37" customFormat="1" ht="30" customHeight="1">
      <c r="C17" s="215" t="s">
        <v>315</v>
      </c>
      <c r="D17" s="220"/>
      <c r="E17" s="220"/>
      <c r="F17" s="219"/>
      <c r="G17" s="222" t="s">
        <v>104</v>
      </c>
      <c r="H17" s="216" t="s">
        <v>2876</v>
      </c>
      <c r="J17" s="219"/>
      <c r="Q17" s="3589" t="s">
        <v>3030</v>
      </c>
      <c r="R17" s="234"/>
      <c r="S17" s="220"/>
      <c r="T17" s="219"/>
      <c r="U17" s="3590"/>
      <c r="V17" s="3589" t="s">
        <v>3194</v>
      </c>
    </row>
    <row r="18" spans="2:22" s="37" customFormat="1" ht="30" customHeight="1">
      <c r="C18" s="230" t="s">
        <v>2492</v>
      </c>
      <c r="D18" s="235"/>
      <c r="E18" s="220"/>
      <c r="F18" s="219"/>
      <c r="G18" s="218"/>
      <c r="H18" s="230" t="s">
        <v>2902</v>
      </c>
      <c r="I18" s="235"/>
      <c r="J18" s="219"/>
      <c r="P18" s="206"/>
      <c r="Q18" s="3589" t="s">
        <v>2488</v>
      </c>
      <c r="R18" s="234"/>
      <c r="S18" s="220"/>
      <c r="T18" s="219"/>
      <c r="U18" s="222"/>
      <c r="V18" s="3594"/>
    </row>
    <row r="19" spans="2:22" s="37" customFormat="1" ht="30" customHeight="1">
      <c r="C19" s="230" t="s">
        <v>2493</v>
      </c>
      <c r="D19" s="234"/>
      <c r="E19" s="220"/>
      <c r="F19" s="219"/>
      <c r="G19" s="222"/>
      <c r="H19" s="230" t="s">
        <v>2908</v>
      </c>
      <c r="I19" s="235"/>
      <c r="J19" s="219"/>
      <c r="Q19" s="3589" t="s">
        <v>2493</v>
      </c>
      <c r="R19" s="234"/>
      <c r="S19" s="220"/>
      <c r="T19" s="219"/>
      <c r="U19" s="3590"/>
      <c r="V19" s="3590"/>
    </row>
    <row r="20" spans="2:22" s="37" customFormat="1" ht="30" customHeight="1">
      <c r="B20" s="218"/>
      <c r="D20" s="220"/>
      <c r="E20" s="220"/>
      <c r="F20" s="219"/>
      <c r="G20" s="218"/>
      <c r="I20" s="220"/>
      <c r="J20" s="219"/>
      <c r="Q20" s="3590"/>
      <c r="R20" s="617"/>
      <c r="S20" s="220"/>
      <c r="T20" s="219"/>
      <c r="U20" s="222"/>
      <c r="V20" s="216"/>
    </row>
    <row r="21" spans="2:22" s="37" customFormat="1" ht="30" customHeight="1">
      <c r="B21" s="218"/>
      <c r="C21" s="216" t="s">
        <v>246</v>
      </c>
      <c r="D21" s="220"/>
      <c r="E21" s="220"/>
      <c r="F21" s="219"/>
      <c r="G21" s="222" t="s">
        <v>105</v>
      </c>
      <c r="H21" s="216" t="s">
        <v>251</v>
      </c>
      <c r="I21" s="220"/>
      <c r="J21" s="219"/>
      <c r="Q21" s="216" t="s">
        <v>3195</v>
      </c>
      <c r="R21" s="220"/>
      <c r="S21" s="220"/>
      <c r="T21" s="219"/>
      <c r="U21" s="218"/>
      <c r="V21" s="3594"/>
    </row>
    <row r="22" spans="2:22" s="37" customFormat="1" ht="30" customHeight="1">
      <c r="B22" s="218"/>
      <c r="C22" s="230" t="s">
        <v>2204</v>
      </c>
      <c r="D22" s="220"/>
      <c r="E22" s="220"/>
      <c r="F22" s="219"/>
      <c r="G22" s="218"/>
      <c r="H22" s="230" t="s">
        <v>1165</v>
      </c>
      <c r="I22" s="235"/>
      <c r="J22" s="219"/>
      <c r="Q22" s="3589" t="s">
        <v>2204</v>
      </c>
      <c r="R22" s="220"/>
      <c r="S22" s="220"/>
      <c r="T22" s="219"/>
      <c r="U22" s="222"/>
      <c r="V22" s="3594"/>
    </row>
    <row r="23" spans="2:22" s="37" customFormat="1" ht="30" customHeight="1">
      <c r="B23" s="218"/>
      <c r="C23" s="230" t="s">
        <v>1377</v>
      </c>
      <c r="D23" s="234"/>
      <c r="E23" s="220"/>
      <c r="F23" s="219"/>
      <c r="G23" s="222"/>
      <c r="H23" s="230" t="s">
        <v>2506</v>
      </c>
      <c r="I23" s="235"/>
      <c r="J23" s="219"/>
      <c r="Q23" s="3589" t="s">
        <v>1377</v>
      </c>
      <c r="R23" s="234"/>
      <c r="S23" s="220"/>
      <c r="T23" s="219"/>
      <c r="U23" s="3590"/>
      <c r="V23" s="3590"/>
    </row>
    <row r="24" spans="2:22" s="37" customFormat="1" ht="30" customHeight="1">
      <c r="B24" s="218"/>
      <c r="C24" s="230" t="s">
        <v>2386</v>
      </c>
      <c r="D24" s="234"/>
      <c r="E24" s="220"/>
      <c r="F24" s="219"/>
      <c r="I24" s="220"/>
      <c r="Q24" s="3589" t="s">
        <v>2386</v>
      </c>
      <c r="R24" s="234"/>
      <c r="S24" s="220"/>
      <c r="T24" s="219"/>
      <c r="U24" s="222"/>
      <c r="V24" s="3594"/>
    </row>
    <row r="25" spans="2:22" s="37" customFormat="1" ht="30" customHeight="1">
      <c r="B25" s="218"/>
      <c r="C25" s="230" t="s">
        <v>1378</v>
      </c>
      <c r="D25" s="234"/>
      <c r="E25" s="220"/>
      <c r="F25" s="219"/>
      <c r="G25" s="222" t="s">
        <v>250</v>
      </c>
      <c r="H25" s="236" t="s">
        <v>734</v>
      </c>
      <c r="I25" s="235"/>
      <c r="J25" s="213"/>
      <c r="Q25" s="3588" t="s">
        <v>1378</v>
      </c>
      <c r="R25" s="234"/>
      <c r="S25" s="220"/>
      <c r="T25" s="219"/>
      <c r="U25" s="3590"/>
      <c r="V25" s="3590"/>
    </row>
    <row r="26" spans="2:22" s="37" customFormat="1" ht="30" customHeight="1">
      <c r="B26" s="218"/>
      <c r="C26" s="230" t="s">
        <v>2205</v>
      </c>
      <c r="D26" s="234"/>
      <c r="E26" s="221"/>
      <c r="F26" s="219"/>
      <c r="I26" s="220"/>
      <c r="Q26" s="3588" t="s">
        <v>2205</v>
      </c>
      <c r="R26" s="234"/>
      <c r="S26" s="221"/>
      <c r="T26" s="219"/>
      <c r="U26" s="218"/>
      <c r="V26" s="3590"/>
    </row>
    <row r="27" spans="2:22" s="37" customFormat="1" ht="30" customHeight="1">
      <c r="B27" s="218"/>
      <c r="C27" s="230" t="s">
        <v>2206</v>
      </c>
      <c r="D27" s="234"/>
      <c r="E27" s="220"/>
      <c r="F27" s="219"/>
      <c r="I27" s="220"/>
      <c r="J27" s="589"/>
      <c r="Q27" s="3590"/>
      <c r="R27" s="220"/>
      <c r="S27" s="220"/>
      <c r="T27" s="219"/>
      <c r="U27" s="222"/>
      <c r="V27" s="216"/>
    </row>
    <row r="28" spans="2:22" s="37" customFormat="1" ht="30" customHeight="1">
      <c r="B28" s="218"/>
      <c r="C28" s="230" t="s">
        <v>2951</v>
      </c>
      <c r="D28" s="234"/>
      <c r="E28" s="220"/>
      <c r="F28" s="219"/>
      <c r="I28" s="220"/>
      <c r="J28" s="219"/>
      <c r="Q28" s="216" t="s">
        <v>2325</v>
      </c>
      <c r="R28" s="220"/>
      <c r="S28" s="220"/>
      <c r="T28" s="219"/>
      <c r="U28" s="3590"/>
      <c r="V28" s="3590"/>
    </row>
    <row r="29" spans="2:22" s="37" customFormat="1" ht="30" customHeight="1">
      <c r="B29" s="218"/>
      <c r="C29" s="219"/>
      <c r="D29" s="219"/>
      <c r="E29" s="219"/>
      <c r="F29" s="219"/>
      <c r="I29" s="221"/>
      <c r="J29" s="219"/>
      <c r="Q29" s="3588" t="s">
        <v>2206</v>
      </c>
      <c r="R29" s="234"/>
      <c r="S29" s="220"/>
      <c r="T29" s="219"/>
      <c r="U29" s="3590"/>
      <c r="V29" s="3590"/>
    </row>
    <row r="30" spans="2:22" s="37" customFormat="1" ht="30" customHeight="1">
      <c r="B30" s="222" t="s">
        <v>85</v>
      </c>
      <c r="C30" s="288" t="s">
        <v>249</v>
      </c>
      <c r="D30" s="1147"/>
      <c r="E30" s="219"/>
      <c r="F30" s="219"/>
      <c r="I30" s="221"/>
      <c r="J30" s="1147"/>
      <c r="Q30" s="3588" t="s">
        <v>3196</v>
      </c>
      <c r="R30" s="234"/>
      <c r="S30" s="220"/>
      <c r="T30" s="219"/>
      <c r="U30" s="3590"/>
      <c r="V30" s="3590"/>
    </row>
    <row r="31" spans="2:22" s="37" customFormat="1" ht="30" customHeight="1">
      <c r="C31" s="230" t="s">
        <v>881</v>
      </c>
      <c r="D31" s="235"/>
      <c r="E31" s="221"/>
      <c r="F31" s="219"/>
      <c r="J31" s="219"/>
      <c r="Q31" s="219"/>
      <c r="R31" s="219"/>
      <c r="S31" s="219"/>
      <c r="T31" s="214"/>
      <c r="U31" s="3591"/>
      <c r="V31" s="214"/>
    </row>
    <row r="32" spans="2:22" s="37" customFormat="1" ht="26.25">
      <c r="C32" s="230" t="s">
        <v>1488</v>
      </c>
      <c r="D32" s="234"/>
      <c r="F32" s="219"/>
      <c r="G32" s="218"/>
      <c r="Q32" s="3590"/>
      <c r="R32" s="3590"/>
      <c r="S32" s="3590"/>
      <c r="T32" s="3590"/>
      <c r="U32" s="3590"/>
      <c r="V32" s="3590"/>
    </row>
    <row r="33" spans="1:22" s="37" customFormat="1" ht="30" customHeight="1">
      <c r="C33" s="230" t="s">
        <v>481</v>
      </c>
      <c r="D33" s="234"/>
      <c r="F33" s="217"/>
      <c r="J33" s="589"/>
      <c r="Q33" s="3590"/>
      <c r="R33" s="3590"/>
      <c r="S33" s="3590"/>
      <c r="T33" s="3590"/>
      <c r="U33" s="3590"/>
      <c r="V33" s="3590"/>
    </row>
    <row r="34" spans="1:22" ht="30" customHeight="1">
      <c r="B34" s="37"/>
      <c r="C34" s="230" t="s">
        <v>1166</v>
      </c>
      <c r="D34" s="234"/>
      <c r="E34" s="37"/>
      <c r="F34" s="225"/>
      <c r="G34" s="37"/>
      <c r="H34" s="37"/>
    </row>
    <row r="35" spans="1:22" ht="30" customHeight="1">
      <c r="B35" s="37"/>
      <c r="C35" s="230" t="s">
        <v>455</v>
      </c>
      <c r="D35" s="234"/>
      <c r="E35" s="37"/>
      <c r="F35" s="225"/>
      <c r="G35" s="37"/>
      <c r="H35" s="37"/>
      <c r="I35" s="37"/>
      <c r="J35" s="213"/>
    </row>
    <row r="36" spans="1:22" ht="30" customHeight="1">
      <c r="B36" s="1146"/>
      <c r="C36" s="230" t="s">
        <v>456</v>
      </c>
      <c r="D36" s="234"/>
      <c r="E36" s="225"/>
      <c r="F36" s="214"/>
      <c r="G36" s="222"/>
    </row>
    <row r="37" spans="1:22" ht="30" customHeight="1">
      <c r="A37" s="897"/>
      <c r="E37" s="217"/>
      <c r="F37" s="2573"/>
      <c r="G37" s="2573"/>
      <c r="H37" s="2573"/>
      <c r="I37" s="2573"/>
      <c r="J37" s="2573"/>
    </row>
    <row r="38" spans="1:22" ht="30" customHeight="1">
      <c r="A38" s="2773"/>
      <c r="B38" s="3266"/>
      <c r="C38" s="3267" t="s">
        <v>1433</v>
      </c>
      <c r="D38" s="3268"/>
      <c r="E38" s="3269"/>
      <c r="F38" s="3268"/>
      <c r="G38" s="3270"/>
      <c r="H38" s="3269"/>
      <c r="I38" s="3269"/>
      <c r="J38" s="3271"/>
    </row>
    <row r="39" spans="1:22" ht="30" customHeight="1">
      <c r="B39" s="444"/>
      <c r="F39" s="213"/>
      <c r="G39" s="211"/>
      <c r="H39" s="213"/>
      <c r="I39" s="213"/>
      <c r="J39" s="213"/>
    </row>
    <row r="40" spans="1:22" ht="30" customHeight="1">
      <c r="B40" s="218"/>
      <c r="C40" s="589"/>
      <c r="E40" s="213"/>
      <c r="F40" s="213"/>
      <c r="G40" s="208"/>
      <c r="H40" s="213"/>
      <c r="I40" s="210"/>
      <c r="J40" s="213"/>
    </row>
    <row r="41" spans="1:22" ht="30" customHeight="1">
      <c r="B41" s="218"/>
      <c r="C41" s="589"/>
      <c r="D41" s="213"/>
      <c r="E41" s="213"/>
      <c r="F41" s="213"/>
      <c r="G41" s="208"/>
      <c r="H41" s="213"/>
      <c r="I41" s="210"/>
      <c r="J41" s="210"/>
    </row>
    <row r="42" spans="1:22" ht="30" customHeight="1">
      <c r="B42" s="218"/>
      <c r="C42" s="212"/>
      <c r="D42" s="213"/>
      <c r="E42" s="213"/>
      <c r="F42" s="213"/>
      <c r="G42" s="208"/>
      <c r="H42" s="210"/>
      <c r="I42" s="210"/>
      <c r="J42" s="210"/>
    </row>
    <row r="43" spans="1:22" ht="30" customHeight="1">
      <c r="B43" s="211"/>
      <c r="C43" s="213"/>
      <c r="D43" s="213"/>
      <c r="E43" s="213"/>
      <c r="F43" s="213"/>
      <c r="G43" s="208"/>
      <c r="H43" s="210"/>
      <c r="I43" s="210"/>
      <c r="J43" s="210"/>
    </row>
    <row r="44" spans="1:22" ht="30" customHeight="1">
      <c r="B44" s="211"/>
      <c r="C44" s="213"/>
      <c r="D44" s="213"/>
      <c r="E44" s="213"/>
      <c r="F44" s="210"/>
      <c r="G44" s="208"/>
      <c r="H44" s="210"/>
      <c r="I44" s="210"/>
      <c r="J44" s="210"/>
    </row>
    <row r="45" spans="1:22" ht="24.95" customHeight="1">
      <c r="B45" s="211"/>
      <c r="C45" s="212"/>
      <c r="D45" s="213"/>
      <c r="E45" s="210"/>
      <c r="F45" s="210"/>
      <c r="G45" s="210"/>
      <c r="H45" s="210"/>
      <c r="I45" s="210"/>
      <c r="J45" s="210"/>
    </row>
    <row r="46" spans="1:22" ht="24.95" customHeight="1">
      <c r="B46" s="211"/>
      <c r="C46" s="212"/>
      <c r="D46" s="210"/>
      <c r="E46" s="210"/>
      <c r="F46" s="210"/>
      <c r="G46" s="208"/>
      <c r="H46" s="210"/>
      <c r="I46" s="210"/>
      <c r="J46" s="210"/>
    </row>
    <row r="47" spans="1:22" ht="24.95" customHeight="1">
      <c r="B47" s="211"/>
      <c r="C47" s="209"/>
      <c r="D47" s="210"/>
      <c r="E47" s="210"/>
      <c r="F47" s="210"/>
      <c r="G47" s="208"/>
      <c r="H47" s="210"/>
      <c r="I47" s="210"/>
      <c r="J47" s="210"/>
    </row>
    <row r="48" spans="1:22" ht="24.95" customHeight="1">
      <c r="B48" s="208"/>
      <c r="C48" s="209"/>
      <c r="D48" s="210"/>
      <c r="E48" s="210"/>
      <c r="F48" s="210"/>
      <c r="G48" s="208"/>
      <c r="H48" s="210"/>
      <c r="I48" s="210"/>
      <c r="J48" s="210"/>
    </row>
    <row r="49" spans="2:10" ht="24.95" customHeight="1">
      <c r="B49" s="208"/>
      <c r="C49" s="209"/>
      <c r="D49" s="210"/>
      <c r="E49" s="210"/>
      <c r="F49" s="210"/>
      <c r="G49" s="208"/>
      <c r="H49" s="210"/>
      <c r="I49" s="210"/>
      <c r="J49" s="210"/>
    </row>
    <row r="50" spans="2:10" ht="24.95" customHeight="1">
      <c r="B50" s="208"/>
      <c r="C50" s="209"/>
      <c r="D50" s="210"/>
      <c r="E50" s="210"/>
      <c r="F50" s="210"/>
      <c r="H50" s="210"/>
      <c r="J50" s="210"/>
    </row>
    <row r="51" spans="2:10" ht="24.95" customHeight="1">
      <c r="B51" s="208"/>
      <c r="C51" s="209"/>
      <c r="D51" s="210"/>
      <c r="E51" s="210"/>
      <c r="F51" s="210"/>
      <c r="H51" s="210"/>
    </row>
    <row r="52" spans="2:10" ht="24.95" customHeight="1">
      <c r="B52" s="208"/>
      <c r="C52" s="209"/>
      <c r="D52" s="210"/>
      <c r="E52" s="210"/>
      <c r="F52" s="210"/>
    </row>
    <row r="53" spans="2:10" ht="24.95" customHeight="1">
      <c r="B53" s="208"/>
      <c r="C53" s="210"/>
      <c r="D53" s="210"/>
      <c r="E53" s="210"/>
      <c r="F53" s="210"/>
    </row>
    <row r="54" spans="2:10" ht="24.95" customHeight="1">
      <c r="B54" s="208"/>
      <c r="C54" s="209"/>
      <c r="D54" s="210"/>
      <c r="E54" s="210"/>
    </row>
    <row r="55" spans="2:10" ht="15.75">
      <c r="B55" s="208"/>
      <c r="C55" s="209"/>
      <c r="D55" s="210"/>
    </row>
    <row r="56" spans="2:10" ht="15.75">
      <c r="B56" s="208"/>
      <c r="C56" s="209"/>
    </row>
    <row r="57" spans="2:10" ht="15.75">
      <c r="B57" s="208"/>
    </row>
  </sheetData>
  <mergeCells count="1">
    <mergeCell ref="H1:I2"/>
  </mergeCells>
  <hyperlinks>
    <hyperlink ref="H18" location="'Наценки за габариты'!Print_Area" display="НАЦЕНКИ ЗА ГАБАРИТЫ"/>
    <hyperlink ref="C5" location="'Classic Rimini '!A1" display="Коллекция Сlassic Rimini"/>
    <hyperlink ref="C11" location="Fusion_Plain!Print_Area" display="Коллекция Fusion Plain"/>
    <hyperlink ref="C30" location="Погонаж!A1" display="ПОГОНАЖНЫЕ ИЗДЕЛИЯ"/>
    <hyperlink ref="H7" location="'Перегородки Corsa'!A1" display="Перегородки Corsa"/>
    <hyperlink ref="H8" location="'Перегородки Grazia'!A1" display="Перегородки Grazia"/>
    <hyperlink ref="C34" location="Стык.элементы!A1" display="Стыковочные  элементы"/>
    <hyperlink ref="H22" location="Покрытия_шпон_эмаль!A1" display="Покрытия: ШПОН, ЭМАЛЬ"/>
    <hyperlink ref="H23" location="Покрытия_ПВХ!A1" display="Покрытия: ПВХ"/>
    <hyperlink ref="H19" location="'Прочее наценки'!A1" display="ПРОЧИЕ НАЦЕНКИ"/>
    <hyperlink ref="C22" location="Standart!A1" display="Коллекция Standart"/>
    <hyperlink ref="H12" location="'Стен. панели'!A1" display="Стеновые панели"/>
    <hyperlink ref="C31" location="Погонаж!A1" display="Погонаж (L)"/>
    <hyperlink ref="C35" location="Плинтуса!Print_Area" display="Плинтуса"/>
    <hyperlink ref="C36" location="Рейки!Print_Area" display="Рейки"/>
    <hyperlink ref="H4" location="Порталы!A1" display="ПОРТАЛЫ: КОЛОННЫ И КАРНИЗЫ"/>
    <hyperlink ref="C33" location="'Погонаж для прочих'!Print_Area" display="Погонаж для прочих изделий"/>
    <hyperlink ref="H25" location="'Рекламная продукция'!Print_Area" display="РЕКЛАМНАЯ ПРОДУКЦИЯ"/>
    <hyperlink ref="C18" location="'Provеnce Amelia'!A1" display="Коллекция Provence Amelia"/>
    <hyperlink ref="C19" location="'Provеnce Sienna'!A1" display="Коллекция Provence Sienna"/>
    <hyperlink ref="H9" location="'Алюм. перегородки'!A1" display="Алюминиевые перегородки"/>
    <hyperlink ref="C10" location="Elegance!A1" display="Коллекция Elegance"/>
    <hyperlink ref="H13" location="Фрамуги_накладки!A1" display="Фрамуги и накладки"/>
    <hyperlink ref="C7" location="'E-Classic'!A1" display="Коллекция E-classiс"/>
    <hyperlink ref="C8" location="'Modern Bergamo'!A1" display="Коллекция Modern Bergamo"/>
    <hyperlink ref="C9" location="'Modern Turin'!A1" display="Коллекция Modern Turin"/>
    <hyperlink ref="C12" location="Fusion!A1" display="Коллекция Fusion"/>
    <hyperlink ref="C32" location="Алюм.погонаж!A1" display="Погонаж алюминиевый"/>
    <hyperlink ref="H15" location="'Двери жалюзи'!A1" display="Двери жалюзи"/>
    <hyperlink ref="C25" location="Techno_Vetro!A1" display="Коллекция Techno Vetro"/>
    <hyperlink ref="C26" location="Twist!A1" display="Коллекция Twist"/>
    <hyperlink ref="C27" location="Design!A1" display="Коллекция Design"/>
    <hyperlink ref="C23" location="Techno_Porte!A1" display="Коллекция Techno Porte"/>
    <hyperlink ref="C24" location="Techno_Slot!A1" display="Коллекция Techno Slot"/>
    <hyperlink ref="C6" location="'Classic Rosso'!A1" display="Коллекция Сlassic Rosso"/>
    <hyperlink ref="C15" location="Neoclassic!A1" display="Коллекция Neoclassic"/>
    <hyperlink ref="H14" location="'Двери для обьектов'!R1C1" display="Двери для объектов"/>
    <hyperlink ref="C13" location="Eclectica_Stripe!Print_Area" display="Коллекция Eclectica Stripe"/>
    <hyperlink ref="C14" location="Eclectica_Beluno!Print_Area" display="Коллекция Eclectica Beluno"/>
    <hyperlink ref="C28" location="'Design (Podio Step)'!A1" display="Коллекция Design (Podio, Step)"/>
    <hyperlink ref="Q5" location="'Classic Rimini '!A1" display="Коллекция Сlassic Rimini"/>
    <hyperlink ref="Q14" location="Fusion_Plain!Print_Area" display="Коллекция Fusion Plain"/>
    <hyperlink ref="Q22" location="Standart!A1" display="Коллекция Standart"/>
    <hyperlink ref="Q8" location="'Provеnce Amelia'!A1" display="Коллекция Provence Amelia"/>
    <hyperlink ref="Q19" location="'Provеnce Sienna'!A1" display="Коллекция Provence Sienna"/>
    <hyperlink ref="Q13" location="Elegance!A1" display="Коллекция Elegance"/>
    <hyperlink ref="Q7" location="'E-Classic'!A1" display="Коллекция E-classiс"/>
    <hyperlink ref="Q11" location="'Modern Bergamo'!A1" display="Коллекция Modern Bergamo"/>
    <hyperlink ref="Q12" location="'Modern Turin'!A1" display="Коллекция Modern Turin"/>
    <hyperlink ref="Q15" location="Fusion!A1" display="Коллекция Fusion"/>
    <hyperlink ref="Q25" location="Techno_Vetro!A1" display="Коллекция Techno Vetro"/>
    <hyperlink ref="Q26" location="Twist!A1" display="Коллекция Twist"/>
    <hyperlink ref="Q29" location="Design!A1" display="Коллекция Design"/>
    <hyperlink ref="Q23" location="Techno_Porte!A1" display="Коллекция Techno Porte"/>
    <hyperlink ref="Q24" location="Techno_Slot!A1" display="Коллекция Techno Slot"/>
    <hyperlink ref="Q6" location="'Classic Rosso'!A1" display="Коллекция Сlassic Rosso"/>
    <hyperlink ref="Q18" location="Neoclassic!A1" display="Коллекция Neoclassic"/>
    <hyperlink ref="Q16" location="Eclectica_Stripe!Print_Area" display="Коллекция Eclectica Stripe"/>
    <hyperlink ref="Q17" location="Eclectica_Beluno!Print_Area" display="Коллекция Eclectica Beluno"/>
    <hyperlink ref="Q30" location="'Design (Podio Step)'!A1" display="Коллекция Design (Podio, Step)"/>
    <hyperlink ref="V4" location="'Стен. панели'!A1" display="Стеновые панели"/>
    <hyperlink ref="V5" location="Фрамуги_накладки!A1" display="Фрамуги и накладки"/>
    <hyperlink ref="V6" location="'Двери для обьектов'!R1C1" display="Двери для объектов"/>
    <hyperlink ref="V12" location="'Перегородки Corsa'!A1" display="Перегородки Corsa"/>
    <hyperlink ref="V14" location="'Перегородки Grazia'!A1" display="Перегородки Grazia"/>
    <hyperlink ref="V16" location="'Алюм. перегородки'!A1" display="Алюминиевые перегородки"/>
    <hyperlink ref="V17" location="'Перегородки Corsa'!A1" display="Перегородки Corsa"/>
    <hyperlink ref="V13" location="'Перегородки Corsa'!A1" display="Перегородки Corsa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4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48">
    <tabColor rgb="FF92D050"/>
  </sheetPr>
  <dimension ref="A1:AR69"/>
  <sheetViews>
    <sheetView view="pageBreakPreview" zoomScale="70" zoomScaleNormal="70" zoomScaleSheetLayoutView="70" zoomScalePageLayoutView="70" workbookViewId="0">
      <pane xSplit="6" ySplit="6" topLeftCell="G7" activePane="bottomRight" state="frozen"/>
      <selection pane="topRight" activeCell="G1" sqref="G1"/>
      <selection pane="bottomLeft" activeCell="A12" sqref="A12"/>
      <selection pane="bottomRight" activeCell="B1" sqref="B1"/>
    </sheetView>
  </sheetViews>
  <sheetFormatPr defaultColWidth="8.85546875" defaultRowHeight="18" customHeight="1"/>
  <cols>
    <col min="1" max="1" width="5.7109375" style="589" customWidth="1"/>
    <col min="2" max="3" width="11.7109375" style="589" customWidth="1"/>
    <col min="4" max="4" width="17.7109375" style="589" customWidth="1"/>
    <col min="5" max="5" width="11.7109375" style="589" customWidth="1"/>
    <col min="6" max="6" width="11.7109375" style="2" customWidth="1"/>
    <col min="7" max="12" width="20.7109375" style="589" customWidth="1"/>
    <col min="13" max="13" width="20.7109375" style="589" hidden="1" customWidth="1"/>
    <col min="14" max="14" width="20.7109375" style="589" customWidth="1"/>
    <col min="15" max="17" width="8.85546875" style="589" customWidth="1"/>
    <col min="18" max="16384" width="8.85546875" style="589"/>
  </cols>
  <sheetData>
    <row r="1" spans="1:44" ht="18" customHeight="1">
      <c r="A1" s="865"/>
      <c r="B1" s="2279" t="s">
        <v>490</v>
      </c>
      <c r="C1" s="472"/>
      <c r="D1" s="26"/>
      <c r="E1" s="26"/>
      <c r="F1" s="4"/>
      <c r="G1" s="26"/>
      <c r="H1" s="26"/>
      <c r="I1" s="26"/>
      <c r="J1" s="26"/>
      <c r="K1" s="26"/>
      <c r="L1" s="26"/>
      <c r="M1" s="26"/>
      <c r="N1" s="1181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2"/>
      <c r="AL1" s="242"/>
      <c r="AM1" s="242"/>
      <c r="AN1" s="242"/>
      <c r="AO1" s="242"/>
      <c r="AP1" s="242"/>
      <c r="AQ1" s="242"/>
      <c r="AR1" s="242"/>
    </row>
    <row r="3" spans="1:44" ht="85.5" customHeight="1">
      <c r="A3" s="7"/>
      <c r="B3" s="4197" t="s">
        <v>308</v>
      </c>
      <c r="C3" s="4198"/>
      <c r="D3" s="4199"/>
      <c r="E3" s="4200"/>
      <c r="F3" s="8"/>
      <c r="G3" s="439"/>
      <c r="H3" s="15"/>
      <c r="I3" s="439"/>
      <c r="J3" s="439"/>
      <c r="K3" s="242"/>
      <c r="L3" s="242"/>
      <c r="M3" s="439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  <c r="AK3" s="242"/>
      <c r="AL3" s="242"/>
      <c r="AM3" s="242"/>
      <c r="AN3" s="242"/>
      <c r="AO3" s="242"/>
    </row>
    <row r="4" spans="1:44" ht="18" customHeight="1">
      <c r="A4" s="865"/>
      <c r="B4" s="19" t="s">
        <v>59</v>
      </c>
      <c r="C4" s="19"/>
      <c r="D4" s="865"/>
      <c r="E4" s="865"/>
      <c r="F4" s="6"/>
      <c r="G4" s="865"/>
      <c r="H4" s="3387"/>
      <c r="I4" s="439"/>
      <c r="J4" s="439"/>
      <c r="K4" s="242"/>
      <c r="L4" s="242"/>
      <c r="M4" s="439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2"/>
      <c r="AI4" s="242"/>
      <c r="AJ4" s="242"/>
      <c r="AK4" s="242"/>
      <c r="AL4" s="242"/>
      <c r="AM4" s="242"/>
      <c r="AN4" s="242"/>
      <c r="AO4" s="242"/>
    </row>
    <row r="5" spans="1:44" ht="18" customHeight="1">
      <c r="A5" s="4220" t="s">
        <v>2</v>
      </c>
      <c r="B5" s="4221"/>
      <c r="C5" s="4222"/>
      <c r="D5" s="4201" t="s">
        <v>42</v>
      </c>
      <c r="E5" s="4201" t="s">
        <v>41</v>
      </c>
      <c r="F5" s="4201" t="s">
        <v>54</v>
      </c>
      <c r="G5" s="4292" t="s">
        <v>2374</v>
      </c>
      <c r="H5" s="2379" t="s">
        <v>2372</v>
      </c>
      <c r="I5" s="2379" t="s">
        <v>2373</v>
      </c>
      <c r="J5" s="2379" t="s">
        <v>2521</v>
      </c>
      <c r="K5" s="2379" t="s">
        <v>2522</v>
      </c>
      <c r="L5" s="2379" t="s">
        <v>2398</v>
      </c>
      <c r="M5" s="2379" t="s">
        <v>2448</v>
      </c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</row>
    <row r="6" spans="1:44" ht="43.5" customHeight="1">
      <c r="A6" s="4223"/>
      <c r="B6" s="4224"/>
      <c r="C6" s="4225"/>
      <c r="D6" s="4202"/>
      <c r="E6" s="4202"/>
      <c r="F6" s="4202"/>
      <c r="G6" s="4293"/>
      <c r="H6" s="3296" t="s">
        <v>2889</v>
      </c>
      <c r="I6" s="3296" t="s">
        <v>2890</v>
      </c>
      <c r="J6" s="2380" t="s">
        <v>2375</v>
      </c>
      <c r="K6" s="3296" t="s">
        <v>2891</v>
      </c>
      <c r="L6" s="3296" t="s">
        <v>2890</v>
      </c>
      <c r="M6" s="2380" t="s">
        <v>2449</v>
      </c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</row>
    <row r="7" spans="1:44" ht="24" customHeight="1">
      <c r="A7" s="4234" t="s">
        <v>360</v>
      </c>
      <c r="B7" s="4234"/>
      <c r="C7" s="4235"/>
      <c r="D7" s="4240" t="s">
        <v>35</v>
      </c>
      <c r="E7" s="4240">
        <v>2000</v>
      </c>
      <c r="F7" s="2382" t="s">
        <v>0</v>
      </c>
      <c r="G7" s="1082">
        <f>CEILING('Полотна база'!G51*(1+скидки_наценки!$B$27)*скидки_наценки!$D$10*скидки_наценки!$F$10/скидки_наценки!$B$4, 50)</f>
        <v>13550</v>
      </c>
      <c r="H7" s="1082">
        <f>G7+$G$38+Алюм.погонаж!$E$26</f>
        <v>25550</v>
      </c>
      <c r="I7" s="1082">
        <f>H7+G38</f>
        <v>32550</v>
      </c>
      <c r="J7" s="1082">
        <f>CEILING(G7*1.2, 100)</f>
        <v>16300</v>
      </c>
      <c r="K7" s="1082">
        <f>J7+$G$38+Алюм.погонаж!$E$26</f>
        <v>28300</v>
      </c>
      <c r="L7" s="1082">
        <f>K7+G38</f>
        <v>35300</v>
      </c>
      <c r="M7" s="1082">
        <f>CEILING(G7*1.8, 50)</f>
        <v>24400</v>
      </c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</row>
    <row r="8" spans="1:44" ht="15.75">
      <c r="A8" s="4236"/>
      <c r="B8" s="4236"/>
      <c r="C8" s="4237"/>
      <c r="D8" s="4241"/>
      <c r="E8" s="4241"/>
      <c r="F8" s="2383" t="s">
        <v>2425</v>
      </c>
      <c r="G8" s="373">
        <f>Алюм.погонаж!$E$6</f>
        <v>12500</v>
      </c>
      <c r="H8" s="373">
        <f>Алюм.погонаж!$E$6</f>
        <v>12500</v>
      </c>
      <c r="I8" s="373">
        <f>Алюм.погонаж!$E$6</f>
        <v>12500</v>
      </c>
      <c r="J8" s="373">
        <f>Алюм.погонаж!$E$6</f>
        <v>12500</v>
      </c>
      <c r="K8" s="373">
        <f>Алюм.погонаж!$E$6</f>
        <v>12500</v>
      </c>
      <c r="L8" s="373">
        <f>Алюм.погонаж!$E$6</f>
        <v>12500</v>
      </c>
      <c r="M8" s="373">
        <f>Алюм.погонаж!$E$6</f>
        <v>12500</v>
      </c>
      <c r="N8" s="242"/>
      <c r="O8" s="242"/>
      <c r="P8" s="242"/>
      <c r="Q8" s="242"/>
      <c r="R8" s="242"/>
      <c r="S8" s="242"/>
      <c r="T8" s="242"/>
      <c r="U8" s="242"/>
      <c r="V8" s="242"/>
      <c r="W8" s="242"/>
      <c r="X8" s="242"/>
      <c r="Y8" s="242"/>
      <c r="Z8" s="242"/>
      <c r="AA8" s="242"/>
      <c r="AB8" s="242"/>
      <c r="AC8" s="242"/>
      <c r="AD8" s="242"/>
      <c r="AE8" s="242"/>
      <c r="AF8" s="242"/>
      <c r="AG8" s="242"/>
      <c r="AH8" s="242"/>
      <c r="AI8" s="242"/>
      <c r="AJ8" s="242"/>
      <c r="AK8" s="242"/>
      <c r="AL8" s="242"/>
      <c r="AM8" s="242"/>
      <c r="AN8" s="242"/>
      <c r="AO8" s="242"/>
    </row>
    <row r="9" spans="1:44" ht="31.5" customHeight="1">
      <c r="A9" s="4238"/>
      <c r="B9" s="4238"/>
      <c r="C9" s="4239"/>
      <c r="D9" s="4242"/>
      <c r="E9" s="4242"/>
      <c r="F9" s="2381" t="s">
        <v>1</v>
      </c>
      <c r="G9" s="2391">
        <f t="shared" ref="G9:M9" si="0">G7+G8</f>
        <v>26050</v>
      </c>
      <c r="H9" s="2391">
        <f t="shared" si="0"/>
        <v>38050</v>
      </c>
      <c r="I9" s="2391">
        <f t="shared" si="0"/>
        <v>45050</v>
      </c>
      <c r="J9" s="2391">
        <f t="shared" si="0"/>
        <v>28800</v>
      </c>
      <c r="K9" s="2391">
        <f t="shared" si="0"/>
        <v>40800</v>
      </c>
      <c r="L9" s="2391">
        <f t="shared" si="0"/>
        <v>47800</v>
      </c>
      <c r="M9" s="2391">
        <f t="shared" si="0"/>
        <v>36900</v>
      </c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</row>
    <row r="10" spans="1:44" ht="18" customHeight="1">
      <c r="A10" s="4262" t="s">
        <v>1425</v>
      </c>
      <c r="B10" s="4209" t="s">
        <v>2418</v>
      </c>
      <c r="C10" s="4210"/>
      <c r="D10" s="4203" t="s">
        <v>35</v>
      </c>
      <c r="E10" s="4203" t="s">
        <v>34</v>
      </c>
      <c r="F10" s="132" t="s">
        <v>0</v>
      </c>
      <c r="G10" s="1191">
        <f>CEILING('Полотна база'!G52*(1+скидки_наценки!$B$28)*скидки_наценки!$D$10*скидки_наценки!$F$10/скидки_наценки!$B$4, 50)</f>
        <v>13750</v>
      </c>
      <c r="H10" s="1191">
        <f>G10+$G$38+Алюм.погонаж!$E$26</f>
        <v>25750</v>
      </c>
      <c r="I10" s="1191"/>
      <c r="J10" s="1191">
        <f>CEILING(G10*1.2, 100)</f>
        <v>16500</v>
      </c>
      <c r="K10" s="1191">
        <f>J10+$G$38+Алюм.погонаж!$E$26</f>
        <v>28500</v>
      </c>
      <c r="L10" s="1191"/>
      <c r="M10" s="1082">
        <f>CEILING(G10*1.8, 50)</f>
        <v>24750</v>
      </c>
      <c r="N10" s="242"/>
      <c r="O10" s="242"/>
      <c r="P10" s="242"/>
      <c r="Q10" s="242"/>
      <c r="R10" s="242"/>
      <c r="S10" s="242"/>
      <c r="T10" s="242"/>
      <c r="U10" s="242"/>
      <c r="V10" s="242"/>
      <c r="W10" s="242"/>
      <c r="X10" s="242"/>
      <c r="Y10" s="242"/>
      <c r="Z10" s="242"/>
      <c r="AA10" s="242"/>
      <c r="AB10" s="242"/>
      <c r="AC10" s="242"/>
      <c r="AD10" s="242"/>
      <c r="AE10" s="242"/>
      <c r="AF10" s="242"/>
      <c r="AG10" s="242"/>
      <c r="AH10" s="242"/>
      <c r="AI10" s="242"/>
      <c r="AJ10" s="242"/>
      <c r="AK10" s="242"/>
      <c r="AL10" s="242"/>
      <c r="AM10" s="242"/>
      <c r="AN10" s="242"/>
      <c r="AO10" s="242"/>
    </row>
    <row r="11" spans="1:44" s="865" customFormat="1" ht="18" customHeight="1">
      <c r="A11" s="4263"/>
      <c r="B11" s="4226" t="s">
        <v>2464</v>
      </c>
      <c r="C11" s="4227"/>
      <c r="D11" s="4204"/>
      <c r="E11" s="4204"/>
      <c r="F11" s="307" t="s">
        <v>306</v>
      </c>
      <c r="G11" s="364">
        <f>IF(G10=0,0,(Погонаж!$C$11*2.5+Погонаж!$E$11*5))</f>
        <v>8125</v>
      </c>
      <c r="H11" s="2274">
        <f>G11</f>
        <v>8125</v>
      </c>
      <c r="I11" s="2274"/>
      <c r="J11" s="2607">
        <f>J8</f>
        <v>12500</v>
      </c>
      <c r="K11" s="2607">
        <f>K8</f>
        <v>12500</v>
      </c>
      <c r="L11" s="2274"/>
      <c r="M11" s="2331">
        <f>IF(M10=0,0,(Погонаж!$C$11*2.5+Погонаж!$E$11*5))</f>
        <v>8125</v>
      </c>
      <c r="N11" s="441"/>
      <c r="O11" s="441"/>
      <c r="P11" s="441"/>
      <c r="Q11" s="441"/>
      <c r="R11" s="441"/>
      <c r="S11" s="441"/>
      <c r="T11" s="441"/>
      <c r="U11" s="441"/>
      <c r="V11" s="441"/>
      <c r="W11" s="441"/>
      <c r="X11" s="441"/>
      <c r="Y11" s="441"/>
      <c r="Z11" s="441"/>
      <c r="AA11" s="441"/>
      <c r="AB11" s="441"/>
      <c r="AC11" s="441"/>
      <c r="AD11" s="441"/>
      <c r="AE11" s="441"/>
      <c r="AF11" s="441"/>
      <c r="AG11" s="441"/>
      <c r="AH11" s="441"/>
      <c r="AI11" s="441"/>
      <c r="AJ11" s="441"/>
      <c r="AK11" s="441"/>
      <c r="AL11" s="441"/>
      <c r="AM11" s="441"/>
      <c r="AN11" s="441"/>
      <c r="AO11" s="441"/>
    </row>
    <row r="12" spans="1:44" s="865" customFormat="1" ht="18" customHeight="1">
      <c r="A12" s="4263"/>
      <c r="B12" s="4228"/>
      <c r="C12" s="4229"/>
      <c r="D12" s="4205"/>
      <c r="E12" s="4205"/>
      <c r="F12" s="30" t="s">
        <v>1</v>
      </c>
      <c r="G12" s="379">
        <f>G10+G11</f>
        <v>21875</v>
      </c>
      <c r="H12" s="379">
        <f>H10+H11</f>
        <v>33875</v>
      </c>
      <c r="I12" s="379"/>
      <c r="J12" s="379">
        <f>J10+J11</f>
        <v>29000</v>
      </c>
      <c r="K12" s="379">
        <f>K10+K11</f>
        <v>41000</v>
      </c>
      <c r="L12" s="2275"/>
      <c r="M12" s="379">
        <f>M10+M11</f>
        <v>32875</v>
      </c>
      <c r="N12" s="441"/>
      <c r="O12" s="441"/>
      <c r="P12" s="441"/>
      <c r="Q12" s="441"/>
      <c r="R12" s="441"/>
      <c r="S12" s="441"/>
      <c r="T12" s="441"/>
      <c r="U12" s="441"/>
      <c r="V12" s="441"/>
      <c r="W12" s="441"/>
      <c r="X12" s="441"/>
      <c r="Y12" s="441"/>
      <c r="Z12" s="441"/>
      <c r="AA12" s="441"/>
      <c r="AB12" s="441"/>
      <c r="AC12" s="441"/>
      <c r="AD12" s="441"/>
      <c r="AE12" s="441"/>
      <c r="AF12" s="441"/>
      <c r="AG12" s="441"/>
      <c r="AH12" s="441"/>
      <c r="AI12" s="441"/>
      <c r="AJ12" s="441"/>
      <c r="AK12" s="441"/>
      <c r="AL12" s="441"/>
      <c r="AM12" s="441"/>
      <c r="AN12" s="441"/>
      <c r="AO12" s="441"/>
    </row>
    <row r="13" spans="1:44" ht="18" customHeight="1">
      <c r="A13" s="4263"/>
      <c r="B13" s="4211" t="s">
        <v>2419</v>
      </c>
      <c r="C13" s="4212"/>
      <c r="D13" s="4213" t="s">
        <v>35</v>
      </c>
      <c r="E13" s="4213" t="s">
        <v>34</v>
      </c>
      <c r="F13" s="182" t="s">
        <v>0</v>
      </c>
      <c r="G13" s="691">
        <f>CEILING('Полотна база'!G53*(1+скидки_наценки!$B$28)*скидки_наценки!$D$10*скидки_наценки!$F$10/скидки_наценки!$B$4, 50)</f>
        <v>16250</v>
      </c>
      <c r="H13" s="691">
        <f>G13+$G$38+Алюм.погонаж!$E$26</f>
        <v>28250</v>
      </c>
      <c r="I13" s="691">
        <f>CEILING(I10*1.09, 50)</f>
        <v>0</v>
      </c>
      <c r="J13" s="691">
        <f>CEILING(G13*1.2, 100)</f>
        <v>19500</v>
      </c>
      <c r="K13" s="691">
        <f>J13+$G$38+Алюм.погонаж!$E$26</f>
        <v>31500</v>
      </c>
      <c r="L13" s="691">
        <f>CEILING(L10*1.09, 50)</f>
        <v>0</v>
      </c>
      <c r="M13" s="691">
        <f>CEILING(G13*1.8, 50)</f>
        <v>29250</v>
      </c>
      <c r="N13" s="242"/>
      <c r="O13" s="242"/>
      <c r="P13" s="242"/>
      <c r="Q13" s="242"/>
      <c r="R13" s="242"/>
      <c r="S13" s="242"/>
      <c r="T13" s="242"/>
      <c r="U13" s="242"/>
      <c r="V13" s="242"/>
      <c r="W13" s="242"/>
      <c r="X13" s="242"/>
      <c r="Y13" s="242"/>
      <c r="Z13" s="242"/>
      <c r="AA13" s="242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  <c r="AN13" s="242"/>
      <c r="AO13" s="242"/>
    </row>
    <row r="14" spans="1:44" s="2328" customFormat="1" ht="18" customHeight="1">
      <c r="A14" s="4263"/>
      <c r="B14" s="4216" t="s">
        <v>2481</v>
      </c>
      <c r="C14" s="4217"/>
      <c r="D14" s="4214"/>
      <c r="E14" s="4214"/>
      <c r="F14" s="183" t="s">
        <v>306</v>
      </c>
      <c r="G14" s="373">
        <f>IF(G13=0,0,(Погонаж!$C$12*2.5+Погонаж!$E$12*5))</f>
        <v>9875</v>
      </c>
      <c r="H14" s="373">
        <f>IF(H13=0,0,(Погонаж!$C$12*2.5+Погонаж!$E$12*5))</f>
        <v>9875</v>
      </c>
      <c r="I14" s="373"/>
      <c r="J14" s="2623">
        <f>J8</f>
        <v>12500</v>
      </c>
      <c r="K14" s="2623">
        <f>K8</f>
        <v>12500</v>
      </c>
      <c r="L14" s="373"/>
      <c r="M14" s="373">
        <f>IF(M13=0,0,(Погонаж!$C$11*2.5+Погонаж!$E$11*5))</f>
        <v>8125</v>
      </c>
      <c r="N14" s="441"/>
      <c r="O14" s="441"/>
      <c r="P14" s="441"/>
      <c r="Q14" s="441"/>
      <c r="R14" s="441"/>
      <c r="S14" s="441"/>
      <c r="T14" s="441"/>
      <c r="U14" s="441"/>
      <c r="V14" s="441"/>
      <c r="W14" s="441"/>
      <c r="X14" s="441"/>
      <c r="Y14" s="441"/>
      <c r="Z14" s="441"/>
      <c r="AA14" s="441"/>
      <c r="AB14" s="441"/>
      <c r="AC14" s="441"/>
      <c r="AD14" s="441"/>
      <c r="AE14" s="441"/>
      <c r="AF14" s="441"/>
      <c r="AG14" s="441"/>
      <c r="AH14" s="441"/>
      <c r="AI14" s="441"/>
      <c r="AJ14" s="441"/>
      <c r="AK14" s="441"/>
      <c r="AL14" s="441"/>
      <c r="AM14" s="441"/>
      <c r="AN14" s="441"/>
      <c r="AO14" s="441"/>
    </row>
    <row r="15" spans="1:44" s="2328" customFormat="1" ht="18" customHeight="1">
      <c r="A15" s="4264"/>
      <c r="B15" s="4218"/>
      <c r="C15" s="4219"/>
      <c r="D15" s="4215"/>
      <c r="E15" s="4215"/>
      <c r="F15" s="267" t="s">
        <v>1</v>
      </c>
      <c r="G15" s="598">
        <f>G13+G14</f>
        <v>26125</v>
      </c>
      <c r="H15" s="598">
        <f>H13+H14</f>
        <v>38125</v>
      </c>
      <c r="I15" s="598"/>
      <c r="J15" s="598">
        <f>J13+J14</f>
        <v>32000</v>
      </c>
      <c r="K15" s="598">
        <f>K13+K14</f>
        <v>44000</v>
      </c>
      <c r="L15" s="690"/>
      <c r="M15" s="598">
        <f>M13+M14</f>
        <v>37375</v>
      </c>
      <c r="N15" s="441"/>
      <c r="O15" s="441"/>
      <c r="P15" s="441"/>
      <c r="Q15" s="441"/>
      <c r="R15" s="441"/>
      <c r="S15" s="441"/>
      <c r="T15" s="441"/>
      <c r="U15" s="441"/>
      <c r="V15" s="441"/>
      <c r="W15" s="441"/>
      <c r="X15" s="441"/>
      <c r="Y15" s="441"/>
      <c r="Z15" s="441"/>
      <c r="AA15" s="441"/>
      <c r="AB15" s="441"/>
      <c r="AC15" s="441"/>
      <c r="AD15" s="441"/>
      <c r="AE15" s="441"/>
      <c r="AF15" s="441"/>
      <c r="AG15" s="441"/>
      <c r="AH15" s="441"/>
      <c r="AI15" s="441"/>
      <c r="AJ15" s="441"/>
      <c r="AK15" s="441"/>
      <c r="AL15" s="441"/>
      <c r="AM15" s="441"/>
      <c r="AN15" s="441"/>
      <c r="AO15" s="441"/>
    </row>
    <row r="16" spans="1:44" s="865" customFormat="1" ht="18" customHeight="1">
      <c r="A16" s="4230" t="s">
        <v>30</v>
      </c>
      <c r="B16" s="4265" t="s">
        <v>284</v>
      </c>
      <c r="C16" s="4266"/>
      <c r="D16" s="4233" t="s">
        <v>35</v>
      </c>
      <c r="E16" s="4233" t="s">
        <v>34</v>
      </c>
      <c r="F16" s="132" t="s">
        <v>0</v>
      </c>
      <c r="G16" s="363">
        <f>CEILING('Полотна база'!G54*(1+скидки_наценки!$B$30)*скидки_наценки!$D$13*скидки_наценки!$F$13/скидки_наценки!$B$4, 50)</f>
        <v>21100</v>
      </c>
      <c r="H16" s="1191">
        <f>G16+$G$38+Алюм.погонаж!$E$26</f>
        <v>33100</v>
      </c>
      <c r="I16" s="1191"/>
      <c r="J16" s="1191">
        <f>CEILING(G16*1.2, 100)</f>
        <v>25400</v>
      </c>
      <c r="K16" s="1191">
        <f>J16+$G$38+Алюм.погонаж!$E$26</f>
        <v>37400</v>
      </c>
      <c r="L16" s="1191"/>
      <c r="M16" s="1082">
        <f>CEILING(G16*1.8, 50)</f>
        <v>38000</v>
      </c>
      <c r="N16" s="441"/>
      <c r="O16" s="441"/>
      <c r="P16" s="441"/>
      <c r="Q16" s="441"/>
      <c r="R16" s="441"/>
      <c r="S16" s="441"/>
      <c r="T16" s="441"/>
      <c r="U16" s="441"/>
      <c r="V16" s="441"/>
      <c r="W16" s="441"/>
      <c r="X16" s="441"/>
      <c r="Y16" s="441"/>
      <c r="Z16" s="441"/>
      <c r="AA16" s="441"/>
      <c r="AB16" s="441"/>
      <c r="AC16" s="441"/>
      <c r="AD16" s="441"/>
      <c r="AE16" s="441"/>
      <c r="AF16" s="441"/>
      <c r="AG16" s="441"/>
      <c r="AH16" s="441"/>
      <c r="AI16" s="441"/>
      <c r="AJ16" s="441"/>
      <c r="AK16" s="441"/>
      <c r="AL16" s="441"/>
      <c r="AM16" s="441"/>
      <c r="AN16" s="441"/>
      <c r="AO16" s="441"/>
    </row>
    <row r="17" spans="1:44" s="865" customFormat="1" ht="18" customHeight="1">
      <c r="A17" s="4231"/>
      <c r="B17" s="4267"/>
      <c r="C17" s="4268"/>
      <c r="D17" s="4233"/>
      <c r="E17" s="4233"/>
      <c r="F17" s="307" t="s">
        <v>306</v>
      </c>
      <c r="G17" s="364">
        <f>IF(G16=0,0,(Погонаж!$C$13*2.5+Погонаж!$E$13*5))</f>
        <v>12375</v>
      </c>
      <c r="H17" s="2274">
        <f>G17</f>
        <v>12375</v>
      </c>
      <c r="I17" s="2274"/>
      <c r="J17" s="2181">
        <f>J8</f>
        <v>12500</v>
      </c>
      <c r="K17" s="2274">
        <f>K8</f>
        <v>12500</v>
      </c>
      <c r="L17" s="2274"/>
      <c r="M17" s="2331">
        <f>IF(M16=0,0,(Погонаж!$C$13*2.5+Погонаж!$E$13*5))</f>
        <v>12375</v>
      </c>
      <c r="N17" s="441"/>
      <c r="O17" s="441"/>
      <c r="P17" s="441"/>
      <c r="Q17" s="441"/>
      <c r="R17" s="441"/>
      <c r="S17" s="441"/>
      <c r="T17" s="441"/>
      <c r="U17" s="441"/>
      <c r="V17" s="441"/>
      <c r="W17" s="441"/>
      <c r="X17" s="441"/>
      <c r="Y17" s="441"/>
      <c r="Z17" s="441"/>
      <c r="AA17" s="441"/>
      <c r="AB17" s="441"/>
      <c r="AC17" s="441"/>
      <c r="AD17" s="441"/>
      <c r="AE17" s="441"/>
      <c r="AF17" s="441"/>
      <c r="AG17" s="441"/>
      <c r="AH17" s="441"/>
      <c r="AI17" s="441"/>
      <c r="AJ17" s="441"/>
      <c r="AK17" s="441"/>
      <c r="AL17" s="441"/>
      <c r="AM17" s="441"/>
      <c r="AN17" s="441"/>
      <c r="AO17" s="441"/>
    </row>
    <row r="18" spans="1:44" s="865" customFormat="1" ht="18" customHeight="1">
      <c r="A18" s="4232"/>
      <c r="B18" s="4269"/>
      <c r="C18" s="4270"/>
      <c r="D18" s="4233"/>
      <c r="E18" s="4233"/>
      <c r="F18" s="30" t="s">
        <v>1</v>
      </c>
      <c r="G18" s="379">
        <f>G16+G17</f>
        <v>33475</v>
      </c>
      <c r="H18" s="379">
        <f>H16+H17</f>
        <v>45475</v>
      </c>
      <c r="I18" s="379"/>
      <c r="J18" s="379">
        <f>J16+J17</f>
        <v>37900</v>
      </c>
      <c r="K18" s="379">
        <f>K16+K17</f>
        <v>49900</v>
      </c>
      <c r="L18" s="2275"/>
      <c r="M18" s="379">
        <f>M16+M17</f>
        <v>50375</v>
      </c>
      <c r="N18" s="441"/>
      <c r="O18" s="441"/>
      <c r="P18" s="441"/>
      <c r="Q18" s="441"/>
      <c r="R18" s="441"/>
      <c r="S18" s="441"/>
      <c r="T18" s="441"/>
      <c r="U18" s="441"/>
      <c r="V18" s="441"/>
      <c r="W18" s="441"/>
      <c r="X18" s="441"/>
      <c r="Y18" s="441"/>
      <c r="Z18" s="441"/>
      <c r="AA18" s="441"/>
      <c r="AB18" s="441"/>
      <c r="AC18" s="441"/>
      <c r="AD18" s="441"/>
      <c r="AE18" s="441"/>
      <c r="AF18" s="441"/>
      <c r="AG18" s="441"/>
      <c r="AH18" s="441"/>
      <c r="AI18" s="441"/>
      <c r="AJ18" s="441"/>
      <c r="AK18" s="441"/>
      <c r="AL18" s="441"/>
      <c r="AM18" s="441"/>
      <c r="AN18" s="441"/>
      <c r="AO18" s="441"/>
    </row>
    <row r="19" spans="1:44" s="9" customFormat="1" ht="18" customHeight="1">
      <c r="A19" s="4260" t="s">
        <v>26</v>
      </c>
      <c r="B19" s="4271" t="s">
        <v>2587</v>
      </c>
      <c r="C19" s="4272"/>
      <c r="D19" s="4206" t="s">
        <v>35</v>
      </c>
      <c r="E19" s="4206" t="s">
        <v>34</v>
      </c>
      <c r="F19" s="50" t="s">
        <v>0</v>
      </c>
      <c r="G19" s="691">
        <f>CEILING('Полотна база'!G55*(1+скидки_наценки!$B$29)*скидки_наценки!$D$13*скидки_наценки!$F$13/скидки_наценки!$B$4, 50)</f>
        <v>22200</v>
      </c>
      <c r="H19" s="691">
        <f>G19+$G$38+Алюм.погонаж!$E$26</f>
        <v>34200</v>
      </c>
      <c r="I19" s="691"/>
      <c r="J19" s="691">
        <f>CEILING(G19*1.2, 100)</f>
        <v>26700</v>
      </c>
      <c r="K19" s="691">
        <f>J19+$G$38+Алюм.погонаж!$E$26</f>
        <v>38700</v>
      </c>
      <c r="L19" s="691"/>
      <c r="M19" s="1082">
        <f>CEILING(G19*1.8, 50)</f>
        <v>40000</v>
      </c>
      <c r="N19" s="441"/>
      <c r="O19" s="441"/>
      <c r="P19" s="441"/>
      <c r="Q19" s="441"/>
      <c r="R19" s="441"/>
      <c r="S19" s="441"/>
      <c r="T19" s="441"/>
      <c r="U19" s="441"/>
      <c r="V19" s="441"/>
      <c r="W19" s="441"/>
      <c r="X19" s="441"/>
      <c r="Y19" s="441"/>
      <c r="Z19" s="441"/>
      <c r="AA19" s="441"/>
      <c r="AB19" s="441"/>
      <c r="AC19" s="441"/>
      <c r="AD19" s="441"/>
      <c r="AE19" s="441"/>
      <c r="AF19" s="441"/>
      <c r="AG19" s="441"/>
      <c r="AH19" s="441"/>
      <c r="AI19" s="441"/>
      <c r="AJ19" s="441"/>
      <c r="AK19" s="441"/>
      <c r="AL19" s="441"/>
      <c r="AM19" s="441"/>
      <c r="AN19" s="441"/>
      <c r="AO19" s="441"/>
    </row>
    <row r="20" spans="1:44" s="9" customFormat="1" ht="18" customHeight="1">
      <c r="A20" s="4260"/>
      <c r="B20" s="4273"/>
      <c r="C20" s="4274"/>
      <c r="D20" s="4207"/>
      <c r="E20" s="4207"/>
      <c r="F20" s="303" t="s">
        <v>306</v>
      </c>
      <c r="G20" s="373">
        <f>IF(G19=0,0,(Погонаж!$C$14*2.5+Погонаж!$E$14*5))</f>
        <v>13250</v>
      </c>
      <c r="H20" s="373">
        <f>G20</f>
        <v>13250</v>
      </c>
      <c r="I20" s="373"/>
      <c r="J20" s="2623">
        <f>J8</f>
        <v>12500</v>
      </c>
      <c r="K20" s="2623">
        <f>K8</f>
        <v>12500</v>
      </c>
      <c r="L20" s="373"/>
      <c r="M20" s="373">
        <f>IF(M19=0,0,(Погонаж!$C$14*2.5+Погонаж!$E$14*5))</f>
        <v>13250</v>
      </c>
      <c r="N20" s="441"/>
      <c r="O20" s="441"/>
      <c r="P20" s="441"/>
      <c r="Q20" s="441"/>
      <c r="R20" s="441"/>
      <c r="S20" s="441"/>
      <c r="T20" s="441"/>
      <c r="U20" s="441"/>
      <c r="V20" s="441"/>
      <c r="W20" s="441"/>
      <c r="X20" s="441"/>
      <c r="Y20" s="441"/>
      <c r="Z20" s="441"/>
      <c r="AA20" s="441"/>
      <c r="AB20" s="441"/>
      <c r="AC20" s="441"/>
      <c r="AD20" s="441"/>
      <c r="AE20" s="441"/>
      <c r="AF20" s="441"/>
      <c r="AG20" s="441"/>
      <c r="AH20" s="441"/>
      <c r="AI20" s="441"/>
      <c r="AJ20" s="441"/>
      <c r="AK20" s="441"/>
      <c r="AL20" s="441"/>
      <c r="AM20" s="441"/>
      <c r="AN20" s="441"/>
      <c r="AO20" s="441"/>
    </row>
    <row r="21" spans="1:44" s="9" customFormat="1" ht="18" customHeight="1">
      <c r="A21" s="4260"/>
      <c r="B21" s="4275"/>
      <c r="C21" s="4276"/>
      <c r="D21" s="4208"/>
      <c r="E21" s="4208"/>
      <c r="F21" s="13" t="s">
        <v>1</v>
      </c>
      <c r="G21" s="598">
        <f>G19+G20</f>
        <v>35450</v>
      </c>
      <c r="H21" s="598">
        <f>H19+H20</f>
        <v>47450</v>
      </c>
      <c r="I21" s="598"/>
      <c r="J21" s="598">
        <f>J19+J20</f>
        <v>39200</v>
      </c>
      <c r="K21" s="598">
        <f>K19+K20</f>
        <v>51200</v>
      </c>
      <c r="L21" s="690"/>
      <c r="M21" s="598">
        <f>M19+M20</f>
        <v>53250</v>
      </c>
      <c r="N21" s="441"/>
      <c r="O21" s="441"/>
      <c r="P21" s="441"/>
      <c r="Q21" s="441"/>
      <c r="R21" s="441"/>
      <c r="S21" s="441"/>
      <c r="T21" s="441"/>
      <c r="U21" s="441"/>
      <c r="V21" s="441"/>
      <c r="W21" s="441"/>
      <c r="X21" s="441"/>
      <c r="Y21" s="441"/>
      <c r="Z21" s="441"/>
      <c r="AA21" s="441"/>
      <c r="AB21" s="441"/>
      <c r="AC21" s="441"/>
      <c r="AD21" s="441"/>
      <c r="AE21" s="441"/>
      <c r="AF21" s="441"/>
      <c r="AG21" s="441"/>
      <c r="AH21" s="441"/>
      <c r="AI21" s="441"/>
      <c r="AJ21" s="441"/>
      <c r="AK21" s="441"/>
      <c r="AL21" s="441"/>
      <c r="AM21" s="441"/>
      <c r="AN21" s="441"/>
      <c r="AO21" s="441"/>
    </row>
    <row r="22" spans="1:44" s="9" customFormat="1" ht="18" customHeight="1">
      <c r="A22" s="4260"/>
      <c r="B22" s="4265" t="s">
        <v>2579</v>
      </c>
      <c r="C22" s="4266"/>
      <c r="D22" s="4203" t="s">
        <v>35</v>
      </c>
      <c r="E22" s="4203" t="s">
        <v>34</v>
      </c>
      <c r="F22" s="132" t="s">
        <v>0</v>
      </c>
      <c r="G22" s="1191">
        <f>CEILING('Полотна база'!G56*(1+скидки_наценки!$B$29)*скидки_наценки!$D$13*скидки_наценки!$F$13/скидки_наценки!$B$4, 50)</f>
        <v>23850</v>
      </c>
      <c r="H22" s="1191">
        <f>G22+$G$38+Алюм.погонаж!$E$26</f>
        <v>35850</v>
      </c>
      <c r="I22" s="1191"/>
      <c r="J22" s="1191">
        <f>CEILING(G22*1.2, 100)</f>
        <v>28700</v>
      </c>
      <c r="K22" s="1191">
        <f>J22+$G$38+Алюм.погонаж!$E$26</f>
        <v>40700</v>
      </c>
      <c r="L22" s="1191"/>
      <c r="M22" s="1082">
        <f>CEILING(G22*1.8, 50)</f>
        <v>42950</v>
      </c>
      <c r="N22" s="441"/>
      <c r="O22" s="441"/>
      <c r="P22" s="441"/>
      <c r="Q22" s="441"/>
      <c r="R22" s="441"/>
      <c r="S22" s="441"/>
      <c r="T22" s="441"/>
      <c r="U22" s="441"/>
      <c r="V22" s="441"/>
      <c r="W22" s="441"/>
      <c r="X22" s="441"/>
      <c r="Y22" s="441"/>
      <c r="Z22" s="441"/>
      <c r="AA22" s="441"/>
      <c r="AB22" s="441"/>
      <c r="AC22" s="441"/>
      <c r="AD22" s="441"/>
      <c r="AE22" s="441"/>
      <c r="AF22" s="441"/>
      <c r="AG22" s="441"/>
      <c r="AH22" s="441"/>
      <c r="AI22" s="441"/>
      <c r="AJ22" s="441"/>
      <c r="AK22" s="441"/>
      <c r="AL22" s="441"/>
      <c r="AM22" s="441"/>
      <c r="AN22" s="441"/>
      <c r="AO22" s="441"/>
    </row>
    <row r="23" spans="1:44" s="9" customFormat="1" ht="18" customHeight="1">
      <c r="A23" s="4260"/>
      <c r="B23" s="4267"/>
      <c r="C23" s="4268"/>
      <c r="D23" s="4204"/>
      <c r="E23" s="4204"/>
      <c r="F23" s="307" t="s">
        <v>306</v>
      </c>
      <c r="G23" s="2331">
        <f>IF(G22=0,0,(Погонаж!$C$15*2.5+Погонаж!$E$15*5))</f>
        <v>14375</v>
      </c>
      <c r="H23" s="2331">
        <f>G23</f>
        <v>14375</v>
      </c>
      <c r="I23" s="2331"/>
      <c r="J23" s="2607">
        <f>J8</f>
        <v>12500</v>
      </c>
      <c r="K23" s="2607">
        <f>K8</f>
        <v>12500</v>
      </c>
      <c r="L23" s="2331"/>
      <c r="M23" s="373">
        <f>IF(M22=0,0,(Погонаж!$C$15*2.5+Погонаж!$E$15*5))</f>
        <v>14375</v>
      </c>
      <c r="N23" s="441"/>
      <c r="O23" s="441"/>
      <c r="P23" s="441"/>
      <c r="Q23" s="441"/>
      <c r="R23" s="441"/>
      <c r="S23" s="441"/>
      <c r="T23" s="441"/>
      <c r="U23" s="441"/>
      <c r="V23" s="441"/>
      <c r="W23" s="441"/>
      <c r="X23" s="441"/>
      <c r="Y23" s="441"/>
      <c r="Z23" s="441"/>
      <c r="AA23" s="441"/>
      <c r="AB23" s="441"/>
      <c r="AC23" s="441"/>
      <c r="AD23" s="441"/>
      <c r="AE23" s="441"/>
      <c r="AF23" s="441"/>
      <c r="AG23" s="441"/>
      <c r="AH23" s="441"/>
      <c r="AI23" s="441"/>
      <c r="AJ23" s="441"/>
      <c r="AK23" s="441"/>
      <c r="AL23" s="441"/>
      <c r="AM23" s="441"/>
      <c r="AN23" s="441"/>
      <c r="AO23" s="441"/>
    </row>
    <row r="24" spans="1:44" s="9" customFormat="1" ht="18" customHeight="1">
      <c r="A24" s="4260"/>
      <c r="B24" s="4269"/>
      <c r="C24" s="4270"/>
      <c r="D24" s="4205"/>
      <c r="E24" s="4205"/>
      <c r="F24" s="30" t="s">
        <v>1</v>
      </c>
      <c r="G24" s="379">
        <f>G22+G23</f>
        <v>38225</v>
      </c>
      <c r="H24" s="379">
        <f>H22+H23</f>
        <v>50225</v>
      </c>
      <c r="I24" s="379"/>
      <c r="J24" s="379">
        <f>J22+J23</f>
        <v>41200</v>
      </c>
      <c r="K24" s="379">
        <f>K22+K23</f>
        <v>53200</v>
      </c>
      <c r="L24" s="2332"/>
      <c r="M24" s="598">
        <f>M22+M23</f>
        <v>57325</v>
      </c>
      <c r="N24" s="441"/>
      <c r="O24" s="441"/>
      <c r="P24" s="441"/>
      <c r="Q24" s="441"/>
      <c r="R24" s="441"/>
      <c r="S24" s="441"/>
      <c r="T24" s="441"/>
      <c r="U24" s="441"/>
      <c r="V24" s="441"/>
      <c r="W24" s="441"/>
      <c r="X24" s="441"/>
      <c r="Y24" s="441"/>
      <c r="Z24" s="441"/>
      <c r="AA24" s="441"/>
      <c r="AB24" s="441"/>
      <c r="AC24" s="441"/>
      <c r="AD24" s="441"/>
      <c r="AE24" s="441"/>
      <c r="AF24" s="441"/>
      <c r="AG24" s="441"/>
      <c r="AH24" s="441"/>
      <c r="AI24" s="441"/>
      <c r="AJ24" s="441"/>
      <c r="AK24" s="441"/>
      <c r="AL24" s="441"/>
      <c r="AM24" s="441"/>
      <c r="AN24" s="441"/>
      <c r="AO24" s="441"/>
    </row>
    <row r="25" spans="1:44" s="9" customFormat="1" ht="18" customHeight="1">
      <c r="A25" s="4261"/>
      <c r="B25" s="4271" t="s">
        <v>3380</v>
      </c>
      <c r="C25" s="4272"/>
      <c r="D25" s="4213" t="s">
        <v>35</v>
      </c>
      <c r="E25" s="4213" t="s">
        <v>34</v>
      </c>
      <c r="F25" s="182" t="s">
        <v>0</v>
      </c>
      <c r="G25" s="691">
        <f>CEILING('Полотна база'!G57*(1+скидки_наценки!$B$29)*скидки_наценки!$D$13*скидки_наценки!$F$13/скидки_наценки!$B$4, 50)</f>
        <v>24900</v>
      </c>
      <c r="H25" s="691">
        <f>G25+$G$38+Алюм.погонаж!$E$26</f>
        <v>36900</v>
      </c>
      <c r="I25" s="691"/>
      <c r="J25" s="691">
        <f>CEILING(G25*1.2, 100)</f>
        <v>29900</v>
      </c>
      <c r="K25" s="691">
        <f>J25+$G$38+Алюм.погонаж!$E$26</f>
        <v>41900</v>
      </c>
      <c r="L25" s="691"/>
      <c r="M25" s="2391"/>
      <c r="N25" s="441"/>
      <c r="O25" s="441"/>
      <c r="P25" s="441"/>
      <c r="Q25" s="441"/>
      <c r="R25" s="441"/>
      <c r="S25" s="441"/>
      <c r="T25" s="441"/>
      <c r="U25" s="441"/>
      <c r="V25" s="441"/>
      <c r="W25" s="441"/>
      <c r="X25" s="441"/>
      <c r="Y25" s="441"/>
      <c r="Z25" s="441"/>
      <c r="AA25" s="441"/>
      <c r="AB25" s="441"/>
      <c r="AC25" s="441"/>
      <c r="AD25" s="441"/>
      <c r="AE25" s="441"/>
      <c r="AF25" s="441"/>
      <c r="AG25" s="441"/>
      <c r="AH25" s="441"/>
      <c r="AI25" s="441"/>
      <c r="AJ25" s="441"/>
      <c r="AK25" s="441"/>
      <c r="AL25" s="441"/>
      <c r="AM25" s="441"/>
      <c r="AN25" s="441"/>
      <c r="AO25" s="441"/>
    </row>
    <row r="26" spans="1:44" s="9" customFormat="1" ht="18" customHeight="1">
      <c r="A26" s="4261"/>
      <c r="B26" s="4273"/>
      <c r="C26" s="4274"/>
      <c r="D26" s="4214"/>
      <c r="E26" s="4214"/>
      <c r="F26" s="2735" t="s">
        <v>306</v>
      </c>
      <c r="G26" s="3914">
        <f>IF(G25=0,0,(Погонаж!C16*2.5+Погонаж!E16*5))</f>
        <v>14750</v>
      </c>
      <c r="H26" s="3914">
        <f>G26</f>
        <v>14750</v>
      </c>
      <c r="I26" s="3914"/>
      <c r="J26" s="2623">
        <f>J11</f>
        <v>12500</v>
      </c>
      <c r="K26" s="2623">
        <f>K11</f>
        <v>12500</v>
      </c>
      <c r="L26" s="3914"/>
      <c r="M26" s="2391"/>
      <c r="N26" s="441"/>
      <c r="O26" s="441"/>
      <c r="P26" s="441"/>
      <c r="Q26" s="441"/>
      <c r="R26" s="441"/>
      <c r="S26" s="441"/>
      <c r="T26" s="441"/>
      <c r="U26" s="441"/>
      <c r="V26" s="441"/>
      <c r="W26" s="441"/>
      <c r="X26" s="441"/>
      <c r="Y26" s="441"/>
      <c r="Z26" s="441"/>
      <c r="AA26" s="441"/>
      <c r="AB26" s="441"/>
      <c r="AC26" s="441"/>
      <c r="AD26" s="441"/>
      <c r="AE26" s="441"/>
      <c r="AF26" s="441"/>
      <c r="AG26" s="441"/>
      <c r="AH26" s="441"/>
      <c r="AI26" s="441"/>
      <c r="AJ26" s="441"/>
      <c r="AK26" s="441"/>
      <c r="AL26" s="441"/>
      <c r="AM26" s="441"/>
      <c r="AN26" s="441"/>
      <c r="AO26" s="441"/>
    </row>
    <row r="27" spans="1:44" s="9" customFormat="1" ht="18" customHeight="1">
      <c r="A27" s="4261"/>
      <c r="B27" s="4275"/>
      <c r="C27" s="4276"/>
      <c r="D27" s="4215"/>
      <c r="E27" s="4215"/>
      <c r="F27" s="267" t="s">
        <v>1</v>
      </c>
      <c r="G27" s="598">
        <f>G25+G26</f>
        <v>39650</v>
      </c>
      <c r="H27" s="598">
        <f>H25+H26</f>
        <v>51650</v>
      </c>
      <c r="I27" s="598"/>
      <c r="J27" s="598">
        <f>J25+J26</f>
        <v>42400</v>
      </c>
      <c r="K27" s="598">
        <f>K25+K26</f>
        <v>54400</v>
      </c>
      <c r="L27" s="690"/>
      <c r="M27" s="2391"/>
      <c r="N27" s="441"/>
      <c r="O27" s="441"/>
      <c r="P27" s="441"/>
      <c r="Q27" s="441"/>
      <c r="R27" s="441"/>
      <c r="S27" s="441"/>
      <c r="T27" s="441"/>
      <c r="U27" s="441"/>
      <c r="V27" s="441"/>
      <c r="W27" s="441"/>
      <c r="X27" s="441"/>
      <c r="Y27" s="441"/>
      <c r="Z27" s="441"/>
      <c r="AA27" s="441"/>
      <c r="AB27" s="441"/>
      <c r="AC27" s="441"/>
      <c r="AD27" s="441"/>
      <c r="AE27" s="441"/>
      <c r="AF27" s="441"/>
      <c r="AG27" s="441"/>
      <c r="AH27" s="441"/>
      <c r="AI27" s="441"/>
      <c r="AJ27" s="441"/>
      <c r="AK27" s="441"/>
      <c r="AL27" s="441"/>
      <c r="AM27" s="441"/>
      <c r="AN27" s="441"/>
      <c r="AO27" s="441"/>
    </row>
    <row r="28" spans="1:44" s="443" customFormat="1" ht="18" customHeight="1">
      <c r="A28" s="4260"/>
      <c r="B28" s="4265" t="s">
        <v>2588</v>
      </c>
      <c r="C28" s="4266"/>
      <c r="D28" s="4203" t="s">
        <v>35</v>
      </c>
      <c r="E28" s="4203" t="s">
        <v>34</v>
      </c>
      <c r="F28" s="132" t="s">
        <v>0</v>
      </c>
      <c r="G28" s="1191">
        <f>CEILING('Полотна база'!G58*(1+скидки_наценки!$B$29)*скидки_наценки!$D$13*скидки_наценки!$F$13/скидки_наценки!$B$4, 50)</f>
        <v>26000</v>
      </c>
      <c r="H28" s="1191">
        <f>G28+$G$38+Алюм.погонаж!$E$26</f>
        <v>38000</v>
      </c>
      <c r="I28" s="1191"/>
      <c r="J28" s="3985">
        <f>CEILING(G28*1.2, 100)</f>
        <v>31200</v>
      </c>
      <c r="K28" s="1191">
        <f>J28+$G$38+Алюм.погонаж!$E$26</f>
        <v>43200</v>
      </c>
      <c r="L28" s="1191"/>
      <c r="M28" s="1082">
        <f>CEILING(G28*1.8, 50)</f>
        <v>46800</v>
      </c>
      <c r="N28" s="596"/>
      <c r="O28" s="596"/>
      <c r="P28" s="596"/>
      <c r="Q28" s="596"/>
      <c r="R28" s="596"/>
      <c r="S28" s="596"/>
      <c r="T28" s="596"/>
      <c r="U28" s="596"/>
      <c r="V28" s="596"/>
      <c r="W28" s="596"/>
      <c r="X28" s="596"/>
      <c r="Y28" s="596"/>
      <c r="Z28" s="596"/>
      <c r="AA28" s="596"/>
      <c r="AB28" s="596"/>
      <c r="AC28" s="596"/>
      <c r="AD28" s="596"/>
      <c r="AE28" s="596"/>
      <c r="AF28" s="596"/>
      <c r="AG28" s="596"/>
      <c r="AH28" s="596"/>
      <c r="AI28" s="596"/>
      <c r="AJ28" s="596"/>
      <c r="AK28" s="596"/>
      <c r="AL28" s="596"/>
      <c r="AM28" s="596"/>
      <c r="AN28" s="596"/>
      <c r="AO28" s="596"/>
    </row>
    <row r="29" spans="1:44" s="443" customFormat="1" ht="18" customHeight="1">
      <c r="A29" s="4260"/>
      <c r="B29" s="4267"/>
      <c r="C29" s="4268"/>
      <c r="D29" s="4204"/>
      <c r="E29" s="4204"/>
      <c r="F29" s="307" t="s">
        <v>306</v>
      </c>
      <c r="G29" s="2331">
        <f>IF(G28=0,0,(Погонаж!$C$17*2.5+Погонаж!$E$17*5))</f>
        <v>15250</v>
      </c>
      <c r="H29" s="2331">
        <f>IF(H28=0,0,(Погонаж!$C$17*2.5+Погонаж!$E$17*5))</f>
        <v>15250</v>
      </c>
      <c r="I29" s="2331"/>
      <c r="J29" s="2607">
        <f>J8</f>
        <v>12500</v>
      </c>
      <c r="K29" s="2607">
        <f>K8</f>
        <v>12500</v>
      </c>
      <c r="L29" s="2331"/>
      <c r="M29" s="2331">
        <f>CEILING(M23*1.15, 50)</f>
        <v>16550</v>
      </c>
      <c r="N29" s="596"/>
      <c r="O29" s="596"/>
      <c r="P29" s="596"/>
      <c r="Q29" s="596"/>
      <c r="R29" s="596"/>
      <c r="S29" s="596"/>
      <c r="T29" s="596"/>
      <c r="U29" s="596"/>
      <c r="V29" s="596"/>
      <c r="W29" s="596"/>
      <c r="X29" s="596"/>
      <c r="Y29" s="596"/>
      <c r="Z29" s="596"/>
      <c r="AA29" s="596"/>
      <c r="AB29" s="596"/>
      <c r="AC29" s="596"/>
      <c r="AD29" s="596"/>
      <c r="AE29" s="596"/>
      <c r="AF29" s="596"/>
      <c r="AG29" s="596"/>
      <c r="AH29" s="596"/>
      <c r="AI29" s="596"/>
      <c r="AJ29" s="596"/>
      <c r="AK29" s="596"/>
      <c r="AL29" s="596"/>
      <c r="AM29" s="596"/>
      <c r="AN29" s="596"/>
      <c r="AO29" s="596"/>
    </row>
    <row r="30" spans="1:44" s="443" customFormat="1" ht="18" customHeight="1">
      <c r="A30" s="4260"/>
      <c r="B30" s="4269"/>
      <c r="C30" s="4270"/>
      <c r="D30" s="4205"/>
      <c r="E30" s="4205"/>
      <c r="F30" s="30" t="s">
        <v>1</v>
      </c>
      <c r="G30" s="379">
        <f>G28+G29</f>
        <v>41250</v>
      </c>
      <c r="H30" s="379">
        <f>H28+H29</f>
        <v>53250</v>
      </c>
      <c r="I30" s="379"/>
      <c r="J30" s="379">
        <f>J28+J29</f>
        <v>43700</v>
      </c>
      <c r="K30" s="379">
        <f>K28+K29</f>
        <v>55700</v>
      </c>
      <c r="L30" s="2332"/>
      <c r="M30" s="379">
        <f>M28+M29</f>
        <v>63350</v>
      </c>
      <c r="N30" s="596"/>
      <c r="O30" s="596"/>
      <c r="P30" s="596"/>
      <c r="Q30" s="596"/>
      <c r="R30" s="596"/>
      <c r="S30" s="596"/>
      <c r="T30" s="596"/>
      <c r="U30" s="596"/>
      <c r="V30" s="596"/>
      <c r="W30" s="596"/>
      <c r="X30" s="596"/>
      <c r="Y30" s="596"/>
      <c r="Z30" s="596"/>
      <c r="AA30" s="596"/>
      <c r="AB30" s="596"/>
      <c r="AC30" s="596"/>
      <c r="AD30" s="596"/>
      <c r="AE30" s="596"/>
      <c r="AF30" s="596"/>
      <c r="AG30" s="596"/>
      <c r="AH30" s="596"/>
      <c r="AI30" s="596"/>
      <c r="AJ30" s="596"/>
      <c r="AK30" s="596"/>
      <c r="AL30" s="596"/>
      <c r="AM30" s="596"/>
      <c r="AN30" s="596"/>
      <c r="AO30" s="596"/>
    </row>
    <row r="31" spans="1:44" ht="18" customHeight="1">
      <c r="C31" s="1020"/>
      <c r="D31" s="1020"/>
      <c r="E31" s="1020"/>
      <c r="F31" s="1020"/>
      <c r="G31" s="1020"/>
      <c r="H31" s="1020"/>
      <c r="I31" s="1020"/>
      <c r="J31" s="61" t="s">
        <v>2523</v>
      </c>
      <c r="K31" s="1020"/>
      <c r="L31" s="1020"/>
      <c r="M31" s="1020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</row>
    <row r="32" spans="1:44" s="11" customFormat="1" ht="18" customHeight="1">
      <c r="B32" s="60" t="s">
        <v>20</v>
      </c>
      <c r="C32" s="60"/>
      <c r="H32" s="2644"/>
      <c r="I32" s="61"/>
      <c r="J32" s="62"/>
      <c r="K32" s="2606"/>
      <c r="L32" s="589"/>
      <c r="M32" s="62"/>
      <c r="N32" s="242"/>
      <c r="O32" s="387"/>
      <c r="P32" s="387"/>
      <c r="Q32" s="387"/>
      <c r="R32" s="387"/>
      <c r="S32" s="387"/>
      <c r="T32" s="387"/>
      <c r="U32" s="387"/>
      <c r="V32" s="387"/>
      <c r="W32" s="387"/>
      <c r="X32" s="387"/>
      <c r="Y32" s="387"/>
      <c r="Z32" s="387"/>
      <c r="AA32" s="387"/>
      <c r="AB32" s="387"/>
      <c r="AC32" s="387"/>
      <c r="AD32" s="387"/>
      <c r="AE32" s="387"/>
      <c r="AF32" s="387"/>
      <c r="AG32" s="387"/>
      <c r="AH32" s="387"/>
      <c r="AI32" s="387"/>
      <c r="AJ32" s="387"/>
      <c r="AK32" s="387"/>
      <c r="AL32" s="387"/>
      <c r="AM32" s="387"/>
      <c r="AN32" s="387"/>
      <c r="AO32" s="387"/>
      <c r="AP32" s="387"/>
      <c r="AQ32" s="387"/>
      <c r="AR32" s="387"/>
    </row>
    <row r="33" spans="1:40" s="11" customFormat="1" ht="18" customHeight="1">
      <c r="A33" s="4220" t="s">
        <v>3</v>
      </c>
      <c r="B33" s="4221"/>
      <c r="C33" s="4221"/>
      <c r="D33" s="4221"/>
      <c r="E33" s="4221"/>
      <c r="F33" s="4222"/>
      <c r="G33" s="2386" t="str">
        <f t="shared" ref="G33:L33" si="1">G5</f>
        <v>Porte39 -00
(Porte01 )</v>
      </c>
      <c r="H33" s="2379" t="str">
        <f t="shared" si="1"/>
        <v>Porte39-01</v>
      </c>
      <c r="I33" s="2379" t="str">
        <f t="shared" si="1"/>
        <v>Porte39-11</v>
      </c>
      <c r="J33" s="2379" t="str">
        <f t="shared" si="1"/>
        <v>Porte52-00*</v>
      </c>
      <c r="K33" s="2379" t="str">
        <f t="shared" si="1"/>
        <v>Porte52-01*</v>
      </c>
      <c r="L33" s="2379" t="str">
        <f t="shared" si="1"/>
        <v>Porte52-11</v>
      </c>
      <c r="M33" s="2379" t="str">
        <f>M5</f>
        <v>Porte66-00</v>
      </c>
      <c r="N33" s="2961"/>
      <c r="O33" s="387"/>
      <c r="P33" s="387"/>
      <c r="Q33" s="387"/>
      <c r="R33" s="387"/>
      <c r="S33" s="387"/>
      <c r="T33" s="387"/>
      <c r="U33" s="387"/>
      <c r="V33" s="387"/>
      <c r="W33" s="387"/>
      <c r="X33" s="387"/>
      <c r="Y33" s="387"/>
      <c r="Z33" s="387"/>
      <c r="AA33" s="387"/>
      <c r="AB33" s="387"/>
      <c r="AC33" s="387"/>
      <c r="AD33" s="387"/>
      <c r="AE33" s="387"/>
      <c r="AF33" s="387"/>
      <c r="AG33" s="387"/>
      <c r="AH33" s="387"/>
      <c r="AI33" s="387"/>
      <c r="AJ33" s="387"/>
      <c r="AK33" s="387"/>
      <c r="AL33" s="387"/>
      <c r="AM33" s="387"/>
      <c r="AN33" s="387"/>
    </row>
    <row r="34" spans="1:40" s="63" customFormat="1" ht="18" customHeight="1">
      <c r="A34" s="866" t="s">
        <v>51</v>
      </c>
      <c r="B34" s="624"/>
      <c r="C34" s="1081"/>
      <c r="D34" s="624"/>
      <c r="E34" s="624"/>
      <c r="F34" s="624"/>
      <c r="G34" s="624"/>
      <c r="H34" s="624"/>
      <c r="I34" s="624"/>
      <c r="J34" s="624"/>
      <c r="K34" s="624"/>
      <c r="L34" s="624"/>
      <c r="M34" s="624"/>
      <c r="N34" s="2961"/>
      <c r="O34" s="387"/>
      <c r="P34" s="387"/>
      <c r="Q34" s="387"/>
      <c r="R34" s="3043"/>
      <c r="S34" s="387"/>
      <c r="T34" s="387"/>
      <c r="U34" s="387"/>
      <c r="V34" s="387"/>
      <c r="W34" s="387"/>
      <c r="X34" s="387"/>
      <c r="Y34" s="387"/>
      <c r="Z34" s="387"/>
      <c r="AA34" s="387"/>
      <c r="AB34" s="387"/>
      <c r="AC34" s="387"/>
      <c r="AD34" s="387"/>
      <c r="AE34" s="387"/>
      <c r="AF34" s="387"/>
      <c r="AG34" s="387"/>
      <c r="AH34" s="387"/>
      <c r="AI34" s="387"/>
      <c r="AJ34" s="387"/>
      <c r="AK34" s="387"/>
      <c r="AL34" s="387"/>
      <c r="AM34" s="387"/>
      <c r="AN34" s="387"/>
    </row>
    <row r="35" spans="1:40" s="64" customFormat="1" ht="24.75" customHeight="1">
      <c r="A35" s="4250" t="s">
        <v>77</v>
      </c>
      <c r="B35" s="4244"/>
      <c r="C35" s="4249" t="s">
        <v>2826</v>
      </c>
      <c r="D35" s="4249"/>
      <c r="E35" s="4255" t="s">
        <v>1296</v>
      </c>
      <c r="F35" s="4255"/>
      <c r="G35" s="3151">
        <f>CEILING('стекло+зеркала_база'!P5*(1+скидки_наценки!$B$32)*скидки_наценки!$D$13*скидки_наценки!$F$13/скидки_наценки!$B$4, 50)</f>
        <v>7000</v>
      </c>
      <c r="H35" s="2276" t="s">
        <v>2435</v>
      </c>
      <c r="I35" s="2276" t="s">
        <v>2435</v>
      </c>
      <c r="J35" s="2276"/>
      <c r="K35" s="2276" t="s">
        <v>2435</v>
      </c>
      <c r="L35" s="2276" t="str">
        <f>I35</f>
        <v>˅</v>
      </c>
      <c r="M35" s="2276"/>
      <c r="N35" s="605"/>
      <c r="O35" s="242"/>
      <c r="P35" s="242"/>
      <c r="Q35" s="3034"/>
      <c r="R35" s="242"/>
      <c r="S35" s="242"/>
      <c r="T35" s="242"/>
      <c r="U35" s="242"/>
      <c r="V35" s="242"/>
      <c r="W35" s="242"/>
      <c r="X35" s="242"/>
      <c r="Y35" s="242"/>
      <c r="Z35" s="242"/>
      <c r="AA35" s="242"/>
      <c r="AB35" s="242"/>
      <c r="AC35" s="242"/>
      <c r="AD35" s="242"/>
      <c r="AE35" s="242"/>
      <c r="AF35" s="242"/>
      <c r="AG35" s="242"/>
      <c r="AH35" s="242"/>
      <c r="AI35" s="242"/>
      <c r="AJ35" s="242"/>
      <c r="AK35" s="242"/>
      <c r="AL35" s="242"/>
      <c r="AM35" s="242"/>
      <c r="AN35" s="242"/>
    </row>
    <row r="36" spans="1:40" s="64" customFormat="1" ht="25.5" customHeight="1">
      <c r="A36" s="4251"/>
      <c r="B36" s="4252"/>
      <c r="C36" s="4249"/>
      <c r="D36" s="4249"/>
      <c r="E36" s="4253" t="s">
        <v>1373</v>
      </c>
      <c r="F36" s="4254"/>
      <c r="G36" s="3032">
        <f>CEILING('стекло+зеркала_база'!AD5*(1+скидки_наценки!$B$32)*скидки_наценки!$D$13*скидки_наценки!$F$13/скидки_наценки!$B$4,50)</f>
        <v>8400</v>
      </c>
      <c r="H36" s="3033">
        <f>G36-G38</f>
        <v>1400</v>
      </c>
      <c r="I36" s="3033">
        <f>H36*2</f>
        <v>2800</v>
      </c>
      <c r="J36" s="3033"/>
      <c r="K36" s="3033">
        <f>H36</f>
        <v>1400</v>
      </c>
      <c r="L36" s="3033">
        <f>I36</f>
        <v>2800</v>
      </c>
      <c r="M36" s="1066"/>
      <c r="N36" s="242"/>
      <c r="O36" s="242"/>
      <c r="P36" s="242"/>
      <c r="Q36" s="242"/>
      <c r="R36" s="242"/>
      <c r="S36" s="242"/>
      <c r="T36" s="242"/>
      <c r="U36" s="242"/>
      <c r="V36" s="242"/>
      <c r="W36" s="242"/>
      <c r="X36" s="242"/>
      <c r="Y36" s="242"/>
      <c r="Z36" s="242"/>
      <c r="AA36" s="242"/>
      <c r="AB36" s="242"/>
      <c r="AC36" s="242"/>
      <c r="AD36" s="242"/>
      <c r="AE36" s="242"/>
      <c r="AF36" s="242"/>
      <c r="AG36" s="242"/>
      <c r="AH36" s="242"/>
      <c r="AI36" s="242"/>
      <c r="AJ36" s="242"/>
      <c r="AK36" s="242"/>
      <c r="AL36" s="242"/>
      <c r="AM36" s="242"/>
      <c r="AN36" s="242"/>
    </row>
    <row r="37" spans="1:40" s="63" customFormat="1" ht="18" customHeight="1">
      <c r="A37" s="866" t="s">
        <v>52</v>
      </c>
      <c r="B37" s="867"/>
      <c r="C37" s="1109"/>
      <c r="D37" s="867"/>
      <c r="E37" s="867"/>
      <c r="F37" s="867"/>
      <c r="G37" s="2924"/>
      <c r="H37" s="867"/>
      <c r="I37" s="867"/>
      <c r="J37" s="867"/>
      <c r="K37" s="867"/>
      <c r="L37" s="867"/>
      <c r="M37" s="867"/>
      <c r="N37" s="387"/>
      <c r="O37" s="387"/>
      <c r="P37" s="387"/>
      <c r="Q37" s="387"/>
      <c r="R37" s="387"/>
      <c r="S37" s="387"/>
      <c r="T37" s="387"/>
      <c r="U37" s="387"/>
      <c r="V37" s="387"/>
      <c r="W37" s="387"/>
      <c r="X37" s="387"/>
      <c r="Y37" s="387"/>
      <c r="Z37" s="387"/>
      <c r="AA37" s="387"/>
      <c r="AB37" s="387"/>
      <c r="AC37" s="387"/>
      <c r="AD37" s="387"/>
      <c r="AE37" s="387"/>
      <c r="AF37" s="387"/>
      <c r="AG37" s="387"/>
      <c r="AH37" s="387"/>
      <c r="AI37" s="387"/>
      <c r="AJ37" s="387"/>
      <c r="AK37" s="387"/>
      <c r="AL37" s="387"/>
      <c r="AM37" s="387"/>
      <c r="AN37" s="387"/>
    </row>
    <row r="38" spans="1:40" s="72" customFormat="1" ht="18" customHeight="1">
      <c r="A38" s="4243" t="s">
        <v>1372</v>
      </c>
      <c r="B38" s="4244"/>
      <c r="C38" s="4244"/>
      <c r="D38" s="4245"/>
      <c r="E38" s="4256" t="s">
        <v>1220</v>
      </c>
      <c r="F38" s="4257"/>
      <c r="G38" s="3821">
        <f>CEILING('стекло+зеркала_база'!Q5*(1+скидки_наценки!$B$32)*скидки_наценки!$D$13*скидки_наценки!$F$13/скидки_наценки!$B$4, 50)</f>
        <v>7000</v>
      </c>
      <c r="H38" s="3822" t="s">
        <v>2435</v>
      </c>
      <c r="I38" s="3822" t="s">
        <v>2435</v>
      </c>
      <c r="J38" s="3821"/>
      <c r="K38" s="3822" t="s">
        <v>2435</v>
      </c>
      <c r="L38" s="3822" t="s">
        <v>2435</v>
      </c>
      <c r="M38" s="2276"/>
      <c r="N38" s="442"/>
      <c r="O38" s="442"/>
      <c r="P38" s="442"/>
      <c r="Q38" s="442"/>
      <c r="R38" s="442"/>
      <c r="S38" s="442"/>
      <c r="T38" s="442"/>
      <c r="U38" s="442"/>
      <c r="V38" s="442"/>
      <c r="W38" s="442"/>
      <c r="X38" s="442"/>
      <c r="Y38" s="442"/>
      <c r="Z38" s="442"/>
      <c r="AA38" s="442"/>
      <c r="AB38" s="442"/>
      <c r="AC38" s="442"/>
      <c r="AD38" s="442"/>
      <c r="AE38" s="442"/>
      <c r="AF38" s="442"/>
      <c r="AG38" s="442"/>
      <c r="AH38" s="442"/>
      <c r="AI38" s="442"/>
      <c r="AJ38" s="442"/>
      <c r="AK38" s="442"/>
      <c r="AL38" s="442"/>
      <c r="AM38" s="442"/>
      <c r="AN38" s="442"/>
    </row>
    <row r="39" spans="1:40" s="72" customFormat="1" ht="18" customHeight="1" thickBot="1">
      <c r="A39" s="4246"/>
      <c r="B39" s="4247"/>
      <c r="C39" s="4247"/>
      <c r="D39" s="4248"/>
      <c r="E39" s="4258" t="s">
        <v>2692</v>
      </c>
      <c r="F39" s="4259"/>
      <c r="G39" s="3819">
        <f>CEILING('стекло+зеркала_база'!R5*(1+скидки_наценки!$B$32)*скидки_наценки!$D$13*скидки_наценки!$F$13/скидки_наценки!$B$4, 50)</f>
        <v>9000</v>
      </c>
      <c r="H39" s="3820">
        <f>G39-G38</f>
        <v>2000</v>
      </c>
      <c r="I39" s="3820">
        <f>H39*2</f>
        <v>4000</v>
      </c>
      <c r="J39" s="3820"/>
      <c r="K39" s="3820">
        <f t="shared" ref="K39:L43" si="2">H39</f>
        <v>2000</v>
      </c>
      <c r="L39" s="3820">
        <f t="shared" si="2"/>
        <v>4000</v>
      </c>
      <c r="M39" s="1105"/>
      <c r="N39" s="442"/>
      <c r="O39" s="442"/>
      <c r="P39" s="442"/>
      <c r="Q39" s="442"/>
      <c r="R39" s="442"/>
      <c r="S39" s="442"/>
      <c r="T39" s="442"/>
      <c r="U39" s="442"/>
      <c r="V39" s="442"/>
      <c r="W39" s="442"/>
      <c r="X39" s="442"/>
      <c r="Y39" s="442"/>
      <c r="Z39" s="442"/>
      <c r="AA39" s="442"/>
      <c r="AB39" s="442"/>
      <c r="AC39" s="442"/>
      <c r="AD39" s="442"/>
      <c r="AE39" s="442"/>
      <c r="AF39" s="442"/>
      <c r="AG39" s="442"/>
      <c r="AH39" s="442"/>
      <c r="AI39" s="442"/>
      <c r="AJ39" s="442"/>
      <c r="AK39" s="442"/>
      <c r="AL39" s="442"/>
      <c r="AM39" s="442"/>
      <c r="AN39" s="442"/>
    </row>
    <row r="40" spans="1:40" s="72" customFormat="1" ht="18" hidden="1" customHeight="1">
      <c r="A40" s="3837"/>
      <c r="B40" s="3838"/>
      <c r="C40" s="3838"/>
      <c r="D40" s="3838"/>
      <c r="E40" s="4277" t="s">
        <v>1223</v>
      </c>
      <c r="F40" s="4278"/>
      <c r="G40" s="3818">
        <f>CEILING('Декоры база'!CP64*(1+скидки_наценки!$B$32)*скидки_наценки!$D$13*скидки_наценки!$F$13/скидки_наценки!$B$4, 50)</f>
        <v>8600</v>
      </c>
      <c r="H40" s="3799"/>
      <c r="I40" s="3799">
        <f>H40*2</f>
        <v>0</v>
      </c>
      <c r="J40" s="3799"/>
      <c r="K40" s="3799">
        <f t="shared" si="2"/>
        <v>0</v>
      </c>
      <c r="L40" s="3799">
        <f t="shared" si="2"/>
        <v>0</v>
      </c>
      <c r="M40" s="1106"/>
      <c r="N40" s="442"/>
      <c r="O40" s="442"/>
      <c r="P40" s="442"/>
      <c r="Q40" s="442"/>
      <c r="R40" s="442"/>
      <c r="S40" s="442"/>
      <c r="T40" s="442"/>
      <c r="U40" s="442"/>
      <c r="V40" s="442"/>
      <c r="W40" s="442"/>
      <c r="X40" s="442"/>
      <c r="Y40" s="442"/>
      <c r="Z40" s="442"/>
      <c r="AA40" s="442"/>
      <c r="AB40" s="442"/>
      <c r="AC40" s="442"/>
      <c r="AD40" s="442"/>
      <c r="AE40" s="442"/>
      <c r="AF40" s="442"/>
      <c r="AG40" s="442"/>
      <c r="AH40" s="442"/>
      <c r="AI40" s="442"/>
      <c r="AJ40" s="442"/>
      <c r="AK40" s="442"/>
      <c r="AL40" s="442"/>
      <c r="AM40" s="442"/>
      <c r="AN40" s="442"/>
    </row>
    <row r="41" spans="1:40" s="72" customFormat="1" ht="18" customHeight="1" thickTop="1">
      <c r="A41" s="4243" t="s">
        <v>3374</v>
      </c>
      <c r="B41" s="4244"/>
      <c r="C41" s="4244"/>
      <c r="D41" s="4245"/>
      <c r="E41" s="4288" t="s">
        <v>1222</v>
      </c>
      <c r="F41" s="4288"/>
      <c r="G41" s="3821">
        <f>CEILING('стекло+зеркала_база'!S5*(1+скидки_наценки!$B$32)*скидки_наценки!$D$13*скидки_наценки!$F$13/скидки_наценки!$B$4, 50)</f>
        <v>12500</v>
      </c>
      <c r="H41" s="2896">
        <f>G41-G38</f>
        <v>5500</v>
      </c>
      <c r="I41" s="2896">
        <f>H41*2</f>
        <v>11000</v>
      </c>
      <c r="J41" s="2896"/>
      <c r="K41" s="2896">
        <f t="shared" si="2"/>
        <v>5500</v>
      </c>
      <c r="L41" s="2896">
        <f t="shared" si="2"/>
        <v>11000</v>
      </c>
      <c r="M41" s="3814"/>
      <c r="N41" s="442"/>
      <c r="O41" s="442"/>
      <c r="P41" s="442"/>
      <c r="Q41" s="442"/>
      <c r="R41" s="442"/>
      <c r="S41" s="442"/>
      <c r="T41" s="442"/>
      <c r="U41" s="442"/>
      <c r="V41" s="442"/>
      <c r="W41" s="442"/>
      <c r="X41" s="442"/>
      <c r="Y41" s="442"/>
      <c r="Z41" s="442"/>
      <c r="AA41" s="442"/>
      <c r="AB41" s="442"/>
      <c r="AC41" s="442"/>
      <c r="AD41" s="442"/>
      <c r="AE41" s="442"/>
      <c r="AF41" s="442"/>
      <c r="AG41" s="442"/>
      <c r="AH41" s="442"/>
      <c r="AI41" s="442"/>
      <c r="AJ41" s="442"/>
      <c r="AK41" s="442"/>
      <c r="AL41" s="442"/>
      <c r="AM41" s="442"/>
      <c r="AN41" s="442"/>
    </row>
    <row r="42" spans="1:40" s="72" customFormat="1" ht="26.25" customHeight="1">
      <c r="A42" s="4251"/>
      <c r="B42" s="4252"/>
      <c r="C42" s="4252"/>
      <c r="D42" s="4291"/>
      <c r="E42" s="4289" t="s">
        <v>3375</v>
      </c>
      <c r="F42" s="4289"/>
      <c r="G42" s="3032">
        <f>CEILING('стекло+зеркала_база'!T5*(1+скидки_наценки!$B$32)*скидки_наценки!$D$13*скидки_наценки!$F$13/скидки_наценки!$B$4, 50)</f>
        <v>10000</v>
      </c>
      <c r="H42" s="1068">
        <f>G42-G38</f>
        <v>3000</v>
      </c>
      <c r="I42" s="1068">
        <f>H42*2</f>
        <v>6000</v>
      </c>
      <c r="J42" s="1068"/>
      <c r="K42" s="1068">
        <f t="shared" si="2"/>
        <v>3000</v>
      </c>
      <c r="L42" s="1068">
        <f t="shared" si="2"/>
        <v>6000</v>
      </c>
      <c r="M42" s="3814"/>
      <c r="N42" s="442"/>
      <c r="O42" s="442"/>
      <c r="P42" s="442"/>
      <c r="Q42" s="442"/>
      <c r="R42" s="442"/>
      <c r="S42" s="442"/>
      <c r="T42" s="442"/>
      <c r="U42" s="442"/>
      <c r="V42" s="442"/>
      <c r="W42" s="442"/>
      <c r="X42" s="442"/>
      <c r="Y42" s="442"/>
      <c r="Z42" s="442"/>
      <c r="AA42" s="442"/>
      <c r="AB42" s="442"/>
      <c r="AC42" s="442"/>
      <c r="AD42" s="442"/>
      <c r="AE42" s="442"/>
      <c r="AF42" s="442"/>
      <c r="AG42" s="442"/>
      <c r="AH42" s="442"/>
      <c r="AI42" s="442"/>
      <c r="AJ42" s="442"/>
      <c r="AK42" s="442"/>
      <c r="AL42" s="442"/>
      <c r="AM42" s="442"/>
      <c r="AN42" s="442"/>
    </row>
    <row r="43" spans="1:40" s="72" customFormat="1" ht="18" hidden="1" customHeight="1">
      <c r="A43" s="3839"/>
      <c r="B43" s="3840"/>
      <c r="C43" s="3840"/>
      <c r="D43" s="3840"/>
      <c r="E43" s="4290" t="s">
        <v>3362</v>
      </c>
      <c r="F43" s="4290"/>
      <c r="G43" s="3818">
        <f>CEILING('стекло+зеркала_база'!U5*(1+скидки_наценки!$B$32)*скидки_наценки!$D$13*скидки_наценки!$F$13/скидки_наценки!$B$4, 50)</f>
        <v>9000</v>
      </c>
      <c r="H43" s="3799">
        <f>G43-G38</f>
        <v>2000</v>
      </c>
      <c r="I43" s="3799">
        <f>H43*2</f>
        <v>4000</v>
      </c>
      <c r="J43" s="3799"/>
      <c r="K43" s="3799">
        <f t="shared" si="2"/>
        <v>2000</v>
      </c>
      <c r="L43" s="3799">
        <f t="shared" si="2"/>
        <v>4000</v>
      </c>
      <c r="M43" s="3814"/>
      <c r="N43" s="442"/>
      <c r="O43" s="442"/>
      <c r="P43" s="442"/>
      <c r="Q43" s="442"/>
      <c r="R43" s="442"/>
      <c r="S43" s="442"/>
      <c r="T43" s="442"/>
      <c r="U43" s="442"/>
      <c r="V43" s="442"/>
      <c r="W43" s="442"/>
      <c r="X43" s="442"/>
      <c r="Y43" s="442"/>
      <c r="Z43" s="442"/>
      <c r="AA43" s="442"/>
      <c r="AB43" s="442"/>
      <c r="AC43" s="442"/>
      <c r="AD43" s="442"/>
      <c r="AE43" s="442"/>
      <c r="AF43" s="442"/>
      <c r="AG43" s="442"/>
      <c r="AH43" s="442"/>
      <c r="AI43" s="442"/>
      <c r="AJ43" s="442"/>
      <c r="AK43" s="442"/>
      <c r="AL43" s="442"/>
      <c r="AM43" s="442"/>
      <c r="AN43" s="442"/>
    </row>
    <row r="44" spans="1:40" s="63" customFormat="1" ht="18" customHeight="1">
      <c r="A44" s="866" t="s">
        <v>2432</v>
      </c>
      <c r="B44" s="867"/>
      <c r="C44" s="1109"/>
      <c r="D44" s="867"/>
      <c r="E44" s="867"/>
      <c r="F44" s="867"/>
      <c r="G44" s="867"/>
      <c r="H44" s="867"/>
      <c r="I44" s="867"/>
      <c r="J44" s="867"/>
      <c r="K44" s="867"/>
      <c r="L44" s="867"/>
      <c r="M44" s="867"/>
      <c r="N44" s="387"/>
      <c r="O44" s="3043"/>
      <c r="P44" s="387"/>
      <c r="Q44" s="387"/>
      <c r="R44" s="387"/>
      <c r="S44" s="387"/>
      <c r="T44" s="387"/>
      <c r="U44" s="387"/>
      <c r="V44" s="387"/>
      <c r="W44" s="387"/>
      <c r="X44" s="387"/>
      <c r="Y44" s="387"/>
      <c r="Z44" s="387"/>
      <c r="AA44" s="387"/>
      <c r="AB44" s="387"/>
      <c r="AC44" s="387"/>
      <c r="AD44" s="387"/>
      <c r="AE44" s="387"/>
      <c r="AF44" s="387"/>
      <c r="AG44" s="387"/>
      <c r="AH44" s="387"/>
      <c r="AI44" s="387"/>
      <c r="AJ44" s="387"/>
      <c r="AK44" s="387"/>
      <c r="AL44" s="387"/>
      <c r="AM44" s="387"/>
      <c r="AN44" s="387"/>
    </row>
    <row r="45" spans="1:40" s="72" customFormat="1" ht="18" customHeight="1">
      <c r="A45" s="4191" t="s">
        <v>2426</v>
      </c>
      <c r="B45" s="4192"/>
      <c r="C45" s="4192"/>
      <c r="D45" s="4192"/>
      <c r="E45" s="4192"/>
      <c r="F45" s="4193"/>
      <c r="G45" s="1117" t="s">
        <v>56</v>
      </c>
      <c r="H45" s="1117" t="s">
        <v>56</v>
      </c>
      <c r="I45" s="1117"/>
      <c r="J45" s="1117" t="s">
        <v>56</v>
      </c>
      <c r="K45" s="1117" t="s">
        <v>56</v>
      </c>
      <c r="L45" s="1117"/>
      <c r="M45" s="1117" t="s">
        <v>56</v>
      </c>
      <c r="N45" s="442"/>
      <c r="O45" s="442"/>
      <c r="P45" s="442"/>
      <c r="Q45" s="442"/>
      <c r="R45" s="442"/>
      <c r="S45" s="442"/>
      <c r="T45" s="442"/>
      <c r="U45" s="442"/>
      <c r="V45" s="442"/>
      <c r="W45" s="442"/>
      <c r="X45" s="442"/>
      <c r="Y45" s="442"/>
      <c r="Z45" s="442"/>
      <c r="AA45" s="442"/>
      <c r="AB45" s="442"/>
      <c r="AC45" s="442"/>
      <c r="AD45" s="442"/>
      <c r="AE45" s="442"/>
      <c r="AF45" s="442"/>
      <c r="AG45" s="442"/>
      <c r="AH45" s="442"/>
      <c r="AI45" s="442"/>
      <c r="AJ45" s="442"/>
      <c r="AK45" s="442"/>
      <c r="AL45" s="442"/>
      <c r="AM45" s="442"/>
      <c r="AN45" s="442"/>
    </row>
    <row r="46" spans="1:40" s="72" customFormat="1" ht="18" customHeight="1">
      <c r="A46" s="4285" t="s">
        <v>57</v>
      </c>
      <c r="B46" s="4286"/>
      <c r="C46" s="4286"/>
      <c r="D46" s="4286"/>
      <c r="E46" s="4286"/>
      <c r="F46" s="4287"/>
      <c r="G46" s="3042">
        <v>0</v>
      </c>
      <c r="H46" s="1113">
        <v>0</v>
      </c>
      <c r="I46" s="1113"/>
      <c r="J46" s="1113">
        <v>0</v>
      </c>
      <c r="K46" s="1113">
        <v>0</v>
      </c>
      <c r="L46" s="1113"/>
      <c r="M46" s="1113">
        <v>0.15</v>
      </c>
      <c r="N46" s="442"/>
      <c r="O46" s="442"/>
      <c r="P46" s="442"/>
      <c r="Q46" s="442"/>
      <c r="R46" s="442"/>
      <c r="S46" s="442"/>
      <c r="T46" s="442"/>
      <c r="U46" s="442"/>
      <c r="V46" s="442"/>
      <c r="W46" s="442"/>
      <c r="X46" s="442"/>
      <c r="Y46" s="442"/>
      <c r="Z46" s="442"/>
      <c r="AA46" s="442"/>
      <c r="AB46" s="442"/>
      <c r="AC46" s="442"/>
      <c r="AD46" s="442"/>
      <c r="AE46" s="442"/>
      <c r="AF46" s="442"/>
      <c r="AG46" s="442"/>
      <c r="AH46" s="442"/>
      <c r="AI46" s="442"/>
      <c r="AJ46" s="442"/>
      <c r="AK46" s="442"/>
      <c r="AL46" s="442"/>
      <c r="AM46" s="442"/>
      <c r="AN46" s="442"/>
    </row>
    <row r="47" spans="1:40" s="72" customFormat="1" ht="18" customHeight="1">
      <c r="A47" s="4194" t="s">
        <v>2695</v>
      </c>
      <c r="B47" s="4195"/>
      <c r="C47" s="4195"/>
      <c r="D47" s="4195"/>
      <c r="E47" s="4195"/>
      <c r="F47" s="4196"/>
      <c r="G47" s="3115">
        <v>0.25</v>
      </c>
      <c r="H47" s="3115">
        <v>0.15</v>
      </c>
      <c r="I47" s="3115"/>
      <c r="J47" s="3115">
        <v>0.25</v>
      </c>
      <c r="K47" s="3115">
        <v>0.15</v>
      </c>
      <c r="L47" s="3115"/>
      <c r="M47" s="2787"/>
      <c r="N47" s="442"/>
      <c r="O47" s="442"/>
      <c r="P47" s="442"/>
      <c r="Q47" s="442"/>
      <c r="R47" s="442"/>
      <c r="S47" s="442"/>
      <c r="T47" s="442"/>
      <c r="U47" s="442"/>
      <c r="V47" s="442"/>
      <c r="W47" s="442"/>
      <c r="X47" s="442"/>
      <c r="Y47" s="442"/>
      <c r="Z47" s="442"/>
      <c r="AA47" s="442"/>
      <c r="AB47" s="442"/>
      <c r="AC47" s="442"/>
      <c r="AD47" s="442"/>
      <c r="AE47" s="442"/>
      <c r="AF47" s="442"/>
      <c r="AG47" s="442"/>
      <c r="AH47" s="442"/>
      <c r="AI47" s="442"/>
      <c r="AJ47" s="442"/>
      <c r="AK47" s="442"/>
      <c r="AL47" s="442"/>
      <c r="AM47" s="442"/>
      <c r="AN47" s="442"/>
    </row>
    <row r="48" spans="1:40" s="63" customFormat="1" ht="18" hidden="1" customHeight="1">
      <c r="A48" s="3035" t="s">
        <v>2433</v>
      </c>
      <c r="B48" s="3036"/>
      <c r="C48" s="3037"/>
      <c r="D48" s="3036"/>
      <c r="E48" s="3036"/>
      <c r="F48" s="3036"/>
      <c r="G48" s="3036"/>
      <c r="H48" s="3036"/>
      <c r="I48" s="3036"/>
      <c r="J48" s="3036"/>
      <c r="K48" s="3036"/>
      <c r="L48" s="3036"/>
      <c r="M48" s="867"/>
      <c r="N48" s="387"/>
      <c r="O48" s="387"/>
      <c r="P48" s="387"/>
      <c r="Q48" s="387"/>
      <c r="R48" s="387"/>
      <c r="S48" s="387"/>
      <c r="T48" s="387"/>
      <c r="U48" s="387"/>
      <c r="V48" s="387"/>
      <c r="W48" s="387"/>
      <c r="X48" s="387"/>
      <c r="Y48" s="387"/>
      <c r="Z48" s="387"/>
      <c r="AA48" s="387"/>
      <c r="AB48" s="387"/>
      <c r="AC48" s="387"/>
      <c r="AD48" s="387"/>
      <c r="AE48" s="387"/>
      <c r="AF48" s="387"/>
      <c r="AG48" s="387"/>
      <c r="AH48" s="387"/>
      <c r="AI48" s="387"/>
      <c r="AJ48" s="387"/>
      <c r="AK48" s="387"/>
      <c r="AL48" s="387"/>
      <c r="AM48" s="387"/>
      <c r="AN48" s="387"/>
    </row>
    <row r="49" spans="1:44" s="64" customFormat="1" ht="18" hidden="1" customHeight="1">
      <c r="A49" s="4188" t="s">
        <v>2429</v>
      </c>
      <c r="B49" s="4189"/>
      <c r="C49" s="4189"/>
      <c r="D49" s="4189"/>
      <c r="E49" s="4189"/>
      <c r="F49" s="4190"/>
      <c r="G49" s="3038">
        <v>0.15</v>
      </c>
      <c r="H49" s="3038">
        <f t="shared" ref="H49:M49" si="3">G49</f>
        <v>0.15</v>
      </c>
      <c r="I49" s="3038">
        <f t="shared" si="3"/>
        <v>0.15</v>
      </c>
      <c r="J49" s="3038">
        <f t="shared" si="3"/>
        <v>0.15</v>
      </c>
      <c r="K49" s="3038">
        <f t="shared" si="3"/>
        <v>0.15</v>
      </c>
      <c r="L49" s="3038">
        <f t="shared" si="3"/>
        <v>0.15</v>
      </c>
      <c r="M49" s="2387">
        <f t="shared" si="3"/>
        <v>0.15</v>
      </c>
      <c r="N49" s="242"/>
      <c r="O49" s="242"/>
      <c r="P49" s="242"/>
      <c r="Q49" s="242"/>
      <c r="R49" s="242"/>
      <c r="S49" s="242"/>
      <c r="T49" s="242"/>
      <c r="U49" s="242"/>
      <c r="V49" s="242"/>
      <c r="W49" s="242"/>
      <c r="X49" s="242"/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42"/>
    </row>
    <row r="50" spans="1:44" s="64" customFormat="1" ht="18" hidden="1" customHeight="1">
      <c r="A50" s="4279" t="s">
        <v>2430</v>
      </c>
      <c r="B50" s="4280"/>
      <c r="C50" s="4280"/>
      <c r="D50" s="4280"/>
      <c r="E50" s="4280"/>
      <c r="F50" s="4281"/>
      <c r="G50" s="3041">
        <v>0.2</v>
      </c>
      <c r="H50" s="3041">
        <f t="shared" ref="H50:M51" si="4">G50</f>
        <v>0.2</v>
      </c>
      <c r="I50" s="3041">
        <f t="shared" si="4"/>
        <v>0.2</v>
      </c>
      <c r="J50" s="3041">
        <f t="shared" si="4"/>
        <v>0.2</v>
      </c>
      <c r="K50" s="3041">
        <f t="shared" si="4"/>
        <v>0.2</v>
      </c>
      <c r="L50" s="3041">
        <f t="shared" si="4"/>
        <v>0.2</v>
      </c>
      <c r="M50" s="2389">
        <f t="shared" si="4"/>
        <v>0.2</v>
      </c>
      <c r="N50" s="242"/>
      <c r="O50" s="242"/>
      <c r="P50" s="242"/>
      <c r="Q50" s="242"/>
      <c r="R50" s="242"/>
      <c r="S50" s="242"/>
      <c r="T50" s="242"/>
      <c r="U50" s="242"/>
      <c r="V50" s="242"/>
      <c r="W50" s="242"/>
      <c r="X50" s="242"/>
      <c r="Y50" s="242"/>
      <c r="Z50" s="242"/>
      <c r="AA50" s="242"/>
      <c r="AB50" s="242"/>
      <c r="AC50" s="242"/>
      <c r="AD50" s="242"/>
      <c r="AE50" s="242"/>
      <c r="AF50" s="242"/>
      <c r="AG50" s="242"/>
      <c r="AH50" s="242"/>
      <c r="AI50" s="242"/>
      <c r="AJ50" s="242"/>
      <c r="AK50" s="242"/>
      <c r="AL50" s="242"/>
      <c r="AM50" s="242"/>
      <c r="AN50" s="242"/>
    </row>
    <row r="51" spans="1:44" s="64" customFormat="1" ht="18" hidden="1" customHeight="1">
      <c r="A51" s="4282" t="s">
        <v>2431</v>
      </c>
      <c r="B51" s="4283"/>
      <c r="C51" s="4283"/>
      <c r="D51" s="4283"/>
      <c r="E51" s="4283"/>
      <c r="F51" s="4284"/>
      <c r="G51" s="3040">
        <v>0.3</v>
      </c>
      <c r="H51" s="3040">
        <f t="shared" si="4"/>
        <v>0.3</v>
      </c>
      <c r="I51" s="3040">
        <f t="shared" si="4"/>
        <v>0.3</v>
      </c>
      <c r="J51" s="3040">
        <f t="shared" si="4"/>
        <v>0.3</v>
      </c>
      <c r="K51" s="3358">
        <f t="shared" si="4"/>
        <v>0.3</v>
      </c>
      <c r="L51" s="3358">
        <f t="shared" si="4"/>
        <v>0.3</v>
      </c>
      <c r="M51" s="2388">
        <f t="shared" si="4"/>
        <v>0.3</v>
      </c>
      <c r="N51" s="242"/>
      <c r="O51" s="242"/>
      <c r="P51" s="242"/>
      <c r="Q51" s="242"/>
      <c r="R51" s="242"/>
      <c r="S51" s="242"/>
      <c r="T51" s="242"/>
      <c r="U51" s="242"/>
      <c r="V51" s="242"/>
      <c r="W51" s="242"/>
      <c r="X51" s="242"/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</row>
    <row r="52" spans="1:44" ht="18" customHeight="1">
      <c r="B52" s="2377" t="s">
        <v>2423</v>
      </c>
      <c r="C52" s="196"/>
      <c r="F52" s="589"/>
      <c r="K52" s="3359">
        <f>G38</f>
        <v>7000</v>
      </c>
      <c r="L52" s="3359">
        <f>G38*2</f>
        <v>14000</v>
      </c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K52" s="242"/>
      <c r="AL52" s="242"/>
      <c r="AM52" s="242"/>
      <c r="AN52" s="242"/>
      <c r="AO52" s="242"/>
      <c r="AP52" s="242"/>
      <c r="AQ52" s="242"/>
      <c r="AR52" s="242"/>
    </row>
    <row r="53" spans="1:44" ht="35.25" customHeight="1">
      <c r="B53" s="4187" t="s">
        <v>2424</v>
      </c>
      <c r="C53" s="4187"/>
      <c r="D53" s="4187"/>
      <c r="E53" s="4187"/>
      <c r="F53" s="4187"/>
      <c r="G53" s="4187"/>
      <c r="H53" s="4187"/>
      <c r="I53" s="4187"/>
      <c r="J53" s="4187"/>
      <c r="K53" s="4187"/>
      <c r="L53" s="4187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</row>
    <row r="54" spans="1:44" ht="20.25" customHeight="1">
      <c r="B54" s="4187" t="s">
        <v>2463</v>
      </c>
      <c r="C54" s="4187"/>
      <c r="D54" s="4187"/>
      <c r="E54" s="4187"/>
      <c r="F54" s="4187"/>
      <c r="G54" s="4187"/>
      <c r="H54" s="4187"/>
      <c r="I54" s="4187"/>
      <c r="J54" s="4187"/>
      <c r="K54" s="4187"/>
      <c r="L54" s="4187"/>
      <c r="N54" s="242"/>
      <c r="O54" s="242"/>
      <c r="P54" s="242"/>
      <c r="Q54" s="242"/>
      <c r="R54" s="242"/>
      <c r="S54" s="242"/>
      <c r="T54" s="242"/>
      <c r="U54" s="242"/>
      <c r="V54" s="242"/>
      <c r="W54" s="242"/>
      <c r="X54" s="242"/>
      <c r="Y54" s="242"/>
      <c r="Z54" s="242"/>
      <c r="AA54" s="242"/>
      <c r="AB54" s="242"/>
      <c r="AC54" s="242"/>
      <c r="AD54" s="242"/>
      <c r="AE54" s="242"/>
      <c r="AF54" s="242"/>
      <c r="AG54" s="242"/>
      <c r="AH54" s="242"/>
      <c r="AI54" s="242"/>
      <c r="AJ54" s="242"/>
      <c r="AK54" s="242"/>
      <c r="AL54" s="242"/>
      <c r="AM54" s="242"/>
      <c r="AN54" s="242"/>
      <c r="AO54" s="242"/>
      <c r="AP54" s="242"/>
      <c r="AQ54" s="242"/>
      <c r="AR54" s="242"/>
    </row>
    <row r="55" spans="1:44" ht="20.25" customHeight="1">
      <c r="B55" s="4187" t="s">
        <v>2817</v>
      </c>
      <c r="C55" s="4187"/>
      <c r="D55" s="4187"/>
      <c r="E55" s="4187"/>
      <c r="F55" s="4187"/>
      <c r="G55" s="4187"/>
      <c r="H55" s="4187"/>
      <c r="I55" s="4187"/>
      <c r="J55" s="4187"/>
      <c r="K55" s="4187"/>
      <c r="L55" s="4187"/>
      <c r="N55" s="242"/>
      <c r="O55" s="242"/>
      <c r="P55" s="242"/>
      <c r="Q55" s="242"/>
      <c r="R55" s="242"/>
      <c r="S55" s="242"/>
      <c r="T55" s="242"/>
      <c r="U55" s="242"/>
      <c r="V55" s="242"/>
      <c r="W55" s="242"/>
      <c r="X55" s="242"/>
      <c r="Y55" s="242"/>
      <c r="Z55" s="242"/>
      <c r="AA55" s="242"/>
      <c r="AB55" s="242"/>
      <c r="AC55" s="242"/>
      <c r="AD55" s="242"/>
      <c r="AE55" s="242"/>
      <c r="AF55" s="242"/>
      <c r="AG55" s="242"/>
      <c r="AH55" s="242"/>
      <c r="AI55" s="242"/>
      <c r="AJ55" s="242"/>
      <c r="AK55" s="242"/>
      <c r="AL55" s="242"/>
      <c r="AM55" s="242"/>
      <c r="AN55" s="242"/>
      <c r="AO55" s="242"/>
      <c r="AP55" s="242"/>
      <c r="AQ55" s="242"/>
      <c r="AR55" s="242"/>
    </row>
    <row r="56" spans="1:44" ht="18" customHeight="1">
      <c r="B56" s="4187" t="s">
        <v>3448</v>
      </c>
      <c r="C56" s="4187"/>
      <c r="D56" s="4187"/>
      <c r="E56" s="4187"/>
      <c r="F56" s="4187"/>
      <c r="G56" s="4187"/>
      <c r="H56" s="4187"/>
      <c r="I56" s="4187"/>
      <c r="J56" s="4187"/>
      <c r="K56" s="4187"/>
      <c r="L56" s="4187"/>
      <c r="M56" s="49"/>
      <c r="N56" s="242"/>
      <c r="O56" s="242"/>
      <c r="P56" s="242"/>
      <c r="Q56" s="242"/>
      <c r="R56" s="242"/>
      <c r="S56" s="242"/>
      <c r="T56" s="242"/>
      <c r="U56" s="242"/>
      <c r="V56" s="242"/>
      <c r="W56" s="242"/>
      <c r="X56" s="242"/>
      <c r="Y56" s="242"/>
      <c r="Z56" s="242"/>
      <c r="AA56" s="242"/>
      <c r="AB56" s="242"/>
      <c r="AC56" s="242"/>
      <c r="AD56" s="242"/>
      <c r="AE56" s="242"/>
      <c r="AF56" s="242"/>
      <c r="AG56" s="242"/>
      <c r="AH56" s="242"/>
      <c r="AI56" s="242"/>
      <c r="AJ56" s="242"/>
      <c r="AK56" s="242"/>
      <c r="AL56" s="242"/>
      <c r="AM56" s="242"/>
      <c r="AN56" s="242"/>
      <c r="AO56" s="242"/>
      <c r="AP56" s="242"/>
      <c r="AQ56" s="242"/>
      <c r="AR56" s="242"/>
    </row>
    <row r="57" spans="1:44" s="359" customFormat="1" ht="18" customHeight="1">
      <c r="A57" s="74"/>
      <c r="B57" s="4187" t="s">
        <v>3449</v>
      </c>
      <c r="C57" s="4187"/>
      <c r="D57" s="4187"/>
      <c r="E57" s="4187"/>
      <c r="F57" s="4187"/>
      <c r="G57" s="4187"/>
      <c r="H57" s="4187"/>
      <c r="I57" s="4187"/>
      <c r="J57" s="4187"/>
      <c r="K57" s="4187"/>
      <c r="L57" s="4187"/>
      <c r="M57" s="53"/>
      <c r="N57" s="242"/>
      <c r="O57" s="442"/>
      <c r="P57" s="442"/>
      <c r="Q57" s="442"/>
      <c r="R57" s="442"/>
      <c r="S57" s="442"/>
      <c r="T57" s="442"/>
      <c r="U57" s="442"/>
      <c r="V57" s="442"/>
      <c r="W57" s="442"/>
      <c r="X57" s="442"/>
      <c r="Y57" s="442"/>
      <c r="Z57" s="442"/>
      <c r="AA57" s="442"/>
      <c r="AB57" s="442"/>
      <c r="AC57" s="442"/>
      <c r="AD57" s="442"/>
      <c r="AE57" s="442"/>
      <c r="AF57" s="442"/>
      <c r="AG57" s="442"/>
      <c r="AH57" s="442"/>
      <c r="AI57" s="442"/>
      <c r="AJ57" s="442"/>
      <c r="AK57" s="442"/>
      <c r="AL57" s="442"/>
      <c r="AM57" s="442"/>
      <c r="AN57" s="442"/>
      <c r="AO57" s="442"/>
      <c r="AP57" s="442"/>
      <c r="AQ57" s="442"/>
      <c r="AR57" s="442"/>
    </row>
    <row r="58" spans="1:44" s="75" customFormat="1" ht="18" customHeight="1">
      <c r="B58" s="589"/>
      <c r="C58" s="589"/>
      <c r="D58" s="589"/>
      <c r="E58" s="192"/>
      <c r="F58" s="192"/>
      <c r="G58" s="193"/>
      <c r="H58" s="193"/>
      <c r="I58" s="194"/>
      <c r="J58" s="41"/>
      <c r="K58" s="41"/>
      <c r="L58" s="589"/>
      <c r="M58" s="41"/>
      <c r="N58" s="242"/>
      <c r="O58" s="649"/>
      <c r="P58" s="649"/>
      <c r="Q58" s="649"/>
      <c r="R58" s="649"/>
      <c r="S58" s="649"/>
      <c r="T58" s="649"/>
      <c r="U58" s="649"/>
      <c r="V58" s="649"/>
      <c r="W58" s="649"/>
      <c r="X58" s="649"/>
      <c r="Y58" s="649"/>
      <c r="Z58" s="649"/>
      <c r="AA58" s="649"/>
      <c r="AB58" s="649"/>
      <c r="AC58" s="649"/>
      <c r="AD58" s="649"/>
      <c r="AE58" s="649"/>
      <c r="AF58" s="649"/>
      <c r="AG58" s="649"/>
      <c r="AH58" s="649"/>
      <c r="AI58" s="649"/>
      <c r="AJ58" s="649"/>
      <c r="AK58" s="649"/>
      <c r="AL58" s="649"/>
      <c r="AM58" s="649"/>
      <c r="AN58" s="649"/>
      <c r="AO58" s="649"/>
      <c r="AP58" s="649"/>
      <c r="AQ58" s="649"/>
      <c r="AR58" s="649"/>
    </row>
    <row r="59" spans="1:44" s="75" customFormat="1" ht="18" customHeight="1">
      <c r="B59" s="589"/>
      <c r="C59" s="589"/>
      <c r="D59" s="589"/>
      <c r="E59" s="199"/>
      <c r="F59" s="199"/>
      <c r="G59" s="193"/>
      <c r="H59" s="199"/>
      <c r="I59" s="196"/>
      <c r="J59" s="41"/>
      <c r="K59" s="41"/>
      <c r="L59" s="589"/>
      <c r="M59" s="41"/>
      <c r="N59" s="242"/>
      <c r="O59" s="649"/>
      <c r="P59" s="649"/>
      <c r="Q59" s="649"/>
      <c r="R59" s="649"/>
      <c r="S59" s="649"/>
      <c r="T59" s="649"/>
      <c r="U59" s="649"/>
      <c r="V59" s="649"/>
      <c r="W59" s="649"/>
      <c r="X59" s="649"/>
      <c r="Y59" s="649"/>
      <c r="Z59" s="649"/>
      <c r="AA59" s="649"/>
      <c r="AB59" s="649"/>
      <c r="AC59" s="649"/>
      <c r="AD59" s="649"/>
      <c r="AE59" s="649"/>
      <c r="AF59" s="649"/>
      <c r="AG59" s="649"/>
      <c r="AH59" s="649"/>
      <c r="AI59" s="649"/>
      <c r="AJ59" s="649"/>
      <c r="AK59" s="649"/>
      <c r="AL59" s="649"/>
      <c r="AM59" s="649"/>
      <c r="AN59" s="649"/>
      <c r="AO59" s="649"/>
      <c r="AP59" s="649"/>
      <c r="AQ59" s="649"/>
      <c r="AR59" s="649"/>
    </row>
    <row r="60" spans="1:44" s="75" customFormat="1" ht="18" customHeight="1">
      <c r="B60" s="589"/>
      <c r="C60" s="589"/>
      <c r="D60" s="589"/>
      <c r="E60" s="199"/>
      <c r="F60" s="199"/>
      <c r="G60" s="193"/>
      <c r="H60" s="199"/>
      <c r="I60" s="196"/>
      <c r="J60" s="41"/>
      <c r="K60" s="41"/>
      <c r="L60" s="589"/>
      <c r="M60" s="41"/>
      <c r="N60" s="242"/>
      <c r="O60" s="649"/>
      <c r="P60" s="649"/>
      <c r="Q60" s="649"/>
      <c r="R60" s="649"/>
      <c r="S60" s="649"/>
      <c r="T60" s="649"/>
      <c r="U60" s="649"/>
      <c r="V60" s="649"/>
      <c r="W60" s="649"/>
      <c r="X60" s="649"/>
      <c r="Y60" s="649"/>
      <c r="Z60" s="649"/>
      <c r="AA60" s="649"/>
      <c r="AB60" s="649"/>
      <c r="AC60" s="649"/>
      <c r="AD60" s="649"/>
      <c r="AE60" s="649"/>
      <c r="AF60" s="649"/>
      <c r="AG60" s="649"/>
      <c r="AH60" s="649"/>
      <c r="AI60" s="649"/>
      <c r="AJ60" s="649"/>
      <c r="AK60" s="649"/>
      <c r="AL60" s="649"/>
      <c r="AM60" s="649"/>
      <c r="AN60" s="649"/>
      <c r="AO60" s="649"/>
      <c r="AP60" s="649"/>
      <c r="AQ60" s="649"/>
      <c r="AR60" s="649"/>
    </row>
    <row r="61" spans="1:44" s="75" customFormat="1" ht="18" customHeight="1">
      <c r="B61" s="589"/>
      <c r="C61" s="589"/>
      <c r="D61" s="589"/>
      <c r="E61" s="199"/>
      <c r="F61" s="199"/>
      <c r="G61" s="193"/>
      <c r="H61" s="199"/>
      <c r="I61" s="194"/>
      <c r="J61" s="41"/>
      <c r="K61" s="11"/>
      <c r="L61" s="589"/>
      <c r="M61" s="41"/>
      <c r="N61" s="242"/>
      <c r="O61" s="649"/>
      <c r="P61" s="649"/>
      <c r="Q61" s="649"/>
      <c r="R61" s="649"/>
      <c r="S61" s="649"/>
      <c r="T61" s="649"/>
      <c r="U61" s="649"/>
      <c r="V61" s="649"/>
      <c r="W61" s="649"/>
      <c r="X61" s="649"/>
      <c r="Y61" s="649"/>
      <c r="Z61" s="649"/>
      <c r="AA61" s="649"/>
      <c r="AB61" s="649"/>
      <c r="AC61" s="649"/>
      <c r="AD61" s="649"/>
      <c r="AE61" s="649"/>
      <c r="AF61" s="649"/>
      <c r="AG61" s="649"/>
      <c r="AH61" s="649"/>
      <c r="AI61" s="649"/>
      <c r="AJ61" s="649"/>
      <c r="AK61" s="649"/>
      <c r="AL61" s="649"/>
      <c r="AM61" s="649"/>
      <c r="AN61" s="649"/>
      <c r="AO61" s="649"/>
      <c r="AP61" s="649"/>
      <c r="AQ61" s="649"/>
      <c r="AR61" s="649"/>
    </row>
    <row r="62" spans="1:44" s="75" customFormat="1" ht="18" customHeight="1">
      <c r="B62" s="192"/>
      <c r="C62" s="192"/>
      <c r="D62" s="199"/>
      <c r="E62" s="199"/>
      <c r="F62" s="199"/>
      <c r="G62" s="193"/>
      <c r="H62" s="199"/>
      <c r="I62" s="196"/>
      <c r="J62" s="41"/>
      <c r="K62" s="41"/>
      <c r="L62" s="589"/>
      <c r="M62" s="41"/>
      <c r="N62" s="242"/>
      <c r="O62" s="649"/>
      <c r="P62" s="649"/>
      <c r="Q62" s="649"/>
      <c r="R62" s="649"/>
      <c r="S62" s="649"/>
      <c r="T62" s="649"/>
      <c r="U62" s="649"/>
      <c r="V62" s="649"/>
      <c r="W62" s="649"/>
      <c r="X62" s="649"/>
      <c r="Y62" s="649"/>
      <c r="Z62" s="649"/>
      <c r="AA62" s="649"/>
      <c r="AB62" s="649"/>
      <c r="AC62" s="649"/>
      <c r="AD62" s="649"/>
      <c r="AE62" s="649"/>
      <c r="AF62" s="649"/>
      <c r="AG62" s="649"/>
      <c r="AH62" s="649"/>
      <c r="AI62" s="649"/>
      <c r="AJ62" s="649"/>
      <c r="AK62" s="649"/>
      <c r="AL62" s="649"/>
      <c r="AM62" s="649"/>
      <c r="AN62" s="649"/>
      <c r="AO62" s="649"/>
      <c r="AP62" s="649"/>
      <c r="AQ62" s="649"/>
      <c r="AR62" s="649"/>
    </row>
    <row r="63" spans="1:44" s="75" customFormat="1" ht="18" customHeight="1">
      <c r="B63" s="196"/>
      <c r="C63" s="196"/>
      <c r="D63" s="199"/>
      <c r="E63" s="199"/>
      <c r="F63" s="199"/>
      <c r="G63" s="193"/>
      <c r="H63" s="199"/>
      <c r="I63" s="194"/>
      <c r="J63" s="41"/>
      <c r="K63" s="11"/>
      <c r="L63" s="589"/>
      <c r="M63" s="41"/>
      <c r="N63" s="242"/>
      <c r="O63" s="649"/>
      <c r="P63" s="649"/>
      <c r="Q63" s="649"/>
      <c r="R63" s="649"/>
      <c r="S63" s="649"/>
      <c r="T63" s="649"/>
      <c r="U63" s="649"/>
      <c r="V63" s="649"/>
      <c r="W63" s="649"/>
      <c r="X63" s="649"/>
      <c r="Y63" s="649"/>
      <c r="Z63" s="649"/>
      <c r="AA63" s="649"/>
      <c r="AB63" s="649"/>
      <c r="AC63" s="649"/>
      <c r="AD63" s="649"/>
      <c r="AE63" s="649"/>
      <c r="AF63" s="649"/>
      <c r="AG63" s="649"/>
      <c r="AH63" s="649"/>
      <c r="AI63" s="649"/>
      <c r="AJ63" s="649"/>
      <c r="AK63" s="649"/>
      <c r="AL63" s="649"/>
      <c r="AM63" s="649"/>
      <c r="AN63" s="649"/>
      <c r="AO63" s="649"/>
      <c r="AP63" s="649"/>
      <c r="AQ63" s="649"/>
      <c r="AR63" s="649"/>
    </row>
    <row r="64" spans="1:44" s="75" customFormat="1" ht="18" customHeight="1">
      <c r="B64" s="196"/>
      <c r="C64" s="196"/>
      <c r="D64" s="199"/>
      <c r="E64" s="199"/>
      <c r="F64" s="199"/>
      <c r="G64" s="193"/>
      <c r="H64" s="199"/>
      <c r="I64" s="194"/>
      <c r="J64" s="41"/>
      <c r="K64" s="11"/>
      <c r="L64" s="589"/>
      <c r="M64" s="41"/>
      <c r="N64" s="242"/>
      <c r="O64" s="649"/>
      <c r="P64" s="649"/>
      <c r="Q64" s="649"/>
      <c r="R64" s="649"/>
      <c r="S64" s="649"/>
      <c r="T64" s="649"/>
      <c r="U64" s="649"/>
      <c r="V64" s="649"/>
      <c r="W64" s="649"/>
      <c r="X64" s="649"/>
      <c r="Y64" s="649"/>
      <c r="Z64" s="649"/>
      <c r="AA64" s="649"/>
      <c r="AB64" s="649"/>
      <c r="AC64" s="649"/>
      <c r="AD64" s="649"/>
      <c r="AE64" s="649"/>
      <c r="AF64" s="649"/>
      <c r="AG64" s="649"/>
      <c r="AH64" s="649"/>
      <c r="AI64" s="649"/>
      <c r="AJ64" s="649"/>
      <c r="AK64" s="649"/>
      <c r="AL64" s="649"/>
      <c r="AM64" s="649"/>
      <c r="AN64" s="649"/>
      <c r="AO64" s="649"/>
      <c r="AP64" s="649"/>
      <c r="AQ64" s="649"/>
      <c r="AR64" s="649"/>
    </row>
    <row r="65" spans="2:44" s="75" customFormat="1" ht="18" customHeight="1">
      <c r="B65" s="196"/>
      <c r="C65" s="196"/>
      <c r="D65" s="199"/>
      <c r="E65" s="199"/>
      <c r="F65" s="199"/>
      <c r="G65" s="193"/>
      <c r="H65" s="199"/>
      <c r="I65" s="196"/>
      <c r="J65" s="41"/>
      <c r="K65" s="41"/>
      <c r="L65" s="589"/>
      <c r="M65" s="41"/>
      <c r="N65" s="242"/>
      <c r="O65" s="649"/>
      <c r="P65" s="649"/>
      <c r="Q65" s="649"/>
      <c r="R65" s="649"/>
      <c r="S65" s="649"/>
      <c r="T65" s="649"/>
      <c r="U65" s="649"/>
      <c r="V65" s="649"/>
      <c r="W65" s="649"/>
      <c r="X65" s="649"/>
      <c r="Y65" s="649"/>
      <c r="Z65" s="649"/>
      <c r="AA65" s="649"/>
      <c r="AB65" s="649"/>
      <c r="AC65" s="649"/>
      <c r="AD65" s="649"/>
      <c r="AE65" s="649"/>
      <c r="AF65" s="649"/>
      <c r="AG65" s="649"/>
      <c r="AH65" s="649"/>
      <c r="AI65" s="649"/>
      <c r="AJ65" s="649"/>
      <c r="AK65" s="649"/>
      <c r="AL65" s="649"/>
      <c r="AM65" s="649"/>
      <c r="AN65" s="649"/>
      <c r="AO65" s="649"/>
      <c r="AP65" s="649"/>
      <c r="AQ65" s="649"/>
      <c r="AR65" s="649"/>
    </row>
    <row r="66" spans="2:44" s="75" customFormat="1" ht="18" customHeight="1">
      <c r="B66" s="196"/>
      <c r="C66" s="196"/>
      <c r="D66" s="199"/>
      <c r="E66" s="199"/>
      <c r="F66" s="199"/>
      <c r="G66" s="193"/>
      <c r="H66" s="199"/>
      <c r="I66" s="194"/>
      <c r="J66" s="41"/>
      <c r="K66" s="11"/>
      <c r="L66" s="589"/>
      <c r="M66" s="41"/>
      <c r="N66" s="242"/>
      <c r="O66" s="649"/>
      <c r="P66" s="649"/>
      <c r="Q66" s="649"/>
      <c r="R66" s="649"/>
      <c r="S66" s="649"/>
      <c r="T66" s="649"/>
      <c r="U66" s="649"/>
      <c r="V66" s="649"/>
      <c r="W66" s="649"/>
      <c r="X66" s="649"/>
      <c r="Y66" s="649"/>
      <c r="Z66" s="649"/>
      <c r="AA66" s="649"/>
      <c r="AB66" s="649"/>
      <c r="AC66" s="649"/>
      <c r="AD66" s="649"/>
      <c r="AE66" s="649"/>
      <c r="AF66" s="649"/>
      <c r="AG66" s="649"/>
      <c r="AH66" s="649"/>
      <c r="AI66" s="649"/>
      <c r="AJ66" s="649"/>
      <c r="AK66" s="649"/>
      <c r="AL66" s="649"/>
      <c r="AM66" s="649"/>
      <c r="AN66" s="649"/>
      <c r="AO66" s="649"/>
      <c r="AP66" s="649"/>
      <c r="AQ66" s="649"/>
      <c r="AR66" s="649"/>
    </row>
    <row r="67" spans="2:44" s="75" customFormat="1" ht="18" customHeight="1">
      <c r="B67" s="196"/>
      <c r="C67" s="196"/>
      <c r="D67" s="199"/>
      <c r="E67" s="199"/>
      <c r="F67" s="199"/>
      <c r="G67" s="193"/>
      <c r="H67" s="199"/>
      <c r="I67" s="196"/>
      <c r="J67" s="41"/>
      <c r="K67" s="41"/>
      <c r="L67" s="589"/>
      <c r="M67" s="41"/>
      <c r="N67" s="242"/>
      <c r="O67" s="649"/>
      <c r="P67" s="649"/>
      <c r="Q67" s="649"/>
      <c r="R67" s="649"/>
      <c r="S67" s="649"/>
      <c r="T67" s="649"/>
      <c r="U67" s="649"/>
      <c r="V67" s="649"/>
      <c r="W67" s="649"/>
      <c r="X67" s="649"/>
      <c r="Y67" s="649"/>
      <c r="Z67" s="649"/>
      <c r="AA67" s="649"/>
      <c r="AB67" s="649"/>
      <c r="AC67" s="649"/>
      <c r="AD67" s="649"/>
      <c r="AE67" s="649"/>
      <c r="AF67" s="649"/>
      <c r="AG67" s="649"/>
      <c r="AH67" s="649"/>
      <c r="AI67" s="649"/>
      <c r="AJ67" s="649"/>
      <c r="AK67" s="649"/>
      <c r="AL67" s="649"/>
      <c r="AM67" s="649"/>
      <c r="AN67" s="649"/>
      <c r="AO67" s="649"/>
      <c r="AP67" s="649"/>
      <c r="AQ67" s="649"/>
      <c r="AR67" s="649"/>
    </row>
    <row r="68" spans="2:44" ht="18" customHeight="1">
      <c r="N68" s="242"/>
      <c r="O68" s="242"/>
      <c r="P68" s="242"/>
      <c r="Q68" s="242"/>
      <c r="R68" s="242"/>
      <c r="S68" s="242"/>
      <c r="T68" s="242"/>
      <c r="U68" s="242"/>
      <c r="V68" s="242"/>
      <c r="W68" s="242"/>
      <c r="X68" s="242"/>
      <c r="Y68" s="242"/>
      <c r="Z68" s="242"/>
      <c r="AA68" s="242"/>
      <c r="AB68" s="242"/>
      <c r="AC68" s="242"/>
      <c r="AD68" s="242"/>
      <c r="AE68" s="242"/>
      <c r="AF68" s="242"/>
      <c r="AG68" s="242"/>
      <c r="AH68" s="242"/>
      <c r="AI68" s="242"/>
      <c r="AJ68" s="242"/>
      <c r="AK68" s="242"/>
      <c r="AL68" s="242"/>
      <c r="AM68" s="242"/>
      <c r="AN68" s="242"/>
      <c r="AO68" s="242"/>
      <c r="AP68" s="242"/>
      <c r="AQ68" s="242"/>
      <c r="AR68" s="242"/>
    </row>
    <row r="69" spans="2:44" ht="18" customHeight="1">
      <c r="N69" s="242"/>
    </row>
  </sheetData>
  <mergeCells count="59">
    <mergeCell ref="B16:C18"/>
    <mergeCell ref="B25:C27"/>
    <mergeCell ref="F5:F6"/>
    <mergeCell ref="D10:D12"/>
    <mergeCell ref="E10:E12"/>
    <mergeCell ref="E28:E30"/>
    <mergeCell ref="G5:G6"/>
    <mergeCell ref="E7:E9"/>
    <mergeCell ref="D25:D27"/>
    <mergeCell ref="E25:E27"/>
    <mergeCell ref="E16:E18"/>
    <mergeCell ref="E40:F40"/>
    <mergeCell ref="B53:L53"/>
    <mergeCell ref="A50:F50"/>
    <mergeCell ref="A51:F51"/>
    <mergeCell ref="A46:F46"/>
    <mergeCell ref="E41:F41"/>
    <mergeCell ref="E42:F42"/>
    <mergeCell ref="E43:F43"/>
    <mergeCell ref="A41:D42"/>
    <mergeCell ref="A33:F33"/>
    <mergeCell ref="A7:C9"/>
    <mergeCell ref="D7:D9"/>
    <mergeCell ref="D28:D30"/>
    <mergeCell ref="A38:D39"/>
    <mergeCell ref="C35:D36"/>
    <mergeCell ref="A35:B36"/>
    <mergeCell ref="E36:F36"/>
    <mergeCell ref="E35:F35"/>
    <mergeCell ref="E38:F38"/>
    <mergeCell ref="E39:F39"/>
    <mergeCell ref="A19:A30"/>
    <mergeCell ref="A10:A15"/>
    <mergeCell ref="B22:C24"/>
    <mergeCell ref="B28:C30"/>
    <mergeCell ref="B19:C21"/>
    <mergeCell ref="B3:E3"/>
    <mergeCell ref="D5:D6"/>
    <mergeCell ref="E5:E6"/>
    <mergeCell ref="D22:D24"/>
    <mergeCell ref="E22:E24"/>
    <mergeCell ref="D19:D21"/>
    <mergeCell ref="B10:C10"/>
    <mergeCell ref="B13:C13"/>
    <mergeCell ref="D13:D15"/>
    <mergeCell ref="E13:E15"/>
    <mergeCell ref="B14:C15"/>
    <mergeCell ref="E19:E21"/>
    <mergeCell ref="A5:C6"/>
    <mergeCell ref="B11:C12"/>
    <mergeCell ref="A16:A18"/>
    <mergeCell ref="D16:D18"/>
    <mergeCell ref="B57:L57"/>
    <mergeCell ref="B56:L56"/>
    <mergeCell ref="A49:F49"/>
    <mergeCell ref="A45:F45"/>
    <mergeCell ref="B55:L55"/>
    <mergeCell ref="A47:F47"/>
    <mergeCell ref="B54:L54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52" firstPageNumber="32" fitToHeight="0" orientation="landscape" useFirstPageNumber="1" r:id="rId1"/>
  <headerFooter>
    <oddFooter>&amp;L&amp;P&amp;R&amp;G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C000"/>
  </sheetPr>
  <dimension ref="A2:AM107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U9" sqref="U9"/>
    </sheetView>
  </sheetViews>
  <sheetFormatPr defaultRowHeight="15" outlineLevelRow="3" outlineLevelCol="1"/>
  <cols>
    <col min="1" max="1" width="4.140625" style="589" hidden="1" customWidth="1" outlineLevel="1"/>
    <col min="2" max="2" width="27.5703125" style="589" hidden="1" customWidth="1" outlineLevel="1"/>
    <col min="3" max="5" width="11.140625" style="589" hidden="1" customWidth="1" outlineLevel="1"/>
    <col min="6" max="6" width="10.5703125" style="589" hidden="1" customWidth="1" outlineLevel="1"/>
    <col min="7" max="7" width="10.85546875" style="589" hidden="1" customWidth="1" outlineLevel="1"/>
    <col min="8" max="12" width="9.5703125" style="589" hidden="1" customWidth="1" outlineLevel="1"/>
    <col min="13" max="13" width="10.85546875" style="589" hidden="1" customWidth="1" outlineLevel="1"/>
    <col min="14" max="15" width="9.140625" style="589" hidden="1" customWidth="1" outlineLevel="1"/>
    <col min="16" max="17" width="10.85546875" style="589" hidden="1" customWidth="1" outlineLevel="1"/>
    <col min="18" max="18" width="9.140625" style="589" hidden="1" customWidth="1" outlineLevel="1"/>
    <col min="19" max="19" width="10.5703125" style="589" hidden="1" customWidth="1" outlineLevel="1"/>
    <col min="20" max="20" width="11" style="589" hidden="1" customWidth="1" outlineLevel="1"/>
    <col min="21" max="21" width="9.140625" style="589" hidden="1" customWidth="1" outlineLevel="1"/>
    <col min="22" max="22" width="10.85546875" style="589" hidden="1" customWidth="1" outlineLevel="1"/>
    <col min="23" max="27" width="9.140625" style="589" hidden="1" customWidth="1" outlineLevel="1"/>
    <col min="28" max="28" width="9.5703125" style="589" hidden="1" customWidth="1" outlineLevel="1"/>
    <col min="29" max="29" width="3.7109375" style="589" hidden="1" customWidth="1" outlineLevel="1"/>
    <col min="30" max="30" width="14" style="589" hidden="1" customWidth="1" outlineLevel="1"/>
    <col min="31" max="31" width="14.85546875" style="589" hidden="1" customWidth="1" outlineLevel="1"/>
    <col min="32" max="32" width="10.85546875" style="589" hidden="1" customWidth="1" outlineLevel="1"/>
    <col min="33" max="33" width="9.42578125" style="589" hidden="1" customWidth="1" outlineLevel="1"/>
    <col min="34" max="34" width="19.85546875" style="589" hidden="1" customWidth="1" outlineLevel="1"/>
    <col min="35" max="35" width="5.140625" style="589" hidden="1" customWidth="1" outlineLevel="1"/>
    <col min="36" max="36" width="17.140625" style="589" hidden="1" customWidth="1" outlineLevel="1"/>
    <col min="37" max="37" width="16.85546875" style="589" hidden="1" customWidth="1" outlineLevel="1"/>
    <col min="38" max="38" width="9.140625" style="589" hidden="1" customWidth="1" outlineLevel="1"/>
    <col min="39" max="39" width="9.140625" style="589" collapsed="1"/>
    <col min="40" max="16384" width="9.140625" style="589"/>
  </cols>
  <sheetData>
    <row r="2" spans="2:37" hidden="1" outlineLevel="1">
      <c r="B2" s="589" t="s">
        <v>2627</v>
      </c>
      <c r="AD2" s="4294" t="s">
        <v>2827</v>
      </c>
      <c r="AE2" s="4294"/>
      <c r="AF2" s="4294" t="s">
        <v>2828</v>
      </c>
      <c r="AG2" s="4294"/>
    </row>
    <row r="3" spans="2:37" ht="35.25" hidden="1" customHeight="1" outlineLevel="2">
      <c r="B3" s="4302" t="s">
        <v>1616</v>
      </c>
      <c r="C3" s="4303" t="s">
        <v>2628</v>
      </c>
      <c r="D3" s="4303"/>
      <c r="E3" s="4303"/>
      <c r="F3" s="1145"/>
      <c r="G3" s="4304" t="s">
        <v>2629</v>
      </c>
      <c r="H3" s="4305" t="s">
        <v>2630</v>
      </c>
      <c r="I3" s="4306"/>
      <c r="J3" s="4305" t="s">
        <v>3359</v>
      </c>
      <c r="K3" s="4308"/>
      <c r="L3" s="4306"/>
      <c r="M3" s="4305" t="s">
        <v>2631</v>
      </c>
      <c r="N3" s="4306"/>
      <c r="O3" s="1148"/>
      <c r="P3" s="4307" t="s">
        <v>2629</v>
      </c>
      <c r="Q3" s="4295" t="s">
        <v>2630</v>
      </c>
      <c r="R3" s="4295"/>
      <c r="S3" s="4299" t="s">
        <v>3359</v>
      </c>
      <c r="T3" s="4300"/>
      <c r="U3" s="4301"/>
      <c r="V3" s="4295" t="s">
        <v>2631</v>
      </c>
      <c r="W3" s="4295"/>
      <c r="X3" s="2905"/>
      <c r="Y3" s="2905"/>
      <c r="Z3" s="2905"/>
      <c r="AA3" s="2905"/>
      <c r="AB3" s="2905"/>
      <c r="AC3" s="1148"/>
      <c r="AD3" s="2910" t="s">
        <v>2693</v>
      </c>
      <c r="AE3" s="2910" t="s">
        <v>2821</v>
      </c>
      <c r="AF3" s="2910" t="s">
        <v>2693</v>
      </c>
      <c r="AG3" s="2910" t="s">
        <v>2821</v>
      </c>
      <c r="AJ3" s="2772" t="s">
        <v>1248</v>
      </c>
      <c r="AK3" s="4296" t="s">
        <v>2687</v>
      </c>
    </row>
    <row r="4" spans="2:37" ht="45" hidden="1" outlineLevel="2">
      <c r="B4" s="4302"/>
      <c r="C4" s="1145" t="s">
        <v>2632</v>
      </c>
      <c r="D4" s="1145" t="s">
        <v>2633</v>
      </c>
      <c r="E4" s="1145" t="s">
        <v>2634</v>
      </c>
      <c r="F4" s="1145" t="s">
        <v>2635</v>
      </c>
      <c r="G4" s="4304"/>
      <c r="H4" s="2740" t="s">
        <v>2636</v>
      </c>
      <c r="I4" s="2741" t="s">
        <v>2637</v>
      </c>
      <c r="J4" s="2741" t="s">
        <v>361</v>
      </c>
      <c r="K4" s="3800" t="s">
        <v>2636</v>
      </c>
      <c r="L4" s="3800" t="s">
        <v>2664</v>
      </c>
      <c r="M4" s="2740" t="s">
        <v>722</v>
      </c>
      <c r="N4" s="2741" t="s">
        <v>2638</v>
      </c>
      <c r="O4" s="2742"/>
      <c r="P4" s="4307"/>
      <c r="Q4" s="2743" t="s">
        <v>2636</v>
      </c>
      <c r="R4" s="2744" t="s">
        <v>2637</v>
      </c>
      <c r="S4" s="2744" t="s">
        <v>361</v>
      </c>
      <c r="T4" s="3801" t="s">
        <v>2636</v>
      </c>
      <c r="U4" s="3801" t="s">
        <v>2664</v>
      </c>
      <c r="V4" s="2743" t="s">
        <v>722</v>
      </c>
      <c r="W4" s="2744" t="s">
        <v>2638</v>
      </c>
      <c r="X4" s="2744" t="s">
        <v>2740</v>
      </c>
      <c r="Y4" s="2744" t="s">
        <v>2755</v>
      </c>
      <c r="Z4" s="2744" t="s">
        <v>2756</v>
      </c>
      <c r="AA4" s="2744" t="s">
        <v>1263</v>
      </c>
      <c r="AB4" s="2744" t="s">
        <v>2757</v>
      </c>
      <c r="AC4" s="2742"/>
      <c r="AD4" s="2910">
        <v>1.2</v>
      </c>
      <c r="AE4" s="2910">
        <v>1.35</v>
      </c>
      <c r="AF4" s="3152"/>
      <c r="AG4" s="3152"/>
      <c r="AH4" s="2745" t="s">
        <v>2639</v>
      </c>
      <c r="AJ4" s="2738" t="s">
        <v>2671</v>
      </c>
      <c r="AK4" s="4297"/>
    </row>
    <row r="5" spans="2:37" hidden="1" outlineLevel="2">
      <c r="B5" s="1145" t="s">
        <v>2640</v>
      </c>
      <c r="C5" s="1149">
        <v>0.8</v>
      </c>
      <c r="D5" s="1149">
        <v>2.1</v>
      </c>
      <c r="E5" s="2746">
        <f>C5*D5</f>
        <v>1.6800000000000002</v>
      </c>
      <c r="F5" s="1145"/>
      <c r="G5" s="1244">
        <f t="shared" ref="G5:G10" si="0">CEILING($C$37*E5, 500)</f>
        <v>7000</v>
      </c>
      <c r="H5" s="1244">
        <f t="shared" ref="H5:H10" si="1">CEILING($C$49*E5, 500)</f>
        <v>6500</v>
      </c>
      <c r="I5" s="1244">
        <f t="shared" ref="I5:I10" si="2">CEILING($D$49*E5, 500)</f>
        <v>8500</v>
      </c>
      <c r="J5" s="1244">
        <f t="shared" ref="J5:J10" si="3">CEILING($H$49*E5, 500)</f>
        <v>12500</v>
      </c>
      <c r="K5" s="1244">
        <f t="shared" ref="K5:K10" si="4">CEILING($G$49*E5, 500)</f>
        <v>10000</v>
      </c>
      <c r="L5" s="1244">
        <f t="shared" ref="L5:L10" si="5">CEILING($I$49*E5, 500)</f>
        <v>8000</v>
      </c>
      <c r="M5" s="1244"/>
      <c r="N5" s="1244"/>
      <c r="O5" s="2747"/>
      <c r="P5" s="2748">
        <v>7000</v>
      </c>
      <c r="Q5" s="2748">
        <f>P5</f>
        <v>7000</v>
      </c>
      <c r="R5" s="2748">
        <v>9000</v>
      </c>
      <c r="S5" s="2833">
        <f t="shared" ref="S5:T8" si="6">J5</f>
        <v>12500</v>
      </c>
      <c r="T5" s="2833">
        <f t="shared" si="6"/>
        <v>10000</v>
      </c>
      <c r="U5" s="2833">
        <v>9000</v>
      </c>
      <c r="V5" s="2748"/>
      <c r="W5" s="2748"/>
      <c r="X5" s="2748"/>
      <c r="Y5" s="2748"/>
      <c r="Z5" s="2748"/>
      <c r="AA5" s="2748"/>
      <c r="AB5" s="2748"/>
      <c r="AC5" s="2747"/>
      <c r="AD5" s="2833">
        <f>P5*$AD$4</f>
        <v>8400</v>
      </c>
      <c r="AE5" s="2833">
        <f>P5*$AE$4</f>
        <v>9450</v>
      </c>
      <c r="AF5" s="2833">
        <f>(AD5-P5)*2</f>
        <v>2800</v>
      </c>
      <c r="AG5" s="2833">
        <f>(AE5-P5)*2</f>
        <v>4900</v>
      </c>
      <c r="AH5" s="33" t="s">
        <v>81</v>
      </c>
      <c r="AJ5" s="2738" t="s">
        <v>1290</v>
      </c>
      <c r="AK5" s="4297"/>
    </row>
    <row r="6" spans="2:37" hidden="1" outlineLevel="2">
      <c r="B6" s="1145" t="s">
        <v>2326</v>
      </c>
      <c r="C6" s="1145"/>
      <c r="D6" s="1145"/>
      <c r="E6" s="2746">
        <f>E5-E8</f>
        <v>1.4000000000000001</v>
      </c>
      <c r="F6" s="1145"/>
      <c r="G6" s="1244">
        <f>CEILING($C$37*E6, 500)</f>
        <v>6000</v>
      </c>
      <c r="H6" s="1244">
        <f t="shared" si="1"/>
        <v>5500</v>
      </c>
      <c r="I6" s="1244">
        <f t="shared" si="2"/>
        <v>7000</v>
      </c>
      <c r="J6" s="1244">
        <f t="shared" si="3"/>
        <v>10500</v>
      </c>
      <c r="K6" s="1244">
        <f t="shared" si="4"/>
        <v>8500</v>
      </c>
      <c r="L6" s="1244">
        <f t="shared" si="5"/>
        <v>7000</v>
      </c>
      <c r="M6" s="1244"/>
      <c r="N6" s="1244"/>
      <c r="O6" s="2747"/>
      <c r="P6" s="2748">
        <v>6000</v>
      </c>
      <c r="Q6" s="2748">
        <f>P6</f>
        <v>6000</v>
      </c>
      <c r="R6" s="2748">
        <v>8000</v>
      </c>
      <c r="S6" s="2833">
        <f t="shared" si="6"/>
        <v>10500</v>
      </c>
      <c r="T6" s="2833">
        <f t="shared" si="6"/>
        <v>8500</v>
      </c>
      <c r="U6" s="2833">
        <v>8000</v>
      </c>
      <c r="V6" s="2748"/>
      <c r="W6" s="2748"/>
      <c r="X6" s="2748"/>
      <c r="Y6" s="2748"/>
      <c r="Z6" s="2748"/>
      <c r="AA6" s="2748"/>
      <c r="AB6" s="2748"/>
      <c r="AC6" s="2747"/>
      <c r="AD6" s="2833"/>
      <c r="AE6" s="2833"/>
      <c r="AF6" s="2833"/>
      <c r="AG6" s="2833"/>
      <c r="AH6" s="1232">
        <f t="shared" ref="AH6:AH11" si="7">G5*2</f>
        <v>14000</v>
      </c>
      <c r="AJ6" s="2739" t="s">
        <v>2686</v>
      </c>
      <c r="AK6" s="4298"/>
    </row>
    <row r="7" spans="2:37" hidden="1" outlineLevel="2">
      <c r="B7" s="1145" t="s">
        <v>2641</v>
      </c>
      <c r="C7" s="1149">
        <v>0.25</v>
      </c>
      <c r="D7" s="1149">
        <v>2.1</v>
      </c>
      <c r="E7" s="2746">
        <f>C7*D7</f>
        <v>0.52500000000000002</v>
      </c>
      <c r="F7" s="1145"/>
      <c r="G7" s="1244">
        <f t="shared" si="0"/>
        <v>2500</v>
      </c>
      <c r="H7" s="1244">
        <f t="shared" si="1"/>
        <v>2000</v>
      </c>
      <c r="I7" s="1244">
        <f t="shared" si="2"/>
        <v>3000</v>
      </c>
      <c r="J7" s="1244">
        <f t="shared" si="3"/>
        <v>4000</v>
      </c>
      <c r="K7" s="1244">
        <f t="shared" si="4"/>
        <v>3500</v>
      </c>
      <c r="L7" s="1244">
        <f t="shared" si="5"/>
        <v>2500</v>
      </c>
      <c r="M7" s="1244"/>
      <c r="N7" s="1244"/>
      <c r="O7" s="2747"/>
      <c r="P7" s="2749">
        <v>2500</v>
      </c>
      <c r="Q7" s="2749">
        <f>P7</f>
        <v>2500</v>
      </c>
      <c r="R7" s="2749">
        <v>3000</v>
      </c>
      <c r="S7" s="2833">
        <f t="shared" si="6"/>
        <v>4000</v>
      </c>
      <c r="T7" s="2833">
        <f t="shared" si="6"/>
        <v>3500</v>
      </c>
      <c r="U7" s="2833">
        <v>3000</v>
      </c>
      <c r="V7" s="2748"/>
      <c r="W7" s="2748"/>
      <c r="X7" s="2748"/>
      <c r="Y7" s="2748"/>
      <c r="Z7" s="2748"/>
      <c r="AA7" s="2748"/>
      <c r="AB7" s="2748"/>
      <c r="AC7" s="2747"/>
      <c r="AD7" s="2833">
        <f>P7*$AD$4</f>
        <v>3000</v>
      </c>
      <c r="AE7" s="2833">
        <f>Q7*$AE$4</f>
        <v>3375</v>
      </c>
      <c r="AF7" s="2833">
        <f>(AD7-P7)*2</f>
        <v>1000</v>
      </c>
      <c r="AG7" s="2833">
        <f>(AE7-P7)*2</f>
        <v>1750</v>
      </c>
      <c r="AH7" s="1232">
        <f t="shared" si="7"/>
        <v>12000</v>
      </c>
      <c r="AK7" s="589" t="s">
        <v>2689</v>
      </c>
    </row>
    <row r="8" spans="2:37" hidden="1" outlineLevel="2">
      <c r="B8" s="1145" t="s">
        <v>2642</v>
      </c>
      <c r="C8" s="1149">
        <v>0.8</v>
      </c>
      <c r="D8" s="1149">
        <f>0.25+0.1</f>
        <v>0.35</v>
      </c>
      <c r="E8" s="2746">
        <f>C8*D8</f>
        <v>0.27999999999999997</v>
      </c>
      <c r="F8" s="1145"/>
      <c r="G8" s="1244">
        <f t="shared" si="0"/>
        <v>1500</v>
      </c>
      <c r="H8" s="1244">
        <f t="shared" si="1"/>
        <v>1500</v>
      </c>
      <c r="I8" s="1244">
        <f t="shared" si="2"/>
        <v>1500</v>
      </c>
      <c r="J8" s="1244">
        <f t="shared" si="3"/>
        <v>2500</v>
      </c>
      <c r="K8" s="1244">
        <f t="shared" si="4"/>
        <v>2000</v>
      </c>
      <c r="L8" s="1244">
        <f t="shared" si="5"/>
        <v>1500</v>
      </c>
      <c r="M8" s="1244"/>
      <c r="N8" s="1244"/>
      <c r="O8" s="2747"/>
      <c r="P8" s="2748">
        <v>1500</v>
      </c>
      <c r="Q8" s="2748">
        <v>1500</v>
      </c>
      <c r="R8" s="2748">
        <v>2000</v>
      </c>
      <c r="S8" s="2833">
        <f t="shared" si="6"/>
        <v>2500</v>
      </c>
      <c r="T8" s="2833">
        <f t="shared" si="6"/>
        <v>2000</v>
      </c>
      <c r="U8" s="2833">
        <v>2000</v>
      </c>
      <c r="V8" s="2748"/>
      <c r="W8" s="2748"/>
      <c r="X8" s="2748"/>
      <c r="Y8" s="2748"/>
      <c r="Z8" s="2748"/>
      <c r="AA8" s="2748"/>
      <c r="AB8" s="2748"/>
      <c r="AC8" s="2747"/>
      <c r="AD8" s="2833">
        <f>P8*$AD$4</f>
        <v>1800</v>
      </c>
      <c r="AE8" s="2833">
        <f>P8*$AE$4</f>
        <v>2025.0000000000002</v>
      </c>
      <c r="AF8" s="2833">
        <f>(AD8-P8)*2</f>
        <v>600</v>
      </c>
      <c r="AG8" s="2833">
        <f>(AE8-P8)*2</f>
        <v>1050.0000000000005</v>
      </c>
      <c r="AH8" s="1232">
        <f t="shared" si="7"/>
        <v>5000</v>
      </c>
      <c r="AJ8" s="2772" t="s">
        <v>81</v>
      </c>
      <c r="AK8" s="4296" t="s">
        <v>2687</v>
      </c>
    </row>
    <row r="9" spans="2:37" hidden="1" outlineLevel="2">
      <c r="B9" s="1145" t="s">
        <v>2277</v>
      </c>
      <c r="C9" s="1149">
        <v>0.8</v>
      </c>
      <c r="D9" s="1149">
        <v>0.25</v>
      </c>
      <c r="E9" s="2746">
        <f t="shared" ref="E9:E14" si="8">C9*D9</f>
        <v>0.2</v>
      </c>
      <c r="F9" s="1145"/>
      <c r="G9" s="1244">
        <f t="shared" si="0"/>
        <v>1000</v>
      </c>
      <c r="H9" s="1244">
        <f t="shared" si="1"/>
        <v>1000</v>
      </c>
      <c r="I9" s="1244">
        <f t="shared" si="2"/>
        <v>1000</v>
      </c>
      <c r="J9" s="1244">
        <f t="shared" si="3"/>
        <v>1500</v>
      </c>
      <c r="K9" s="1244">
        <f t="shared" si="4"/>
        <v>1500</v>
      </c>
      <c r="L9" s="1244">
        <f t="shared" si="5"/>
        <v>1000</v>
      </c>
      <c r="M9" s="1244"/>
      <c r="N9" s="1244"/>
      <c r="O9" s="2747"/>
      <c r="P9" s="2750">
        <v>1000</v>
      </c>
      <c r="Q9" s="2750">
        <v>1000</v>
      </c>
      <c r="R9" s="2750">
        <v>1500</v>
      </c>
      <c r="S9" s="2833">
        <v>2000</v>
      </c>
      <c r="T9" s="2833">
        <f>K9</f>
        <v>1500</v>
      </c>
      <c r="U9" s="2833">
        <v>1500</v>
      </c>
      <c r="V9" s="2748"/>
      <c r="W9" s="2748"/>
      <c r="X9" s="2748"/>
      <c r="Y9" s="2748"/>
      <c r="Z9" s="2748"/>
      <c r="AA9" s="2748"/>
      <c r="AB9" s="2748"/>
      <c r="AC9" s="2747"/>
      <c r="AD9" s="2833">
        <f>P9*$AD$4</f>
        <v>1200</v>
      </c>
      <c r="AE9" s="2833">
        <f>P9*$AE$4</f>
        <v>1350</v>
      </c>
      <c r="AF9" s="2833">
        <f>(AD9-P9)*2</f>
        <v>400</v>
      </c>
      <c r="AG9" s="2833">
        <f>(AE9-P9)*2</f>
        <v>700</v>
      </c>
      <c r="AH9" s="1232">
        <f>G8*2</f>
        <v>3000</v>
      </c>
      <c r="AJ9" s="2738" t="s">
        <v>2688</v>
      </c>
      <c r="AK9" s="4297"/>
    </row>
    <row r="10" spans="2:37" ht="15.75" hidden="1" outlineLevel="2" thickBot="1">
      <c r="B10" s="2751" t="s">
        <v>2643</v>
      </c>
      <c r="C10" s="2752">
        <v>0.04</v>
      </c>
      <c r="D10" s="2752">
        <v>2.1</v>
      </c>
      <c r="E10" s="2753">
        <f t="shared" si="8"/>
        <v>8.4000000000000005E-2</v>
      </c>
      <c r="F10" s="2751"/>
      <c r="G10" s="2754">
        <f t="shared" si="0"/>
        <v>500</v>
      </c>
      <c r="H10" s="2754">
        <f t="shared" si="1"/>
        <v>500</v>
      </c>
      <c r="I10" s="2754">
        <f t="shared" si="2"/>
        <v>500</v>
      </c>
      <c r="J10" s="2754">
        <f t="shared" si="3"/>
        <v>1000</v>
      </c>
      <c r="K10" s="2754">
        <f t="shared" si="4"/>
        <v>500</v>
      </c>
      <c r="L10" s="2754">
        <f t="shared" si="5"/>
        <v>500</v>
      </c>
      <c r="M10" s="2754"/>
      <c r="N10" s="2754"/>
      <c r="O10" s="2747"/>
      <c r="P10" s="2748">
        <v>500</v>
      </c>
      <c r="Q10" s="2755">
        <v>500</v>
      </c>
      <c r="R10" s="2755">
        <v>1000</v>
      </c>
      <c r="S10" s="2833">
        <f>J10</f>
        <v>1000</v>
      </c>
      <c r="T10" s="2833">
        <v>1000</v>
      </c>
      <c r="U10" s="2833">
        <v>1000</v>
      </c>
      <c r="V10" s="2755"/>
      <c r="W10" s="2755"/>
      <c r="X10" s="2748"/>
      <c r="Y10" s="2748"/>
      <c r="Z10" s="2748"/>
      <c r="AA10" s="2748"/>
      <c r="AB10" s="2748"/>
      <c r="AC10" s="2747"/>
      <c r="AD10" s="2747"/>
      <c r="AE10" s="2747"/>
      <c r="AF10" s="2747"/>
      <c r="AG10" s="2747"/>
      <c r="AH10" s="1232">
        <f t="shared" si="7"/>
        <v>2000</v>
      </c>
      <c r="AJ10" s="2739" t="s">
        <v>2686</v>
      </c>
      <c r="AK10" s="4298"/>
    </row>
    <row r="11" spans="2:37" ht="15.75" hidden="1" outlineLevel="2" thickTop="1">
      <c r="B11" s="2756" t="s">
        <v>2644</v>
      </c>
      <c r="C11" s="2757">
        <v>0.59799999999999998</v>
      </c>
      <c r="D11" s="2757">
        <v>1.788</v>
      </c>
      <c r="E11" s="2758">
        <f t="shared" si="8"/>
        <v>1.069224</v>
      </c>
      <c r="F11" s="2756"/>
      <c r="G11" s="2759"/>
      <c r="H11" s="2759"/>
      <c r="I11" s="2759"/>
      <c r="J11" s="2759"/>
      <c r="K11" s="2759"/>
      <c r="L11" s="2759"/>
      <c r="M11" s="2759">
        <f>CEILING($C$25*E11, 500)</f>
        <v>5000</v>
      </c>
      <c r="N11" s="2759">
        <f>CEILING($D$25*E11, 500)</f>
        <v>5500</v>
      </c>
      <c r="O11" s="2747"/>
      <c r="P11" s="2760"/>
      <c r="Q11" s="2760">
        <f>V11</f>
        <v>5000</v>
      </c>
      <c r="R11" s="2760">
        <f>W11</f>
        <v>5500</v>
      </c>
      <c r="S11" s="2760"/>
      <c r="T11" s="2760"/>
      <c r="U11" s="2760"/>
      <c r="V11" s="2760">
        <f>M11</f>
        <v>5000</v>
      </c>
      <c r="W11" s="2760">
        <f>N11</f>
        <v>5500</v>
      </c>
      <c r="X11" s="2748"/>
      <c r="Y11" s="2748"/>
      <c r="Z11" s="2748"/>
      <c r="AA11" s="2748">
        <v>750</v>
      </c>
      <c r="AB11" s="2748"/>
      <c r="AC11" s="2747">
        <f>V11/2-Q11</f>
        <v>-2500</v>
      </c>
      <c r="AD11" s="2747"/>
      <c r="AE11" s="2747"/>
      <c r="AF11" s="2747"/>
      <c r="AG11" s="2747"/>
      <c r="AH11" s="1232">
        <f t="shared" si="7"/>
        <v>1000</v>
      </c>
    </row>
    <row r="12" spans="2:37" hidden="1" outlineLevel="2">
      <c r="B12" s="1145" t="s">
        <v>2645</v>
      </c>
      <c r="C12" s="1149">
        <v>0.624</v>
      </c>
      <c r="D12" s="1149">
        <v>1.9990000000000001</v>
      </c>
      <c r="E12" s="2746">
        <f t="shared" si="8"/>
        <v>1.247376</v>
      </c>
      <c r="F12" s="1145"/>
      <c r="G12" s="1244"/>
      <c r="H12" s="1244"/>
      <c r="I12" s="1244"/>
      <c r="J12" s="2786"/>
      <c r="K12" s="2786"/>
      <c r="L12" s="2786"/>
      <c r="M12" s="1244">
        <f>CEILING($C$25*E12, 500)</f>
        <v>6000</v>
      </c>
      <c r="N12" s="1244">
        <f>CEILING($D$25*E12, 500)</f>
        <v>6500</v>
      </c>
      <c r="O12" s="1244"/>
      <c r="P12" s="2748"/>
      <c r="Q12" s="2760">
        <f>V12</f>
        <v>6000</v>
      </c>
      <c r="R12" s="2760">
        <f>W12</f>
        <v>6500</v>
      </c>
      <c r="S12" s="2760"/>
      <c r="T12" s="2760"/>
      <c r="U12" s="2760"/>
      <c r="V12" s="2760">
        <f t="shared" ref="V12:W14" si="9">M12</f>
        <v>6000</v>
      </c>
      <c r="W12" s="2760">
        <f t="shared" si="9"/>
        <v>6500</v>
      </c>
      <c r="X12" s="2748"/>
      <c r="Y12" s="2748">
        <v>2000</v>
      </c>
      <c r="Z12" s="2748">
        <v>3000</v>
      </c>
      <c r="AA12" s="2748">
        <v>750</v>
      </c>
      <c r="AB12" s="2748">
        <v>10000</v>
      </c>
      <c r="AC12" s="2747">
        <f>V12/2-Q12</f>
        <v>-3000</v>
      </c>
      <c r="AD12" s="2747" t="s">
        <v>2822</v>
      </c>
      <c r="AE12" s="2747"/>
      <c r="AF12" s="2747"/>
      <c r="AG12" s="2747"/>
      <c r="AJ12" s="2773" t="s">
        <v>2690</v>
      </c>
      <c r="AK12" s="2774" t="s">
        <v>2691</v>
      </c>
    </row>
    <row r="13" spans="2:37" hidden="1" outlineLevel="2">
      <c r="B13" s="1145" t="s">
        <v>2646</v>
      </c>
      <c r="C13" s="1149">
        <v>0.58499999999999996</v>
      </c>
      <c r="D13" s="1149">
        <v>0.27800000000000002</v>
      </c>
      <c r="E13" s="2746">
        <f t="shared" si="8"/>
        <v>0.16263</v>
      </c>
      <c r="F13" s="1145"/>
      <c r="G13" s="1244"/>
      <c r="H13" s="1244"/>
      <c r="I13" s="1244"/>
      <c r="J13" s="2786"/>
      <c r="K13" s="2786"/>
      <c r="L13" s="2786"/>
      <c r="M13" s="1244">
        <f>CEILING($C$25*E13, 500)</f>
        <v>1000</v>
      </c>
      <c r="N13" s="1244">
        <f>CEILING($D$25*E13, 500)</f>
        <v>1000</v>
      </c>
      <c r="O13" s="1244"/>
      <c r="P13" s="2748"/>
      <c r="Q13" s="2760"/>
      <c r="R13" s="2760"/>
      <c r="S13" s="2760"/>
      <c r="T13" s="2760"/>
      <c r="U13" s="2760"/>
      <c r="V13" s="2760">
        <f t="shared" si="9"/>
        <v>1000</v>
      </c>
      <c r="W13" s="2760">
        <f t="shared" si="9"/>
        <v>1000</v>
      </c>
      <c r="X13" s="2748"/>
      <c r="Y13" s="2748"/>
      <c r="Z13" s="2748"/>
      <c r="AA13" s="2748">
        <v>450</v>
      </c>
      <c r="AB13" s="2748"/>
      <c r="AC13" s="2747"/>
      <c r="AD13" s="2910">
        <v>1.1499999999999999</v>
      </c>
      <c r="AE13" s="2910">
        <v>1.3</v>
      </c>
      <c r="AF13" s="3152"/>
      <c r="AG13" s="3152"/>
    </row>
    <row r="14" spans="2:37" ht="15.75" hidden="1" outlineLevel="2" thickBot="1">
      <c r="B14" s="2751" t="s">
        <v>2647</v>
      </c>
      <c r="C14" s="2752">
        <v>0.58499999999999996</v>
      </c>
      <c r="D14" s="2752">
        <v>4.2000000000000003E-2</v>
      </c>
      <c r="E14" s="2753">
        <f t="shared" si="8"/>
        <v>2.4570000000000002E-2</v>
      </c>
      <c r="F14" s="2751"/>
      <c r="G14" s="2754"/>
      <c r="H14" s="2754"/>
      <c r="I14" s="2754"/>
      <c r="J14" s="2754"/>
      <c r="K14" s="2754"/>
      <c r="L14" s="2754"/>
      <c r="M14" s="2754">
        <f>CEILING($C$25*E14, 500)</f>
        <v>500</v>
      </c>
      <c r="N14" s="2754">
        <f>CEILING($D$25*E14, 500)</f>
        <v>500</v>
      </c>
      <c r="O14" s="2761"/>
      <c r="P14" s="2755"/>
      <c r="Q14" s="2760"/>
      <c r="R14" s="2760"/>
      <c r="S14" s="2760"/>
      <c r="T14" s="2760"/>
      <c r="U14" s="2760"/>
      <c r="V14" s="2760">
        <f t="shared" si="9"/>
        <v>500</v>
      </c>
      <c r="W14" s="2760">
        <f t="shared" si="9"/>
        <v>500</v>
      </c>
      <c r="X14" s="2748"/>
      <c r="Y14" s="2748"/>
      <c r="Z14" s="2748"/>
      <c r="AA14" s="2748"/>
      <c r="AB14" s="2748"/>
      <c r="AC14" s="2747"/>
      <c r="AD14" s="2786">
        <f>P6*AD13</f>
        <v>6899.9999999999991</v>
      </c>
      <c r="AE14" s="2786">
        <f>P6*AE13</f>
        <v>7800</v>
      </c>
      <c r="AF14" s="2747"/>
      <c r="AG14" s="2747"/>
    </row>
    <row r="15" spans="2:37" ht="15.75" hidden="1" outlineLevel="2" thickTop="1">
      <c r="B15" s="2762" t="s">
        <v>2648</v>
      </c>
      <c r="C15" s="2757">
        <v>0.57599999999999996</v>
      </c>
      <c r="D15" s="2757">
        <v>1.7</v>
      </c>
      <c r="E15" s="2758">
        <f>C15*D15</f>
        <v>0.97919999999999985</v>
      </c>
      <c r="F15" s="2758">
        <f>C15*2+D15*2</f>
        <v>4.5519999999999996</v>
      </c>
      <c r="G15" s="2759"/>
      <c r="H15" s="2759">
        <f>CEILING($C$49*E15+F15*$C$74, 500)</f>
        <v>8000</v>
      </c>
      <c r="I15" s="2759">
        <f>CEILING($D$49*E15+F15*$C$74, 500)</f>
        <v>9000</v>
      </c>
      <c r="J15" s="2759"/>
      <c r="K15" s="2759"/>
      <c r="L15" s="2759"/>
      <c r="M15" s="2759"/>
      <c r="N15" s="2759"/>
      <c r="O15" s="2759"/>
      <c r="P15" s="2759"/>
      <c r="Q15" s="2759"/>
      <c r="R15" s="2759"/>
      <c r="S15" s="2759"/>
      <c r="T15" s="2759"/>
      <c r="U15" s="2759"/>
      <c r="V15" s="2759"/>
      <c r="W15" s="2759"/>
      <c r="X15" s="2747"/>
      <c r="Y15" s="2747"/>
      <c r="Z15" s="2747"/>
      <c r="AA15" s="2747"/>
      <c r="AB15" s="2747"/>
      <c r="AC15" s="2747"/>
      <c r="AD15" s="2747"/>
      <c r="AE15" s="2747"/>
      <c r="AF15" s="2747"/>
      <c r="AG15" s="2747"/>
    </row>
    <row r="16" spans="2:37" ht="30" hidden="1" outlineLevel="2">
      <c r="B16" s="2763" t="s">
        <v>2649</v>
      </c>
      <c r="C16" s="1149">
        <v>0.57599999999999996</v>
      </c>
      <c r="D16" s="1149">
        <v>1.1259999999999999</v>
      </c>
      <c r="E16" s="2746">
        <f>C16*D16</f>
        <v>0.64857599999999993</v>
      </c>
      <c r="F16" s="2746">
        <f>C16*2+D16*2</f>
        <v>3.4039999999999999</v>
      </c>
      <c r="G16" s="1244"/>
      <c r="H16" s="1244">
        <f>CEILING($C$49*E16+F16*$C$74, 500)</f>
        <v>5500</v>
      </c>
      <c r="I16" s="1244">
        <f>CEILING($D$49*E16+F16*$C$74, 500)</f>
        <v>6500</v>
      </c>
      <c r="J16" s="2786"/>
      <c r="K16" s="2786"/>
      <c r="L16" s="2786"/>
      <c r="M16" s="1244"/>
      <c r="N16" s="1244"/>
      <c r="O16" s="1244"/>
      <c r="P16" s="1244"/>
      <c r="Q16" s="1244"/>
      <c r="R16" s="1244"/>
      <c r="S16" s="2786"/>
      <c r="T16" s="2786"/>
      <c r="U16" s="2786"/>
      <c r="V16" s="1244"/>
      <c r="W16" s="1244"/>
      <c r="X16" s="2747"/>
      <c r="Y16" s="2747"/>
      <c r="Z16" s="2747"/>
      <c r="AA16" s="2747"/>
      <c r="AB16" s="2747"/>
      <c r="AC16" s="2747"/>
      <c r="AD16" s="2747"/>
      <c r="AE16" s="2747"/>
      <c r="AF16" s="2747"/>
      <c r="AG16" s="2747"/>
    </row>
    <row r="17" spans="1:34" ht="30" hidden="1" outlineLevel="2">
      <c r="B17" s="2763" t="s">
        <v>2650</v>
      </c>
      <c r="C17" s="1149">
        <f>C18+C19</f>
        <v>1.1519999999999999</v>
      </c>
      <c r="D17" s="1149">
        <f>D18+D19</f>
        <v>1.1830000000000001</v>
      </c>
      <c r="E17" s="2746">
        <f>C17*D17</f>
        <v>1.362816</v>
      </c>
      <c r="F17" s="2746">
        <f>C17*2+D17*2</f>
        <v>4.67</v>
      </c>
      <c r="G17" s="1244"/>
      <c r="H17" s="2764">
        <f>CEILING($C$49*E17+F17*$C$74, 500)</f>
        <v>9500</v>
      </c>
      <c r="I17" s="2764">
        <f>CEILING($D$49*E17+F17*$C$74, 500)</f>
        <v>11000</v>
      </c>
      <c r="J17" s="3815"/>
      <c r="K17" s="3815"/>
      <c r="L17" s="3815"/>
      <c r="M17" s="1244"/>
      <c r="N17" s="1244"/>
      <c r="O17" s="2747"/>
      <c r="P17" s="1244"/>
      <c r="Q17" s="2764">
        <f>CEILING($C$49*N17+O17*$C$74, 500)</f>
        <v>0</v>
      </c>
      <c r="R17" s="2764">
        <f>CEILING($D$49*N17+O17*$C$74, 500)</f>
        <v>0</v>
      </c>
      <c r="S17" s="3815"/>
      <c r="T17" s="3815"/>
      <c r="U17" s="3815"/>
      <c r="V17" s="1244"/>
      <c r="W17" s="1244"/>
      <c r="X17" s="2747"/>
      <c r="Y17" s="2747"/>
      <c r="Z17" s="2747"/>
      <c r="AA17" s="2747"/>
      <c r="AB17" s="2747"/>
      <c r="AC17" s="2747"/>
      <c r="AD17" s="2747"/>
      <c r="AE17" s="2747"/>
      <c r="AF17" s="2747"/>
      <c r="AG17" s="2747"/>
      <c r="AH17" s="1276"/>
    </row>
    <row r="18" spans="1:34" ht="30" hidden="1" outlineLevel="2">
      <c r="B18" s="2763" t="s">
        <v>2651</v>
      </c>
      <c r="C18" s="1149">
        <v>0.57599999999999996</v>
      </c>
      <c r="D18" s="1149">
        <v>0.86299999999999999</v>
      </c>
      <c r="E18" s="2746">
        <f>C18*D18</f>
        <v>0.49708799999999997</v>
      </c>
      <c r="F18" s="2746">
        <f>C18*2+D18*2</f>
        <v>2.8780000000000001</v>
      </c>
      <c r="G18" s="1244"/>
      <c r="H18" s="2764">
        <f>CEILING($C$49*E18+F18*$C$74, 500)</f>
        <v>4500</v>
      </c>
      <c r="I18" s="2764">
        <f>CEILING($D$49*E18+F18*$C$74, 500)</f>
        <v>5500</v>
      </c>
      <c r="J18" s="3815"/>
      <c r="K18" s="3815"/>
      <c r="L18" s="3815"/>
      <c r="M18" s="1244"/>
      <c r="N18" s="1244"/>
      <c r="O18" s="2747"/>
      <c r="P18" s="1244"/>
      <c r="Q18" s="2764">
        <f>CEILING($C$49*N18+O18*$C$74, 500)</f>
        <v>0</v>
      </c>
      <c r="R18" s="2764">
        <f>CEILING($D$49*N18+O18*$C$74, 500)</f>
        <v>0</v>
      </c>
      <c r="S18" s="3815"/>
      <c r="T18" s="3815"/>
      <c r="U18" s="3815"/>
      <c r="V18" s="1244"/>
      <c r="W18" s="1244"/>
      <c r="X18" s="2747"/>
      <c r="Y18" s="2747"/>
      <c r="Z18" s="2747"/>
      <c r="AA18" s="2747"/>
      <c r="AB18" s="2747"/>
      <c r="AC18" s="2747"/>
      <c r="AD18" s="2747"/>
      <c r="AE18" s="2747"/>
      <c r="AF18" s="2747"/>
      <c r="AG18" s="2747"/>
    </row>
    <row r="19" spans="1:34" ht="30" hidden="1" outlineLevel="2">
      <c r="B19" s="2763" t="s">
        <v>2652</v>
      </c>
      <c r="C19" s="1149">
        <v>0.57599999999999996</v>
      </c>
      <c r="D19" s="1149">
        <v>0.32</v>
      </c>
      <c r="E19" s="2746">
        <f>C19*D19</f>
        <v>0.18431999999999998</v>
      </c>
      <c r="F19" s="2746">
        <f>C19*2+D19*2</f>
        <v>1.7919999999999998</v>
      </c>
      <c r="G19" s="1244"/>
      <c r="H19" s="2764">
        <f>CEILING($C$49*E19+F19*$C$74, 100)</f>
        <v>2300</v>
      </c>
      <c r="I19" s="2764">
        <f>CEILING($D$49*E19+F19*$C$74, 100)</f>
        <v>2600</v>
      </c>
      <c r="J19" s="3815"/>
      <c r="K19" s="3815"/>
      <c r="L19" s="3815"/>
      <c r="M19" s="1244"/>
      <c r="N19" s="1244"/>
      <c r="O19" s="2747"/>
      <c r="P19" s="1244"/>
      <c r="Q19" s="2764">
        <f>CEILING($C$49*N19+O19*$C$74, 100)</f>
        <v>0</v>
      </c>
      <c r="R19" s="2764">
        <f>CEILING($D$49*N19+O19*$C$74, 100)</f>
        <v>0</v>
      </c>
      <c r="S19" s="3815"/>
      <c r="T19" s="3815"/>
      <c r="U19" s="3815"/>
      <c r="V19" s="1244"/>
      <c r="W19" s="1244"/>
      <c r="X19" s="2747"/>
      <c r="Y19" s="2747"/>
      <c r="Z19" s="2747"/>
      <c r="AA19" s="2747"/>
      <c r="AB19" s="2747"/>
      <c r="AC19" s="2747"/>
      <c r="AD19" s="2747"/>
      <c r="AE19" s="2747"/>
      <c r="AF19" s="2747"/>
      <c r="AG19" s="2747"/>
    </row>
    <row r="20" spans="1:34" hidden="1" outlineLevel="1"/>
    <row r="21" spans="1:34" hidden="1" outlineLevel="1">
      <c r="R21" s="1276"/>
      <c r="S21" s="1276"/>
      <c r="T21" s="1276"/>
      <c r="U21" s="1276"/>
    </row>
    <row r="22" spans="1:34" hidden="1" outlineLevel="1">
      <c r="A22" s="22" t="s">
        <v>2465</v>
      </c>
      <c r="R22" s="589">
        <f>R5/Q5</f>
        <v>1.2857142857142858</v>
      </c>
    </row>
    <row r="23" spans="1:34" hidden="1" outlineLevel="2">
      <c r="A23" s="22"/>
      <c r="B23" s="589" t="s">
        <v>2653</v>
      </c>
      <c r="C23" s="1232">
        <v>2160</v>
      </c>
      <c r="D23" s="1232">
        <v>2450</v>
      </c>
    </row>
    <row r="24" spans="1:34" hidden="1" outlineLevel="2">
      <c r="A24" s="22"/>
      <c r="B24" s="589" t="s">
        <v>2654</v>
      </c>
      <c r="C24" s="1232">
        <f>C23*1.25</f>
        <v>2700</v>
      </c>
      <c r="D24" s="1232">
        <f>D23*1.25</f>
        <v>3062.5</v>
      </c>
    </row>
    <row r="25" spans="1:34" hidden="1" outlineLevel="2">
      <c r="A25" s="22"/>
      <c r="B25" s="589" t="s">
        <v>2655</v>
      </c>
      <c r="C25" s="1232">
        <f>C24*1.65</f>
        <v>4455</v>
      </c>
      <c r="D25" s="1232">
        <f>D24*1.65</f>
        <v>5053.125</v>
      </c>
    </row>
    <row r="26" spans="1:34" s="2765" customFormat="1" hidden="1" outlineLevel="2">
      <c r="A26" s="2740"/>
      <c r="B26" s="2740" t="s">
        <v>2656</v>
      </c>
      <c r="C26" s="2741" t="s">
        <v>722</v>
      </c>
      <c r="D26" s="2740" t="s">
        <v>2657</v>
      </c>
      <c r="E26" s="589"/>
      <c r="G26" s="589"/>
      <c r="H26" s="589"/>
      <c r="M26" s="589"/>
      <c r="P26" s="589"/>
      <c r="Q26" s="589"/>
      <c r="V26" s="589"/>
    </row>
    <row r="27" spans="1:34" hidden="1" outlineLevel="2">
      <c r="A27" s="1145">
        <v>1</v>
      </c>
      <c r="B27" s="1145" t="s">
        <v>2644</v>
      </c>
      <c r="C27" s="2766">
        <v>5000</v>
      </c>
      <c r="D27" s="2766">
        <v>5500</v>
      </c>
    </row>
    <row r="28" spans="1:34" hidden="1" outlineLevel="2">
      <c r="A28" s="1145">
        <v>2</v>
      </c>
      <c r="B28" s="1145" t="s">
        <v>2645</v>
      </c>
      <c r="C28" s="2766">
        <v>6000</v>
      </c>
      <c r="D28" s="2766">
        <v>6500</v>
      </c>
    </row>
    <row r="29" spans="1:34" hidden="1" outlineLevel="2">
      <c r="A29" s="1145">
        <v>3</v>
      </c>
      <c r="B29" s="1145" t="s">
        <v>2646</v>
      </c>
      <c r="C29" s="2766">
        <v>1000</v>
      </c>
      <c r="D29" s="2766">
        <v>1000</v>
      </c>
    </row>
    <row r="30" spans="1:34" hidden="1" outlineLevel="2">
      <c r="A30" s="1145">
        <v>4</v>
      </c>
      <c r="B30" s="1145" t="s">
        <v>2647</v>
      </c>
      <c r="C30" s="2766">
        <v>500</v>
      </c>
      <c r="D30" s="2766">
        <v>500</v>
      </c>
    </row>
    <row r="31" spans="1:34" hidden="1" outlineLevel="2">
      <c r="A31" s="1145"/>
      <c r="B31" s="1145"/>
      <c r="C31" s="1244"/>
      <c r="D31" s="1244"/>
    </row>
    <row r="32" spans="1:34" hidden="1" outlineLevel="2"/>
    <row r="33" spans="1:22" hidden="1" outlineLevel="1"/>
    <row r="34" spans="1:22" hidden="1" outlineLevel="1">
      <c r="A34" s="22" t="s">
        <v>2658</v>
      </c>
    </row>
    <row r="35" spans="1:22" hidden="1" outlineLevel="2">
      <c r="A35" s="22"/>
      <c r="B35" s="589" t="s">
        <v>2653</v>
      </c>
      <c r="C35" s="1232">
        <v>1950</v>
      </c>
      <c r="D35" s="1232" t="s">
        <v>985</v>
      </c>
    </row>
    <row r="36" spans="1:22" hidden="1" outlineLevel="2">
      <c r="A36" s="22"/>
      <c r="B36" s="589" t="s">
        <v>2654</v>
      </c>
      <c r="C36" s="1232">
        <f>C35*1.25</f>
        <v>2437.5</v>
      </c>
      <c r="D36" s="1232"/>
    </row>
    <row r="37" spans="1:22" hidden="1" outlineLevel="2">
      <c r="A37" s="22"/>
      <c r="B37" s="589" t="s">
        <v>2655</v>
      </c>
      <c r="C37" s="1232">
        <f>C36*1.65</f>
        <v>4021.875</v>
      </c>
      <c r="D37" s="1232"/>
    </row>
    <row r="38" spans="1:22" s="2765" customFormat="1" ht="75" hidden="1" outlineLevel="2">
      <c r="A38" s="2740"/>
      <c r="B38" s="2740" t="s">
        <v>2656</v>
      </c>
      <c r="C38" s="2741" t="s">
        <v>1296</v>
      </c>
      <c r="D38" s="2741" t="s">
        <v>2659</v>
      </c>
      <c r="E38" s="2741" t="s">
        <v>2660</v>
      </c>
      <c r="G38" s="589"/>
      <c r="H38" s="589"/>
      <c r="M38" s="589"/>
      <c r="P38" s="589"/>
      <c r="Q38" s="589"/>
      <c r="V38" s="589"/>
    </row>
    <row r="39" spans="1:22" hidden="1" outlineLevel="2">
      <c r="A39" s="1145">
        <v>4</v>
      </c>
      <c r="B39" s="1145" t="s">
        <v>2640</v>
      </c>
      <c r="C39" s="1244">
        <v>7000</v>
      </c>
      <c r="D39" s="1244">
        <f>CEILING(C39*0.6, 500)</f>
        <v>4500</v>
      </c>
      <c r="E39" s="1244">
        <f>C39</f>
        <v>7000</v>
      </c>
      <c r="G39" s="1276"/>
    </row>
    <row r="40" spans="1:22" hidden="1" outlineLevel="2">
      <c r="A40" s="1145">
        <v>1</v>
      </c>
      <c r="B40" s="1145" t="s">
        <v>2661</v>
      </c>
      <c r="C40" s="2766">
        <v>1500</v>
      </c>
      <c r="D40" s="1244">
        <f>CEILING(C40*0.6, 500)</f>
        <v>1000</v>
      </c>
      <c r="E40" s="1244">
        <f>C40</f>
        <v>1500</v>
      </c>
    </row>
    <row r="41" spans="1:22" hidden="1" outlineLevel="2">
      <c r="A41" s="1145">
        <v>2</v>
      </c>
      <c r="B41" s="1145" t="s">
        <v>2662</v>
      </c>
      <c r="C41" s="2766">
        <v>2000</v>
      </c>
      <c r="D41" s="1244">
        <f>CEILING(C41*0.6, 500)</f>
        <v>1500</v>
      </c>
      <c r="E41" s="1244">
        <f>C41</f>
        <v>2000</v>
      </c>
    </row>
    <row r="42" spans="1:22" hidden="1" outlineLevel="2">
      <c r="A42" s="1145">
        <v>3</v>
      </c>
      <c r="B42" s="1145" t="s">
        <v>2326</v>
      </c>
      <c r="C42" s="2766">
        <v>6000</v>
      </c>
      <c r="D42" s="1244">
        <f>CEILING(C42*0.6, 500)</f>
        <v>4000</v>
      </c>
      <c r="E42" s="1244">
        <f>C42</f>
        <v>6000</v>
      </c>
    </row>
    <row r="43" spans="1:22" hidden="1" outlineLevel="2">
      <c r="A43" s="1145"/>
      <c r="B43" s="1145"/>
      <c r="C43" s="1244"/>
      <c r="D43" s="1244"/>
      <c r="E43" s="1244"/>
    </row>
    <row r="44" spans="1:22" hidden="1" outlineLevel="2"/>
    <row r="45" spans="1:22" hidden="1" outlineLevel="1">
      <c r="G45" s="1276"/>
    </row>
    <row r="46" spans="1:22" hidden="1" outlineLevel="1">
      <c r="A46" s="22" t="s">
        <v>2663</v>
      </c>
      <c r="G46" s="22" t="s">
        <v>3358</v>
      </c>
    </row>
    <row r="47" spans="1:22" hidden="1" outlineLevel="2">
      <c r="A47" s="22"/>
      <c r="B47" s="589" t="s">
        <v>2653</v>
      </c>
      <c r="C47" s="1232">
        <v>1800</v>
      </c>
      <c r="D47" s="1232">
        <v>2400</v>
      </c>
      <c r="E47" s="1232">
        <v>2300</v>
      </c>
      <c r="F47" s="1232" t="s">
        <v>985</v>
      </c>
      <c r="G47" s="1232">
        <v>2800</v>
      </c>
      <c r="H47" s="1232">
        <v>3600</v>
      </c>
      <c r="I47" s="1232">
        <v>2300</v>
      </c>
      <c r="J47" s="1232" t="s">
        <v>985</v>
      </c>
    </row>
    <row r="48" spans="1:22" hidden="1" outlineLevel="2">
      <c r="A48" s="22"/>
      <c r="B48" s="589" t="s">
        <v>2654</v>
      </c>
      <c r="C48" s="1232">
        <f>C47*1.25</f>
        <v>2250</v>
      </c>
      <c r="D48" s="1232">
        <f>D47*1.25</f>
        <v>3000</v>
      </c>
      <c r="E48" s="1232">
        <f>E47*1.25</f>
        <v>2875</v>
      </c>
      <c r="G48" s="1232">
        <f>G47*1.25</f>
        <v>3500</v>
      </c>
      <c r="H48" s="1232">
        <f>H47*1.25</f>
        <v>4500</v>
      </c>
      <c r="I48" s="1232">
        <f>I47*1.25</f>
        <v>2875</v>
      </c>
    </row>
    <row r="49" spans="1:22" hidden="1" outlineLevel="2">
      <c r="A49" s="22"/>
      <c r="B49" s="589" t="s">
        <v>2655</v>
      </c>
      <c r="C49" s="1232">
        <f>C48*1.65</f>
        <v>3712.5</v>
      </c>
      <c r="D49" s="1232">
        <f>D48*1.65</f>
        <v>4950</v>
      </c>
      <c r="E49" s="1232">
        <f>E48*1.65</f>
        <v>4743.75</v>
      </c>
      <c r="G49" s="1232">
        <f>G48*1.65</f>
        <v>5775</v>
      </c>
      <c r="H49" s="1232">
        <f>H48*1.65</f>
        <v>7425</v>
      </c>
      <c r="I49" s="1232">
        <f>I48*1.65</f>
        <v>4743.75</v>
      </c>
      <c r="K49" s="589" t="s">
        <v>3360</v>
      </c>
    </row>
    <row r="50" spans="1:22" s="2765" customFormat="1" hidden="1" outlineLevel="2">
      <c r="A50" s="2740"/>
      <c r="B50" s="2740" t="s">
        <v>2656</v>
      </c>
      <c r="C50" s="2740" t="s">
        <v>2636</v>
      </c>
      <c r="D50" s="2740" t="s">
        <v>361</v>
      </c>
      <c r="E50" s="2740" t="s">
        <v>2664</v>
      </c>
      <c r="G50" s="3800" t="s">
        <v>2636</v>
      </c>
      <c r="H50" s="3800" t="s">
        <v>361</v>
      </c>
      <c r="I50" s="3800" t="s">
        <v>2664</v>
      </c>
      <c r="J50" s="3816"/>
      <c r="K50" s="2740" t="s">
        <v>2636</v>
      </c>
      <c r="L50" s="2740" t="s">
        <v>361</v>
      </c>
      <c r="M50" s="2740" t="s">
        <v>2664</v>
      </c>
      <c r="P50" s="589"/>
      <c r="Q50" s="589"/>
      <c r="R50" s="589"/>
      <c r="S50" s="589"/>
      <c r="T50" s="589"/>
      <c r="U50" s="589"/>
      <c r="V50" s="589"/>
    </row>
    <row r="51" spans="1:22" hidden="1" outlineLevel="2">
      <c r="A51" s="1145">
        <v>1</v>
      </c>
      <c r="B51" s="1145" t="s">
        <v>2661</v>
      </c>
      <c r="C51" s="1244">
        <v>900</v>
      </c>
      <c r="D51" s="1244">
        <v>1900</v>
      </c>
      <c r="E51" s="1244">
        <v>2150</v>
      </c>
      <c r="G51" s="1244"/>
      <c r="H51" s="1244"/>
      <c r="I51" s="1244"/>
      <c r="J51" s="2747"/>
      <c r="K51" s="1244">
        <f>H9</f>
        <v>1000</v>
      </c>
      <c r="L51" s="1244">
        <f>I9</f>
        <v>1000</v>
      </c>
      <c r="M51" s="1244">
        <v>2150</v>
      </c>
    </row>
    <row r="52" spans="1:22" hidden="1" outlineLevel="2">
      <c r="A52" s="1145">
        <v>2</v>
      </c>
      <c r="B52" s="1145" t="s">
        <v>2662</v>
      </c>
      <c r="C52" s="1244">
        <v>1200</v>
      </c>
      <c r="D52" s="1244">
        <v>2500</v>
      </c>
      <c r="E52" s="1244">
        <v>2800</v>
      </c>
      <c r="G52" s="1244"/>
      <c r="H52" s="1244"/>
      <c r="I52" s="1244"/>
      <c r="J52" s="2747"/>
      <c r="K52" s="1244">
        <f>G7</f>
        <v>2500</v>
      </c>
      <c r="L52" s="1244">
        <f>I7</f>
        <v>3000</v>
      </c>
      <c r="M52" s="1244">
        <v>2800</v>
      </c>
    </row>
    <row r="53" spans="1:22" hidden="1" outlineLevel="2">
      <c r="A53" s="1145">
        <v>3</v>
      </c>
      <c r="B53" s="1145" t="s">
        <v>2326</v>
      </c>
      <c r="C53" s="1244">
        <v>3150</v>
      </c>
      <c r="D53" s="1244">
        <v>6750</v>
      </c>
      <c r="E53" s="1244">
        <v>7750</v>
      </c>
      <c r="G53" s="1244"/>
      <c r="H53" s="1244"/>
      <c r="I53" s="1244"/>
      <c r="J53" s="2747"/>
      <c r="K53" s="1244">
        <v>3150</v>
      </c>
      <c r="L53" s="1244">
        <v>6750</v>
      </c>
      <c r="M53" s="1244">
        <v>7750</v>
      </c>
    </row>
    <row r="54" spans="1:22" hidden="1" outlineLevel="2">
      <c r="A54" s="1145">
        <v>4</v>
      </c>
      <c r="B54" s="1145" t="s">
        <v>2640</v>
      </c>
      <c r="C54" s="1244">
        <v>3500</v>
      </c>
      <c r="D54" s="1244">
        <v>7500</v>
      </c>
      <c r="E54" s="1244">
        <v>8600</v>
      </c>
      <c r="G54" s="1244"/>
      <c r="H54" s="1244"/>
      <c r="I54" s="1244"/>
      <c r="J54" s="2747"/>
      <c r="K54" s="1244">
        <v>3500</v>
      </c>
      <c r="L54" s="1244">
        <v>7500</v>
      </c>
      <c r="M54" s="1244">
        <v>8600</v>
      </c>
    </row>
    <row r="55" spans="1:22" hidden="1" outlineLevel="2" collapsed="1">
      <c r="A55" s="1145"/>
      <c r="B55" s="1145"/>
      <c r="C55" s="1244"/>
      <c r="D55" s="1244"/>
      <c r="E55" s="1244"/>
      <c r="G55" s="1244"/>
      <c r="H55" s="1244"/>
      <c r="I55" s="1244"/>
      <c r="J55" s="2747"/>
      <c r="K55" s="1244"/>
      <c r="L55" s="1244"/>
      <c r="M55" s="1244"/>
    </row>
    <row r="56" spans="1:22" hidden="1" outlineLevel="2">
      <c r="A56" s="1145"/>
      <c r="B56" s="2767" t="s">
        <v>2665</v>
      </c>
      <c r="C56" s="2740" t="s">
        <v>2636</v>
      </c>
      <c r="D56" s="2740" t="s">
        <v>361</v>
      </c>
      <c r="E56" s="2740" t="s">
        <v>2664</v>
      </c>
      <c r="G56" s="1244"/>
      <c r="H56" s="1244"/>
      <c r="I56" s="1244"/>
      <c r="J56" s="2747"/>
      <c r="K56" s="1244"/>
      <c r="L56" s="1244"/>
      <c r="M56" s="1244"/>
    </row>
    <row r="57" spans="1:22" s="37" customFormat="1" hidden="1" outlineLevel="2">
      <c r="A57" s="2763"/>
      <c r="B57" s="2763" t="s">
        <v>2648</v>
      </c>
      <c r="C57" s="1294">
        <v>2300</v>
      </c>
      <c r="D57" s="1294">
        <v>5000</v>
      </c>
      <c r="E57" s="1294">
        <v>5700</v>
      </c>
      <c r="G57" s="1294"/>
      <c r="H57" s="1294"/>
      <c r="I57" s="1294"/>
      <c r="J57" s="3817"/>
      <c r="K57" s="1294">
        <v>2300</v>
      </c>
      <c r="L57" s="1294">
        <v>5000</v>
      </c>
      <c r="M57" s="1294">
        <v>5700</v>
      </c>
      <c r="P57" s="589"/>
      <c r="Q57" s="589"/>
      <c r="R57" s="589"/>
      <c r="S57" s="589"/>
      <c r="T57" s="589"/>
      <c r="U57" s="589"/>
    </row>
    <row r="58" spans="1:22" s="37" customFormat="1" ht="30" hidden="1" outlineLevel="2">
      <c r="A58" s="2763"/>
      <c r="B58" s="2763" t="s">
        <v>2649</v>
      </c>
      <c r="C58" s="1294">
        <v>1500</v>
      </c>
      <c r="D58" s="1294">
        <v>3300</v>
      </c>
      <c r="E58" s="1294">
        <v>3800</v>
      </c>
      <c r="G58" s="1294"/>
      <c r="H58" s="1294"/>
      <c r="I58" s="1294"/>
      <c r="J58" s="3817"/>
      <c r="K58" s="1294">
        <v>1500</v>
      </c>
      <c r="L58" s="1294">
        <v>3300</v>
      </c>
      <c r="M58" s="1294">
        <v>3800</v>
      </c>
      <c r="P58" s="589"/>
      <c r="Q58" s="589"/>
      <c r="R58" s="589"/>
      <c r="S58" s="589"/>
      <c r="T58" s="589"/>
      <c r="U58" s="589"/>
    </row>
    <row r="59" spans="1:22" ht="15" hidden="1" customHeight="1" outlineLevel="2">
      <c r="A59" s="1145">
        <v>1</v>
      </c>
      <c r="B59" s="1145" t="s">
        <v>2666</v>
      </c>
      <c r="C59" s="1244">
        <f>'[1]E-Classic'!$G$17</f>
        <v>2300</v>
      </c>
      <c r="D59" s="1244">
        <f>'[1]E-Classic'!$G$18</f>
        <v>5000</v>
      </c>
      <c r="E59" s="1244">
        <f>'[1]E-Classic'!$G$19</f>
        <v>5700</v>
      </c>
    </row>
    <row r="60" spans="1:22" ht="15" hidden="1" customHeight="1" outlineLevel="2">
      <c r="A60" s="1145">
        <v>2</v>
      </c>
      <c r="B60" s="1145" t="s">
        <v>2667</v>
      </c>
      <c r="C60" s="1244">
        <f>'[1]E-Classic'!$H$17</f>
        <v>1500</v>
      </c>
      <c r="D60" s="1244">
        <f>'[1]E-Classic'!$H$18</f>
        <v>3300</v>
      </c>
      <c r="E60" s="1244">
        <f>'[1]E-Classic'!$H$19</f>
        <v>3800</v>
      </c>
    </row>
    <row r="61" spans="1:22" ht="15" hidden="1" customHeight="1" outlineLevel="2">
      <c r="A61" s="1145">
        <v>4</v>
      </c>
      <c r="B61" s="1145" t="s">
        <v>1841</v>
      </c>
      <c r="C61" s="1244">
        <v>2300</v>
      </c>
      <c r="D61" s="1244">
        <v>5000</v>
      </c>
      <c r="E61" s="1244">
        <v>5700</v>
      </c>
    </row>
    <row r="62" spans="1:22" ht="15" hidden="1" customHeight="1" outlineLevel="2">
      <c r="A62" s="1145">
        <v>5</v>
      </c>
      <c r="B62" s="1145" t="s">
        <v>935</v>
      </c>
      <c r="C62" s="1244">
        <v>1500</v>
      </c>
      <c r="D62" s="1244">
        <v>3300</v>
      </c>
      <c r="E62" s="1244">
        <v>3800</v>
      </c>
    </row>
    <row r="63" spans="1:22" ht="15" hidden="1" customHeight="1" outlineLevel="2">
      <c r="A63" s="1145">
        <v>8</v>
      </c>
      <c r="B63" s="1145" t="s">
        <v>2668</v>
      </c>
      <c r="C63" s="1244">
        <f>'[1]Classic Rimini '!$G$25</f>
        <v>2300</v>
      </c>
      <c r="D63" s="1244">
        <f>'[1]Classic Rimini '!$G$26</f>
        <v>5000</v>
      </c>
      <c r="E63" s="1244">
        <f>'[1]Classic Rimini '!$G$27</f>
        <v>5700</v>
      </c>
    </row>
    <row r="64" spans="1:22" ht="15" hidden="1" customHeight="1" outlineLevel="2">
      <c r="A64" s="1145">
        <v>9</v>
      </c>
      <c r="B64" s="1145" t="s">
        <v>2669</v>
      </c>
      <c r="C64" s="1244">
        <f>'[1]Classic Rimini '!$H$25</f>
        <v>1500</v>
      </c>
      <c r="D64" s="1244">
        <f>'[1]Classic Rimini '!$H$26</f>
        <v>3300</v>
      </c>
      <c r="E64" s="1244">
        <f>'[1]Classic Rimini '!$H$27</f>
        <v>3800</v>
      </c>
    </row>
    <row r="65" spans="1:22" ht="15" hidden="1" customHeight="1" outlineLevel="2">
      <c r="A65" s="1145">
        <v>11</v>
      </c>
      <c r="B65" s="1145" t="s">
        <v>744</v>
      </c>
      <c r="C65" s="1244">
        <f>[1]Elegance!$G$16</f>
        <v>2300</v>
      </c>
      <c r="D65" s="1244">
        <f>[1]Elegance!$G$17</f>
        <v>5000</v>
      </c>
      <c r="E65" s="1244">
        <f>[1]Elegance!$G$18</f>
        <v>5700</v>
      </c>
    </row>
    <row r="66" spans="1:22" ht="15" hidden="1" customHeight="1" outlineLevel="2">
      <c r="A66" s="1145">
        <v>12</v>
      </c>
      <c r="B66" s="1145" t="s">
        <v>745</v>
      </c>
      <c r="C66" s="1244">
        <f>[1]Elegance!$H$16</f>
        <v>1500</v>
      </c>
      <c r="D66" s="1244">
        <f>[1]Elegance!$H$17</f>
        <v>3300</v>
      </c>
      <c r="E66" s="1244">
        <f>[1]Elegance!$H$18</f>
        <v>3800</v>
      </c>
    </row>
    <row r="67" spans="1:22" ht="15" hidden="1" customHeight="1" outlineLevel="2">
      <c r="A67" s="1145">
        <v>13</v>
      </c>
      <c r="B67" s="1145" t="s">
        <v>900</v>
      </c>
      <c r="C67" s="1244">
        <f>[1]Elegance!$I$16</f>
        <v>1500</v>
      </c>
      <c r="D67" s="1244">
        <f>[1]Elegance!$I$17</f>
        <v>3300</v>
      </c>
      <c r="E67" s="1244">
        <f>[1]Elegance!$I$18</f>
        <v>3800</v>
      </c>
    </row>
    <row r="68" spans="1:22" ht="15" hidden="1" customHeight="1" outlineLevel="2">
      <c r="A68" s="1145">
        <v>16</v>
      </c>
      <c r="B68" s="1145" t="s">
        <v>940</v>
      </c>
      <c r="C68" s="1244">
        <f t="shared" ref="C68:E69" si="10">C65</f>
        <v>2300</v>
      </c>
      <c r="D68" s="1244">
        <f t="shared" si="10"/>
        <v>5000</v>
      </c>
      <c r="E68" s="1244">
        <f t="shared" si="10"/>
        <v>5700</v>
      </c>
    </row>
    <row r="69" spans="1:22" ht="15" hidden="1" customHeight="1" outlineLevel="2">
      <c r="A69" s="1145">
        <v>17</v>
      </c>
      <c r="B69" s="1145" t="s">
        <v>941</v>
      </c>
      <c r="C69" s="1244">
        <f t="shared" si="10"/>
        <v>1500</v>
      </c>
      <c r="D69" s="1244">
        <f t="shared" si="10"/>
        <v>3300</v>
      </c>
      <c r="E69" s="1244">
        <f t="shared" si="10"/>
        <v>3800</v>
      </c>
    </row>
    <row r="70" spans="1:22" ht="15" hidden="1" customHeight="1" outlineLevel="2">
      <c r="A70" s="1145">
        <v>20</v>
      </c>
      <c r="B70" s="1145" t="s">
        <v>364</v>
      </c>
      <c r="C70" s="1244">
        <f t="shared" ref="C70:E71" si="11">C65</f>
        <v>2300</v>
      </c>
      <c r="D70" s="1244">
        <f t="shared" si="11"/>
        <v>5000</v>
      </c>
      <c r="E70" s="1244">
        <f t="shared" si="11"/>
        <v>5700</v>
      </c>
    </row>
    <row r="71" spans="1:22" ht="15" hidden="1" customHeight="1" outlineLevel="2">
      <c r="A71" s="1145">
        <v>21</v>
      </c>
      <c r="B71" s="1145" t="s">
        <v>365</v>
      </c>
      <c r="C71" s="1244">
        <f t="shared" si="11"/>
        <v>1500</v>
      </c>
      <c r="D71" s="1244">
        <f t="shared" si="11"/>
        <v>3300</v>
      </c>
      <c r="E71" s="1244">
        <f t="shared" si="11"/>
        <v>3800</v>
      </c>
    </row>
    <row r="72" spans="1:22" ht="15" hidden="1" customHeight="1" outlineLevel="2">
      <c r="A72" s="1145">
        <v>22</v>
      </c>
      <c r="B72" s="1145" t="s">
        <v>367</v>
      </c>
      <c r="C72" s="1244">
        <f>C66</f>
        <v>1500</v>
      </c>
      <c r="D72" s="1244">
        <f>D66</f>
        <v>3300</v>
      </c>
      <c r="E72" s="1244">
        <f>E66</f>
        <v>3800</v>
      </c>
    </row>
    <row r="73" spans="1:22" hidden="1" outlineLevel="1"/>
    <row r="74" spans="1:22" hidden="1" outlineLevel="1">
      <c r="A74" s="22"/>
      <c r="B74" s="22" t="s">
        <v>1255</v>
      </c>
      <c r="C74" s="589">
        <v>900</v>
      </c>
      <c r="D74" s="589" t="s">
        <v>2670</v>
      </c>
    </row>
    <row r="75" spans="1:22" hidden="1" outlineLevel="1"/>
    <row r="76" spans="1:22" hidden="1" outlineLevel="1">
      <c r="A76" s="22" t="s">
        <v>1444</v>
      </c>
    </row>
    <row r="77" spans="1:22" s="17" customFormat="1" ht="36" hidden="1" outlineLevel="3">
      <c r="C77" s="17" t="s">
        <v>2671</v>
      </c>
      <c r="D77" s="17" t="s">
        <v>1263</v>
      </c>
      <c r="E77" s="17" t="s">
        <v>1264</v>
      </c>
      <c r="F77" s="17" t="s">
        <v>2672</v>
      </c>
      <c r="G77" s="17" t="s">
        <v>2673</v>
      </c>
      <c r="H77" s="17" t="s">
        <v>2673</v>
      </c>
      <c r="I77" s="17" t="s">
        <v>2674</v>
      </c>
      <c r="M77" s="17" t="s">
        <v>2674</v>
      </c>
      <c r="N77" s="17" t="s">
        <v>2675</v>
      </c>
    </row>
    <row r="78" spans="1:22" hidden="1" outlineLevel="3">
      <c r="C78" s="589" t="s">
        <v>2676</v>
      </c>
      <c r="D78" s="589" t="s">
        <v>2676</v>
      </c>
      <c r="E78" s="589" t="s">
        <v>2676</v>
      </c>
      <c r="F78" s="589" t="s">
        <v>2676</v>
      </c>
      <c r="G78" s="589" t="s">
        <v>2676</v>
      </c>
      <c r="H78" s="589" t="s">
        <v>2677</v>
      </c>
      <c r="I78" s="589" t="s">
        <v>2676</v>
      </c>
      <c r="M78" s="589" t="s">
        <v>2677</v>
      </c>
      <c r="N78" s="589" t="s">
        <v>2676</v>
      </c>
    </row>
    <row r="79" spans="1:22" hidden="1" outlineLevel="3">
      <c r="B79" s="2763" t="s">
        <v>2648</v>
      </c>
      <c r="C79" s="1244">
        <v>1500</v>
      </c>
      <c r="D79" s="1244">
        <f>CEILING(C79*1.3, 100)</f>
        <v>2000</v>
      </c>
      <c r="E79" s="1244">
        <f>CEILING(C79*1.65, 100)</f>
        <v>2500</v>
      </c>
      <c r="F79" s="1244">
        <f t="shared" ref="F79:F85" si="12">CEILING(D79*1.1, 100)</f>
        <v>2200</v>
      </c>
      <c r="G79" s="1244">
        <f>CEILING(D79*1.3, 100)</f>
        <v>2600</v>
      </c>
      <c r="H79" s="2747">
        <f>G79*2</f>
        <v>5200</v>
      </c>
      <c r="I79" s="589">
        <v>700</v>
      </c>
      <c r="M79" s="2747">
        <f>I79*2</f>
        <v>1400</v>
      </c>
      <c r="N79" s="589">
        <v>700</v>
      </c>
      <c r="Q79" s="2747"/>
      <c r="V79" s="2747"/>
    </row>
    <row r="80" spans="1:22" ht="30" hidden="1" outlineLevel="3">
      <c r="B80" s="2763" t="s">
        <v>2678</v>
      </c>
      <c r="C80" s="1244">
        <v>1000</v>
      </c>
      <c r="D80" s="1244">
        <f>CEILING(C80*1.3, 100)</f>
        <v>1300</v>
      </c>
      <c r="E80" s="1244">
        <f t="shared" ref="E80:E85" si="13">CEILING(C80*1.65, 100)</f>
        <v>1700</v>
      </c>
      <c r="F80" s="1244">
        <f t="shared" si="12"/>
        <v>1500</v>
      </c>
      <c r="G80" s="1244">
        <f t="shared" ref="G80:G85" si="14">CEILING(D80*1.3, 100)</f>
        <v>1700</v>
      </c>
      <c r="H80" s="2747">
        <f t="shared" ref="H80:H85" si="15">G80*2</f>
        <v>3400</v>
      </c>
      <c r="I80" s="589">
        <v>500</v>
      </c>
      <c r="M80" s="2747">
        <f>I80*2</f>
        <v>1000</v>
      </c>
      <c r="N80" s="589">
        <v>500</v>
      </c>
      <c r="Q80" s="2747"/>
      <c r="V80" s="2747"/>
    </row>
    <row r="81" spans="2:22" ht="30" hidden="1" outlineLevel="3">
      <c r="B81" s="2763" t="s">
        <v>2650</v>
      </c>
      <c r="C81" s="1244">
        <v>1000</v>
      </c>
      <c r="D81" s="1244">
        <f>CEILING(C81*1.3, 100)</f>
        <v>1300</v>
      </c>
      <c r="E81" s="1244">
        <f t="shared" si="13"/>
        <v>1700</v>
      </c>
      <c r="F81" s="1244">
        <f t="shared" si="12"/>
        <v>1500</v>
      </c>
      <c r="G81" s="1244">
        <f t="shared" si="14"/>
        <v>1700</v>
      </c>
      <c r="H81" s="2747">
        <f t="shared" si="15"/>
        <v>3400</v>
      </c>
      <c r="I81" s="589">
        <v>500</v>
      </c>
      <c r="M81" s="2747">
        <f>I81*2</f>
        <v>1000</v>
      </c>
      <c r="N81" s="589">
        <v>500</v>
      </c>
      <c r="Q81" s="2747"/>
      <c r="V81" s="2747"/>
    </row>
    <row r="82" spans="2:22" ht="30" hidden="1" outlineLevel="3">
      <c r="B82" s="2763" t="s">
        <v>2651</v>
      </c>
      <c r="C82" s="1244">
        <f>C81*0.7</f>
        <v>700</v>
      </c>
      <c r="D82" s="1244">
        <f>CEILING(C82*1.3, 100)</f>
        <v>1000</v>
      </c>
      <c r="E82" s="1244">
        <f t="shared" si="13"/>
        <v>1200</v>
      </c>
      <c r="F82" s="1244">
        <f t="shared" si="12"/>
        <v>1100</v>
      </c>
      <c r="G82" s="1244">
        <f t="shared" si="14"/>
        <v>1300</v>
      </c>
      <c r="H82" s="2747">
        <f t="shared" si="15"/>
        <v>2600</v>
      </c>
      <c r="I82" s="589">
        <v>350</v>
      </c>
      <c r="M82" s="2747">
        <f>I82*2</f>
        <v>700</v>
      </c>
      <c r="N82" s="589">
        <v>350</v>
      </c>
      <c r="Q82" s="2747"/>
      <c r="V82" s="2747"/>
    </row>
    <row r="83" spans="2:22" ht="30" hidden="1" outlineLevel="3">
      <c r="B83" s="2763" t="s">
        <v>2652</v>
      </c>
      <c r="C83" s="1244">
        <f>C81*0.3</f>
        <v>300</v>
      </c>
      <c r="D83" s="1244">
        <f>CEILING(C83*1.3, 100)</f>
        <v>400</v>
      </c>
      <c r="E83" s="1244">
        <f t="shared" si="13"/>
        <v>500</v>
      </c>
      <c r="F83" s="1244">
        <f t="shared" si="12"/>
        <v>500</v>
      </c>
      <c r="G83" s="1244">
        <f t="shared" si="14"/>
        <v>600</v>
      </c>
      <c r="H83" s="2747">
        <f t="shared" si="15"/>
        <v>1200</v>
      </c>
      <c r="I83" s="589">
        <v>150</v>
      </c>
      <c r="M83" s="2747">
        <f>I83*2</f>
        <v>300</v>
      </c>
      <c r="N83" s="589">
        <v>150</v>
      </c>
      <c r="Q83" s="2747"/>
      <c r="V83" s="2747"/>
    </row>
    <row r="84" spans="2:22" hidden="1" outlineLevel="3">
      <c r="B84" s="2880" t="s">
        <v>2736</v>
      </c>
      <c r="C84" s="2786"/>
      <c r="D84" s="2786"/>
      <c r="E84" s="2786"/>
      <c r="F84" s="2879"/>
      <c r="G84" s="2879"/>
      <c r="H84" s="2747"/>
      <c r="M84" s="2747"/>
      <c r="Q84" s="2747"/>
      <c r="V84" s="2747"/>
    </row>
    <row r="85" spans="2:22" hidden="1" outlineLevel="3">
      <c r="C85" s="2768"/>
      <c r="D85" s="2769">
        <f>CEILING(C85*1.3, 100)</f>
        <v>0</v>
      </c>
      <c r="E85" s="2769">
        <f t="shared" si="13"/>
        <v>0</v>
      </c>
      <c r="F85" s="2769">
        <f t="shared" si="12"/>
        <v>0</v>
      </c>
      <c r="G85" s="2769">
        <f t="shared" si="14"/>
        <v>0</v>
      </c>
      <c r="H85" s="2770">
        <f t="shared" si="15"/>
        <v>0</v>
      </c>
    </row>
    <row r="86" spans="2:22" hidden="1" outlineLevel="3">
      <c r="B86" s="2771" t="s">
        <v>2674</v>
      </c>
    </row>
    <row r="87" spans="2:22" hidden="1" outlineLevel="3">
      <c r="B87" s="2877" t="s">
        <v>1255</v>
      </c>
    </row>
    <row r="88" spans="2:22" hidden="1" outlineLevel="3">
      <c r="B88" s="2771" t="s">
        <v>2679</v>
      </c>
      <c r="C88" s="589">
        <f>C79*1.2*E15+(0.09*2+0.15*2)*C74*8</f>
        <v>5218.5599999999995</v>
      </c>
      <c r="D88" s="589">
        <v>8000</v>
      </c>
    </row>
    <row r="89" spans="2:22" hidden="1" outlineLevel="3">
      <c r="B89" s="2771" t="s">
        <v>2680</v>
      </c>
      <c r="C89" s="589">
        <f>C79*1.2*E16+(0.09*2+0.15*2)*C74*6</f>
        <v>3759.4367999999999</v>
      </c>
      <c r="D89" s="589">
        <v>6000</v>
      </c>
    </row>
    <row r="90" spans="2:22" hidden="1" outlineLevel="3">
      <c r="B90" s="589" t="s">
        <v>2681</v>
      </c>
      <c r="C90" s="589">
        <f>C79*E17+(0.17*2+0.1*2)*C74*8</f>
        <v>5932.2240000000002</v>
      </c>
      <c r="D90" s="359">
        <v>10000</v>
      </c>
      <c r="E90" s="589" t="s">
        <v>2682</v>
      </c>
    </row>
    <row r="91" spans="2:22" hidden="1" outlineLevel="3">
      <c r="B91" s="589" t="s">
        <v>2683</v>
      </c>
      <c r="C91" s="589">
        <f>C90/2</f>
        <v>2966.1120000000001</v>
      </c>
      <c r="D91" s="589">
        <v>5000</v>
      </c>
      <c r="E91" s="589" t="s">
        <v>2684</v>
      </c>
    </row>
    <row r="92" spans="2:22" hidden="1" outlineLevel="3">
      <c r="B92" s="589" t="s">
        <v>2685</v>
      </c>
      <c r="C92" s="589">
        <f>C90/4*3</f>
        <v>4449.1679999999997</v>
      </c>
      <c r="D92" s="589">
        <v>3000</v>
      </c>
      <c r="E92" s="589" t="s">
        <v>2684</v>
      </c>
    </row>
    <row r="93" spans="2:22" hidden="1" outlineLevel="3"/>
    <row r="94" spans="2:22" hidden="1" outlineLevel="3"/>
    <row r="95" spans="2:22" hidden="1" outlineLevel="3">
      <c r="B95" s="589" t="s">
        <v>2750</v>
      </c>
      <c r="C95" s="589" t="s">
        <v>2751</v>
      </c>
    </row>
    <row r="96" spans="2:22" hidden="1" outlineLevel="3">
      <c r="B96" s="589" t="s">
        <v>2752</v>
      </c>
    </row>
    <row r="97" spans="2:5" hidden="1" outlineLevel="3">
      <c r="B97" s="589" t="s">
        <v>2754</v>
      </c>
    </row>
    <row r="98" spans="2:5" hidden="1" outlineLevel="3">
      <c r="B98" s="589" t="s">
        <v>1263</v>
      </c>
      <c r="C98" s="589">
        <v>750</v>
      </c>
      <c r="E98" s="1276"/>
    </row>
    <row r="99" spans="2:5" hidden="1" outlineLevel="3">
      <c r="B99" s="589" t="s">
        <v>1264</v>
      </c>
      <c r="C99" s="589">
        <v>1500</v>
      </c>
    </row>
    <row r="100" spans="2:5" hidden="1" outlineLevel="3"/>
    <row r="101" spans="2:5" hidden="1" outlineLevel="1">
      <c r="C101" s="589" t="s">
        <v>3298</v>
      </c>
    </row>
    <row r="102" spans="2:5" hidden="1" outlineLevel="1"/>
    <row r="103" spans="2:5" hidden="1" outlineLevel="1"/>
    <row r="104" spans="2:5" hidden="1" outlineLevel="1"/>
    <row r="105" spans="2:5" hidden="1" outlineLevel="1"/>
    <row r="106" spans="2:5" hidden="1" outlineLevel="1"/>
    <row r="107" spans="2:5" collapsed="1"/>
  </sheetData>
  <sheetProtection sheet="1" objects="1" scenarios="1" formatCells="0" formatColumns="0" formatRows="0" insertColumns="0" insertRows="0" insertHyperlinks="0" deleteColumns="0" deleteRows="0"/>
  <mergeCells count="14">
    <mergeCell ref="AK8:AK10"/>
    <mergeCell ref="B3:B4"/>
    <mergeCell ref="C3:E3"/>
    <mergeCell ref="G3:G4"/>
    <mergeCell ref="H3:I3"/>
    <mergeCell ref="M3:N3"/>
    <mergeCell ref="P3:P4"/>
    <mergeCell ref="J3:L3"/>
    <mergeCell ref="AD2:AE2"/>
    <mergeCell ref="AF2:AG2"/>
    <mergeCell ref="Q3:R3"/>
    <mergeCell ref="V3:W3"/>
    <mergeCell ref="AK3:AK6"/>
    <mergeCell ref="S3:U3"/>
  </mergeCells>
  <pageMargins left="0.7" right="0.7" top="0.75" bottom="0.75" header="0.3" footer="0.3"/>
  <pageSetup paperSize="9"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24">
    <tabColor rgb="FF92D050"/>
  </sheetPr>
  <dimension ref="A1:AP73"/>
  <sheetViews>
    <sheetView view="pageBreakPreview" zoomScale="70" zoomScaleNormal="70" zoomScaleSheetLayoutView="70" zoomScalePageLayoutView="70" workbookViewId="0">
      <pane xSplit="6" ySplit="6" topLeftCell="G7" activePane="bottomRight" state="frozen"/>
      <selection pane="topRight" activeCell="G1" sqref="G1"/>
      <selection pane="bottomLeft" activeCell="A12" sqref="A12"/>
      <selection pane="bottomRight" activeCell="B1" sqref="B1"/>
    </sheetView>
  </sheetViews>
  <sheetFormatPr defaultColWidth="8.85546875" defaultRowHeight="15"/>
  <cols>
    <col min="1" max="1" width="5.7109375" style="137" customWidth="1"/>
    <col min="2" max="2" width="11.7109375" style="137" customWidth="1"/>
    <col min="3" max="3" width="11.7109375" style="589" customWidth="1"/>
    <col min="4" max="5" width="11.7109375" style="137" customWidth="1"/>
    <col min="6" max="6" width="11.7109375" style="2" customWidth="1"/>
    <col min="7" max="10" width="18.7109375" style="137" customWidth="1"/>
    <col min="11" max="12" width="18.7109375" style="589" customWidth="1"/>
    <col min="13" max="13" width="20.85546875" style="137" customWidth="1"/>
    <col min="14" max="15" width="8.85546875" style="137" customWidth="1"/>
    <col min="16" max="16384" width="8.85546875" style="137"/>
  </cols>
  <sheetData>
    <row r="1" spans="1:42" s="2273" customFormat="1" ht="18" customHeight="1">
      <c r="B1" s="2279" t="s">
        <v>490</v>
      </c>
      <c r="C1" s="2279"/>
      <c r="D1" s="2280"/>
      <c r="E1" s="2280"/>
      <c r="F1" s="2281"/>
      <c r="G1" s="2280"/>
      <c r="H1" s="2280"/>
      <c r="I1" s="2280"/>
      <c r="J1" s="2280"/>
      <c r="K1" s="2280"/>
      <c r="L1" s="441"/>
      <c r="M1" s="441"/>
      <c r="N1" s="441"/>
      <c r="O1" s="441"/>
      <c r="P1" s="441"/>
      <c r="Q1" s="441"/>
      <c r="R1" s="441"/>
      <c r="S1" s="441"/>
      <c r="T1" s="441"/>
      <c r="U1" s="441"/>
      <c r="V1" s="441"/>
      <c r="W1" s="441"/>
      <c r="X1" s="441"/>
      <c r="Y1" s="441"/>
      <c r="Z1" s="441"/>
      <c r="AA1" s="441"/>
      <c r="AB1" s="441"/>
      <c r="AC1" s="441"/>
      <c r="AD1" s="441"/>
      <c r="AE1" s="441"/>
      <c r="AF1" s="441"/>
      <c r="AG1" s="441"/>
      <c r="AH1" s="441"/>
      <c r="AI1" s="441"/>
      <c r="AJ1" s="441"/>
      <c r="AK1" s="441"/>
      <c r="AL1" s="441"/>
      <c r="AM1" s="441"/>
      <c r="AN1" s="441"/>
      <c r="AO1" s="441"/>
      <c r="AP1" s="441"/>
    </row>
    <row r="2" spans="1:42">
      <c r="A2" s="5"/>
      <c r="B2" s="138"/>
      <c r="C2" s="1018"/>
      <c r="D2" s="138"/>
      <c r="E2" s="138"/>
      <c r="F2" s="515"/>
      <c r="G2" s="15"/>
      <c r="H2" s="15"/>
      <c r="I2" s="15"/>
      <c r="J2" s="15"/>
      <c r="K2" s="15"/>
      <c r="L2" s="242"/>
      <c r="M2" s="242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242"/>
      <c r="Y2" s="242"/>
      <c r="Z2" s="242"/>
      <c r="AA2" s="242"/>
      <c r="AB2" s="242"/>
      <c r="AC2" s="242"/>
      <c r="AD2" s="242"/>
      <c r="AE2" s="242"/>
      <c r="AF2" s="242"/>
      <c r="AG2" s="242"/>
      <c r="AH2" s="242"/>
      <c r="AI2" s="242"/>
      <c r="AJ2" s="242"/>
      <c r="AK2" s="242"/>
      <c r="AL2" s="242"/>
      <c r="AM2" s="242"/>
      <c r="AN2" s="242"/>
      <c r="AO2" s="242"/>
      <c r="AP2" s="242"/>
    </row>
    <row r="3" spans="1:42" ht="90" customHeight="1">
      <c r="A3" s="7"/>
      <c r="B3" s="4326" t="s">
        <v>308</v>
      </c>
      <c r="C3" s="4327"/>
      <c r="D3" s="4327"/>
      <c r="E3" s="4328"/>
      <c r="F3" s="8"/>
      <c r="G3" s="439"/>
      <c r="H3" s="439"/>
      <c r="I3" s="439"/>
      <c r="J3" s="439"/>
      <c r="K3" s="439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  <c r="AK3" s="242"/>
      <c r="AL3" s="242"/>
      <c r="AM3" s="242"/>
      <c r="AN3" s="242"/>
      <c r="AO3" s="242"/>
      <c r="AP3" s="242"/>
    </row>
    <row r="4" spans="1:42">
      <c r="A4" s="138"/>
      <c r="B4" s="19" t="s">
        <v>59</v>
      </c>
      <c r="C4" s="19"/>
      <c r="D4" s="138"/>
      <c r="E4" s="138"/>
      <c r="F4" s="6"/>
      <c r="G4" s="3"/>
      <c r="H4" s="138"/>
      <c r="I4" s="138"/>
      <c r="J4" s="138"/>
      <c r="K4" s="2328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2"/>
      <c r="AI4" s="242"/>
      <c r="AJ4" s="242"/>
      <c r="AK4" s="242"/>
      <c r="AL4" s="242"/>
      <c r="AM4" s="242"/>
      <c r="AN4" s="242"/>
      <c r="AO4" s="242"/>
      <c r="AP4" s="242"/>
    </row>
    <row r="5" spans="1:42" ht="15" customHeight="1">
      <c r="A5" s="4220" t="s">
        <v>2</v>
      </c>
      <c r="B5" s="4221"/>
      <c r="C5" s="4222"/>
      <c r="D5" s="4201" t="s">
        <v>42</v>
      </c>
      <c r="E5" s="4201" t="s">
        <v>41</v>
      </c>
      <c r="F5" s="4201" t="s">
        <v>54</v>
      </c>
      <c r="G5" s="2412" t="s">
        <v>961</v>
      </c>
      <c r="H5" s="2413" t="s">
        <v>962</v>
      </c>
      <c r="I5" s="2413" t="s">
        <v>963</v>
      </c>
      <c r="J5" s="2412" t="s">
        <v>964</v>
      </c>
      <c r="K5" s="2414" t="s">
        <v>321</v>
      </c>
      <c r="L5" s="2414" t="s">
        <v>1196</v>
      </c>
      <c r="M5" s="242"/>
      <c r="N5" s="242"/>
      <c r="O5" s="242"/>
      <c r="P5" s="242"/>
      <c r="Q5" s="242"/>
      <c r="R5" s="2645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</row>
    <row r="6" spans="1:42" ht="15" customHeight="1">
      <c r="A6" s="4223"/>
      <c r="B6" s="4224"/>
      <c r="C6" s="4225"/>
      <c r="D6" s="4202"/>
      <c r="E6" s="4202"/>
      <c r="F6" s="4202"/>
      <c r="G6" s="4329" t="s">
        <v>55</v>
      </c>
      <c r="H6" s="4330"/>
      <c r="I6" s="4330"/>
      <c r="J6" s="4330"/>
      <c r="K6" s="2415" t="s">
        <v>399</v>
      </c>
      <c r="L6" s="1089" t="s">
        <v>1428</v>
      </c>
      <c r="M6" s="242"/>
      <c r="N6" s="242"/>
      <c r="O6" s="242"/>
      <c r="P6" s="594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</row>
    <row r="7" spans="1:42" s="383" customFormat="1" ht="24" customHeight="1">
      <c r="A7" s="4262" t="s">
        <v>1425</v>
      </c>
      <c r="B7" s="4209" t="s">
        <v>2418</v>
      </c>
      <c r="C7" s="4210"/>
      <c r="D7" s="4203" t="s">
        <v>35</v>
      </c>
      <c r="E7" s="4203" t="s">
        <v>34</v>
      </c>
      <c r="F7" s="132" t="s">
        <v>0</v>
      </c>
      <c r="G7" s="1191">
        <f>CEILING('Полотна база'!J52*(1+скидки_наценки!$B$28)*скидки_наценки!$D$11*скидки_наценки!$F$11/скидки_наценки!$B$4, 50)</f>
        <v>17550</v>
      </c>
      <c r="H7" s="1191">
        <f>CEILING('Полотна база'!K52*(1+скидки_наценки!$B$28)*скидки_наценки!$D$11*скидки_наценки!$F$11/скидки_наценки!$B$4, 50)</f>
        <v>19250</v>
      </c>
      <c r="I7" s="1191">
        <f>CEILING('Полотна база'!J52*(1+скидки_наценки!$B$28)*скидки_наценки!$D$11*скидки_наценки!$F$11/скидки_наценки!$B$4, 50)</f>
        <v>17550</v>
      </c>
      <c r="J7" s="1191">
        <f>CEILING('Полотна база'!K52*(1+скидки_наценки!$B$28)*скидки_наценки!$D$11*скидки_наценки!$F$11/скидки_наценки!$B$4, 50)</f>
        <v>19250</v>
      </c>
      <c r="K7" s="1191">
        <f>CEILING('Полотна база'!J52*(1+скидки_наценки!$B$28)*скидки_наценки!$D$11*скидки_наценки!$F$11/скидки_наценки!$B$4, 50)</f>
        <v>17550</v>
      </c>
      <c r="L7" s="1191">
        <f>CEILING(('Полотна база'!AZ52+Алюм.погонаж!$E$26)*(1+скидки_наценки!$B$28)*скидки_наценки!$D$11*скидки_наценки!$F$11/скидки_наценки!$B$4, 50)</f>
        <v>32450</v>
      </c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</row>
    <row r="8" spans="1:42" s="305" customFormat="1" ht="15" customHeight="1">
      <c r="A8" s="4263"/>
      <c r="B8" s="4226" t="s">
        <v>2464</v>
      </c>
      <c r="C8" s="4227"/>
      <c r="D8" s="4204"/>
      <c r="E8" s="4204"/>
      <c r="F8" s="302" t="s">
        <v>306</v>
      </c>
      <c r="G8" s="2331">
        <f>IF(G7=0,0,(Погонаж!$C$11*2.5+Погонаж!$E$11*5))</f>
        <v>8125</v>
      </c>
      <c r="H8" s="2331">
        <f>IF(H7=0,0,(Погонаж!$C$11*2.5+Погонаж!$E$11*5))</f>
        <v>8125</v>
      </c>
      <c r="I8" s="2331">
        <f>IF(I7=0,0,(Погонаж!$C$11*2.5+Погонаж!$E$11*5))</f>
        <v>8125</v>
      </c>
      <c r="J8" s="2331">
        <f>IF(J7=0,0,(Погонаж!$C$11*2.5+Погонаж!$E$11*5))</f>
        <v>8125</v>
      </c>
      <c r="K8" s="2331">
        <f>IF(K7=0,0,(Погонаж!$C$11*2.5+Погонаж!$E$11*5))/скидки_наценки!$B$4</f>
        <v>8125</v>
      </c>
      <c r="L8" s="2331">
        <f>IF(L7=0,0,(Погонаж!$C$11*2.5+Погонаж!$E$11*5))</f>
        <v>8125</v>
      </c>
      <c r="M8" s="441"/>
      <c r="N8" s="441"/>
      <c r="O8" s="441"/>
      <c r="P8" s="441"/>
      <c r="Q8" s="441"/>
      <c r="R8" s="441"/>
      <c r="S8" s="441"/>
      <c r="T8" s="441"/>
      <c r="U8" s="441"/>
      <c r="V8" s="441"/>
      <c r="W8" s="441"/>
      <c r="X8" s="441"/>
      <c r="Y8" s="441"/>
      <c r="Z8" s="441"/>
      <c r="AA8" s="441"/>
      <c r="AB8" s="441"/>
      <c r="AC8" s="441"/>
      <c r="AD8" s="441"/>
      <c r="AE8" s="441"/>
      <c r="AF8" s="441"/>
      <c r="AG8" s="441"/>
      <c r="AH8" s="441"/>
      <c r="AI8" s="441"/>
      <c r="AJ8" s="441"/>
      <c r="AK8" s="441"/>
      <c r="AL8" s="441"/>
      <c r="AM8" s="441"/>
      <c r="AN8" s="441"/>
      <c r="AO8" s="441"/>
      <c r="AP8" s="441"/>
    </row>
    <row r="9" spans="1:42" s="138" customFormat="1" ht="24" customHeight="1">
      <c r="A9" s="4263"/>
      <c r="B9" s="4228"/>
      <c r="C9" s="4229"/>
      <c r="D9" s="4205"/>
      <c r="E9" s="4205"/>
      <c r="F9" s="30" t="s">
        <v>1</v>
      </c>
      <c r="G9" s="379">
        <f t="shared" ref="G9:L9" si="0">G7+G8</f>
        <v>25675</v>
      </c>
      <c r="H9" s="379">
        <f t="shared" si="0"/>
        <v>27375</v>
      </c>
      <c r="I9" s="379">
        <f t="shared" si="0"/>
        <v>25675</v>
      </c>
      <c r="J9" s="379">
        <f t="shared" si="0"/>
        <v>27375</v>
      </c>
      <c r="K9" s="379">
        <f t="shared" si="0"/>
        <v>25675</v>
      </c>
      <c r="L9" s="379">
        <f t="shared" si="0"/>
        <v>40575</v>
      </c>
      <c r="M9" s="441"/>
      <c r="N9" s="441"/>
      <c r="O9" s="441"/>
      <c r="P9" s="441"/>
      <c r="Q9" s="441"/>
      <c r="R9" s="441"/>
      <c r="S9" s="441"/>
      <c r="T9" s="441"/>
      <c r="U9" s="441"/>
      <c r="V9" s="441"/>
      <c r="W9" s="441"/>
      <c r="X9" s="441"/>
      <c r="Y9" s="441"/>
      <c r="Z9" s="441"/>
      <c r="AA9" s="441"/>
      <c r="AB9" s="441"/>
      <c r="AC9" s="441"/>
      <c r="AD9" s="441"/>
      <c r="AE9" s="441"/>
      <c r="AF9" s="441"/>
      <c r="AG9" s="441"/>
      <c r="AH9" s="441"/>
      <c r="AI9" s="441"/>
      <c r="AJ9" s="441"/>
      <c r="AK9" s="441"/>
      <c r="AL9" s="441"/>
      <c r="AM9" s="441"/>
      <c r="AN9" s="441"/>
      <c r="AO9" s="441"/>
      <c r="AP9" s="441"/>
    </row>
    <row r="10" spans="1:42" s="589" customFormat="1" ht="24" customHeight="1">
      <c r="A10" s="4263"/>
      <c r="B10" s="4211" t="s">
        <v>2419</v>
      </c>
      <c r="C10" s="4212"/>
      <c r="D10" s="4213" t="s">
        <v>35</v>
      </c>
      <c r="E10" s="4213" t="s">
        <v>34</v>
      </c>
      <c r="F10" s="182" t="s">
        <v>0</v>
      </c>
      <c r="G10" s="691">
        <f>CEILING('Полотна база'!J53*(1+скидки_наценки!$B$28)*скидки_наценки!$D$11*скидки_наценки!$F$11/скидки_наценки!$B$4, 50)</f>
        <v>20050</v>
      </c>
      <c r="H10" s="691">
        <f>CEILING('Полотна база'!K53*(1+скидки_наценки!$B$28)*скидки_наценки!$D$11*скидки_наценки!$F$11/скидки_наценки!$B$4, 50)</f>
        <v>21750</v>
      </c>
      <c r="I10" s="691">
        <f>CEILING('Полотна база'!J53*(1+скидки_наценки!$B$28)*скидки_наценки!$D$11*скидки_наценки!$F$11/скидки_наценки!$B$4, 50)</f>
        <v>20050</v>
      </c>
      <c r="J10" s="691">
        <f>CEILING('Полотна база'!K53*(1+скидки_наценки!$B$28)*скидки_наценки!$D$11*скидки_наценки!$F$11/скидки_наценки!$B$4, 50)</f>
        <v>21750</v>
      </c>
      <c r="K10" s="691">
        <f>CEILING('Полотна база'!J53*(1+скидки_наценки!$B$28)*скидки_наценки!$D$11*скидки_наценки!$F$11/скидки_наценки!$B$4, 50)</f>
        <v>20050</v>
      </c>
      <c r="L10" s="691">
        <f>CEILING(('Полотна база'!AZ53+Алюм.погонаж!$E$26)*(1+скидки_наценки!$B$28)*скидки_наценки!$D$11*скидки_наценки!$F$11/скидки_наценки!$B$4, 50)</f>
        <v>34950</v>
      </c>
      <c r="M10" s="242"/>
      <c r="N10" s="242"/>
      <c r="O10" s="242"/>
      <c r="P10" s="242"/>
      <c r="Q10" s="242"/>
      <c r="R10" s="242"/>
      <c r="S10" s="242"/>
      <c r="T10" s="242"/>
      <c r="U10" s="242"/>
      <c r="V10" s="242"/>
      <c r="W10" s="242"/>
      <c r="X10" s="242"/>
      <c r="Y10" s="242"/>
      <c r="Z10" s="242"/>
      <c r="AA10" s="242"/>
      <c r="AB10" s="242"/>
      <c r="AC10" s="242"/>
      <c r="AD10" s="242"/>
      <c r="AE10" s="242"/>
      <c r="AF10" s="242"/>
      <c r="AG10" s="242"/>
      <c r="AH10" s="242"/>
      <c r="AI10" s="242"/>
      <c r="AJ10" s="242"/>
      <c r="AK10" s="242"/>
      <c r="AL10" s="242"/>
      <c r="AM10" s="242"/>
      <c r="AN10" s="242"/>
      <c r="AO10" s="242"/>
      <c r="AP10" s="242"/>
    </row>
    <row r="11" spans="1:42" s="2328" customFormat="1" ht="15" customHeight="1">
      <c r="A11" s="4263"/>
      <c r="B11" s="4216" t="s">
        <v>2481</v>
      </c>
      <c r="C11" s="4217"/>
      <c r="D11" s="4214"/>
      <c r="E11" s="4214"/>
      <c r="F11" s="183" t="s">
        <v>306</v>
      </c>
      <c r="G11" s="373">
        <f>IF(G10=0,0,(Погонаж!$C$12*2.5+Погонаж!$E$12*5))</f>
        <v>9875</v>
      </c>
      <c r="H11" s="373">
        <f>IF(H10=0,0,(Погонаж!$C$12*2.5+Погонаж!$E$12*5))</f>
        <v>9875</v>
      </c>
      <c r="I11" s="373">
        <f>IF(I10=0,0,(Погонаж!$C$12*2.5+Погонаж!$E$12*5))</f>
        <v>9875</v>
      </c>
      <c r="J11" s="373">
        <f>IF(J10=0,0,(Погонаж!$C$12*2.5+Погонаж!$E$12*5))</f>
        <v>9875</v>
      </c>
      <c r="K11" s="373">
        <f>IF(K10=0,0,(Погонаж!$C$12*2.5+Погонаж!$E$12*5))</f>
        <v>9875</v>
      </c>
      <c r="L11" s="373">
        <f>IF(L10=0,0,(Погонаж!$C$12*2.5+Погонаж!$E$12*5))</f>
        <v>9875</v>
      </c>
      <c r="M11" s="441"/>
      <c r="N11" s="441"/>
      <c r="O11" s="441"/>
      <c r="P11" s="441"/>
      <c r="Q11" s="441"/>
      <c r="R11" s="441"/>
      <c r="S11" s="441"/>
      <c r="T11" s="441"/>
      <c r="U11" s="441"/>
      <c r="V11" s="441"/>
      <c r="W11" s="441"/>
      <c r="X11" s="441"/>
      <c r="Y11" s="441"/>
      <c r="Z11" s="441"/>
      <c r="AA11" s="441"/>
      <c r="AB11" s="441"/>
      <c r="AC11" s="441"/>
      <c r="AD11" s="441"/>
      <c r="AE11" s="441"/>
      <c r="AF11" s="441"/>
      <c r="AG11" s="441"/>
      <c r="AH11" s="441"/>
      <c r="AI11" s="441"/>
      <c r="AJ11" s="441"/>
      <c r="AK11" s="441"/>
      <c r="AL11" s="441"/>
      <c r="AM11" s="441"/>
      <c r="AN11" s="441"/>
      <c r="AO11" s="441"/>
      <c r="AP11" s="441"/>
    </row>
    <row r="12" spans="1:42" s="2328" customFormat="1" ht="24" customHeight="1">
      <c r="A12" s="4264"/>
      <c r="B12" s="4218"/>
      <c r="C12" s="4219"/>
      <c r="D12" s="4215"/>
      <c r="E12" s="4215"/>
      <c r="F12" s="267" t="s">
        <v>1</v>
      </c>
      <c r="G12" s="598">
        <f t="shared" ref="G12:L12" si="1">G10+G11</f>
        <v>29925</v>
      </c>
      <c r="H12" s="598">
        <f t="shared" si="1"/>
        <v>31625</v>
      </c>
      <c r="I12" s="598">
        <f t="shared" si="1"/>
        <v>29925</v>
      </c>
      <c r="J12" s="598">
        <f t="shared" si="1"/>
        <v>31625</v>
      </c>
      <c r="K12" s="598">
        <f t="shared" si="1"/>
        <v>29925</v>
      </c>
      <c r="L12" s="598">
        <f t="shared" si="1"/>
        <v>44825</v>
      </c>
      <c r="M12" s="441"/>
      <c r="N12" s="441"/>
      <c r="O12" s="441"/>
      <c r="P12" s="441"/>
      <c r="Q12" s="441"/>
      <c r="R12" s="441"/>
      <c r="S12" s="441"/>
      <c r="T12" s="441"/>
      <c r="U12" s="441"/>
      <c r="V12" s="441"/>
      <c r="W12" s="441"/>
      <c r="X12" s="441"/>
      <c r="Y12" s="441"/>
      <c r="Z12" s="441"/>
      <c r="AA12" s="441"/>
      <c r="AB12" s="441"/>
      <c r="AC12" s="441"/>
      <c r="AD12" s="441"/>
      <c r="AE12" s="441"/>
      <c r="AF12" s="441"/>
      <c r="AG12" s="441"/>
      <c r="AH12" s="441"/>
      <c r="AI12" s="441"/>
      <c r="AJ12" s="441"/>
      <c r="AK12" s="441"/>
      <c r="AL12" s="441"/>
      <c r="AM12" s="441"/>
      <c r="AN12" s="441"/>
      <c r="AO12" s="441"/>
      <c r="AP12" s="441"/>
    </row>
    <row r="13" spans="1:42" s="138" customFormat="1" ht="24" customHeight="1">
      <c r="A13" s="4230" t="s">
        <v>30</v>
      </c>
      <c r="B13" s="4209" t="s">
        <v>284</v>
      </c>
      <c r="C13" s="4210"/>
      <c r="D13" s="4233" t="s">
        <v>35</v>
      </c>
      <c r="E13" s="4233" t="s">
        <v>34</v>
      </c>
      <c r="F13" s="132" t="s">
        <v>0</v>
      </c>
      <c r="G13" s="1191">
        <f>CEILING('Полотна база'!J54*(1+скидки_наценки!$B$30)*скидки_наценки!$D$13*скидки_наценки!$F$13/скидки_наценки!$B$4, 50)</f>
        <v>25950</v>
      </c>
      <c r="H13" s="1191">
        <f>CEILING('Полотна база'!K54*(1+скидки_наценки!$B$30)*скидки_наценки!$D$13*скидки_наценки!$F$13/скидки_наценки!$B$4, 50)</f>
        <v>26600</v>
      </c>
      <c r="I13" s="1191">
        <f>CEILING('Полотна база'!J54*(1+скидки_наценки!$B$30)*скидки_наценки!$D$13*скидки_наценки!$F$13/скидки_наценки!$B$4, 50)</f>
        <v>25950</v>
      </c>
      <c r="J13" s="1191">
        <f>CEILING('Полотна база'!K54*(1+скидки_наценки!$B$30)*скидки_наценки!$D$13*скидки_наценки!$F$13/скидки_наценки!$B$4, 50)</f>
        <v>26600</v>
      </c>
      <c r="K13" s="1191">
        <f>CEILING('Полотна база'!J54*(1+скидки_наценки!$B$30)*скидки_наценки!$D$13*скидки_наценки!$F$13/скидки_наценки!$B$4, 50)</f>
        <v>25950</v>
      </c>
      <c r="L13" s="1191">
        <f>CEILING(('Полотна база'!AZ54+Алюм.погонаж!$E$26)*(1+скидки_наценки!$B$30)*скидки_наценки!$D$13*скидки_наценки!$F$13/скидки_наценки!$B$4, 50)</f>
        <v>44000</v>
      </c>
      <c r="M13" s="2775"/>
      <c r="N13" s="441"/>
      <c r="O13" s="441"/>
      <c r="P13" s="441"/>
      <c r="Q13" s="441"/>
      <c r="R13" s="441"/>
      <c r="S13" s="441"/>
      <c r="T13" s="441"/>
      <c r="U13" s="441"/>
      <c r="V13" s="441"/>
      <c r="W13" s="441"/>
      <c r="X13" s="441"/>
      <c r="Y13" s="441"/>
      <c r="Z13" s="441"/>
      <c r="AA13" s="441"/>
      <c r="AB13" s="441"/>
      <c r="AC13" s="441"/>
      <c r="AD13" s="441"/>
      <c r="AE13" s="441"/>
      <c r="AF13" s="441"/>
      <c r="AG13" s="441"/>
      <c r="AH13" s="441"/>
      <c r="AI13" s="441"/>
      <c r="AJ13" s="441"/>
      <c r="AK13" s="441"/>
      <c r="AL13" s="441"/>
      <c r="AM13" s="441"/>
      <c r="AN13" s="441"/>
      <c r="AO13" s="441"/>
      <c r="AP13" s="441"/>
    </row>
    <row r="14" spans="1:42" s="305" customFormat="1" ht="15" customHeight="1">
      <c r="A14" s="4231"/>
      <c r="B14" s="4226"/>
      <c r="C14" s="4227"/>
      <c r="D14" s="4233"/>
      <c r="E14" s="4233"/>
      <c r="F14" s="302" t="s">
        <v>306</v>
      </c>
      <c r="G14" s="2331">
        <f>IF(G13=0,0,(Погонаж!$C$13*2.5+Погонаж!$E$13*5))</f>
        <v>12375</v>
      </c>
      <c r="H14" s="2331">
        <f>IF(H13=0,0,(Погонаж!$C$13*2.5+Погонаж!$E$13*5))</f>
        <v>12375</v>
      </c>
      <c r="I14" s="2331">
        <f>IF(I13=0,0,(Погонаж!$C$13*2.5+Погонаж!$E$13*5))</f>
        <v>12375</v>
      </c>
      <c r="J14" s="2331">
        <f>IF(J13=0,0,(Погонаж!$C$13*2.5+Погонаж!$E$13*5))</f>
        <v>12375</v>
      </c>
      <c r="K14" s="2331">
        <f>IF(K13=0,0,(Погонаж!$C$13*2.5+Погонаж!$E$13*5))</f>
        <v>12375</v>
      </c>
      <c r="L14" s="2331">
        <f>IF(L13=0,0,(Погонаж!$C$13*2.5+Погонаж!$E$13*5))</f>
        <v>12375</v>
      </c>
      <c r="M14" s="441"/>
      <c r="N14" s="441"/>
      <c r="O14" s="441"/>
      <c r="P14" s="441"/>
      <c r="Q14" s="441"/>
      <c r="R14" s="441"/>
      <c r="S14" s="441"/>
      <c r="T14" s="441"/>
      <c r="U14" s="441"/>
      <c r="V14" s="441"/>
      <c r="W14" s="441"/>
      <c r="X14" s="441"/>
      <c r="Y14" s="441"/>
      <c r="Z14" s="441"/>
      <c r="AA14" s="441"/>
      <c r="AB14" s="441"/>
      <c r="AC14" s="441"/>
      <c r="AD14" s="441"/>
      <c r="AE14" s="441"/>
      <c r="AF14" s="441"/>
      <c r="AG14" s="441"/>
      <c r="AH14" s="441"/>
      <c r="AI14" s="441"/>
      <c r="AJ14" s="441"/>
      <c r="AK14" s="441"/>
      <c r="AL14" s="441"/>
      <c r="AM14" s="441"/>
      <c r="AN14" s="441"/>
      <c r="AO14" s="441"/>
      <c r="AP14" s="441"/>
    </row>
    <row r="15" spans="1:42" s="138" customFormat="1" ht="24" customHeight="1">
      <c r="A15" s="4232"/>
      <c r="B15" s="4228"/>
      <c r="C15" s="4229"/>
      <c r="D15" s="4233"/>
      <c r="E15" s="4233"/>
      <c r="F15" s="30" t="s">
        <v>1</v>
      </c>
      <c r="G15" s="379">
        <f t="shared" ref="G15:L15" si="2">G13+G14</f>
        <v>38325</v>
      </c>
      <c r="H15" s="379">
        <f t="shared" si="2"/>
        <v>38975</v>
      </c>
      <c r="I15" s="379">
        <f t="shared" si="2"/>
        <v>38325</v>
      </c>
      <c r="J15" s="379">
        <f t="shared" si="2"/>
        <v>38975</v>
      </c>
      <c r="K15" s="379">
        <f t="shared" si="2"/>
        <v>38325</v>
      </c>
      <c r="L15" s="379">
        <f t="shared" si="2"/>
        <v>56375</v>
      </c>
      <c r="M15" s="441"/>
      <c r="N15" s="441"/>
      <c r="O15" s="441"/>
      <c r="P15" s="441"/>
      <c r="Q15" s="441"/>
      <c r="R15" s="441"/>
      <c r="S15" s="441"/>
      <c r="T15" s="441"/>
      <c r="U15" s="441"/>
      <c r="V15" s="441"/>
      <c r="W15" s="441"/>
      <c r="X15" s="441"/>
      <c r="Y15" s="441"/>
      <c r="Z15" s="441"/>
      <c r="AA15" s="441"/>
      <c r="AB15" s="441"/>
      <c r="AC15" s="441"/>
      <c r="AD15" s="441"/>
      <c r="AE15" s="441"/>
      <c r="AF15" s="441"/>
      <c r="AG15" s="441"/>
      <c r="AH15" s="441"/>
      <c r="AI15" s="441"/>
      <c r="AJ15" s="441"/>
      <c r="AK15" s="441"/>
      <c r="AL15" s="441"/>
      <c r="AM15" s="441"/>
      <c r="AN15" s="441"/>
      <c r="AO15" s="441"/>
      <c r="AP15" s="441"/>
    </row>
    <row r="16" spans="1:42" s="9" customFormat="1" ht="24" customHeight="1">
      <c r="A16" s="4260" t="s">
        <v>26</v>
      </c>
      <c r="B16" s="4211" t="s">
        <v>2569</v>
      </c>
      <c r="C16" s="4212"/>
      <c r="D16" s="4206" t="s">
        <v>35</v>
      </c>
      <c r="E16" s="4206" t="s">
        <v>34</v>
      </c>
      <c r="F16" s="50" t="s">
        <v>0</v>
      </c>
      <c r="G16" s="691">
        <f>CEILING('Полотна база'!J55*(1+скидки_наценки!$B$29)*скидки_наценки!$D$13*скидки_наценки!$F$13/скидки_наценки!$B$4, 50)</f>
        <v>26000</v>
      </c>
      <c r="H16" s="691">
        <f>CEILING('Полотна база'!K55*(1+скидки_наценки!$B$29)*скидки_наценки!$D$13*скидки_наценки!$F$13/скидки_наценки!$B$4, 50)</f>
        <v>27700</v>
      </c>
      <c r="I16" s="691">
        <f>CEILING('Полотна база'!J55*(1+скидки_наценки!$B$29)*скидки_наценки!$D$13*скидки_наценки!$F$13/скидки_наценки!$B$4, 50)</f>
        <v>26000</v>
      </c>
      <c r="J16" s="691">
        <f>CEILING('Полотна база'!K55*(1+скидки_наценки!$B$29)*скидки_наценки!$D$13*скидки_наценки!$F$13/скидки_наценки!$B$4, 50)</f>
        <v>27700</v>
      </c>
      <c r="K16" s="691">
        <f>CEILING('Полотна база'!J55*(1+скидки_наценки!$B$29)*скидки_наценки!$D$13*скидки_наценки!$F$13/скидки_наценки!$B$4, 50)</f>
        <v>26000</v>
      </c>
      <c r="L16" s="691">
        <f>CEILING(('Полотна база'!AZ55+Алюм.погонаж!$E$26)*(1+скидки_наценки!$B$29)*скидки_наценки!$D$13*скидки_наценки!$F$13/скидки_наценки!$B$4, 50)</f>
        <v>40900</v>
      </c>
      <c r="M16" s="441"/>
      <c r="N16" s="441"/>
      <c r="O16" s="441"/>
      <c r="P16" s="441"/>
      <c r="Q16" s="441"/>
      <c r="R16" s="441"/>
      <c r="S16" s="441"/>
      <c r="T16" s="441"/>
      <c r="U16" s="441"/>
      <c r="V16" s="441"/>
      <c r="W16" s="441"/>
      <c r="X16" s="441"/>
      <c r="Y16" s="441"/>
      <c r="Z16" s="441"/>
      <c r="AA16" s="441"/>
      <c r="AB16" s="441"/>
      <c r="AC16" s="441"/>
      <c r="AD16" s="441"/>
      <c r="AE16" s="441"/>
      <c r="AF16" s="441"/>
      <c r="AG16" s="441"/>
      <c r="AH16" s="441"/>
      <c r="AI16" s="441"/>
      <c r="AJ16" s="441"/>
      <c r="AK16" s="441"/>
      <c r="AL16" s="441"/>
      <c r="AM16" s="441"/>
      <c r="AN16" s="441"/>
      <c r="AO16" s="441"/>
      <c r="AP16" s="441"/>
    </row>
    <row r="17" spans="1:42" s="9" customFormat="1" ht="15" customHeight="1">
      <c r="A17" s="4260"/>
      <c r="B17" s="4216"/>
      <c r="C17" s="4217"/>
      <c r="D17" s="4207"/>
      <c r="E17" s="4207"/>
      <c r="F17" s="303" t="s">
        <v>306</v>
      </c>
      <c r="G17" s="373">
        <f>IF(G16=0,0,(Погонаж!$C$14*2.5+Погонаж!$E$14*5))</f>
        <v>13250</v>
      </c>
      <c r="H17" s="373">
        <f>IF(H16=0,0,(Погонаж!$C$14*2.5+Погонаж!$E$14*5))</f>
        <v>13250</v>
      </c>
      <c r="I17" s="373">
        <f>IF(I16=0,0,(Погонаж!$C$14*2.5+Погонаж!$E$14*5))</f>
        <v>13250</v>
      </c>
      <c r="J17" s="373">
        <f>IF(J16=0,0,(Погонаж!$C$14*2.5+Погонаж!$E$14*5))</f>
        <v>13250</v>
      </c>
      <c r="K17" s="373">
        <f>IF(K16=0,0,(Погонаж!$C$14*2.5+Погонаж!$E$14*5))</f>
        <v>13250</v>
      </c>
      <c r="L17" s="373">
        <f>IF(L16=0,0,(Погонаж!$C$14*2.5+Погонаж!$E$14*5))</f>
        <v>13250</v>
      </c>
      <c r="M17" s="441"/>
      <c r="N17" s="441"/>
      <c r="O17" s="441"/>
      <c r="P17" s="441"/>
      <c r="Q17" s="441"/>
      <c r="R17" s="441"/>
      <c r="S17" s="441"/>
      <c r="T17" s="441"/>
      <c r="U17" s="441"/>
      <c r="V17" s="441"/>
      <c r="W17" s="441"/>
      <c r="X17" s="441"/>
      <c r="Y17" s="441"/>
      <c r="Z17" s="441"/>
      <c r="AA17" s="441"/>
      <c r="AB17" s="441"/>
      <c r="AC17" s="441"/>
      <c r="AD17" s="441"/>
      <c r="AE17" s="441"/>
      <c r="AF17" s="441"/>
      <c r="AG17" s="441"/>
      <c r="AH17" s="441"/>
      <c r="AI17" s="441"/>
      <c r="AJ17" s="441"/>
      <c r="AK17" s="441"/>
      <c r="AL17" s="441"/>
      <c r="AM17" s="441"/>
      <c r="AN17" s="441"/>
      <c r="AO17" s="441"/>
      <c r="AP17" s="441"/>
    </row>
    <row r="18" spans="1:42" s="9" customFormat="1" ht="24" customHeight="1">
      <c r="A18" s="4260"/>
      <c r="B18" s="4218"/>
      <c r="C18" s="4219"/>
      <c r="D18" s="4208"/>
      <c r="E18" s="4208"/>
      <c r="F18" s="13" t="s">
        <v>1</v>
      </c>
      <c r="G18" s="598">
        <f t="shared" ref="G18:L18" si="3">G16+G17</f>
        <v>39250</v>
      </c>
      <c r="H18" s="598">
        <f t="shared" si="3"/>
        <v>40950</v>
      </c>
      <c r="I18" s="598">
        <f t="shared" si="3"/>
        <v>39250</v>
      </c>
      <c r="J18" s="598">
        <f t="shared" si="3"/>
        <v>40950</v>
      </c>
      <c r="K18" s="598">
        <f t="shared" si="3"/>
        <v>39250</v>
      </c>
      <c r="L18" s="598">
        <f t="shared" si="3"/>
        <v>54150</v>
      </c>
      <c r="M18" s="2775"/>
      <c r="N18" s="441"/>
      <c r="O18" s="441"/>
      <c r="P18" s="441"/>
      <c r="Q18" s="441"/>
      <c r="R18" s="441"/>
      <c r="S18" s="441"/>
      <c r="T18" s="441"/>
      <c r="U18" s="441"/>
      <c r="V18" s="441"/>
      <c r="W18" s="441"/>
      <c r="X18" s="441"/>
      <c r="Y18" s="441"/>
      <c r="Z18" s="441"/>
      <c r="AA18" s="441"/>
      <c r="AB18" s="441"/>
      <c r="AC18" s="441"/>
      <c r="AD18" s="441"/>
      <c r="AE18" s="441"/>
      <c r="AF18" s="441"/>
      <c r="AG18" s="441"/>
      <c r="AH18" s="441"/>
      <c r="AI18" s="441"/>
      <c r="AJ18" s="441"/>
      <c r="AK18" s="441"/>
      <c r="AL18" s="441"/>
      <c r="AM18" s="441"/>
      <c r="AN18" s="441"/>
      <c r="AO18" s="441"/>
      <c r="AP18" s="441"/>
    </row>
    <row r="19" spans="1:42" s="9" customFormat="1" ht="24" customHeight="1">
      <c r="A19" s="4260"/>
      <c r="B19" s="4209" t="s">
        <v>2580</v>
      </c>
      <c r="C19" s="4210"/>
      <c r="D19" s="4203" t="s">
        <v>35</v>
      </c>
      <c r="E19" s="4203" t="s">
        <v>34</v>
      </c>
      <c r="F19" s="132" t="s">
        <v>0</v>
      </c>
      <c r="G19" s="1191">
        <f>CEILING('Полотна база'!J56*(1+скидки_наценки!$B$29)*скидки_наценки!$D$13*скидки_наценки!$F$13/скидки_наценки!$B$4, 50)</f>
        <v>27650</v>
      </c>
      <c r="H19" s="1191">
        <f>CEILING('Полотна база'!K56*(1+скидки_наценки!$B$29)*скидки_наценки!$D$13*скидки_наценки!$F$13/скидки_наценки!$B$4, 50)</f>
        <v>29350</v>
      </c>
      <c r="I19" s="1191">
        <f>CEILING('Полотна база'!J56*(1+скидки_наценки!$B$29)*скидки_наценки!$D$13*скидки_наценки!$F$13/скидки_наценки!$B$4, 50)</f>
        <v>27650</v>
      </c>
      <c r="J19" s="1191">
        <f>CEILING('Полотна база'!K56*(1+скидки_наценки!$B$29)*скидки_наценки!$D$13*скидки_наценки!$F$13/скидки_наценки!$B$4, 50)</f>
        <v>29350</v>
      </c>
      <c r="K19" s="1191">
        <f>CEILING('Полотна база'!J56*(1+скидки_наценки!$B$29)*скидки_наценки!$D$13*скидки_наценки!$F$13/скидки_наценки!$B$4, 50)</f>
        <v>27650</v>
      </c>
      <c r="L19" s="1191">
        <f>CEILING(('Полотна база'!AZ56+Алюм.погонаж!$E$26)*(1+скидки_наценки!$B$29)*скидки_наценки!$D$13*скидки_наценки!$F$13/скидки_наценки!$B$4, 50)</f>
        <v>42550</v>
      </c>
      <c r="M19" s="596"/>
      <c r="N19" s="441"/>
      <c r="O19" s="441"/>
      <c r="P19" s="441"/>
      <c r="Q19" s="441"/>
      <c r="R19" s="441"/>
      <c r="S19" s="441"/>
      <c r="T19" s="441"/>
      <c r="U19" s="441"/>
      <c r="V19" s="441"/>
      <c r="W19" s="441"/>
      <c r="X19" s="441"/>
      <c r="Y19" s="441"/>
      <c r="Z19" s="441"/>
      <c r="AA19" s="441"/>
      <c r="AB19" s="441"/>
      <c r="AC19" s="441"/>
      <c r="AD19" s="441"/>
      <c r="AE19" s="441"/>
      <c r="AF19" s="441"/>
      <c r="AG19" s="441"/>
      <c r="AH19" s="441"/>
      <c r="AI19" s="441"/>
      <c r="AJ19" s="441"/>
      <c r="AK19" s="441"/>
      <c r="AL19" s="441"/>
      <c r="AM19" s="441"/>
      <c r="AN19" s="441"/>
      <c r="AO19" s="441"/>
      <c r="AP19" s="441"/>
    </row>
    <row r="20" spans="1:42" s="9" customFormat="1" ht="15" customHeight="1">
      <c r="A20" s="4260"/>
      <c r="B20" s="4226"/>
      <c r="C20" s="4227"/>
      <c r="D20" s="4204"/>
      <c r="E20" s="4204"/>
      <c r="F20" s="307" t="s">
        <v>306</v>
      </c>
      <c r="G20" s="2331">
        <f>IF(G19=0,0,(Погонаж!$C$15*2.5+Погонаж!$E$15*5))</f>
        <v>14375</v>
      </c>
      <c r="H20" s="2331">
        <f>IF(H19=0,0,(Погонаж!$C$15*2.5+Погонаж!$E$15*5))</f>
        <v>14375</v>
      </c>
      <c r="I20" s="2331">
        <f>IF(I19=0,0,(Погонаж!$C$15*2.5+Погонаж!$E$15*5))</f>
        <v>14375</v>
      </c>
      <c r="J20" s="2331">
        <f>IF(J19=0,0,(Погонаж!$C$15*2.5+Погонаж!$E$15*5))</f>
        <v>14375</v>
      </c>
      <c r="K20" s="2331">
        <f>IF(K19=0,0,(Погонаж!$C$15*2.5+Погонаж!$E$15*5))</f>
        <v>14375</v>
      </c>
      <c r="L20" s="2331">
        <f>IF(L19=0,0,(Погонаж!$C$15*2.5+Погонаж!$E$15*5))</f>
        <v>14375</v>
      </c>
      <c r="M20" s="596"/>
      <c r="N20" s="441"/>
      <c r="O20" s="441"/>
      <c r="P20" s="441"/>
      <c r="Q20" s="441"/>
      <c r="R20" s="441"/>
      <c r="S20" s="441"/>
      <c r="T20" s="441"/>
      <c r="U20" s="441"/>
      <c r="V20" s="441"/>
      <c r="W20" s="441"/>
      <c r="X20" s="441"/>
      <c r="Y20" s="441"/>
      <c r="Z20" s="441"/>
      <c r="AA20" s="441"/>
      <c r="AB20" s="441"/>
      <c r="AC20" s="441"/>
      <c r="AD20" s="441"/>
      <c r="AE20" s="441"/>
      <c r="AF20" s="441"/>
      <c r="AG20" s="441"/>
      <c r="AH20" s="441"/>
      <c r="AI20" s="441"/>
      <c r="AJ20" s="441"/>
      <c r="AK20" s="441"/>
      <c r="AL20" s="441"/>
      <c r="AM20" s="441"/>
      <c r="AN20" s="441"/>
      <c r="AO20" s="441"/>
      <c r="AP20" s="441"/>
    </row>
    <row r="21" spans="1:42" s="9" customFormat="1" ht="24" customHeight="1">
      <c r="A21" s="4260"/>
      <c r="B21" s="4228"/>
      <c r="C21" s="4229"/>
      <c r="D21" s="4205"/>
      <c r="E21" s="4205"/>
      <c r="F21" s="30" t="s">
        <v>1</v>
      </c>
      <c r="G21" s="379">
        <f t="shared" ref="G21:L21" si="4">G19+G20</f>
        <v>42025</v>
      </c>
      <c r="H21" s="379">
        <f t="shared" si="4"/>
        <v>43725</v>
      </c>
      <c r="I21" s="379">
        <f t="shared" si="4"/>
        <v>42025</v>
      </c>
      <c r="J21" s="379">
        <f t="shared" si="4"/>
        <v>43725</v>
      </c>
      <c r="K21" s="379">
        <f t="shared" si="4"/>
        <v>42025</v>
      </c>
      <c r="L21" s="379">
        <f t="shared" si="4"/>
        <v>56925</v>
      </c>
      <c r="M21" s="441"/>
      <c r="N21" s="441"/>
      <c r="O21" s="441"/>
      <c r="P21" s="441"/>
      <c r="Q21" s="441"/>
      <c r="R21" s="441"/>
      <c r="S21" s="441"/>
      <c r="T21" s="441"/>
      <c r="U21" s="441"/>
      <c r="V21" s="441"/>
      <c r="W21" s="441"/>
      <c r="X21" s="441"/>
      <c r="Y21" s="441"/>
      <c r="Z21" s="441"/>
      <c r="AA21" s="441"/>
      <c r="AB21" s="441"/>
      <c r="AC21" s="441"/>
      <c r="AD21" s="441"/>
      <c r="AE21" s="441"/>
      <c r="AF21" s="441"/>
      <c r="AG21" s="441"/>
      <c r="AH21" s="441"/>
      <c r="AI21" s="441"/>
      <c r="AJ21" s="441"/>
      <c r="AK21" s="441"/>
      <c r="AL21" s="441"/>
      <c r="AM21" s="441"/>
      <c r="AN21" s="441"/>
      <c r="AO21" s="441"/>
      <c r="AP21" s="441"/>
    </row>
    <row r="22" spans="1:42" s="9" customFormat="1" ht="24" customHeight="1">
      <c r="A22" s="4261"/>
      <c r="B22" s="4211" t="s">
        <v>3380</v>
      </c>
      <c r="C22" s="4212"/>
      <c r="D22" s="4213" t="s">
        <v>35</v>
      </c>
      <c r="E22" s="4213" t="s">
        <v>34</v>
      </c>
      <c r="F22" s="182" t="s">
        <v>0</v>
      </c>
      <c r="G22" s="691">
        <f>CEILING('Полотна база'!J57*(1+скидки_наценки!$B$29)*скидки_наценки!$D$13*скидки_наценки!$F$13/скидки_наценки!$B$4, 50)</f>
        <v>28700</v>
      </c>
      <c r="H22" s="691">
        <f>CEILING('Полотна база'!K57*(1+скидки_наценки!$B$29)*скидки_наценки!$D$13*скидки_наценки!$F$13/скидки_наценки!$B$4, 50)</f>
        <v>30400</v>
      </c>
      <c r="I22" s="691">
        <f>CEILING('Полотна база'!J57*(1+скидки_наценки!$B$29)*скидки_наценки!$D$13*скидки_наценки!$F$13/скидки_наценки!$B$4, 50)</f>
        <v>28700</v>
      </c>
      <c r="J22" s="691">
        <f>CEILING('Полотна база'!K57*(1+скидки_наценки!$B$29)*скидки_наценки!$D$13*скидки_наценки!$F$13/скидки_наценки!$B$4, 50)</f>
        <v>30400</v>
      </c>
      <c r="K22" s="691">
        <f>CEILING('Полотна база'!J57*(1+скидки_наценки!$B$29)*скидки_наценки!$D$13*скидки_наценки!$F$13/скидки_наценки!$B$4, 50)</f>
        <v>28700</v>
      </c>
      <c r="L22" s="691">
        <f>CEILING(('Полотна база'!AZ57+Алюм.погонаж!$E$26)*(1+скидки_наценки!$B$29)*скидки_наценки!$D$13*скидки_наценки!$F$13/скидки_наценки!$B$4, 50)</f>
        <v>43600</v>
      </c>
      <c r="M22" s="441"/>
      <c r="N22" s="441"/>
      <c r="O22" s="441"/>
      <c r="P22" s="441"/>
      <c r="Q22" s="441"/>
      <c r="R22" s="441"/>
      <c r="S22" s="441"/>
      <c r="T22" s="441"/>
      <c r="U22" s="441"/>
      <c r="V22" s="441"/>
      <c r="W22" s="441"/>
      <c r="X22" s="441"/>
      <c r="Y22" s="441"/>
      <c r="Z22" s="441"/>
      <c r="AA22" s="441"/>
      <c r="AB22" s="441"/>
      <c r="AC22" s="441"/>
      <c r="AD22" s="441"/>
      <c r="AE22" s="441"/>
      <c r="AF22" s="441"/>
      <c r="AG22" s="441"/>
      <c r="AH22" s="441"/>
      <c r="AI22" s="441"/>
      <c r="AJ22" s="441"/>
      <c r="AK22" s="441"/>
      <c r="AL22" s="441"/>
      <c r="AM22" s="441"/>
      <c r="AN22" s="441"/>
      <c r="AO22" s="441"/>
      <c r="AP22" s="441"/>
    </row>
    <row r="23" spans="1:42" s="9" customFormat="1" ht="24" customHeight="1">
      <c r="A23" s="4261"/>
      <c r="B23" s="4322"/>
      <c r="C23" s="4323"/>
      <c r="D23" s="4214"/>
      <c r="E23" s="4214"/>
      <c r="F23" s="2735" t="s">
        <v>306</v>
      </c>
      <c r="G23" s="3914">
        <f>IF(G22=0,0,(Погонаж!C16*2.5+Погонаж!E16*5))</f>
        <v>14750</v>
      </c>
      <c r="H23" s="3914">
        <f>IF(H22=0,0,(Погонаж!C16*2.5+Погонаж!E16*5))</f>
        <v>14750</v>
      </c>
      <c r="I23" s="3914">
        <f>IF(I22=0,0,(Погонаж!C16*2.5+Погонаж!E16*5))</f>
        <v>14750</v>
      </c>
      <c r="J23" s="3914">
        <f>IF(J22=0,0,(Погонаж!C16*2.5+Погонаж!E16*5))</f>
        <v>14750</v>
      </c>
      <c r="K23" s="3914">
        <f>IF(K22=0,0,(Погонаж!C16*2.5+Погонаж!E16*5))</f>
        <v>14750</v>
      </c>
      <c r="L23" s="3914">
        <f>IF(L22=0,0,(Погонаж!C16*2.5+Погонаж!E16*5))</f>
        <v>14750</v>
      </c>
      <c r="M23" s="441"/>
      <c r="N23" s="441"/>
      <c r="O23" s="441"/>
      <c r="P23" s="441"/>
      <c r="Q23" s="441"/>
      <c r="R23" s="441"/>
      <c r="S23" s="441"/>
      <c r="T23" s="441"/>
      <c r="U23" s="441"/>
      <c r="V23" s="441"/>
      <c r="W23" s="441"/>
      <c r="X23" s="441"/>
      <c r="Y23" s="441"/>
      <c r="Z23" s="441"/>
      <c r="AA23" s="441"/>
      <c r="AB23" s="441"/>
      <c r="AC23" s="441"/>
      <c r="AD23" s="441"/>
      <c r="AE23" s="441"/>
      <c r="AF23" s="441"/>
      <c r="AG23" s="441"/>
      <c r="AH23" s="441"/>
      <c r="AI23" s="441"/>
      <c r="AJ23" s="441"/>
      <c r="AK23" s="441"/>
      <c r="AL23" s="441"/>
      <c r="AM23" s="441"/>
      <c r="AN23" s="441"/>
      <c r="AO23" s="441"/>
      <c r="AP23" s="441"/>
    </row>
    <row r="24" spans="1:42" s="9" customFormat="1" ht="24" customHeight="1">
      <c r="A24" s="4261"/>
      <c r="B24" s="4324"/>
      <c r="C24" s="4325"/>
      <c r="D24" s="4215"/>
      <c r="E24" s="4215"/>
      <c r="F24" s="267" t="s">
        <v>1</v>
      </c>
      <c r="G24" s="598">
        <f t="shared" ref="G24:L24" si="5">G22+G23</f>
        <v>43450</v>
      </c>
      <c r="H24" s="598">
        <f t="shared" si="5"/>
        <v>45150</v>
      </c>
      <c r="I24" s="598">
        <f t="shared" si="5"/>
        <v>43450</v>
      </c>
      <c r="J24" s="598">
        <f t="shared" si="5"/>
        <v>45150</v>
      </c>
      <c r="K24" s="598">
        <f t="shared" si="5"/>
        <v>43450</v>
      </c>
      <c r="L24" s="598">
        <f t="shared" si="5"/>
        <v>58350</v>
      </c>
      <c r="M24" s="441"/>
      <c r="N24" s="441"/>
      <c r="O24" s="441"/>
      <c r="P24" s="441"/>
      <c r="Q24" s="441"/>
      <c r="R24" s="441"/>
      <c r="S24" s="441"/>
      <c r="T24" s="441"/>
      <c r="U24" s="441"/>
      <c r="V24" s="441"/>
      <c r="W24" s="441"/>
      <c r="X24" s="441"/>
      <c r="Y24" s="441"/>
      <c r="Z24" s="441"/>
      <c r="AA24" s="441"/>
      <c r="AB24" s="441"/>
      <c r="AC24" s="441"/>
      <c r="AD24" s="441"/>
      <c r="AE24" s="441"/>
      <c r="AF24" s="441"/>
      <c r="AG24" s="441"/>
      <c r="AH24" s="441"/>
      <c r="AI24" s="441"/>
      <c r="AJ24" s="441"/>
      <c r="AK24" s="441"/>
      <c r="AL24" s="441"/>
      <c r="AM24" s="441"/>
      <c r="AN24" s="441"/>
      <c r="AO24" s="441"/>
      <c r="AP24" s="441"/>
    </row>
    <row r="25" spans="1:42" s="9" customFormat="1" ht="24" customHeight="1">
      <c r="A25" s="4260"/>
      <c r="B25" s="4209" t="s">
        <v>2588</v>
      </c>
      <c r="C25" s="4210"/>
      <c r="D25" s="4203" t="s">
        <v>35</v>
      </c>
      <c r="E25" s="4203" t="s">
        <v>34</v>
      </c>
      <c r="F25" s="132" t="s">
        <v>0</v>
      </c>
      <c r="G25" s="1191">
        <f>CEILING('Полотна база'!J58*(1+скидки_наценки!$B$29)*скидки_наценки!$D$13*скидки_наценки!$F$13/скидки_наценки!$B$4, 50)</f>
        <v>29800</v>
      </c>
      <c r="H25" s="1191">
        <f>CEILING('Полотна база'!K58*(1+скидки_наценки!$B$29)*скидки_наценки!$D$13*скидки_наценки!$F$13/скидки_наценки!$B$4, 50)</f>
        <v>31500</v>
      </c>
      <c r="I25" s="1191">
        <f>CEILING('Полотна база'!J58*(1+скидки_наценки!$B$29)*скидки_наценки!$D$13*скидки_наценки!$F$13/скидки_наценки!$B$4, 50)</f>
        <v>29800</v>
      </c>
      <c r="J25" s="1191">
        <f>CEILING('Полотна база'!K58*(1+скидки_наценки!$B$29)*скидки_наценки!$D$13*скидки_наценки!$F$13/скидки_наценки!$B$4, 50)</f>
        <v>31500</v>
      </c>
      <c r="K25" s="1191">
        <f>CEILING('Полотна база'!J58*(1+скидки_наценки!$B$29)*скидки_наценки!$D$13*скидки_наценки!$F$13/скидки_наценки!$B$4, 50)</f>
        <v>29800</v>
      </c>
      <c r="L25" s="1191">
        <f>CEILING(('Полотна база'!AZ58+Алюм.погонаж!$E$26)*(1+скидки_наценки!$B$29)*скидки_наценки!$D$13*скидки_наценки!$F$13/скидки_наценки!$B$4, 50)</f>
        <v>44700</v>
      </c>
      <c r="M25" s="596"/>
      <c r="N25" s="441"/>
      <c r="O25" s="441"/>
      <c r="P25" s="441"/>
      <c r="Q25" s="441"/>
      <c r="R25" s="441"/>
      <c r="S25" s="441"/>
      <c r="T25" s="441"/>
      <c r="U25" s="441"/>
      <c r="V25" s="441"/>
      <c r="W25" s="441"/>
      <c r="X25" s="441"/>
      <c r="Y25" s="441"/>
      <c r="Z25" s="441"/>
      <c r="AA25" s="441"/>
      <c r="AB25" s="441"/>
      <c r="AC25" s="441"/>
      <c r="AD25" s="441"/>
      <c r="AE25" s="441"/>
      <c r="AF25" s="441"/>
      <c r="AG25" s="441"/>
      <c r="AH25" s="441"/>
      <c r="AI25" s="441"/>
      <c r="AJ25" s="441"/>
      <c r="AK25" s="441"/>
      <c r="AL25" s="441"/>
      <c r="AM25" s="441"/>
      <c r="AN25" s="441"/>
      <c r="AO25" s="441"/>
      <c r="AP25" s="441"/>
    </row>
    <row r="26" spans="1:42" s="9" customFormat="1" ht="15" customHeight="1">
      <c r="A26" s="4260"/>
      <c r="B26" s="4226"/>
      <c r="C26" s="4227"/>
      <c r="D26" s="4204"/>
      <c r="E26" s="4204"/>
      <c r="F26" s="307" t="s">
        <v>306</v>
      </c>
      <c r="G26" s="2331">
        <f>IF(G25=0,0,(Погонаж!$C$17*2.5+Погонаж!$E$17*5))</f>
        <v>15250</v>
      </c>
      <c r="H26" s="2331">
        <f>IF(H25=0,0,(Погонаж!$C$17*2.5+Погонаж!$E$17*5))</f>
        <v>15250</v>
      </c>
      <c r="I26" s="2331">
        <f>IF(I25=0,0,(Погонаж!$C$17*2.5+Погонаж!$E$17*5))</f>
        <v>15250</v>
      </c>
      <c r="J26" s="2331">
        <f>IF(J25=0,0,(Погонаж!$C$17*2.5+Погонаж!$E$17*5))</f>
        <v>15250</v>
      </c>
      <c r="K26" s="2331">
        <f>IF(K25=0,0,(Погонаж!$C$17*2.5+Погонаж!$E$17*5))</f>
        <v>15250</v>
      </c>
      <c r="L26" s="2331">
        <f>IF(L25=0,0,(Погонаж!$C$17*2.5+Погонаж!$E$17*5))</f>
        <v>15250</v>
      </c>
      <c r="M26" s="596"/>
      <c r="N26" s="441"/>
      <c r="O26" s="441"/>
      <c r="P26" s="441"/>
      <c r="Q26" s="441"/>
      <c r="R26" s="441"/>
      <c r="S26" s="441"/>
      <c r="T26" s="441"/>
      <c r="U26" s="441"/>
      <c r="V26" s="441"/>
      <c r="W26" s="441"/>
      <c r="X26" s="441"/>
      <c r="Y26" s="441"/>
      <c r="Z26" s="441"/>
      <c r="AA26" s="441"/>
      <c r="AB26" s="441"/>
      <c r="AC26" s="441"/>
      <c r="AD26" s="441"/>
      <c r="AE26" s="441"/>
      <c r="AF26" s="441"/>
      <c r="AG26" s="441"/>
      <c r="AH26" s="441"/>
      <c r="AI26" s="441"/>
      <c r="AJ26" s="441"/>
      <c r="AK26" s="441"/>
      <c r="AL26" s="441"/>
      <c r="AM26" s="441"/>
      <c r="AN26" s="441"/>
      <c r="AO26" s="441"/>
      <c r="AP26" s="441"/>
    </row>
    <row r="27" spans="1:42" s="9" customFormat="1" ht="24" customHeight="1">
      <c r="A27" s="4260"/>
      <c r="B27" s="4228"/>
      <c r="C27" s="4229"/>
      <c r="D27" s="4205"/>
      <c r="E27" s="4205"/>
      <c r="F27" s="30" t="s">
        <v>1</v>
      </c>
      <c r="G27" s="379">
        <f t="shared" ref="G27:L27" si="6">G25+G26</f>
        <v>45050</v>
      </c>
      <c r="H27" s="379">
        <f t="shared" si="6"/>
        <v>46750</v>
      </c>
      <c r="I27" s="379">
        <f t="shared" si="6"/>
        <v>45050</v>
      </c>
      <c r="J27" s="379">
        <f t="shared" si="6"/>
        <v>46750</v>
      </c>
      <c r="K27" s="379">
        <f t="shared" si="6"/>
        <v>45050</v>
      </c>
      <c r="L27" s="379">
        <f t="shared" si="6"/>
        <v>59950</v>
      </c>
      <c r="M27" s="441"/>
      <c r="N27" s="441"/>
      <c r="O27" s="441"/>
      <c r="P27" s="441"/>
      <c r="Q27" s="441"/>
      <c r="R27" s="441"/>
      <c r="S27" s="441"/>
      <c r="T27" s="441"/>
      <c r="U27" s="441"/>
      <c r="V27" s="441"/>
      <c r="W27" s="441"/>
      <c r="X27" s="441"/>
      <c r="Y27" s="441"/>
      <c r="Z27" s="441"/>
      <c r="AA27" s="441"/>
      <c r="AB27" s="441"/>
      <c r="AC27" s="441"/>
      <c r="AD27" s="441"/>
      <c r="AE27" s="441"/>
      <c r="AF27" s="441"/>
      <c r="AG27" s="441"/>
      <c r="AH27" s="441"/>
      <c r="AI27" s="441"/>
      <c r="AJ27" s="441"/>
      <c r="AK27" s="441"/>
      <c r="AL27" s="441"/>
      <c r="AM27" s="441"/>
      <c r="AN27" s="441"/>
      <c r="AO27" s="441"/>
      <c r="AP27" s="441"/>
    </row>
    <row r="28" spans="1:42" s="589" customFormat="1">
      <c r="B28" s="1214"/>
      <c r="C28" s="1020"/>
      <c r="D28" s="1020"/>
      <c r="E28" s="1020"/>
      <c r="F28" s="1020"/>
      <c r="G28" s="1020"/>
      <c r="H28" s="1020"/>
      <c r="I28" s="1020"/>
      <c r="J28" s="1020"/>
      <c r="K28" s="1020"/>
      <c r="L28" s="1020"/>
      <c r="M28" s="242"/>
      <c r="N28" s="242"/>
      <c r="O28" s="242"/>
      <c r="P28" s="242"/>
      <c r="Q28" s="242"/>
      <c r="R28" s="242"/>
      <c r="S28" s="242"/>
      <c r="T28" s="242"/>
      <c r="U28" s="242"/>
      <c r="V28" s="242"/>
      <c r="W28" s="242"/>
      <c r="X28" s="242"/>
      <c r="Y28" s="242"/>
      <c r="Z28" s="242"/>
      <c r="AA28" s="242"/>
      <c r="AB28" s="242"/>
      <c r="AC28" s="242"/>
      <c r="AD28" s="242"/>
      <c r="AE28" s="242"/>
      <c r="AF28" s="242"/>
      <c r="AG28" s="242"/>
      <c r="AH28" s="242"/>
      <c r="AI28" s="242"/>
      <c r="AJ28" s="242"/>
      <c r="AK28" s="242"/>
      <c r="AL28" s="242"/>
      <c r="AM28" s="242"/>
      <c r="AN28" s="242"/>
      <c r="AO28" s="242"/>
      <c r="AP28" s="242"/>
    </row>
    <row r="29" spans="1:42" s="589" customFormat="1">
      <c r="B29" s="1020"/>
      <c r="C29" s="1020"/>
      <c r="D29" s="1020"/>
      <c r="E29" s="1020"/>
      <c r="F29" s="1020"/>
      <c r="G29" s="1020"/>
      <c r="H29" s="1020"/>
      <c r="I29" s="1020"/>
      <c r="J29" s="1020"/>
      <c r="K29" s="1020"/>
      <c r="L29" s="1020"/>
      <c r="M29" s="242"/>
      <c r="N29" s="242"/>
      <c r="O29" s="242"/>
      <c r="P29" s="242"/>
      <c r="Q29" s="242"/>
      <c r="R29" s="242"/>
      <c r="S29" s="242"/>
      <c r="T29" s="242"/>
      <c r="U29" s="242"/>
      <c r="V29" s="242"/>
      <c r="W29" s="242"/>
      <c r="X29" s="242"/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</row>
    <row r="30" spans="1:42" s="11" customFormat="1" ht="18.75" customHeight="1">
      <c r="B30" s="60" t="s">
        <v>20</v>
      </c>
      <c r="C30" s="60"/>
      <c r="G30" s="62"/>
      <c r="H30" s="62"/>
      <c r="I30" s="62"/>
      <c r="J30" s="62"/>
      <c r="K30" s="1077"/>
      <c r="L30" s="387"/>
      <c r="M30" s="387"/>
      <c r="N30" s="387"/>
      <c r="O30" s="387"/>
      <c r="P30" s="387"/>
      <c r="Q30" s="387"/>
      <c r="R30" s="387"/>
      <c r="S30" s="387"/>
      <c r="T30" s="387"/>
      <c r="U30" s="387"/>
      <c r="V30" s="387"/>
      <c r="W30" s="387"/>
      <c r="X30" s="387"/>
      <c r="Y30" s="387"/>
      <c r="Z30" s="387"/>
      <c r="AA30" s="387"/>
      <c r="AB30" s="387"/>
      <c r="AC30" s="387"/>
      <c r="AD30" s="387"/>
      <c r="AE30" s="387"/>
      <c r="AF30" s="387"/>
      <c r="AG30" s="387"/>
      <c r="AH30" s="387"/>
      <c r="AI30" s="387"/>
      <c r="AJ30" s="387"/>
      <c r="AK30" s="387"/>
      <c r="AL30" s="387"/>
      <c r="AM30" s="387"/>
      <c r="AN30" s="387"/>
      <c r="AO30" s="387"/>
      <c r="AP30" s="387"/>
    </row>
    <row r="31" spans="1:42" s="11" customFormat="1" ht="18.75" customHeight="1">
      <c r="A31" s="4333" t="s">
        <v>3</v>
      </c>
      <c r="B31" s="4334"/>
      <c r="C31" s="4334"/>
      <c r="D31" s="4334"/>
      <c r="E31" s="4334"/>
      <c r="F31" s="4335"/>
      <c r="G31" s="2416" t="str">
        <f t="shared" ref="G31:L31" si="7">G5</f>
        <v xml:space="preserve">Vetro11 </v>
      </c>
      <c r="H31" s="2416" t="str">
        <f t="shared" si="7"/>
        <v xml:space="preserve">Vetro12 </v>
      </c>
      <c r="I31" s="2416" t="str">
        <f t="shared" si="7"/>
        <v xml:space="preserve">Vetro13 </v>
      </c>
      <c r="J31" s="2416" t="str">
        <f t="shared" si="7"/>
        <v xml:space="preserve">Vetro14 </v>
      </c>
      <c r="K31" s="2416" t="str">
        <f t="shared" si="7"/>
        <v>Vetro17</v>
      </c>
      <c r="L31" s="2416" t="str">
        <f t="shared" si="7"/>
        <v>Vetro18</v>
      </c>
      <c r="M31" s="387"/>
      <c r="N31" s="387"/>
      <c r="O31" s="387"/>
      <c r="P31" s="387"/>
      <c r="Q31" s="387"/>
      <c r="R31" s="387"/>
      <c r="S31" s="387"/>
      <c r="T31" s="387"/>
      <c r="U31" s="387"/>
      <c r="V31" s="387"/>
      <c r="W31" s="387"/>
      <c r="X31" s="387"/>
      <c r="Y31" s="387"/>
      <c r="Z31" s="387"/>
      <c r="AA31" s="387"/>
      <c r="AB31" s="387"/>
      <c r="AC31" s="387"/>
      <c r="AD31" s="387"/>
      <c r="AE31" s="387"/>
      <c r="AF31" s="387"/>
      <c r="AG31" s="387"/>
      <c r="AH31" s="387"/>
      <c r="AI31" s="387"/>
      <c r="AJ31" s="387"/>
      <c r="AK31" s="387"/>
      <c r="AL31" s="387"/>
      <c r="AM31" s="387"/>
      <c r="AN31" s="387"/>
      <c r="AO31" s="387"/>
      <c r="AP31" s="387"/>
    </row>
    <row r="32" spans="1:42" s="589" customFormat="1" ht="18.75" customHeight="1">
      <c r="A32" s="4336"/>
      <c r="B32" s="4337"/>
      <c r="C32" s="4337"/>
      <c r="D32" s="4337"/>
      <c r="E32" s="4337"/>
      <c r="F32" s="4338"/>
      <c r="G32" s="4329" t="s">
        <v>55</v>
      </c>
      <c r="H32" s="4330"/>
      <c r="I32" s="4330"/>
      <c r="J32" s="4330"/>
      <c r="K32" s="2536" t="s">
        <v>399</v>
      </c>
      <c r="L32" s="1089" t="s">
        <v>1428</v>
      </c>
      <c r="M32" s="242"/>
      <c r="N32" s="242"/>
      <c r="O32" s="242"/>
      <c r="P32" s="242"/>
      <c r="Q32" s="242"/>
      <c r="R32" s="242"/>
      <c r="S32" s="242"/>
      <c r="T32" s="242"/>
      <c r="U32" s="242"/>
      <c r="V32" s="242"/>
      <c r="W32" s="242"/>
      <c r="X32" s="242"/>
      <c r="Y32" s="242"/>
      <c r="Z32" s="242"/>
      <c r="AA32" s="242"/>
      <c r="AB32" s="242"/>
      <c r="AC32" s="242"/>
      <c r="AD32" s="242"/>
      <c r="AE32" s="242"/>
      <c r="AF32" s="242"/>
      <c r="AG32" s="242"/>
      <c r="AH32" s="242"/>
      <c r="AI32" s="242"/>
      <c r="AJ32" s="242"/>
      <c r="AK32" s="242"/>
      <c r="AL32" s="242"/>
      <c r="AM32" s="242"/>
      <c r="AN32" s="242"/>
      <c r="AO32" s="242"/>
      <c r="AP32" s="242"/>
    </row>
    <row r="33" spans="1:42" s="63" customFormat="1" ht="18.75" customHeight="1">
      <c r="A33" s="4331" t="s">
        <v>51</v>
      </c>
      <c r="B33" s="4332"/>
      <c r="C33" s="4332"/>
      <c r="D33" s="4332"/>
      <c r="E33" s="4332"/>
      <c r="F33" s="4332"/>
      <c r="G33" s="4332"/>
      <c r="H33" s="4332"/>
      <c r="I33" s="4332"/>
      <c r="J33" s="4332"/>
      <c r="K33" s="4332"/>
      <c r="L33" s="4332"/>
      <c r="M33" s="387"/>
      <c r="N33" s="387"/>
      <c r="O33" s="387"/>
      <c r="P33" s="387"/>
      <c r="Q33" s="387"/>
      <c r="R33" s="387"/>
      <c r="S33" s="387"/>
      <c r="T33" s="387"/>
      <c r="U33" s="387"/>
      <c r="V33" s="387"/>
      <c r="W33" s="387"/>
      <c r="X33" s="387"/>
      <c r="Y33" s="387"/>
      <c r="Z33" s="387"/>
      <c r="AA33" s="387"/>
      <c r="AB33" s="387"/>
      <c r="AC33" s="387"/>
      <c r="AD33" s="387"/>
      <c r="AE33" s="387"/>
      <c r="AF33" s="387"/>
      <c r="AG33" s="387"/>
      <c r="AH33" s="387"/>
      <c r="AI33" s="387"/>
      <c r="AJ33" s="387"/>
      <c r="AK33" s="387"/>
      <c r="AL33" s="387"/>
      <c r="AM33" s="387"/>
      <c r="AN33" s="387"/>
      <c r="AO33" s="387"/>
      <c r="AP33" s="387"/>
    </row>
    <row r="34" spans="1:42" s="63" customFormat="1" ht="24.75" customHeight="1">
      <c r="A34" s="4243" t="s">
        <v>77</v>
      </c>
      <c r="B34" s="4245"/>
      <c r="C34" s="4309" t="s">
        <v>33</v>
      </c>
      <c r="D34" s="4310"/>
      <c r="E34" s="4320" t="s">
        <v>2434</v>
      </c>
      <c r="F34" s="4321"/>
      <c r="G34" s="2577" t="s">
        <v>4</v>
      </c>
      <c r="H34" s="2577" t="s">
        <v>4</v>
      </c>
      <c r="I34" s="2577" t="s">
        <v>4</v>
      </c>
      <c r="J34" s="2577" t="s">
        <v>4</v>
      </c>
      <c r="K34" s="2577" t="s">
        <v>2435</v>
      </c>
      <c r="L34" s="2577" t="s">
        <v>4</v>
      </c>
      <c r="M34" s="387"/>
      <c r="N34" s="387"/>
      <c r="O34" s="387"/>
      <c r="P34" s="387"/>
      <c r="Q34" s="387"/>
      <c r="R34" s="387"/>
      <c r="S34" s="387"/>
      <c r="T34" s="387"/>
      <c r="U34" s="387"/>
      <c r="V34" s="387"/>
      <c r="W34" s="387"/>
      <c r="X34" s="387"/>
      <c r="Y34" s="387"/>
      <c r="Z34" s="387"/>
      <c r="AA34" s="387"/>
      <c r="AB34" s="387"/>
      <c r="AC34" s="387"/>
      <c r="AD34" s="387"/>
      <c r="AE34" s="387"/>
      <c r="AF34" s="387"/>
      <c r="AG34" s="387"/>
      <c r="AH34" s="387"/>
      <c r="AI34" s="387"/>
      <c r="AJ34" s="387"/>
      <c r="AK34" s="387"/>
      <c r="AL34" s="387"/>
      <c r="AM34" s="387"/>
      <c r="AN34" s="387"/>
      <c r="AO34" s="387"/>
      <c r="AP34" s="387"/>
    </row>
    <row r="35" spans="1:42" s="64" customFormat="1" ht="30" customHeight="1">
      <c r="A35" s="4251"/>
      <c r="B35" s="4291"/>
      <c r="C35" s="4314" t="s">
        <v>2387</v>
      </c>
      <c r="D35" s="4315"/>
      <c r="E35" s="4311" t="s">
        <v>1296</v>
      </c>
      <c r="F35" s="4311"/>
      <c r="G35" s="2401" t="s">
        <v>2435</v>
      </c>
      <c r="H35" s="2401" t="s">
        <v>2435</v>
      </c>
      <c r="I35" s="2401" t="s">
        <v>2435</v>
      </c>
      <c r="J35" s="2401" t="s">
        <v>2435</v>
      </c>
      <c r="K35" s="2401" t="s">
        <v>4</v>
      </c>
      <c r="L35" s="2401" t="s">
        <v>2435</v>
      </c>
      <c r="M35" s="242"/>
      <c r="N35" s="242"/>
      <c r="O35" s="242"/>
      <c r="P35" s="242"/>
      <c r="Q35" s="242"/>
      <c r="R35" s="242"/>
      <c r="S35" s="242"/>
      <c r="T35" s="242"/>
      <c r="U35" s="242"/>
      <c r="V35" s="242"/>
      <c r="W35" s="242"/>
      <c r="X35" s="242"/>
      <c r="Y35" s="242"/>
      <c r="Z35" s="242"/>
      <c r="AA35" s="242"/>
      <c r="AB35" s="242"/>
      <c r="AC35" s="242"/>
      <c r="AD35" s="242"/>
      <c r="AE35" s="242"/>
      <c r="AF35" s="242"/>
      <c r="AG35" s="242"/>
      <c r="AH35" s="242"/>
      <c r="AI35" s="242"/>
      <c r="AJ35" s="242"/>
      <c r="AK35" s="242"/>
      <c r="AL35" s="242"/>
      <c r="AM35" s="242"/>
      <c r="AN35" s="242"/>
      <c r="AO35" s="242"/>
      <c r="AP35" s="242"/>
    </row>
    <row r="36" spans="1:42" s="64" customFormat="1" ht="36.75" customHeight="1">
      <c r="A36" s="4318"/>
      <c r="B36" s="4319"/>
      <c r="C36" s="4316"/>
      <c r="D36" s="4317"/>
      <c r="E36" s="4312" t="s">
        <v>1373</v>
      </c>
      <c r="F36" s="4313"/>
      <c r="G36" s="3246">
        <f>CEILING(('стекло+зеркала_база'!AF9)*(1+скидки_наценки!$B$32)*скидки_наценки!$D$13*скидки_наценки!$F$13/скидки_наценки!$B$4, 150)</f>
        <v>450</v>
      </c>
      <c r="H36" s="3246">
        <f>CEILING(G36*2.5, 100)</f>
        <v>1200</v>
      </c>
      <c r="I36" s="3832">
        <f>G36</f>
        <v>450</v>
      </c>
      <c r="J36" s="3832">
        <f>H36</f>
        <v>1200</v>
      </c>
      <c r="K36" s="3832" t="s">
        <v>4</v>
      </c>
      <c r="L36" s="2371" t="s">
        <v>2818</v>
      </c>
      <c r="M36" s="242"/>
      <c r="N36" s="242"/>
      <c r="O36" s="242"/>
      <c r="P36" s="242"/>
      <c r="Q36" s="242"/>
      <c r="R36" s="242"/>
      <c r="S36" s="242"/>
      <c r="T36" s="242"/>
      <c r="U36" s="242"/>
      <c r="V36" s="242"/>
      <c r="W36" s="242"/>
      <c r="X36" s="242"/>
      <c r="Y36" s="242"/>
      <c r="Z36" s="242"/>
      <c r="AA36" s="242"/>
      <c r="AB36" s="242"/>
      <c r="AC36" s="242"/>
      <c r="AD36" s="242"/>
      <c r="AE36" s="242"/>
      <c r="AF36" s="242"/>
      <c r="AG36" s="242"/>
      <c r="AH36" s="242"/>
      <c r="AI36" s="242"/>
      <c r="AJ36" s="242"/>
      <c r="AK36" s="242"/>
      <c r="AL36" s="242"/>
      <c r="AM36" s="242"/>
      <c r="AN36" s="242"/>
      <c r="AO36" s="242"/>
      <c r="AP36" s="242"/>
    </row>
    <row r="37" spans="1:42" s="63" customFormat="1" ht="18.75" customHeight="1">
      <c r="A37" s="4366" t="s">
        <v>52</v>
      </c>
      <c r="B37" s="4361"/>
      <c r="C37" s="4361"/>
      <c r="D37" s="4361"/>
      <c r="E37" s="4361"/>
      <c r="F37" s="4361"/>
      <c r="G37" s="4361"/>
      <c r="H37" s="4361"/>
      <c r="I37" s="4361"/>
      <c r="J37" s="4361"/>
      <c r="K37" s="4361"/>
      <c r="L37" s="4367"/>
      <c r="M37" s="387"/>
      <c r="N37" s="387"/>
      <c r="O37" s="387"/>
      <c r="P37" s="387"/>
      <c r="Q37" s="387"/>
      <c r="R37" s="387"/>
      <c r="S37" s="387"/>
      <c r="T37" s="387"/>
      <c r="U37" s="387"/>
      <c r="V37" s="387"/>
      <c r="W37" s="387"/>
      <c r="X37" s="387"/>
      <c r="Y37" s="387"/>
      <c r="Z37" s="387"/>
      <c r="AA37" s="387"/>
      <c r="AB37" s="387"/>
      <c r="AC37" s="387"/>
      <c r="AD37" s="387"/>
      <c r="AE37" s="387"/>
      <c r="AF37" s="387"/>
      <c r="AG37" s="387"/>
      <c r="AH37" s="387"/>
      <c r="AI37" s="387"/>
      <c r="AJ37" s="387"/>
      <c r="AK37" s="387"/>
      <c r="AL37" s="387"/>
      <c r="AM37" s="387"/>
      <c r="AN37" s="387"/>
      <c r="AO37" s="387"/>
      <c r="AP37" s="387"/>
    </row>
    <row r="38" spans="1:42" s="72" customFormat="1" ht="18.75" customHeight="1">
      <c r="A38" s="4243" t="s">
        <v>1372</v>
      </c>
      <c r="B38" s="4244"/>
      <c r="C38" s="4244"/>
      <c r="D38" s="4245"/>
      <c r="E38" s="4368" t="s">
        <v>1220</v>
      </c>
      <c r="F38" s="4369"/>
      <c r="G38" s="3831" t="s">
        <v>2435</v>
      </c>
      <c r="H38" s="3831" t="s">
        <v>2435</v>
      </c>
      <c r="I38" s="3831" t="s">
        <v>2435</v>
      </c>
      <c r="J38" s="3831" t="s">
        <v>2435</v>
      </c>
      <c r="K38" s="3831"/>
      <c r="L38" s="3831" t="s">
        <v>2435</v>
      </c>
      <c r="M38" s="442"/>
      <c r="N38" s="3833"/>
      <c r="O38" s="442"/>
      <c r="P38" s="442"/>
      <c r="Q38" s="442"/>
      <c r="R38" s="442"/>
      <c r="S38" s="442"/>
      <c r="T38" s="442"/>
      <c r="U38" s="442"/>
      <c r="V38" s="442"/>
      <c r="W38" s="442"/>
      <c r="X38" s="442"/>
      <c r="Y38" s="442"/>
      <c r="Z38" s="442"/>
      <c r="AA38" s="442"/>
      <c r="AB38" s="442"/>
      <c r="AC38" s="442"/>
      <c r="AD38" s="442"/>
      <c r="AE38" s="442"/>
      <c r="AF38" s="442"/>
      <c r="AG38" s="442"/>
      <c r="AH38" s="442"/>
      <c r="AI38" s="442"/>
      <c r="AJ38" s="442"/>
      <c r="AK38" s="442"/>
      <c r="AL38" s="442"/>
      <c r="AM38" s="442"/>
      <c r="AN38" s="442"/>
      <c r="AO38" s="442"/>
      <c r="AP38" s="442"/>
    </row>
    <row r="39" spans="1:42" s="72" customFormat="1" ht="18.75" customHeight="1" thickBot="1">
      <c r="A39" s="4246"/>
      <c r="B39" s="4247"/>
      <c r="C39" s="4247"/>
      <c r="D39" s="4248"/>
      <c r="E39" s="4258" t="s">
        <v>2692</v>
      </c>
      <c r="F39" s="4259"/>
      <c r="G39" s="3820">
        <f>CEILING('стекло+зеркала_база'!R9-'стекло+зеркала_база'!Q9*(1+скидки_наценки!$B$32)*скидки_наценки!$D$13*скидки_наценки!$F$13/скидки_наценки!$B$4, 50)</f>
        <v>500</v>
      </c>
      <c r="H39" s="3820">
        <f>CEILING('стекло+зеркала_база'!R8-'стекло+зеркала_база'!Q8*(1+скидки_наценки!$B$32)*скидки_наценки!$D$13*скидки_наценки!$F$13/скидки_наценки!$B$4, 50)</f>
        <v>500</v>
      </c>
      <c r="I39" s="3820">
        <f>CEILING('стекло+зеркала_база'!R10-'стекло+зеркала_база'!Q10*(1+скидки_наценки!$B$32)*скидки_наценки!$D$13*скидки_наценки!$F$13/скидки_наценки!$B$4, 50)</f>
        <v>500</v>
      </c>
      <c r="J39" s="3820">
        <f>CEILING('стекло+зеркала_база'!R7-'стекло+зеркала_база'!Q7*(1+скидки_наценки!$B$32)*скидки_наценки!$D$13*скидки_наценки!$F$13/скидки_наценки!$B$4, 50)</f>
        <v>500</v>
      </c>
      <c r="K39" s="3820"/>
      <c r="L39" s="3820">
        <f>CEILING('стекло+зеркала_база'!R6-'стекло+зеркала_база'!Q6*(1+скидки_наценки!$B$32)*скидки_наценки!$D$13*скидки_наценки!$F$13/скидки_наценки!$B$4, 50)</f>
        <v>2000</v>
      </c>
      <c r="M39" s="442"/>
      <c r="N39" s="442"/>
      <c r="O39" s="442"/>
      <c r="P39" s="442"/>
      <c r="Q39" s="442"/>
      <c r="R39" s="442"/>
      <c r="S39" s="442"/>
      <c r="T39" s="442"/>
      <c r="U39" s="442"/>
      <c r="V39" s="442"/>
      <c r="W39" s="442"/>
      <c r="X39" s="442"/>
      <c r="Y39" s="442"/>
      <c r="Z39" s="442"/>
      <c r="AA39" s="442"/>
      <c r="AB39" s="442"/>
      <c r="AC39" s="442"/>
      <c r="AD39" s="442"/>
      <c r="AE39" s="442"/>
      <c r="AF39" s="442"/>
      <c r="AG39" s="442"/>
      <c r="AH39" s="442"/>
      <c r="AI39" s="442"/>
      <c r="AJ39" s="442"/>
      <c r="AK39" s="442"/>
      <c r="AL39" s="442"/>
      <c r="AM39" s="442"/>
      <c r="AN39" s="442"/>
      <c r="AO39" s="442"/>
      <c r="AP39" s="442"/>
    </row>
    <row r="40" spans="1:42" s="72" customFormat="1" ht="18.75" hidden="1" customHeight="1">
      <c r="A40" s="3837"/>
      <c r="B40" s="3838"/>
      <c r="C40" s="3838"/>
      <c r="D40" s="3838"/>
      <c r="E40" s="4277" t="s">
        <v>1223</v>
      </c>
      <c r="F40" s="4278"/>
      <c r="G40" s="3799"/>
      <c r="H40" s="3799"/>
      <c r="I40" s="3799"/>
      <c r="J40" s="3799"/>
      <c r="K40" s="3799"/>
      <c r="L40" s="3799"/>
      <c r="M40" s="442"/>
      <c r="N40" s="442"/>
      <c r="O40" s="442"/>
      <c r="P40" s="442"/>
      <c r="Q40" s="442"/>
      <c r="R40" s="442"/>
      <c r="S40" s="442"/>
      <c r="T40" s="442"/>
      <c r="U40" s="442"/>
      <c r="V40" s="442"/>
      <c r="W40" s="442"/>
      <c r="X40" s="442"/>
      <c r="Y40" s="442"/>
      <c r="Z40" s="442"/>
      <c r="AA40" s="442"/>
      <c r="AB40" s="442"/>
      <c r="AC40" s="442"/>
      <c r="AD40" s="442"/>
      <c r="AE40" s="442"/>
      <c r="AF40" s="442"/>
      <c r="AG40" s="442"/>
      <c r="AH40" s="442"/>
      <c r="AI40" s="442"/>
      <c r="AJ40" s="442"/>
      <c r="AK40" s="442"/>
      <c r="AL40" s="442"/>
      <c r="AM40" s="442"/>
      <c r="AN40" s="442"/>
      <c r="AO40" s="442"/>
      <c r="AP40" s="442"/>
    </row>
    <row r="41" spans="1:42" s="72" customFormat="1" ht="18.75" customHeight="1" thickTop="1">
      <c r="A41" s="4243" t="s">
        <v>3374</v>
      </c>
      <c r="B41" s="4244"/>
      <c r="C41" s="4244"/>
      <c r="D41" s="4245"/>
      <c r="E41" s="4288" t="s">
        <v>3361</v>
      </c>
      <c r="F41" s="4288"/>
      <c r="G41" s="2896">
        <f>CEILING('стекло+зеркала_база'!S9-'стекло+зеркала_база'!Q9*(1+скидки_наценки!$B$32)*скидки_наценки!$D$13*скидки_наценки!$F$13/скидки_наценки!$B$4, 50)</f>
        <v>1000</v>
      </c>
      <c r="H41" s="2896">
        <f>CEILING('стекло+зеркала_база'!S8-'стекло+зеркала_база'!Q8*(1+скидки_наценки!$B$32)*скидки_наценки!$D$13*скидки_наценки!$F$13/скидки_наценки!$B$4, 50)</f>
        <v>1000</v>
      </c>
      <c r="I41" s="2896">
        <f>CEILING('стекло+зеркала_база'!S10-'стекло+зеркала_база'!Q10*(1+скидки_наценки!$B$32)*скидки_наценки!$D$13*скидки_наценки!$F$13/скидки_наценки!$B$4, 50)</f>
        <v>500</v>
      </c>
      <c r="J41" s="2896">
        <f>CEILING('стекло+зеркала_база'!S7-'стекло+зеркала_база'!Q7*(1+скидки_наценки!$B$32)*скидки_наценки!$D$13*скидки_наценки!$F$13/скидки_наценки!$B$4, 50)</f>
        <v>1500</v>
      </c>
      <c r="K41" s="2896"/>
      <c r="L41" s="2896">
        <f>CEILING('стекло+зеркала_база'!S6-'стекло+зеркала_база'!Q6*(1+скидки_наценки!$B$32)*скидки_наценки!$D$13*скидки_наценки!$F$13/скидки_наценки!$B$4, 50)</f>
        <v>4500</v>
      </c>
      <c r="M41" s="442"/>
      <c r="N41" s="442"/>
      <c r="O41" s="442"/>
      <c r="P41" s="442"/>
      <c r="Q41" s="442"/>
      <c r="R41" s="442"/>
      <c r="S41" s="442"/>
      <c r="T41" s="442"/>
      <c r="U41" s="442"/>
      <c r="V41" s="442"/>
      <c r="W41" s="442"/>
      <c r="X41" s="442"/>
      <c r="Y41" s="442"/>
      <c r="Z41" s="442"/>
      <c r="AA41" s="442"/>
      <c r="AB41" s="442"/>
      <c r="AC41" s="442"/>
      <c r="AD41" s="442"/>
      <c r="AE41" s="442"/>
      <c r="AF41" s="442"/>
      <c r="AG41" s="442"/>
      <c r="AH41" s="442"/>
      <c r="AI41" s="442"/>
      <c r="AJ41" s="442"/>
      <c r="AK41" s="442"/>
      <c r="AL41" s="442"/>
      <c r="AM41" s="442"/>
      <c r="AN41" s="442"/>
      <c r="AO41" s="442"/>
      <c r="AP41" s="442"/>
    </row>
    <row r="42" spans="1:42" s="72" customFormat="1" ht="28.5" customHeight="1">
      <c r="A42" s="4251"/>
      <c r="B42" s="4252"/>
      <c r="C42" s="4252"/>
      <c r="D42" s="4291"/>
      <c r="E42" s="4289" t="s">
        <v>3367</v>
      </c>
      <c r="F42" s="4289"/>
      <c r="G42" s="3830">
        <f>CEILING('стекло+зеркала_база'!T9-'стекло+зеркала_база'!Q9*(1+скидки_наценки!$B$32)*скидки_наценки!$D$13*скидки_наценки!$F$13/скидки_наценки!$B$4, 50)</f>
        <v>500</v>
      </c>
      <c r="H42" s="1068">
        <f>CEILING('стекло+зеркала_база'!T8-'стекло+зеркала_база'!Q8*(1+скидки_наценки!$B$32)*скидки_наценки!$D$13*скидки_наценки!$F$13/скидки_наценки!$B$4, 50)</f>
        <v>500</v>
      </c>
      <c r="I42" s="1068">
        <f>CEILING('стекло+зеркала_база'!T10-'стекло+зеркала_база'!Q10*(1+скидки_наценки!$B$32)*скидки_наценки!$D$13*скидки_наценки!$F$13/скидки_наценки!$B$4, 50)</f>
        <v>500</v>
      </c>
      <c r="J42" s="1068">
        <f>CEILING('стекло+зеркала_база'!T7-'стекло+зеркала_база'!Q7*(1+скидки_наценки!$B$32)*скидки_наценки!$D$13*скидки_наценки!$F$13/скидки_наценки!$B$4, 50)</f>
        <v>1000</v>
      </c>
      <c r="K42" s="1068"/>
      <c r="L42" s="1068">
        <f>CEILING('стекло+зеркала_база'!T6-'стекло+зеркала_база'!Q6*(1+скидки_наценки!$B$32)*скидки_наценки!$D$13*скидки_наценки!$F$13/скидки_наценки!$B$4, 50)</f>
        <v>2500</v>
      </c>
      <c r="M42" s="442"/>
      <c r="N42" s="442"/>
      <c r="O42" s="442"/>
      <c r="P42" s="442"/>
      <c r="Q42" s="442"/>
      <c r="R42" s="442"/>
      <c r="S42" s="442"/>
      <c r="T42" s="442"/>
      <c r="U42" s="442"/>
      <c r="V42" s="442"/>
      <c r="W42" s="442"/>
      <c r="X42" s="442"/>
      <c r="Y42" s="442"/>
      <c r="Z42" s="442"/>
      <c r="AA42" s="442"/>
      <c r="AB42" s="442"/>
      <c r="AC42" s="442"/>
      <c r="AD42" s="442"/>
      <c r="AE42" s="442"/>
      <c r="AF42" s="442"/>
      <c r="AG42" s="442"/>
      <c r="AH42" s="442"/>
      <c r="AI42" s="442"/>
      <c r="AJ42" s="442"/>
      <c r="AK42" s="442"/>
      <c r="AL42" s="442"/>
      <c r="AM42" s="442"/>
      <c r="AN42" s="442"/>
      <c r="AO42" s="442"/>
      <c r="AP42" s="442"/>
    </row>
    <row r="43" spans="1:42" s="72" customFormat="1" ht="18.75" hidden="1" customHeight="1" thickBot="1">
      <c r="A43" s="3839"/>
      <c r="B43" s="3840"/>
      <c r="C43" s="3840"/>
      <c r="D43" s="3840"/>
      <c r="E43" s="4290" t="s">
        <v>3362</v>
      </c>
      <c r="F43" s="4290"/>
      <c r="G43" s="3799">
        <f>CEILING('стекло+зеркала_база'!U9-'стекло+зеркала_база'!Q9*(1+скидки_наценки!$B$32)*скидки_наценки!$D$13*скидки_наценки!$F$13/скидки_наценки!$B$4, 50)</f>
        <v>500</v>
      </c>
      <c r="H43" s="3799">
        <f>CEILING('стекло+зеркала_база'!U8-'стекло+зеркала_база'!Q8*(1+скидки_наценки!$B$32)*скидки_наценки!$D$13*скидки_наценки!$F$13/скидки_наценки!$B$4, 50)</f>
        <v>500</v>
      </c>
      <c r="I43" s="3799">
        <f>CEILING('стекло+зеркала_база'!U10-'стекло+зеркала_база'!Q10*(1+скидки_наценки!$B$32)*скидки_наценки!$D$13*скидки_наценки!$F$13/скидки_наценки!$B$4, 50)</f>
        <v>500</v>
      </c>
      <c r="J43" s="3799">
        <f>CEILING('стекло+зеркала_база'!U7-'стекло+зеркала_база'!Q7*(1+скидки_наценки!$B$32)*скидки_наценки!$D$13*скидки_наценки!$F$13/скидки_наценки!$B$4, 50)</f>
        <v>500</v>
      </c>
      <c r="K43" s="3799"/>
      <c r="L43" s="3799">
        <f>CEILING('стекло+зеркала_база'!U5-'стекло+зеркала_база'!Q5*(1+скидки_наценки!$B$32)*скидки_наценки!$D$13*скидки_наценки!$F$13/скидки_наценки!$B$4, 50)</f>
        <v>2000</v>
      </c>
      <c r="M43" s="442"/>
      <c r="N43" s="3828"/>
      <c r="O43" s="442"/>
      <c r="P43" s="442"/>
      <c r="Q43" s="442"/>
      <c r="R43" s="442"/>
      <c r="S43" s="442"/>
      <c r="T43" s="442"/>
      <c r="U43" s="442"/>
      <c r="V43" s="442"/>
      <c r="W43" s="442"/>
      <c r="X43" s="442"/>
      <c r="Y43" s="442"/>
      <c r="Z43" s="442"/>
      <c r="AA43" s="442"/>
      <c r="AB43" s="442"/>
      <c r="AC43" s="442"/>
      <c r="AD43" s="442"/>
      <c r="AE43" s="442"/>
      <c r="AF43" s="442"/>
      <c r="AG43" s="442"/>
      <c r="AH43" s="442"/>
      <c r="AI43" s="442"/>
      <c r="AJ43" s="442"/>
      <c r="AK43" s="442"/>
      <c r="AL43" s="442"/>
      <c r="AM43" s="442"/>
      <c r="AN43" s="442"/>
      <c r="AO43" s="442"/>
      <c r="AP43" s="442"/>
    </row>
    <row r="44" spans="1:42" s="63" customFormat="1" ht="18.75" customHeight="1">
      <c r="A44" s="4331" t="s">
        <v>1375</v>
      </c>
      <c r="B44" s="4332"/>
      <c r="C44" s="4332"/>
      <c r="D44" s="4332"/>
      <c r="E44" s="4332"/>
      <c r="F44" s="4332"/>
      <c r="G44" s="4332"/>
      <c r="H44" s="4332"/>
      <c r="I44" s="4332"/>
      <c r="J44" s="4332"/>
      <c r="K44" s="4332"/>
      <c r="L44" s="4332"/>
      <c r="M44" s="387"/>
      <c r="N44" s="387"/>
      <c r="O44" s="3829"/>
      <c r="P44" s="387"/>
      <c r="Q44" s="387"/>
      <c r="R44" s="387"/>
      <c r="S44" s="387"/>
      <c r="T44" s="387"/>
      <c r="U44" s="387"/>
      <c r="V44" s="387"/>
      <c r="W44" s="387"/>
      <c r="X44" s="387"/>
      <c r="Y44" s="387"/>
      <c r="Z44" s="387"/>
      <c r="AA44" s="387"/>
      <c r="AB44" s="387"/>
      <c r="AC44" s="387"/>
      <c r="AD44" s="387"/>
      <c r="AE44" s="387"/>
      <c r="AF44" s="387"/>
      <c r="AG44" s="387"/>
      <c r="AH44" s="387"/>
      <c r="AI44" s="387"/>
      <c r="AJ44" s="387"/>
      <c r="AK44" s="387"/>
      <c r="AL44" s="387"/>
      <c r="AM44" s="387"/>
      <c r="AN44" s="387"/>
      <c r="AO44" s="387"/>
      <c r="AP44" s="387"/>
    </row>
    <row r="45" spans="1:42" s="72" customFormat="1" ht="18.75" customHeight="1">
      <c r="A45" s="4341" t="s">
        <v>1422</v>
      </c>
      <c r="B45" s="4315"/>
      <c r="C45" s="4344" t="s">
        <v>736</v>
      </c>
      <c r="D45" s="4345"/>
      <c r="E45" s="4344" t="s">
        <v>2427</v>
      </c>
      <c r="F45" s="4345"/>
      <c r="G45" s="2398" t="s">
        <v>2435</v>
      </c>
      <c r="H45" s="2403" t="s">
        <v>4</v>
      </c>
      <c r="I45" s="2403" t="s">
        <v>4</v>
      </c>
      <c r="J45" s="2398" t="s">
        <v>2435</v>
      </c>
      <c r="K45" s="2403" t="s">
        <v>4</v>
      </c>
      <c r="L45" s="2398" t="s">
        <v>2435</v>
      </c>
      <c r="M45" s="442"/>
      <c r="N45" s="442"/>
      <c r="O45" s="442"/>
      <c r="P45" s="442"/>
      <c r="Q45" s="442"/>
      <c r="R45" s="442"/>
      <c r="S45" s="442"/>
      <c r="T45" s="442"/>
      <c r="U45" s="442"/>
      <c r="V45" s="442"/>
      <c r="W45" s="442"/>
      <c r="X45" s="442"/>
      <c r="Y45" s="442"/>
      <c r="Z45" s="442"/>
      <c r="AA45" s="442"/>
      <c r="AB45" s="442"/>
      <c r="AC45" s="442"/>
      <c r="AD45" s="442"/>
      <c r="AE45" s="442"/>
      <c r="AF45" s="442"/>
      <c r="AG45" s="442"/>
      <c r="AH45" s="442"/>
      <c r="AI45" s="442"/>
      <c r="AJ45" s="442"/>
      <c r="AK45" s="442"/>
      <c r="AL45" s="442"/>
      <c r="AM45" s="442"/>
      <c r="AN45" s="442"/>
      <c r="AO45" s="442"/>
      <c r="AP45" s="442"/>
    </row>
    <row r="46" spans="1:42" s="72" customFormat="1" ht="18.75" customHeight="1">
      <c r="A46" s="4342"/>
      <c r="B46" s="4343"/>
      <c r="C46" s="4253" t="s">
        <v>1423</v>
      </c>
      <c r="D46" s="4254"/>
      <c r="E46" s="4253" t="s">
        <v>1424</v>
      </c>
      <c r="F46" s="4254"/>
      <c r="G46" s="2401" t="s">
        <v>2435</v>
      </c>
      <c r="H46" s="2400" t="s">
        <v>4</v>
      </c>
      <c r="I46" s="2400" t="s">
        <v>4</v>
      </c>
      <c r="J46" s="2401" t="s">
        <v>2435</v>
      </c>
      <c r="K46" s="2400" t="s">
        <v>4</v>
      </c>
      <c r="L46" s="2401" t="s">
        <v>2435</v>
      </c>
      <c r="M46" s="442"/>
      <c r="N46" s="442"/>
      <c r="O46" s="442"/>
      <c r="P46" s="442"/>
      <c r="Q46" s="442"/>
      <c r="R46" s="442"/>
      <c r="S46" s="442"/>
      <c r="T46" s="442"/>
      <c r="U46" s="442"/>
      <c r="V46" s="442"/>
      <c r="W46" s="442"/>
      <c r="X46" s="442"/>
      <c r="Y46" s="442"/>
      <c r="Z46" s="442"/>
      <c r="AA46" s="442"/>
      <c r="AB46" s="442"/>
      <c r="AC46" s="442"/>
      <c r="AD46" s="442"/>
      <c r="AE46" s="442"/>
      <c r="AF46" s="442"/>
      <c r="AG46" s="442"/>
      <c r="AH46" s="442"/>
      <c r="AI46" s="442"/>
      <c r="AJ46" s="442"/>
      <c r="AK46" s="442"/>
      <c r="AL46" s="442"/>
      <c r="AM46" s="442"/>
      <c r="AN46" s="442"/>
      <c r="AO46" s="442"/>
      <c r="AP46" s="442"/>
    </row>
    <row r="47" spans="1:42" s="72" customFormat="1" ht="18.75" customHeight="1">
      <c r="A47" s="4342"/>
      <c r="B47" s="4343"/>
      <c r="C47" s="4346" t="s">
        <v>19</v>
      </c>
      <c r="D47" s="4347"/>
      <c r="E47" s="4346" t="s">
        <v>1426</v>
      </c>
      <c r="F47" s="4347"/>
      <c r="G47" s="2402" t="s">
        <v>2435</v>
      </c>
      <c r="H47" s="2405" t="s">
        <v>4</v>
      </c>
      <c r="I47" s="2405" t="s">
        <v>4</v>
      </c>
      <c r="J47" s="2402" t="s">
        <v>2435</v>
      </c>
      <c r="K47" s="2405" t="s">
        <v>4</v>
      </c>
      <c r="L47" s="2402" t="s">
        <v>2435</v>
      </c>
      <c r="M47" s="442"/>
      <c r="N47" s="442"/>
      <c r="O47" s="442"/>
      <c r="P47" s="442"/>
      <c r="Q47" s="442"/>
      <c r="R47" s="442"/>
      <c r="S47" s="442"/>
      <c r="T47" s="442"/>
      <c r="U47" s="442"/>
      <c r="V47" s="442"/>
      <c r="W47" s="442"/>
      <c r="X47" s="442"/>
      <c r="Y47" s="442"/>
      <c r="Z47" s="442"/>
      <c r="AA47" s="442"/>
      <c r="AB47" s="442"/>
      <c r="AC47" s="442"/>
      <c r="AD47" s="442"/>
      <c r="AE47" s="442"/>
      <c r="AF47" s="442"/>
      <c r="AG47" s="442"/>
      <c r="AH47" s="442"/>
      <c r="AI47" s="442"/>
      <c r="AJ47" s="442"/>
      <c r="AK47" s="442"/>
      <c r="AL47" s="442"/>
      <c r="AM47" s="442"/>
      <c r="AN47" s="442"/>
      <c r="AO47" s="442"/>
      <c r="AP47" s="442"/>
    </row>
    <row r="48" spans="1:42" s="72" customFormat="1" ht="18.75" customHeight="1">
      <c r="A48" s="4316"/>
      <c r="B48" s="4317"/>
      <c r="C48" s="4312" t="s">
        <v>1425</v>
      </c>
      <c r="D48" s="4313"/>
      <c r="E48" s="4312" t="s">
        <v>1427</v>
      </c>
      <c r="F48" s="4313"/>
      <c r="G48" s="2397" t="s">
        <v>2435</v>
      </c>
      <c r="H48" s="2399" t="s">
        <v>4</v>
      </c>
      <c r="I48" s="2399" t="s">
        <v>4</v>
      </c>
      <c r="J48" s="2397" t="s">
        <v>2435</v>
      </c>
      <c r="K48" s="2399" t="s">
        <v>4</v>
      </c>
      <c r="L48" s="2397" t="s">
        <v>2435</v>
      </c>
      <c r="M48" s="442"/>
      <c r="N48" s="442"/>
      <c r="O48" s="442"/>
      <c r="P48" s="442"/>
      <c r="Q48" s="442"/>
      <c r="R48" s="442"/>
      <c r="S48" s="442"/>
      <c r="T48" s="442"/>
      <c r="U48" s="442"/>
      <c r="V48" s="442"/>
      <c r="W48" s="442"/>
      <c r="X48" s="442"/>
      <c r="Y48" s="442"/>
      <c r="Z48" s="442"/>
      <c r="AA48" s="442"/>
      <c r="AB48" s="442"/>
      <c r="AC48" s="442"/>
      <c r="AD48" s="442"/>
      <c r="AE48" s="442"/>
      <c r="AF48" s="442"/>
      <c r="AG48" s="442"/>
      <c r="AH48" s="442"/>
      <c r="AI48" s="442"/>
      <c r="AJ48" s="442"/>
      <c r="AK48" s="442"/>
      <c r="AL48" s="442"/>
      <c r="AM48" s="442"/>
      <c r="AN48" s="442"/>
      <c r="AO48" s="442"/>
      <c r="AP48" s="442"/>
    </row>
    <row r="49" spans="1:42" s="63" customFormat="1" ht="18.75" customHeight="1">
      <c r="A49" s="4339" t="s">
        <v>262</v>
      </c>
      <c r="B49" s="4340"/>
      <c r="C49" s="4340"/>
      <c r="D49" s="4340"/>
      <c r="E49" s="4340"/>
      <c r="F49" s="4340"/>
      <c r="G49" s="4340"/>
      <c r="H49" s="4340"/>
      <c r="I49" s="4340"/>
      <c r="J49" s="4340"/>
      <c r="K49" s="4340"/>
      <c r="L49" s="4340"/>
      <c r="M49" s="387"/>
      <c r="N49" s="387"/>
      <c r="O49" s="387"/>
      <c r="P49" s="387"/>
      <c r="Q49" s="387"/>
      <c r="R49" s="387"/>
      <c r="S49" s="387"/>
      <c r="T49" s="387"/>
      <c r="U49" s="387"/>
      <c r="V49" s="387"/>
      <c r="W49" s="387"/>
      <c r="X49" s="387"/>
      <c r="Y49" s="387"/>
      <c r="Z49" s="387"/>
      <c r="AA49" s="387"/>
      <c r="AB49" s="387"/>
      <c r="AC49" s="387"/>
      <c r="AD49" s="387"/>
      <c r="AE49" s="387"/>
      <c r="AF49" s="387"/>
      <c r="AG49" s="387"/>
      <c r="AH49" s="387"/>
      <c r="AI49" s="387"/>
      <c r="AJ49" s="387"/>
      <c r="AK49" s="387"/>
      <c r="AL49" s="387"/>
      <c r="AM49" s="387"/>
      <c r="AN49" s="387"/>
      <c r="AO49" s="387"/>
      <c r="AP49" s="387"/>
    </row>
    <row r="50" spans="1:42" s="64" customFormat="1" ht="18.75" customHeight="1">
      <c r="A50" s="4356"/>
      <c r="B50" s="4357"/>
      <c r="C50" s="4358"/>
      <c r="D50" s="4357"/>
      <c r="E50" s="4357"/>
      <c r="F50" s="4359"/>
      <c r="G50" s="1031" t="s">
        <v>1321</v>
      </c>
      <c r="H50" s="1031" t="s">
        <v>1321</v>
      </c>
      <c r="I50" s="1031" t="s">
        <v>1321</v>
      </c>
      <c r="J50" s="1031" t="s">
        <v>1321</v>
      </c>
      <c r="K50" s="1031" t="s">
        <v>4</v>
      </c>
      <c r="L50" s="1031" t="s">
        <v>4</v>
      </c>
      <c r="M50" s="242"/>
      <c r="N50" s="242"/>
      <c r="O50" s="242"/>
      <c r="P50" s="242"/>
      <c r="Q50" s="242"/>
      <c r="R50" s="242"/>
      <c r="S50" s="242"/>
      <c r="T50" s="242"/>
      <c r="U50" s="242"/>
      <c r="V50" s="242"/>
      <c r="W50" s="242"/>
      <c r="X50" s="242"/>
      <c r="Y50" s="242"/>
      <c r="Z50" s="242"/>
      <c r="AA50" s="242"/>
      <c r="AB50" s="242"/>
      <c r="AC50" s="242"/>
      <c r="AD50" s="242"/>
      <c r="AE50" s="242"/>
      <c r="AF50" s="242"/>
      <c r="AG50" s="242"/>
      <c r="AH50" s="242"/>
      <c r="AI50" s="242"/>
      <c r="AJ50" s="242"/>
      <c r="AK50" s="242"/>
      <c r="AL50" s="242"/>
      <c r="AM50" s="242"/>
      <c r="AN50" s="242"/>
      <c r="AO50" s="242"/>
      <c r="AP50" s="242"/>
    </row>
    <row r="51" spans="1:42" s="63" customFormat="1" ht="18.75" customHeight="1">
      <c r="A51" s="4360" t="s">
        <v>1374</v>
      </c>
      <c r="B51" s="4361"/>
      <c r="C51" s="4361"/>
      <c r="D51" s="4361"/>
      <c r="E51" s="4361"/>
      <c r="F51" s="4361"/>
      <c r="G51" s="4361"/>
      <c r="H51" s="4361"/>
      <c r="I51" s="4361"/>
      <c r="J51" s="4361"/>
      <c r="K51" s="4361"/>
      <c r="L51" s="4361"/>
      <c r="M51" s="387"/>
      <c r="N51" s="387"/>
      <c r="O51" s="387"/>
      <c r="P51" s="387"/>
      <c r="Q51" s="387"/>
      <c r="R51" s="387"/>
      <c r="S51" s="387"/>
      <c r="T51" s="387"/>
      <c r="U51" s="387"/>
      <c r="V51" s="387"/>
      <c r="W51" s="387"/>
      <c r="X51" s="387"/>
      <c r="Y51" s="387"/>
      <c r="Z51" s="387"/>
      <c r="AA51" s="387"/>
      <c r="AB51" s="387"/>
      <c r="AC51" s="387"/>
      <c r="AD51" s="387"/>
      <c r="AE51" s="387"/>
      <c r="AF51" s="387"/>
      <c r="AG51" s="387"/>
      <c r="AH51" s="387"/>
      <c r="AI51" s="387"/>
      <c r="AJ51" s="387"/>
      <c r="AK51" s="387"/>
      <c r="AL51" s="387"/>
      <c r="AM51" s="387"/>
      <c r="AN51" s="387"/>
      <c r="AO51" s="387"/>
      <c r="AP51" s="387"/>
    </row>
    <row r="52" spans="1:42" s="72" customFormat="1" ht="18.75" customHeight="1">
      <c r="A52" s="4191" t="s">
        <v>1371</v>
      </c>
      <c r="B52" s="4192"/>
      <c r="C52" s="4192"/>
      <c r="D52" s="4192"/>
      <c r="E52" s="4192"/>
      <c r="F52" s="4193"/>
      <c r="G52" s="1110" t="s">
        <v>56</v>
      </c>
      <c r="H52" s="1110" t="s">
        <v>56</v>
      </c>
      <c r="I52" s="1110" t="s">
        <v>4</v>
      </c>
      <c r="J52" s="1110" t="s">
        <v>4</v>
      </c>
      <c r="K52" s="2384"/>
      <c r="L52" s="1110" t="s">
        <v>4</v>
      </c>
      <c r="M52" s="442"/>
      <c r="N52" s="442"/>
      <c r="O52" s="442"/>
      <c r="P52" s="442"/>
      <c r="Q52" s="442"/>
      <c r="R52" s="442"/>
      <c r="S52" s="442"/>
      <c r="T52" s="442"/>
      <c r="U52" s="442"/>
      <c r="V52" s="442"/>
      <c r="W52" s="442"/>
      <c r="X52" s="442"/>
      <c r="Y52" s="442"/>
      <c r="Z52" s="442"/>
      <c r="AA52" s="442"/>
      <c r="AB52" s="442"/>
      <c r="AC52" s="442"/>
      <c r="AD52" s="442"/>
      <c r="AE52" s="442"/>
      <c r="AF52" s="442"/>
      <c r="AG52" s="442"/>
      <c r="AH52" s="442"/>
      <c r="AI52" s="442"/>
      <c r="AJ52" s="442"/>
      <c r="AK52" s="442"/>
      <c r="AL52" s="442"/>
      <c r="AM52" s="442"/>
      <c r="AN52" s="442"/>
      <c r="AO52" s="442"/>
      <c r="AP52" s="442"/>
    </row>
    <row r="53" spans="1:42" s="72" customFormat="1" ht="18.75" customHeight="1">
      <c r="A53" s="4285" t="s">
        <v>57</v>
      </c>
      <c r="B53" s="4286"/>
      <c r="C53" s="4286"/>
      <c r="D53" s="4286"/>
      <c r="E53" s="4286"/>
      <c r="F53" s="4352"/>
      <c r="G53" s="1114">
        <v>0</v>
      </c>
      <c r="H53" s="1113">
        <v>0</v>
      </c>
      <c r="I53" s="1113">
        <v>0</v>
      </c>
      <c r="J53" s="1114">
        <v>0</v>
      </c>
      <c r="K53" s="1111">
        <v>0</v>
      </c>
      <c r="L53" s="1114" t="s">
        <v>4</v>
      </c>
      <c r="M53" s="442"/>
      <c r="N53" s="442"/>
      <c r="O53" s="442"/>
      <c r="P53" s="442"/>
      <c r="Q53" s="442"/>
      <c r="R53" s="442"/>
      <c r="S53" s="442"/>
      <c r="T53" s="442"/>
      <c r="U53" s="442"/>
      <c r="V53" s="442"/>
      <c r="W53" s="442"/>
      <c r="X53" s="442"/>
      <c r="Y53" s="442"/>
      <c r="Z53" s="442"/>
      <c r="AA53" s="442"/>
      <c r="AB53" s="442"/>
      <c r="AC53" s="442"/>
      <c r="AD53" s="442"/>
      <c r="AE53" s="442"/>
      <c r="AF53" s="442"/>
      <c r="AG53" s="442"/>
      <c r="AH53" s="442"/>
      <c r="AI53" s="442"/>
      <c r="AJ53" s="442"/>
      <c r="AK53" s="442"/>
      <c r="AL53" s="442"/>
      <c r="AM53" s="442"/>
      <c r="AN53" s="442"/>
      <c r="AO53" s="442"/>
      <c r="AP53" s="442"/>
    </row>
    <row r="54" spans="1:42" s="72" customFormat="1" ht="18.75" customHeight="1">
      <c r="A54" s="4349" t="s">
        <v>58</v>
      </c>
      <c r="B54" s="4350"/>
      <c r="C54" s="4350"/>
      <c r="D54" s="4350"/>
      <c r="E54" s="4350"/>
      <c r="F54" s="4351"/>
      <c r="G54" s="1115" t="s">
        <v>4</v>
      </c>
      <c r="H54" s="1116" t="s">
        <v>4</v>
      </c>
      <c r="I54" s="1116" t="s">
        <v>56</v>
      </c>
      <c r="J54" s="1115" t="s">
        <v>56</v>
      </c>
      <c r="K54" s="1112" t="s">
        <v>56</v>
      </c>
      <c r="L54" s="1115" t="s">
        <v>4</v>
      </c>
      <c r="M54" s="442"/>
      <c r="N54" s="442"/>
      <c r="O54" s="442"/>
      <c r="P54" s="442"/>
      <c r="Q54" s="442"/>
      <c r="R54" s="442"/>
      <c r="S54" s="442"/>
      <c r="T54" s="442"/>
      <c r="U54" s="442"/>
      <c r="V54" s="442"/>
      <c r="W54" s="442"/>
      <c r="X54" s="442"/>
      <c r="Y54" s="442"/>
      <c r="Z54" s="442"/>
      <c r="AA54" s="442"/>
      <c r="AB54" s="442"/>
      <c r="AC54" s="442"/>
      <c r="AD54" s="442"/>
      <c r="AE54" s="442"/>
      <c r="AF54" s="442"/>
      <c r="AG54" s="442"/>
      <c r="AH54" s="442"/>
      <c r="AI54" s="442"/>
      <c r="AJ54" s="442"/>
      <c r="AK54" s="442"/>
      <c r="AL54" s="442"/>
      <c r="AM54" s="442"/>
      <c r="AN54" s="442"/>
      <c r="AO54" s="442"/>
      <c r="AP54" s="442"/>
    </row>
    <row r="55" spans="1:42" s="63" customFormat="1" ht="18.75" hidden="1" customHeight="1">
      <c r="A55" s="3035" t="s">
        <v>2428</v>
      </c>
      <c r="B55" s="3036"/>
      <c r="C55" s="3037"/>
      <c r="D55" s="3036"/>
      <c r="E55" s="3036"/>
      <c r="F55" s="3036"/>
      <c r="G55" s="3036"/>
      <c r="H55" s="3036"/>
      <c r="I55" s="3036"/>
      <c r="J55" s="3036"/>
      <c r="K55" s="3036"/>
      <c r="L55" s="3036"/>
      <c r="M55" s="387"/>
      <c r="N55" s="387"/>
      <c r="O55" s="387"/>
      <c r="P55" s="387"/>
      <c r="Q55" s="387"/>
      <c r="R55" s="387"/>
      <c r="S55" s="387"/>
      <c r="T55" s="387"/>
      <c r="U55" s="387"/>
      <c r="V55" s="387"/>
      <c r="W55" s="387"/>
      <c r="X55" s="387"/>
      <c r="Y55" s="387"/>
      <c r="Z55" s="387"/>
      <c r="AA55" s="387"/>
      <c r="AB55" s="387"/>
      <c r="AC55" s="387"/>
      <c r="AD55" s="387"/>
      <c r="AE55" s="387"/>
      <c r="AF55" s="387"/>
      <c r="AG55" s="387"/>
      <c r="AH55" s="387"/>
      <c r="AI55" s="387"/>
      <c r="AJ55" s="387"/>
      <c r="AK55" s="387"/>
      <c r="AL55" s="387"/>
      <c r="AM55" s="387"/>
      <c r="AN55" s="387"/>
    </row>
    <row r="56" spans="1:42" s="64" customFormat="1" ht="18.75" hidden="1" customHeight="1">
      <c r="A56" s="4353" t="s">
        <v>2429</v>
      </c>
      <c r="B56" s="4354"/>
      <c r="C56" s="4354"/>
      <c r="D56" s="4354"/>
      <c r="E56" s="4354"/>
      <c r="F56" s="4355"/>
      <c r="G56" s="3038">
        <v>0.15</v>
      </c>
      <c r="H56" s="3038">
        <f>G56</f>
        <v>0.15</v>
      </c>
      <c r="I56" s="3038">
        <f>H56</f>
        <v>0.15</v>
      </c>
      <c r="J56" s="3038">
        <f>I56</f>
        <v>0.15</v>
      </c>
      <c r="K56" s="3038">
        <f>J56</f>
        <v>0.15</v>
      </c>
      <c r="L56" s="3038">
        <f>K56</f>
        <v>0.15</v>
      </c>
      <c r="M56" s="242"/>
      <c r="N56" s="242"/>
      <c r="O56" s="242"/>
      <c r="P56" s="242"/>
      <c r="Q56" s="242"/>
      <c r="R56" s="242"/>
      <c r="S56" s="242"/>
      <c r="T56" s="242"/>
      <c r="U56" s="242"/>
      <c r="V56" s="242"/>
      <c r="W56" s="242"/>
      <c r="X56" s="242"/>
      <c r="Y56" s="242"/>
      <c r="Z56" s="242"/>
      <c r="AA56" s="242"/>
      <c r="AB56" s="242"/>
      <c r="AC56" s="242"/>
      <c r="AD56" s="242"/>
      <c r="AE56" s="242"/>
      <c r="AF56" s="242"/>
      <c r="AG56" s="242"/>
      <c r="AH56" s="242"/>
      <c r="AI56" s="242"/>
      <c r="AJ56" s="242"/>
      <c r="AK56" s="242"/>
      <c r="AL56" s="242"/>
      <c r="AM56" s="242"/>
      <c r="AN56" s="242"/>
    </row>
    <row r="57" spans="1:42" s="64" customFormat="1" ht="18.75" hidden="1" customHeight="1">
      <c r="A57" s="4363" t="s">
        <v>2430</v>
      </c>
      <c r="B57" s="4364"/>
      <c r="C57" s="4364"/>
      <c r="D57" s="4364"/>
      <c r="E57" s="4364"/>
      <c r="F57" s="4365"/>
      <c r="G57" s="3039">
        <v>0.2</v>
      </c>
      <c r="H57" s="3039">
        <f t="shared" ref="H57:L58" si="8">G57</f>
        <v>0.2</v>
      </c>
      <c r="I57" s="3039">
        <f t="shared" si="8"/>
        <v>0.2</v>
      </c>
      <c r="J57" s="3039">
        <f t="shared" si="8"/>
        <v>0.2</v>
      </c>
      <c r="K57" s="3039">
        <f t="shared" si="8"/>
        <v>0.2</v>
      </c>
      <c r="L57" s="3039">
        <f t="shared" si="8"/>
        <v>0.2</v>
      </c>
      <c r="M57" s="242"/>
      <c r="N57" s="242"/>
      <c r="O57" s="242"/>
      <c r="P57" s="242"/>
      <c r="Q57" s="242"/>
      <c r="R57" s="242"/>
      <c r="S57" s="242"/>
      <c r="T57" s="242"/>
      <c r="U57" s="242"/>
      <c r="V57" s="242"/>
      <c r="W57" s="242"/>
      <c r="X57" s="242"/>
      <c r="Y57" s="242"/>
      <c r="Z57" s="242"/>
      <c r="AA57" s="242"/>
      <c r="AB57" s="242"/>
      <c r="AC57" s="242"/>
      <c r="AD57" s="242"/>
      <c r="AE57" s="242"/>
      <c r="AF57" s="242"/>
      <c r="AG57" s="242"/>
      <c r="AH57" s="242"/>
      <c r="AI57" s="242"/>
      <c r="AJ57" s="242"/>
      <c r="AK57" s="242"/>
      <c r="AL57" s="242"/>
      <c r="AM57" s="242"/>
      <c r="AN57" s="242"/>
    </row>
    <row r="58" spans="1:42" s="64" customFormat="1" ht="18.75" hidden="1" customHeight="1">
      <c r="A58" s="4282" t="s">
        <v>2431</v>
      </c>
      <c r="B58" s="4283"/>
      <c r="C58" s="4283"/>
      <c r="D58" s="4283"/>
      <c r="E58" s="4283"/>
      <c r="F58" s="4284"/>
      <c r="G58" s="3040">
        <v>0.3</v>
      </c>
      <c r="H58" s="3040">
        <f t="shared" si="8"/>
        <v>0.3</v>
      </c>
      <c r="I58" s="3040">
        <f t="shared" si="8"/>
        <v>0.3</v>
      </c>
      <c r="J58" s="3040">
        <f t="shared" si="8"/>
        <v>0.3</v>
      </c>
      <c r="K58" s="3040">
        <f t="shared" si="8"/>
        <v>0.3</v>
      </c>
      <c r="L58" s="3040">
        <f t="shared" si="8"/>
        <v>0.3</v>
      </c>
      <c r="M58" s="242"/>
      <c r="N58" s="242"/>
      <c r="O58" s="242"/>
      <c r="P58" s="242"/>
      <c r="Q58" s="242"/>
      <c r="R58" s="242"/>
      <c r="S58" s="242"/>
      <c r="T58" s="242"/>
      <c r="U58" s="242"/>
      <c r="V58" s="242"/>
      <c r="W58" s="242"/>
      <c r="X58" s="242"/>
      <c r="Y58" s="242"/>
      <c r="Z58" s="242"/>
      <c r="AA58" s="242"/>
      <c r="AB58" s="242"/>
      <c r="AC58" s="242"/>
      <c r="AD58" s="242"/>
      <c r="AE58" s="242"/>
      <c r="AF58" s="242"/>
      <c r="AG58" s="242"/>
      <c r="AH58" s="242"/>
      <c r="AI58" s="242"/>
      <c r="AJ58" s="242"/>
      <c r="AK58" s="242"/>
      <c r="AL58" s="242"/>
      <c r="AM58" s="242"/>
      <c r="AN58" s="242"/>
    </row>
    <row r="59" spans="1:42" s="69" customFormat="1" ht="24.75" customHeight="1">
      <c r="A59" s="2904"/>
      <c r="B59" s="4362" t="s">
        <v>29</v>
      </c>
      <c r="C59" s="4362"/>
      <c r="D59" s="2914"/>
      <c r="E59" s="2914"/>
      <c r="F59" s="2914"/>
      <c r="G59" s="2985"/>
      <c r="H59" s="2985"/>
      <c r="I59" s="2985"/>
      <c r="J59" s="2985"/>
      <c r="K59" s="2985"/>
      <c r="L59" s="2985"/>
      <c r="M59" s="242"/>
      <c r="N59" s="242"/>
      <c r="O59" s="242"/>
      <c r="P59" s="242"/>
      <c r="Q59" s="242"/>
      <c r="R59" s="242"/>
      <c r="S59" s="242"/>
      <c r="T59" s="242"/>
      <c r="U59" s="242"/>
      <c r="V59" s="242"/>
      <c r="W59" s="242"/>
      <c r="X59" s="242"/>
      <c r="Y59" s="242"/>
      <c r="Z59" s="242"/>
      <c r="AA59" s="242"/>
      <c r="AB59" s="242"/>
      <c r="AC59" s="242"/>
      <c r="AD59" s="242"/>
      <c r="AE59" s="242"/>
      <c r="AF59" s="242"/>
      <c r="AG59" s="242"/>
      <c r="AH59" s="242"/>
      <c r="AI59" s="242"/>
      <c r="AJ59" s="242"/>
      <c r="AK59" s="242"/>
      <c r="AL59" s="242"/>
      <c r="AM59" s="242"/>
      <c r="AN59" s="242"/>
    </row>
    <row r="60" spans="1:42" s="429" customFormat="1" ht="21" customHeight="1">
      <c r="B60" s="4348" t="s">
        <v>2809</v>
      </c>
      <c r="C60" s="4348"/>
      <c r="D60" s="4348"/>
      <c r="E60" s="4348"/>
      <c r="F60" s="4348"/>
      <c r="G60" s="4348"/>
      <c r="H60" s="4348"/>
      <c r="I60" s="4348"/>
      <c r="J60" s="4348"/>
      <c r="K60" s="4348"/>
      <c r="L60" s="4348"/>
      <c r="M60" s="242"/>
      <c r="N60" s="242"/>
      <c r="O60" s="242"/>
      <c r="P60" s="242"/>
      <c r="Q60" s="242"/>
      <c r="R60" s="242"/>
      <c r="S60" s="242"/>
      <c r="T60" s="242"/>
      <c r="U60" s="242"/>
      <c r="V60" s="242"/>
      <c r="W60" s="242"/>
      <c r="X60" s="242"/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42"/>
      <c r="AO60" s="242"/>
      <c r="AP60" s="242"/>
    </row>
    <row r="61" spans="1:42" ht="12" customHeight="1">
      <c r="A61" s="257"/>
      <c r="F61" s="137"/>
      <c r="L61" s="242"/>
      <c r="M61" s="242"/>
      <c r="N61" s="242"/>
      <c r="O61" s="242"/>
      <c r="P61" s="242"/>
      <c r="Q61" s="242"/>
      <c r="R61" s="242"/>
      <c r="S61" s="242"/>
      <c r="T61" s="242"/>
      <c r="U61" s="242"/>
      <c r="V61" s="242"/>
      <c r="W61" s="242"/>
      <c r="X61" s="242"/>
      <c r="Y61" s="242"/>
      <c r="Z61" s="242"/>
      <c r="AA61" s="242"/>
      <c r="AB61" s="242"/>
      <c r="AC61" s="242"/>
      <c r="AD61" s="242"/>
      <c r="AE61" s="242"/>
      <c r="AF61" s="242"/>
      <c r="AG61" s="242"/>
      <c r="AH61" s="242"/>
      <c r="AI61" s="242"/>
      <c r="AJ61" s="242"/>
      <c r="AK61" s="242"/>
      <c r="AL61" s="242"/>
      <c r="AM61" s="242"/>
      <c r="AN61" s="242"/>
      <c r="AO61" s="242"/>
      <c r="AP61" s="242"/>
    </row>
    <row r="62" spans="1:42" ht="18" customHeight="1">
      <c r="A62" s="257"/>
      <c r="B62" s="289"/>
      <c r="C62" s="289"/>
      <c r="D62" s="289"/>
      <c r="E62" s="289"/>
      <c r="F62" s="289"/>
      <c r="G62" s="289"/>
      <c r="H62" s="289"/>
      <c r="I62" s="289"/>
      <c r="J62" s="289"/>
      <c r="K62" s="289"/>
      <c r="L62" s="242"/>
      <c r="M62" s="242"/>
      <c r="N62" s="242"/>
      <c r="O62" s="242"/>
      <c r="P62" s="242"/>
      <c r="Q62" s="242"/>
      <c r="R62" s="242"/>
      <c r="S62" s="242"/>
      <c r="T62" s="242"/>
      <c r="U62" s="242"/>
      <c r="V62" s="242"/>
      <c r="W62" s="242"/>
      <c r="X62" s="242"/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</row>
    <row r="63" spans="1:42" ht="20.100000000000001" customHeight="1">
      <c r="A63" s="289"/>
      <c r="B63" s="289"/>
      <c r="C63" s="289"/>
      <c r="D63" s="289"/>
      <c r="E63" s="289"/>
      <c r="F63" s="289"/>
      <c r="G63" s="289"/>
      <c r="H63" s="289"/>
      <c r="I63" s="289"/>
      <c r="J63" s="289"/>
      <c r="K63" s="289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</row>
    <row r="64" spans="1:42">
      <c r="F64" s="137"/>
      <c r="G64" s="49"/>
      <c r="H64" s="49"/>
      <c r="I64" s="49"/>
      <c r="J64" s="49"/>
      <c r="K64" s="49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</row>
    <row r="65" spans="1:42" s="260" customFormat="1">
      <c r="C65" s="589"/>
      <c r="F65" s="2"/>
      <c r="G65" s="49"/>
      <c r="H65" s="49"/>
      <c r="I65" s="49"/>
      <c r="J65" s="49"/>
      <c r="K65" s="49"/>
      <c r="L65" s="242"/>
      <c r="M65" s="242"/>
      <c r="N65" s="242"/>
      <c r="O65" s="242"/>
      <c r="P65" s="242"/>
      <c r="Q65" s="242"/>
      <c r="R65" s="242"/>
      <c r="S65" s="242"/>
      <c r="T65" s="242"/>
      <c r="U65" s="242"/>
      <c r="V65" s="242"/>
      <c r="W65" s="242"/>
      <c r="X65" s="242"/>
      <c r="Y65" s="242"/>
      <c r="Z65" s="242"/>
      <c r="AA65" s="242"/>
      <c r="AB65" s="242"/>
      <c r="AC65" s="242"/>
      <c r="AD65" s="242"/>
      <c r="AE65" s="242"/>
      <c r="AF65" s="242"/>
      <c r="AG65" s="242"/>
      <c r="AH65" s="242"/>
      <c r="AI65" s="242"/>
      <c r="AJ65" s="242"/>
      <c r="AK65" s="242"/>
      <c r="AL65" s="242"/>
      <c r="AM65" s="242"/>
      <c r="AN65" s="242"/>
      <c r="AO65" s="242"/>
      <c r="AP65" s="242"/>
    </row>
    <row r="66" spans="1:42" s="57" customFormat="1" ht="15" customHeight="1">
      <c r="A66" s="74"/>
      <c r="B66" s="381"/>
      <c r="C66" s="589"/>
      <c r="D66" s="381"/>
      <c r="E66" s="60"/>
      <c r="F66" s="60"/>
      <c r="G66" s="53"/>
      <c r="H66" s="53"/>
      <c r="I66" s="41"/>
      <c r="J66" s="11"/>
      <c r="K66" s="11"/>
      <c r="L66" s="442"/>
      <c r="M66" s="442"/>
      <c r="N66" s="442"/>
      <c r="O66" s="442"/>
      <c r="P66" s="442"/>
      <c r="Q66" s="442"/>
      <c r="R66" s="442"/>
      <c r="S66" s="442"/>
      <c r="T66" s="442"/>
      <c r="U66" s="442"/>
      <c r="V66" s="442"/>
      <c r="W66" s="442"/>
      <c r="X66" s="442"/>
      <c r="Y66" s="442"/>
      <c r="Z66" s="442"/>
      <c r="AA66" s="442"/>
      <c r="AB66" s="442"/>
      <c r="AC66" s="442"/>
      <c r="AD66" s="442"/>
      <c r="AE66" s="442"/>
      <c r="AF66" s="442"/>
      <c r="AG66" s="442"/>
      <c r="AH66" s="442"/>
      <c r="AI66" s="442"/>
      <c r="AJ66" s="442"/>
      <c r="AK66" s="442"/>
      <c r="AL66" s="442"/>
      <c r="AM66" s="442"/>
      <c r="AN66" s="442"/>
      <c r="AO66" s="442"/>
      <c r="AP66" s="442"/>
    </row>
    <row r="67" spans="1:42" s="75" customFormat="1" ht="11.1" customHeight="1">
      <c r="B67" s="381"/>
      <c r="C67" s="589"/>
      <c r="D67" s="381"/>
      <c r="E67" s="192"/>
      <c r="F67" s="192"/>
      <c r="G67" s="41"/>
      <c r="H67" s="41"/>
      <c r="I67" s="41"/>
      <c r="L67" s="649"/>
      <c r="M67" s="649"/>
      <c r="N67" s="649"/>
      <c r="O67" s="649"/>
      <c r="P67" s="649"/>
      <c r="Q67" s="649"/>
      <c r="R67" s="649"/>
      <c r="S67" s="649"/>
      <c r="T67" s="649"/>
      <c r="U67" s="649"/>
      <c r="V67" s="649"/>
      <c r="W67" s="649"/>
      <c r="X67" s="649"/>
      <c r="Y67" s="649"/>
      <c r="Z67" s="649"/>
      <c r="AA67" s="649"/>
      <c r="AB67" s="649"/>
      <c r="AC67" s="649"/>
      <c r="AD67" s="649"/>
      <c r="AE67" s="649"/>
      <c r="AF67" s="649"/>
      <c r="AG67" s="649"/>
      <c r="AH67" s="649"/>
      <c r="AI67" s="649"/>
      <c r="AJ67" s="649"/>
      <c r="AK67" s="649"/>
      <c r="AL67" s="649"/>
      <c r="AM67" s="649"/>
      <c r="AN67" s="649"/>
      <c r="AO67" s="649"/>
      <c r="AP67" s="649"/>
    </row>
    <row r="68" spans="1:42" s="75" customFormat="1" ht="11.1" customHeight="1">
      <c r="B68" s="381"/>
      <c r="C68" s="589"/>
      <c r="D68" s="381"/>
      <c r="E68" s="199"/>
      <c r="F68" s="199"/>
      <c r="G68" s="41"/>
      <c r="H68" s="41"/>
      <c r="I68" s="41"/>
      <c r="L68" s="649"/>
      <c r="M68" s="649"/>
      <c r="N68" s="649"/>
      <c r="O68" s="649"/>
      <c r="P68" s="649"/>
      <c r="Q68" s="649"/>
      <c r="R68" s="649"/>
      <c r="S68" s="649"/>
      <c r="T68" s="649"/>
      <c r="U68" s="649"/>
      <c r="V68" s="649"/>
      <c r="W68" s="649"/>
      <c r="X68" s="649"/>
      <c r="Y68" s="649"/>
      <c r="Z68" s="649"/>
      <c r="AA68" s="649"/>
      <c r="AB68" s="649"/>
      <c r="AC68" s="649"/>
      <c r="AD68" s="649"/>
      <c r="AE68" s="649"/>
      <c r="AF68" s="649"/>
      <c r="AG68" s="649"/>
      <c r="AH68" s="649"/>
      <c r="AI68" s="649"/>
      <c r="AJ68" s="649"/>
      <c r="AK68" s="649"/>
      <c r="AL68" s="649"/>
      <c r="AM68" s="649"/>
      <c r="AN68" s="649"/>
      <c r="AO68" s="649"/>
      <c r="AP68" s="649"/>
    </row>
    <row r="69" spans="1:42" ht="18" customHeight="1"/>
    <row r="70" spans="1:42" ht="18" customHeight="1"/>
    <row r="71" spans="1:42" ht="18" customHeight="1"/>
    <row r="73" spans="1:42" ht="15" customHeight="1"/>
  </sheetData>
  <mergeCells count="76">
    <mergeCell ref="A44:L44"/>
    <mergeCell ref="A37:L37"/>
    <mergeCell ref="E38:F38"/>
    <mergeCell ref="E39:F39"/>
    <mergeCell ref="E41:F41"/>
    <mergeCell ref="E42:F42"/>
    <mergeCell ref="E43:F43"/>
    <mergeCell ref="A41:D42"/>
    <mergeCell ref="B60:L60"/>
    <mergeCell ref="A54:F54"/>
    <mergeCell ref="A53:F53"/>
    <mergeCell ref="A56:F56"/>
    <mergeCell ref="A50:F50"/>
    <mergeCell ref="A52:F52"/>
    <mergeCell ref="A51:L51"/>
    <mergeCell ref="B59:C59"/>
    <mergeCell ref="A57:F57"/>
    <mergeCell ref="A58:F58"/>
    <mergeCell ref="A49:L49"/>
    <mergeCell ref="A45:B48"/>
    <mergeCell ref="C45:D45"/>
    <mergeCell ref="C46:D46"/>
    <mergeCell ref="C47:D47"/>
    <mergeCell ref="C48:D48"/>
    <mergeCell ref="E45:F45"/>
    <mergeCell ref="E46:F46"/>
    <mergeCell ref="E47:F47"/>
    <mergeCell ref="E48:F48"/>
    <mergeCell ref="G6:J6"/>
    <mergeCell ref="B10:C10"/>
    <mergeCell ref="D10:D12"/>
    <mergeCell ref="A33:L33"/>
    <mergeCell ref="A31:F32"/>
    <mergeCell ref="G32:J32"/>
    <mergeCell ref="F5:F6"/>
    <mergeCell ref="B8:C9"/>
    <mergeCell ref="E7:E9"/>
    <mergeCell ref="A13:A15"/>
    <mergeCell ref="B7:C7"/>
    <mergeCell ref="D25:D27"/>
    <mergeCell ref="E25:E27"/>
    <mergeCell ref="D16:D18"/>
    <mergeCell ref="E16:E18"/>
    <mergeCell ref="A5:C6"/>
    <mergeCell ref="B3:E3"/>
    <mergeCell ref="D5:D6"/>
    <mergeCell ref="E5:E6"/>
    <mergeCell ref="D13:D15"/>
    <mergeCell ref="E13:E15"/>
    <mergeCell ref="B11:C12"/>
    <mergeCell ref="D7:D9"/>
    <mergeCell ref="E10:E12"/>
    <mergeCell ref="A7:A12"/>
    <mergeCell ref="B13:C13"/>
    <mergeCell ref="B14:C15"/>
    <mergeCell ref="A16:A27"/>
    <mergeCell ref="B16:C16"/>
    <mergeCell ref="B17:C18"/>
    <mergeCell ref="B19:C19"/>
    <mergeCell ref="B20:C21"/>
    <mergeCell ref="B25:C25"/>
    <mergeCell ref="B26:C27"/>
    <mergeCell ref="B22:C22"/>
    <mergeCell ref="D19:D21"/>
    <mergeCell ref="E19:E21"/>
    <mergeCell ref="E40:F40"/>
    <mergeCell ref="C34:D34"/>
    <mergeCell ref="E35:F35"/>
    <mergeCell ref="E36:F36"/>
    <mergeCell ref="C35:D36"/>
    <mergeCell ref="A38:D39"/>
    <mergeCell ref="A34:B36"/>
    <mergeCell ref="E34:F34"/>
    <mergeCell ref="D22:D24"/>
    <mergeCell ref="E22:E24"/>
    <mergeCell ref="B23:C24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34" fitToHeight="0" orientation="landscape" useFirstPageNumber="1" r:id="rId1"/>
  <headerFooter>
    <oddFooter>&amp;L&amp;P&amp;R&amp;G</oddFooter>
  </headerFooter>
  <rowBreaks count="1" manualBreakCount="1">
    <brk id="29" max="11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IV189"/>
  <sheetViews>
    <sheetView zoomScale="72" zoomScaleNormal="72" workbookViewId="0">
      <pane xSplit="4" ySplit="5" topLeftCell="E6" activePane="bottomRight" state="frozen"/>
      <selection pane="topRight" activeCell="E1" sqref="E1"/>
      <selection pane="bottomLeft" activeCell="A6" sqref="A6"/>
      <selection pane="bottomRight" sqref="A1:XFD187"/>
    </sheetView>
  </sheetViews>
  <sheetFormatPr defaultColWidth="8.85546875" defaultRowHeight="15" outlineLevelRow="3"/>
  <cols>
    <col min="1" max="1" width="18.42578125" style="1478" customWidth="1"/>
    <col min="2" max="4" width="25.5703125" style="1478" customWidth="1"/>
    <col min="5" max="7" width="9.7109375" style="2029" customWidth="1"/>
    <col min="8" max="8" width="9.7109375" style="2036" customWidth="1"/>
    <col min="9" max="10" width="11.7109375" style="2029" bestFit="1" customWidth="1"/>
    <col min="11" max="11" width="11.85546875" style="2029" bestFit="1" customWidth="1"/>
    <col min="12" max="14" width="11.7109375" style="2029" bestFit="1" customWidth="1"/>
    <col min="15" max="20" width="12.85546875" style="2029" bestFit="1" customWidth="1"/>
    <col min="21" max="23" width="11.7109375" style="2029" bestFit="1" customWidth="1"/>
    <col min="24" max="24" width="13.42578125" style="2029" customWidth="1"/>
    <col min="25" max="37" width="8.85546875" style="2029"/>
    <col min="38" max="256" width="8.85546875" style="1478"/>
    <col min="257" max="16384" width="8.85546875" style="1547"/>
  </cols>
  <sheetData>
    <row r="1" spans="1:37" s="1478" customFormat="1" ht="25.5" hidden="1" outlineLevel="1">
      <c r="A1" s="1477" t="s">
        <v>1749</v>
      </c>
      <c r="E1" s="2026" t="s">
        <v>462</v>
      </c>
      <c r="F1" s="2026" t="s">
        <v>462</v>
      </c>
      <c r="G1" s="2026" t="s">
        <v>462</v>
      </c>
      <c r="H1" s="2027" t="s">
        <v>462</v>
      </c>
      <c r="I1" s="2026" t="s">
        <v>89</v>
      </c>
      <c r="J1" s="2026" t="s">
        <v>89</v>
      </c>
      <c r="K1" s="2026" t="s">
        <v>89</v>
      </c>
      <c r="L1" s="2026" t="s">
        <v>89</v>
      </c>
      <c r="M1" s="2026" t="s">
        <v>89</v>
      </c>
      <c r="N1" s="2026" t="s">
        <v>89</v>
      </c>
      <c r="O1" s="2026" t="s">
        <v>89</v>
      </c>
      <c r="P1" s="2026" t="s">
        <v>89</v>
      </c>
      <c r="Q1" s="2026" t="s">
        <v>89</v>
      </c>
      <c r="R1" s="2026" t="s">
        <v>89</v>
      </c>
      <c r="S1" s="2026" t="s">
        <v>89</v>
      </c>
      <c r="T1" s="2026" t="s">
        <v>89</v>
      </c>
      <c r="U1" s="2026" t="s">
        <v>89</v>
      </c>
      <c r="V1" s="2026" t="s">
        <v>89</v>
      </c>
      <c r="W1" s="2026" t="s">
        <v>89</v>
      </c>
      <c r="X1" s="2026" t="s">
        <v>89</v>
      </c>
      <c r="Y1" s="2028"/>
      <c r="Z1" s="2028"/>
      <c r="AA1" s="2029"/>
      <c r="AB1" s="2029"/>
      <c r="AC1" s="2029"/>
      <c r="AD1" s="2029"/>
      <c r="AE1" s="2029"/>
      <c r="AF1" s="2029"/>
      <c r="AG1" s="2029"/>
      <c r="AH1" s="2029"/>
      <c r="AI1" s="2029"/>
      <c r="AJ1" s="2029"/>
      <c r="AK1" s="2029"/>
    </row>
    <row r="2" spans="1:37" s="1478" customFormat="1" ht="38.25" hidden="1" outlineLevel="1">
      <c r="A2" s="1477" t="s">
        <v>1750</v>
      </c>
      <c r="E2" s="2030" t="s">
        <v>252</v>
      </c>
      <c r="F2" s="2030" t="s">
        <v>252</v>
      </c>
      <c r="G2" s="2030" t="s">
        <v>252</v>
      </c>
      <c r="H2" s="2031" t="s">
        <v>252</v>
      </c>
      <c r="I2" s="2030" t="s">
        <v>1751</v>
      </c>
      <c r="J2" s="2030" t="s">
        <v>1752</v>
      </c>
      <c r="K2" s="2030" t="s">
        <v>1753</v>
      </c>
      <c r="L2" s="2030" t="s">
        <v>1755</v>
      </c>
      <c r="M2" s="2030" t="s">
        <v>1756</v>
      </c>
      <c r="N2" s="2030" t="s">
        <v>1754</v>
      </c>
      <c r="O2" s="2030" t="s">
        <v>1757</v>
      </c>
      <c r="P2" s="2030" t="s">
        <v>1758</v>
      </c>
      <c r="Q2" s="2030" t="s">
        <v>1759</v>
      </c>
      <c r="R2" s="2030" t="s">
        <v>1760</v>
      </c>
      <c r="S2" s="2030" t="s">
        <v>1762</v>
      </c>
      <c r="T2" s="2030" t="s">
        <v>1761</v>
      </c>
      <c r="U2" s="2030" t="s">
        <v>1763</v>
      </c>
      <c r="V2" s="2030" t="s">
        <v>1764</v>
      </c>
      <c r="W2" s="2030" t="s">
        <v>1765</v>
      </c>
      <c r="X2" s="2030" t="s">
        <v>1766</v>
      </c>
      <c r="Y2" s="2028"/>
      <c r="Z2" s="2028"/>
      <c r="AA2" s="2029"/>
      <c r="AB2" s="2029"/>
      <c r="AC2" s="2029"/>
      <c r="AD2" s="2029"/>
      <c r="AE2" s="2029"/>
      <c r="AF2" s="2029"/>
      <c r="AG2" s="2029"/>
      <c r="AH2" s="2029"/>
      <c r="AI2" s="2029"/>
      <c r="AJ2" s="2029"/>
      <c r="AK2" s="2029"/>
    </row>
    <row r="3" spans="1:37" s="1478" customFormat="1" ht="25.5" hidden="1" outlineLevel="1">
      <c r="A3" s="1477" t="s">
        <v>1767</v>
      </c>
      <c r="E3" s="2030" t="s">
        <v>17</v>
      </c>
      <c r="F3" s="2030" t="s">
        <v>18</v>
      </c>
      <c r="G3" s="2030" t="s">
        <v>705</v>
      </c>
      <c r="H3" s="2031" t="s">
        <v>1768</v>
      </c>
      <c r="I3" s="2030" t="s">
        <v>17</v>
      </c>
      <c r="J3" s="2030" t="s">
        <v>17</v>
      </c>
      <c r="K3" s="2030" t="s">
        <v>17</v>
      </c>
      <c r="L3" s="2030" t="s">
        <v>17</v>
      </c>
      <c r="M3" s="2030" t="s">
        <v>17</v>
      </c>
      <c r="N3" s="2030" t="s">
        <v>17</v>
      </c>
      <c r="O3" s="2032" t="s">
        <v>17</v>
      </c>
      <c r="P3" s="2032" t="s">
        <v>17</v>
      </c>
      <c r="Q3" s="2032" t="s">
        <v>17</v>
      </c>
      <c r="R3" s="2032" t="s">
        <v>17</v>
      </c>
      <c r="S3" s="2032" t="s">
        <v>17</v>
      </c>
      <c r="T3" s="2032" t="s">
        <v>17</v>
      </c>
      <c r="U3" s="2030" t="s">
        <v>18</v>
      </c>
      <c r="V3" s="2030" t="s">
        <v>705</v>
      </c>
      <c r="W3" s="2030" t="s">
        <v>705</v>
      </c>
      <c r="X3" s="2030" t="s">
        <v>1768</v>
      </c>
      <c r="Y3" s="2028"/>
      <c r="Z3" s="2028"/>
      <c r="AA3" s="2029"/>
      <c r="AB3" s="2029"/>
      <c r="AC3" s="2029"/>
      <c r="AD3" s="2029"/>
      <c r="AE3" s="2029"/>
      <c r="AF3" s="2029"/>
      <c r="AG3" s="2029"/>
      <c r="AH3" s="2029"/>
      <c r="AI3" s="2029"/>
      <c r="AJ3" s="2029"/>
      <c r="AK3" s="2029"/>
    </row>
    <row r="4" spans="1:37" s="1478" customFormat="1" ht="25.5" hidden="1" outlineLevel="1">
      <c r="A4" s="1477" t="s">
        <v>1769</v>
      </c>
      <c r="E4" s="2033">
        <v>2.5</v>
      </c>
      <c r="F4" s="2033">
        <v>2.5</v>
      </c>
      <c r="G4" s="2033">
        <v>2.5</v>
      </c>
      <c r="H4" s="2034">
        <v>1</v>
      </c>
      <c r="I4" s="2033">
        <v>5</v>
      </c>
      <c r="J4" s="2033">
        <v>5</v>
      </c>
      <c r="K4" s="2033">
        <v>5</v>
      </c>
      <c r="L4" s="2033">
        <v>5</v>
      </c>
      <c r="M4" s="2033">
        <v>5</v>
      </c>
      <c r="N4" s="2033">
        <v>5</v>
      </c>
      <c r="O4" s="2035">
        <v>1</v>
      </c>
      <c r="P4" s="2035">
        <v>1</v>
      </c>
      <c r="Q4" s="2035">
        <v>1</v>
      </c>
      <c r="R4" s="2035">
        <v>1</v>
      </c>
      <c r="S4" s="2035">
        <v>1</v>
      </c>
      <c r="T4" s="2035">
        <v>1</v>
      </c>
      <c r="U4" s="2033">
        <v>5</v>
      </c>
      <c r="V4" s="2033">
        <v>5</v>
      </c>
      <c r="W4" s="2033">
        <v>5</v>
      </c>
      <c r="X4" s="2033">
        <v>1</v>
      </c>
      <c r="Y4" s="2028"/>
      <c r="Z4" s="2028"/>
      <c r="AA4" s="2029"/>
      <c r="AB4" s="2029"/>
      <c r="AC4" s="2029"/>
      <c r="AD4" s="2029"/>
      <c r="AE4" s="2029"/>
      <c r="AF4" s="2029"/>
      <c r="AG4" s="2029"/>
      <c r="AH4" s="2029"/>
      <c r="AI4" s="2029"/>
      <c r="AJ4" s="2029"/>
      <c r="AK4" s="2029"/>
    </row>
    <row r="5" spans="1:37" s="1478" customFormat="1" hidden="1" outlineLevel="1">
      <c r="A5" s="1477" t="s">
        <v>2</v>
      </c>
      <c r="B5" s="1477" t="s">
        <v>1770</v>
      </c>
      <c r="C5" s="1477" t="s">
        <v>1771</v>
      </c>
      <c r="D5" s="1477" t="s">
        <v>1772</v>
      </c>
      <c r="E5" s="2029"/>
      <c r="F5" s="2029"/>
      <c r="G5" s="2029"/>
      <c r="H5" s="2036"/>
      <c r="I5" s="2029"/>
      <c r="J5" s="2029"/>
      <c r="K5" s="2029"/>
      <c r="L5" s="2029"/>
      <c r="M5" s="2029"/>
      <c r="N5" s="2029"/>
      <c r="O5" s="2029"/>
      <c r="P5" s="2029"/>
      <c r="Q5" s="2029"/>
      <c r="R5" s="2029"/>
      <c r="S5" s="2029"/>
      <c r="T5" s="2029"/>
      <c r="U5" s="2029"/>
      <c r="V5" s="2029"/>
      <c r="W5" s="2029"/>
      <c r="X5" s="2037"/>
      <c r="Y5" s="2028"/>
      <c r="Z5" s="2028"/>
      <c r="AA5" s="2029"/>
      <c r="AB5" s="2029"/>
      <c r="AC5" s="2029"/>
      <c r="AD5" s="2029"/>
      <c r="AE5" s="2029"/>
      <c r="AF5" s="2029"/>
      <c r="AG5" s="2029"/>
      <c r="AH5" s="2029"/>
      <c r="AI5" s="2029"/>
      <c r="AJ5" s="2029"/>
      <c r="AK5" s="2029"/>
    </row>
    <row r="6" spans="1:37" s="1482" customFormat="1" hidden="1" outlineLevel="1">
      <c r="A6" s="1479" t="s">
        <v>206</v>
      </c>
      <c r="B6" s="1479" t="s">
        <v>206</v>
      </c>
      <c r="C6" s="1480" t="s">
        <v>274</v>
      </c>
      <c r="D6" s="1481" t="str">
        <f>Покрытия_ПВХ!E4</f>
        <v>Дуб молочный</v>
      </c>
      <c r="E6" s="2038">
        <f>Погонаж!C11</f>
        <v>1550</v>
      </c>
      <c r="F6" s="2038">
        <f>Погонаж!C38</f>
        <v>1550</v>
      </c>
      <c r="G6" s="2038"/>
      <c r="H6" s="2039" t="e">
        <f>Алюм.погонаж!#REF!</f>
        <v>#REF!</v>
      </c>
      <c r="I6" s="2038">
        <f>Погонаж!E11</f>
        <v>850</v>
      </c>
      <c r="J6" s="2040"/>
      <c r="K6" s="2038" t="str">
        <f>Погонаж!K11</f>
        <v xml:space="preserve"> -</v>
      </c>
      <c r="L6" s="2038"/>
      <c r="M6" s="2038"/>
      <c r="N6" s="2038"/>
      <c r="O6" s="2038">
        <f>Порталы!C68</f>
        <v>0</v>
      </c>
      <c r="P6" s="2038">
        <f>Порталы!E68</f>
        <v>3300</v>
      </c>
      <c r="Q6" s="2038"/>
      <c r="R6" s="2038"/>
      <c r="S6" s="2038"/>
      <c r="T6" s="2038"/>
      <c r="U6" s="2038">
        <f>Погонаж!D38</f>
        <v>950</v>
      </c>
      <c r="V6" s="2038"/>
      <c r="W6" s="2038"/>
      <c r="X6" s="2038"/>
      <c r="Y6" s="2041"/>
      <c r="Z6" s="2041"/>
      <c r="AA6" s="2041"/>
      <c r="AB6" s="2041"/>
      <c r="AC6" s="2041"/>
      <c r="AD6" s="2041"/>
      <c r="AE6" s="2041"/>
      <c r="AF6" s="2041"/>
      <c r="AG6" s="2041"/>
      <c r="AH6" s="2041"/>
      <c r="AI6" s="2041"/>
      <c r="AJ6" s="2041"/>
      <c r="AK6" s="2041"/>
    </row>
    <row r="7" spans="1:37" s="1478" customFormat="1" hidden="1" outlineLevel="3">
      <c r="A7" s="1479" t="s">
        <v>206</v>
      </c>
      <c r="B7" s="1479" t="s">
        <v>206</v>
      </c>
      <c r="C7" s="1483" t="s">
        <v>274</v>
      </c>
      <c r="D7" s="1484" t="str">
        <f>Покрытия_ПВХ!E5</f>
        <v>Акация светлая</v>
      </c>
      <c r="E7" s="2042">
        <f>E6</f>
        <v>1550</v>
      </c>
      <c r="F7" s="2042">
        <f>F6</f>
        <v>1550</v>
      </c>
      <c r="G7" s="2042"/>
      <c r="H7" s="2043" t="e">
        <f>$H$6</f>
        <v>#REF!</v>
      </c>
      <c r="I7" s="2042">
        <f>I6</f>
        <v>850</v>
      </c>
      <c r="J7" s="2044"/>
      <c r="K7" s="2042" t="str">
        <f>K6</f>
        <v xml:space="preserve"> -</v>
      </c>
      <c r="L7" s="2042"/>
      <c r="M7" s="2042"/>
      <c r="N7" s="2042"/>
      <c r="O7" s="2042">
        <f>O6</f>
        <v>0</v>
      </c>
      <c r="P7" s="2042">
        <f>P6</f>
        <v>3300</v>
      </c>
      <c r="Q7" s="2042"/>
      <c r="R7" s="2042"/>
      <c r="S7" s="2042"/>
      <c r="T7" s="2042"/>
      <c r="U7" s="2042">
        <f>U6</f>
        <v>950</v>
      </c>
      <c r="V7" s="2042"/>
      <c r="W7" s="2042"/>
      <c r="X7" s="2042"/>
      <c r="Y7" s="2029"/>
      <c r="Z7" s="2029"/>
      <c r="AA7" s="2029"/>
      <c r="AB7" s="2029"/>
      <c r="AC7" s="2029"/>
      <c r="AD7" s="2029"/>
      <c r="AE7" s="2029"/>
      <c r="AF7" s="2029"/>
      <c r="AG7" s="2029"/>
      <c r="AH7" s="2029"/>
      <c r="AI7" s="2029"/>
      <c r="AJ7" s="2029"/>
      <c r="AK7" s="2029"/>
    </row>
    <row r="8" spans="1:37" s="1478" customFormat="1" hidden="1" outlineLevel="3">
      <c r="A8" s="1479" t="s">
        <v>206</v>
      </c>
      <c r="B8" s="1479" t="s">
        <v>206</v>
      </c>
      <c r="C8" s="1483" t="s">
        <v>274</v>
      </c>
      <c r="D8" s="1484" t="str">
        <f>Покрытия_ПВХ!E6</f>
        <v>Карелия светлая</v>
      </c>
      <c r="E8" s="2042">
        <f>E6</f>
        <v>1550</v>
      </c>
      <c r="F8" s="2042">
        <f>F6</f>
        <v>1550</v>
      </c>
      <c r="G8" s="2042"/>
      <c r="H8" s="2043" t="e">
        <f t="shared" ref="H8:H71" si="0">$H$6</f>
        <v>#REF!</v>
      </c>
      <c r="I8" s="2042">
        <f>I6</f>
        <v>850</v>
      </c>
      <c r="J8" s="2044"/>
      <c r="K8" s="2042" t="str">
        <f>K6</f>
        <v xml:space="preserve"> -</v>
      </c>
      <c r="L8" s="2042"/>
      <c r="M8" s="2042"/>
      <c r="N8" s="2042"/>
      <c r="O8" s="2042">
        <f>O6</f>
        <v>0</v>
      </c>
      <c r="P8" s="2042">
        <f>P6</f>
        <v>3300</v>
      </c>
      <c r="Q8" s="2042"/>
      <c r="R8" s="2042"/>
      <c r="S8" s="2042"/>
      <c r="T8" s="2042"/>
      <c r="U8" s="2042">
        <f>U6</f>
        <v>950</v>
      </c>
      <c r="V8" s="2042"/>
      <c r="W8" s="2042"/>
      <c r="X8" s="2042"/>
      <c r="Y8" s="2029"/>
      <c r="Z8" s="2029"/>
      <c r="AA8" s="2029"/>
      <c r="AB8" s="2029"/>
      <c r="AC8" s="2029"/>
      <c r="AD8" s="2029"/>
      <c r="AE8" s="2029"/>
      <c r="AF8" s="2029"/>
      <c r="AG8" s="2029"/>
      <c r="AH8" s="2029"/>
      <c r="AI8" s="2029"/>
      <c r="AJ8" s="2029"/>
      <c r="AK8" s="2029"/>
    </row>
    <row r="9" spans="1:37" s="1478" customFormat="1" hidden="1" outlineLevel="3">
      <c r="A9" s="1479" t="s">
        <v>206</v>
      </c>
      <c r="B9" s="1479" t="s">
        <v>206</v>
      </c>
      <c r="C9" s="1483" t="s">
        <v>274</v>
      </c>
      <c r="D9" s="1484" t="str">
        <f>Покрытия_ПВХ!E7</f>
        <v>Акация темная</v>
      </c>
      <c r="E9" s="2042">
        <f>E6</f>
        <v>1550</v>
      </c>
      <c r="F9" s="2042">
        <f>F6</f>
        <v>1550</v>
      </c>
      <c r="G9" s="2042"/>
      <c r="H9" s="2043" t="e">
        <f t="shared" si="0"/>
        <v>#REF!</v>
      </c>
      <c r="I9" s="2042">
        <f>I6</f>
        <v>850</v>
      </c>
      <c r="J9" s="2044"/>
      <c r="K9" s="2042" t="str">
        <f>K6</f>
        <v xml:space="preserve"> -</v>
      </c>
      <c r="L9" s="2042"/>
      <c r="M9" s="2042"/>
      <c r="N9" s="2042"/>
      <c r="O9" s="2042">
        <f>O6</f>
        <v>0</v>
      </c>
      <c r="P9" s="2042">
        <f>P6</f>
        <v>3300</v>
      </c>
      <c r="Q9" s="2042"/>
      <c r="R9" s="2042"/>
      <c r="S9" s="2042"/>
      <c r="T9" s="2042"/>
      <c r="U9" s="2042">
        <f>U6</f>
        <v>950</v>
      </c>
      <c r="V9" s="2042"/>
      <c r="W9" s="2042"/>
      <c r="X9" s="2042"/>
      <c r="Y9" s="2029"/>
      <c r="Z9" s="2029"/>
      <c r="AA9" s="2029"/>
      <c r="AB9" s="2029"/>
      <c r="AC9" s="2029"/>
      <c r="AD9" s="2029"/>
      <c r="AE9" s="2029"/>
      <c r="AF9" s="2029"/>
      <c r="AG9" s="2029"/>
      <c r="AH9" s="2029"/>
      <c r="AI9" s="2029"/>
      <c r="AJ9" s="2029"/>
      <c r="AK9" s="2029"/>
    </row>
    <row r="10" spans="1:37" s="1478" customFormat="1" hidden="1" outlineLevel="3">
      <c r="A10" s="1479" t="s">
        <v>206</v>
      </c>
      <c r="B10" s="1479" t="s">
        <v>206</v>
      </c>
      <c r="C10" s="1483" t="s">
        <v>274</v>
      </c>
      <c r="D10" s="1484" t="str">
        <f>Покрытия_ПВХ!E8</f>
        <v>Карелия темная</v>
      </c>
      <c r="E10" s="2042">
        <f>E6</f>
        <v>1550</v>
      </c>
      <c r="F10" s="2042">
        <f>F6</f>
        <v>1550</v>
      </c>
      <c r="G10" s="2042"/>
      <c r="H10" s="2043" t="e">
        <f t="shared" si="0"/>
        <v>#REF!</v>
      </c>
      <c r="I10" s="2042">
        <f>I6</f>
        <v>850</v>
      </c>
      <c r="J10" s="2044"/>
      <c r="K10" s="2042" t="str">
        <f>K6</f>
        <v xml:space="preserve"> -</v>
      </c>
      <c r="L10" s="2042"/>
      <c r="M10" s="2042"/>
      <c r="N10" s="2042"/>
      <c r="O10" s="2042">
        <f>O6</f>
        <v>0</v>
      </c>
      <c r="P10" s="2042">
        <f>P6</f>
        <v>3300</v>
      </c>
      <c r="Q10" s="2042"/>
      <c r="R10" s="2042"/>
      <c r="S10" s="2042"/>
      <c r="T10" s="2042"/>
      <c r="U10" s="2042">
        <f>U6</f>
        <v>950</v>
      </c>
      <c r="V10" s="2042"/>
      <c r="W10" s="2042"/>
      <c r="X10" s="2042"/>
      <c r="Y10" s="2029"/>
      <c r="Z10" s="2029"/>
      <c r="AA10" s="2029"/>
      <c r="AB10" s="2029"/>
      <c r="AC10" s="2029"/>
      <c r="AD10" s="2029"/>
      <c r="AE10" s="2029"/>
      <c r="AF10" s="2029"/>
      <c r="AG10" s="2029"/>
      <c r="AH10" s="2029"/>
      <c r="AI10" s="2029"/>
      <c r="AJ10" s="2029"/>
      <c r="AK10" s="2029"/>
    </row>
    <row r="11" spans="1:37" s="1478" customFormat="1" hidden="1" outlineLevel="3">
      <c r="A11" s="1479" t="s">
        <v>206</v>
      </c>
      <c r="B11" s="1479" t="s">
        <v>206</v>
      </c>
      <c r="C11" s="1483" t="s">
        <v>274</v>
      </c>
      <c r="D11" s="1484" t="str">
        <f>Покрытия_ПВХ!E9</f>
        <v>Венге рифленый</v>
      </c>
      <c r="E11" s="2042">
        <f>E6</f>
        <v>1550</v>
      </c>
      <c r="F11" s="2042">
        <f>F6</f>
        <v>1550</v>
      </c>
      <c r="G11" s="2042"/>
      <c r="H11" s="2043" t="e">
        <f t="shared" si="0"/>
        <v>#REF!</v>
      </c>
      <c r="I11" s="2042">
        <f>I6</f>
        <v>850</v>
      </c>
      <c r="J11" s="2044"/>
      <c r="K11" s="2042" t="str">
        <f>K6</f>
        <v xml:space="preserve"> -</v>
      </c>
      <c r="L11" s="2042"/>
      <c r="M11" s="2042"/>
      <c r="N11" s="2042"/>
      <c r="O11" s="2042">
        <f>O6</f>
        <v>0</v>
      </c>
      <c r="P11" s="2042">
        <f>P6</f>
        <v>3300</v>
      </c>
      <c r="Q11" s="2042"/>
      <c r="R11" s="2042"/>
      <c r="S11" s="2042"/>
      <c r="T11" s="2042"/>
      <c r="U11" s="2042">
        <f>U6</f>
        <v>950</v>
      </c>
      <c r="V11" s="2042"/>
      <c r="W11" s="2042"/>
      <c r="X11" s="2042"/>
      <c r="Y11" s="2029"/>
      <c r="Z11" s="2029"/>
      <c r="AA11" s="2029"/>
      <c r="AB11" s="2029"/>
      <c r="AC11" s="2029"/>
      <c r="AD11" s="2029"/>
      <c r="AE11" s="2029"/>
      <c r="AF11" s="2029"/>
      <c r="AG11" s="2029"/>
      <c r="AH11" s="2029"/>
      <c r="AI11" s="2029"/>
      <c r="AJ11" s="2029"/>
      <c r="AK11" s="2029"/>
    </row>
    <row r="12" spans="1:37" s="1478" customFormat="1" hidden="1" outlineLevel="2">
      <c r="A12" s="1485" t="s">
        <v>206</v>
      </c>
      <c r="B12" s="1485" t="s">
        <v>206</v>
      </c>
      <c r="C12" s="1486" t="s">
        <v>276</v>
      </c>
      <c r="D12" s="1487" t="str">
        <f>Покрытия_ПВХ!E10</f>
        <v>Дуб шале снежный</v>
      </c>
      <c r="E12" s="2038">
        <f>E6*1.05</f>
        <v>1627.5</v>
      </c>
      <c r="F12" s="2038">
        <f>F6*1.05</f>
        <v>1627.5</v>
      </c>
      <c r="G12" s="2038"/>
      <c r="H12" s="2043" t="e">
        <f t="shared" si="0"/>
        <v>#REF!</v>
      </c>
      <c r="I12" s="2038">
        <f>I6*1.05</f>
        <v>892.5</v>
      </c>
      <c r="J12" s="2040"/>
      <c r="K12" s="2038" t="e">
        <f>K6*1.05</f>
        <v>#VALUE!</v>
      </c>
      <c r="L12" s="2038"/>
      <c r="M12" s="2038"/>
      <c r="N12" s="2038"/>
      <c r="O12" s="2038">
        <f>O6*1.05</f>
        <v>0</v>
      </c>
      <c r="P12" s="2038">
        <f>P6*1.05</f>
        <v>3465</v>
      </c>
      <c r="Q12" s="2038"/>
      <c r="R12" s="2038"/>
      <c r="S12" s="2038"/>
      <c r="T12" s="2038"/>
      <c r="U12" s="2038">
        <f>U6*1.05</f>
        <v>997.5</v>
      </c>
      <c r="V12" s="2038"/>
      <c r="W12" s="2038"/>
      <c r="X12" s="2038"/>
      <c r="Y12" s="2029"/>
      <c r="Z12" s="2029"/>
      <c r="AA12" s="2029"/>
      <c r="AB12" s="2029"/>
      <c r="AC12" s="2029"/>
      <c r="AD12" s="2029"/>
      <c r="AE12" s="2029"/>
      <c r="AF12" s="2029"/>
      <c r="AG12" s="2029"/>
      <c r="AH12" s="2029"/>
      <c r="AI12" s="2029"/>
      <c r="AJ12" s="2029"/>
      <c r="AK12" s="2029"/>
    </row>
    <row r="13" spans="1:37" s="1478" customFormat="1" hidden="1" outlineLevel="3">
      <c r="A13" s="1485" t="s">
        <v>206</v>
      </c>
      <c r="B13" s="1485" t="s">
        <v>206</v>
      </c>
      <c r="C13" s="1486" t="s">
        <v>276</v>
      </c>
      <c r="D13" s="1488" t="e">
        <f>Покрытия_ПВХ!#REF!</f>
        <v>#REF!</v>
      </c>
      <c r="E13" s="2042">
        <f>E12</f>
        <v>1627.5</v>
      </c>
      <c r="F13" s="2042">
        <f>F12</f>
        <v>1627.5</v>
      </c>
      <c r="G13" s="2042"/>
      <c r="H13" s="2043" t="e">
        <f t="shared" si="0"/>
        <v>#REF!</v>
      </c>
      <c r="I13" s="2042">
        <f>I12</f>
        <v>892.5</v>
      </c>
      <c r="J13" s="2042"/>
      <c r="K13" s="2042" t="e">
        <f>K12</f>
        <v>#VALUE!</v>
      </c>
      <c r="L13" s="2042"/>
      <c r="M13" s="2042"/>
      <c r="N13" s="2042"/>
      <c r="O13" s="2042">
        <f>O12</f>
        <v>0</v>
      </c>
      <c r="P13" s="2042">
        <f>P12</f>
        <v>3465</v>
      </c>
      <c r="Q13" s="2042"/>
      <c r="R13" s="2042"/>
      <c r="S13" s="2042"/>
      <c r="T13" s="2042"/>
      <c r="U13" s="2042">
        <f>U12</f>
        <v>997.5</v>
      </c>
      <c r="V13" s="2042"/>
      <c r="W13" s="2042"/>
      <c r="X13" s="2042"/>
      <c r="Y13" s="2029"/>
      <c r="Z13" s="2029"/>
      <c r="AA13" s="2029"/>
      <c r="AB13" s="2029"/>
      <c r="AC13" s="2029"/>
      <c r="AD13" s="2029"/>
      <c r="AE13" s="2029"/>
      <c r="AF13" s="2029"/>
      <c r="AG13" s="2029"/>
      <c r="AH13" s="2029"/>
      <c r="AI13" s="2029"/>
      <c r="AJ13" s="2029"/>
      <c r="AK13" s="2029"/>
    </row>
    <row r="14" spans="1:37" s="1478" customFormat="1" hidden="1" outlineLevel="3">
      <c r="A14" s="1485" t="s">
        <v>206</v>
      </c>
      <c r="B14" s="1485" t="s">
        <v>206</v>
      </c>
      <c r="C14" s="1486" t="s">
        <v>276</v>
      </c>
      <c r="D14" s="1488" t="str">
        <f>Покрытия_ПВХ!E11</f>
        <v>Дуб шале натур</v>
      </c>
      <c r="E14" s="2042">
        <f>E12</f>
        <v>1627.5</v>
      </c>
      <c r="F14" s="2042">
        <f>F12</f>
        <v>1627.5</v>
      </c>
      <c r="G14" s="2042"/>
      <c r="H14" s="2043" t="e">
        <f t="shared" si="0"/>
        <v>#REF!</v>
      </c>
      <c r="I14" s="2042">
        <f>I12</f>
        <v>892.5</v>
      </c>
      <c r="J14" s="2042"/>
      <c r="K14" s="2042" t="e">
        <f>K12</f>
        <v>#VALUE!</v>
      </c>
      <c r="L14" s="2042"/>
      <c r="M14" s="2042"/>
      <c r="N14" s="2042"/>
      <c r="O14" s="2042">
        <f>O12</f>
        <v>0</v>
      </c>
      <c r="P14" s="2042">
        <f>P12</f>
        <v>3465</v>
      </c>
      <c r="Q14" s="2042"/>
      <c r="R14" s="2042"/>
      <c r="S14" s="2042"/>
      <c r="T14" s="2042"/>
      <c r="U14" s="2042">
        <f>U12</f>
        <v>997.5</v>
      </c>
      <c r="V14" s="2042"/>
      <c r="W14" s="2042"/>
      <c r="X14" s="2042"/>
      <c r="Y14" s="2029"/>
      <c r="Z14" s="2029"/>
      <c r="AA14" s="2029"/>
      <c r="AB14" s="2029"/>
      <c r="AC14" s="2029"/>
      <c r="AD14" s="2029"/>
      <c r="AE14" s="2029"/>
      <c r="AF14" s="2029"/>
      <c r="AG14" s="2029"/>
      <c r="AH14" s="2029"/>
      <c r="AI14" s="2029"/>
      <c r="AJ14" s="2029"/>
      <c r="AK14" s="2029"/>
    </row>
    <row r="15" spans="1:37" s="1478" customFormat="1" hidden="1" outlineLevel="3">
      <c r="A15" s="1485" t="s">
        <v>206</v>
      </c>
      <c r="B15" s="1485" t="s">
        <v>206</v>
      </c>
      <c r="C15" s="1486" t="s">
        <v>276</v>
      </c>
      <c r="D15" s="1488" t="e">
        <f>Покрытия_ПВХ!#REF!</f>
        <v>#REF!</v>
      </c>
      <c r="E15" s="2042">
        <f>E12</f>
        <v>1627.5</v>
      </c>
      <c r="F15" s="2042">
        <f>F12</f>
        <v>1627.5</v>
      </c>
      <c r="G15" s="2042"/>
      <c r="H15" s="2043" t="e">
        <f t="shared" si="0"/>
        <v>#REF!</v>
      </c>
      <c r="I15" s="2042">
        <f>I12</f>
        <v>892.5</v>
      </c>
      <c r="J15" s="2042"/>
      <c r="K15" s="2042" t="e">
        <f>K12</f>
        <v>#VALUE!</v>
      </c>
      <c r="L15" s="2042"/>
      <c r="M15" s="2042"/>
      <c r="N15" s="2042"/>
      <c r="O15" s="2042">
        <f>O12</f>
        <v>0</v>
      </c>
      <c r="P15" s="2042">
        <f>P12</f>
        <v>3465</v>
      </c>
      <c r="Q15" s="2042"/>
      <c r="R15" s="2042"/>
      <c r="S15" s="2042"/>
      <c r="T15" s="2042"/>
      <c r="U15" s="2042">
        <f>U12</f>
        <v>997.5</v>
      </c>
      <c r="V15" s="2042"/>
      <c r="W15" s="2042"/>
      <c r="X15" s="2042"/>
      <c r="Y15" s="2029"/>
      <c r="Z15" s="2029"/>
      <c r="AA15" s="2029"/>
      <c r="AB15" s="2029"/>
      <c r="AC15" s="2029"/>
      <c r="AD15" s="2029"/>
      <c r="AE15" s="2029"/>
      <c r="AF15" s="2029"/>
      <c r="AG15" s="2029"/>
      <c r="AH15" s="2029"/>
      <c r="AI15" s="2029"/>
      <c r="AJ15" s="2029"/>
      <c r="AK15" s="2029"/>
    </row>
    <row r="16" spans="1:37" s="1478" customFormat="1" hidden="1" outlineLevel="3">
      <c r="A16" s="1485" t="s">
        <v>206</v>
      </c>
      <c r="B16" s="1485" t="s">
        <v>206</v>
      </c>
      <c r="C16" s="1486" t="s">
        <v>276</v>
      </c>
      <c r="D16" s="1488" t="str">
        <f>Покрытия_ПВХ!E12</f>
        <v>Дуб шале седой</v>
      </c>
      <c r="E16" s="2042">
        <f>E12</f>
        <v>1627.5</v>
      </c>
      <c r="F16" s="2042">
        <f>F12</f>
        <v>1627.5</v>
      </c>
      <c r="G16" s="2042"/>
      <c r="H16" s="2043" t="e">
        <f t="shared" si="0"/>
        <v>#REF!</v>
      </c>
      <c r="I16" s="2042">
        <f>I12</f>
        <v>892.5</v>
      </c>
      <c r="J16" s="2042"/>
      <c r="K16" s="2042" t="e">
        <f>K12</f>
        <v>#VALUE!</v>
      </c>
      <c r="L16" s="2042"/>
      <c r="M16" s="2042"/>
      <c r="N16" s="2042"/>
      <c r="O16" s="2042">
        <f>O12</f>
        <v>0</v>
      </c>
      <c r="P16" s="2042">
        <f>P12</f>
        <v>3465</v>
      </c>
      <c r="Q16" s="2042"/>
      <c r="R16" s="2042"/>
      <c r="S16" s="2042"/>
      <c r="T16" s="2042"/>
      <c r="U16" s="2042">
        <f>U12</f>
        <v>997.5</v>
      </c>
      <c r="V16" s="2042"/>
      <c r="W16" s="2042"/>
      <c r="X16" s="2042"/>
      <c r="Y16" s="2029"/>
      <c r="Z16" s="2029"/>
      <c r="AA16" s="2029"/>
      <c r="AB16" s="2029"/>
      <c r="AC16" s="2029"/>
      <c r="AD16" s="2029"/>
      <c r="AE16" s="2029"/>
      <c r="AF16" s="2029"/>
      <c r="AG16" s="2029"/>
      <c r="AH16" s="2029"/>
      <c r="AI16" s="2029"/>
      <c r="AJ16" s="2029"/>
      <c r="AK16" s="2029"/>
    </row>
    <row r="17" spans="1:37" s="1478" customFormat="1" hidden="1" outlineLevel="3">
      <c r="A17" s="1485" t="s">
        <v>206</v>
      </c>
      <c r="B17" s="1485" t="s">
        <v>206</v>
      </c>
      <c r="C17" s="1486" t="s">
        <v>276</v>
      </c>
      <c r="D17" s="1488" t="e">
        <f>Покрытия_ПВХ!#REF!</f>
        <v>#REF!</v>
      </c>
      <c r="E17" s="2042">
        <f>E12</f>
        <v>1627.5</v>
      </c>
      <c r="F17" s="2042">
        <f>F12</f>
        <v>1627.5</v>
      </c>
      <c r="G17" s="2042"/>
      <c r="H17" s="2043" t="e">
        <f t="shared" si="0"/>
        <v>#REF!</v>
      </c>
      <c r="I17" s="2042">
        <f>I12</f>
        <v>892.5</v>
      </c>
      <c r="J17" s="2042"/>
      <c r="K17" s="2042" t="e">
        <f>K12</f>
        <v>#VALUE!</v>
      </c>
      <c r="L17" s="2042"/>
      <c r="M17" s="2042"/>
      <c r="N17" s="2042"/>
      <c r="O17" s="2042">
        <f>O12</f>
        <v>0</v>
      </c>
      <c r="P17" s="2042">
        <f>P12</f>
        <v>3465</v>
      </c>
      <c r="Q17" s="2042"/>
      <c r="R17" s="2042"/>
      <c r="S17" s="2042"/>
      <c r="T17" s="2042"/>
      <c r="U17" s="2042">
        <f>U12</f>
        <v>997.5</v>
      </c>
      <c r="V17" s="2042"/>
      <c r="W17" s="2042"/>
      <c r="X17" s="2042"/>
      <c r="Y17" s="2029"/>
      <c r="Z17" s="2029"/>
      <c r="AA17" s="2029"/>
      <c r="AB17" s="2029"/>
      <c r="AC17" s="2029"/>
      <c r="AD17" s="2029"/>
      <c r="AE17" s="2029"/>
      <c r="AF17" s="2029"/>
      <c r="AG17" s="2029"/>
      <c r="AH17" s="2029"/>
      <c r="AI17" s="2029"/>
      <c r="AJ17" s="2029"/>
      <c r="AK17" s="2029"/>
    </row>
    <row r="18" spans="1:37" s="1478" customFormat="1" hidden="1" outlineLevel="3">
      <c r="A18" s="1485" t="s">
        <v>206</v>
      </c>
      <c r="B18" s="1485" t="s">
        <v>206</v>
      </c>
      <c r="C18" s="1486" t="s">
        <v>276</v>
      </c>
      <c r="D18" s="1488" t="e">
        <f>Покрытия_ПВХ!#REF!</f>
        <v>#REF!</v>
      </c>
      <c r="E18" s="2042">
        <f>E12</f>
        <v>1627.5</v>
      </c>
      <c r="F18" s="2042">
        <f>F12</f>
        <v>1627.5</v>
      </c>
      <c r="G18" s="2042"/>
      <c r="H18" s="2043" t="e">
        <f t="shared" si="0"/>
        <v>#REF!</v>
      </c>
      <c r="I18" s="2042">
        <f>I12</f>
        <v>892.5</v>
      </c>
      <c r="J18" s="2042"/>
      <c r="K18" s="2042" t="e">
        <f>K12</f>
        <v>#VALUE!</v>
      </c>
      <c r="L18" s="2042"/>
      <c r="M18" s="2042"/>
      <c r="N18" s="2042"/>
      <c r="O18" s="2042">
        <f>O12</f>
        <v>0</v>
      </c>
      <c r="P18" s="2042">
        <f>P12</f>
        <v>3465</v>
      </c>
      <c r="Q18" s="2042"/>
      <c r="R18" s="2042"/>
      <c r="S18" s="2042"/>
      <c r="T18" s="2042"/>
      <c r="U18" s="2042">
        <f>U12</f>
        <v>997.5</v>
      </c>
      <c r="V18" s="2042"/>
      <c r="W18" s="2042"/>
      <c r="X18" s="2042"/>
      <c r="Y18" s="2029"/>
      <c r="Z18" s="2029"/>
      <c r="AA18" s="2029"/>
      <c r="AB18" s="2029"/>
      <c r="AC18" s="2029"/>
      <c r="AD18" s="2029"/>
      <c r="AE18" s="2029"/>
      <c r="AF18" s="2029"/>
      <c r="AG18" s="2029"/>
      <c r="AH18" s="2029"/>
      <c r="AI18" s="2029"/>
      <c r="AJ18" s="2029"/>
      <c r="AK18" s="2029"/>
    </row>
    <row r="19" spans="1:37" s="1478" customFormat="1" hidden="1" outlineLevel="3">
      <c r="A19" s="1485" t="s">
        <v>206</v>
      </c>
      <c r="B19" s="1485" t="s">
        <v>206</v>
      </c>
      <c r="C19" s="1486" t="s">
        <v>276</v>
      </c>
      <c r="D19" s="1488" t="e">
        <f>Покрытия_ПВХ!#REF!</f>
        <v>#REF!</v>
      </c>
      <c r="E19" s="2042">
        <f>E12</f>
        <v>1627.5</v>
      </c>
      <c r="F19" s="2042">
        <f>F12</f>
        <v>1627.5</v>
      </c>
      <c r="G19" s="2042"/>
      <c r="H19" s="2043" t="e">
        <f t="shared" si="0"/>
        <v>#REF!</v>
      </c>
      <c r="I19" s="2042">
        <f>I12</f>
        <v>892.5</v>
      </c>
      <c r="J19" s="2042"/>
      <c r="K19" s="2042" t="e">
        <f>K12</f>
        <v>#VALUE!</v>
      </c>
      <c r="L19" s="2042"/>
      <c r="M19" s="2042"/>
      <c r="N19" s="2042"/>
      <c r="O19" s="2042">
        <f>O12</f>
        <v>0</v>
      </c>
      <c r="P19" s="2042">
        <f>P12</f>
        <v>3465</v>
      </c>
      <c r="Q19" s="2042"/>
      <c r="R19" s="2042"/>
      <c r="S19" s="2042"/>
      <c r="T19" s="2042"/>
      <c r="U19" s="2042">
        <f>U12</f>
        <v>997.5</v>
      </c>
      <c r="V19" s="2042"/>
      <c r="W19" s="2042"/>
      <c r="X19" s="2042"/>
      <c r="Y19" s="2029"/>
      <c r="Z19" s="2029"/>
      <c r="AA19" s="2029"/>
      <c r="AB19" s="2029"/>
      <c r="AC19" s="2029"/>
      <c r="AD19" s="2029"/>
      <c r="AE19" s="2029"/>
      <c r="AF19" s="2029"/>
      <c r="AG19" s="2029"/>
      <c r="AH19" s="2029"/>
      <c r="AI19" s="2029"/>
      <c r="AJ19" s="2029"/>
      <c r="AK19" s="2029"/>
    </row>
    <row r="20" spans="1:37" s="1478" customFormat="1" hidden="1" outlineLevel="3">
      <c r="A20" s="1485" t="s">
        <v>206</v>
      </c>
      <c r="B20" s="1485" t="s">
        <v>206</v>
      </c>
      <c r="C20" s="1486" t="s">
        <v>276</v>
      </c>
      <c r="D20" s="1488" t="str">
        <f>Покрытия_ПВХ!E13</f>
        <v>Кедр шоколад</v>
      </c>
      <c r="E20" s="2042">
        <f>E12</f>
        <v>1627.5</v>
      </c>
      <c r="F20" s="2042">
        <f>F12</f>
        <v>1627.5</v>
      </c>
      <c r="G20" s="2042"/>
      <c r="H20" s="2043" t="e">
        <f t="shared" si="0"/>
        <v>#REF!</v>
      </c>
      <c r="I20" s="2042">
        <f>I12</f>
        <v>892.5</v>
      </c>
      <c r="J20" s="2042"/>
      <c r="K20" s="2042" t="e">
        <f>K12</f>
        <v>#VALUE!</v>
      </c>
      <c r="L20" s="2042"/>
      <c r="M20" s="2042"/>
      <c r="N20" s="2042"/>
      <c r="O20" s="2042">
        <f>O12</f>
        <v>0</v>
      </c>
      <c r="P20" s="2042">
        <f>P12</f>
        <v>3465</v>
      </c>
      <c r="Q20" s="2042"/>
      <c r="R20" s="2042"/>
      <c r="S20" s="2042"/>
      <c r="T20" s="2042"/>
      <c r="U20" s="2042">
        <f>U12</f>
        <v>997.5</v>
      </c>
      <c r="V20" s="2042"/>
      <c r="W20" s="2042"/>
      <c r="X20" s="2042"/>
      <c r="Y20" s="2029"/>
      <c r="Z20" s="2029"/>
      <c r="AA20" s="2029"/>
      <c r="AB20" s="2029"/>
      <c r="AC20" s="2029"/>
      <c r="AD20" s="2029"/>
      <c r="AE20" s="2029"/>
      <c r="AF20" s="2029"/>
      <c r="AG20" s="2029"/>
      <c r="AH20" s="2029"/>
      <c r="AI20" s="2029"/>
      <c r="AJ20" s="2029"/>
      <c r="AK20" s="2029"/>
    </row>
    <row r="21" spans="1:37" s="1478" customFormat="1" hidden="1" outlineLevel="3">
      <c r="A21" s="1485" t="s">
        <v>206</v>
      </c>
      <c r="B21" s="1485" t="s">
        <v>206</v>
      </c>
      <c r="C21" s="1486" t="s">
        <v>276</v>
      </c>
      <c r="D21" s="1488" t="str">
        <f>Покрытия_ПВХ!E14</f>
        <v>Миндаль</v>
      </c>
      <c r="E21" s="2042">
        <f>E12</f>
        <v>1627.5</v>
      </c>
      <c r="F21" s="2042">
        <f>F12</f>
        <v>1627.5</v>
      </c>
      <c r="G21" s="2042"/>
      <c r="H21" s="2043" t="e">
        <f t="shared" si="0"/>
        <v>#REF!</v>
      </c>
      <c r="I21" s="2042">
        <f>I12</f>
        <v>892.5</v>
      </c>
      <c r="J21" s="2042"/>
      <c r="K21" s="2042" t="e">
        <f>K12</f>
        <v>#VALUE!</v>
      </c>
      <c r="L21" s="2042"/>
      <c r="M21" s="2042"/>
      <c r="N21" s="2042"/>
      <c r="O21" s="2042">
        <f>O12</f>
        <v>0</v>
      </c>
      <c r="P21" s="2042">
        <f>P12</f>
        <v>3465</v>
      </c>
      <c r="Q21" s="2042"/>
      <c r="R21" s="2042"/>
      <c r="S21" s="2042"/>
      <c r="T21" s="2042"/>
      <c r="U21" s="2042">
        <f>U12</f>
        <v>997.5</v>
      </c>
      <c r="V21" s="2042"/>
      <c r="W21" s="2042"/>
      <c r="X21" s="2042"/>
      <c r="Y21" s="2029"/>
      <c r="Z21" s="2029"/>
      <c r="AA21" s="2029"/>
      <c r="AB21" s="2029"/>
      <c r="AC21" s="2029"/>
      <c r="AD21" s="2029"/>
      <c r="AE21" s="2029"/>
      <c r="AF21" s="2029"/>
      <c r="AG21" s="2029"/>
      <c r="AH21" s="2029"/>
      <c r="AI21" s="2029"/>
      <c r="AJ21" s="2029"/>
      <c r="AK21" s="2029"/>
    </row>
    <row r="22" spans="1:37" s="1478" customFormat="1" hidden="1" outlineLevel="3">
      <c r="A22" s="1485" t="s">
        <v>206</v>
      </c>
      <c r="B22" s="1485" t="s">
        <v>206</v>
      </c>
      <c r="C22" s="1489" t="s">
        <v>278</v>
      </c>
      <c r="D22" s="1488" t="str">
        <f>Покрытия_ПВХ!E15</f>
        <v>Бетон известковый</v>
      </c>
      <c r="E22" s="2042">
        <f>E12</f>
        <v>1627.5</v>
      </c>
      <c r="F22" s="2042">
        <f>F12</f>
        <v>1627.5</v>
      </c>
      <c r="G22" s="2042"/>
      <c r="H22" s="2043" t="e">
        <f t="shared" si="0"/>
        <v>#REF!</v>
      </c>
      <c r="I22" s="2042">
        <f>I12</f>
        <v>892.5</v>
      </c>
      <c r="J22" s="2042"/>
      <c r="K22" s="2042" t="e">
        <f>K12</f>
        <v>#VALUE!</v>
      </c>
      <c r="L22" s="2042"/>
      <c r="M22" s="2042"/>
      <c r="N22" s="2042"/>
      <c r="O22" s="2042">
        <f>O12</f>
        <v>0</v>
      </c>
      <c r="P22" s="2042">
        <f>P12</f>
        <v>3465</v>
      </c>
      <c r="Q22" s="2042"/>
      <c r="R22" s="2042"/>
      <c r="S22" s="2042"/>
      <c r="T22" s="2042"/>
      <c r="U22" s="2042">
        <f>U12</f>
        <v>997.5</v>
      </c>
      <c r="V22" s="2042"/>
      <c r="W22" s="2042"/>
      <c r="X22" s="2042"/>
      <c r="Y22" s="2029"/>
      <c r="Z22" s="2029"/>
      <c r="AA22" s="2029"/>
      <c r="AB22" s="2029"/>
      <c r="AC22" s="2029"/>
      <c r="AD22" s="2029"/>
      <c r="AE22" s="2029"/>
      <c r="AF22" s="2029"/>
      <c r="AG22" s="2029"/>
      <c r="AH22" s="2029"/>
      <c r="AI22" s="2029"/>
      <c r="AJ22" s="2029"/>
      <c r="AK22" s="2029"/>
    </row>
    <row r="23" spans="1:37" s="1478" customFormat="1" hidden="1" outlineLevel="3">
      <c r="A23" s="1485" t="s">
        <v>206</v>
      </c>
      <c r="B23" s="1485" t="s">
        <v>206</v>
      </c>
      <c r="C23" s="1489" t="s">
        <v>278</v>
      </c>
      <c r="D23" s="1488" t="str">
        <f>Покрытия_ПВХ!E16</f>
        <v>Бетон серый</v>
      </c>
      <c r="E23" s="2042">
        <f>E12</f>
        <v>1627.5</v>
      </c>
      <c r="F23" s="2042">
        <f>F12</f>
        <v>1627.5</v>
      </c>
      <c r="G23" s="2042"/>
      <c r="H23" s="2043" t="e">
        <f t="shared" si="0"/>
        <v>#REF!</v>
      </c>
      <c r="I23" s="2042">
        <f>I12</f>
        <v>892.5</v>
      </c>
      <c r="J23" s="2042"/>
      <c r="K23" s="2042" t="e">
        <f>K12</f>
        <v>#VALUE!</v>
      </c>
      <c r="L23" s="2042"/>
      <c r="M23" s="2042"/>
      <c r="N23" s="2042"/>
      <c r="O23" s="2042">
        <f>O12</f>
        <v>0</v>
      </c>
      <c r="P23" s="2042">
        <f>P12</f>
        <v>3465</v>
      </c>
      <c r="Q23" s="2042"/>
      <c r="R23" s="2042"/>
      <c r="S23" s="2042"/>
      <c r="T23" s="2042"/>
      <c r="U23" s="2042">
        <f>U12</f>
        <v>997.5</v>
      </c>
      <c r="V23" s="2042"/>
      <c r="W23" s="2042"/>
      <c r="X23" s="2042"/>
      <c r="Y23" s="2029"/>
      <c r="Z23" s="2029"/>
      <c r="AA23" s="2029"/>
      <c r="AB23" s="2029"/>
      <c r="AC23" s="2029"/>
      <c r="AD23" s="2029"/>
      <c r="AE23" s="2029"/>
      <c r="AF23" s="2029"/>
      <c r="AG23" s="2029"/>
      <c r="AH23" s="2029"/>
      <c r="AI23" s="2029"/>
      <c r="AJ23" s="2029"/>
      <c r="AK23" s="2029"/>
    </row>
    <row r="24" spans="1:37" s="1478" customFormat="1" hidden="1" outlineLevel="3">
      <c r="A24" s="1485" t="s">
        <v>206</v>
      </c>
      <c r="B24" s="1485" t="s">
        <v>206</v>
      </c>
      <c r="C24" s="1489" t="s">
        <v>278</v>
      </c>
      <c r="D24" s="1488" t="str">
        <f>Покрытия_ПВХ!E17</f>
        <v>Бетон антрацит</v>
      </c>
      <c r="E24" s="2042">
        <f>E12</f>
        <v>1627.5</v>
      </c>
      <c r="F24" s="2042">
        <f>F12</f>
        <v>1627.5</v>
      </c>
      <c r="G24" s="2042"/>
      <c r="H24" s="2043" t="e">
        <f t="shared" si="0"/>
        <v>#REF!</v>
      </c>
      <c r="I24" s="2042">
        <f>I12</f>
        <v>892.5</v>
      </c>
      <c r="J24" s="2042"/>
      <c r="K24" s="2042" t="e">
        <f>K12</f>
        <v>#VALUE!</v>
      </c>
      <c r="L24" s="2042"/>
      <c r="M24" s="2042"/>
      <c r="N24" s="2042"/>
      <c r="O24" s="2042">
        <f>O12</f>
        <v>0</v>
      </c>
      <c r="P24" s="2042">
        <f>P12</f>
        <v>3465</v>
      </c>
      <c r="Q24" s="2042"/>
      <c r="R24" s="2042"/>
      <c r="S24" s="2042"/>
      <c r="T24" s="2042"/>
      <c r="U24" s="2042">
        <f>U12</f>
        <v>997.5</v>
      </c>
      <c r="V24" s="2042"/>
      <c r="W24" s="2042"/>
      <c r="X24" s="2042"/>
      <c r="Y24" s="2029"/>
      <c r="Z24" s="2029"/>
      <c r="AA24" s="2029"/>
      <c r="AB24" s="2029"/>
      <c r="AC24" s="2029"/>
      <c r="AD24" s="2029"/>
      <c r="AE24" s="2029"/>
      <c r="AF24" s="2029"/>
      <c r="AG24" s="2029"/>
      <c r="AH24" s="2029"/>
      <c r="AI24" s="2029"/>
      <c r="AJ24" s="2029"/>
      <c r="AK24" s="2029"/>
    </row>
    <row r="25" spans="1:37" s="1478" customFormat="1" hidden="1" outlineLevel="3">
      <c r="A25" s="1485" t="s">
        <v>206</v>
      </c>
      <c r="B25" s="1485" t="s">
        <v>206</v>
      </c>
      <c r="C25" s="1489" t="s">
        <v>278</v>
      </c>
      <c r="D25" s="1488" t="str">
        <f>Покрытия_ПВХ!E18</f>
        <v>Бетон бежевый</v>
      </c>
      <c r="E25" s="2042">
        <f>E12</f>
        <v>1627.5</v>
      </c>
      <c r="F25" s="2042">
        <f>F12</f>
        <v>1627.5</v>
      </c>
      <c r="G25" s="2042"/>
      <c r="H25" s="2043" t="e">
        <f t="shared" si="0"/>
        <v>#REF!</v>
      </c>
      <c r="I25" s="2042">
        <f>I12</f>
        <v>892.5</v>
      </c>
      <c r="J25" s="2042"/>
      <c r="K25" s="2042" t="e">
        <f>K12</f>
        <v>#VALUE!</v>
      </c>
      <c r="L25" s="2042"/>
      <c r="M25" s="2042"/>
      <c r="N25" s="2042"/>
      <c r="O25" s="2042">
        <f>O12</f>
        <v>0</v>
      </c>
      <c r="P25" s="2042">
        <f>P12</f>
        <v>3465</v>
      </c>
      <c r="Q25" s="2042"/>
      <c r="R25" s="2042"/>
      <c r="S25" s="2042"/>
      <c r="T25" s="2042"/>
      <c r="U25" s="2042">
        <f>U12</f>
        <v>997.5</v>
      </c>
      <c r="V25" s="2042"/>
      <c r="W25" s="2042"/>
      <c r="X25" s="2042"/>
      <c r="Y25" s="2029"/>
      <c r="Z25" s="2029"/>
      <c r="AA25" s="2029"/>
      <c r="AB25" s="2029"/>
      <c r="AC25" s="2029"/>
      <c r="AD25" s="2029"/>
      <c r="AE25" s="2029"/>
      <c r="AF25" s="2029"/>
      <c r="AG25" s="2029"/>
      <c r="AH25" s="2029"/>
      <c r="AI25" s="2029"/>
      <c r="AJ25" s="2029"/>
      <c r="AK25" s="2029"/>
    </row>
    <row r="26" spans="1:37" s="1478" customFormat="1" hidden="1" outlineLevel="3">
      <c r="A26" s="1485" t="s">
        <v>206</v>
      </c>
      <c r="B26" s="1485" t="s">
        <v>206</v>
      </c>
      <c r="C26" s="1489" t="s">
        <v>278</v>
      </c>
      <c r="D26" s="1488" t="e">
        <f>Покрытия_ПВХ!#REF!</f>
        <v>#REF!</v>
      </c>
      <c r="E26" s="2042">
        <f>E12</f>
        <v>1627.5</v>
      </c>
      <c r="F26" s="2042">
        <f>F12</f>
        <v>1627.5</v>
      </c>
      <c r="G26" s="2042"/>
      <c r="H26" s="2043" t="e">
        <f t="shared" si="0"/>
        <v>#REF!</v>
      </c>
      <c r="I26" s="2042">
        <f>I12</f>
        <v>892.5</v>
      </c>
      <c r="J26" s="2042"/>
      <c r="K26" s="2042" t="e">
        <f>K12</f>
        <v>#VALUE!</v>
      </c>
      <c r="L26" s="2042"/>
      <c r="M26" s="2042"/>
      <c r="N26" s="2042"/>
      <c r="O26" s="2042">
        <f>O12</f>
        <v>0</v>
      </c>
      <c r="P26" s="2042">
        <f>P12</f>
        <v>3465</v>
      </c>
      <c r="Q26" s="2042"/>
      <c r="R26" s="2042"/>
      <c r="S26" s="2042"/>
      <c r="T26" s="2042"/>
      <c r="U26" s="2042">
        <f>U12</f>
        <v>997.5</v>
      </c>
      <c r="V26" s="2042"/>
      <c r="W26" s="2042"/>
      <c r="X26" s="2042"/>
      <c r="Y26" s="2029"/>
      <c r="Z26" s="2029"/>
      <c r="AA26" s="2029"/>
      <c r="AB26" s="2029"/>
      <c r="AC26" s="2029"/>
      <c r="AD26" s="2029"/>
      <c r="AE26" s="2029"/>
      <c r="AF26" s="2029"/>
      <c r="AG26" s="2029"/>
      <c r="AH26" s="2029"/>
      <c r="AI26" s="2029"/>
      <c r="AJ26" s="2029"/>
      <c r="AK26" s="2029"/>
    </row>
    <row r="27" spans="1:37" s="1482" customFormat="1" hidden="1" outlineLevel="2">
      <c r="A27" s="1485" t="s">
        <v>206</v>
      </c>
      <c r="B27" s="1490" t="s">
        <v>206</v>
      </c>
      <c r="C27" s="1491" t="s">
        <v>276</v>
      </c>
      <c r="D27" s="1492" t="e">
        <f>Покрытия_ПВХ!#REF!</f>
        <v>#REF!</v>
      </c>
      <c r="E27" s="2038">
        <f>E11*1.1</f>
        <v>1705.0000000000002</v>
      </c>
      <c r="F27" s="2038">
        <f>F11*1.1</f>
        <v>1705.0000000000002</v>
      </c>
      <c r="G27" s="2045"/>
      <c r="H27" s="2043" t="e">
        <f t="shared" si="0"/>
        <v>#REF!</v>
      </c>
      <c r="I27" s="2038">
        <f>I11*1.1</f>
        <v>935.00000000000011</v>
      </c>
      <c r="J27" s="2040"/>
      <c r="K27" s="2038" t="e">
        <f>K11*1.1</f>
        <v>#VALUE!</v>
      </c>
      <c r="L27" s="2045"/>
      <c r="M27" s="2045"/>
      <c r="N27" s="2045"/>
      <c r="O27" s="2038">
        <f>O11*1.1</f>
        <v>0</v>
      </c>
      <c r="P27" s="2038">
        <f>P11*1.1</f>
        <v>3630.0000000000005</v>
      </c>
      <c r="Q27" s="2045"/>
      <c r="R27" s="2045"/>
      <c r="S27" s="2045"/>
      <c r="T27" s="2045"/>
      <c r="U27" s="2038">
        <f>U11*1.1</f>
        <v>1045</v>
      </c>
      <c r="V27" s="2045"/>
      <c r="W27" s="2045"/>
      <c r="X27" s="2038"/>
      <c r="Y27" s="2041"/>
      <c r="Z27" s="2041"/>
      <c r="AA27" s="2041"/>
      <c r="AB27" s="2041"/>
      <c r="AC27" s="2041"/>
      <c r="AD27" s="2041"/>
      <c r="AE27" s="2041"/>
      <c r="AF27" s="2041"/>
      <c r="AG27" s="2041"/>
      <c r="AH27" s="2041"/>
      <c r="AI27" s="2041"/>
      <c r="AJ27" s="2041"/>
      <c r="AK27" s="2041"/>
    </row>
    <row r="28" spans="1:37" s="1478" customFormat="1" hidden="1" outlineLevel="3">
      <c r="A28" s="1485" t="s">
        <v>206</v>
      </c>
      <c r="B28" s="1490" t="s">
        <v>206</v>
      </c>
      <c r="C28" s="1489" t="s">
        <v>276</v>
      </c>
      <c r="D28" s="1493" t="str">
        <f>Покрытия_ПВХ!E19</f>
        <v>Дуб сонома трюфель</v>
      </c>
      <c r="E28" s="2042">
        <f>E27</f>
        <v>1705.0000000000002</v>
      </c>
      <c r="F28" s="2042">
        <f>F27</f>
        <v>1705.0000000000002</v>
      </c>
      <c r="G28" s="2042"/>
      <c r="H28" s="2043" t="e">
        <f t="shared" si="0"/>
        <v>#REF!</v>
      </c>
      <c r="I28" s="2042">
        <f>I27</f>
        <v>935.00000000000011</v>
      </c>
      <c r="J28" s="2042"/>
      <c r="K28" s="2042" t="e">
        <f>K27</f>
        <v>#VALUE!</v>
      </c>
      <c r="L28" s="2042"/>
      <c r="M28" s="2042"/>
      <c r="N28" s="2042"/>
      <c r="O28" s="2042">
        <f>O27</f>
        <v>0</v>
      </c>
      <c r="P28" s="2042">
        <f>P27</f>
        <v>3630.0000000000005</v>
      </c>
      <c r="Q28" s="2042"/>
      <c r="R28" s="2042"/>
      <c r="S28" s="2042"/>
      <c r="T28" s="2042"/>
      <c r="U28" s="2042">
        <f>U27</f>
        <v>1045</v>
      </c>
      <c r="V28" s="2042"/>
      <c r="W28" s="2042"/>
      <c r="X28" s="2042"/>
      <c r="Y28" s="2029"/>
      <c r="Z28" s="2029"/>
      <c r="AA28" s="2029"/>
      <c r="AB28" s="2029"/>
      <c r="AC28" s="2029"/>
      <c r="AD28" s="2029"/>
      <c r="AE28" s="2029"/>
      <c r="AF28" s="2029"/>
      <c r="AG28" s="2029"/>
      <c r="AH28" s="2029"/>
      <c r="AI28" s="2029"/>
      <c r="AJ28" s="2029"/>
      <c r="AK28" s="2029"/>
    </row>
    <row r="29" spans="1:37" s="1478" customFormat="1" ht="15.75" hidden="1" outlineLevel="3" thickBot="1">
      <c r="A29" s="1485" t="s">
        <v>206</v>
      </c>
      <c r="B29" s="1494" t="s">
        <v>206</v>
      </c>
      <c r="C29" s="1495" t="s">
        <v>276</v>
      </c>
      <c r="D29" s="1493" t="str">
        <f>Покрытия_ПВХ!E20</f>
        <v>Дуб мелфорд светлый</v>
      </c>
      <c r="E29" s="2042">
        <f>E27</f>
        <v>1705.0000000000002</v>
      </c>
      <c r="F29" s="2042">
        <f>F27</f>
        <v>1705.0000000000002</v>
      </c>
      <c r="G29" s="2042"/>
      <c r="H29" s="2043" t="e">
        <f t="shared" si="0"/>
        <v>#REF!</v>
      </c>
      <c r="I29" s="2042">
        <f>I27</f>
        <v>935.00000000000011</v>
      </c>
      <c r="J29" s="2042"/>
      <c r="K29" s="2042" t="e">
        <f>K27</f>
        <v>#VALUE!</v>
      </c>
      <c r="L29" s="2042"/>
      <c r="M29" s="2042"/>
      <c r="N29" s="2042"/>
      <c r="O29" s="2042">
        <f>O27</f>
        <v>0</v>
      </c>
      <c r="P29" s="2042">
        <f>P27</f>
        <v>3630.0000000000005</v>
      </c>
      <c r="Q29" s="2042"/>
      <c r="R29" s="2042"/>
      <c r="S29" s="2042"/>
      <c r="T29" s="2042"/>
      <c r="U29" s="2042">
        <f>U27</f>
        <v>1045</v>
      </c>
      <c r="V29" s="2042"/>
      <c r="W29" s="2042"/>
      <c r="X29" s="2042"/>
      <c r="Y29" s="2029"/>
      <c r="Z29" s="2029"/>
      <c r="AA29" s="2029"/>
      <c r="AB29" s="2029"/>
      <c r="AC29" s="2029"/>
      <c r="AD29" s="2029"/>
      <c r="AE29" s="2029"/>
      <c r="AF29" s="2029"/>
      <c r="AG29" s="2029"/>
      <c r="AH29" s="2029"/>
      <c r="AI29" s="2029"/>
      <c r="AJ29" s="2029"/>
      <c r="AK29" s="2029"/>
    </row>
    <row r="30" spans="1:37" s="1478" customFormat="1" hidden="1" outlineLevel="3">
      <c r="A30" s="1485" t="s">
        <v>206</v>
      </c>
      <c r="B30" s="1490" t="s">
        <v>206</v>
      </c>
      <c r="C30" s="1489" t="s">
        <v>276</v>
      </c>
      <c r="D30" s="1493" t="str">
        <f>Покрытия_ПВХ!E21</f>
        <v>Дуб мелфорд натур</v>
      </c>
      <c r="E30" s="2042">
        <f>E27</f>
        <v>1705.0000000000002</v>
      </c>
      <c r="F30" s="2042">
        <f>F27</f>
        <v>1705.0000000000002</v>
      </c>
      <c r="G30" s="2042"/>
      <c r="H30" s="2043" t="e">
        <f t="shared" si="0"/>
        <v>#REF!</v>
      </c>
      <c r="I30" s="2042">
        <f>I27</f>
        <v>935.00000000000011</v>
      </c>
      <c r="J30" s="2042"/>
      <c r="K30" s="2042" t="e">
        <f>K27</f>
        <v>#VALUE!</v>
      </c>
      <c r="L30" s="2042"/>
      <c r="M30" s="2042"/>
      <c r="N30" s="2042"/>
      <c r="O30" s="2042">
        <f>O27</f>
        <v>0</v>
      </c>
      <c r="P30" s="2042">
        <f>P27</f>
        <v>3630.0000000000005</v>
      </c>
      <c r="Q30" s="2042"/>
      <c r="R30" s="2042"/>
      <c r="S30" s="2042"/>
      <c r="T30" s="2042"/>
      <c r="U30" s="2042">
        <f>U27</f>
        <v>1045</v>
      </c>
      <c r="V30" s="2042"/>
      <c r="W30" s="2042"/>
      <c r="X30" s="2042"/>
      <c r="Y30" s="2029"/>
      <c r="Z30" s="2029"/>
      <c r="AA30" s="2029"/>
      <c r="AB30" s="2029"/>
      <c r="AC30" s="2029"/>
      <c r="AD30" s="2029"/>
      <c r="AE30" s="2029"/>
      <c r="AF30" s="2029"/>
      <c r="AG30" s="2029"/>
      <c r="AH30" s="2029"/>
      <c r="AI30" s="2029"/>
      <c r="AJ30" s="2029"/>
      <c r="AK30" s="2029"/>
    </row>
    <row r="31" spans="1:37" s="1478" customFormat="1" hidden="1" outlineLevel="3">
      <c r="A31" s="1485" t="s">
        <v>206</v>
      </c>
      <c r="B31" s="1490" t="s">
        <v>206</v>
      </c>
      <c r="C31" s="1489" t="s">
        <v>276</v>
      </c>
      <c r="D31" s="1493" t="e">
        <f>Покрытия_ПВХ!#REF!</f>
        <v>#REF!</v>
      </c>
      <c r="E31" s="2042">
        <f>E27</f>
        <v>1705.0000000000002</v>
      </c>
      <c r="F31" s="2042">
        <f>F27</f>
        <v>1705.0000000000002</v>
      </c>
      <c r="G31" s="2042"/>
      <c r="H31" s="2043" t="e">
        <f t="shared" si="0"/>
        <v>#REF!</v>
      </c>
      <c r="I31" s="2042">
        <f>I27</f>
        <v>935.00000000000011</v>
      </c>
      <c r="J31" s="2042"/>
      <c r="K31" s="2042" t="e">
        <f>K27</f>
        <v>#VALUE!</v>
      </c>
      <c r="L31" s="2042"/>
      <c r="M31" s="2042"/>
      <c r="N31" s="2042"/>
      <c r="O31" s="2042">
        <f>O27</f>
        <v>0</v>
      </c>
      <c r="P31" s="2042">
        <f>P27</f>
        <v>3630.0000000000005</v>
      </c>
      <c r="Q31" s="2042"/>
      <c r="R31" s="2042"/>
      <c r="S31" s="2042"/>
      <c r="T31" s="2042"/>
      <c r="U31" s="2042">
        <f>U27</f>
        <v>1045</v>
      </c>
      <c r="V31" s="2042"/>
      <c r="W31" s="2042"/>
      <c r="X31" s="2042"/>
      <c r="Y31" s="2029"/>
      <c r="Z31" s="2029"/>
      <c r="AA31" s="2029"/>
      <c r="AB31" s="2029"/>
      <c r="AC31" s="2029"/>
      <c r="AD31" s="2029"/>
      <c r="AE31" s="2029"/>
      <c r="AF31" s="2029"/>
      <c r="AG31" s="2029"/>
      <c r="AH31" s="2029"/>
      <c r="AI31" s="2029"/>
      <c r="AJ31" s="2029"/>
      <c r="AK31" s="2029"/>
    </row>
    <row r="32" spans="1:37" s="1478" customFormat="1" hidden="1" outlineLevel="3">
      <c r="A32" s="1485" t="s">
        <v>206</v>
      </c>
      <c r="B32" s="1490" t="s">
        <v>206</v>
      </c>
      <c r="C32" s="1489" t="s">
        <v>276</v>
      </c>
      <c r="D32" s="1493" t="e">
        <f>Покрытия_ПВХ!#REF!</f>
        <v>#REF!</v>
      </c>
      <c r="E32" s="2042">
        <f>E27</f>
        <v>1705.0000000000002</v>
      </c>
      <c r="F32" s="2042">
        <f>F27</f>
        <v>1705.0000000000002</v>
      </c>
      <c r="G32" s="2042"/>
      <c r="H32" s="2043" t="e">
        <f t="shared" si="0"/>
        <v>#REF!</v>
      </c>
      <c r="I32" s="2042">
        <f>I27</f>
        <v>935.00000000000011</v>
      </c>
      <c r="J32" s="2042"/>
      <c r="K32" s="2042" t="e">
        <f>K27</f>
        <v>#VALUE!</v>
      </c>
      <c r="L32" s="2042"/>
      <c r="M32" s="2042"/>
      <c r="N32" s="2042"/>
      <c r="O32" s="2042">
        <f>O27</f>
        <v>0</v>
      </c>
      <c r="P32" s="2042">
        <f>P27</f>
        <v>3630.0000000000005</v>
      </c>
      <c r="Q32" s="2042"/>
      <c r="R32" s="2042"/>
      <c r="S32" s="2042"/>
      <c r="T32" s="2042"/>
      <c r="U32" s="2042">
        <f>U27</f>
        <v>1045</v>
      </c>
      <c r="V32" s="2042"/>
      <c r="W32" s="2042"/>
      <c r="X32" s="2042"/>
      <c r="Y32" s="2029"/>
      <c r="Z32" s="2029"/>
      <c r="AA32" s="2029"/>
      <c r="AB32" s="2029"/>
      <c r="AC32" s="2029"/>
      <c r="AD32" s="2029"/>
      <c r="AE32" s="2029"/>
      <c r="AF32" s="2029"/>
      <c r="AG32" s="2029"/>
      <c r="AH32" s="2029"/>
      <c r="AI32" s="2029"/>
      <c r="AJ32" s="2029"/>
      <c r="AK32" s="2029"/>
    </row>
    <row r="33" spans="1:37" s="1478" customFormat="1" hidden="1" outlineLevel="3">
      <c r="A33" s="1485" t="s">
        <v>206</v>
      </c>
      <c r="B33" s="1490" t="s">
        <v>206</v>
      </c>
      <c r="C33" s="1489" t="s">
        <v>276</v>
      </c>
      <c r="D33" s="1493" t="e">
        <f>Покрытия_ПВХ!#REF!</f>
        <v>#REF!</v>
      </c>
      <c r="E33" s="2042">
        <f>E27</f>
        <v>1705.0000000000002</v>
      </c>
      <c r="F33" s="2042">
        <f>F27</f>
        <v>1705.0000000000002</v>
      </c>
      <c r="G33" s="2042"/>
      <c r="H33" s="2043" t="e">
        <f t="shared" si="0"/>
        <v>#REF!</v>
      </c>
      <c r="I33" s="2042">
        <f>I27</f>
        <v>935.00000000000011</v>
      </c>
      <c r="J33" s="2042"/>
      <c r="K33" s="2042" t="e">
        <f>K27</f>
        <v>#VALUE!</v>
      </c>
      <c r="L33" s="2042"/>
      <c r="M33" s="2042"/>
      <c r="N33" s="2042"/>
      <c r="O33" s="2042">
        <f>O27</f>
        <v>0</v>
      </c>
      <c r="P33" s="2042">
        <f>P27</f>
        <v>3630.0000000000005</v>
      </c>
      <c r="Q33" s="2042"/>
      <c r="R33" s="2042"/>
      <c r="S33" s="2042"/>
      <c r="T33" s="2042"/>
      <c r="U33" s="2042">
        <f>U27</f>
        <v>1045</v>
      </c>
      <c r="V33" s="2042"/>
      <c r="W33" s="2042"/>
      <c r="X33" s="2042"/>
      <c r="Y33" s="2029"/>
      <c r="Z33" s="2029"/>
      <c r="AA33" s="2029"/>
      <c r="AB33" s="2029"/>
      <c r="AC33" s="2029"/>
      <c r="AD33" s="2029"/>
      <c r="AE33" s="2029"/>
      <c r="AF33" s="2029"/>
      <c r="AG33" s="2029"/>
      <c r="AH33" s="2029"/>
      <c r="AI33" s="2029"/>
      <c r="AJ33" s="2029"/>
      <c r="AK33" s="2029"/>
    </row>
    <row r="34" spans="1:37" s="1478" customFormat="1" hidden="1" outlineLevel="3">
      <c r="A34" s="1485" t="s">
        <v>206</v>
      </c>
      <c r="B34" s="1490" t="s">
        <v>206</v>
      </c>
      <c r="C34" s="1489" t="s">
        <v>276</v>
      </c>
      <c r="D34" s="1493" t="str">
        <f>Покрытия_ПВХ!E22</f>
        <v>Дуб бомонд грей</v>
      </c>
      <c r="E34" s="2042">
        <f>E27</f>
        <v>1705.0000000000002</v>
      </c>
      <c r="F34" s="2042">
        <f>F27</f>
        <v>1705.0000000000002</v>
      </c>
      <c r="G34" s="2042"/>
      <c r="H34" s="2043" t="e">
        <f t="shared" si="0"/>
        <v>#REF!</v>
      </c>
      <c r="I34" s="2042">
        <f>I27</f>
        <v>935.00000000000011</v>
      </c>
      <c r="J34" s="2042"/>
      <c r="K34" s="2042" t="e">
        <f>K27</f>
        <v>#VALUE!</v>
      </c>
      <c r="L34" s="2042"/>
      <c r="M34" s="2042"/>
      <c r="N34" s="2042"/>
      <c r="O34" s="2042">
        <f>O27</f>
        <v>0</v>
      </c>
      <c r="P34" s="2042">
        <f>P27</f>
        <v>3630.0000000000005</v>
      </c>
      <c r="Q34" s="2042"/>
      <c r="R34" s="2042"/>
      <c r="S34" s="2042"/>
      <c r="T34" s="2042"/>
      <c r="U34" s="2042">
        <f>U27</f>
        <v>1045</v>
      </c>
      <c r="V34" s="2042"/>
      <c r="W34" s="2042"/>
      <c r="X34" s="2042"/>
      <c r="Y34" s="2029"/>
      <c r="Z34" s="2029"/>
      <c r="AA34" s="2029"/>
      <c r="AB34" s="2029"/>
      <c r="AC34" s="2029"/>
      <c r="AD34" s="2029"/>
      <c r="AE34" s="2029"/>
      <c r="AF34" s="2029"/>
      <c r="AG34" s="2029"/>
      <c r="AH34" s="2029"/>
      <c r="AI34" s="2029"/>
      <c r="AJ34" s="2029"/>
      <c r="AK34" s="2029"/>
    </row>
    <row r="35" spans="1:37" s="1478" customFormat="1" hidden="1" outlineLevel="3">
      <c r="A35" s="1485" t="s">
        <v>206</v>
      </c>
      <c r="B35" s="1490" t="s">
        <v>206</v>
      </c>
      <c r="C35" s="1489" t="s">
        <v>276</v>
      </c>
      <c r="D35" s="1493" t="str">
        <f>Покрытия_ПВХ!E23</f>
        <v>Дуб бомонт натур</v>
      </c>
      <c r="E35" s="2042">
        <f>E27</f>
        <v>1705.0000000000002</v>
      </c>
      <c r="F35" s="2042">
        <f>F27</f>
        <v>1705.0000000000002</v>
      </c>
      <c r="G35" s="2042"/>
      <c r="H35" s="2043" t="e">
        <f t="shared" si="0"/>
        <v>#REF!</v>
      </c>
      <c r="I35" s="2042">
        <f>I27</f>
        <v>935.00000000000011</v>
      </c>
      <c r="J35" s="2042"/>
      <c r="K35" s="2042" t="e">
        <f>K27</f>
        <v>#VALUE!</v>
      </c>
      <c r="L35" s="2042"/>
      <c r="M35" s="2042"/>
      <c r="N35" s="2042"/>
      <c r="O35" s="2042">
        <f>O27</f>
        <v>0</v>
      </c>
      <c r="P35" s="2042">
        <f>P27</f>
        <v>3630.0000000000005</v>
      </c>
      <c r="Q35" s="2042"/>
      <c r="R35" s="2042"/>
      <c r="S35" s="2042"/>
      <c r="T35" s="2042"/>
      <c r="U35" s="2042">
        <f>U27</f>
        <v>1045</v>
      </c>
      <c r="V35" s="2042"/>
      <c r="W35" s="2042"/>
      <c r="X35" s="2042"/>
      <c r="Y35" s="2029"/>
      <c r="Z35" s="2029"/>
      <c r="AA35" s="2029"/>
      <c r="AB35" s="2029"/>
      <c r="AC35" s="2029"/>
      <c r="AD35" s="2029"/>
      <c r="AE35" s="2029"/>
      <c r="AF35" s="2029"/>
      <c r="AG35" s="2029"/>
      <c r="AH35" s="2029"/>
      <c r="AI35" s="2029"/>
      <c r="AJ35" s="2029"/>
      <c r="AK35" s="2029"/>
    </row>
    <row r="36" spans="1:37" s="1478" customFormat="1" hidden="1" outlineLevel="3">
      <c r="A36" s="1485" t="s">
        <v>206</v>
      </c>
      <c r="B36" s="1490" t="s">
        <v>206</v>
      </c>
      <c r="C36" s="1489" t="s">
        <v>276</v>
      </c>
      <c r="D36" s="1493" t="str">
        <f>Покрытия_ПВХ!E24</f>
        <v>Дуб бомонт лофт</v>
      </c>
      <c r="E36" s="2042">
        <f>E27</f>
        <v>1705.0000000000002</v>
      </c>
      <c r="F36" s="2042">
        <f>F27</f>
        <v>1705.0000000000002</v>
      </c>
      <c r="G36" s="2042"/>
      <c r="H36" s="2043" t="e">
        <f t="shared" si="0"/>
        <v>#REF!</v>
      </c>
      <c r="I36" s="2042">
        <f>I27</f>
        <v>935.00000000000011</v>
      </c>
      <c r="J36" s="2042"/>
      <c r="K36" s="2042" t="e">
        <f>K27</f>
        <v>#VALUE!</v>
      </c>
      <c r="L36" s="2042"/>
      <c r="M36" s="2042"/>
      <c r="N36" s="2042"/>
      <c r="O36" s="2042">
        <f>O27</f>
        <v>0</v>
      </c>
      <c r="P36" s="2042">
        <f>P27</f>
        <v>3630.0000000000005</v>
      </c>
      <c r="Q36" s="2042"/>
      <c r="R36" s="2042"/>
      <c r="S36" s="2042"/>
      <c r="T36" s="2042"/>
      <c r="U36" s="2042">
        <f>U27</f>
        <v>1045</v>
      </c>
      <c r="V36" s="2042"/>
      <c r="W36" s="2042"/>
      <c r="X36" s="2042"/>
      <c r="Y36" s="2029"/>
      <c r="Z36" s="2029"/>
      <c r="AA36" s="2029"/>
      <c r="AB36" s="2029"/>
      <c r="AC36" s="2029"/>
      <c r="AD36" s="2029"/>
      <c r="AE36" s="2029"/>
      <c r="AF36" s="2029"/>
      <c r="AG36" s="2029"/>
      <c r="AH36" s="2029"/>
      <c r="AI36" s="2029"/>
      <c r="AJ36" s="2029"/>
      <c r="AK36" s="2029"/>
    </row>
    <row r="37" spans="1:37" s="1478" customFormat="1" hidden="1" outlineLevel="3">
      <c r="A37" s="1485" t="s">
        <v>206</v>
      </c>
      <c r="B37" s="1490" t="s">
        <v>206</v>
      </c>
      <c r="C37" s="1489" t="s">
        <v>274</v>
      </c>
      <c r="D37" s="1493" t="e">
        <f>Покрытия_ПВХ!#REF!</f>
        <v>#REF!</v>
      </c>
      <c r="E37" s="2042">
        <f>E27</f>
        <v>1705.0000000000002</v>
      </c>
      <c r="F37" s="2042">
        <f>F27</f>
        <v>1705.0000000000002</v>
      </c>
      <c r="G37" s="2042"/>
      <c r="H37" s="2043" t="e">
        <f t="shared" si="0"/>
        <v>#REF!</v>
      </c>
      <c r="I37" s="2042">
        <f>I27</f>
        <v>935.00000000000011</v>
      </c>
      <c r="J37" s="2042"/>
      <c r="K37" s="2042" t="e">
        <f>K27</f>
        <v>#VALUE!</v>
      </c>
      <c r="L37" s="2042"/>
      <c r="M37" s="2042"/>
      <c r="N37" s="2042"/>
      <c r="O37" s="2042">
        <f>O27</f>
        <v>0</v>
      </c>
      <c r="P37" s="2042">
        <f>P27</f>
        <v>3630.0000000000005</v>
      </c>
      <c r="Q37" s="2042"/>
      <c r="R37" s="2042"/>
      <c r="S37" s="2042"/>
      <c r="T37" s="2042"/>
      <c r="U37" s="2042">
        <f>U27</f>
        <v>1045</v>
      </c>
      <c r="V37" s="2042"/>
      <c r="W37" s="2042"/>
      <c r="X37" s="2042"/>
      <c r="Y37" s="2029"/>
      <c r="Z37" s="2029"/>
      <c r="AA37" s="2029"/>
      <c r="AB37" s="2029"/>
      <c r="AC37" s="2029"/>
      <c r="AD37" s="2029"/>
      <c r="AE37" s="2029"/>
      <c r="AF37" s="2029"/>
      <c r="AG37" s="2029"/>
      <c r="AH37" s="2029"/>
      <c r="AI37" s="2029"/>
      <c r="AJ37" s="2029"/>
      <c r="AK37" s="2029"/>
    </row>
    <row r="38" spans="1:37" s="1478" customFormat="1" hidden="1" outlineLevel="3">
      <c r="A38" s="1485" t="s">
        <v>206</v>
      </c>
      <c r="B38" s="1490" t="s">
        <v>206</v>
      </c>
      <c r="C38" s="1489" t="s">
        <v>274</v>
      </c>
      <c r="D38" s="1493" t="e">
        <f>Покрытия_ПВХ!#REF!</f>
        <v>#REF!</v>
      </c>
      <c r="E38" s="2042">
        <f>E27</f>
        <v>1705.0000000000002</v>
      </c>
      <c r="F38" s="2042">
        <f>F27</f>
        <v>1705.0000000000002</v>
      </c>
      <c r="G38" s="2042"/>
      <c r="H38" s="2043" t="e">
        <f t="shared" si="0"/>
        <v>#REF!</v>
      </c>
      <c r="I38" s="2042">
        <f>I27</f>
        <v>935.00000000000011</v>
      </c>
      <c r="J38" s="2042"/>
      <c r="K38" s="2042" t="e">
        <f>K27</f>
        <v>#VALUE!</v>
      </c>
      <c r="L38" s="2042"/>
      <c r="M38" s="2042"/>
      <c r="N38" s="2042"/>
      <c r="O38" s="2042">
        <f>O27</f>
        <v>0</v>
      </c>
      <c r="P38" s="2042">
        <f>P27</f>
        <v>3630.0000000000005</v>
      </c>
      <c r="Q38" s="2042"/>
      <c r="R38" s="2042"/>
      <c r="S38" s="2042"/>
      <c r="T38" s="2042"/>
      <c r="U38" s="2042">
        <f>U27</f>
        <v>1045</v>
      </c>
      <c r="V38" s="2042"/>
      <c r="W38" s="2042"/>
      <c r="X38" s="2042"/>
      <c r="Y38" s="2029"/>
      <c r="Z38" s="2029"/>
      <c r="AA38" s="2029"/>
      <c r="AB38" s="2029"/>
      <c r="AC38" s="2029"/>
      <c r="AD38" s="2029"/>
      <c r="AE38" s="2029"/>
      <c r="AF38" s="2029"/>
      <c r="AG38" s="2029"/>
      <c r="AH38" s="2029"/>
      <c r="AI38" s="2029"/>
      <c r="AJ38" s="2029"/>
      <c r="AK38" s="2029"/>
    </row>
    <row r="39" spans="1:37" s="1478" customFormat="1" hidden="1" outlineLevel="3">
      <c r="A39" s="1485" t="s">
        <v>206</v>
      </c>
      <c r="B39" s="1490" t="s">
        <v>206</v>
      </c>
      <c r="C39" s="1489" t="s">
        <v>274</v>
      </c>
      <c r="D39" s="1493" t="e">
        <f>Покрытия_ПВХ!#REF!</f>
        <v>#REF!</v>
      </c>
      <c r="E39" s="2042">
        <f>E27</f>
        <v>1705.0000000000002</v>
      </c>
      <c r="F39" s="2042">
        <f>F27</f>
        <v>1705.0000000000002</v>
      </c>
      <c r="G39" s="2042"/>
      <c r="H39" s="2043" t="e">
        <f t="shared" si="0"/>
        <v>#REF!</v>
      </c>
      <c r="I39" s="2042">
        <f>I27</f>
        <v>935.00000000000011</v>
      </c>
      <c r="J39" s="2042"/>
      <c r="K39" s="2042" t="e">
        <f>K27</f>
        <v>#VALUE!</v>
      </c>
      <c r="L39" s="2042"/>
      <c r="M39" s="2042"/>
      <c r="N39" s="2042"/>
      <c r="O39" s="2042">
        <f>O27</f>
        <v>0</v>
      </c>
      <c r="P39" s="2042">
        <f>P27</f>
        <v>3630.0000000000005</v>
      </c>
      <c r="Q39" s="2042"/>
      <c r="R39" s="2042"/>
      <c r="S39" s="2042"/>
      <c r="T39" s="2042"/>
      <c r="U39" s="2042">
        <f>U27</f>
        <v>1045</v>
      </c>
      <c r="V39" s="2042"/>
      <c r="W39" s="2042"/>
      <c r="X39" s="2042"/>
      <c r="Y39" s="2029"/>
      <c r="Z39" s="2029"/>
      <c r="AA39" s="2029"/>
      <c r="AB39" s="2029"/>
      <c r="AC39" s="2029"/>
      <c r="AD39" s="2029"/>
      <c r="AE39" s="2029"/>
      <c r="AF39" s="2029"/>
      <c r="AG39" s="2029"/>
      <c r="AH39" s="2029"/>
      <c r="AI39" s="2029"/>
      <c r="AJ39" s="2029"/>
      <c r="AK39" s="2029"/>
    </row>
    <row r="40" spans="1:37" s="1478" customFormat="1" hidden="1" outlineLevel="3">
      <c r="A40" s="1485" t="s">
        <v>206</v>
      </c>
      <c r="B40" s="1490" t="s">
        <v>206</v>
      </c>
      <c r="C40" s="1489" t="s">
        <v>281</v>
      </c>
      <c r="D40" s="1493" t="str">
        <f>Покрытия_ПВХ!E28</f>
        <v>Дуб кантри горизонт</v>
      </c>
      <c r="E40" s="2042">
        <f>E27</f>
        <v>1705.0000000000002</v>
      </c>
      <c r="F40" s="2042">
        <f>F27</f>
        <v>1705.0000000000002</v>
      </c>
      <c r="G40" s="2042"/>
      <c r="H40" s="2043" t="e">
        <f t="shared" si="0"/>
        <v>#REF!</v>
      </c>
      <c r="I40" s="2042">
        <f>I27</f>
        <v>935.00000000000011</v>
      </c>
      <c r="J40" s="2042"/>
      <c r="K40" s="2042" t="e">
        <f>K27</f>
        <v>#VALUE!</v>
      </c>
      <c r="L40" s="2042"/>
      <c r="M40" s="2042"/>
      <c r="N40" s="2042"/>
      <c r="O40" s="2042">
        <f>O27</f>
        <v>0</v>
      </c>
      <c r="P40" s="2042">
        <f>P27</f>
        <v>3630.0000000000005</v>
      </c>
      <c r="Q40" s="2042"/>
      <c r="R40" s="2042"/>
      <c r="S40" s="2042"/>
      <c r="T40" s="2042"/>
      <c r="U40" s="2042">
        <f>U27</f>
        <v>1045</v>
      </c>
      <c r="V40" s="2042"/>
      <c r="W40" s="2042"/>
      <c r="X40" s="2042"/>
      <c r="Y40" s="2029"/>
      <c r="Z40" s="2029"/>
      <c r="AA40" s="2029"/>
      <c r="AB40" s="2029"/>
      <c r="AC40" s="2029"/>
      <c r="AD40" s="2029"/>
      <c r="AE40" s="2029"/>
      <c r="AF40" s="2029"/>
      <c r="AG40" s="2029"/>
      <c r="AH40" s="2029"/>
      <c r="AI40" s="2029"/>
      <c r="AJ40" s="2029"/>
      <c r="AK40" s="2029"/>
    </row>
    <row r="41" spans="1:37" s="1478" customFormat="1" hidden="1" outlineLevel="3">
      <c r="A41" s="1485" t="s">
        <v>206</v>
      </c>
      <c r="B41" s="1490" t="s">
        <v>206</v>
      </c>
      <c r="C41" s="1489" t="s">
        <v>281</v>
      </c>
      <c r="D41" s="1493" t="str">
        <f>Покрытия_ПВХ!E29</f>
        <v>Снежное дерево</v>
      </c>
      <c r="E41" s="2042">
        <f>E27</f>
        <v>1705.0000000000002</v>
      </c>
      <c r="F41" s="2042">
        <f>F27</f>
        <v>1705.0000000000002</v>
      </c>
      <c r="G41" s="2042"/>
      <c r="H41" s="2043" t="e">
        <f t="shared" si="0"/>
        <v>#REF!</v>
      </c>
      <c r="I41" s="2042">
        <f>I27</f>
        <v>935.00000000000011</v>
      </c>
      <c r="J41" s="2042"/>
      <c r="K41" s="2042" t="e">
        <f>K27</f>
        <v>#VALUE!</v>
      </c>
      <c r="L41" s="2042"/>
      <c r="M41" s="2042"/>
      <c r="N41" s="2042"/>
      <c r="O41" s="2042">
        <f>O27</f>
        <v>0</v>
      </c>
      <c r="P41" s="2042">
        <f>P27</f>
        <v>3630.0000000000005</v>
      </c>
      <c r="Q41" s="2042"/>
      <c r="R41" s="2042"/>
      <c r="S41" s="2042"/>
      <c r="T41" s="2042"/>
      <c r="U41" s="2042">
        <f>U27</f>
        <v>1045</v>
      </c>
      <c r="V41" s="2042"/>
      <c r="W41" s="2042"/>
      <c r="X41" s="2042"/>
      <c r="Y41" s="2029"/>
      <c r="Z41" s="2029"/>
      <c r="AA41" s="2029"/>
      <c r="AB41" s="2029"/>
      <c r="AC41" s="2029"/>
      <c r="AD41" s="2029"/>
      <c r="AE41" s="2029"/>
      <c r="AF41" s="2029"/>
      <c r="AG41" s="2029"/>
      <c r="AH41" s="2029"/>
      <c r="AI41" s="2029"/>
      <c r="AJ41" s="2029"/>
      <c r="AK41" s="2029"/>
    </row>
    <row r="42" spans="1:37" s="1478" customFormat="1" hidden="1" outlineLevel="3">
      <c r="A42" s="1485" t="s">
        <v>206</v>
      </c>
      <c r="B42" s="1490" t="s">
        <v>206</v>
      </c>
      <c r="C42" s="1489" t="s">
        <v>281</v>
      </c>
      <c r="D42" s="1493" t="str">
        <f>Покрытия_ПВХ!E30</f>
        <v>Песочное дерево</v>
      </c>
      <c r="E42" s="2042">
        <f>E27</f>
        <v>1705.0000000000002</v>
      </c>
      <c r="F42" s="2042">
        <f>F27</f>
        <v>1705.0000000000002</v>
      </c>
      <c r="G42" s="2042"/>
      <c r="H42" s="2043" t="e">
        <f t="shared" si="0"/>
        <v>#REF!</v>
      </c>
      <c r="I42" s="2042">
        <f>I27</f>
        <v>935.00000000000011</v>
      </c>
      <c r="J42" s="2042"/>
      <c r="K42" s="2042" t="e">
        <f>K27</f>
        <v>#VALUE!</v>
      </c>
      <c r="L42" s="2042"/>
      <c r="M42" s="2042"/>
      <c r="N42" s="2042"/>
      <c r="O42" s="2042">
        <f>O27</f>
        <v>0</v>
      </c>
      <c r="P42" s="2042">
        <f>P27</f>
        <v>3630.0000000000005</v>
      </c>
      <c r="Q42" s="2042"/>
      <c r="R42" s="2042"/>
      <c r="S42" s="2042"/>
      <c r="T42" s="2042"/>
      <c r="U42" s="2042">
        <f>U27</f>
        <v>1045</v>
      </c>
      <c r="V42" s="2042"/>
      <c r="W42" s="2042"/>
      <c r="X42" s="2042"/>
      <c r="Y42" s="2029"/>
      <c r="Z42" s="2029"/>
      <c r="AA42" s="2029"/>
      <c r="AB42" s="2029"/>
      <c r="AC42" s="2029"/>
      <c r="AD42" s="2029"/>
      <c r="AE42" s="2029"/>
      <c r="AF42" s="2029"/>
      <c r="AG42" s="2029"/>
      <c r="AH42" s="2029"/>
      <c r="AI42" s="2029"/>
      <c r="AJ42" s="2029"/>
      <c r="AK42" s="2029"/>
    </row>
    <row r="43" spans="1:37" s="1478" customFormat="1" hidden="1" outlineLevel="3">
      <c r="A43" s="1485" t="s">
        <v>206</v>
      </c>
      <c r="B43" s="1490" t="s">
        <v>206</v>
      </c>
      <c r="C43" s="1489" t="s">
        <v>281</v>
      </c>
      <c r="D43" s="1493" t="str">
        <f>Покрытия_ПВХ!E31</f>
        <v>Дымчатое дерево</v>
      </c>
      <c r="E43" s="2042">
        <f>E27</f>
        <v>1705.0000000000002</v>
      </c>
      <c r="F43" s="2042">
        <f>F27</f>
        <v>1705.0000000000002</v>
      </c>
      <c r="G43" s="2042"/>
      <c r="H43" s="2043" t="e">
        <f t="shared" si="0"/>
        <v>#REF!</v>
      </c>
      <c r="I43" s="2042">
        <f>I27</f>
        <v>935.00000000000011</v>
      </c>
      <c r="J43" s="2042"/>
      <c r="K43" s="2042" t="e">
        <f>K27</f>
        <v>#VALUE!</v>
      </c>
      <c r="L43" s="2042"/>
      <c r="M43" s="2042"/>
      <c r="N43" s="2042"/>
      <c r="O43" s="2042">
        <f>O27</f>
        <v>0</v>
      </c>
      <c r="P43" s="2042">
        <f>P27</f>
        <v>3630.0000000000005</v>
      </c>
      <c r="Q43" s="2042"/>
      <c r="R43" s="2042"/>
      <c r="S43" s="2042"/>
      <c r="T43" s="2042"/>
      <c r="U43" s="2042">
        <f>U27</f>
        <v>1045</v>
      </c>
      <c r="V43" s="2042"/>
      <c r="W43" s="2042"/>
      <c r="X43" s="2042"/>
      <c r="Y43" s="2029"/>
      <c r="Z43" s="2029"/>
      <c r="AA43" s="2029"/>
      <c r="AB43" s="2029"/>
      <c r="AC43" s="2029"/>
      <c r="AD43" s="2029"/>
      <c r="AE43" s="2029"/>
      <c r="AF43" s="2029"/>
      <c r="AG43" s="2029"/>
      <c r="AH43" s="2029"/>
      <c r="AI43" s="2029"/>
      <c r="AJ43" s="2029"/>
      <c r="AK43" s="2029"/>
    </row>
    <row r="44" spans="1:37" s="1478" customFormat="1" hidden="1" outlineLevel="3">
      <c r="A44" s="1485" t="s">
        <v>206</v>
      </c>
      <c r="B44" s="1490" t="s">
        <v>206</v>
      </c>
      <c r="C44" s="1489" t="s">
        <v>281</v>
      </c>
      <c r="D44" s="1493" t="str">
        <f>Покрытия_ПВХ!E32</f>
        <v>Белая структурная</v>
      </c>
      <c r="E44" s="2042">
        <f>E27</f>
        <v>1705.0000000000002</v>
      </c>
      <c r="F44" s="2042">
        <f>F27</f>
        <v>1705.0000000000002</v>
      </c>
      <c r="G44" s="2042"/>
      <c r="H44" s="2043" t="e">
        <f t="shared" si="0"/>
        <v>#REF!</v>
      </c>
      <c r="I44" s="2042">
        <f>I27</f>
        <v>935.00000000000011</v>
      </c>
      <c r="J44" s="2042"/>
      <c r="K44" s="2042" t="e">
        <f>K27</f>
        <v>#VALUE!</v>
      </c>
      <c r="L44" s="2042"/>
      <c r="M44" s="2042"/>
      <c r="N44" s="2042"/>
      <c r="O44" s="2042">
        <f>O27</f>
        <v>0</v>
      </c>
      <c r="P44" s="2042">
        <f>P27</f>
        <v>3630.0000000000005</v>
      </c>
      <c r="Q44" s="2042"/>
      <c r="R44" s="2042"/>
      <c r="S44" s="2042"/>
      <c r="T44" s="2042"/>
      <c r="U44" s="2042">
        <f>U27</f>
        <v>1045</v>
      </c>
      <c r="V44" s="2042"/>
      <c r="W44" s="2042"/>
      <c r="X44" s="2042"/>
      <c r="Y44" s="2029"/>
      <c r="Z44" s="2029"/>
      <c r="AA44" s="2029"/>
      <c r="AB44" s="2029"/>
      <c r="AC44" s="2029"/>
      <c r="AD44" s="2029"/>
      <c r="AE44" s="2029"/>
      <c r="AF44" s="2029"/>
      <c r="AG44" s="2029"/>
      <c r="AH44" s="2029"/>
      <c r="AI44" s="2029"/>
      <c r="AJ44" s="2029"/>
      <c r="AK44" s="2029"/>
    </row>
    <row r="45" spans="1:37" s="1478" customFormat="1" hidden="1" outlineLevel="3">
      <c r="A45" s="1485" t="s">
        <v>206</v>
      </c>
      <c r="B45" s="1490" t="s">
        <v>206</v>
      </c>
      <c r="C45" s="1489" t="s">
        <v>278</v>
      </c>
      <c r="D45" s="1493" t="str">
        <f>Покрытия_ПВХ!E47</f>
        <v>Камень темный</v>
      </c>
      <c r="E45" s="2042">
        <f>E27</f>
        <v>1705.0000000000002</v>
      </c>
      <c r="F45" s="2042">
        <f>F27</f>
        <v>1705.0000000000002</v>
      </c>
      <c r="G45" s="2042"/>
      <c r="H45" s="2043" t="e">
        <f t="shared" si="0"/>
        <v>#REF!</v>
      </c>
      <c r="I45" s="2042">
        <f>I27</f>
        <v>935.00000000000011</v>
      </c>
      <c r="J45" s="2042"/>
      <c r="K45" s="2042" t="e">
        <f>K27</f>
        <v>#VALUE!</v>
      </c>
      <c r="L45" s="2042"/>
      <c r="M45" s="2042"/>
      <c r="N45" s="2042"/>
      <c r="O45" s="2042">
        <f>O27</f>
        <v>0</v>
      </c>
      <c r="P45" s="2042">
        <f>P27</f>
        <v>3630.0000000000005</v>
      </c>
      <c r="Q45" s="2042"/>
      <c r="R45" s="2042"/>
      <c r="S45" s="2042"/>
      <c r="T45" s="2042"/>
      <c r="U45" s="2042">
        <f>U27</f>
        <v>1045</v>
      </c>
      <c r="V45" s="2042"/>
      <c r="W45" s="2042"/>
      <c r="X45" s="2042"/>
      <c r="Y45" s="2029"/>
      <c r="Z45" s="2029"/>
      <c r="AA45" s="2029"/>
      <c r="AB45" s="2029"/>
      <c r="AC45" s="2029"/>
      <c r="AD45" s="2029"/>
      <c r="AE45" s="2029"/>
      <c r="AF45" s="2029"/>
      <c r="AG45" s="2029"/>
      <c r="AH45" s="2029"/>
      <c r="AI45" s="2029"/>
      <c r="AJ45" s="2029"/>
      <c r="AK45" s="2029"/>
    </row>
    <row r="46" spans="1:37" s="1478" customFormat="1" ht="15.75" hidden="1" outlineLevel="3" thickBot="1">
      <c r="A46" s="1485" t="s">
        <v>206</v>
      </c>
      <c r="B46" s="1490" t="s">
        <v>206</v>
      </c>
      <c r="C46" s="1489" t="s">
        <v>278</v>
      </c>
      <c r="D46" s="1493" t="str">
        <f>Покрытия_ПВХ!E48</f>
        <v>Венеция гриджио</v>
      </c>
      <c r="E46" s="2042">
        <f>E27</f>
        <v>1705.0000000000002</v>
      </c>
      <c r="F46" s="2042">
        <f>F27</f>
        <v>1705.0000000000002</v>
      </c>
      <c r="G46" s="2042"/>
      <c r="H46" s="2043" t="e">
        <f t="shared" si="0"/>
        <v>#REF!</v>
      </c>
      <c r="I46" s="2042">
        <f>I27</f>
        <v>935.00000000000011</v>
      </c>
      <c r="J46" s="2042"/>
      <c r="K46" s="2042" t="e">
        <f>K27</f>
        <v>#VALUE!</v>
      </c>
      <c r="L46" s="2042"/>
      <c r="M46" s="2042"/>
      <c r="N46" s="2042"/>
      <c r="O46" s="2042">
        <f>O27</f>
        <v>0</v>
      </c>
      <c r="P46" s="2042">
        <f>P27</f>
        <v>3630.0000000000005</v>
      </c>
      <c r="Q46" s="2042"/>
      <c r="R46" s="2042"/>
      <c r="S46" s="2042"/>
      <c r="T46" s="2042"/>
      <c r="U46" s="2042">
        <f>U27</f>
        <v>1045</v>
      </c>
      <c r="V46" s="2042"/>
      <c r="W46" s="2042"/>
      <c r="X46" s="2042"/>
      <c r="Y46" s="2029"/>
      <c r="Z46" s="2029"/>
      <c r="AA46" s="2029"/>
      <c r="AB46" s="2029"/>
      <c r="AC46" s="2029"/>
      <c r="AD46" s="2029"/>
      <c r="AE46" s="2029"/>
      <c r="AF46" s="2029"/>
      <c r="AG46" s="2029"/>
      <c r="AH46" s="2029"/>
      <c r="AI46" s="2029"/>
      <c r="AJ46" s="2029"/>
      <c r="AK46" s="2029"/>
    </row>
    <row r="47" spans="1:37" s="1478" customFormat="1" hidden="1" outlineLevel="3">
      <c r="A47" s="1485" t="s">
        <v>206</v>
      </c>
      <c r="B47" s="1496" t="s">
        <v>206</v>
      </c>
      <c r="C47" s="1497" t="s">
        <v>278</v>
      </c>
      <c r="D47" s="1493" t="str">
        <f>Покрытия_ПВХ!E43</f>
        <v>Лофт белый</v>
      </c>
      <c r="E47" s="2042">
        <f>E27</f>
        <v>1705.0000000000002</v>
      </c>
      <c r="F47" s="2042">
        <f>F27</f>
        <v>1705.0000000000002</v>
      </c>
      <c r="G47" s="2042"/>
      <c r="H47" s="2043" t="e">
        <f t="shared" si="0"/>
        <v>#REF!</v>
      </c>
      <c r="I47" s="2042">
        <f>I27</f>
        <v>935.00000000000011</v>
      </c>
      <c r="J47" s="2042"/>
      <c r="K47" s="2042" t="e">
        <f>K27</f>
        <v>#VALUE!</v>
      </c>
      <c r="L47" s="2042"/>
      <c r="M47" s="2042"/>
      <c r="N47" s="2042"/>
      <c r="O47" s="2042">
        <f>O27</f>
        <v>0</v>
      </c>
      <c r="P47" s="2042">
        <f>P27</f>
        <v>3630.0000000000005</v>
      </c>
      <c r="Q47" s="2042"/>
      <c r="R47" s="2042"/>
      <c r="S47" s="2042"/>
      <c r="T47" s="2042"/>
      <c r="U47" s="2042">
        <f>U27</f>
        <v>1045</v>
      </c>
      <c r="V47" s="2042"/>
      <c r="W47" s="2042"/>
      <c r="X47" s="2042"/>
      <c r="Y47" s="2029"/>
      <c r="Z47" s="2029"/>
      <c r="AA47" s="2029"/>
      <c r="AB47" s="2029"/>
      <c r="AC47" s="2029"/>
      <c r="AD47" s="2029"/>
      <c r="AE47" s="2029"/>
      <c r="AF47" s="2029"/>
      <c r="AG47" s="2029"/>
      <c r="AH47" s="2029"/>
      <c r="AI47" s="2029"/>
      <c r="AJ47" s="2029"/>
      <c r="AK47" s="2029"/>
    </row>
    <row r="48" spans="1:37" s="1478" customFormat="1" hidden="1" outlineLevel="3">
      <c r="A48" s="1485" t="s">
        <v>206</v>
      </c>
      <c r="B48" s="1490" t="s">
        <v>206</v>
      </c>
      <c r="C48" s="1489" t="s">
        <v>278</v>
      </c>
      <c r="D48" s="1493" t="str">
        <f>Покрытия_ПВХ!E44</f>
        <v>Лофт графит</v>
      </c>
      <c r="E48" s="2042">
        <f>E27</f>
        <v>1705.0000000000002</v>
      </c>
      <c r="F48" s="2042">
        <f>F27</f>
        <v>1705.0000000000002</v>
      </c>
      <c r="G48" s="2042"/>
      <c r="H48" s="2043" t="e">
        <f t="shared" si="0"/>
        <v>#REF!</v>
      </c>
      <c r="I48" s="2042">
        <f>I27</f>
        <v>935.00000000000011</v>
      </c>
      <c r="J48" s="2042"/>
      <c r="K48" s="2042" t="e">
        <f>K27</f>
        <v>#VALUE!</v>
      </c>
      <c r="L48" s="2042"/>
      <c r="M48" s="2042"/>
      <c r="N48" s="2042"/>
      <c r="O48" s="2042">
        <f>O27</f>
        <v>0</v>
      </c>
      <c r="P48" s="2042">
        <f>P27</f>
        <v>3630.0000000000005</v>
      </c>
      <c r="Q48" s="2042"/>
      <c r="R48" s="2042"/>
      <c r="S48" s="2042"/>
      <c r="T48" s="2042"/>
      <c r="U48" s="2042">
        <f>U27</f>
        <v>1045</v>
      </c>
      <c r="V48" s="2042"/>
      <c r="W48" s="2042"/>
      <c r="X48" s="2042"/>
      <c r="Y48" s="2029"/>
      <c r="Z48" s="2029"/>
      <c r="AA48" s="2029"/>
      <c r="AB48" s="2029"/>
      <c r="AC48" s="2029"/>
      <c r="AD48" s="2029"/>
      <c r="AE48" s="2029"/>
      <c r="AF48" s="2029"/>
      <c r="AG48" s="2029"/>
      <c r="AH48" s="2029"/>
      <c r="AI48" s="2029"/>
      <c r="AJ48" s="2029"/>
      <c r="AK48" s="2029"/>
    </row>
    <row r="49" spans="1:37" s="1478" customFormat="1" hidden="1" outlineLevel="3">
      <c r="A49" s="1485" t="s">
        <v>206</v>
      </c>
      <c r="B49" s="1490" t="s">
        <v>206</v>
      </c>
      <c r="C49" s="1489" t="s">
        <v>278</v>
      </c>
      <c r="D49" s="1493" t="e">
        <f>Покрытия_ПВХ!#REF!</f>
        <v>#REF!</v>
      </c>
      <c r="E49" s="2042">
        <f>E27</f>
        <v>1705.0000000000002</v>
      </c>
      <c r="F49" s="2042">
        <f>F27</f>
        <v>1705.0000000000002</v>
      </c>
      <c r="G49" s="2042"/>
      <c r="H49" s="2043" t="e">
        <f t="shared" si="0"/>
        <v>#REF!</v>
      </c>
      <c r="I49" s="2042">
        <f>I27</f>
        <v>935.00000000000011</v>
      </c>
      <c r="J49" s="2042"/>
      <c r="K49" s="2042" t="e">
        <f>K27</f>
        <v>#VALUE!</v>
      </c>
      <c r="L49" s="2042"/>
      <c r="M49" s="2042"/>
      <c r="N49" s="2042"/>
      <c r="O49" s="2042">
        <f>O27</f>
        <v>0</v>
      </c>
      <c r="P49" s="2042">
        <f>P27</f>
        <v>3630.0000000000005</v>
      </c>
      <c r="Q49" s="2042"/>
      <c r="R49" s="2042"/>
      <c r="S49" s="2042"/>
      <c r="T49" s="2042"/>
      <c r="U49" s="2042">
        <f>U27</f>
        <v>1045</v>
      </c>
      <c r="V49" s="2042"/>
      <c r="W49" s="2042"/>
      <c r="X49" s="2042"/>
      <c r="Y49" s="2029"/>
      <c r="Z49" s="2029"/>
      <c r="AA49" s="2029"/>
      <c r="AB49" s="2029"/>
      <c r="AC49" s="2029"/>
      <c r="AD49" s="2029"/>
      <c r="AE49" s="2029"/>
      <c r="AF49" s="2029"/>
      <c r="AG49" s="2029"/>
      <c r="AH49" s="2029"/>
      <c r="AI49" s="2029"/>
      <c r="AJ49" s="2029"/>
      <c r="AK49" s="2029"/>
    </row>
    <row r="50" spans="1:37" s="1478" customFormat="1" hidden="1" outlineLevel="3">
      <c r="A50" s="1485" t="s">
        <v>206</v>
      </c>
      <c r="B50" s="1490" t="s">
        <v>206</v>
      </c>
      <c r="C50" s="1489" t="s">
        <v>278</v>
      </c>
      <c r="D50" s="1493" t="str">
        <f>Покрытия_ПВХ!E45</f>
        <v>Лофт капучино</v>
      </c>
      <c r="E50" s="2042">
        <f>E27</f>
        <v>1705.0000000000002</v>
      </c>
      <c r="F50" s="2042">
        <f>F27</f>
        <v>1705.0000000000002</v>
      </c>
      <c r="G50" s="2042"/>
      <c r="H50" s="2043" t="e">
        <f t="shared" si="0"/>
        <v>#REF!</v>
      </c>
      <c r="I50" s="2042">
        <f>I27</f>
        <v>935.00000000000011</v>
      </c>
      <c r="J50" s="2042"/>
      <c r="K50" s="2042" t="e">
        <f>K27</f>
        <v>#VALUE!</v>
      </c>
      <c r="L50" s="2042"/>
      <c r="M50" s="2042"/>
      <c r="N50" s="2042"/>
      <c r="O50" s="2042">
        <f>O27</f>
        <v>0</v>
      </c>
      <c r="P50" s="2042">
        <f>P27</f>
        <v>3630.0000000000005</v>
      </c>
      <c r="Q50" s="2042"/>
      <c r="R50" s="2042"/>
      <c r="S50" s="2042"/>
      <c r="T50" s="2042"/>
      <c r="U50" s="2042">
        <f>U27</f>
        <v>1045</v>
      </c>
      <c r="V50" s="2042"/>
      <c r="W50" s="2042"/>
      <c r="X50" s="2042"/>
      <c r="Y50" s="2029"/>
      <c r="Z50" s="2029"/>
      <c r="AA50" s="2029"/>
      <c r="AB50" s="2029"/>
      <c r="AC50" s="2029"/>
      <c r="AD50" s="2029"/>
      <c r="AE50" s="2029"/>
      <c r="AF50" s="2029"/>
      <c r="AG50" s="2029"/>
      <c r="AH50" s="2029"/>
      <c r="AI50" s="2029"/>
      <c r="AJ50" s="2029"/>
      <c r="AK50" s="2029"/>
    </row>
    <row r="51" spans="1:37" s="1478" customFormat="1" hidden="1" outlineLevel="3">
      <c r="A51" s="1485" t="s">
        <v>206</v>
      </c>
      <c r="B51" s="1490" t="s">
        <v>206</v>
      </c>
      <c r="C51" s="1489" t="s">
        <v>278</v>
      </c>
      <c r="D51" s="1493" t="str">
        <f>Покрытия_ПВХ!E46</f>
        <v>Лофт грей</v>
      </c>
      <c r="E51" s="2042">
        <f>E27</f>
        <v>1705.0000000000002</v>
      </c>
      <c r="F51" s="2042">
        <f>F27</f>
        <v>1705.0000000000002</v>
      </c>
      <c r="G51" s="2042"/>
      <c r="H51" s="2043" t="e">
        <f t="shared" si="0"/>
        <v>#REF!</v>
      </c>
      <c r="I51" s="2042">
        <f>I27</f>
        <v>935.00000000000011</v>
      </c>
      <c r="J51" s="2042"/>
      <c r="K51" s="2042" t="e">
        <f>K27</f>
        <v>#VALUE!</v>
      </c>
      <c r="L51" s="2042"/>
      <c r="M51" s="2042"/>
      <c r="N51" s="2042"/>
      <c r="O51" s="2042">
        <f>O27</f>
        <v>0</v>
      </c>
      <c r="P51" s="2042">
        <f>P27</f>
        <v>3630.0000000000005</v>
      </c>
      <c r="Q51" s="2042"/>
      <c r="R51" s="2042"/>
      <c r="S51" s="2042"/>
      <c r="T51" s="2042"/>
      <c r="U51" s="2042">
        <f>U27</f>
        <v>1045</v>
      </c>
      <c r="V51" s="2042"/>
      <c r="W51" s="2042"/>
      <c r="X51" s="2042"/>
      <c r="Y51" s="2029"/>
      <c r="Z51" s="2029"/>
      <c r="AA51" s="2029"/>
      <c r="AB51" s="2029"/>
      <c r="AC51" s="2029"/>
      <c r="AD51" s="2029"/>
      <c r="AE51" s="2029"/>
      <c r="AF51" s="2029"/>
      <c r="AG51" s="2029"/>
      <c r="AH51" s="2029"/>
      <c r="AI51" s="2029"/>
      <c r="AJ51" s="2029"/>
      <c r="AK51" s="2029"/>
    </row>
    <row r="52" spans="1:37" s="1482" customFormat="1" hidden="1" outlineLevel="2">
      <c r="A52" s="1498" t="s">
        <v>206</v>
      </c>
      <c r="B52" s="1498" t="s">
        <v>206</v>
      </c>
      <c r="C52" s="1499" t="s">
        <v>276</v>
      </c>
      <c r="D52" s="1500" t="str">
        <f>Покрытия_ПВХ!E25</f>
        <v>Орех NY светлый</v>
      </c>
      <c r="E52" s="2045">
        <f>E11*1.15</f>
        <v>1782.4999999999998</v>
      </c>
      <c r="F52" s="2045">
        <f>F11*1.15</f>
        <v>1782.4999999999998</v>
      </c>
      <c r="G52" s="2045"/>
      <c r="H52" s="2043" t="e">
        <f t="shared" si="0"/>
        <v>#REF!</v>
      </c>
      <c r="I52" s="2045">
        <f>I11*1.15</f>
        <v>977.49999999999989</v>
      </c>
      <c r="J52" s="2040"/>
      <c r="K52" s="2045" t="e">
        <f>K11*1.15</f>
        <v>#VALUE!</v>
      </c>
      <c r="L52" s="2045"/>
      <c r="M52" s="2045"/>
      <c r="N52" s="2045"/>
      <c r="O52" s="2045">
        <f>O11*1.15</f>
        <v>0</v>
      </c>
      <c r="P52" s="2045">
        <f>P11*1.15</f>
        <v>3794.9999999999995</v>
      </c>
      <c r="Q52" s="2045"/>
      <c r="R52" s="2045"/>
      <c r="S52" s="2045"/>
      <c r="T52" s="2045"/>
      <c r="U52" s="2045">
        <f>U11*1.15</f>
        <v>1092.5</v>
      </c>
      <c r="V52" s="2045"/>
      <c r="W52" s="2045"/>
      <c r="X52" s="2038"/>
      <c r="Y52" s="2041"/>
      <c r="Z52" s="2041"/>
      <c r="AA52" s="2041"/>
      <c r="AB52" s="2041"/>
      <c r="AC52" s="2041"/>
      <c r="AD52" s="2041"/>
      <c r="AE52" s="2041"/>
      <c r="AF52" s="2041"/>
      <c r="AG52" s="2041"/>
      <c r="AH52" s="2041"/>
      <c r="AI52" s="2041"/>
      <c r="AJ52" s="2041"/>
      <c r="AK52" s="2041"/>
    </row>
    <row r="53" spans="1:37" s="1478" customFormat="1" hidden="1" outlineLevel="3">
      <c r="A53" s="1498" t="s">
        <v>206</v>
      </c>
      <c r="B53" s="1498" t="s">
        <v>206</v>
      </c>
      <c r="C53" s="1501" t="s">
        <v>276</v>
      </c>
      <c r="D53" s="1502" t="str">
        <f>Покрытия_ПВХ!E26</f>
        <v>Орех NY смоук</v>
      </c>
      <c r="E53" s="2037">
        <f>E52</f>
        <v>1782.4999999999998</v>
      </c>
      <c r="F53" s="2037">
        <f>F52</f>
        <v>1782.4999999999998</v>
      </c>
      <c r="G53" s="2037"/>
      <c r="H53" s="2043" t="e">
        <f t="shared" si="0"/>
        <v>#REF!</v>
      </c>
      <c r="I53" s="2037">
        <f>I52</f>
        <v>977.49999999999989</v>
      </c>
      <c r="J53" s="2037"/>
      <c r="K53" s="2037" t="e">
        <f>K52</f>
        <v>#VALUE!</v>
      </c>
      <c r="L53" s="2037"/>
      <c r="M53" s="2037"/>
      <c r="N53" s="2037"/>
      <c r="O53" s="2037">
        <f>O52</f>
        <v>0</v>
      </c>
      <c r="P53" s="2037">
        <f>P52</f>
        <v>3794.9999999999995</v>
      </c>
      <c r="Q53" s="2037"/>
      <c r="R53" s="2037"/>
      <c r="S53" s="2037"/>
      <c r="T53" s="2037"/>
      <c r="U53" s="2037">
        <f>U52</f>
        <v>1092.5</v>
      </c>
      <c r="V53" s="2037"/>
      <c r="W53" s="2037"/>
      <c r="X53" s="2037"/>
      <c r="Y53" s="2029"/>
      <c r="Z53" s="2029"/>
      <c r="AA53" s="2029"/>
      <c r="AB53" s="2029"/>
      <c r="AC53" s="2029"/>
      <c r="AD53" s="2029"/>
      <c r="AE53" s="2029"/>
      <c r="AF53" s="2029"/>
      <c r="AG53" s="2029"/>
      <c r="AH53" s="2029"/>
      <c r="AI53" s="2029"/>
      <c r="AJ53" s="2029"/>
      <c r="AK53" s="2029"/>
    </row>
    <row r="54" spans="1:37" s="1478" customFormat="1" hidden="1" outlineLevel="3">
      <c r="A54" s="1498" t="s">
        <v>206</v>
      </c>
      <c r="B54" s="1498" t="s">
        <v>206</v>
      </c>
      <c r="C54" s="1501" t="s">
        <v>276</v>
      </c>
      <c r="D54" s="1502" t="str">
        <f>Покрытия_ПВХ!E27</f>
        <v>Орех NY классический</v>
      </c>
      <c r="E54" s="2037">
        <f>E52</f>
        <v>1782.4999999999998</v>
      </c>
      <c r="F54" s="2037">
        <f>F52</f>
        <v>1782.4999999999998</v>
      </c>
      <c r="G54" s="2037"/>
      <c r="H54" s="2043" t="e">
        <f t="shared" si="0"/>
        <v>#REF!</v>
      </c>
      <c r="I54" s="2037">
        <f>I52</f>
        <v>977.49999999999989</v>
      </c>
      <c r="J54" s="2037"/>
      <c r="K54" s="2037" t="e">
        <f>K52</f>
        <v>#VALUE!</v>
      </c>
      <c r="L54" s="2037"/>
      <c r="M54" s="2037"/>
      <c r="N54" s="2037"/>
      <c r="O54" s="2037">
        <f>O52</f>
        <v>0</v>
      </c>
      <c r="P54" s="2037">
        <f>P52</f>
        <v>3794.9999999999995</v>
      </c>
      <c r="Q54" s="2037"/>
      <c r="R54" s="2037"/>
      <c r="S54" s="2037"/>
      <c r="T54" s="2037"/>
      <c r="U54" s="2037">
        <f>U52</f>
        <v>1092.5</v>
      </c>
      <c r="V54" s="2037"/>
      <c r="W54" s="2037"/>
      <c r="X54" s="2037"/>
      <c r="Y54" s="2029"/>
      <c r="Z54" s="2029"/>
      <c r="AA54" s="2029"/>
      <c r="AB54" s="2029"/>
      <c r="AC54" s="2029"/>
      <c r="AD54" s="2029"/>
      <c r="AE54" s="2029"/>
      <c r="AF54" s="2029"/>
      <c r="AG54" s="2029"/>
      <c r="AH54" s="2029"/>
      <c r="AI54" s="2029"/>
      <c r="AJ54" s="2029"/>
      <c r="AK54" s="2029"/>
    </row>
    <row r="55" spans="1:37" s="1478" customFormat="1" hidden="1" outlineLevel="3">
      <c r="A55" s="1498" t="s">
        <v>206</v>
      </c>
      <c r="B55" s="1498" t="s">
        <v>206</v>
      </c>
      <c r="C55" s="1501" t="s">
        <v>412</v>
      </c>
      <c r="D55" s="1502" t="str">
        <f>Покрытия_ПВХ!E52</f>
        <v>Букле лайт грей</v>
      </c>
      <c r="E55" s="2037">
        <f>E52</f>
        <v>1782.4999999999998</v>
      </c>
      <c r="F55" s="2037">
        <f>F52</f>
        <v>1782.4999999999998</v>
      </c>
      <c r="G55" s="2037"/>
      <c r="H55" s="2043" t="e">
        <f t="shared" si="0"/>
        <v>#REF!</v>
      </c>
      <c r="I55" s="2037">
        <f>I52</f>
        <v>977.49999999999989</v>
      </c>
      <c r="J55" s="2037"/>
      <c r="K55" s="2037" t="e">
        <f>K52</f>
        <v>#VALUE!</v>
      </c>
      <c r="L55" s="2037"/>
      <c r="M55" s="2037"/>
      <c r="N55" s="2037"/>
      <c r="O55" s="2037">
        <f>O52</f>
        <v>0</v>
      </c>
      <c r="P55" s="2037">
        <f>P52</f>
        <v>3794.9999999999995</v>
      </c>
      <c r="Q55" s="2037"/>
      <c r="R55" s="2037"/>
      <c r="S55" s="2037"/>
      <c r="T55" s="2037"/>
      <c r="U55" s="2037">
        <f>U52</f>
        <v>1092.5</v>
      </c>
      <c r="V55" s="2037"/>
      <c r="W55" s="2037"/>
      <c r="X55" s="2037"/>
      <c r="Y55" s="2029"/>
      <c r="Z55" s="2029"/>
      <c r="AA55" s="2029"/>
      <c r="AB55" s="2029"/>
      <c r="AC55" s="2029"/>
      <c r="AD55" s="2029"/>
      <c r="AE55" s="2029"/>
      <c r="AF55" s="2029"/>
      <c r="AG55" s="2029"/>
      <c r="AH55" s="2029"/>
      <c r="AI55" s="2029"/>
      <c r="AJ55" s="2029"/>
      <c r="AK55" s="2029"/>
    </row>
    <row r="56" spans="1:37" s="1478" customFormat="1" hidden="1" outlineLevel="3">
      <c r="A56" s="1498" t="s">
        <v>206</v>
      </c>
      <c r="B56" s="1498" t="s">
        <v>206</v>
      </c>
      <c r="C56" s="1501" t="s">
        <v>412</v>
      </c>
      <c r="D56" s="1502" t="str">
        <f>Покрытия_ПВХ!E53</f>
        <v>Букле крем</v>
      </c>
      <c r="E56" s="2037">
        <f>E52</f>
        <v>1782.4999999999998</v>
      </c>
      <c r="F56" s="2037">
        <f>F52</f>
        <v>1782.4999999999998</v>
      </c>
      <c r="G56" s="2037"/>
      <c r="H56" s="2043" t="e">
        <f t="shared" si="0"/>
        <v>#REF!</v>
      </c>
      <c r="I56" s="2037">
        <f>I52</f>
        <v>977.49999999999989</v>
      </c>
      <c r="J56" s="2037"/>
      <c r="K56" s="2037" t="e">
        <f>K52</f>
        <v>#VALUE!</v>
      </c>
      <c r="L56" s="2037"/>
      <c r="M56" s="2037"/>
      <c r="N56" s="2037"/>
      <c r="O56" s="2037">
        <f>O52</f>
        <v>0</v>
      </c>
      <c r="P56" s="2037">
        <f>P52</f>
        <v>3794.9999999999995</v>
      </c>
      <c r="Q56" s="2037"/>
      <c r="R56" s="2037"/>
      <c r="S56" s="2037"/>
      <c r="T56" s="2037"/>
      <c r="U56" s="2037">
        <f>U52</f>
        <v>1092.5</v>
      </c>
      <c r="V56" s="2037"/>
      <c r="W56" s="2037"/>
      <c r="X56" s="2037"/>
      <c r="Y56" s="2029"/>
      <c r="Z56" s="2029"/>
      <c r="AA56" s="2029"/>
      <c r="AB56" s="2029"/>
      <c r="AC56" s="2029"/>
      <c r="AD56" s="2029"/>
      <c r="AE56" s="2029"/>
      <c r="AF56" s="2029"/>
      <c r="AG56" s="2029"/>
      <c r="AH56" s="2029"/>
      <c r="AI56" s="2029"/>
      <c r="AJ56" s="2029"/>
      <c r="AK56" s="2029"/>
    </row>
    <row r="57" spans="1:37" s="1478" customFormat="1" hidden="1" outlineLevel="3">
      <c r="A57" s="1498" t="s">
        <v>206</v>
      </c>
      <c r="B57" s="1498" t="s">
        <v>206</v>
      </c>
      <c r="C57" s="1501" t="s">
        <v>412</v>
      </c>
      <c r="D57" s="1502" t="e">
        <f>Покрытия_ПВХ!#REF!</f>
        <v>#REF!</v>
      </c>
      <c r="E57" s="2037">
        <f>E52</f>
        <v>1782.4999999999998</v>
      </c>
      <c r="F57" s="2037">
        <f>F52</f>
        <v>1782.4999999999998</v>
      </c>
      <c r="G57" s="2037"/>
      <c r="H57" s="2043" t="e">
        <f t="shared" si="0"/>
        <v>#REF!</v>
      </c>
      <c r="I57" s="2037">
        <f>I52</f>
        <v>977.49999999999989</v>
      </c>
      <c r="J57" s="2037"/>
      <c r="K57" s="2037" t="e">
        <f>K52</f>
        <v>#VALUE!</v>
      </c>
      <c r="L57" s="2037"/>
      <c r="M57" s="2037"/>
      <c r="N57" s="2037"/>
      <c r="O57" s="2037">
        <f>O52</f>
        <v>0</v>
      </c>
      <c r="P57" s="2037">
        <f>P52</f>
        <v>3794.9999999999995</v>
      </c>
      <c r="Q57" s="2037"/>
      <c r="R57" s="2037"/>
      <c r="S57" s="2037"/>
      <c r="T57" s="2037"/>
      <c r="U57" s="2037">
        <f>U52</f>
        <v>1092.5</v>
      </c>
      <c r="V57" s="2037"/>
      <c r="W57" s="2037"/>
      <c r="X57" s="2037"/>
      <c r="Y57" s="2029"/>
      <c r="Z57" s="2029"/>
      <c r="AA57" s="2029"/>
      <c r="AB57" s="2029"/>
      <c r="AC57" s="2029"/>
      <c r="AD57" s="2029"/>
      <c r="AE57" s="2029"/>
      <c r="AF57" s="2029"/>
      <c r="AG57" s="2029"/>
      <c r="AH57" s="2029"/>
      <c r="AI57" s="2029"/>
      <c r="AJ57" s="2029"/>
      <c r="AK57" s="2029"/>
    </row>
    <row r="58" spans="1:37" s="1478" customFormat="1" hidden="1" outlineLevel="3">
      <c r="A58" s="1498" t="s">
        <v>206</v>
      </c>
      <c r="B58" s="1498" t="s">
        <v>206</v>
      </c>
      <c r="C58" s="1501" t="s">
        <v>412</v>
      </c>
      <c r="D58" s="1502" t="e">
        <f>Покрытия_ПВХ!#REF!</f>
        <v>#REF!</v>
      </c>
      <c r="E58" s="2037">
        <f>E52</f>
        <v>1782.4999999999998</v>
      </c>
      <c r="F58" s="2037">
        <f>F52</f>
        <v>1782.4999999999998</v>
      </c>
      <c r="G58" s="2037"/>
      <c r="H58" s="2043" t="e">
        <f t="shared" si="0"/>
        <v>#REF!</v>
      </c>
      <c r="I58" s="2037">
        <f>I52</f>
        <v>977.49999999999989</v>
      </c>
      <c r="J58" s="2037"/>
      <c r="K58" s="2037" t="e">
        <f>K52</f>
        <v>#VALUE!</v>
      </c>
      <c r="L58" s="2037"/>
      <c r="M58" s="2037"/>
      <c r="N58" s="2037"/>
      <c r="O58" s="2037">
        <f>O52</f>
        <v>0</v>
      </c>
      <c r="P58" s="2037">
        <f>P52</f>
        <v>3794.9999999999995</v>
      </c>
      <c r="Q58" s="2037"/>
      <c r="R58" s="2037"/>
      <c r="S58" s="2037"/>
      <c r="T58" s="2037"/>
      <c r="U58" s="2037">
        <f>U52</f>
        <v>1092.5</v>
      </c>
      <c r="V58" s="2037"/>
      <c r="W58" s="2037"/>
      <c r="X58" s="2037"/>
      <c r="Y58" s="2029"/>
      <c r="Z58" s="2029"/>
      <c r="AA58" s="2029"/>
      <c r="AB58" s="2029"/>
      <c r="AC58" s="2029"/>
      <c r="AD58" s="2029"/>
      <c r="AE58" s="2029"/>
      <c r="AF58" s="2029"/>
      <c r="AG58" s="2029"/>
      <c r="AH58" s="2029"/>
      <c r="AI58" s="2029"/>
      <c r="AJ58" s="2029"/>
      <c r="AK58" s="2029"/>
    </row>
    <row r="59" spans="1:37" s="1478" customFormat="1" hidden="1" outlineLevel="3">
      <c r="A59" s="1498" t="s">
        <v>206</v>
      </c>
      <c r="B59" s="1498" t="s">
        <v>206</v>
      </c>
      <c r="C59" s="1501" t="s">
        <v>412</v>
      </c>
      <c r="D59" s="1502" t="e">
        <f>Покрытия_ПВХ!#REF!</f>
        <v>#REF!</v>
      </c>
      <c r="E59" s="2037">
        <f>E52</f>
        <v>1782.4999999999998</v>
      </c>
      <c r="F59" s="2037">
        <f>F52</f>
        <v>1782.4999999999998</v>
      </c>
      <c r="G59" s="2037"/>
      <c r="H59" s="2043" t="e">
        <f t="shared" si="0"/>
        <v>#REF!</v>
      </c>
      <c r="I59" s="2037">
        <f>I52</f>
        <v>977.49999999999989</v>
      </c>
      <c r="J59" s="2037"/>
      <c r="K59" s="2037" t="e">
        <f>K52</f>
        <v>#VALUE!</v>
      </c>
      <c r="L59" s="2037"/>
      <c r="M59" s="2037"/>
      <c r="N59" s="2037"/>
      <c r="O59" s="2037">
        <f>O52</f>
        <v>0</v>
      </c>
      <c r="P59" s="2037">
        <f>P52</f>
        <v>3794.9999999999995</v>
      </c>
      <c r="Q59" s="2037"/>
      <c r="R59" s="2037"/>
      <c r="S59" s="2037"/>
      <c r="T59" s="2037"/>
      <c r="U59" s="2037">
        <f>U52</f>
        <v>1092.5</v>
      </c>
      <c r="V59" s="2037"/>
      <c r="W59" s="2037"/>
      <c r="X59" s="2037"/>
      <c r="Y59" s="2029"/>
      <c r="Z59" s="2029"/>
      <c r="AA59" s="2029"/>
      <c r="AB59" s="2029"/>
      <c r="AC59" s="2029"/>
      <c r="AD59" s="2029"/>
      <c r="AE59" s="2029"/>
      <c r="AF59" s="2029"/>
      <c r="AG59" s="2029"/>
      <c r="AH59" s="2029"/>
      <c r="AI59" s="2029"/>
      <c r="AJ59" s="2029"/>
      <c r="AK59" s="2029"/>
    </row>
    <row r="60" spans="1:37" s="1478" customFormat="1" hidden="1" outlineLevel="3">
      <c r="A60" s="1498" t="s">
        <v>206</v>
      </c>
      <c r="B60" s="1498" t="s">
        <v>206</v>
      </c>
      <c r="C60" s="1501" t="s">
        <v>412</v>
      </c>
      <c r="D60" s="1502" t="str">
        <f>Покрытия_ПВХ!E54</f>
        <v>Холст прованс белый</v>
      </c>
      <c r="E60" s="2037">
        <f>E52</f>
        <v>1782.4999999999998</v>
      </c>
      <c r="F60" s="2037">
        <f>F52</f>
        <v>1782.4999999999998</v>
      </c>
      <c r="G60" s="2037"/>
      <c r="H60" s="2043" t="e">
        <f t="shared" si="0"/>
        <v>#REF!</v>
      </c>
      <c r="I60" s="2037">
        <f>I52</f>
        <v>977.49999999999989</v>
      </c>
      <c r="J60" s="2037"/>
      <c r="K60" s="2037" t="e">
        <f>K52</f>
        <v>#VALUE!</v>
      </c>
      <c r="L60" s="2037"/>
      <c r="M60" s="2037"/>
      <c r="N60" s="2037"/>
      <c r="O60" s="2037">
        <f>O52</f>
        <v>0</v>
      </c>
      <c r="P60" s="2037">
        <f>P52</f>
        <v>3794.9999999999995</v>
      </c>
      <c r="Q60" s="2037"/>
      <c r="R60" s="2037"/>
      <c r="S60" s="2037"/>
      <c r="T60" s="2037"/>
      <c r="U60" s="2037">
        <f>U52</f>
        <v>1092.5</v>
      </c>
      <c r="V60" s="2037"/>
      <c r="W60" s="2037"/>
      <c r="X60" s="2037"/>
      <c r="Y60" s="2029"/>
      <c r="Z60" s="2029"/>
      <c r="AA60" s="2029"/>
      <c r="AB60" s="2029"/>
      <c r="AC60" s="2029"/>
      <c r="AD60" s="2029"/>
      <c r="AE60" s="2029"/>
      <c r="AF60" s="2029"/>
      <c r="AG60" s="2029"/>
      <c r="AH60" s="2029"/>
      <c r="AI60" s="2029"/>
      <c r="AJ60" s="2029"/>
      <c r="AK60" s="2029"/>
    </row>
    <row r="61" spans="1:37" s="1478" customFormat="1" hidden="1" outlineLevel="3">
      <c r="A61" s="1498" t="s">
        <v>206</v>
      </c>
      <c r="B61" s="1498" t="s">
        <v>206</v>
      </c>
      <c r="C61" s="1501" t="s">
        <v>412</v>
      </c>
      <c r="D61" s="1502" t="str">
        <f>Покрытия_ПВХ!E55</f>
        <v>Холст прованс натур</v>
      </c>
      <c r="E61" s="2037">
        <f>E52</f>
        <v>1782.4999999999998</v>
      </c>
      <c r="F61" s="2037">
        <f>F52</f>
        <v>1782.4999999999998</v>
      </c>
      <c r="G61" s="2037"/>
      <c r="H61" s="2043" t="e">
        <f t="shared" si="0"/>
        <v>#REF!</v>
      </c>
      <c r="I61" s="2037">
        <f>I52</f>
        <v>977.49999999999989</v>
      </c>
      <c r="J61" s="2037"/>
      <c r="K61" s="2037" t="e">
        <f>K52</f>
        <v>#VALUE!</v>
      </c>
      <c r="L61" s="2037"/>
      <c r="M61" s="2037"/>
      <c r="N61" s="2037"/>
      <c r="O61" s="2037">
        <f>O52</f>
        <v>0</v>
      </c>
      <c r="P61" s="2037">
        <f>P52</f>
        <v>3794.9999999999995</v>
      </c>
      <c r="Q61" s="2037"/>
      <c r="R61" s="2037"/>
      <c r="S61" s="2037"/>
      <c r="T61" s="2037"/>
      <c r="U61" s="2037">
        <f>U52</f>
        <v>1092.5</v>
      </c>
      <c r="V61" s="2037"/>
      <c r="W61" s="2037"/>
      <c r="X61" s="2037"/>
      <c r="Y61" s="2029"/>
      <c r="Z61" s="2029"/>
      <c r="AA61" s="2029"/>
      <c r="AB61" s="2029"/>
      <c r="AC61" s="2029"/>
      <c r="AD61" s="2029"/>
      <c r="AE61" s="2029"/>
      <c r="AF61" s="2029"/>
      <c r="AG61" s="2029"/>
      <c r="AH61" s="2029"/>
      <c r="AI61" s="2029"/>
      <c r="AJ61" s="2029"/>
      <c r="AK61" s="2029"/>
    </row>
    <row r="62" spans="1:37" s="1478" customFormat="1" hidden="1" outlineLevel="3">
      <c r="A62" s="1498" t="s">
        <v>206</v>
      </c>
      <c r="B62" s="1498" t="s">
        <v>206</v>
      </c>
      <c r="C62" s="1501" t="s">
        <v>280</v>
      </c>
      <c r="D62" s="1502" t="str">
        <f>Покрытия_ПВХ!E33</f>
        <v>Сноу</v>
      </c>
      <c r="E62" s="2037">
        <f>E52</f>
        <v>1782.4999999999998</v>
      </c>
      <c r="F62" s="2037">
        <f>F52</f>
        <v>1782.4999999999998</v>
      </c>
      <c r="G62" s="2037"/>
      <c r="H62" s="2043" t="e">
        <f t="shared" si="0"/>
        <v>#REF!</v>
      </c>
      <c r="I62" s="2037">
        <f>I52</f>
        <v>977.49999999999989</v>
      </c>
      <c r="J62" s="2037"/>
      <c r="K62" s="2037" t="e">
        <f>K52</f>
        <v>#VALUE!</v>
      </c>
      <c r="L62" s="2037"/>
      <c r="M62" s="2037"/>
      <c r="N62" s="2037"/>
      <c r="O62" s="2037">
        <f>O52</f>
        <v>0</v>
      </c>
      <c r="P62" s="2037">
        <f>P52</f>
        <v>3794.9999999999995</v>
      </c>
      <c r="Q62" s="2037"/>
      <c r="R62" s="2037"/>
      <c r="S62" s="2037"/>
      <c r="T62" s="2037"/>
      <c r="U62" s="2037">
        <f>U52</f>
        <v>1092.5</v>
      </c>
      <c r="V62" s="2037"/>
      <c r="W62" s="2037"/>
      <c r="X62" s="2037"/>
      <c r="Y62" s="2029"/>
      <c r="Z62" s="2029"/>
      <c r="AA62" s="2029"/>
      <c r="AB62" s="2029"/>
      <c r="AC62" s="2029"/>
      <c r="AD62" s="2029"/>
      <c r="AE62" s="2029"/>
      <c r="AF62" s="2029"/>
      <c r="AG62" s="2029"/>
      <c r="AH62" s="2029"/>
      <c r="AI62" s="2029"/>
      <c r="AJ62" s="2029"/>
      <c r="AK62" s="2029"/>
    </row>
    <row r="63" spans="1:37" s="1478" customFormat="1" hidden="1" outlineLevel="3">
      <c r="A63" s="1498" t="s">
        <v>206</v>
      </c>
      <c r="B63" s="1498" t="s">
        <v>206</v>
      </c>
      <c r="C63" s="1501" t="s">
        <v>280</v>
      </c>
      <c r="D63" s="1502" t="str">
        <f>Покрытия_ПВХ!E34</f>
        <v>Кеймстоун</v>
      </c>
      <c r="E63" s="2037">
        <f>E52</f>
        <v>1782.4999999999998</v>
      </c>
      <c r="F63" s="2037">
        <f>F52</f>
        <v>1782.4999999999998</v>
      </c>
      <c r="G63" s="2037"/>
      <c r="H63" s="2043" t="e">
        <f t="shared" si="0"/>
        <v>#REF!</v>
      </c>
      <c r="I63" s="2037">
        <f>I52</f>
        <v>977.49999999999989</v>
      </c>
      <c r="J63" s="2037"/>
      <c r="K63" s="2037" t="e">
        <f>K52</f>
        <v>#VALUE!</v>
      </c>
      <c r="L63" s="2037"/>
      <c r="M63" s="2037"/>
      <c r="N63" s="2037"/>
      <c r="O63" s="2037">
        <f>O52</f>
        <v>0</v>
      </c>
      <c r="P63" s="2037">
        <f>P52</f>
        <v>3794.9999999999995</v>
      </c>
      <c r="Q63" s="2037"/>
      <c r="R63" s="2037"/>
      <c r="S63" s="2037"/>
      <c r="T63" s="2037"/>
      <c r="U63" s="2037">
        <f>U52</f>
        <v>1092.5</v>
      </c>
      <c r="V63" s="2037"/>
      <c r="W63" s="2037"/>
      <c r="X63" s="2037"/>
      <c r="Y63" s="2029"/>
      <c r="Z63" s="2029"/>
      <c r="AA63" s="2029"/>
      <c r="AB63" s="2029"/>
      <c r="AC63" s="2029"/>
      <c r="AD63" s="2029"/>
      <c r="AE63" s="2029"/>
      <c r="AF63" s="2029"/>
      <c r="AG63" s="2029"/>
      <c r="AH63" s="2029"/>
      <c r="AI63" s="2029"/>
      <c r="AJ63" s="2029"/>
      <c r="AK63" s="2029"/>
    </row>
    <row r="64" spans="1:37" s="1478" customFormat="1" hidden="1" outlineLevel="3">
      <c r="A64" s="1498" t="s">
        <v>206</v>
      </c>
      <c r="B64" s="1498" t="s">
        <v>206</v>
      </c>
      <c r="C64" s="1501" t="s">
        <v>280</v>
      </c>
      <c r="D64" s="1502" t="str">
        <f>Покрытия_ПВХ!E35</f>
        <v>Пит</v>
      </c>
      <c r="E64" s="2037">
        <f>E52</f>
        <v>1782.4999999999998</v>
      </c>
      <c r="F64" s="2037">
        <f>F52</f>
        <v>1782.4999999999998</v>
      </c>
      <c r="G64" s="2037"/>
      <c r="H64" s="2043" t="e">
        <f t="shared" si="0"/>
        <v>#REF!</v>
      </c>
      <c r="I64" s="2037">
        <f>I52</f>
        <v>977.49999999999989</v>
      </c>
      <c r="J64" s="2037"/>
      <c r="K64" s="2037" t="e">
        <f>K52</f>
        <v>#VALUE!</v>
      </c>
      <c r="L64" s="2037"/>
      <c r="M64" s="2037"/>
      <c r="N64" s="2037"/>
      <c r="O64" s="2037">
        <f>O52</f>
        <v>0</v>
      </c>
      <c r="P64" s="2037">
        <f>P52</f>
        <v>3794.9999999999995</v>
      </c>
      <c r="Q64" s="2037"/>
      <c r="R64" s="2037"/>
      <c r="S64" s="2037"/>
      <c r="T64" s="2037"/>
      <c r="U64" s="2037">
        <f>U52</f>
        <v>1092.5</v>
      </c>
      <c r="V64" s="2037"/>
      <c r="W64" s="2037"/>
      <c r="X64" s="2037"/>
      <c r="Y64" s="2029"/>
      <c r="Z64" s="2029"/>
      <c r="AA64" s="2029"/>
      <c r="AB64" s="2029"/>
      <c r="AC64" s="2029"/>
      <c r="AD64" s="2029"/>
      <c r="AE64" s="2029"/>
      <c r="AF64" s="2029"/>
      <c r="AG64" s="2029"/>
      <c r="AH64" s="2029"/>
      <c r="AI64" s="2029"/>
      <c r="AJ64" s="2029"/>
      <c r="AK64" s="2029"/>
    </row>
    <row r="65" spans="1:37" s="1478" customFormat="1" hidden="1" outlineLevel="3">
      <c r="A65" s="1498" t="s">
        <v>206</v>
      </c>
      <c r="B65" s="1498" t="s">
        <v>206</v>
      </c>
      <c r="C65" s="1501" t="s">
        <v>280</v>
      </c>
      <c r="D65" s="1502" t="e">
        <f>Покрытия_ПВХ!#REF!</f>
        <v>#REF!</v>
      </c>
      <c r="E65" s="2037">
        <f>E52</f>
        <v>1782.4999999999998</v>
      </c>
      <c r="F65" s="2037">
        <f>F52</f>
        <v>1782.4999999999998</v>
      </c>
      <c r="G65" s="2037"/>
      <c r="H65" s="2043" t="e">
        <f t="shared" si="0"/>
        <v>#REF!</v>
      </c>
      <c r="I65" s="2037">
        <f>I52</f>
        <v>977.49999999999989</v>
      </c>
      <c r="J65" s="2037"/>
      <c r="K65" s="2037" t="e">
        <f>K52</f>
        <v>#VALUE!</v>
      </c>
      <c r="L65" s="2037"/>
      <c r="M65" s="2037"/>
      <c r="N65" s="2037"/>
      <c r="O65" s="2037">
        <f>O52</f>
        <v>0</v>
      </c>
      <c r="P65" s="2037">
        <f>P52</f>
        <v>3794.9999999999995</v>
      </c>
      <c r="Q65" s="2037"/>
      <c r="R65" s="2037"/>
      <c r="S65" s="2037"/>
      <c r="T65" s="2037"/>
      <c r="U65" s="2037">
        <f>U52</f>
        <v>1092.5</v>
      </c>
      <c r="V65" s="2037"/>
      <c r="W65" s="2037"/>
      <c r="X65" s="2037"/>
      <c r="Y65" s="2029"/>
      <c r="Z65" s="2029"/>
      <c r="AA65" s="2029"/>
      <c r="AB65" s="2029"/>
      <c r="AC65" s="2029"/>
      <c r="AD65" s="2029"/>
      <c r="AE65" s="2029"/>
      <c r="AF65" s="2029"/>
      <c r="AG65" s="2029"/>
      <c r="AH65" s="2029"/>
      <c r="AI65" s="2029"/>
      <c r="AJ65" s="2029"/>
      <c r="AK65" s="2029"/>
    </row>
    <row r="66" spans="1:37" s="1478" customFormat="1" hidden="1" outlineLevel="3">
      <c r="A66" s="1498" t="s">
        <v>206</v>
      </c>
      <c r="B66" s="1498" t="s">
        <v>206</v>
      </c>
      <c r="C66" s="1501" t="s">
        <v>280</v>
      </c>
      <c r="D66" s="1502" t="e">
        <f>Покрытия_ПВХ!#REF!</f>
        <v>#REF!</v>
      </c>
      <c r="E66" s="2037">
        <f>E52</f>
        <v>1782.4999999999998</v>
      </c>
      <c r="F66" s="2037">
        <f>F52</f>
        <v>1782.4999999999998</v>
      </c>
      <c r="G66" s="2037"/>
      <c r="H66" s="2043" t="e">
        <f t="shared" si="0"/>
        <v>#REF!</v>
      </c>
      <c r="I66" s="2037">
        <f>I52</f>
        <v>977.49999999999989</v>
      </c>
      <c r="J66" s="2037"/>
      <c r="K66" s="2037" t="e">
        <f>K52</f>
        <v>#VALUE!</v>
      </c>
      <c r="L66" s="2037"/>
      <c r="M66" s="2037"/>
      <c r="N66" s="2037"/>
      <c r="O66" s="2037">
        <f>O52</f>
        <v>0</v>
      </c>
      <c r="P66" s="2037">
        <f>P52</f>
        <v>3794.9999999999995</v>
      </c>
      <c r="Q66" s="2037"/>
      <c r="R66" s="2037"/>
      <c r="S66" s="2037"/>
      <c r="T66" s="2037"/>
      <c r="U66" s="2037">
        <f>U52</f>
        <v>1092.5</v>
      </c>
      <c r="V66" s="2037"/>
      <c r="W66" s="2037"/>
      <c r="X66" s="2037"/>
      <c r="Y66" s="2029"/>
      <c r="Z66" s="2029"/>
      <c r="AA66" s="2029"/>
      <c r="AB66" s="2029"/>
      <c r="AC66" s="2029"/>
      <c r="AD66" s="2029"/>
      <c r="AE66" s="2029"/>
      <c r="AF66" s="2029"/>
      <c r="AG66" s="2029"/>
      <c r="AH66" s="2029"/>
      <c r="AI66" s="2029"/>
      <c r="AJ66" s="2029"/>
      <c r="AK66" s="2029"/>
    </row>
    <row r="67" spans="1:37" s="1478" customFormat="1" hidden="1" outlineLevel="3">
      <c r="A67" s="1498" t="s">
        <v>206</v>
      </c>
      <c r="B67" s="1498" t="s">
        <v>206</v>
      </c>
      <c r="C67" s="1501" t="s">
        <v>280</v>
      </c>
      <c r="D67" s="1502" t="e">
        <f>Покрытия_ПВХ!#REF!</f>
        <v>#REF!</v>
      </c>
      <c r="E67" s="2037">
        <f>E52</f>
        <v>1782.4999999999998</v>
      </c>
      <c r="F67" s="2037">
        <f>F52</f>
        <v>1782.4999999999998</v>
      </c>
      <c r="G67" s="2037"/>
      <c r="H67" s="2043" t="e">
        <f t="shared" si="0"/>
        <v>#REF!</v>
      </c>
      <c r="I67" s="2037">
        <f>I52</f>
        <v>977.49999999999989</v>
      </c>
      <c r="J67" s="2037"/>
      <c r="K67" s="2037" t="e">
        <f>K52</f>
        <v>#VALUE!</v>
      </c>
      <c r="L67" s="2037"/>
      <c r="M67" s="2037"/>
      <c r="N67" s="2037"/>
      <c r="O67" s="2037">
        <f>O52</f>
        <v>0</v>
      </c>
      <c r="P67" s="2037">
        <f>P52</f>
        <v>3794.9999999999995</v>
      </c>
      <c r="Q67" s="2037"/>
      <c r="R67" s="2037"/>
      <c r="S67" s="2037"/>
      <c r="T67" s="2037"/>
      <c r="U67" s="2037">
        <f>U52</f>
        <v>1092.5</v>
      </c>
      <c r="V67" s="2037"/>
      <c r="W67" s="2037"/>
      <c r="X67" s="2037"/>
      <c r="Y67" s="2029"/>
      <c r="Z67" s="2029"/>
      <c r="AA67" s="2029"/>
      <c r="AB67" s="2029"/>
      <c r="AC67" s="2029"/>
      <c r="AD67" s="2029"/>
      <c r="AE67" s="2029"/>
      <c r="AF67" s="2029"/>
      <c r="AG67" s="2029"/>
      <c r="AH67" s="2029"/>
      <c r="AI67" s="2029"/>
      <c r="AJ67" s="2029"/>
      <c r="AK67" s="2029"/>
    </row>
    <row r="68" spans="1:37" s="1478" customFormat="1" hidden="1" outlineLevel="3">
      <c r="A68" s="1498" t="s">
        <v>206</v>
      </c>
      <c r="B68" s="1498" t="s">
        <v>206</v>
      </c>
      <c r="C68" s="1501" t="s">
        <v>280</v>
      </c>
      <c r="D68" s="1502" t="e">
        <f>Покрытия_ПВХ!#REF!</f>
        <v>#REF!</v>
      </c>
      <c r="E68" s="2037">
        <f>E52</f>
        <v>1782.4999999999998</v>
      </c>
      <c r="F68" s="2037">
        <f>F52</f>
        <v>1782.4999999999998</v>
      </c>
      <c r="G68" s="2037"/>
      <c r="H68" s="2043" t="e">
        <f t="shared" si="0"/>
        <v>#REF!</v>
      </c>
      <c r="I68" s="2037">
        <f>I52</f>
        <v>977.49999999999989</v>
      </c>
      <c r="J68" s="2037"/>
      <c r="K68" s="2037" t="e">
        <f>K52</f>
        <v>#VALUE!</v>
      </c>
      <c r="L68" s="2037"/>
      <c r="M68" s="2037"/>
      <c r="N68" s="2037"/>
      <c r="O68" s="2037">
        <f>O52</f>
        <v>0</v>
      </c>
      <c r="P68" s="2037">
        <f>P52</f>
        <v>3794.9999999999995</v>
      </c>
      <c r="Q68" s="2037"/>
      <c r="R68" s="2037"/>
      <c r="S68" s="2037"/>
      <c r="T68" s="2037"/>
      <c r="U68" s="2037">
        <f>U52</f>
        <v>1092.5</v>
      </c>
      <c r="V68" s="2037"/>
      <c r="W68" s="2037"/>
      <c r="X68" s="2037"/>
      <c r="Y68" s="2029"/>
      <c r="Z68" s="2029"/>
      <c r="AA68" s="2029"/>
      <c r="AB68" s="2029"/>
      <c r="AC68" s="2029"/>
      <c r="AD68" s="2029"/>
      <c r="AE68" s="2029"/>
      <c r="AF68" s="2029"/>
      <c r="AG68" s="2029"/>
      <c r="AH68" s="2029"/>
      <c r="AI68" s="2029"/>
      <c r="AJ68" s="2029"/>
      <c r="AK68" s="2029"/>
    </row>
    <row r="69" spans="1:37" s="1478" customFormat="1" hidden="1" outlineLevel="3">
      <c r="A69" s="1498" t="s">
        <v>206</v>
      </c>
      <c r="B69" s="1498" t="s">
        <v>206</v>
      </c>
      <c r="C69" s="1501" t="s">
        <v>1164</v>
      </c>
      <c r="D69" s="1502" t="e">
        <f>Покрытия_ПВХ!#REF!</f>
        <v>#REF!</v>
      </c>
      <c r="E69" s="2037">
        <f>E52</f>
        <v>1782.4999999999998</v>
      </c>
      <c r="F69" s="2037">
        <f>F52</f>
        <v>1782.4999999999998</v>
      </c>
      <c r="G69" s="2037"/>
      <c r="H69" s="2043" t="e">
        <f t="shared" si="0"/>
        <v>#REF!</v>
      </c>
      <c r="I69" s="2037">
        <f>I52</f>
        <v>977.49999999999989</v>
      </c>
      <c r="J69" s="2037"/>
      <c r="K69" s="2037" t="e">
        <f>K52</f>
        <v>#VALUE!</v>
      </c>
      <c r="L69" s="2037"/>
      <c r="M69" s="2037"/>
      <c r="N69" s="2037"/>
      <c r="O69" s="2037">
        <f>O52</f>
        <v>0</v>
      </c>
      <c r="P69" s="2037">
        <f>P52</f>
        <v>3794.9999999999995</v>
      </c>
      <c r="Q69" s="2037"/>
      <c r="R69" s="2037"/>
      <c r="S69" s="2037"/>
      <c r="T69" s="2037"/>
      <c r="U69" s="2037">
        <f>U52</f>
        <v>1092.5</v>
      </c>
      <c r="V69" s="2037"/>
      <c r="W69" s="2037"/>
      <c r="X69" s="2037"/>
      <c r="Y69" s="2029"/>
      <c r="Z69" s="2029"/>
      <c r="AA69" s="2029"/>
      <c r="AB69" s="2029"/>
      <c r="AC69" s="2029"/>
      <c r="AD69" s="2029"/>
      <c r="AE69" s="2029"/>
      <c r="AF69" s="2029"/>
      <c r="AG69" s="2029"/>
      <c r="AH69" s="2029"/>
      <c r="AI69" s="2029"/>
      <c r="AJ69" s="2029"/>
      <c r="AK69" s="2029"/>
    </row>
    <row r="70" spans="1:37" s="1478" customFormat="1" hidden="1" outlineLevel="3">
      <c r="A70" s="1498" t="s">
        <v>206</v>
      </c>
      <c r="B70" s="1498" t="s">
        <v>206</v>
      </c>
      <c r="C70" s="1501" t="s">
        <v>1164</v>
      </c>
      <c r="D70" s="1502" t="e">
        <f>Покрытия_ПВХ!#REF!</f>
        <v>#REF!</v>
      </c>
      <c r="E70" s="2037">
        <f>E52</f>
        <v>1782.4999999999998</v>
      </c>
      <c r="F70" s="2037">
        <f>F52</f>
        <v>1782.4999999999998</v>
      </c>
      <c r="G70" s="2037"/>
      <c r="H70" s="2043" t="e">
        <f t="shared" si="0"/>
        <v>#REF!</v>
      </c>
      <c r="I70" s="2037">
        <f>I52</f>
        <v>977.49999999999989</v>
      </c>
      <c r="J70" s="2037"/>
      <c r="K70" s="2037" t="e">
        <f>K52</f>
        <v>#VALUE!</v>
      </c>
      <c r="L70" s="2037"/>
      <c r="M70" s="2037"/>
      <c r="N70" s="2037"/>
      <c r="O70" s="2037">
        <f>O52</f>
        <v>0</v>
      </c>
      <c r="P70" s="2037">
        <f>P52</f>
        <v>3794.9999999999995</v>
      </c>
      <c r="Q70" s="2037"/>
      <c r="R70" s="2037"/>
      <c r="S70" s="2037"/>
      <c r="T70" s="2037"/>
      <c r="U70" s="2037">
        <f>U52</f>
        <v>1092.5</v>
      </c>
      <c r="V70" s="2037"/>
      <c r="W70" s="2037"/>
      <c r="X70" s="2037"/>
      <c r="Y70" s="2029"/>
      <c r="Z70" s="2029"/>
      <c r="AA70" s="2029"/>
      <c r="AB70" s="2029"/>
      <c r="AC70" s="2029"/>
      <c r="AD70" s="2029"/>
      <c r="AE70" s="2029"/>
      <c r="AF70" s="2029"/>
      <c r="AG70" s="2029"/>
      <c r="AH70" s="2029"/>
      <c r="AI70" s="2029"/>
      <c r="AJ70" s="2029"/>
      <c r="AK70" s="2029"/>
    </row>
    <row r="71" spans="1:37" s="1478" customFormat="1" hidden="1" outlineLevel="3">
      <c r="A71" s="1498" t="s">
        <v>206</v>
      </c>
      <c r="B71" s="1498" t="s">
        <v>206</v>
      </c>
      <c r="C71" s="1501" t="s">
        <v>1164</v>
      </c>
      <c r="D71" s="1502" t="e">
        <f>Покрытия_ПВХ!#REF!</f>
        <v>#REF!</v>
      </c>
      <c r="E71" s="2037">
        <f>E52</f>
        <v>1782.4999999999998</v>
      </c>
      <c r="F71" s="2037">
        <f>F52</f>
        <v>1782.4999999999998</v>
      </c>
      <c r="G71" s="2037"/>
      <c r="H71" s="2043" t="e">
        <f t="shared" si="0"/>
        <v>#REF!</v>
      </c>
      <c r="I71" s="2037">
        <f>I52</f>
        <v>977.49999999999989</v>
      </c>
      <c r="J71" s="2037"/>
      <c r="K71" s="2037" t="e">
        <f>K52</f>
        <v>#VALUE!</v>
      </c>
      <c r="L71" s="2037"/>
      <c r="M71" s="2037"/>
      <c r="N71" s="2037"/>
      <c r="O71" s="2037">
        <f>O52</f>
        <v>0</v>
      </c>
      <c r="P71" s="2037">
        <f>P52</f>
        <v>3794.9999999999995</v>
      </c>
      <c r="Q71" s="2037"/>
      <c r="R71" s="2037"/>
      <c r="S71" s="2037"/>
      <c r="T71" s="2037"/>
      <c r="U71" s="2037">
        <f>U52</f>
        <v>1092.5</v>
      </c>
      <c r="V71" s="2037"/>
      <c r="W71" s="2037"/>
      <c r="X71" s="2037"/>
      <c r="Y71" s="2029"/>
      <c r="Z71" s="2029"/>
      <c r="AA71" s="2029"/>
      <c r="AB71" s="2029"/>
      <c r="AC71" s="2029"/>
      <c r="AD71" s="2029"/>
      <c r="AE71" s="2029"/>
      <c r="AF71" s="2029"/>
      <c r="AG71" s="2029"/>
      <c r="AH71" s="2029"/>
      <c r="AI71" s="2029"/>
      <c r="AJ71" s="2029"/>
      <c r="AK71" s="2029"/>
    </row>
    <row r="72" spans="1:37" s="1478" customFormat="1" hidden="1" outlineLevel="3">
      <c r="A72" s="1498" t="s">
        <v>206</v>
      </c>
      <c r="B72" s="1498" t="s">
        <v>206</v>
      </c>
      <c r="C72" s="1501" t="s">
        <v>1164</v>
      </c>
      <c r="D72" s="1502" t="e">
        <f>Покрытия_ПВХ!#REF!</f>
        <v>#REF!</v>
      </c>
      <c r="E72" s="2037">
        <f>E52</f>
        <v>1782.4999999999998</v>
      </c>
      <c r="F72" s="2037">
        <f>F52</f>
        <v>1782.4999999999998</v>
      </c>
      <c r="G72" s="2037"/>
      <c r="H72" s="2043" t="e">
        <f t="shared" ref="H72:H81" si="1">$H$6</f>
        <v>#REF!</v>
      </c>
      <c r="I72" s="2037">
        <f>I52</f>
        <v>977.49999999999989</v>
      </c>
      <c r="J72" s="2037"/>
      <c r="K72" s="2037" t="e">
        <f>K52</f>
        <v>#VALUE!</v>
      </c>
      <c r="L72" s="2037"/>
      <c r="M72" s="2037"/>
      <c r="N72" s="2037"/>
      <c r="O72" s="2037">
        <f>O52</f>
        <v>0</v>
      </c>
      <c r="P72" s="2037">
        <f>P52</f>
        <v>3794.9999999999995</v>
      </c>
      <c r="Q72" s="2037"/>
      <c r="R72" s="2037"/>
      <c r="S72" s="2037"/>
      <c r="T72" s="2037"/>
      <c r="U72" s="2037">
        <f>U52</f>
        <v>1092.5</v>
      </c>
      <c r="V72" s="2037"/>
      <c r="W72" s="2037"/>
      <c r="X72" s="2037"/>
      <c r="Y72" s="2029"/>
      <c r="Z72" s="2029"/>
      <c r="AA72" s="2029"/>
      <c r="AB72" s="2029"/>
      <c r="AC72" s="2029"/>
      <c r="AD72" s="2029"/>
      <c r="AE72" s="2029"/>
      <c r="AF72" s="2029"/>
      <c r="AG72" s="2029"/>
      <c r="AH72" s="2029"/>
      <c r="AI72" s="2029"/>
      <c r="AJ72" s="2029"/>
      <c r="AK72" s="2029"/>
    </row>
    <row r="73" spans="1:37" s="1478" customFormat="1" hidden="1" outlineLevel="3">
      <c r="A73" s="1498" t="s">
        <v>206</v>
      </c>
      <c r="B73" s="1498" t="s">
        <v>206</v>
      </c>
      <c r="C73" s="1501" t="s">
        <v>1164</v>
      </c>
      <c r="D73" s="1502" t="e">
        <f>Покрытия_ПВХ!#REF!</f>
        <v>#REF!</v>
      </c>
      <c r="E73" s="2037">
        <f>E52</f>
        <v>1782.4999999999998</v>
      </c>
      <c r="F73" s="2037">
        <f>F52</f>
        <v>1782.4999999999998</v>
      </c>
      <c r="G73" s="2037"/>
      <c r="H73" s="2043" t="e">
        <f t="shared" si="1"/>
        <v>#REF!</v>
      </c>
      <c r="I73" s="2037">
        <f>I52</f>
        <v>977.49999999999989</v>
      </c>
      <c r="J73" s="2037"/>
      <c r="K73" s="2037" t="e">
        <f>K52</f>
        <v>#VALUE!</v>
      </c>
      <c r="L73" s="2037"/>
      <c r="M73" s="2037"/>
      <c r="N73" s="2037"/>
      <c r="O73" s="2037">
        <f>O52</f>
        <v>0</v>
      </c>
      <c r="P73" s="2037">
        <f>P52</f>
        <v>3794.9999999999995</v>
      </c>
      <c r="Q73" s="2037"/>
      <c r="R73" s="2037"/>
      <c r="S73" s="2037"/>
      <c r="T73" s="2037"/>
      <c r="U73" s="2037">
        <f>U52</f>
        <v>1092.5</v>
      </c>
      <c r="V73" s="2037"/>
      <c r="W73" s="2037"/>
      <c r="X73" s="2037"/>
      <c r="Y73" s="2029"/>
      <c r="Z73" s="2029"/>
      <c r="AA73" s="2029"/>
      <c r="AB73" s="2029"/>
      <c r="AC73" s="2029"/>
      <c r="AD73" s="2029"/>
      <c r="AE73" s="2029"/>
      <c r="AF73" s="2029"/>
      <c r="AG73" s="2029"/>
      <c r="AH73" s="2029"/>
      <c r="AI73" s="2029"/>
      <c r="AJ73" s="2029"/>
      <c r="AK73" s="2029"/>
    </row>
    <row r="74" spans="1:37" s="1478" customFormat="1" hidden="1" outlineLevel="3">
      <c r="A74" s="1498" t="s">
        <v>206</v>
      </c>
      <c r="B74" s="1498" t="s">
        <v>206</v>
      </c>
      <c r="C74" s="1501" t="s">
        <v>1164</v>
      </c>
      <c r="D74" s="1502" t="e">
        <f>Покрытия_ПВХ!#REF!</f>
        <v>#REF!</v>
      </c>
      <c r="E74" s="2037">
        <f>E52</f>
        <v>1782.4999999999998</v>
      </c>
      <c r="F74" s="2037">
        <f>F52</f>
        <v>1782.4999999999998</v>
      </c>
      <c r="G74" s="2037"/>
      <c r="H74" s="2043" t="e">
        <f t="shared" si="1"/>
        <v>#REF!</v>
      </c>
      <c r="I74" s="2037">
        <f>I52</f>
        <v>977.49999999999989</v>
      </c>
      <c r="J74" s="2037"/>
      <c r="K74" s="2037" t="e">
        <f>K52</f>
        <v>#VALUE!</v>
      </c>
      <c r="L74" s="2037"/>
      <c r="M74" s="2037"/>
      <c r="N74" s="2037"/>
      <c r="O74" s="2037">
        <f>O52</f>
        <v>0</v>
      </c>
      <c r="P74" s="2037">
        <f>P52</f>
        <v>3794.9999999999995</v>
      </c>
      <c r="Q74" s="2037"/>
      <c r="R74" s="2037"/>
      <c r="S74" s="2037"/>
      <c r="T74" s="2037"/>
      <c r="U74" s="2037">
        <f>U52</f>
        <v>1092.5</v>
      </c>
      <c r="V74" s="2037"/>
      <c r="W74" s="2037"/>
      <c r="X74" s="2037"/>
      <c r="Y74" s="2029"/>
      <c r="Z74" s="2029"/>
      <c r="AA74" s="2029"/>
      <c r="AB74" s="2029"/>
      <c r="AC74" s="2029"/>
      <c r="AD74" s="2029"/>
      <c r="AE74" s="2029"/>
      <c r="AF74" s="2029"/>
      <c r="AG74" s="2029"/>
      <c r="AH74" s="2029"/>
      <c r="AI74" s="2029"/>
      <c r="AJ74" s="2029"/>
      <c r="AK74" s="2029"/>
    </row>
    <row r="75" spans="1:37" s="1478" customFormat="1" hidden="1" outlineLevel="3">
      <c r="A75" s="1498" t="s">
        <v>206</v>
      </c>
      <c r="B75" s="1498" t="s">
        <v>206</v>
      </c>
      <c r="C75" s="1501" t="s">
        <v>1164</v>
      </c>
      <c r="D75" s="1503" t="e">
        <f>Покрытия_ПВХ!#REF!</f>
        <v>#REF!</v>
      </c>
      <c r="E75" s="2037">
        <f>E52</f>
        <v>1782.4999999999998</v>
      </c>
      <c r="F75" s="2037">
        <f>F52</f>
        <v>1782.4999999999998</v>
      </c>
      <c r="G75" s="2037"/>
      <c r="H75" s="2043" t="e">
        <f t="shared" si="1"/>
        <v>#REF!</v>
      </c>
      <c r="I75" s="2037">
        <f>I52</f>
        <v>977.49999999999989</v>
      </c>
      <c r="J75" s="2037"/>
      <c r="K75" s="2037" t="e">
        <f>K52</f>
        <v>#VALUE!</v>
      </c>
      <c r="L75" s="2037"/>
      <c r="M75" s="2037"/>
      <c r="N75" s="2037"/>
      <c r="O75" s="2037">
        <f>O52</f>
        <v>0</v>
      </c>
      <c r="P75" s="2037">
        <f>P52</f>
        <v>3794.9999999999995</v>
      </c>
      <c r="Q75" s="2037"/>
      <c r="R75" s="2037"/>
      <c r="S75" s="2037"/>
      <c r="T75" s="2037"/>
      <c r="U75" s="2037">
        <f>U52</f>
        <v>1092.5</v>
      </c>
      <c r="V75" s="2037"/>
      <c r="W75" s="2037"/>
      <c r="X75" s="2037"/>
      <c r="Y75" s="2029"/>
      <c r="Z75" s="2029"/>
      <c r="AA75" s="2029"/>
      <c r="AB75" s="2029"/>
      <c r="AC75" s="2029"/>
      <c r="AD75" s="2029"/>
      <c r="AE75" s="2029"/>
      <c r="AF75" s="2029"/>
      <c r="AG75" s="2029"/>
      <c r="AH75" s="2029"/>
      <c r="AI75" s="2029"/>
      <c r="AJ75" s="2029"/>
      <c r="AK75" s="2029"/>
    </row>
    <row r="76" spans="1:37" s="1482" customFormat="1" hidden="1" outlineLevel="2">
      <c r="A76" s="1504" t="s">
        <v>206</v>
      </c>
      <c r="B76" s="1504" t="s">
        <v>206</v>
      </c>
      <c r="C76" s="1505" t="s">
        <v>278</v>
      </c>
      <c r="D76" s="1506" t="str">
        <f>Покрытия_ПВХ!E49</f>
        <v>Белая кожа</v>
      </c>
      <c r="E76" s="2045">
        <f>E10*1.2</f>
        <v>1860</v>
      </c>
      <c r="F76" s="2045">
        <f>F10*1.2</f>
        <v>1860</v>
      </c>
      <c r="G76" s="2045"/>
      <c r="H76" s="2043" t="e">
        <f t="shared" si="1"/>
        <v>#REF!</v>
      </c>
      <c r="I76" s="2045">
        <f>I10*1.2</f>
        <v>1020</v>
      </c>
      <c r="J76" s="2040"/>
      <c r="K76" s="2045" t="e">
        <f>K10*1.2</f>
        <v>#VALUE!</v>
      </c>
      <c r="L76" s="2045"/>
      <c r="M76" s="2045"/>
      <c r="N76" s="2045"/>
      <c r="O76" s="2045">
        <f>O10*1.2</f>
        <v>0</v>
      </c>
      <c r="P76" s="2045">
        <f>P10*1.2</f>
        <v>3960</v>
      </c>
      <c r="Q76" s="2045"/>
      <c r="R76" s="2045"/>
      <c r="S76" s="2045"/>
      <c r="T76" s="2045"/>
      <c r="U76" s="2045">
        <f>U10*1.2</f>
        <v>1140</v>
      </c>
      <c r="V76" s="2045"/>
      <c r="W76" s="2045"/>
      <c r="X76" s="2038"/>
      <c r="Y76" s="2029"/>
      <c r="Z76" s="2041"/>
      <c r="AA76" s="2041"/>
      <c r="AB76" s="2041"/>
      <c r="AC76" s="2041"/>
      <c r="AD76" s="2041"/>
      <c r="AE76" s="2041"/>
      <c r="AF76" s="2041"/>
      <c r="AG76" s="2041"/>
      <c r="AH76" s="2041"/>
      <c r="AI76" s="2041"/>
      <c r="AJ76" s="2041"/>
      <c r="AK76" s="2041"/>
    </row>
    <row r="77" spans="1:37" s="1478" customFormat="1" hidden="1" outlineLevel="3">
      <c r="A77" s="1504" t="s">
        <v>206</v>
      </c>
      <c r="B77" s="1504" t="s">
        <v>206</v>
      </c>
      <c r="C77" s="1507" t="s">
        <v>278</v>
      </c>
      <c r="D77" s="1508" t="str">
        <f>Покрытия_ПВХ!E50</f>
        <v>Молочная кожа</v>
      </c>
      <c r="E77" s="2037">
        <f>E76</f>
        <v>1860</v>
      </c>
      <c r="F77" s="2037">
        <f>F76</f>
        <v>1860</v>
      </c>
      <c r="G77" s="2037"/>
      <c r="H77" s="2043" t="e">
        <f t="shared" si="1"/>
        <v>#REF!</v>
      </c>
      <c r="I77" s="2037">
        <f>I76</f>
        <v>1020</v>
      </c>
      <c r="J77" s="2037"/>
      <c r="K77" s="2037" t="e">
        <f>K76</f>
        <v>#VALUE!</v>
      </c>
      <c r="L77" s="2037"/>
      <c r="M77" s="2037"/>
      <c r="N77" s="2037"/>
      <c r="O77" s="2037">
        <f>O76</f>
        <v>0</v>
      </c>
      <c r="P77" s="2037">
        <f>P76</f>
        <v>3960</v>
      </c>
      <c r="Q77" s="2037"/>
      <c r="R77" s="2037"/>
      <c r="S77" s="2037"/>
      <c r="T77" s="2037"/>
      <c r="U77" s="2037">
        <f>U76</f>
        <v>1140</v>
      </c>
      <c r="V77" s="2037"/>
      <c r="W77" s="2037"/>
      <c r="X77" s="2037"/>
      <c r="Y77" s="2029"/>
      <c r="Z77" s="2029"/>
      <c r="AA77" s="2029"/>
      <c r="AB77" s="2029"/>
      <c r="AC77" s="2029"/>
      <c r="AD77" s="2029"/>
      <c r="AE77" s="2029"/>
      <c r="AF77" s="2029"/>
      <c r="AG77" s="2029"/>
      <c r="AH77" s="2029"/>
      <c r="AI77" s="2029"/>
      <c r="AJ77" s="2029"/>
      <c r="AK77" s="2029"/>
    </row>
    <row r="78" spans="1:37" s="1478" customFormat="1" hidden="1" outlineLevel="3">
      <c r="A78" s="1504" t="s">
        <v>206</v>
      </c>
      <c r="B78" s="1504" t="s">
        <v>206</v>
      </c>
      <c r="C78" s="1507" t="s">
        <v>278</v>
      </c>
      <c r="D78" s="1508" t="str">
        <f>Покрытия_ПВХ!E51</f>
        <v>Коричневая кожа</v>
      </c>
      <c r="E78" s="2037">
        <f>E76</f>
        <v>1860</v>
      </c>
      <c r="F78" s="2037">
        <f>F76</f>
        <v>1860</v>
      </c>
      <c r="G78" s="2037"/>
      <c r="H78" s="2043" t="e">
        <f t="shared" si="1"/>
        <v>#REF!</v>
      </c>
      <c r="I78" s="2037">
        <f>I76</f>
        <v>1020</v>
      </c>
      <c r="J78" s="2037"/>
      <c r="K78" s="2037" t="e">
        <f>K76</f>
        <v>#VALUE!</v>
      </c>
      <c r="L78" s="2037"/>
      <c r="M78" s="2037"/>
      <c r="N78" s="2037"/>
      <c r="O78" s="2037">
        <f>O76</f>
        <v>0</v>
      </c>
      <c r="P78" s="2037">
        <f>P76</f>
        <v>3960</v>
      </c>
      <c r="Q78" s="2037"/>
      <c r="R78" s="2037"/>
      <c r="S78" s="2037"/>
      <c r="T78" s="2037"/>
      <c r="U78" s="2037">
        <f>U76</f>
        <v>1140</v>
      </c>
      <c r="V78" s="2037"/>
      <c r="W78" s="2037"/>
      <c r="X78" s="2037"/>
      <c r="Y78" s="2029"/>
      <c r="Z78" s="2029"/>
      <c r="AA78" s="2029"/>
      <c r="AB78" s="2029"/>
      <c r="AC78" s="2029"/>
      <c r="AD78" s="2029"/>
      <c r="AE78" s="2029"/>
      <c r="AF78" s="2029"/>
      <c r="AG78" s="2029"/>
      <c r="AH78" s="2029"/>
      <c r="AI78" s="2029"/>
      <c r="AJ78" s="2029"/>
      <c r="AK78" s="2029"/>
    </row>
    <row r="79" spans="1:37" s="1478" customFormat="1" hidden="1" outlineLevel="3">
      <c r="A79" s="1504" t="s">
        <v>206</v>
      </c>
      <c r="B79" s="1504" t="s">
        <v>206</v>
      </c>
      <c r="C79" s="1507" t="s">
        <v>281</v>
      </c>
      <c r="D79" s="1508" t="e">
        <f>Покрытия_ПВХ!#REF!</f>
        <v>#REF!</v>
      </c>
      <c r="E79" s="2037">
        <f>E76</f>
        <v>1860</v>
      </c>
      <c r="F79" s="2037">
        <f>F76</f>
        <v>1860</v>
      </c>
      <c r="G79" s="2037"/>
      <c r="H79" s="2043" t="e">
        <f t="shared" si="1"/>
        <v>#REF!</v>
      </c>
      <c r="I79" s="2037">
        <f>I76</f>
        <v>1020</v>
      </c>
      <c r="J79" s="2037"/>
      <c r="K79" s="2037" t="e">
        <f>K76</f>
        <v>#VALUE!</v>
      </c>
      <c r="L79" s="2037"/>
      <c r="M79" s="2037"/>
      <c r="N79" s="2037"/>
      <c r="O79" s="2037">
        <f>O76</f>
        <v>0</v>
      </c>
      <c r="P79" s="2037">
        <f>P76</f>
        <v>3960</v>
      </c>
      <c r="Q79" s="2037"/>
      <c r="R79" s="2037"/>
      <c r="S79" s="2037"/>
      <c r="T79" s="2037"/>
      <c r="U79" s="2037">
        <f>U76</f>
        <v>1140</v>
      </c>
      <c r="V79" s="2037"/>
      <c r="W79" s="2037"/>
      <c r="X79" s="2037"/>
      <c r="Y79" s="2029"/>
      <c r="Z79" s="2029"/>
      <c r="AA79" s="2029"/>
      <c r="AB79" s="2029"/>
      <c r="AC79" s="2029"/>
      <c r="AD79" s="2029"/>
      <c r="AE79" s="2029"/>
      <c r="AF79" s="2029"/>
      <c r="AG79" s="2029"/>
      <c r="AH79" s="2029"/>
      <c r="AI79" s="2029"/>
      <c r="AJ79" s="2029"/>
      <c r="AK79" s="2029"/>
    </row>
    <row r="80" spans="1:37" s="1478" customFormat="1" hidden="1" outlineLevel="3">
      <c r="A80" s="1504" t="s">
        <v>206</v>
      </c>
      <c r="B80" s="1504" t="s">
        <v>206</v>
      </c>
      <c r="C80" s="1507" t="s">
        <v>281</v>
      </c>
      <c r="D80" s="1508" t="e">
        <f>Покрытия_ПВХ!#REF!</f>
        <v>#REF!</v>
      </c>
      <c r="E80" s="2037">
        <f>E76</f>
        <v>1860</v>
      </c>
      <c r="F80" s="2037">
        <f>F76</f>
        <v>1860</v>
      </c>
      <c r="G80" s="2037"/>
      <c r="H80" s="2043" t="e">
        <f t="shared" si="1"/>
        <v>#REF!</v>
      </c>
      <c r="I80" s="2037">
        <f>I76</f>
        <v>1020</v>
      </c>
      <c r="J80" s="2037"/>
      <c r="K80" s="2037" t="e">
        <f>K76</f>
        <v>#VALUE!</v>
      </c>
      <c r="L80" s="2037"/>
      <c r="M80" s="2037"/>
      <c r="N80" s="2037"/>
      <c r="O80" s="2037">
        <f>O76</f>
        <v>0</v>
      </c>
      <c r="P80" s="2037">
        <f>P76</f>
        <v>3960</v>
      </c>
      <c r="Q80" s="2037"/>
      <c r="R80" s="2037"/>
      <c r="S80" s="2037"/>
      <c r="T80" s="2037"/>
      <c r="U80" s="2037">
        <f>U76</f>
        <v>1140</v>
      </c>
      <c r="V80" s="2037"/>
      <c r="W80" s="2037"/>
      <c r="X80" s="2037"/>
      <c r="Y80" s="2029"/>
      <c r="Z80" s="2029"/>
      <c r="AA80" s="2029"/>
      <c r="AB80" s="2029"/>
      <c r="AC80" s="2029"/>
      <c r="AD80" s="2029"/>
      <c r="AE80" s="2029"/>
      <c r="AF80" s="2029"/>
      <c r="AG80" s="2029"/>
      <c r="AH80" s="2029"/>
      <c r="AI80" s="2029"/>
      <c r="AJ80" s="2029"/>
      <c r="AK80" s="2029"/>
    </row>
    <row r="81" spans="1:37" s="1478" customFormat="1" hidden="1" outlineLevel="3">
      <c r="A81" s="1504" t="s">
        <v>206</v>
      </c>
      <c r="B81" s="1504" t="s">
        <v>206</v>
      </c>
      <c r="C81" s="1507" t="s">
        <v>281</v>
      </c>
      <c r="D81" s="1508" t="e">
        <f>Покрытия_ПВХ!#REF!</f>
        <v>#REF!</v>
      </c>
      <c r="E81" s="2037">
        <f>E76</f>
        <v>1860</v>
      </c>
      <c r="F81" s="2037">
        <f>F76</f>
        <v>1860</v>
      </c>
      <c r="G81" s="2037"/>
      <c r="H81" s="2043" t="e">
        <f t="shared" si="1"/>
        <v>#REF!</v>
      </c>
      <c r="I81" s="2037">
        <f>I76</f>
        <v>1020</v>
      </c>
      <c r="J81" s="2037"/>
      <c r="K81" s="2037" t="e">
        <f>K76</f>
        <v>#VALUE!</v>
      </c>
      <c r="L81" s="2037"/>
      <c r="M81" s="2037"/>
      <c r="N81" s="2037"/>
      <c r="O81" s="2037">
        <f>O76</f>
        <v>0</v>
      </c>
      <c r="P81" s="2037">
        <f>P76</f>
        <v>3960</v>
      </c>
      <c r="Q81" s="2037"/>
      <c r="R81" s="2037"/>
      <c r="S81" s="2037"/>
      <c r="T81" s="2037"/>
      <c r="U81" s="2037">
        <f>U76</f>
        <v>1140</v>
      </c>
      <c r="V81" s="2037"/>
      <c r="W81" s="2037"/>
      <c r="X81" s="2037"/>
      <c r="Y81" s="2029"/>
      <c r="Z81" s="2029"/>
      <c r="AA81" s="2029"/>
      <c r="AB81" s="2029"/>
      <c r="AC81" s="2029"/>
      <c r="AD81" s="2029"/>
      <c r="AE81" s="2029"/>
      <c r="AF81" s="2029"/>
      <c r="AG81" s="2029"/>
      <c r="AH81" s="2029"/>
      <c r="AI81" s="2029"/>
      <c r="AJ81" s="2029"/>
      <c r="AK81" s="2029"/>
    </row>
    <row r="82" spans="1:37" s="1478" customFormat="1" hidden="1" outlineLevel="2">
      <c r="A82" s="1509" t="s">
        <v>206</v>
      </c>
      <c r="B82" s="1510" t="s">
        <v>206</v>
      </c>
      <c r="C82" s="1511" t="s">
        <v>281</v>
      </c>
      <c r="D82" s="1512" t="s">
        <v>1777</v>
      </c>
      <c r="E82" s="2042"/>
      <c r="F82" s="2042"/>
      <c r="G82" s="2037"/>
      <c r="H82" s="2043" t="e">
        <f t="shared" ref="H82:H131" si="2">$H$6</f>
        <v>#REF!</v>
      </c>
      <c r="I82" s="2042"/>
      <c r="J82" s="2044"/>
      <c r="K82" s="2042"/>
      <c r="L82" s="2037"/>
      <c r="M82" s="2037"/>
      <c r="N82" s="2037"/>
      <c r="O82" s="2042"/>
      <c r="P82" s="2042"/>
      <c r="Q82" s="2037"/>
      <c r="R82" s="2037"/>
      <c r="S82" s="2037"/>
      <c r="T82" s="2037"/>
      <c r="U82" s="2042"/>
      <c r="V82" s="2037"/>
      <c r="W82" s="2037"/>
      <c r="X82" s="2042"/>
      <c r="Y82" s="2029"/>
      <c r="Z82" s="2029"/>
      <c r="AA82" s="2029"/>
      <c r="AB82" s="2029"/>
      <c r="AC82" s="2029"/>
      <c r="AD82" s="2029"/>
      <c r="AE82" s="2029"/>
      <c r="AF82" s="2029"/>
      <c r="AG82" s="2029"/>
      <c r="AH82" s="2029"/>
      <c r="AI82" s="2029"/>
      <c r="AJ82" s="2029"/>
      <c r="AK82" s="2029"/>
    </row>
    <row r="83" spans="1:37" s="1478" customFormat="1" hidden="1" outlineLevel="2">
      <c r="A83" s="1509" t="s">
        <v>206</v>
      </c>
      <c r="B83" s="1510" t="s">
        <v>206</v>
      </c>
      <c r="C83" s="1511" t="s">
        <v>276</v>
      </c>
      <c r="D83" s="1512" t="s">
        <v>1778</v>
      </c>
      <c r="E83" s="2042"/>
      <c r="F83" s="2042"/>
      <c r="G83" s="2037"/>
      <c r="H83" s="2043" t="e">
        <f t="shared" si="2"/>
        <v>#REF!</v>
      </c>
      <c r="I83" s="2042"/>
      <c r="J83" s="2044"/>
      <c r="K83" s="2042"/>
      <c r="L83" s="2037"/>
      <c r="M83" s="2037"/>
      <c r="N83" s="2037"/>
      <c r="O83" s="2042"/>
      <c r="P83" s="2042"/>
      <c r="Q83" s="2037"/>
      <c r="R83" s="2037"/>
      <c r="S83" s="2037"/>
      <c r="T83" s="2037"/>
      <c r="U83" s="2042"/>
      <c r="V83" s="2037"/>
      <c r="W83" s="2037"/>
      <c r="X83" s="2042"/>
      <c r="Y83" s="2029"/>
      <c r="Z83" s="2029"/>
      <c r="AA83" s="2029"/>
      <c r="AB83" s="2029"/>
      <c r="AC83" s="2029"/>
      <c r="AD83" s="2029"/>
      <c r="AE83" s="2029"/>
      <c r="AF83" s="2029"/>
      <c r="AG83" s="2029"/>
      <c r="AH83" s="2029"/>
      <c r="AI83" s="2029"/>
      <c r="AJ83" s="2029"/>
      <c r="AK83" s="2029"/>
    </row>
    <row r="84" spans="1:37" s="1478" customFormat="1" hidden="1" outlineLevel="2">
      <c r="A84" s="1513" t="s">
        <v>206</v>
      </c>
      <c r="B84" s="1513" t="s">
        <v>206</v>
      </c>
      <c r="C84" s="1514" t="s">
        <v>281</v>
      </c>
      <c r="D84" s="1512" t="s">
        <v>1779</v>
      </c>
      <c r="E84" s="2037"/>
      <c r="F84" s="2037"/>
      <c r="G84" s="2037"/>
      <c r="H84" s="2043" t="e">
        <f t="shared" si="2"/>
        <v>#REF!</v>
      </c>
      <c r="I84" s="2037"/>
      <c r="J84" s="2044"/>
      <c r="K84" s="2037"/>
      <c r="L84" s="2037"/>
      <c r="M84" s="2037"/>
      <c r="N84" s="2037"/>
      <c r="O84" s="2037"/>
      <c r="P84" s="2037"/>
      <c r="Q84" s="2037"/>
      <c r="R84" s="2037"/>
      <c r="S84" s="2037"/>
      <c r="T84" s="2037"/>
      <c r="U84" s="2037"/>
      <c r="V84" s="2037"/>
      <c r="W84" s="2037"/>
      <c r="X84" s="2042"/>
      <c r="Y84" s="2029"/>
      <c r="Z84" s="2029"/>
      <c r="AA84" s="2029"/>
      <c r="AB84" s="2029"/>
      <c r="AC84" s="2029"/>
      <c r="AD84" s="2029"/>
      <c r="AE84" s="2029"/>
      <c r="AF84" s="2029"/>
      <c r="AG84" s="2029"/>
      <c r="AH84" s="2029"/>
      <c r="AI84" s="2029"/>
      <c r="AJ84" s="2029"/>
      <c r="AK84" s="2029"/>
    </row>
    <row r="85" spans="1:37" s="1519" customFormat="1" hidden="1" outlineLevel="1" collapsed="1">
      <c r="A85" s="1515" t="s">
        <v>303</v>
      </c>
      <c r="B85" s="1516" t="s">
        <v>1780</v>
      </c>
      <c r="C85" s="1517" t="s">
        <v>1781</v>
      </c>
      <c r="D85" s="1518" t="s">
        <v>166</v>
      </c>
      <c r="E85" s="2046">
        <f>E137</f>
        <v>2500</v>
      </c>
      <c r="F85" s="2046">
        <f>F137</f>
        <v>2500</v>
      </c>
      <c r="G85" s="2046"/>
      <c r="H85" s="2043" t="e">
        <f t="shared" si="2"/>
        <v>#REF!</v>
      </c>
      <c r="I85" s="2046">
        <f>I137</f>
        <v>1400</v>
      </c>
      <c r="J85" s="2046"/>
      <c r="K85" s="2046"/>
      <c r="L85" s="2046"/>
      <c r="M85" s="2046"/>
      <c r="N85" s="2046"/>
      <c r="O85" s="2046"/>
      <c r="P85" s="2046"/>
      <c r="Q85" s="2046"/>
      <c r="R85" s="2046"/>
      <c r="S85" s="2046"/>
      <c r="T85" s="2046"/>
      <c r="U85" s="2046">
        <f>U137</f>
        <v>1500</v>
      </c>
      <c r="V85" s="2046"/>
      <c r="W85" s="2046"/>
      <c r="X85" s="2042"/>
      <c r="Y85" s="2047"/>
      <c r="Z85" s="2047"/>
      <c r="AA85" s="2047"/>
      <c r="AB85" s="2047"/>
      <c r="AC85" s="2047"/>
      <c r="AD85" s="2047"/>
      <c r="AE85" s="2047"/>
      <c r="AF85" s="2047"/>
      <c r="AG85" s="2047"/>
      <c r="AH85" s="2047"/>
      <c r="AI85" s="2047"/>
      <c r="AJ85" s="2047"/>
      <c r="AK85" s="2047"/>
    </row>
    <row r="86" spans="1:37" s="1519" customFormat="1" hidden="1" outlineLevel="2">
      <c r="A86" s="1515" t="s">
        <v>303</v>
      </c>
      <c r="B86" s="1516" t="s">
        <v>1780</v>
      </c>
      <c r="C86" s="1517" t="s">
        <v>1781</v>
      </c>
      <c r="D86" s="1518" t="s">
        <v>1782</v>
      </c>
      <c r="E86" s="2046">
        <f>E85</f>
        <v>2500</v>
      </c>
      <c r="F86" s="2046">
        <f>F85</f>
        <v>2500</v>
      </c>
      <c r="G86" s="2046"/>
      <c r="H86" s="2043" t="e">
        <f t="shared" si="2"/>
        <v>#REF!</v>
      </c>
      <c r="I86" s="2046">
        <f>I85</f>
        <v>1400</v>
      </c>
      <c r="J86" s="2046"/>
      <c r="K86" s="2046"/>
      <c r="L86" s="2046"/>
      <c r="M86" s="2046"/>
      <c r="N86" s="2046"/>
      <c r="O86" s="2046"/>
      <c r="P86" s="2046"/>
      <c r="Q86" s="2046"/>
      <c r="R86" s="2046"/>
      <c r="S86" s="2046"/>
      <c r="T86" s="2046"/>
      <c r="U86" s="2046">
        <f>U85</f>
        <v>1500</v>
      </c>
      <c r="V86" s="2046"/>
      <c r="W86" s="2046"/>
      <c r="X86" s="2042"/>
      <c r="Y86" s="2047"/>
      <c r="Z86" s="2047"/>
      <c r="AA86" s="2047"/>
      <c r="AB86" s="2047"/>
      <c r="AC86" s="2047"/>
      <c r="AD86" s="2047"/>
      <c r="AE86" s="2047"/>
      <c r="AF86" s="2047"/>
      <c r="AG86" s="2047"/>
      <c r="AH86" s="2047"/>
      <c r="AI86" s="2047"/>
      <c r="AJ86" s="2047"/>
      <c r="AK86" s="2047"/>
    </row>
    <row r="87" spans="1:37" s="1519" customFormat="1" hidden="1" outlineLevel="2">
      <c r="A87" s="1515" t="s">
        <v>303</v>
      </c>
      <c r="B87" s="1516" t="s">
        <v>1780</v>
      </c>
      <c r="C87" s="1517" t="s">
        <v>1781</v>
      </c>
      <c r="D87" s="1518" t="s">
        <v>238</v>
      </c>
      <c r="E87" s="2046">
        <f>E85</f>
        <v>2500</v>
      </c>
      <c r="F87" s="2046">
        <f>F85</f>
        <v>2500</v>
      </c>
      <c r="G87" s="2046"/>
      <c r="H87" s="2043" t="e">
        <f t="shared" si="2"/>
        <v>#REF!</v>
      </c>
      <c r="I87" s="2046">
        <f>I85</f>
        <v>1400</v>
      </c>
      <c r="J87" s="2046"/>
      <c r="K87" s="2046"/>
      <c r="L87" s="2046"/>
      <c r="M87" s="2046"/>
      <c r="N87" s="2046"/>
      <c r="O87" s="2046"/>
      <c r="P87" s="2046"/>
      <c r="Q87" s="2046"/>
      <c r="R87" s="2046"/>
      <c r="S87" s="2046"/>
      <c r="T87" s="2046"/>
      <c r="U87" s="2046">
        <f>U85</f>
        <v>1500</v>
      </c>
      <c r="V87" s="2046"/>
      <c r="W87" s="2046"/>
      <c r="X87" s="2042"/>
      <c r="Y87" s="2047"/>
      <c r="Z87" s="2047"/>
      <c r="AA87" s="2047"/>
      <c r="AB87" s="2047"/>
      <c r="AC87" s="2047"/>
      <c r="AD87" s="2047"/>
      <c r="AE87" s="2047"/>
      <c r="AF87" s="2047"/>
      <c r="AG87" s="2047"/>
      <c r="AH87" s="2047"/>
      <c r="AI87" s="2047"/>
      <c r="AJ87" s="2047"/>
      <c r="AK87" s="2047"/>
    </row>
    <row r="88" spans="1:37" s="1519" customFormat="1" hidden="1" outlineLevel="2">
      <c r="A88" s="1515" t="s">
        <v>303</v>
      </c>
      <c r="B88" s="1516" t="s">
        <v>1780</v>
      </c>
      <c r="C88" s="1517" t="s">
        <v>1781</v>
      </c>
      <c r="D88" s="1518" t="s">
        <v>1783</v>
      </c>
      <c r="E88" s="2046">
        <f>E85</f>
        <v>2500</v>
      </c>
      <c r="F88" s="2046">
        <f>F85</f>
        <v>2500</v>
      </c>
      <c r="G88" s="2046"/>
      <c r="H88" s="2043" t="e">
        <f t="shared" si="2"/>
        <v>#REF!</v>
      </c>
      <c r="I88" s="2046">
        <f>I85</f>
        <v>1400</v>
      </c>
      <c r="J88" s="2046"/>
      <c r="K88" s="2046"/>
      <c r="L88" s="2046"/>
      <c r="M88" s="2046"/>
      <c r="N88" s="2046"/>
      <c r="O88" s="2046"/>
      <c r="P88" s="2046"/>
      <c r="Q88" s="2046"/>
      <c r="R88" s="2046"/>
      <c r="S88" s="2046"/>
      <c r="T88" s="2046"/>
      <c r="U88" s="2046">
        <f>U85</f>
        <v>1500</v>
      </c>
      <c r="V88" s="2046"/>
      <c r="W88" s="2046"/>
      <c r="X88" s="2042"/>
      <c r="Y88" s="2047"/>
      <c r="Z88" s="2047"/>
      <c r="AA88" s="2047"/>
      <c r="AB88" s="2047"/>
      <c r="AC88" s="2047"/>
      <c r="AD88" s="2047"/>
      <c r="AE88" s="2047"/>
      <c r="AF88" s="2047"/>
      <c r="AG88" s="2047"/>
      <c r="AH88" s="2047"/>
      <c r="AI88" s="2047"/>
      <c r="AJ88" s="2047"/>
      <c r="AK88" s="2047"/>
    </row>
    <row r="89" spans="1:37" s="1519" customFormat="1" hidden="1" outlineLevel="2">
      <c r="A89" s="1515" t="s">
        <v>303</v>
      </c>
      <c r="B89" s="1516" t="s">
        <v>1780</v>
      </c>
      <c r="C89" s="1517" t="s">
        <v>1781</v>
      </c>
      <c r="D89" s="1518" t="s">
        <v>1784</v>
      </c>
      <c r="E89" s="2046">
        <f>E85</f>
        <v>2500</v>
      </c>
      <c r="F89" s="2046">
        <f>F85</f>
        <v>2500</v>
      </c>
      <c r="G89" s="2046"/>
      <c r="H89" s="2043" t="e">
        <f t="shared" si="2"/>
        <v>#REF!</v>
      </c>
      <c r="I89" s="2046">
        <f>I85</f>
        <v>1400</v>
      </c>
      <c r="J89" s="2046"/>
      <c r="K89" s="2046"/>
      <c r="L89" s="2046"/>
      <c r="M89" s="2046"/>
      <c r="N89" s="2046"/>
      <c r="O89" s="2046"/>
      <c r="P89" s="2046"/>
      <c r="Q89" s="2046"/>
      <c r="R89" s="2046"/>
      <c r="S89" s="2046"/>
      <c r="T89" s="2046"/>
      <c r="U89" s="2046">
        <f>U85</f>
        <v>1500</v>
      </c>
      <c r="V89" s="2046"/>
      <c r="W89" s="2046"/>
      <c r="X89" s="2042"/>
      <c r="Y89" s="2047"/>
      <c r="Z89" s="2047"/>
      <c r="AA89" s="2047"/>
      <c r="AB89" s="2047"/>
      <c r="AC89" s="2047"/>
      <c r="AD89" s="2047"/>
      <c r="AE89" s="2047"/>
      <c r="AF89" s="2047"/>
      <c r="AG89" s="2047"/>
      <c r="AH89" s="2047"/>
      <c r="AI89" s="2047"/>
      <c r="AJ89" s="2047"/>
      <c r="AK89" s="2047"/>
    </row>
    <row r="90" spans="1:37" s="1519" customFormat="1" hidden="1" outlineLevel="2">
      <c r="A90" s="1515" t="s">
        <v>303</v>
      </c>
      <c r="B90" s="1516" t="s">
        <v>1780</v>
      </c>
      <c r="C90" s="1517" t="s">
        <v>1781</v>
      </c>
      <c r="D90" s="1518" t="s">
        <v>1785</v>
      </c>
      <c r="E90" s="2046">
        <f>E85</f>
        <v>2500</v>
      </c>
      <c r="F90" s="2046">
        <f>F85</f>
        <v>2500</v>
      </c>
      <c r="G90" s="2046"/>
      <c r="H90" s="2043" t="e">
        <f t="shared" si="2"/>
        <v>#REF!</v>
      </c>
      <c r="I90" s="2046">
        <f>I85</f>
        <v>1400</v>
      </c>
      <c r="J90" s="2046"/>
      <c r="K90" s="2046"/>
      <c r="L90" s="2046"/>
      <c r="M90" s="2046"/>
      <c r="N90" s="2046"/>
      <c r="O90" s="2046"/>
      <c r="P90" s="2046"/>
      <c r="Q90" s="2046"/>
      <c r="R90" s="2046"/>
      <c r="S90" s="2046"/>
      <c r="T90" s="2046"/>
      <c r="U90" s="2046">
        <f>U85</f>
        <v>1500</v>
      </c>
      <c r="V90" s="2046"/>
      <c r="W90" s="2046"/>
      <c r="X90" s="2042"/>
      <c r="Y90" s="2047"/>
      <c r="Z90" s="2047"/>
      <c r="AA90" s="2047"/>
      <c r="AB90" s="2047"/>
      <c r="AC90" s="2047"/>
      <c r="AD90" s="2047"/>
      <c r="AE90" s="2047"/>
      <c r="AF90" s="2047"/>
      <c r="AG90" s="2047"/>
      <c r="AH90" s="2047"/>
      <c r="AI90" s="2047"/>
      <c r="AJ90" s="2047"/>
      <c r="AK90" s="2047"/>
    </row>
    <row r="91" spans="1:37" s="1519" customFormat="1" hidden="1" outlineLevel="2">
      <c r="A91" s="1515" t="s">
        <v>303</v>
      </c>
      <c r="B91" s="1516" t="s">
        <v>1780</v>
      </c>
      <c r="C91" s="1517" t="s">
        <v>1781</v>
      </c>
      <c r="D91" s="1518" t="s">
        <v>168</v>
      </c>
      <c r="E91" s="2046">
        <f>E85*1.2</f>
        <v>3000</v>
      </c>
      <c r="F91" s="2046">
        <f>F85*1.2</f>
        <v>3000</v>
      </c>
      <c r="G91" s="2046"/>
      <c r="H91" s="2043" t="e">
        <f t="shared" si="2"/>
        <v>#REF!</v>
      </c>
      <c r="I91" s="2046">
        <f>I85*1.2</f>
        <v>1680</v>
      </c>
      <c r="J91" s="2046"/>
      <c r="K91" s="2046"/>
      <c r="L91" s="2046"/>
      <c r="M91" s="2046"/>
      <c r="N91" s="2046"/>
      <c r="O91" s="2046"/>
      <c r="P91" s="2046"/>
      <c r="Q91" s="2046"/>
      <c r="R91" s="2046"/>
      <c r="S91" s="2046"/>
      <c r="T91" s="2046"/>
      <c r="U91" s="2046">
        <f>U85*1.2</f>
        <v>1800</v>
      </c>
      <c r="V91" s="2046"/>
      <c r="W91" s="2046"/>
      <c r="X91" s="2042"/>
      <c r="Y91" s="2047"/>
      <c r="Z91" s="2047"/>
      <c r="AA91" s="2047"/>
      <c r="AB91" s="2047"/>
      <c r="AC91" s="2047"/>
      <c r="AD91" s="2047"/>
      <c r="AE91" s="2047"/>
      <c r="AF91" s="2047"/>
      <c r="AG91" s="2047"/>
      <c r="AH91" s="2047"/>
      <c r="AI91" s="2047"/>
      <c r="AJ91" s="2047"/>
      <c r="AK91" s="2047"/>
    </row>
    <row r="92" spans="1:37" s="1519" customFormat="1" hidden="1" outlineLevel="2">
      <c r="A92" s="1515" t="s">
        <v>303</v>
      </c>
      <c r="B92" s="1516" t="s">
        <v>1780</v>
      </c>
      <c r="C92" s="1517" t="s">
        <v>1781</v>
      </c>
      <c r="D92" s="1518" t="s">
        <v>1786</v>
      </c>
      <c r="E92" s="2046">
        <f>E85</f>
        <v>2500</v>
      </c>
      <c r="F92" s="2046">
        <f>F85</f>
        <v>2500</v>
      </c>
      <c r="G92" s="2046"/>
      <c r="H92" s="2043" t="e">
        <f t="shared" si="2"/>
        <v>#REF!</v>
      </c>
      <c r="I92" s="2046">
        <f>I85</f>
        <v>1400</v>
      </c>
      <c r="J92" s="2046"/>
      <c r="K92" s="2046"/>
      <c r="L92" s="2046"/>
      <c r="M92" s="2046"/>
      <c r="N92" s="2046"/>
      <c r="O92" s="2046"/>
      <c r="P92" s="2046"/>
      <c r="Q92" s="2046"/>
      <c r="R92" s="2046"/>
      <c r="S92" s="2046"/>
      <c r="T92" s="2046"/>
      <c r="U92" s="2046">
        <f>U85</f>
        <v>1500</v>
      </c>
      <c r="V92" s="2046"/>
      <c r="W92" s="2046"/>
      <c r="X92" s="2042"/>
      <c r="Y92" s="2047"/>
      <c r="Z92" s="2047"/>
      <c r="AA92" s="2047"/>
      <c r="AB92" s="2047"/>
      <c r="AC92" s="2047"/>
      <c r="AD92" s="2047"/>
      <c r="AE92" s="2047"/>
      <c r="AF92" s="2047"/>
      <c r="AG92" s="2047"/>
      <c r="AH92" s="2047"/>
      <c r="AI92" s="2047"/>
      <c r="AJ92" s="2047"/>
      <c r="AK92" s="2047"/>
    </row>
    <row r="93" spans="1:37" s="1519" customFormat="1" hidden="1" outlineLevel="2">
      <c r="A93" s="1515" t="s">
        <v>303</v>
      </c>
      <c r="B93" s="1516" t="s">
        <v>1780</v>
      </c>
      <c r="C93" s="1517" t="s">
        <v>1781</v>
      </c>
      <c r="D93" s="1518" t="s">
        <v>302</v>
      </c>
      <c r="E93" s="2046">
        <f>E85</f>
        <v>2500</v>
      </c>
      <c r="F93" s="2046">
        <f>F85</f>
        <v>2500</v>
      </c>
      <c r="G93" s="2046"/>
      <c r="H93" s="2043" t="e">
        <f t="shared" si="2"/>
        <v>#REF!</v>
      </c>
      <c r="I93" s="2046">
        <f>I85</f>
        <v>1400</v>
      </c>
      <c r="J93" s="2046"/>
      <c r="K93" s="2046"/>
      <c r="L93" s="2046"/>
      <c r="M93" s="2046"/>
      <c r="N93" s="2046"/>
      <c r="O93" s="2046"/>
      <c r="P93" s="2046"/>
      <c r="Q93" s="2046"/>
      <c r="R93" s="2046"/>
      <c r="S93" s="2046"/>
      <c r="T93" s="2046"/>
      <c r="U93" s="2046">
        <f>U85</f>
        <v>1500</v>
      </c>
      <c r="V93" s="2046"/>
      <c r="W93" s="2046"/>
      <c r="X93" s="2042"/>
      <c r="Y93" s="2047"/>
      <c r="Z93" s="2047"/>
      <c r="AA93" s="2047"/>
      <c r="AB93" s="2047"/>
      <c r="AC93" s="2047"/>
      <c r="AD93" s="2047"/>
      <c r="AE93" s="2047"/>
      <c r="AF93" s="2047"/>
      <c r="AG93" s="2047"/>
      <c r="AH93" s="2047"/>
      <c r="AI93" s="2047"/>
      <c r="AJ93" s="2047"/>
      <c r="AK93" s="2047"/>
    </row>
    <row r="94" spans="1:37" s="1519" customFormat="1" hidden="1" outlineLevel="2">
      <c r="A94" s="1515" t="s">
        <v>303</v>
      </c>
      <c r="B94" s="1516" t="s">
        <v>1780</v>
      </c>
      <c r="C94" s="1517" t="s">
        <v>1781</v>
      </c>
      <c r="D94" s="1518" t="s">
        <v>1787</v>
      </c>
      <c r="E94" s="2046">
        <f>E85</f>
        <v>2500</v>
      </c>
      <c r="F94" s="2046">
        <f>F85</f>
        <v>2500</v>
      </c>
      <c r="G94" s="2046"/>
      <c r="H94" s="2043" t="e">
        <f t="shared" si="2"/>
        <v>#REF!</v>
      </c>
      <c r="I94" s="2046">
        <f>I85</f>
        <v>1400</v>
      </c>
      <c r="J94" s="2046"/>
      <c r="K94" s="2046"/>
      <c r="L94" s="2046"/>
      <c r="M94" s="2046"/>
      <c r="N94" s="2046"/>
      <c r="O94" s="2046"/>
      <c r="P94" s="2046"/>
      <c r="Q94" s="2046"/>
      <c r="R94" s="2046"/>
      <c r="S94" s="2046"/>
      <c r="T94" s="2046"/>
      <c r="U94" s="2046">
        <f>U85</f>
        <v>1500</v>
      </c>
      <c r="V94" s="2046"/>
      <c r="W94" s="2046"/>
      <c r="X94" s="2042"/>
      <c r="Y94" s="2047"/>
      <c r="Z94" s="2047"/>
      <c r="AA94" s="2047"/>
      <c r="AB94" s="2047"/>
      <c r="AC94" s="2047"/>
      <c r="AD94" s="2047"/>
      <c r="AE94" s="2047"/>
      <c r="AF94" s="2047"/>
      <c r="AG94" s="2047"/>
      <c r="AH94" s="2047"/>
      <c r="AI94" s="2047"/>
      <c r="AJ94" s="2047"/>
      <c r="AK94" s="2047"/>
    </row>
    <row r="95" spans="1:37" s="1520" customFormat="1" hidden="1" outlineLevel="2">
      <c r="A95" s="1515" t="s">
        <v>303</v>
      </c>
      <c r="B95" s="1516" t="s">
        <v>1780</v>
      </c>
      <c r="C95" s="1517" t="s">
        <v>1781</v>
      </c>
      <c r="D95" s="1518" t="s">
        <v>998</v>
      </c>
      <c r="E95" s="2046">
        <f>E85</f>
        <v>2500</v>
      </c>
      <c r="F95" s="2046">
        <f>F85</f>
        <v>2500</v>
      </c>
      <c r="G95" s="2046"/>
      <c r="H95" s="2043" t="e">
        <f t="shared" si="2"/>
        <v>#REF!</v>
      </c>
      <c r="I95" s="2046">
        <f>I85</f>
        <v>1400</v>
      </c>
      <c r="J95" s="2048"/>
      <c r="K95" s="2048"/>
      <c r="L95" s="2048"/>
      <c r="M95" s="2048"/>
      <c r="N95" s="2048"/>
      <c r="O95" s="2048"/>
      <c r="P95" s="2048"/>
      <c r="Q95" s="2048"/>
      <c r="R95" s="2048"/>
      <c r="S95" s="2048"/>
      <c r="T95" s="2048"/>
      <c r="U95" s="2046">
        <f>U85</f>
        <v>1500</v>
      </c>
      <c r="V95" s="2046"/>
      <c r="W95" s="2046"/>
      <c r="X95" s="2042"/>
      <c r="Y95" s="2049"/>
      <c r="Z95" s="2049"/>
      <c r="AA95" s="2049"/>
      <c r="AB95" s="2049"/>
      <c r="AC95" s="2049"/>
      <c r="AD95" s="2049"/>
      <c r="AE95" s="2049"/>
      <c r="AF95" s="2049"/>
      <c r="AG95" s="2049"/>
      <c r="AH95" s="2049"/>
      <c r="AI95" s="2049"/>
      <c r="AJ95" s="2049"/>
      <c r="AK95" s="2049"/>
    </row>
    <row r="96" spans="1:37" s="1519" customFormat="1" hidden="1" outlineLevel="2">
      <c r="A96" s="1515" t="s">
        <v>303</v>
      </c>
      <c r="B96" s="1516" t="s">
        <v>1780</v>
      </c>
      <c r="C96" s="1517" t="s">
        <v>1781</v>
      </c>
      <c r="D96" s="1518" t="s">
        <v>1788</v>
      </c>
      <c r="E96" s="2046">
        <f>E85*1.2</f>
        <v>3000</v>
      </c>
      <c r="F96" s="2046">
        <f>F85*1.2</f>
        <v>3000</v>
      </c>
      <c r="G96" s="2046"/>
      <c r="H96" s="2043" t="e">
        <f t="shared" si="2"/>
        <v>#REF!</v>
      </c>
      <c r="I96" s="2046">
        <f>I85*1.2</f>
        <v>1680</v>
      </c>
      <c r="J96" s="2046"/>
      <c r="K96" s="2046"/>
      <c r="L96" s="2046"/>
      <c r="M96" s="2046"/>
      <c r="N96" s="2046"/>
      <c r="O96" s="2046"/>
      <c r="P96" s="2046"/>
      <c r="Q96" s="2046"/>
      <c r="R96" s="2046"/>
      <c r="S96" s="2046"/>
      <c r="T96" s="2046"/>
      <c r="U96" s="2046">
        <f>U85*1.2</f>
        <v>1800</v>
      </c>
      <c r="V96" s="2046"/>
      <c r="W96" s="2046"/>
      <c r="X96" s="2042"/>
      <c r="Y96" s="2047"/>
      <c r="Z96" s="2047"/>
      <c r="AA96" s="2047"/>
      <c r="AB96" s="2047"/>
      <c r="AC96" s="2047"/>
      <c r="AD96" s="2047"/>
      <c r="AE96" s="2047"/>
      <c r="AF96" s="2047"/>
      <c r="AG96" s="2047"/>
      <c r="AH96" s="2047"/>
      <c r="AI96" s="2047"/>
      <c r="AJ96" s="2047"/>
      <c r="AK96" s="2047"/>
    </row>
    <row r="97" spans="1:37" s="1525" customFormat="1" hidden="1" outlineLevel="1" collapsed="1">
      <c r="A97" s="1521" t="s">
        <v>303</v>
      </c>
      <c r="B97" s="1522" t="s">
        <v>1789</v>
      </c>
      <c r="C97" s="1523" t="s">
        <v>1781</v>
      </c>
      <c r="D97" s="1524" t="s">
        <v>1790</v>
      </c>
      <c r="E97" s="2050" t="e">
        <f>E149</f>
        <v>#REF!</v>
      </c>
      <c r="F97" s="2050" t="e">
        <f>F149</f>
        <v>#REF!</v>
      </c>
      <c r="G97" s="2050"/>
      <c r="H97" s="2043" t="e">
        <f t="shared" si="2"/>
        <v>#REF!</v>
      </c>
      <c r="I97" s="2050" t="e">
        <f>I149</f>
        <v>#REF!</v>
      </c>
      <c r="J97" s="2050"/>
      <c r="K97" s="2050"/>
      <c r="L97" s="2050"/>
      <c r="M97" s="2050"/>
      <c r="N97" s="2050"/>
      <c r="O97" s="2050"/>
      <c r="P97" s="2050"/>
      <c r="Q97" s="2050"/>
      <c r="R97" s="2050"/>
      <c r="S97" s="2050"/>
      <c r="T97" s="2050"/>
      <c r="U97" s="2050" t="e">
        <f>U149</f>
        <v>#REF!</v>
      </c>
      <c r="V97" s="2050"/>
      <c r="W97" s="2050"/>
      <c r="X97" s="2042"/>
      <c r="Y97" s="2051"/>
      <c r="Z97" s="2051"/>
      <c r="AA97" s="2051"/>
      <c r="AB97" s="2051"/>
      <c r="AC97" s="2051"/>
      <c r="AD97" s="2051"/>
      <c r="AE97" s="2051"/>
      <c r="AF97" s="2051"/>
      <c r="AG97" s="2051"/>
      <c r="AH97" s="2051"/>
      <c r="AI97" s="2051"/>
      <c r="AJ97" s="2051"/>
      <c r="AK97" s="2051"/>
    </row>
    <row r="98" spans="1:37" s="1525" customFormat="1" hidden="1" outlineLevel="2">
      <c r="A98" s="1521" t="s">
        <v>303</v>
      </c>
      <c r="B98" s="1524" t="s">
        <v>1789</v>
      </c>
      <c r="C98" s="1523" t="s">
        <v>1781</v>
      </c>
      <c r="D98" s="1524" t="s">
        <v>1791</v>
      </c>
      <c r="E98" s="2050" t="e">
        <f>E97</f>
        <v>#REF!</v>
      </c>
      <c r="F98" s="2050" t="e">
        <f>F97</f>
        <v>#REF!</v>
      </c>
      <c r="G98" s="2050"/>
      <c r="H98" s="2043" t="e">
        <f t="shared" si="2"/>
        <v>#REF!</v>
      </c>
      <c r="I98" s="2050" t="e">
        <f>I97</f>
        <v>#REF!</v>
      </c>
      <c r="J98" s="2050"/>
      <c r="K98" s="2050"/>
      <c r="L98" s="2050"/>
      <c r="M98" s="2050"/>
      <c r="N98" s="2050"/>
      <c r="O98" s="2050"/>
      <c r="P98" s="2050"/>
      <c r="Q98" s="2050"/>
      <c r="R98" s="2050"/>
      <c r="S98" s="2050"/>
      <c r="T98" s="2050"/>
      <c r="U98" s="2050" t="e">
        <f>U97</f>
        <v>#REF!</v>
      </c>
      <c r="V98" s="2050"/>
      <c r="W98" s="2050"/>
      <c r="X98" s="2042"/>
      <c r="Y98" s="2051"/>
      <c r="Z98" s="2051"/>
      <c r="AA98" s="2051"/>
      <c r="AB98" s="2051"/>
      <c r="AC98" s="2051"/>
      <c r="AD98" s="2051"/>
      <c r="AE98" s="2051"/>
      <c r="AF98" s="2051"/>
      <c r="AG98" s="2051"/>
      <c r="AH98" s="2051"/>
      <c r="AI98" s="2051"/>
      <c r="AJ98" s="2051"/>
      <c r="AK98" s="2051"/>
    </row>
    <row r="99" spans="1:37" s="1525" customFormat="1" hidden="1" outlineLevel="2">
      <c r="A99" s="1521" t="s">
        <v>303</v>
      </c>
      <c r="B99" s="1524" t="s">
        <v>1789</v>
      </c>
      <c r="C99" s="1523" t="s">
        <v>1781</v>
      </c>
      <c r="D99" s="1524" t="s">
        <v>1792</v>
      </c>
      <c r="E99" s="2050" t="e">
        <f>E97</f>
        <v>#REF!</v>
      </c>
      <c r="F99" s="2050" t="e">
        <f>F97</f>
        <v>#REF!</v>
      </c>
      <c r="G99" s="2050"/>
      <c r="H99" s="2043" t="e">
        <f t="shared" si="2"/>
        <v>#REF!</v>
      </c>
      <c r="I99" s="2050" t="e">
        <f>I97</f>
        <v>#REF!</v>
      </c>
      <c r="J99" s="2050"/>
      <c r="K99" s="2050"/>
      <c r="L99" s="2050"/>
      <c r="M99" s="2050"/>
      <c r="N99" s="2050"/>
      <c r="O99" s="2050"/>
      <c r="P99" s="2050"/>
      <c r="Q99" s="2050"/>
      <c r="R99" s="2050"/>
      <c r="S99" s="2050"/>
      <c r="T99" s="2050"/>
      <c r="U99" s="2050" t="e">
        <f>U97</f>
        <v>#REF!</v>
      </c>
      <c r="V99" s="2050"/>
      <c r="W99" s="2050"/>
      <c r="X99" s="2042"/>
      <c r="Y99" s="2051"/>
      <c r="Z99" s="2051"/>
      <c r="AA99" s="2051"/>
      <c r="AB99" s="2051"/>
      <c r="AC99" s="2051"/>
      <c r="AD99" s="2051"/>
      <c r="AE99" s="2051"/>
      <c r="AF99" s="2051"/>
      <c r="AG99" s="2051"/>
      <c r="AH99" s="2051"/>
      <c r="AI99" s="2051"/>
      <c r="AJ99" s="2051"/>
      <c r="AK99" s="2051"/>
    </row>
    <row r="100" spans="1:37" s="1478" customFormat="1" hidden="1" outlineLevel="1" collapsed="1">
      <c r="A100" s="1526" t="s">
        <v>303</v>
      </c>
      <c r="B100" s="1527" t="s">
        <v>1789</v>
      </c>
      <c r="C100" s="1528" t="s">
        <v>1781</v>
      </c>
      <c r="D100" s="1527" t="s">
        <v>1793</v>
      </c>
      <c r="E100" s="2052">
        <f>E152</f>
        <v>2750</v>
      </c>
      <c r="F100" s="2052">
        <f>F152</f>
        <v>2900</v>
      </c>
      <c r="G100" s="2042"/>
      <c r="H100" s="2043" t="e">
        <f t="shared" si="2"/>
        <v>#REF!</v>
      </c>
      <c r="I100" s="2052">
        <f>I152</f>
        <v>1500</v>
      </c>
      <c r="J100" s="2042"/>
      <c r="K100" s="2042"/>
      <c r="L100" s="2042"/>
      <c r="M100" s="2042"/>
      <c r="N100" s="2042"/>
      <c r="O100" s="2042"/>
      <c r="P100" s="2042"/>
      <c r="Q100" s="2042"/>
      <c r="R100" s="2042"/>
      <c r="S100" s="2042"/>
      <c r="T100" s="2042"/>
      <c r="U100" s="2052">
        <f>U152</f>
        <v>1750</v>
      </c>
      <c r="V100" s="2042"/>
      <c r="W100" s="2042"/>
      <c r="X100" s="2042"/>
      <c r="Y100" s="2029"/>
      <c r="Z100" s="2029"/>
      <c r="AA100" s="2029"/>
      <c r="AB100" s="2029"/>
      <c r="AC100" s="2029"/>
      <c r="AD100" s="2029"/>
      <c r="AE100" s="2029"/>
      <c r="AF100" s="2029"/>
      <c r="AG100" s="2029"/>
      <c r="AH100" s="2029"/>
      <c r="AI100" s="2029"/>
      <c r="AJ100" s="2029"/>
      <c r="AK100" s="2029"/>
    </row>
    <row r="101" spans="1:37" s="1478" customFormat="1" hidden="1" outlineLevel="2">
      <c r="A101" s="1526" t="s">
        <v>303</v>
      </c>
      <c r="B101" s="1527" t="s">
        <v>1789</v>
      </c>
      <c r="C101" s="1528" t="s">
        <v>1781</v>
      </c>
      <c r="D101" s="1527" t="s">
        <v>1794</v>
      </c>
      <c r="E101" s="2052">
        <f>E100</f>
        <v>2750</v>
      </c>
      <c r="F101" s="2052">
        <f>F100</f>
        <v>2900</v>
      </c>
      <c r="G101" s="2042"/>
      <c r="H101" s="2043" t="e">
        <f t="shared" si="2"/>
        <v>#REF!</v>
      </c>
      <c r="I101" s="2052">
        <f>I100</f>
        <v>1500</v>
      </c>
      <c r="J101" s="2042"/>
      <c r="K101" s="2042"/>
      <c r="L101" s="2042"/>
      <c r="M101" s="2042"/>
      <c r="N101" s="2042"/>
      <c r="O101" s="2042"/>
      <c r="P101" s="2042"/>
      <c r="Q101" s="2042"/>
      <c r="R101" s="2042"/>
      <c r="S101" s="2042"/>
      <c r="T101" s="2042"/>
      <c r="U101" s="2052">
        <f>U100</f>
        <v>1750</v>
      </c>
      <c r="V101" s="2042"/>
      <c r="W101" s="2042"/>
      <c r="X101" s="2042"/>
      <c r="Y101" s="2029"/>
      <c r="Z101" s="2029"/>
      <c r="AA101" s="2029"/>
      <c r="AB101" s="2029"/>
      <c r="AC101" s="2029"/>
      <c r="AD101" s="2029"/>
      <c r="AE101" s="2029"/>
      <c r="AF101" s="2029"/>
      <c r="AG101" s="2029"/>
      <c r="AH101" s="2029"/>
      <c r="AI101" s="2029"/>
      <c r="AJ101" s="2029"/>
      <c r="AK101" s="2029"/>
    </row>
    <row r="102" spans="1:37" s="1478" customFormat="1" hidden="1" outlineLevel="2">
      <c r="A102" s="1526" t="s">
        <v>303</v>
      </c>
      <c r="B102" s="1527" t="s">
        <v>1789</v>
      </c>
      <c r="C102" s="1528" t="s">
        <v>1781</v>
      </c>
      <c r="D102" s="1527" t="s">
        <v>1795</v>
      </c>
      <c r="E102" s="2052">
        <f>E100</f>
        <v>2750</v>
      </c>
      <c r="F102" s="2052">
        <f>F100</f>
        <v>2900</v>
      </c>
      <c r="G102" s="2042"/>
      <c r="H102" s="2043" t="e">
        <f t="shared" si="2"/>
        <v>#REF!</v>
      </c>
      <c r="I102" s="2052">
        <f>I100</f>
        <v>1500</v>
      </c>
      <c r="J102" s="2042"/>
      <c r="K102" s="2042"/>
      <c r="L102" s="2042"/>
      <c r="M102" s="2042"/>
      <c r="N102" s="2042"/>
      <c r="O102" s="2042"/>
      <c r="P102" s="2042"/>
      <c r="Q102" s="2042"/>
      <c r="R102" s="2042"/>
      <c r="S102" s="2042"/>
      <c r="T102" s="2042"/>
      <c r="U102" s="2052">
        <f>U100</f>
        <v>1750</v>
      </c>
      <c r="V102" s="2042"/>
      <c r="W102" s="2042"/>
      <c r="X102" s="2042"/>
      <c r="Y102" s="2029"/>
      <c r="Z102" s="2029"/>
      <c r="AA102" s="2029"/>
      <c r="AB102" s="2029"/>
      <c r="AC102" s="2029"/>
      <c r="AD102" s="2029"/>
      <c r="AE102" s="2029"/>
      <c r="AF102" s="2029"/>
      <c r="AG102" s="2029"/>
      <c r="AH102" s="2029"/>
      <c r="AI102" s="2029"/>
      <c r="AJ102" s="2029"/>
      <c r="AK102" s="2029"/>
    </row>
    <row r="103" spans="1:37" s="1478" customFormat="1" hidden="1" outlineLevel="2">
      <c r="A103" s="1526" t="s">
        <v>303</v>
      </c>
      <c r="B103" s="1527" t="s">
        <v>1789</v>
      </c>
      <c r="C103" s="1528" t="s">
        <v>1781</v>
      </c>
      <c r="D103" s="1527" t="s">
        <v>1796</v>
      </c>
      <c r="E103" s="2052">
        <f>E100</f>
        <v>2750</v>
      </c>
      <c r="F103" s="2052">
        <f>F100</f>
        <v>2900</v>
      </c>
      <c r="G103" s="2042"/>
      <c r="H103" s="2043" t="e">
        <f t="shared" si="2"/>
        <v>#REF!</v>
      </c>
      <c r="I103" s="2052">
        <f>I100</f>
        <v>1500</v>
      </c>
      <c r="J103" s="2042"/>
      <c r="K103" s="2042"/>
      <c r="L103" s="2042"/>
      <c r="M103" s="2042"/>
      <c r="N103" s="2042"/>
      <c r="O103" s="2042"/>
      <c r="P103" s="2042"/>
      <c r="Q103" s="2042"/>
      <c r="R103" s="2042"/>
      <c r="S103" s="2042"/>
      <c r="T103" s="2042"/>
      <c r="U103" s="2052">
        <f>U100</f>
        <v>1750</v>
      </c>
      <c r="V103" s="2042"/>
      <c r="W103" s="2042"/>
      <c r="X103" s="2042"/>
      <c r="Y103" s="2029"/>
      <c r="Z103" s="2029"/>
      <c r="AA103" s="2029"/>
      <c r="AB103" s="2029"/>
      <c r="AC103" s="2029"/>
      <c r="AD103" s="2029"/>
      <c r="AE103" s="2029"/>
      <c r="AF103" s="2029"/>
      <c r="AG103" s="2029"/>
      <c r="AH103" s="2029"/>
      <c r="AI103" s="2029"/>
      <c r="AJ103" s="2029"/>
      <c r="AK103" s="2029"/>
    </row>
    <row r="104" spans="1:37" s="1532" customFormat="1" hidden="1" outlineLevel="2">
      <c r="A104" s="1529" t="s">
        <v>303</v>
      </c>
      <c r="B104" s="1530" t="s">
        <v>1789</v>
      </c>
      <c r="C104" s="1531" t="s">
        <v>1781</v>
      </c>
      <c r="D104" s="1530" t="s">
        <v>1797</v>
      </c>
      <c r="E104" s="2052">
        <f>E100</f>
        <v>2750</v>
      </c>
      <c r="F104" s="2052">
        <f>F100</f>
        <v>2900</v>
      </c>
      <c r="G104" s="2053"/>
      <c r="H104" s="2043" t="e">
        <f t="shared" si="2"/>
        <v>#REF!</v>
      </c>
      <c r="I104" s="2052">
        <f>I100</f>
        <v>1500</v>
      </c>
      <c r="J104" s="2053"/>
      <c r="K104" s="2053"/>
      <c r="L104" s="2053"/>
      <c r="M104" s="2053"/>
      <c r="N104" s="2053"/>
      <c r="O104" s="2053"/>
      <c r="P104" s="2053"/>
      <c r="Q104" s="2053"/>
      <c r="R104" s="2053"/>
      <c r="S104" s="2053"/>
      <c r="T104" s="2053"/>
      <c r="U104" s="2052">
        <f>U100</f>
        <v>1750</v>
      </c>
      <c r="V104" s="2053"/>
      <c r="W104" s="2053"/>
      <c r="X104" s="2042"/>
      <c r="Y104" s="2054"/>
      <c r="Z104" s="2054"/>
      <c r="AA104" s="2054"/>
      <c r="AB104" s="2054"/>
      <c r="AC104" s="2054"/>
      <c r="AD104" s="2054"/>
      <c r="AE104" s="2054"/>
      <c r="AF104" s="2054"/>
      <c r="AG104" s="2054"/>
      <c r="AH104" s="2054"/>
      <c r="AI104" s="2054"/>
      <c r="AJ104" s="2054"/>
      <c r="AK104" s="2054"/>
    </row>
    <row r="105" spans="1:37" s="1532" customFormat="1" hidden="1" outlineLevel="2">
      <c r="A105" s="1529" t="s">
        <v>303</v>
      </c>
      <c r="B105" s="1530" t="s">
        <v>1789</v>
      </c>
      <c r="C105" s="1531" t="s">
        <v>1781</v>
      </c>
      <c r="D105" s="1527" t="s">
        <v>1798</v>
      </c>
      <c r="E105" s="2052">
        <f>E100</f>
        <v>2750</v>
      </c>
      <c r="F105" s="2052">
        <f>F100</f>
        <v>2900</v>
      </c>
      <c r="G105" s="2053"/>
      <c r="H105" s="2043" t="e">
        <f t="shared" si="2"/>
        <v>#REF!</v>
      </c>
      <c r="I105" s="2052">
        <f>I100</f>
        <v>1500</v>
      </c>
      <c r="J105" s="2053"/>
      <c r="K105" s="2053"/>
      <c r="L105" s="2053"/>
      <c r="M105" s="2053"/>
      <c r="N105" s="2053"/>
      <c r="O105" s="2053"/>
      <c r="P105" s="2053"/>
      <c r="Q105" s="2053"/>
      <c r="R105" s="2053"/>
      <c r="S105" s="2053"/>
      <c r="T105" s="2053"/>
      <c r="U105" s="2052">
        <f>U100</f>
        <v>1750</v>
      </c>
      <c r="V105" s="2053"/>
      <c r="W105" s="2053"/>
      <c r="X105" s="2042"/>
      <c r="Y105" s="2054"/>
      <c r="Z105" s="2054"/>
      <c r="AA105" s="2054"/>
      <c r="AB105" s="2054"/>
      <c r="AC105" s="2054"/>
      <c r="AD105" s="2054"/>
      <c r="AE105" s="2054"/>
      <c r="AF105" s="2054"/>
      <c r="AG105" s="2054"/>
      <c r="AH105" s="2054"/>
      <c r="AI105" s="2054"/>
      <c r="AJ105" s="2054"/>
      <c r="AK105" s="2054"/>
    </row>
    <row r="106" spans="1:37" s="1532" customFormat="1" hidden="1" outlineLevel="2">
      <c r="A106" s="1529" t="s">
        <v>303</v>
      </c>
      <c r="B106" s="1530" t="s">
        <v>1789</v>
      </c>
      <c r="C106" s="1531" t="s">
        <v>1781</v>
      </c>
      <c r="D106" s="1527" t="s">
        <v>1799</v>
      </c>
      <c r="E106" s="2052">
        <f>E100</f>
        <v>2750</v>
      </c>
      <c r="F106" s="2052">
        <f>F100</f>
        <v>2900</v>
      </c>
      <c r="G106" s="2053"/>
      <c r="H106" s="2043" t="e">
        <f t="shared" si="2"/>
        <v>#REF!</v>
      </c>
      <c r="I106" s="2052">
        <f>I100</f>
        <v>1500</v>
      </c>
      <c r="J106" s="2053"/>
      <c r="K106" s="2053"/>
      <c r="L106" s="2053"/>
      <c r="M106" s="2053"/>
      <c r="N106" s="2053"/>
      <c r="O106" s="2053"/>
      <c r="P106" s="2053"/>
      <c r="Q106" s="2053"/>
      <c r="R106" s="2053"/>
      <c r="S106" s="2053"/>
      <c r="T106" s="2053"/>
      <c r="U106" s="2052">
        <f>U100</f>
        <v>1750</v>
      </c>
      <c r="V106" s="2053"/>
      <c r="W106" s="2053"/>
      <c r="X106" s="2042"/>
      <c r="Y106" s="2054"/>
      <c r="Z106" s="2054"/>
      <c r="AA106" s="2054"/>
      <c r="AB106" s="2054"/>
      <c r="AC106" s="2054"/>
      <c r="AD106" s="2054"/>
      <c r="AE106" s="2054"/>
      <c r="AF106" s="2054"/>
      <c r="AG106" s="2054"/>
      <c r="AH106" s="2054"/>
      <c r="AI106" s="2054"/>
      <c r="AJ106" s="2054"/>
      <c r="AK106" s="2054"/>
    </row>
    <row r="107" spans="1:37" s="1532" customFormat="1" hidden="1" outlineLevel="2">
      <c r="A107" s="1529" t="s">
        <v>303</v>
      </c>
      <c r="B107" s="1530" t="s">
        <v>1789</v>
      </c>
      <c r="C107" s="1531" t="s">
        <v>1781</v>
      </c>
      <c r="D107" s="1527" t="s">
        <v>1800</v>
      </c>
      <c r="E107" s="2052">
        <f>E100</f>
        <v>2750</v>
      </c>
      <c r="F107" s="2052">
        <f>F100</f>
        <v>2900</v>
      </c>
      <c r="G107" s="2053"/>
      <c r="H107" s="2043" t="e">
        <f t="shared" si="2"/>
        <v>#REF!</v>
      </c>
      <c r="I107" s="2052">
        <f>I100</f>
        <v>1500</v>
      </c>
      <c r="J107" s="2053"/>
      <c r="K107" s="2053"/>
      <c r="L107" s="2053"/>
      <c r="M107" s="2053"/>
      <c r="N107" s="2053"/>
      <c r="O107" s="2053"/>
      <c r="P107" s="2053"/>
      <c r="Q107" s="2053"/>
      <c r="R107" s="2053"/>
      <c r="S107" s="2053"/>
      <c r="T107" s="2053"/>
      <c r="U107" s="2052">
        <f>U100</f>
        <v>1750</v>
      </c>
      <c r="V107" s="2053"/>
      <c r="W107" s="2053"/>
      <c r="X107" s="2042"/>
      <c r="Y107" s="2054"/>
      <c r="Z107" s="2054"/>
      <c r="AA107" s="2054"/>
      <c r="AB107" s="2054"/>
      <c r="AC107" s="2054"/>
      <c r="AD107" s="2054"/>
      <c r="AE107" s="2054"/>
      <c r="AF107" s="2054"/>
      <c r="AG107" s="2054"/>
      <c r="AH107" s="2054"/>
      <c r="AI107" s="2054"/>
      <c r="AJ107" s="2054"/>
      <c r="AK107" s="2054"/>
    </row>
    <row r="108" spans="1:37" s="1532" customFormat="1" hidden="1" outlineLevel="2">
      <c r="A108" s="1529" t="s">
        <v>303</v>
      </c>
      <c r="B108" s="1530" t="s">
        <v>1789</v>
      </c>
      <c r="C108" s="1531" t="s">
        <v>1781</v>
      </c>
      <c r="D108" s="1527" t="s">
        <v>1801</v>
      </c>
      <c r="E108" s="2052">
        <f>E100</f>
        <v>2750</v>
      </c>
      <c r="F108" s="2052">
        <f>F100</f>
        <v>2900</v>
      </c>
      <c r="G108" s="2053"/>
      <c r="H108" s="2043" t="e">
        <f t="shared" si="2"/>
        <v>#REF!</v>
      </c>
      <c r="I108" s="2052">
        <f>I100</f>
        <v>1500</v>
      </c>
      <c r="J108" s="2053"/>
      <c r="K108" s="2053"/>
      <c r="L108" s="2053"/>
      <c r="M108" s="2053"/>
      <c r="N108" s="2053"/>
      <c r="O108" s="2053"/>
      <c r="P108" s="2053"/>
      <c r="Q108" s="2053"/>
      <c r="R108" s="2053"/>
      <c r="S108" s="2053"/>
      <c r="T108" s="2053"/>
      <c r="U108" s="2052">
        <f>U100</f>
        <v>1750</v>
      </c>
      <c r="V108" s="2053"/>
      <c r="W108" s="2053"/>
      <c r="X108" s="2042"/>
      <c r="Y108" s="2054"/>
      <c r="Z108" s="2054"/>
      <c r="AA108" s="2054"/>
      <c r="AB108" s="2054"/>
      <c r="AC108" s="2054"/>
      <c r="AD108" s="2054"/>
      <c r="AE108" s="2054"/>
      <c r="AF108" s="2054"/>
      <c r="AG108" s="2054"/>
      <c r="AH108" s="2054"/>
      <c r="AI108" s="2054"/>
      <c r="AJ108" s="2054"/>
      <c r="AK108" s="2054"/>
    </row>
    <row r="109" spans="1:37" s="1532" customFormat="1" hidden="1" outlineLevel="2">
      <c r="A109" s="1529" t="s">
        <v>303</v>
      </c>
      <c r="B109" s="1530" t="s">
        <v>1789</v>
      </c>
      <c r="C109" s="1531" t="s">
        <v>1781</v>
      </c>
      <c r="D109" s="1527" t="s">
        <v>1802</v>
      </c>
      <c r="E109" s="2052">
        <f>E100</f>
        <v>2750</v>
      </c>
      <c r="F109" s="2052">
        <f>F100</f>
        <v>2900</v>
      </c>
      <c r="G109" s="2053"/>
      <c r="H109" s="2043" t="e">
        <f t="shared" si="2"/>
        <v>#REF!</v>
      </c>
      <c r="I109" s="2052">
        <f>I100</f>
        <v>1500</v>
      </c>
      <c r="J109" s="2053"/>
      <c r="K109" s="2053"/>
      <c r="L109" s="2053"/>
      <c r="M109" s="2053"/>
      <c r="N109" s="2053"/>
      <c r="O109" s="2053"/>
      <c r="P109" s="2053"/>
      <c r="Q109" s="2053"/>
      <c r="R109" s="2053"/>
      <c r="S109" s="2053"/>
      <c r="T109" s="2053"/>
      <c r="U109" s="2052">
        <f>U100</f>
        <v>1750</v>
      </c>
      <c r="V109" s="2053"/>
      <c r="W109" s="2053"/>
      <c r="X109" s="2042"/>
      <c r="Y109" s="2054"/>
      <c r="Z109" s="2054"/>
      <c r="AA109" s="2054"/>
      <c r="AB109" s="2054"/>
      <c r="AC109" s="2054"/>
      <c r="AD109" s="2054"/>
      <c r="AE109" s="2054"/>
      <c r="AF109" s="2054"/>
      <c r="AG109" s="2054"/>
      <c r="AH109" s="2054"/>
      <c r="AI109" s="2054"/>
      <c r="AJ109" s="2054"/>
      <c r="AK109" s="2054"/>
    </row>
    <row r="110" spans="1:37" s="1478" customFormat="1" hidden="1" outlineLevel="2">
      <c r="A110" s="1526" t="s">
        <v>303</v>
      </c>
      <c r="B110" s="1527" t="s">
        <v>1789</v>
      </c>
      <c r="C110" s="1528" t="s">
        <v>1781</v>
      </c>
      <c r="D110" s="1527" t="s">
        <v>1803</v>
      </c>
      <c r="E110" s="2052">
        <f>E100</f>
        <v>2750</v>
      </c>
      <c r="F110" s="2052">
        <f>F100</f>
        <v>2900</v>
      </c>
      <c r="G110" s="2042"/>
      <c r="H110" s="2043" t="e">
        <f t="shared" si="2"/>
        <v>#REF!</v>
      </c>
      <c r="I110" s="2052">
        <f>I100</f>
        <v>1500</v>
      </c>
      <c r="J110" s="2042"/>
      <c r="K110" s="2042"/>
      <c r="L110" s="2042"/>
      <c r="M110" s="2042"/>
      <c r="N110" s="2042"/>
      <c r="O110" s="2042"/>
      <c r="P110" s="2042"/>
      <c r="Q110" s="2042"/>
      <c r="R110" s="2042"/>
      <c r="S110" s="2042"/>
      <c r="T110" s="2042"/>
      <c r="U110" s="2052">
        <f>U100</f>
        <v>1750</v>
      </c>
      <c r="V110" s="2042"/>
      <c r="W110" s="2042"/>
      <c r="X110" s="2042"/>
      <c r="Y110" s="2029"/>
      <c r="Z110" s="2029"/>
      <c r="AA110" s="2029"/>
      <c r="AB110" s="2029"/>
      <c r="AC110" s="2029"/>
      <c r="AD110" s="2029"/>
      <c r="AE110" s="2029"/>
      <c r="AF110" s="2029"/>
      <c r="AG110" s="2029"/>
      <c r="AH110" s="2029"/>
      <c r="AI110" s="2029"/>
      <c r="AJ110" s="2029"/>
      <c r="AK110" s="2029"/>
    </row>
    <row r="111" spans="1:37" s="1478" customFormat="1" hidden="1" outlineLevel="1" collapsed="1">
      <c r="A111" s="1515" t="s">
        <v>303</v>
      </c>
      <c r="B111" s="1516" t="s">
        <v>1780</v>
      </c>
      <c r="C111" s="1517" t="s">
        <v>1804</v>
      </c>
      <c r="D111" s="1518" t="s">
        <v>166</v>
      </c>
      <c r="E111" s="2046">
        <f t="shared" ref="E111:F136" si="3">E85</f>
        <v>2500</v>
      </c>
      <c r="F111" s="2046">
        <f t="shared" si="3"/>
        <v>2500</v>
      </c>
      <c r="G111" s="2042"/>
      <c r="H111" s="2043" t="e">
        <f t="shared" si="2"/>
        <v>#REF!</v>
      </c>
      <c r="I111" s="2046">
        <f t="shared" ref="I111:I136" si="4">I85</f>
        <v>1400</v>
      </c>
      <c r="J111" s="2042"/>
      <c r="K111" s="2042"/>
      <c r="L111" s="2042"/>
      <c r="M111" s="2042"/>
      <c r="N111" s="2042"/>
      <c r="O111" s="2042"/>
      <c r="P111" s="2042"/>
      <c r="Q111" s="2042"/>
      <c r="R111" s="2042"/>
      <c r="S111" s="2042"/>
      <c r="T111" s="2042"/>
      <c r="U111" s="2046">
        <f t="shared" ref="U111:U136" si="5">U85</f>
        <v>1500</v>
      </c>
      <c r="V111" s="2042"/>
      <c r="W111" s="2042"/>
      <c r="X111" s="2042"/>
      <c r="Y111" s="2029"/>
      <c r="Z111" s="2029"/>
      <c r="AA111" s="2029"/>
      <c r="AB111" s="2029"/>
      <c r="AC111" s="2029"/>
      <c r="AD111" s="2029"/>
      <c r="AE111" s="2029"/>
      <c r="AF111" s="2029"/>
      <c r="AG111" s="2029"/>
      <c r="AH111" s="2029"/>
      <c r="AI111" s="2029"/>
      <c r="AJ111" s="2029"/>
      <c r="AK111" s="2029"/>
    </row>
    <row r="112" spans="1:37" s="1478" customFormat="1" hidden="1" outlineLevel="2">
      <c r="A112" s="1515" t="s">
        <v>303</v>
      </c>
      <c r="B112" s="1516" t="s">
        <v>1780</v>
      </c>
      <c r="C112" s="1517" t="s">
        <v>1804</v>
      </c>
      <c r="D112" s="1518" t="s">
        <v>1782</v>
      </c>
      <c r="E112" s="2046">
        <f t="shared" si="3"/>
        <v>2500</v>
      </c>
      <c r="F112" s="2046">
        <f t="shared" si="3"/>
        <v>2500</v>
      </c>
      <c r="G112" s="2042"/>
      <c r="H112" s="2043" t="e">
        <f t="shared" si="2"/>
        <v>#REF!</v>
      </c>
      <c r="I112" s="2046">
        <f t="shared" si="4"/>
        <v>1400</v>
      </c>
      <c r="J112" s="2042"/>
      <c r="K112" s="2042"/>
      <c r="L112" s="2042"/>
      <c r="M112" s="2042"/>
      <c r="N112" s="2042"/>
      <c r="O112" s="2042"/>
      <c r="P112" s="2042"/>
      <c r="Q112" s="2042"/>
      <c r="R112" s="2042"/>
      <c r="S112" s="2042"/>
      <c r="T112" s="2042"/>
      <c r="U112" s="2046">
        <f t="shared" si="5"/>
        <v>1500</v>
      </c>
      <c r="V112" s="2042"/>
      <c r="W112" s="2042"/>
      <c r="X112" s="2042"/>
      <c r="Y112" s="2029"/>
      <c r="Z112" s="2029"/>
      <c r="AA112" s="2029"/>
      <c r="AB112" s="2029"/>
      <c r="AC112" s="2029"/>
      <c r="AD112" s="2029"/>
      <c r="AE112" s="2029"/>
      <c r="AF112" s="2029"/>
      <c r="AG112" s="2029"/>
      <c r="AH112" s="2029"/>
      <c r="AI112" s="2029"/>
      <c r="AJ112" s="2029"/>
      <c r="AK112" s="2029"/>
    </row>
    <row r="113" spans="1:37" s="1478" customFormat="1" hidden="1" outlineLevel="2">
      <c r="A113" s="1515" t="s">
        <v>303</v>
      </c>
      <c r="B113" s="1516" t="s">
        <v>1780</v>
      </c>
      <c r="C113" s="1517" t="s">
        <v>1804</v>
      </c>
      <c r="D113" s="1518" t="s">
        <v>238</v>
      </c>
      <c r="E113" s="2046">
        <f t="shared" si="3"/>
        <v>2500</v>
      </c>
      <c r="F113" s="2046">
        <f t="shared" si="3"/>
        <v>2500</v>
      </c>
      <c r="G113" s="2042"/>
      <c r="H113" s="2043" t="e">
        <f t="shared" si="2"/>
        <v>#REF!</v>
      </c>
      <c r="I113" s="2046">
        <f t="shared" si="4"/>
        <v>1400</v>
      </c>
      <c r="J113" s="2042"/>
      <c r="K113" s="2042"/>
      <c r="L113" s="2042"/>
      <c r="M113" s="2042"/>
      <c r="N113" s="2042"/>
      <c r="O113" s="2042"/>
      <c r="P113" s="2042"/>
      <c r="Q113" s="2042"/>
      <c r="R113" s="2042"/>
      <c r="S113" s="2042"/>
      <c r="T113" s="2042"/>
      <c r="U113" s="2046">
        <f t="shared" si="5"/>
        <v>1500</v>
      </c>
      <c r="V113" s="2042"/>
      <c r="W113" s="2042"/>
      <c r="X113" s="2042"/>
      <c r="Y113" s="2029"/>
      <c r="Z113" s="2029"/>
      <c r="AA113" s="2029"/>
      <c r="AB113" s="2029"/>
      <c r="AC113" s="2029"/>
      <c r="AD113" s="2029"/>
      <c r="AE113" s="2029"/>
      <c r="AF113" s="2029"/>
      <c r="AG113" s="2029"/>
      <c r="AH113" s="2029"/>
      <c r="AI113" s="2029"/>
      <c r="AJ113" s="2029"/>
      <c r="AK113" s="2029"/>
    </row>
    <row r="114" spans="1:37" s="1478" customFormat="1" hidden="1" outlineLevel="2">
      <c r="A114" s="1515" t="s">
        <v>303</v>
      </c>
      <c r="B114" s="1516" t="s">
        <v>1780</v>
      </c>
      <c r="C114" s="1517" t="s">
        <v>1804</v>
      </c>
      <c r="D114" s="1518" t="s">
        <v>1783</v>
      </c>
      <c r="E114" s="2046">
        <f t="shared" si="3"/>
        <v>2500</v>
      </c>
      <c r="F114" s="2046">
        <f t="shared" si="3"/>
        <v>2500</v>
      </c>
      <c r="G114" s="2042"/>
      <c r="H114" s="2043" t="e">
        <f t="shared" si="2"/>
        <v>#REF!</v>
      </c>
      <c r="I114" s="2046">
        <f t="shared" si="4"/>
        <v>1400</v>
      </c>
      <c r="J114" s="2042"/>
      <c r="K114" s="2042"/>
      <c r="L114" s="2042"/>
      <c r="M114" s="2042"/>
      <c r="N114" s="2042"/>
      <c r="O114" s="2042"/>
      <c r="P114" s="2042"/>
      <c r="Q114" s="2042"/>
      <c r="R114" s="2042"/>
      <c r="S114" s="2042"/>
      <c r="T114" s="2042"/>
      <c r="U114" s="2046">
        <f t="shared" si="5"/>
        <v>1500</v>
      </c>
      <c r="V114" s="2042"/>
      <c r="W114" s="2042"/>
      <c r="X114" s="2042"/>
      <c r="Y114" s="2029"/>
      <c r="Z114" s="2029"/>
      <c r="AA114" s="2029"/>
      <c r="AB114" s="2029"/>
      <c r="AC114" s="2029"/>
      <c r="AD114" s="2029"/>
      <c r="AE114" s="2029"/>
      <c r="AF114" s="2029"/>
      <c r="AG114" s="2029"/>
      <c r="AH114" s="2029"/>
      <c r="AI114" s="2029"/>
      <c r="AJ114" s="2029"/>
      <c r="AK114" s="2029"/>
    </row>
    <row r="115" spans="1:37" s="1478" customFormat="1" hidden="1" outlineLevel="2">
      <c r="A115" s="1515" t="s">
        <v>303</v>
      </c>
      <c r="B115" s="1516" t="s">
        <v>1780</v>
      </c>
      <c r="C115" s="1517" t="s">
        <v>1804</v>
      </c>
      <c r="D115" s="1518" t="s">
        <v>1784</v>
      </c>
      <c r="E115" s="2046">
        <f t="shared" si="3"/>
        <v>2500</v>
      </c>
      <c r="F115" s="2046">
        <f t="shared" si="3"/>
        <v>2500</v>
      </c>
      <c r="G115" s="2042"/>
      <c r="H115" s="2043" t="e">
        <f t="shared" si="2"/>
        <v>#REF!</v>
      </c>
      <c r="I115" s="2046">
        <f t="shared" si="4"/>
        <v>1400</v>
      </c>
      <c r="J115" s="2042"/>
      <c r="K115" s="2042"/>
      <c r="L115" s="2042"/>
      <c r="M115" s="2042"/>
      <c r="N115" s="2042"/>
      <c r="O115" s="2042"/>
      <c r="P115" s="2042"/>
      <c r="Q115" s="2042"/>
      <c r="R115" s="2042"/>
      <c r="S115" s="2042"/>
      <c r="T115" s="2042"/>
      <c r="U115" s="2046">
        <f t="shared" si="5"/>
        <v>1500</v>
      </c>
      <c r="V115" s="2042"/>
      <c r="W115" s="2042"/>
      <c r="X115" s="2042"/>
      <c r="Y115" s="2029"/>
      <c r="Z115" s="2029"/>
      <c r="AA115" s="2029"/>
      <c r="AB115" s="2029"/>
      <c r="AC115" s="2029"/>
      <c r="AD115" s="2029"/>
      <c r="AE115" s="2029"/>
      <c r="AF115" s="2029"/>
      <c r="AG115" s="2029"/>
      <c r="AH115" s="2029"/>
      <c r="AI115" s="2029"/>
      <c r="AJ115" s="2029"/>
      <c r="AK115" s="2029"/>
    </row>
    <row r="116" spans="1:37" s="1478" customFormat="1" hidden="1" outlineLevel="2">
      <c r="A116" s="1515" t="s">
        <v>303</v>
      </c>
      <c r="B116" s="1516" t="s">
        <v>1780</v>
      </c>
      <c r="C116" s="1517" t="s">
        <v>1804</v>
      </c>
      <c r="D116" s="1518" t="s">
        <v>1785</v>
      </c>
      <c r="E116" s="2046">
        <f t="shared" si="3"/>
        <v>2500</v>
      </c>
      <c r="F116" s="2046">
        <f t="shared" si="3"/>
        <v>2500</v>
      </c>
      <c r="G116" s="2042"/>
      <c r="H116" s="2043" t="e">
        <f t="shared" si="2"/>
        <v>#REF!</v>
      </c>
      <c r="I116" s="2046">
        <f t="shared" si="4"/>
        <v>1400</v>
      </c>
      <c r="J116" s="2042"/>
      <c r="K116" s="2042"/>
      <c r="L116" s="2042"/>
      <c r="M116" s="2042"/>
      <c r="N116" s="2042"/>
      <c r="O116" s="2042"/>
      <c r="P116" s="2042"/>
      <c r="Q116" s="2042"/>
      <c r="R116" s="2042"/>
      <c r="S116" s="2042"/>
      <c r="T116" s="2042"/>
      <c r="U116" s="2046">
        <f t="shared" si="5"/>
        <v>1500</v>
      </c>
      <c r="V116" s="2042"/>
      <c r="W116" s="2042"/>
      <c r="X116" s="2042"/>
      <c r="Y116" s="2029"/>
      <c r="Z116" s="2029"/>
      <c r="AA116" s="2029"/>
      <c r="AB116" s="2029"/>
      <c r="AC116" s="2029"/>
      <c r="AD116" s="2029"/>
      <c r="AE116" s="2029"/>
      <c r="AF116" s="2029"/>
      <c r="AG116" s="2029"/>
      <c r="AH116" s="2029"/>
      <c r="AI116" s="2029"/>
      <c r="AJ116" s="2029"/>
      <c r="AK116" s="2029"/>
    </row>
    <row r="117" spans="1:37" s="1478" customFormat="1" hidden="1" outlineLevel="2">
      <c r="A117" s="1515" t="s">
        <v>303</v>
      </c>
      <c r="B117" s="1516" t="s">
        <v>1780</v>
      </c>
      <c r="C117" s="1517" t="s">
        <v>1804</v>
      </c>
      <c r="D117" s="1518" t="s">
        <v>168</v>
      </c>
      <c r="E117" s="2046">
        <f t="shared" si="3"/>
        <v>3000</v>
      </c>
      <c r="F117" s="2046">
        <f t="shared" si="3"/>
        <v>3000</v>
      </c>
      <c r="G117" s="2042"/>
      <c r="H117" s="2043" t="e">
        <f t="shared" si="2"/>
        <v>#REF!</v>
      </c>
      <c r="I117" s="2046">
        <f t="shared" si="4"/>
        <v>1680</v>
      </c>
      <c r="J117" s="2042"/>
      <c r="K117" s="2042"/>
      <c r="L117" s="2042"/>
      <c r="M117" s="2042"/>
      <c r="N117" s="2042"/>
      <c r="O117" s="2042"/>
      <c r="P117" s="2042"/>
      <c r="Q117" s="2042"/>
      <c r="R117" s="2042"/>
      <c r="S117" s="2042"/>
      <c r="T117" s="2042"/>
      <c r="U117" s="2046">
        <f t="shared" si="5"/>
        <v>1800</v>
      </c>
      <c r="V117" s="2042"/>
      <c r="W117" s="2042"/>
      <c r="X117" s="2042"/>
      <c r="Y117" s="2029"/>
      <c r="Z117" s="2029"/>
      <c r="AA117" s="2029"/>
      <c r="AB117" s="2029"/>
      <c r="AC117" s="2029"/>
      <c r="AD117" s="2029"/>
      <c r="AE117" s="2029"/>
      <c r="AF117" s="2029"/>
      <c r="AG117" s="2029"/>
      <c r="AH117" s="2029"/>
      <c r="AI117" s="2029"/>
      <c r="AJ117" s="2029"/>
      <c r="AK117" s="2029"/>
    </row>
    <row r="118" spans="1:37" s="1478" customFormat="1" hidden="1" outlineLevel="2">
      <c r="A118" s="1515" t="s">
        <v>303</v>
      </c>
      <c r="B118" s="1516" t="s">
        <v>1780</v>
      </c>
      <c r="C118" s="1517" t="s">
        <v>1804</v>
      </c>
      <c r="D118" s="1518" t="s">
        <v>1786</v>
      </c>
      <c r="E118" s="2046">
        <f t="shared" si="3"/>
        <v>2500</v>
      </c>
      <c r="F118" s="2046">
        <f t="shared" si="3"/>
        <v>2500</v>
      </c>
      <c r="G118" s="2042"/>
      <c r="H118" s="2043" t="e">
        <f t="shared" si="2"/>
        <v>#REF!</v>
      </c>
      <c r="I118" s="2046">
        <f t="shared" si="4"/>
        <v>1400</v>
      </c>
      <c r="J118" s="2042"/>
      <c r="K118" s="2042"/>
      <c r="L118" s="2042"/>
      <c r="M118" s="2042"/>
      <c r="N118" s="2042"/>
      <c r="O118" s="2042"/>
      <c r="P118" s="2042"/>
      <c r="Q118" s="2042"/>
      <c r="R118" s="2042"/>
      <c r="S118" s="2042"/>
      <c r="T118" s="2042"/>
      <c r="U118" s="2046">
        <f t="shared" si="5"/>
        <v>1500</v>
      </c>
      <c r="V118" s="2042"/>
      <c r="W118" s="2042"/>
      <c r="X118" s="2042"/>
      <c r="Y118" s="2029"/>
      <c r="Z118" s="2029"/>
      <c r="AA118" s="2029"/>
      <c r="AB118" s="2029"/>
      <c r="AC118" s="2029"/>
      <c r="AD118" s="2029"/>
      <c r="AE118" s="2029"/>
      <c r="AF118" s="2029"/>
      <c r="AG118" s="2029"/>
      <c r="AH118" s="2029"/>
      <c r="AI118" s="2029"/>
      <c r="AJ118" s="2029"/>
      <c r="AK118" s="2029"/>
    </row>
    <row r="119" spans="1:37" s="1478" customFormat="1" hidden="1" outlineLevel="2">
      <c r="A119" s="1515" t="s">
        <v>303</v>
      </c>
      <c r="B119" s="1516" t="s">
        <v>1780</v>
      </c>
      <c r="C119" s="1517" t="s">
        <v>1804</v>
      </c>
      <c r="D119" s="1518" t="s">
        <v>302</v>
      </c>
      <c r="E119" s="2046">
        <f t="shared" si="3"/>
        <v>2500</v>
      </c>
      <c r="F119" s="2046">
        <f t="shared" si="3"/>
        <v>2500</v>
      </c>
      <c r="G119" s="2042"/>
      <c r="H119" s="2043" t="e">
        <f t="shared" si="2"/>
        <v>#REF!</v>
      </c>
      <c r="I119" s="2046">
        <f t="shared" si="4"/>
        <v>1400</v>
      </c>
      <c r="J119" s="2042"/>
      <c r="K119" s="2042"/>
      <c r="L119" s="2042"/>
      <c r="M119" s="2042"/>
      <c r="N119" s="2042"/>
      <c r="O119" s="2042"/>
      <c r="P119" s="2042"/>
      <c r="Q119" s="2042"/>
      <c r="R119" s="2042"/>
      <c r="S119" s="2042"/>
      <c r="T119" s="2042"/>
      <c r="U119" s="2046">
        <f t="shared" si="5"/>
        <v>1500</v>
      </c>
      <c r="V119" s="2042"/>
      <c r="W119" s="2042"/>
      <c r="X119" s="2042"/>
      <c r="Y119" s="2029"/>
      <c r="Z119" s="2029"/>
      <c r="AA119" s="2029"/>
      <c r="AB119" s="2029"/>
      <c r="AC119" s="2029"/>
      <c r="AD119" s="2029"/>
      <c r="AE119" s="2029"/>
      <c r="AF119" s="2029"/>
      <c r="AG119" s="2029"/>
      <c r="AH119" s="2029"/>
      <c r="AI119" s="2029"/>
      <c r="AJ119" s="2029"/>
      <c r="AK119" s="2029"/>
    </row>
    <row r="120" spans="1:37" s="1478" customFormat="1" hidden="1" outlineLevel="2">
      <c r="A120" s="1515" t="s">
        <v>303</v>
      </c>
      <c r="B120" s="1516" t="s">
        <v>1780</v>
      </c>
      <c r="C120" s="1517" t="s">
        <v>1804</v>
      </c>
      <c r="D120" s="1518" t="s">
        <v>1787</v>
      </c>
      <c r="E120" s="2046">
        <f t="shared" si="3"/>
        <v>2500</v>
      </c>
      <c r="F120" s="2046">
        <f t="shared" si="3"/>
        <v>2500</v>
      </c>
      <c r="G120" s="2042"/>
      <c r="H120" s="2043" t="e">
        <f t="shared" si="2"/>
        <v>#REF!</v>
      </c>
      <c r="I120" s="2046">
        <f t="shared" si="4"/>
        <v>1400</v>
      </c>
      <c r="J120" s="2042"/>
      <c r="K120" s="2042"/>
      <c r="L120" s="2042"/>
      <c r="M120" s="2042"/>
      <c r="N120" s="2042"/>
      <c r="O120" s="2042"/>
      <c r="P120" s="2042"/>
      <c r="Q120" s="2042"/>
      <c r="R120" s="2042"/>
      <c r="S120" s="2042"/>
      <c r="T120" s="2042"/>
      <c r="U120" s="2046">
        <f t="shared" si="5"/>
        <v>1500</v>
      </c>
      <c r="V120" s="2042"/>
      <c r="W120" s="2042"/>
      <c r="X120" s="2042"/>
      <c r="Y120" s="2029"/>
      <c r="Z120" s="2029"/>
      <c r="AA120" s="2029"/>
      <c r="AB120" s="2029"/>
      <c r="AC120" s="2029"/>
      <c r="AD120" s="2029"/>
      <c r="AE120" s="2029"/>
      <c r="AF120" s="2029"/>
      <c r="AG120" s="2029"/>
      <c r="AH120" s="2029"/>
      <c r="AI120" s="2029"/>
      <c r="AJ120" s="2029"/>
      <c r="AK120" s="2029"/>
    </row>
    <row r="121" spans="1:37" s="1520" customFormat="1" hidden="1" outlineLevel="2">
      <c r="A121" s="1515" t="s">
        <v>303</v>
      </c>
      <c r="B121" s="1516" t="s">
        <v>1780</v>
      </c>
      <c r="C121" s="1517" t="s">
        <v>1804</v>
      </c>
      <c r="D121" s="1518" t="s">
        <v>998</v>
      </c>
      <c r="E121" s="2046">
        <f t="shared" si="3"/>
        <v>2500</v>
      </c>
      <c r="F121" s="2046">
        <f t="shared" si="3"/>
        <v>2500</v>
      </c>
      <c r="G121" s="2042"/>
      <c r="H121" s="2043" t="e">
        <f t="shared" si="2"/>
        <v>#REF!</v>
      </c>
      <c r="I121" s="2046">
        <f t="shared" si="4"/>
        <v>1400</v>
      </c>
      <c r="J121" s="2048"/>
      <c r="K121" s="2048"/>
      <c r="L121" s="2048"/>
      <c r="M121" s="2048"/>
      <c r="N121" s="2048"/>
      <c r="O121" s="2048"/>
      <c r="P121" s="2048"/>
      <c r="Q121" s="2048"/>
      <c r="R121" s="2048"/>
      <c r="S121" s="2048"/>
      <c r="T121" s="2048"/>
      <c r="U121" s="2046">
        <f t="shared" si="5"/>
        <v>1500</v>
      </c>
      <c r="V121" s="2042"/>
      <c r="W121" s="2042"/>
      <c r="X121" s="2042"/>
      <c r="Y121" s="2049"/>
      <c r="Z121" s="2049"/>
      <c r="AA121" s="2049"/>
      <c r="AB121" s="2049"/>
      <c r="AC121" s="2049"/>
      <c r="AD121" s="2049"/>
      <c r="AE121" s="2049"/>
      <c r="AF121" s="2049"/>
      <c r="AG121" s="2049"/>
      <c r="AH121" s="2049"/>
      <c r="AI121" s="2049"/>
      <c r="AJ121" s="2049"/>
      <c r="AK121" s="2049"/>
    </row>
    <row r="122" spans="1:37" s="1478" customFormat="1" hidden="1" outlineLevel="2">
      <c r="A122" s="1515" t="s">
        <v>303</v>
      </c>
      <c r="B122" s="1516" t="s">
        <v>1780</v>
      </c>
      <c r="C122" s="1517" t="s">
        <v>1804</v>
      </c>
      <c r="D122" s="1518" t="s">
        <v>1788</v>
      </c>
      <c r="E122" s="2046">
        <f t="shared" si="3"/>
        <v>3000</v>
      </c>
      <c r="F122" s="2046">
        <f t="shared" si="3"/>
        <v>3000</v>
      </c>
      <c r="G122" s="2046"/>
      <c r="H122" s="2043" t="e">
        <f t="shared" si="2"/>
        <v>#REF!</v>
      </c>
      <c r="I122" s="2046">
        <f t="shared" si="4"/>
        <v>1680</v>
      </c>
      <c r="J122" s="2042"/>
      <c r="K122" s="2042"/>
      <c r="L122" s="2042"/>
      <c r="M122" s="2042"/>
      <c r="N122" s="2042"/>
      <c r="O122" s="2042"/>
      <c r="P122" s="2042"/>
      <c r="Q122" s="2042"/>
      <c r="R122" s="2042"/>
      <c r="S122" s="2042"/>
      <c r="T122" s="2042"/>
      <c r="U122" s="2046">
        <f t="shared" si="5"/>
        <v>1800</v>
      </c>
      <c r="V122" s="2042"/>
      <c r="W122" s="2042"/>
      <c r="X122" s="2042"/>
      <c r="Y122" s="2029"/>
      <c r="Z122" s="2029"/>
      <c r="AA122" s="2029"/>
      <c r="AB122" s="2029"/>
      <c r="AC122" s="2029"/>
      <c r="AD122" s="2029"/>
      <c r="AE122" s="2029"/>
      <c r="AF122" s="2029"/>
      <c r="AG122" s="2029"/>
      <c r="AH122" s="2029"/>
      <c r="AI122" s="2029"/>
      <c r="AJ122" s="2029"/>
      <c r="AK122" s="2029"/>
    </row>
    <row r="123" spans="1:37" s="1478" customFormat="1" hidden="1" outlineLevel="1" collapsed="1">
      <c r="A123" s="1521" t="s">
        <v>303</v>
      </c>
      <c r="B123" s="1524" t="s">
        <v>1789</v>
      </c>
      <c r="C123" s="1523" t="s">
        <v>1804</v>
      </c>
      <c r="D123" s="1524" t="s">
        <v>1790</v>
      </c>
      <c r="E123" s="2050" t="e">
        <f t="shared" si="3"/>
        <v>#REF!</v>
      </c>
      <c r="F123" s="2050" t="e">
        <f t="shared" si="3"/>
        <v>#REF!</v>
      </c>
      <c r="G123" s="2042"/>
      <c r="H123" s="2043" t="e">
        <f t="shared" si="2"/>
        <v>#REF!</v>
      </c>
      <c r="I123" s="2050" t="e">
        <f t="shared" si="4"/>
        <v>#REF!</v>
      </c>
      <c r="J123" s="2042"/>
      <c r="K123" s="2042"/>
      <c r="L123" s="2042"/>
      <c r="M123" s="2042"/>
      <c r="N123" s="2042"/>
      <c r="O123" s="2042"/>
      <c r="P123" s="2042"/>
      <c r="Q123" s="2042"/>
      <c r="R123" s="2042"/>
      <c r="S123" s="2042"/>
      <c r="T123" s="2042"/>
      <c r="U123" s="2050" t="e">
        <f t="shared" si="5"/>
        <v>#REF!</v>
      </c>
      <c r="V123" s="2042"/>
      <c r="W123" s="2042"/>
      <c r="X123" s="2042"/>
      <c r="Y123" s="2029"/>
      <c r="Z123" s="2029"/>
      <c r="AA123" s="2029"/>
      <c r="AB123" s="2029"/>
      <c r="AC123" s="2029"/>
      <c r="AD123" s="2029"/>
      <c r="AE123" s="2029"/>
      <c r="AF123" s="2029"/>
      <c r="AG123" s="2029"/>
      <c r="AH123" s="2029"/>
      <c r="AI123" s="2029"/>
      <c r="AJ123" s="2029"/>
      <c r="AK123" s="2029"/>
    </row>
    <row r="124" spans="1:37" s="1478" customFormat="1" hidden="1" outlineLevel="2">
      <c r="A124" s="1521" t="s">
        <v>303</v>
      </c>
      <c r="B124" s="1524" t="s">
        <v>1789</v>
      </c>
      <c r="C124" s="1523" t="s">
        <v>1804</v>
      </c>
      <c r="D124" s="1524" t="s">
        <v>1791</v>
      </c>
      <c r="E124" s="2050" t="e">
        <f t="shared" si="3"/>
        <v>#REF!</v>
      </c>
      <c r="F124" s="2050" t="e">
        <f t="shared" si="3"/>
        <v>#REF!</v>
      </c>
      <c r="G124" s="2042"/>
      <c r="H124" s="2043" t="e">
        <f t="shared" si="2"/>
        <v>#REF!</v>
      </c>
      <c r="I124" s="2050" t="e">
        <f t="shared" si="4"/>
        <v>#REF!</v>
      </c>
      <c r="J124" s="2042"/>
      <c r="K124" s="2042"/>
      <c r="L124" s="2042"/>
      <c r="M124" s="2042"/>
      <c r="N124" s="2042"/>
      <c r="O124" s="2042"/>
      <c r="P124" s="2042"/>
      <c r="Q124" s="2042"/>
      <c r="R124" s="2042"/>
      <c r="S124" s="2042"/>
      <c r="T124" s="2042"/>
      <c r="U124" s="2050" t="e">
        <f t="shared" si="5"/>
        <v>#REF!</v>
      </c>
      <c r="V124" s="2042"/>
      <c r="W124" s="2042"/>
      <c r="X124" s="2042"/>
      <c r="Y124" s="2029"/>
      <c r="Z124" s="2029"/>
      <c r="AA124" s="2029"/>
      <c r="AB124" s="2029"/>
      <c r="AC124" s="2029"/>
      <c r="AD124" s="2029"/>
      <c r="AE124" s="2029"/>
      <c r="AF124" s="2029"/>
      <c r="AG124" s="2029"/>
      <c r="AH124" s="2029"/>
      <c r="AI124" s="2029"/>
      <c r="AJ124" s="2029"/>
      <c r="AK124" s="2029"/>
    </row>
    <row r="125" spans="1:37" s="1478" customFormat="1" hidden="1" outlineLevel="2">
      <c r="A125" s="1521" t="s">
        <v>303</v>
      </c>
      <c r="B125" s="1524" t="s">
        <v>1789</v>
      </c>
      <c r="C125" s="1523" t="s">
        <v>1804</v>
      </c>
      <c r="D125" s="1524" t="s">
        <v>1792</v>
      </c>
      <c r="E125" s="2050" t="e">
        <f t="shared" si="3"/>
        <v>#REF!</v>
      </c>
      <c r="F125" s="2050" t="e">
        <f t="shared" si="3"/>
        <v>#REF!</v>
      </c>
      <c r="G125" s="2042"/>
      <c r="H125" s="2043" t="e">
        <f t="shared" si="2"/>
        <v>#REF!</v>
      </c>
      <c r="I125" s="2050" t="e">
        <f t="shared" si="4"/>
        <v>#REF!</v>
      </c>
      <c r="J125" s="2042"/>
      <c r="K125" s="2042"/>
      <c r="L125" s="2042"/>
      <c r="M125" s="2042"/>
      <c r="N125" s="2042"/>
      <c r="O125" s="2042"/>
      <c r="P125" s="2042"/>
      <c r="Q125" s="2042"/>
      <c r="R125" s="2042"/>
      <c r="S125" s="2042"/>
      <c r="T125" s="2042"/>
      <c r="U125" s="2050" t="e">
        <f t="shared" si="5"/>
        <v>#REF!</v>
      </c>
      <c r="V125" s="2042"/>
      <c r="W125" s="2042"/>
      <c r="X125" s="2042"/>
      <c r="Y125" s="2029"/>
      <c r="Z125" s="2029"/>
      <c r="AA125" s="2029"/>
      <c r="AB125" s="2029"/>
      <c r="AC125" s="2029"/>
      <c r="AD125" s="2029"/>
      <c r="AE125" s="2029"/>
      <c r="AF125" s="2029"/>
      <c r="AG125" s="2029"/>
      <c r="AH125" s="2029"/>
      <c r="AI125" s="2029"/>
      <c r="AJ125" s="2029"/>
      <c r="AK125" s="2029"/>
    </row>
    <row r="126" spans="1:37" s="1478" customFormat="1" hidden="1" outlineLevel="1" collapsed="1">
      <c r="A126" s="1526" t="s">
        <v>303</v>
      </c>
      <c r="B126" s="1527" t="s">
        <v>1789</v>
      </c>
      <c r="C126" s="1528" t="s">
        <v>1804</v>
      </c>
      <c r="D126" s="1527" t="s">
        <v>1793</v>
      </c>
      <c r="E126" s="2052">
        <f t="shared" si="3"/>
        <v>2750</v>
      </c>
      <c r="F126" s="2052">
        <f t="shared" si="3"/>
        <v>2900</v>
      </c>
      <c r="G126" s="2042"/>
      <c r="H126" s="2043" t="e">
        <f t="shared" si="2"/>
        <v>#REF!</v>
      </c>
      <c r="I126" s="2052">
        <f t="shared" si="4"/>
        <v>1500</v>
      </c>
      <c r="J126" s="2042"/>
      <c r="K126" s="2042"/>
      <c r="L126" s="2042"/>
      <c r="M126" s="2042"/>
      <c r="N126" s="2042"/>
      <c r="O126" s="2042"/>
      <c r="P126" s="2042"/>
      <c r="Q126" s="2042"/>
      <c r="R126" s="2042"/>
      <c r="S126" s="2042"/>
      <c r="T126" s="2042"/>
      <c r="U126" s="2052">
        <f t="shared" si="5"/>
        <v>1750</v>
      </c>
      <c r="V126" s="2042"/>
      <c r="W126" s="2042"/>
      <c r="X126" s="2042"/>
      <c r="Y126" s="2029"/>
      <c r="Z126" s="2029"/>
      <c r="AA126" s="2029"/>
      <c r="AB126" s="2029"/>
      <c r="AC126" s="2029"/>
      <c r="AD126" s="2029"/>
      <c r="AE126" s="2029"/>
      <c r="AF126" s="2029"/>
      <c r="AG126" s="2029"/>
      <c r="AH126" s="2029"/>
      <c r="AI126" s="2029"/>
      <c r="AJ126" s="2029"/>
      <c r="AK126" s="2029"/>
    </row>
    <row r="127" spans="1:37" s="1478" customFormat="1" hidden="1" outlineLevel="2">
      <c r="A127" s="1526" t="s">
        <v>303</v>
      </c>
      <c r="B127" s="1527" t="s">
        <v>1789</v>
      </c>
      <c r="C127" s="1528" t="s">
        <v>1804</v>
      </c>
      <c r="D127" s="1527" t="s">
        <v>1794</v>
      </c>
      <c r="E127" s="2052">
        <f t="shared" si="3"/>
        <v>2750</v>
      </c>
      <c r="F127" s="2052">
        <f t="shared" si="3"/>
        <v>2900</v>
      </c>
      <c r="G127" s="2042"/>
      <c r="H127" s="2043" t="e">
        <f t="shared" si="2"/>
        <v>#REF!</v>
      </c>
      <c r="I127" s="2052">
        <f t="shared" si="4"/>
        <v>1500</v>
      </c>
      <c r="J127" s="2042"/>
      <c r="K127" s="2042"/>
      <c r="L127" s="2042"/>
      <c r="M127" s="2042"/>
      <c r="N127" s="2042"/>
      <c r="O127" s="2042"/>
      <c r="P127" s="2042"/>
      <c r="Q127" s="2042"/>
      <c r="R127" s="2042"/>
      <c r="S127" s="2042"/>
      <c r="T127" s="2042"/>
      <c r="U127" s="2052">
        <f t="shared" si="5"/>
        <v>1750</v>
      </c>
      <c r="V127" s="2042"/>
      <c r="W127" s="2042"/>
      <c r="X127" s="2042"/>
      <c r="Y127" s="2029"/>
      <c r="Z127" s="2029"/>
      <c r="AA127" s="2029"/>
      <c r="AB127" s="2029"/>
      <c r="AC127" s="2029"/>
      <c r="AD127" s="2029"/>
      <c r="AE127" s="2029"/>
      <c r="AF127" s="2029"/>
      <c r="AG127" s="2029"/>
      <c r="AH127" s="2029"/>
      <c r="AI127" s="2029"/>
      <c r="AJ127" s="2029"/>
      <c r="AK127" s="2029"/>
    </row>
    <row r="128" spans="1:37" s="1478" customFormat="1" hidden="1" outlineLevel="2">
      <c r="A128" s="1529" t="s">
        <v>303</v>
      </c>
      <c r="B128" s="1530" t="s">
        <v>1789</v>
      </c>
      <c r="C128" s="1531" t="s">
        <v>1804</v>
      </c>
      <c r="D128" s="1530" t="s">
        <v>1795</v>
      </c>
      <c r="E128" s="2052">
        <f t="shared" si="3"/>
        <v>2750</v>
      </c>
      <c r="F128" s="2052">
        <f t="shared" si="3"/>
        <v>2900</v>
      </c>
      <c r="G128" s="2042"/>
      <c r="H128" s="2043" t="e">
        <f t="shared" si="2"/>
        <v>#REF!</v>
      </c>
      <c r="I128" s="2052">
        <f t="shared" si="4"/>
        <v>1500</v>
      </c>
      <c r="J128" s="2042"/>
      <c r="K128" s="2042"/>
      <c r="L128" s="2042"/>
      <c r="M128" s="2042"/>
      <c r="N128" s="2042"/>
      <c r="O128" s="2042"/>
      <c r="P128" s="2042"/>
      <c r="Q128" s="2042"/>
      <c r="R128" s="2042"/>
      <c r="S128" s="2042"/>
      <c r="T128" s="2042"/>
      <c r="U128" s="2052">
        <f t="shared" si="5"/>
        <v>1750</v>
      </c>
      <c r="V128" s="2042"/>
      <c r="W128" s="2042"/>
      <c r="X128" s="2042"/>
      <c r="Y128" s="2029"/>
      <c r="Z128" s="2029"/>
      <c r="AA128" s="2029"/>
      <c r="AB128" s="2029"/>
      <c r="AC128" s="2029"/>
      <c r="AD128" s="2029"/>
      <c r="AE128" s="2029"/>
      <c r="AF128" s="2029"/>
      <c r="AG128" s="2029"/>
      <c r="AH128" s="2029"/>
      <c r="AI128" s="2029"/>
      <c r="AJ128" s="2029"/>
      <c r="AK128" s="2029"/>
    </row>
    <row r="129" spans="1:37" s="1478" customFormat="1" hidden="1" outlineLevel="2">
      <c r="A129" s="1529" t="s">
        <v>303</v>
      </c>
      <c r="B129" s="1530" t="s">
        <v>1789</v>
      </c>
      <c r="C129" s="1531" t="s">
        <v>1804</v>
      </c>
      <c r="D129" s="1527" t="s">
        <v>1796</v>
      </c>
      <c r="E129" s="2052">
        <f t="shared" si="3"/>
        <v>2750</v>
      </c>
      <c r="F129" s="2052">
        <f t="shared" si="3"/>
        <v>2900</v>
      </c>
      <c r="G129" s="2042"/>
      <c r="H129" s="2043" t="e">
        <f t="shared" si="2"/>
        <v>#REF!</v>
      </c>
      <c r="I129" s="2052">
        <f t="shared" si="4"/>
        <v>1500</v>
      </c>
      <c r="J129" s="2042"/>
      <c r="K129" s="2042"/>
      <c r="L129" s="2042"/>
      <c r="M129" s="2042"/>
      <c r="N129" s="2042"/>
      <c r="O129" s="2042"/>
      <c r="P129" s="2042"/>
      <c r="Q129" s="2042"/>
      <c r="R129" s="2042"/>
      <c r="S129" s="2042"/>
      <c r="T129" s="2042"/>
      <c r="U129" s="2052">
        <f t="shared" si="5"/>
        <v>1750</v>
      </c>
      <c r="V129" s="2042"/>
      <c r="W129" s="2042"/>
      <c r="X129" s="2042"/>
      <c r="Y129" s="2029"/>
      <c r="Z129" s="2029"/>
      <c r="AA129" s="2029"/>
      <c r="AB129" s="2029"/>
      <c r="AC129" s="2029"/>
      <c r="AD129" s="2029"/>
      <c r="AE129" s="2029"/>
      <c r="AF129" s="2029"/>
      <c r="AG129" s="2029"/>
      <c r="AH129" s="2029"/>
      <c r="AI129" s="2029"/>
      <c r="AJ129" s="2029"/>
      <c r="AK129" s="2029"/>
    </row>
    <row r="130" spans="1:37" s="1532" customFormat="1" hidden="1" outlineLevel="2">
      <c r="A130" s="1526" t="s">
        <v>303</v>
      </c>
      <c r="B130" s="1527" t="s">
        <v>1789</v>
      </c>
      <c r="C130" s="1528" t="s">
        <v>1804</v>
      </c>
      <c r="D130" s="1527" t="s">
        <v>1797</v>
      </c>
      <c r="E130" s="2052">
        <f t="shared" si="3"/>
        <v>2750</v>
      </c>
      <c r="F130" s="2052">
        <f t="shared" si="3"/>
        <v>2900</v>
      </c>
      <c r="G130" s="2053"/>
      <c r="H130" s="2043" t="e">
        <f t="shared" si="2"/>
        <v>#REF!</v>
      </c>
      <c r="I130" s="2052">
        <f t="shared" si="4"/>
        <v>1500</v>
      </c>
      <c r="J130" s="2053"/>
      <c r="K130" s="2053"/>
      <c r="L130" s="2053"/>
      <c r="M130" s="2053"/>
      <c r="N130" s="2053"/>
      <c r="O130" s="2053"/>
      <c r="P130" s="2053"/>
      <c r="Q130" s="2053"/>
      <c r="R130" s="2053"/>
      <c r="S130" s="2053"/>
      <c r="T130" s="2053"/>
      <c r="U130" s="2052">
        <f t="shared" si="5"/>
        <v>1750</v>
      </c>
      <c r="V130" s="2053"/>
      <c r="W130" s="2053"/>
      <c r="X130" s="2042"/>
      <c r="Y130" s="2054"/>
      <c r="Z130" s="2054"/>
      <c r="AA130" s="2054"/>
      <c r="AB130" s="2054"/>
      <c r="AC130" s="2054"/>
      <c r="AD130" s="2054"/>
      <c r="AE130" s="2054"/>
      <c r="AF130" s="2054"/>
      <c r="AG130" s="2054"/>
      <c r="AH130" s="2054"/>
      <c r="AI130" s="2054"/>
      <c r="AJ130" s="2054"/>
      <c r="AK130" s="2054"/>
    </row>
    <row r="131" spans="1:37" s="1532" customFormat="1" hidden="1" outlineLevel="2">
      <c r="A131" s="1526" t="s">
        <v>303</v>
      </c>
      <c r="B131" s="1527" t="s">
        <v>1789</v>
      </c>
      <c r="C131" s="1528" t="s">
        <v>1804</v>
      </c>
      <c r="D131" s="1527" t="s">
        <v>1798</v>
      </c>
      <c r="E131" s="2052">
        <f t="shared" si="3"/>
        <v>2750</v>
      </c>
      <c r="F131" s="2052">
        <f t="shared" si="3"/>
        <v>2900</v>
      </c>
      <c r="G131" s="2053"/>
      <c r="H131" s="2043" t="e">
        <f t="shared" si="2"/>
        <v>#REF!</v>
      </c>
      <c r="I131" s="2052">
        <f t="shared" si="4"/>
        <v>1500</v>
      </c>
      <c r="J131" s="2053"/>
      <c r="K131" s="2053"/>
      <c r="L131" s="2053"/>
      <c r="M131" s="2053"/>
      <c r="N131" s="2053"/>
      <c r="O131" s="2053"/>
      <c r="P131" s="2053"/>
      <c r="Q131" s="2053"/>
      <c r="R131" s="2053"/>
      <c r="S131" s="2053"/>
      <c r="T131" s="2053"/>
      <c r="U131" s="2052">
        <f t="shared" si="5"/>
        <v>1750</v>
      </c>
      <c r="V131" s="2053"/>
      <c r="W131" s="2053"/>
      <c r="X131" s="2042"/>
      <c r="Y131" s="2054"/>
      <c r="Z131" s="2054"/>
      <c r="AA131" s="2054"/>
      <c r="AB131" s="2054"/>
      <c r="AC131" s="2054"/>
      <c r="AD131" s="2054"/>
      <c r="AE131" s="2054"/>
      <c r="AF131" s="2054"/>
      <c r="AG131" s="2054"/>
      <c r="AH131" s="2054"/>
      <c r="AI131" s="2054"/>
      <c r="AJ131" s="2054"/>
      <c r="AK131" s="2054"/>
    </row>
    <row r="132" spans="1:37" s="1532" customFormat="1" hidden="1" outlineLevel="2">
      <c r="A132" s="1529" t="s">
        <v>303</v>
      </c>
      <c r="B132" s="1530" t="s">
        <v>1789</v>
      </c>
      <c r="C132" s="1531" t="s">
        <v>1804</v>
      </c>
      <c r="D132" s="1530" t="s">
        <v>1799</v>
      </c>
      <c r="E132" s="2052">
        <f t="shared" si="3"/>
        <v>2750</v>
      </c>
      <c r="F132" s="2052">
        <f t="shared" si="3"/>
        <v>2900</v>
      </c>
      <c r="G132" s="2053"/>
      <c r="H132" s="2043" t="e">
        <f t="shared" ref="H132:H137" si="6">$H$6</f>
        <v>#REF!</v>
      </c>
      <c r="I132" s="2052">
        <f t="shared" si="4"/>
        <v>1500</v>
      </c>
      <c r="J132" s="2053"/>
      <c r="K132" s="2053"/>
      <c r="L132" s="2053"/>
      <c r="M132" s="2053"/>
      <c r="N132" s="2053"/>
      <c r="O132" s="2053"/>
      <c r="P132" s="2053"/>
      <c r="Q132" s="2053"/>
      <c r="R132" s="2053"/>
      <c r="S132" s="2053"/>
      <c r="T132" s="2053"/>
      <c r="U132" s="2052">
        <f t="shared" si="5"/>
        <v>1750</v>
      </c>
      <c r="V132" s="2053"/>
      <c r="W132" s="2053"/>
      <c r="X132" s="2042"/>
      <c r="Y132" s="2054"/>
      <c r="Z132" s="2054"/>
      <c r="AA132" s="2054"/>
      <c r="AB132" s="2054"/>
      <c r="AC132" s="2054"/>
      <c r="AD132" s="2054"/>
      <c r="AE132" s="2054"/>
      <c r="AF132" s="2054"/>
      <c r="AG132" s="2054"/>
      <c r="AH132" s="2054"/>
      <c r="AI132" s="2054"/>
      <c r="AJ132" s="2054"/>
      <c r="AK132" s="2054"/>
    </row>
    <row r="133" spans="1:37" s="1532" customFormat="1" hidden="1" outlineLevel="2">
      <c r="A133" s="1529" t="s">
        <v>303</v>
      </c>
      <c r="B133" s="1530" t="s">
        <v>1789</v>
      </c>
      <c r="C133" s="1531" t="s">
        <v>1804</v>
      </c>
      <c r="D133" s="1527" t="s">
        <v>1800</v>
      </c>
      <c r="E133" s="2052">
        <f t="shared" si="3"/>
        <v>2750</v>
      </c>
      <c r="F133" s="2052">
        <f t="shared" si="3"/>
        <v>2900</v>
      </c>
      <c r="G133" s="2053"/>
      <c r="H133" s="2043" t="e">
        <f t="shared" si="6"/>
        <v>#REF!</v>
      </c>
      <c r="I133" s="2052">
        <f t="shared" si="4"/>
        <v>1500</v>
      </c>
      <c r="J133" s="2053"/>
      <c r="K133" s="2053"/>
      <c r="L133" s="2053"/>
      <c r="M133" s="2053"/>
      <c r="N133" s="2053"/>
      <c r="O133" s="2053"/>
      <c r="P133" s="2053"/>
      <c r="Q133" s="2053"/>
      <c r="R133" s="2053"/>
      <c r="S133" s="2053"/>
      <c r="T133" s="2053"/>
      <c r="U133" s="2052">
        <f t="shared" si="5"/>
        <v>1750</v>
      </c>
      <c r="V133" s="2053"/>
      <c r="W133" s="2053"/>
      <c r="X133" s="2042"/>
      <c r="Y133" s="2054"/>
      <c r="Z133" s="2054"/>
      <c r="AA133" s="2054"/>
      <c r="AB133" s="2054"/>
      <c r="AC133" s="2054"/>
      <c r="AD133" s="2054"/>
      <c r="AE133" s="2054"/>
      <c r="AF133" s="2054"/>
      <c r="AG133" s="2054"/>
      <c r="AH133" s="2054"/>
      <c r="AI133" s="2054"/>
      <c r="AJ133" s="2054"/>
      <c r="AK133" s="2054"/>
    </row>
    <row r="134" spans="1:37" s="1532" customFormat="1" hidden="1" outlineLevel="2">
      <c r="A134" s="1526" t="s">
        <v>303</v>
      </c>
      <c r="B134" s="1527" t="s">
        <v>1789</v>
      </c>
      <c r="C134" s="1528" t="s">
        <v>1804</v>
      </c>
      <c r="D134" s="1527" t="s">
        <v>1801</v>
      </c>
      <c r="E134" s="2052">
        <f t="shared" si="3"/>
        <v>2750</v>
      </c>
      <c r="F134" s="2052">
        <f t="shared" si="3"/>
        <v>2900</v>
      </c>
      <c r="G134" s="2053"/>
      <c r="H134" s="2043" t="e">
        <f t="shared" si="6"/>
        <v>#REF!</v>
      </c>
      <c r="I134" s="2052">
        <f t="shared" si="4"/>
        <v>1500</v>
      </c>
      <c r="J134" s="2053"/>
      <c r="K134" s="2053"/>
      <c r="L134" s="2053"/>
      <c r="M134" s="2053"/>
      <c r="N134" s="2053"/>
      <c r="O134" s="2053"/>
      <c r="P134" s="2053"/>
      <c r="Q134" s="2053"/>
      <c r="R134" s="2053"/>
      <c r="S134" s="2053"/>
      <c r="T134" s="2053"/>
      <c r="U134" s="2052">
        <f t="shared" si="5"/>
        <v>1750</v>
      </c>
      <c r="V134" s="2053"/>
      <c r="W134" s="2053"/>
      <c r="X134" s="2042"/>
      <c r="Y134" s="2054"/>
      <c r="Z134" s="2054"/>
      <c r="AA134" s="2054"/>
      <c r="AB134" s="2054"/>
      <c r="AC134" s="2054"/>
      <c r="AD134" s="2054"/>
      <c r="AE134" s="2054"/>
      <c r="AF134" s="2054"/>
      <c r="AG134" s="2054"/>
      <c r="AH134" s="2054"/>
      <c r="AI134" s="2054"/>
      <c r="AJ134" s="2054"/>
      <c r="AK134" s="2054"/>
    </row>
    <row r="135" spans="1:37" s="1532" customFormat="1" hidden="1" outlineLevel="2">
      <c r="A135" s="1526" t="s">
        <v>303</v>
      </c>
      <c r="B135" s="1527" t="s">
        <v>1789</v>
      </c>
      <c r="C135" s="1528" t="s">
        <v>1804</v>
      </c>
      <c r="D135" s="1527" t="s">
        <v>1802</v>
      </c>
      <c r="E135" s="2052">
        <f t="shared" si="3"/>
        <v>2750</v>
      </c>
      <c r="F135" s="2052">
        <f t="shared" si="3"/>
        <v>2900</v>
      </c>
      <c r="G135" s="2053"/>
      <c r="H135" s="2043" t="e">
        <f t="shared" si="6"/>
        <v>#REF!</v>
      </c>
      <c r="I135" s="2052">
        <f t="shared" si="4"/>
        <v>1500</v>
      </c>
      <c r="J135" s="2053"/>
      <c r="K135" s="2053"/>
      <c r="L135" s="2053"/>
      <c r="M135" s="2053"/>
      <c r="N135" s="2053"/>
      <c r="O135" s="2053"/>
      <c r="P135" s="2053"/>
      <c r="Q135" s="2053"/>
      <c r="R135" s="2053"/>
      <c r="S135" s="2053"/>
      <c r="T135" s="2053"/>
      <c r="U135" s="2052">
        <f t="shared" si="5"/>
        <v>1750</v>
      </c>
      <c r="V135" s="2053"/>
      <c r="W135" s="2053"/>
      <c r="X135" s="2042"/>
      <c r="Y135" s="2054"/>
      <c r="Z135" s="2054"/>
      <c r="AA135" s="2054"/>
      <c r="AB135" s="2054"/>
      <c r="AC135" s="2054"/>
      <c r="AD135" s="2054"/>
      <c r="AE135" s="2054"/>
      <c r="AF135" s="2054"/>
      <c r="AG135" s="2054"/>
      <c r="AH135" s="2054"/>
      <c r="AI135" s="2054"/>
      <c r="AJ135" s="2054"/>
      <c r="AK135" s="2054"/>
    </row>
    <row r="136" spans="1:37" s="1478" customFormat="1" hidden="1" outlineLevel="2">
      <c r="A136" s="1529" t="s">
        <v>303</v>
      </c>
      <c r="B136" s="1530" t="s">
        <v>1789</v>
      </c>
      <c r="C136" s="1531" t="s">
        <v>1804</v>
      </c>
      <c r="D136" s="1530" t="s">
        <v>1803</v>
      </c>
      <c r="E136" s="2052">
        <f t="shared" si="3"/>
        <v>2750</v>
      </c>
      <c r="F136" s="2052">
        <f t="shared" si="3"/>
        <v>2900</v>
      </c>
      <c r="G136" s="2042"/>
      <c r="H136" s="2043" t="e">
        <f t="shared" si="6"/>
        <v>#REF!</v>
      </c>
      <c r="I136" s="2052">
        <f t="shared" si="4"/>
        <v>1500</v>
      </c>
      <c r="J136" s="2042"/>
      <c r="K136" s="2042"/>
      <c r="L136" s="2042"/>
      <c r="M136" s="2042"/>
      <c r="N136" s="2042"/>
      <c r="O136" s="2042"/>
      <c r="P136" s="2042"/>
      <c r="Q136" s="2042"/>
      <c r="R136" s="2042"/>
      <c r="S136" s="2042"/>
      <c r="T136" s="2042"/>
      <c r="U136" s="2052">
        <f t="shared" si="5"/>
        <v>1750</v>
      </c>
      <c r="V136" s="2042"/>
      <c r="W136" s="2042"/>
      <c r="X136" s="2042"/>
      <c r="Y136" s="2029"/>
      <c r="Z136" s="2029"/>
      <c r="AA136" s="2029"/>
      <c r="AB136" s="2029"/>
      <c r="AC136" s="2029"/>
      <c r="AD136" s="2029"/>
      <c r="AE136" s="2029"/>
      <c r="AF136" s="2029"/>
      <c r="AG136" s="2029"/>
      <c r="AH136" s="2029"/>
      <c r="AI136" s="2029"/>
      <c r="AJ136" s="2029"/>
      <c r="AK136" s="2029"/>
    </row>
    <row r="137" spans="1:37" s="1482" customFormat="1" hidden="1" outlineLevel="1" collapsed="1">
      <c r="A137" s="1533" t="s">
        <v>303</v>
      </c>
      <c r="B137" s="1534" t="s">
        <v>1805</v>
      </c>
      <c r="C137" s="1534"/>
      <c r="D137" s="1535" t="s">
        <v>166</v>
      </c>
      <c r="E137" s="2055">
        <f>Погонаж!C14</f>
        <v>2500</v>
      </c>
      <c r="F137" s="2055">
        <f>Погонаж!C41</f>
        <v>2500</v>
      </c>
      <c r="G137" s="2038"/>
      <c r="H137" s="2039" t="e">
        <f t="shared" si="6"/>
        <v>#REF!</v>
      </c>
      <c r="I137" s="2055">
        <f>Погонаж!E14</f>
        <v>1400</v>
      </c>
      <c r="J137" s="2038">
        <f>Погонаж!J14</f>
        <v>2450</v>
      </c>
      <c r="K137" s="2038"/>
      <c r="L137" s="2038"/>
      <c r="M137" s="2038"/>
      <c r="N137" s="2038"/>
      <c r="O137" s="2038">
        <f>Порталы!C71</f>
        <v>8400</v>
      </c>
      <c r="P137" s="2038">
        <f>Порталы!E71</f>
        <v>10350</v>
      </c>
      <c r="Q137" s="2038">
        <f>Порталы!K13+Погонаж!E14*2</f>
        <v>12850</v>
      </c>
      <c r="R137" s="2038">
        <f>Порталы!G71</f>
        <v>9450</v>
      </c>
      <c r="S137" s="2038">
        <f>Порталы!I13+Погонаж!E14*2</f>
        <v>8150</v>
      </c>
      <c r="T137" s="2038">
        <f>Порталы!J13+Погонаж!E14*2</f>
        <v>8250</v>
      </c>
      <c r="U137" s="2055">
        <f>Погонаж!D41</f>
        <v>1500</v>
      </c>
      <c r="V137" s="2038"/>
      <c r="W137" s="2038"/>
      <c r="X137" s="2038"/>
      <c r="Y137" s="2041"/>
      <c r="Z137" s="2041"/>
      <c r="AA137" s="2041"/>
      <c r="AB137" s="2041"/>
      <c r="AC137" s="2041"/>
      <c r="AD137" s="2041"/>
      <c r="AE137" s="2041"/>
      <c r="AF137" s="2041"/>
      <c r="AG137" s="2041"/>
      <c r="AH137" s="2041"/>
      <c r="AI137" s="2041"/>
      <c r="AJ137" s="2041"/>
      <c r="AK137" s="2041"/>
    </row>
    <row r="138" spans="1:37" s="1478" customFormat="1" hidden="1" outlineLevel="2">
      <c r="A138" s="1533" t="s">
        <v>303</v>
      </c>
      <c r="B138" s="1536" t="s">
        <v>1805</v>
      </c>
      <c r="C138" s="1536"/>
      <c r="D138" s="1537" t="s">
        <v>1782</v>
      </c>
      <c r="E138" s="2046">
        <f>E137</f>
        <v>2500</v>
      </c>
      <c r="F138" s="2046">
        <f t="shared" ref="F138:U138" si="7">F137</f>
        <v>2500</v>
      </c>
      <c r="G138" s="2046"/>
      <c r="H138" s="2046" t="e">
        <f t="shared" si="7"/>
        <v>#REF!</v>
      </c>
      <c r="I138" s="2046">
        <f t="shared" si="7"/>
        <v>1400</v>
      </c>
      <c r="J138" s="2046">
        <f t="shared" si="7"/>
        <v>2450</v>
      </c>
      <c r="K138" s="2046"/>
      <c r="L138" s="2046"/>
      <c r="M138" s="2046"/>
      <c r="N138" s="2046"/>
      <c r="O138" s="2046">
        <f t="shared" si="7"/>
        <v>8400</v>
      </c>
      <c r="P138" s="2046">
        <f t="shared" si="7"/>
        <v>10350</v>
      </c>
      <c r="Q138" s="2046">
        <f t="shared" si="7"/>
        <v>12850</v>
      </c>
      <c r="R138" s="2046">
        <f t="shared" si="7"/>
        <v>9450</v>
      </c>
      <c r="S138" s="2046">
        <f t="shared" si="7"/>
        <v>8150</v>
      </c>
      <c r="T138" s="2046">
        <f t="shared" si="7"/>
        <v>8250</v>
      </c>
      <c r="U138" s="2046">
        <f t="shared" si="7"/>
        <v>1500</v>
      </c>
      <c r="V138" s="2046"/>
      <c r="W138" s="2046"/>
      <c r="X138" s="2046"/>
      <c r="Y138" s="2029"/>
      <c r="Z138" s="2029"/>
      <c r="AA138" s="2029"/>
      <c r="AB138" s="2029"/>
      <c r="AC138" s="2029"/>
      <c r="AD138" s="2029"/>
      <c r="AE138" s="2029"/>
      <c r="AF138" s="2029"/>
      <c r="AG138" s="2029"/>
      <c r="AH138" s="2029"/>
      <c r="AI138" s="2029"/>
      <c r="AJ138" s="2029"/>
      <c r="AK138" s="2029"/>
    </row>
    <row r="139" spans="1:37" s="1478" customFormat="1" hidden="1" outlineLevel="2">
      <c r="A139" s="1533" t="s">
        <v>303</v>
      </c>
      <c r="B139" s="1536" t="s">
        <v>1805</v>
      </c>
      <c r="C139" s="1536"/>
      <c r="D139" s="1537" t="s">
        <v>238</v>
      </c>
      <c r="E139" s="2046">
        <f>E137</f>
        <v>2500</v>
      </c>
      <c r="F139" s="2046">
        <f t="shared" ref="F139:U139" si="8">F137</f>
        <v>2500</v>
      </c>
      <c r="G139" s="2046"/>
      <c r="H139" s="2046" t="e">
        <f t="shared" si="8"/>
        <v>#REF!</v>
      </c>
      <c r="I139" s="2046">
        <f t="shared" si="8"/>
        <v>1400</v>
      </c>
      <c r="J139" s="2046">
        <f t="shared" si="8"/>
        <v>2450</v>
      </c>
      <c r="K139" s="2046"/>
      <c r="L139" s="2046"/>
      <c r="M139" s="2046"/>
      <c r="N139" s="2046"/>
      <c r="O139" s="2046">
        <f t="shared" si="8"/>
        <v>8400</v>
      </c>
      <c r="P139" s="2046">
        <f t="shared" si="8"/>
        <v>10350</v>
      </c>
      <c r="Q139" s="2046">
        <f t="shared" si="8"/>
        <v>12850</v>
      </c>
      <c r="R139" s="2046">
        <f t="shared" si="8"/>
        <v>9450</v>
      </c>
      <c r="S139" s="2046">
        <f t="shared" si="8"/>
        <v>8150</v>
      </c>
      <c r="T139" s="2046">
        <f t="shared" si="8"/>
        <v>8250</v>
      </c>
      <c r="U139" s="2046">
        <f t="shared" si="8"/>
        <v>1500</v>
      </c>
      <c r="V139" s="2046"/>
      <c r="W139" s="2046"/>
      <c r="X139" s="2046"/>
      <c r="Y139" s="2029"/>
      <c r="Z139" s="2029"/>
      <c r="AA139" s="2029"/>
      <c r="AB139" s="2029"/>
      <c r="AC139" s="2029"/>
      <c r="AD139" s="2029"/>
      <c r="AE139" s="2029"/>
      <c r="AF139" s="2029"/>
      <c r="AG139" s="2029"/>
      <c r="AH139" s="2029"/>
      <c r="AI139" s="2029"/>
      <c r="AJ139" s="2029"/>
      <c r="AK139" s="2029"/>
    </row>
    <row r="140" spans="1:37" s="1478" customFormat="1" hidden="1" outlineLevel="2">
      <c r="A140" s="1533" t="s">
        <v>303</v>
      </c>
      <c r="B140" s="1536" t="s">
        <v>1805</v>
      </c>
      <c r="C140" s="1536"/>
      <c r="D140" s="1537" t="s">
        <v>1783</v>
      </c>
      <c r="E140" s="2046">
        <f>E137</f>
        <v>2500</v>
      </c>
      <c r="F140" s="2046">
        <f t="shared" ref="F140:U140" si="9">F137</f>
        <v>2500</v>
      </c>
      <c r="G140" s="2046"/>
      <c r="H140" s="2046" t="e">
        <f t="shared" si="9"/>
        <v>#REF!</v>
      </c>
      <c r="I140" s="2046">
        <f t="shared" si="9"/>
        <v>1400</v>
      </c>
      <c r="J140" s="2046">
        <f t="shared" si="9"/>
        <v>2450</v>
      </c>
      <c r="K140" s="2046"/>
      <c r="L140" s="2046"/>
      <c r="M140" s="2046"/>
      <c r="N140" s="2046"/>
      <c r="O140" s="2046">
        <f t="shared" si="9"/>
        <v>8400</v>
      </c>
      <c r="P140" s="2046">
        <f t="shared" si="9"/>
        <v>10350</v>
      </c>
      <c r="Q140" s="2046">
        <f t="shared" si="9"/>
        <v>12850</v>
      </c>
      <c r="R140" s="2046">
        <f t="shared" si="9"/>
        <v>9450</v>
      </c>
      <c r="S140" s="2046">
        <f t="shared" si="9"/>
        <v>8150</v>
      </c>
      <c r="T140" s="2046">
        <f t="shared" si="9"/>
        <v>8250</v>
      </c>
      <c r="U140" s="2046">
        <f t="shared" si="9"/>
        <v>1500</v>
      </c>
      <c r="V140" s="2046"/>
      <c r="W140" s="2046"/>
      <c r="X140" s="2046"/>
      <c r="Y140" s="2029"/>
      <c r="Z140" s="2029"/>
      <c r="AA140" s="2029"/>
      <c r="AB140" s="2029"/>
      <c r="AC140" s="2029"/>
      <c r="AD140" s="2029"/>
      <c r="AE140" s="2029"/>
      <c r="AF140" s="2029"/>
      <c r="AG140" s="2029"/>
      <c r="AH140" s="2029"/>
      <c r="AI140" s="2029"/>
      <c r="AJ140" s="2029"/>
      <c r="AK140" s="2029"/>
    </row>
    <row r="141" spans="1:37" s="1478" customFormat="1" hidden="1" outlineLevel="2">
      <c r="A141" s="1533" t="s">
        <v>303</v>
      </c>
      <c r="B141" s="1536" t="s">
        <v>1805</v>
      </c>
      <c r="C141" s="1536"/>
      <c r="D141" s="1537" t="s">
        <v>1784</v>
      </c>
      <c r="E141" s="2046">
        <f>E137</f>
        <v>2500</v>
      </c>
      <c r="F141" s="2046">
        <f t="shared" ref="F141:U141" si="10">F137</f>
        <v>2500</v>
      </c>
      <c r="G141" s="2046"/>
      <c r="H141" s="2046" t="e">
        <f t="shared" si="10"/>
        <v>#REF!</v>
      </c>
      <c r="I141" s="2046">
        <f t="shared" si="10"/>
        <v>1400</v>
      </c>
      <c r="J141" s="2046">
        <f t="shared" si="10"/>
        <v>2450</v>
      </c>
      <c r="K141" s="2046"/>
      <c r="L141" s="2046"/>
      <c r="M141" s="2046"/>
      <c r="N141" s="2046"/>
      <c r="O141" s="2046">
        <f t="shared" si="10"/>
        <v>8400</v>
      </c>
      <c r="P141" s="2046">
        <f t="shared" si="10"/>
        <v>10350</v>
      </c>
      <c r="Q141" s="2046">
        <f t="shared" si="10"/>
        <v>12850</v>
      </c>
      <c r="R141" s="2046">
        <f t="shared" si="10"/>
        <v>9450</v>
      </c>
      <c r="S141" s="2046">
        <f t="shared" si="10"/>
        <v>8150</v>
      </c>
      <c r="T141" s="2046">
        <f t="shared" si="10"/>
        <v>8250</v>
      </c>
      <c r="U141" s="2046">
        <f t="shared" si="10"/>
        <v>1500</v>
      </c>
      <c r="V141" s="2046"/>
      <c r="W141" s="2046"/>
      <c r="X141" s="2046"/>
      <c r="Y141" s="2029"/>
      <c r="Z141" s="2029"/>
      <c r="AA141" s="2029"/>
      <c r="AB141" s="2029"/>
      <c r="AC141" s="2029"/>
      <c r="AD141" s="2029"/>
      <c r="AE141" s="2029"/>
      <c r="AF141" s="2029"/>
      <c r="AG141" s="2029"/>
      <c r="AH141" s="2029"/>
      <c r="AI141" s="2029"/>
      <c r="AJ141" s="2029"/>
      <c r="AK141" s="2029"/>
    </row>
    <row r="142" spans="1:37" s="1478" customFormat="1" hidden="1" outlineLevel="2">
      <c r="A142" s="1533" t="s">
        <v>303</v>
      </c>
      <c r="B142" s="1536" t="s">
        <v>1805</v>
      </c>
      <c r="C142" s="1536"/>
      <c r="D142" s="1537" t="s">
        <v>1785</v>
      </c>
      <c r="E142" s="2046">
        <f>E137</f>
        <v>2500</v>
      </c>
      <c r="F142" s="2046">
        <f t="shared" ref="F142:U142" si="11">F137</f>
        <v>2500</v>
      </c>
      <c r="G142" s="2046"/>
      <c r="H142" s="2046" t="e">
        <f t="shared" si="11"/>
        <v>#REF!</v>
      </c>
      <c r="I142" s="2046">
        <f t="shared" si="11"/>
        <v>1400</v>
      </c>
      <c r="J142" s="2046">
        <f t="shared" si="11"/>
        <v>2450</v>
      </c>
      <c r="K142" s="2046"/>
      <c r="L142" s="2046"/>
      <c r="M142" s="2046"/>
      <c r="N142" s="2046"/>
      <c r="O142" s="2046">
        <f t="shared" si="11"/>
        <v>8400</v>
      </c>
      <c r="P142" s="2046">
        <f t="shared" si="11"/>
        <v>10350</v>
      </c>
      <c r="Q142" s="2046">
        <f t="shared" si="11"/>
        <v>12850</v>
      </c>
      <c r="R142" s="2046">
        <f t="shared" si="11"/>
        <v>9450</v>
      </c>
      <c r="S142" s="2046">
        <f t="shared" si="11"/>
        <v>8150</v>
      </c>
      <c r="T142" s="2046">
        <f t="shared" si="11"/>
        <v>8250</v>
      </c>
      <c r="U142" s="2046">
        <f t="shared" si="11"/>
        <v>1500</v>
      </c>
      <c r="V142" s="2046"/>
      <c r="W142" s="2046"/>
      <c r="X142" s="2046"/>
      <c r="Y142" s="2029"/>
      <c r="Z142" s="2029"/>
      <c r="AA142" s="2029"/>
      <c r="AB142" s="2029"/>
      <c r="AC142" s="2029"/>
      <c r="AD142" s="2029"/>
      <c r="AE142" s="2029"/>
      <c r="AF142" s="2029"/>
      <c r="AG142" s="2029"/>
      <c r="AH142" s="2029"/>
      <c r="AI142" s="2029"/>
      <c r="AJ142" s="2029"/>
      <c r="AK142" s="2029"/>
    </row>
    <row r="143" spans="1:37" s="1478" customFormat="1" hidden="1" outlineLevel="2">
      <c r="A143" s="1533" t="s">
        <v>303</v>
      </c>
      <c r="B143" s="1536" t="s">
        <v>1805</v>
      </c>
      <c r="C143" s="1536"/>
      <c r="D143" s="1537" t="s">
        <v>168</v>
      </c>
      <c r="E143" s="2046">
        <f>E137</f>
        <v>2500</v>
      </c>
      <c r="F143" s="2046">
        <f>F137</f>
        <v>2500</v>
      </c>
      <c r="G143" s="2046"/>
      <c r="H143" s="2046" t="e">
        <f>H137</f>
        <v>#REF!</v>
      </c>
      <c r="I143" s="2046">
        <f>I137</f>
        <v>1400</v>
      </c>
      <c r="J143" s="2046">
        <f>J137</f>
        <v>2450</v>
      </c>
      <c r="K143" s="2046"/>
      <c r="L143" s="2046"/>
      <c r="M143" s="2046"/>
      <c r="N143" s="2046"/>
      <c r="O143" s="2046">
        <f t="shared" ref="O143:U143" si="12">O137</f>
        <v>8400</v>
      </c>
      <c r="P143" s="2046">
        <f t="shared" si="12"/>
        <v>10350</v>
      </c>
      <c r="Q143" s="2046">
        <f t="shared" si="12"/>
        <v>12850</v>
      </c>
      <c r="R143" s="2046">
        <f t="shared" si="12"/>
        <v>9450</v>
      </c>
      <c r="S143" s="2046">
        <f t="shared" si="12"/>
        <v>8150</v>
      </c>
      <c r="T143" s="2046">
        <f t="shared" si="12"/>
        <v>8250</v>
      </c>
      <c r="U143" s="2046">
        <f t="shared" si="12"/>
        <v>1500</v>
      </c>
      <c r="V143" s="2046"/>
      <c r="W143" s="2046"/>
      <c r="X143" s="2046"/>
      <c r="Y143" s="2029"/>
      <c r="Z143" s="2029"/>
      <c r="AA143" s="2029"/>
      <c r="AB143" s="2029"/>
      <c r="AC143" s="2029"/>
      <c r="AD143" s="2029"/>
      <c r="AE143" s="2029"/>
      <c r="AF143" s="2029"/>
      <c r="AG143" s="2029"/>
      <c r="AH143" s="2029"/>
      <c r="AI143" s="2029"/>
      <c r="AJ143" s="2029"/>
      <c r="AK143" s="2029"/>
    </row>
    <row r="144" spans="1:37" s="1478" customFormat="1" hidden="1" outlineLevel="2">
      <c r="A144" s="1533" t="s">
        <v>303</v>
      </c>
      <c r="B144" s="1536" t="s">
        <v>1805</v>
      </c>
      <c r="C144" s="1536"/>
      <c r="D144" s="1537" t="s">
        <v>1786</v>
      </c>
      <c r="E144" s="2046">
        <f>E137</f>
        <v>2500</v>
      </c>
      <c r="F144" s="2046">
        <f>F137</f>
        <v>2500</v>
      </c>
      <c r="G144" s="2046"/>
      <c r="H144" s="2046" t="e">
        <f>H137</f>
        <v>#REF!</v>
      </c>
      <c r="I144" s="2046">
        <f>I137</f>
        <v>1400</v>
      </c>
      <c r="J144" s="2046">
        <f>J137</f>
        <v>2450</v>
      </c>
      <c r="K144" s="2046"/>
      <c r="L144" s="2046"/>
      <c r="M144" s="2046"/>
      <c r="N144" s="2046"/>
      <c r="O144" s="2046">
        <f t="shared" ref="O144:U144" si="13">O137</f>
        <v>8400</v>
      </c>
      <c r="P144" s="2046">
        <f t="shared" si="13"/>
        <v>10350</v>
      </c>
      <c r="Q144" s="2046">
        <f t="shared" si="13"/>
        <v>12850</v>
      </c>
      <c r="R144" s="2046">
        <f t="shared" si="13"/>
        <v>9450</v>
      </c>
      <c r="S144" s="2046">
        <f t="shared" si="13"/>
        <v>8150</v>
      </c>
      <c r="T144" s="2046">
        <f t="shared" si="13"/>
        <v>8250</v>
      </c>
      <c r="U144" s="2046">
        <f t="shared" si="13"/>
        <v>1500</v>
      </c>
      <c r="V144" s="2046"/>
      <c r="W144" s="2046"/>
      <c r="X144" s="2046"/>
      <c r="Y144" s="2029"/>
      <c r="Z144" s="2029"/>
      <c r="AA144" s="2029"/>
      <c r="AB144" s="2029"/>
      <c r="AC144" s="2029"/>
      <c r="AD144" s="2029"/>
      <c r="AE144" s="2029"/>
      <c r="AF144" s="2029"/>
      <c r="AG144" s="2029"/>
      <c r="AH144" s="2029"/>
      <c r="AI144" s="2029"/>
      <c r="AJ144" s="2029"/>
      <c r="AK144" s="2029"/>
    </row>
    <row r="145" spans="1:37" s="1478" customFormat="1" hidden="1" outlineLevel="2">
      <c r="A145" s="1533" t="s">
        <v>303</v>
      </c>
      <c r="B145" s="1536" t="s">
        <v>1805</v>
      </c>
      <c r="C145" s="1536"/>
      <c r="D145" s="1537" t="s">
        <v>302</v>
      </c>
      <c r="E145" s="2046">
        <f>E137</f>
        <v>2500</v>
      </c>
      <c r="F145" s="2046">
        <f>F137</f>
        <v>2500</v>
      </c>
      <c r="G145" s="2046"/>
      <c r="H145" s="2046" t="e">
        <f>H137</f>
        <v>#REF!</v>
      </c>
      <c r="I145" s="2046">
        <f>I137</f>
        <v>1400</v>
      </c>
      <c r="J145" s="2046">
        <f>J137</f>
        <v>2450</v>
      </c>
      <c r="K145" s="2046"/>
      <c r="L145" s="2046"/>
      <c r="M145" s="2046"/>
      <c r="N145" s="2046"/>
      <c r="O145" s="2046">
        <f t="shared" ref="O145:U145" si="14">O137</f>
        <v>8400</v>
      </c>
      <c r="P145" s="2046">
        <f t="shared" si="14"/>
        <v>10350</v>
      </c>
      <c r="Q145" s="2046">
        <f t="shared" si="14"/>
        <v>12850</v>
      </c>
      <c r="R145" s="2046">
        <f t="shared" si="14"/>
        <v>9450</v>
      </c>
      <c r="S145" s="2046">
        <f t="shared" si="14"/>
        <v>8150</v>
      </c>
      <c r="T145" s="2046">
        <f t="shared" si="14"/>
        <v>8250</v>
      </c>
      <c r="U145" s="2046">
        <f t="shared" si="14"/>
        <v>1500</v>
      </c>
      <c r="V145" s="2046"/>
      <c r="W145" s="2046"/>
      <c r="X145" s="2046"/>
      <c r="Y145" s="2029"/>
      <c r="Z145" s="2029"/>
      <c r="AA145" s="2029"/>
      <c r="AB145" s="2029"/>
      <c r="AC145" s="2029"/>
      <c r="AD145" s="2029"/>
      <c r="AE145" s="2029"/>
      <c r="AF145" s="2029"/>
      <c r="AG145" s="2029"/>
      <c r="AH145" s="2029"/>
      <c r="AI145" s="2029"/>
      <c r="AJ145" s="2029"/>
      <c r="AK145" s="2029"/>
    </row>
    <row r="146" spans="1:37" s="1478" customFormat="1" hidden="1" outlineLevel="2">
      <c r="A146" s="1533" t="s">
        <v>303</v>
      </c>
      <c r="B146" s="1536" t="s">
        <v>1805</v>
      </c>
      <c r="C146" s="1536"/>
      <c r="D146" s="1537" t="s">
        <v>1787</v>
      </c>
      <c r="E146" s="2046">
        <f>E137</f>
        <v>2500</v>
      </c>
      <c r="F146" s="2046">
        <f>F137</f>
        <v>2500</v>
      </c>
      <c r="G146" s="2046"/>
      <c r="H146" s="2046" t="e">
        <f>H137</f>
        <v>#REF!</v>
      </c>
      <c r="I146" s="2046">
        <f>I137</f>
        <v>1400</v>
      </c>
      <c r="J146" s="2046">
        <f>J137</f>
        <v>2450</v>
      </c>
      <c r="K146" s="2046"/>
      <c r="L146" s="2046"/>
      <c r="M146" s="2046"/>
      <c r="N146" s="2046"/>
      <c r="O146" s="2046">
        <f t="shared" ref="O146:U146" si="15">O137</f>
        <v>8400</v>
      </c>
      <c r="P146" s="2046">
        <f t="shared" si="15"/>
        <v>10350</v>
      </c>
      <c r="Q146" s="2046">
        <f t="shared" si="15"/>
        <v>12850</v>
      </c>
      <c r="R146" s="2046">
        <f t="shared" si="15"/>
        <v>9450</v>
      </c>
      <c r="S146" s="2046">
        <f t="shared" si="15"/>
        <v>8150</v>
      </c>
      <c r="T146" s="2046">
        <f t="shared" si="15"/>
        <v>8250</v>
      </c>
      <c r="U146" s="2046">
        <f t="shared" si="15"/>
        <v>1500</v>
      </c>
      <c r="V146" s="2046"/>
      <c r="W146" s="2046"/>
      <c r="X146" s="2046"/>
      <c r="Y146" s="2029"/>
      <c r="Z146" s="2029"/>
      <c r="AA146" s="2029"/>
      <c r="AB146" s="2029"/>
      <c r="AC146" s="2029"/>
      <c r="AD146" s="2029"/>
      <c r="AE146" s="2029"/>
      <c r="AF146" s="2029"/>
      <c r="AG146" s="2029"/>
      <c r="AH146" s="2029"/>
      <c r="AI146" s="2029"/>
      <c r="AJ146" s="2029"/>
      <c r="AK146" s="2029"/>
    </row>
    <row r="147" spans="1:37" s="1520" customFormat="1" hidden="1" outlineLevel="2">
      <c r="A147" s="1533" t="s">
        <v>303</v>
      </c>
      <c r="B147" s="1536" t="s">
        <v>1805</v>
      </c>
      <c r="C147" s="1536"/>
      <c r="D147" s="1537" t="s">
        <v>998</v>
      </c>
      <c r="E147" s="2046">
        <f>E137</f>
        <v>2500</v>
      </c>
      <c r="F147" s="2046">
        <f>F137</f>
        <v>2500</v>
      </c>
      <c r="G147" s="2046"/>
      <c r="H147" s="2046" t="e">
        <f>H137</f>
        <v>#REF!</v>
      </c>
      <c r="I147" s="2046">
        <f>I137</f>
        <v>1400</v>
      </c>
      <c r="J147" s="2046">
        <f>J137</f>
        <v>2450</v>
      </c>
      <c r="K147" s="2046"/>
      <c r="L147" s="2046"/>
      <c r="M147" s="2046"/>
      <c r="N147" s="2046"/>
      <c r="O147" s="2046">
        <f t="shared" ref="O147:U147" si="16">O137</f>
        <v>8400</v>
      </c>
      <c r="P147" s="2046">
        <f t="shared" si="16"/>
        <v>10350</v>
      </c>
      <c r="Q147" s="2046">
        <f t="shared" si="16"/>
        <v>12850</v>
      </c>
      <c r="R147" s="2046">
        <f t="shared" si="16"/>
        <v>9450</v>
      </c>
      <c r="S147" s="2046">
        <f t="shared" si="16"/>
        <v>8150</v>
      </c>
      <c r="T147" s="2046">
        <f t="shared" si="16"/>
        <v>8250</v>
      </c>
      <c r="U147" s="2046">
        <f t="shared" si="16"/>
        <v>1500</v>
      </c>
      <c r="V147" s="2046"/>
      <c r="W147" s="2046"/>
      <c r="X147" s="2046"/>
      <c r="Y147" s="2049"/>
      <c r="Z147" s="2049"/>
      <c r="AA147" s="2049"/>
      <c r="AB147" s="2049"/>
      <c r="AC147" s="2049"/>
      <c r="AD147" s="2049"/>
      <c r="AE147" s="2049"/>
      <c r="AF147" s="2049"/>
      <c r="AG147" s="2049"/>
      <c r="AH147" s="2049"/>
      <c r="AI147" s="2049"/>
      <c r="AJ147" s="2049"/>
      <c r="AK147" s="2049"/>
    </row>
    <row r="148" spans="1:37" s="1478" customFormat="1" hidden="1" outlineLevel="2">
      <c r="A148" s="1533" t="s">
        <v>303</v>
      </c>
      <c r="B148" s="1536" t="s">
        <v>1805</v>
      </c>
      <c r="C148" s="1536"/>
      <c r="D148" s="1537" t="s">
        <v>1788</v>
      </c>
      <c r="E148" s="2046">
        <f>E137</f>
        <v>2500</v>
      </c>
      <c r="F148" s="2046">
        <f>F137</f>
        <v>2500</v>
      </c>
      <c r="G148" s="2046"/>
      <c r="H148" s="2046" t="e">
        <f>H137</f>
        <v>#REF!</v>
      </c>
      <c r="I148" s="2046">
        <f>I137</f>
        <v>1400</v>
      </c>
      <c r="J148" s="2046">
        <f>J137</f>
        <v>2450</v>
      </c>
      <c r="K148" s="2046"/>
      <c r="L148" s="2046"/>
      <c r="M148" s="2046"/>
      <c r="N148" s="2046"/>
      <c r="O148" s="2046">
        <f t="shared" ref="O148:U148" si="17">O137</f>
        <v>8400</v>
      </c>
      <c r="P148" s="2046">
        <f t="shared" si="17"/>
        <v>10350</v>
      </c>
      <c r="Q148" s="2046">
        <f t="shared" si="17"/>
        <v>12850</v>
      </c>
      <c r="R148" s="2046">
        <f t="shared" si="17"/>
        <v>9450</v>
      </c>
      <c r="S148" s="2046">
        <f t="shared" si="17"/>
        <v>8150</v>
      </c>
      <c r="T148" s="2046">
        <f t="shared" si="17"/>
        <v>8250</v>
      </c>
      <c r="U148" s="2046">
        <f t="shared" si="17"/>
        <v>1500</v>
      </c>
      <c r="V148" s="2046"/>
      <c r="W148" s="2046"/>
      <c r="X148" s="2046"/>
      <c r="Y148" s="2029"/>
      <c r="Z148" s="2029"/>
      <c r="AA148" s="2029"/>
      <c r="AB148" s="2029"/>
      <c r="AC148" s="2029"/>
      <c r="AD148" s="2029"/>
      <c r="AE148" s="2029"/>
      <c r="AF148" s="2029"/>
      <c r="AG148" s="2029"/>
      <c r="AH148" s="2029"/>
      <c r="AI148" s="2029"/>
      <c r="AJ148" s="2029"/>
      <c r="AK148" s="2029"/>
    </row>
    <row r="149" spans="1:37" s="1482" customFormat="1" hidden="1" outlineLevel="1" collapsed="1">
      <c r="A149" s="1521" t="s">
        <v>303</v>
      </c>
      <c r="B149" s="1522" t="s">
        <v>1806</v>
      </c>
      <c r="C149" s="1523"/>
      <c r="D149" s="1522" t="s">
        <v>1790</v>
      </c>
      <c r="E149" s="2056" t="e">
        <f>Погонаж!#REF!</f>
        <v>#REF!</v>
      </c>
      <c r="F149" s="2056" t="e">
        <f>Погонаж!#REF!</f>
        <v>#REF!</v>
      </c>
      <c r="G149" s="2038"/>
      <c r="H149" s="2039" t="e">
        <f>$H$6</f>
        <v>#REF!</v>
      </c>
      <c r="I149" s="2056" t="e">
        <f>Погонаж!#REF!</f>
        <v>#REF!</v>
      </c>
      <c r="J149" s="2038" t="e">
        <f>Погонаж!#REF!</f>
        <v>#REF!</v>
      </c>
      <c r="K149" s="2038"/>
      <c r="L149" s="2038"/>
      <c r="M149" s="2038"/>
      <c r="N149" s="2038"/>
      <c r="O149" s="2038" t="e">
        <f>Порталы!#REF!</f>
        <v>#REF!</v>
      </c>
      <c r="P149" s="2038" t="e">
        <f>Порталы!#REF!</f>
        <v>#REF!</v>
      </c>
      <c r="Q149" s="2038" t="e">
        <f>Порталы!#REF!+Погонаж!$E$14*2</f>
        <v>#REF!</v>
      </c>
      <c r="R149" s="2038" t="e">
        <f>Порталы!#REF!</f>
        <v>#REF!</v>
      </c>
      <c r="S149" s="2038" t="e">
        <f>Порталы!#REF!+Погонаж!$E$14*2</f>
        <v>#REF!</v>
      </c>
      <c r="T149" s="2038" t="e">
        <f>Порталы!#REF!+Погонаж!$E$14*2</f>
        <v>#REF!</v>
      </c>
      <c r="U149" s="2056" t="e">
        <f>Погонаж!#REF!</f>
        <v>#REF!</v>
      </c>
      <c r="V149" s="2038"/>
      <c r="W149" s="2038"/>
      <c r="X149" s="2038"/>
      <c r="Y149" s="2041"/>
      <c r="Z149" s="2041"/>
      <c r="AA149" s="2041"/>
      <c r="AB149" s="2041"/>
      <c r="AC149" s="2041"/>
      <c r="AD149" s="2041"/>
      <c r="AE149" s="2041"/>
      <c r="AF149" s="2041"/>
      <c r="AG149" s="2041"/>
      <c r="AH149" s="2041"/>
      <c r="AI149" s="2041"/>
      <c r="AJ149" s="2041"/>
      <c r="AK149" s="2041"/>
    </row>
    <row r="150" spans="1:37" s="1478" customFormat="1" hidden="1" outlineLevel="2">
      <c r="A150" s="1521" t="s">
        <v>303</v>
      </c>
      <c r="B150" s="1524" t="s">
        <v>1806</v>
      </c>
      <c r="C150" s="1523"/>
      <c r="D150" s="1524" t="s">
        <v>1791</v>
      </c>
      <c r="E150" s="2050" t="e">
        <f>E149</f>
        <v>#REF!</v>
      </c>
      <c r="F150" s="2050" t="e">
        <f t="shared" ref="F150:U150" si="18">F149</f>
        <v>#REF!</v>
      </c>
      <c r="G150" s="2050"/>
      <c r="H150" s="2050" t="e">
        <f t="shared" si="18"/>
        <v>#REF!</v>
      </c>
      <c r="I150" s="2050" t="e">
        <f t="shared" si="18"/>
        <v>#REF!</v>
      </c>
      <c r="J150" s="2050" t="e">
        <f t="shared" si="18"/>
        <v>#REF!</v>
      </c>
      <c r="K150" s="2050"/>
      <c r="L150" s="2050"/>
      <c r="M150" s="2050"/>
      <c r="N150" s="2050"/>
      <c r="O150" s="2050" t="e">
        <f t="shared" si="18"/>
        <v>#REF!</v>
      </c>
      <c r="P150" s="2050" t="e">
        <f t="shared" si="18"/>
        <v>#REF!</v>
      </c>
      <c r="Q150" s="2050" t="e">
        <f t="shared" si="18"/>
        <v>#REF!</v>
      </c>
      <c r="R150" s="2050" t="e">
        <f t="shared" si="18"/>
        <v>#REF!</v>
      </c>
      <c r="S150" s="2050" t="e">
        <f t="shared" si="18"/>
        <v>#REF!</v>
      </c>
      <c r="T150" s="2050" t="e">
        <f t="shared" si="18"/>
        <v>#REF!</v>
      </c>
      <c r="U150" s="2050" t="e">
        <f t="shared" si="18"/>
        <v>#REF!</v>
      </c>
      <c r="V150" s="2050"/>
      <c r="W150" s="2050"/>
      <c r="X150" s="2050"/>
      <c r="Y150" s="2029"/>
      <c r="Z150" s="2029"/>
      <c r="AA150" s="2029"/>
      <c r="AB150" s="2029"/>
      <c r="AC150" s="2029"/>
      <c r="AD150" s="2029"/>
      <c r="AE150" s="2029"/>
      <c r="AF150" s="2029"/>
      <c r="AG150" s="2029"/>
      <c r="AH150" s="2029"/>
      <c r="AI150" s="2029"/>
      <c r="AJ150" s="2029"/>
      <c r="AK150" s="2029"/>
    </row>
    <row r="151" spans="1:37" s="1478" customFormat="1" hidden="1" outlineLevel="2">
      <c r="A151" s="1521" t="s">
        <v>303</v>
      </c>
      <c r="B151" s="1524" t="s">
        <v>1806</v>
      </c>
      <c r="C151" s="1523"/>
      <c r="D151" s="1524" t="s">
        <v>1792</v>
      </c>
      <c r="E151" s="2050" t="e">
        <f>E149</f>
        <v>#REF!</v>
      </c>
      <c r="F151" s="2050" t="e">
        <f t="shared" ref="F151:U151" si="19">F149</f>
        <v>#REF!</v>
      </c>
      <c r="G151" s="2050"/>
      <c r="H151" s="2050" t="e">
        <f t="shared" si="19"/>
        <v>#REF!</v>
      </c>
      <c r="I151" s="2050" t="e">
        <f t="shared" si="19"/>
        <v>#REF!</v>
      </c>
      <c r="J151" s="2050" t="e">
        <f t="shared" si="19"/>
        <v>#REF!</v>
      </c>
      <c r="K151" s="2050"/>
      <c r="L151" s="2050"/>
      <c r="M151" s="2050"/>
      <c r="N151" s="2050"/>
      <c r="O151" s="2050" t="e">
        <f t="shared" si="19"/>
        <v>#REF!</v>
      </c>
      <c r="P151" s="2050" t="e">
        <f t="shared" si="19"/>
        <v>#REF!</v>
      </c>
      <c r="Q151" s="2050" t="e">
        <f t="shared" si="19"/>
        <v>#REF!</v>
      </c>
      <c r="R151" s="2050" t="e">
        <f t="shared" si="19"/>
        <v>#REF!</v>
      </c>
      <c r="S151" s="2050" t="e">
        <f t="shared" si="19"/>
        <v>#REF!</v>
      </c>
      <c r="T151" s="2050" t="e">
        <f t="shared" si="19"/>
        <v>#REF!</v>
      </c>
      <c r="U151" s="2050" t="e">
        <f t="shared" si="19"/>
        <v>#REF!</v>
      </c>
      <c r="V151" s="2050"/>
      <c r="W151" s="2050"/>
      <c r="X151" s="2050"/>
      <c r="Y151" s="2029"/>
      <c r="Z151" s="2029"/>
      <c r="AA151" s="2029"/>
      <c r="AB151" s="2029"/>
      <c r="AC151" s="2029"/>
      <c r="AD151" s="2029"/>
      <c r="AE151" s="2029"/>
      <c r="AF151" s="2029"/>
      <c r="AG151" s="2029"/>
      <c r="AH151" s="2029"/>
      <c r="AI151" s="2029"/>
      <c r="AJ151" s="2029"/>
      <c r="AK151" s="2029"/>
    </row>
    <row r="152" spans="1:37" s="1482" customFormat="1" hidden="1" outlineLevel="1" collapsed="1">
      <c r="A152" s="1526" t="s">
        <v>303</v>
      </c>
      <c r="B152" s="1538" t="s">
        <v>1806</v>
      </c>
      <c r="C152" s="1528"/>
      <c r="D152" s="1538" t="s">
        <v>1832</v>
      </c>
      <c r="E152" s="2038">
        <f>Погонаж!C15</f>
        <v>2750</v>
      </c>
      <c r="F152" s="2038">
        <f>Погонаж!C44</f>
        <v>2900</v>
      </c>
      <c r="G152" s="2038"/>
      <c r="H152" s="2039" t="e">
        <f>$H$6</f>
        <v>#REF!</v>
      </c>
      <c r="I152" s="2038">
        <f>Погонаж!E15</f>
        <v>1500</v>
      </c>
      <c r="J152" s="2038">
        <f>Погонаж!J15</f>
        <v>2600</v>
      </c>
      <c r="K152" s="2038"/>
      <c r="L152" s="2038"/>
      <c r="M152" s="2038"/>
      <c r="N152" s="2038"/>
      <c r="O152" s="2038">
        <f>Порталы!C72</f>
        <v>8950</v>
      </c>
      <c r="P152" s="2038">
        <f>Порталы!E72</f>
        <v>11150</v>
      </c>
      <c r="Q152" s="2038">
        <f>Порталы!K14+Погонаж!$E$14*2</f>
        <v>13600</v>
      </c>
      <c r="R152" s="2038">
        <f>Порталы!G72</f>
        <v>10100</v>
      </c>
      <c r="S152" s="2038">
        <f>Порталы!I14+Погонаж!$E$14*2</f>
        <v>8550</v>
      </c>
      <c r="T152" s="2038">
        <f>Порталы!J14+Погонаж!$E$14*2</f>
        <v>8650</v>
      </c>
      <c r="U152" s="2038">
        <f>Погонаж!D44</f>
        <v>1750</v>
      </c>
      <c r="V152" s="2038"/>
      <c r="W152" s="2038"/>
      <c r="X152" s="2038"/>
      <c r="Y152" s="2041"/>
      <c r="Z152" s="2041"/>
      <c r="AA152" s="2041"/>
      <c r="AB152" s="2041"/>
      <c r="AC152" s="2041"/>
      <c r="AD152" s="2041"/>
      <c r="AE152" s="2041"/>
      <c r="AF152" s="2041"/>
      <c r="AG152" s="2041"/>
      <c r="AH152" s="2041"/>
      <c r="AI152" s="2041"/>
      <c r="AJ152" s="2041"/>
      <c r="AK152" s="2041"/>
    </row>
    <row r="153" spans="1:37" s="1478" customFormat="1" hidden="1" outlineLevel="2">
      <c r="A153" s="1526" t="s">
        <v>303</v>
      </c>
      <c r="B153" s="1527" t="s">
        <v>1806</v>
      </c>
      <c r="C153" s="1528"/>
      <c r="D153" s="1527" t="s">
        <v>1794</v>
      </c>
      <c r="E153" s="2042">
        <f>E152</f>
        <v>2750</v>
      </c>
      <c r="F153" s="2042">
        <f t="shared" ref="F153:U153" si="20">F152</f>
        <v>2900</v>
      </c>
      <c r="G153" s="2042"/>
      <c r="H153" s="2042" t="e">
        <f t="shared" si="20"/>
        <v>#REF!</v>
      </c>
      <c r="I153" s="2042">
        <f t="shared" si="20"/>
        <v>1500</v>
      </c>
      <c r="J153" s="2042">
        <f t="shared" si="20"/>
        <v>2600</v>
      </c>
      <c r="K153" s="2042"/>
      <c r="L153" s="2042"/>
      <c r="M153" s="2042"/>
      <c r="N153" s="2042"/>
      <c r="O153" s="2042">
        <f t="shared" si="20"/>
        <v>8950</v>
      </c>
      <c r="P153" s="2042">
        <f t="shared" si="20"/>
        <v>11150</v>
      </c>
      <c r="Q153" s="2042">
        <f t="shared" si="20"/>
        <v>13600</v>
      </c>
      <c r="R153" s="2042">
        <f t="shared" si="20"/>
        <v>10100</v>
      </c>
      <c r="S153" s="2042">
        <f t="shared" si="20"/>
        <v>8550</v>
      </c>
      <c r="T153" s="2042">
        <f t="shared" si="20"/>
        <v>8650</v>
      </c>
      <c r="U153" s="2042">
        <f t="shared" si="20"/>
        <v>1750</v>
      </c>
      <c r="V153" s="2042"/>
      <c r="W153" s="2042"/>
      <c r="X153" s="2042"/>
      <c r="Y153" s="2029"/>
      <c r="Z153" s="2029"/>
      <c r="AA153" s="2029"/>
      <c r="AB153" s="2029"/>
      <c r="AC153" s="2029"/>
      <c r="AD153" s="2029"/>
      <c r="AE153" s="2029"/>
      <c r="AF153" s="2029"/>
      <c r="AG153" s="2029"/>
      <c r="AH153" s="2029"/>
      <c r="AI153" s="2029"/>
      <c r="AJ153" s="2029"/>
      <c r="AK153" s="2029"/>
    </row>
    <row r="154" spans="1:37" s="1478" customFormat="1" hidden="1" outlineLevel="2">
      <c r="A154" s="1526" t="s">
        <v>303</v>
      </c>
      <c r="B154" s="1527" t="s">
        <v>1806</v>
      </c>
      <c r="C154" s="1528"/>
      <c r="D154" s="1527" t="s">
        <v>1795</v>
      </c>
      <c r="E154" s="2042">
        <f>E152</f>
        <v>2750</v>
      </c>
      <c r="F154" s="2042">
        <f t="shared" ref="F154:U154" si="21">F152</f>
        <v>2900</v>
      </c>
      <c r="G154" s="2042"/>
      <c r="H154" s="2042" t="e">
        <f t="shared" si="21"/>
        <v>#REF!</v>
      </c>
      <c r="I154" s="2042">
        <f t="shared" si="21"/>
        <v>1500</v>
      </c>
      <c r="J154" s="2042">
        <f t="shared" si="21"/>
        <v>2600</v>
      </c>
      <c r="K154" s="2042"/>
      <c r="L154" s="2042"/>
      <c r="M154" s="2042"/>
      <c r="N154" s="2042"/>
      <c r="O154" s="2042">
        <f t="shared" si="21"/>
        <v>8950</v>
      </c>
      <c r="P154" s="2042">
        <f t="shared" si="21"/>
        <v>11150</v>
      </c>
      <c r="Q154" s="2042">
        <f t="shared" si="21"/>
        <v>13600</v>
      </c>
      <c r="R154" s="2042">
        <f t="shared" si="21"/>
        <v>10100</v>
      </c>
      <c r="S154" s="2042">
        <f t="shared" si="21"/>
        <v>8550</v>
      </c>
      <c r="T154" s="2042">
        <f t="shared" si="21"/>
        <v>8650</v>
      </c>
      <c r="U154" s="2042">
        <f t="shared" si="21"/>
        <v>1750</v>
      </c>
      <c r="V154" s="2042"/>
      <c r="W154" s="2042"/>
      <c r="X154" s="2042"/>
      <c r="Y154" s="2029"/>
      <c r="Z154" s="2029"/>
      <c r="AA154" s="2029"/>
      <c r="AB154" s="2029"/>
      <c r="AC154" s="2029"/>
      <c r="AD154" s="2029"/>
      <c r="AE154" s="2029"/>
      <c r="AF154" s="2029"/>
      <c r="AG154" s="2029"/>
      <c r="AH154" s="2029"/>
      <c r="AI154" s="2029"/>
      <c r="AJ154" s="2029"/>
      <c r="AK154" s="2029"/>
    </row>
    <row r="155" spans="1:37" s="1478" customFormat="1" hidden="1" outlineLevel="2">
      <c r="A155" s="1526" t="s">
        <v>303</v>
      </c>
      <c r="B155" s="1527" t="s">
        <v>1806</v>
      </c>
      <c r="C155" s="1528"/>
      <c r="D155" s="1527" t="s">
        <v>1796</v>
      </c>
      <c r="E155" s="2042">
        <f>E152</f>
        <v>2750</v>
      </c>
      <c r="F155" s="2042">
        <f t="shared" ref="F155:U155" si="22">F152</f>
        <v>2900</v>
      </c>
      <c r="G155" s="2042"/>
      <c r="H155" s="2042" t="e">
        <f t="shared" si="22"/>
        <v>#REF!</v>
      </c>
      <c r="I155" s="2042">
        <f t="shared" si="22"/>
        <v>1500</v>
      </c>
      <c r="J155" s="2042">
        <f t="shared" si="22"/>
        <v>2600</v>
      </c>
      <c r="K155" s="2042"/>
      <c r="L155" s="2042"/>
      <c r="M155" s="2042"/>
      <c r="N155" s="2042"/>
      <c r="O155" s="2042">
        <f t="shared" si="22"/>
        <v>8950</v>
      </c>
      <c r="P155" s="2042">
        <f t="shared" si="22"/>
        <v>11150</v>
      </c>
      <c r="Q155" s="2042">
        <f t="shared" si="22"/>
        <v>13600</v>
      </c>
      <c r="R155" s="2042">
        <f t="shared" si="22"/>
        <v>10100</v>
      </c>
      <c r="S155" s="2042">
        <f t="shared" si="22"/>
        <v>8550</v>
      </c>
      <c r="T155" s="2042">
        <f t="shared" si="22"/>
        <v>8650</v>
      </c>
      <c r="U155" s="2042">
        <f t="shared" si="22"/>
        <v>1750</v>
      </c>
      <c r="V155" s="2042"/>
      <c r="W155" s="2042"/>
      <c r="X155" s="2042"/>
      <c r="Y155" s="2029"/>
      <c r="Z155" s="2029"/>
      <c r="AA155" s="2029"/>
      <c r="AB155" s="2029"/>
      <c r="AC155" s="2029"/>
      <c r="AD155" s="2029"/>
      <c r="AE155" s="2029"/>
      <c r="AF155" s="2029"/>
      <c r="AG155" s="2029"/>
      <c r="AH155" s="2029"/>
      <c r="AI155" s="2029"/>
      <c r="AJ155" s="2029"/>
      <c r="AK155" s="2029"/>
    </row>
    <row r="156" spans="1:37" s="1532" customFormat="1" hidden="1" outlineLevel="2">
      <c r="A156" s="1526" t="s">
        <v>303</v>
      </c>
      <c r="B156" s="1527" t="s">
        <v>1806</v>
      </c>
      <c r="C156" s="1528"/>
      <c r="D156" s="1527" t="s">
        <v>1797</v>
      </c>
      <c r="E156" s="2042">
        <f>E152</f>
        <v>2750</v>
      </c>
      <c r="F156" s="2042">
        <f t="shared" ref="F156:U156" si="23">F152</f>
        <v>2900</v>
      </c>
      <c r="G156" s="2042"/>
      <c r="H156" s="2042" t="e">
        <f t="shared" si="23"/>
        <v>#REF!</v>
      </c>
      <c r="I156" s="2042">
        <f t="shared" si="23"/>
        <v>1500</v>
      </c>
      <c r="J156" s="2042">
        <f t="shared" si="23"/>
        <v>2600</v>
      </c>
      <c r="K156" s="2042"/>
      <c r="L156" s="2042"/>
      <c r="M156" s="2042"/>
      <c r="N156" s="2042"/>
      <c r="O156" s="2042">
        <f t="shared" si="23"/>
        <v>8950</v>
      </c>
      <c r="P156" s="2042">
        <f t="shared" si="23"/>
        <v>11150</v>
      </c>
      <c r="Q156" s="2042">
        <f t="shared" si="23"/>
        <v>13600</v>
      </c>
      <c r="R156" s="2042">
        <f t="shared" si="23"/>
        <v>10100</v>
      </c>
      <c r="S156" s="2042">
        <f t="shared" si="23"/>
        <v>8550</v>
      </c>
      <c r="T156" s="2042">
        <f t="shared" si="23"/>
        <v>8650</v>
      </c>
      <c r="U156" s="2042">
        <f t="shared" si="23"/>
        <v>1750</v>
      </c>
      <c r="V156" s="2042"/>
      <c r="W156" s="2042"/>
      <c r="X156" s="2042"/>
      <c r="Y156" s="2054"/>
      <c r="Z156" s="2054"/>
      <c r="AA156" s="2054"/>
      <c r="AB156" s="2054"/>
      <c r="AC156" s="2054"/>
      <c r="AD156" s="2054"/>
      <c r="AE156" s="2054"/>
      <c r="AF156" s="2054"/>
      <c r="AG156" s="2054"/>
      <c r="AH156" s="2054"/>
      <c r="AI156" s="2054"/>
      <c r="AJ156" s="2054"/>
      <c r="AK156" s="2054"/>
    </row>
    <row r="157" spans="1:37" s="1532" customFormat="1" hidden="1" outlineLevel="2">
      <c r="A157" s="1526" t="s">
        <v>303</v>
      </c>
      <c r="B157" s="1527" t="s">
        <v>1806</v>
      </c>
      <c r="C157" s="1528"/>
      <c r="D157" s="1527" t="s">
        <v>1798</v>
      </c>
      <c r="E157" s="2042">
        <f>E152</f>
        <v>2750</v>
      </c>
      <c r="F157" s="2042">
        <f t="shared" ref="F157:U157" si="24">F152</f>
        <v>2900</v>
      </c>
      <c r="G157" s="2042"/>
      <c r="H157" s="2042" t="e">
        <f t="shared" si="24"/>
        <v>#REF!</v>
      </c>
      <c r="I157" s="2042">
        <f t="shared" si="24"/>
        <v>1500</v>
      </c>
      <c r="J157" s="2042">
        <f t="shared" si="24"/>
        <v>2600</v>
      </c>
      <c r="K157" s="2042"/>
      <c r="L157" s="2042"/>
      <c r="M157" s="2042"/>
      <c r="N157" s="2042"/>
      <c r="O157" s="2042">
        <f t="shared" si="24"/>
        <v>8950</v>
      </c>
      <c r="P157" s="2042">
        <f t="shared" si="24"/>
        <v>11150</v>
      </c>
      <c r="Q157" s="2042">
        <f t="shared" si="24"/>
        <v>13600</v>
      </c>
      <c r="R157" s="2042">
        <f t="shared" si="24"/>
        <v>10100</v>
      </c>
      <c r="S157" s="2042">
        <f t="shared" si="24"/>
        <v>8550</v>
      </c>
      <c r="T157" s="2042">
        <f t="shared" si="24"/>
        <v>8650</v>
      </c>
      <c r="U157" s="2042">
        <f t="shared" si="24"/>
        <v>1750</v>
      </c>
      <c r="V157" s="2042"/>
      <c r="W157" s="2042"/>
      <c r="X157" s="2042"/>
      <c r="Y157" s="2054"/>
      <c r="Z157" s="2054"/>
      <c r="AA157" s="2054"/>
      <c r="AB157" s="2054"/>
      <c r="AC157" s="2054"/>
      <c r="AD157" s="2054"/>
      <c r="AE157" s="2054"/>
      <c r="AF157" s="2054"/>
      <c r="AG157" s="2054"/>
      <c r="AH157" s="2054"/>
      <c r="AI157" s="2054"/>
      <c r="AJ157" s="2054"/>
      <c r="AK157" s="2054"/>
    </row>
    <row r="158" spans="1:37" s="1532" customFormat="1" hidden="1" outlineLevel="2">
      <c r="A158" s="1526" t="s">
        <v>303</v>
      </c>
      <c r="B158" s="1527" t="s">
        <v>1806</v>
      </c>
      <c r="C158" s="1528"/>
      <c r="D158" s="1527" t="s">
        <v>1799</v>
      </c>
      <c r="E158" s="2042">
        <f>E152</f>
        <v>2750</v>
      </c>
      <c r="F158" s="2042">
        <f t="shared" ref="F158:U158" si="25">F152</f>
        <v>2900</v>
      </c>
      <c r="G158" s="2042"/>
      <c r="H158" s="2042" t="e">
        <f t="shared" si="25"/>
        <v>#REF!</v>
      </c>
      <c r="I158" s="2042">
        <f t="shared" si="25"/>
        <v>1500</v>
      </c>
      <c r="J158" s="2042">
        <f t="shared" si="25"/>
        <v>2600</v>
      </c>
      <c r="K158" s="2042"/>
      <c r="L158" s="2042"/>
      <c r="M158" s="2042"/>
      <c r="N158" s="2042"/>
      <c r="O158" s="2042">
        <f t="shared" si="25"/>
        <v>8950</v>
      </c>
      <c r="P158" s="2042">
        <f t="shared" si="25"/>
        <v>11150</v>
      </c>
      <c r="Q158" s="2042">
        <f t="shared" si="25"/>
        <v>13600</v>
      </c>
      <c r="R158" s="2042">
        <f t="shared" si="25"/>
        <v>10100</v>
      </c>
      <c r="S158" s="2042">
        <f t="shared" si="25"/>
        <v>8550</v>
      </c>
      <c r="T158" s="2042">
        <f t="shared" si="25"/>
        <v>8650</v>
      </c>
      <c r="U158" s="2042">
        <f t="shared" si="25"/>
        <v>1750</v>
      </c>
      <c r="V158" s="2042"/>
      <c r="W158" s="2042"/>
      <c r="X158" s="2042"/>
      <c r="Y158" s="2054"/>
      <c r="Z158" s="2054"/>
      <c r="AA158" s="2054"/>
      <c r="AB158" s="2054"/>
      <c r="AC158" s="2054"/>
      <c r="AD158" s="2054"/>
      <c r="AE158" s="2054"/>
      <c r="AF158" s="2054"/>
      <c r="AG158" s="2054"/>
      <c r="AH158" s="2054"/>
      <c r="AI158" s="2054"/>
      <c r="AJ158" s="2054"/>
      <c r="AK158" s="2054"/>
    </row>
    <row r="159" spans="1:37" s="1532" customFormat="1" hidden="1" outlineLevel="2">
      <c r="A159" s="1526" t="s">
        <v>303</v>
      </c>
      <c r="B159" s="1527" t="s">
        <v>1806</v>
      </c>
      <c r="C159" s="1528"/>
      <c r="D159" s="1527" t="s">
        <v>1800</v>
      </c>
      <c r="E159" s="2042">
        <f>E152</f>
        <v>2750</v>
      </c>
      <c r="F159" s="2042">
        <f t="shared" ref="F159:U159" si="26">F152</f>
        <v>2900</v>
      </c>
      <c r="G159" s="2042"/>
      <c r="H159" s="2042" t="e">
        <f t="shared" si="26"/>
        <v>#REF!</v>
      </c>
      <c r="I159" s="2042">
        <f t="shared" si="26"/>
        <v>1500</v>
      </c>
      <c r="J159" s="2042">
        <f t="shared" si="26"/>
        <v>2600</v>
      </c>
      <c r="K159" s="2042"/>
      <c r="L159" s="2042"/>
      <c r="M159" s="2042"/>
      <c r="N159" s="2042"/>
      <c r="O159" s="2042">
        <f t="shared" si="26"/>
        <v>8950</v>
      </c>
      <c r="P159" s="2042">
        <f t="shared" si="26"/>
        <v>11150</v>
      </c>
      <c r="Q159" s="2042">
        <f t="shared" si="26"/>
        <v>13600</v>
      </c>
      <c r="R159" s="2042">
        <f t="shared" si="26"/>
        <v>10100</v>
      </c>
      <c r="S159" s="2042">
        <f t="shared" si="26"/>
        <v>8550</v>
      </c>
      <c r="T159" s="2042">
        <f t="shared" si="26"/>
        <v>8650</v>
      </c>
      <c r="U159" s="2042">
        <f t="shared" si="26"/>
        <v>1750</v>
      </c>
      <c r="V159" s="2042"/>
      <c r="W159" s="2042"/>
      <c r="X159" s="2042"/>
      <c r="Y159" s="2054"/>
      <c r="Z159" s="2054"/>
      <c r="AA159" s="2054"/>
      <c r="AB159" s="2054"/>
      <c r="AC159" s="2054"/>
      <c r="AD159" s="2054"/>
      <c r="AE159" s="2054"/>
      <c r="AF159" s="2054"/>
      <c r="AG159" s="2054"/>
      <c r="AH159" s="2054"/>
      <c r="AI159" s="2054"/>
      <c r="AJ159" s="2054"/>
      <c r="AK159" s="2054"/>
    </row>
    <row r="160" spans="1:37" s="1532" customFormat="1" hidden="1" outlineLevel="2">
      <c r="A160" s="1526" t="s">
        <v>303</v>
      </c>
      <c r="B160" s="1527" t="s">
        <v>1806</v>
      </c>
      <c r="C160" s="1528"/>
      <c r="D160" s="1527" t="s">
        <v>1801</v>
      </c>
      <c r="E160" s="2042">
        <f>E152</f>
        <v>2750</v>
      </c>
      <c r="F160" s="2042">
        <f t="shared" ref="F160:U160" si="27">F152</f>
        <v>2900</v>
      </c>
      <c r="G160" s="2042"/>
      <c r="H160" s="2042" t="e">
        <f t="shared" si="27"/>
        <v>#REF!</v>
      </c>
      <c r="I160" s="2042">
        <f t="shared" si="27"/>
        <v>1500</v>
      </c>
      <c r="J160" s="2042">
        <f t="shared" si="27"/>
        <v>2600</v>
      </c>
      <c r="K160" s="2042"/>
      <c r="L160" s="2042"/>
      <c r="M160" s="2042"/>
      <c r="N160" s="2042"/>
      <c r="O160" s="2042">
        <f t="shared" si="27"/>
        <v>8950</v>
      </c>
      <c r="P160" s="2042">
        <f t="shared" si="27"/>
        <v>11150</v>
      </c>
      <c r="Q160" s="2042">
        <f t="shared" si="27"/>
        <v>13600</v>
      </c>
      <c r="R160" s="2042">
        <f t="shared" si="27"/>
        <v>10100</v>
      </c>
      <c r="S160" s="2042">
        <f t="shared" si="27"/>
        <v>8550</v>
      </c>
      <c r="T160" s="2042">
        <f t="shared" si="27"/>
        <v>8650</v>
      </c>
      <c r="U160" s="2042">
        <f t="shared" si="27"/>
        <v>1750</v>
      </c>
      <c r="V160" s="2042"/>
      <c r="W160" s="2042"/>
      <c r="X160" s="2042"/>
      <c r="Y160" s="2054"/>
      <c r="Z160" s="2054"/>
      <c r="AA160" s="2054"/>
      <c r="AB160" s="2054"/>
      <c r="AC160" s="2054"/>
      <c r="AD160" s="2054"/>
      <c r="AE160" s="2054"/>
      <c r="AF160" s="2054"/>
      <c r="AG160" s="2054"/>
      <c r="AH160" s="2054"/>
      <c r="AI160" s="2054"/>
      <c r="AJ160" s="2054"/>
      <c r="AK160" s="2054"/>
    </row>
    <row r="161" spans="1:37" s="1532" customFormat="1" hidden="1" outlineLevel="2">
      <c r="A161" s="1526" t="s">
        <v>303</v>
      </c>
      <c r="B161" s="1527" t="s">
        <v>1806</v>
      </c>
      <c r="C161" s="1528"/>
      <c r="D161" s="1527" t="s">
        <v>1802</v>
      </c>
      <c r="E161" s="2042">
        <f>E152</f>
        <v>2750</v>
      </c>
      <c r="F161" s="2042">
        <f t="shared" ref="F161:U161" si="28">F152</f>
        <v>2900</v>
      </c>
      <c r="G161" s="2042"/>
      <c r="H161" s="2042" t="e">
        <f t="shared" si="28"/>
        <v>#REF!</v>
      </c>
      <c r="I161" s="2042">
        <f t="shared" si="28"/>
        <v>1500</v>
      </c>
      <c r="J161" s="2042">
        <f t="shared" si="28"/>
        <v>2600</v>
      </c>
      <c r="K161" s="2042"/>
      <c r="L161" s="2042"/>
      <c r="M161" s="2042"/>
      <c r="N161" s="2042"/>
      <c r="O161" s="2042">
        <f t="shared" si="28"/>
        <v>8950</v>
      </c>
      <c r="P161" s="2042">
        <f t="shared" si="28"/>
        <v>11150</v>
      </c>
      <c r="Q161" s="2042">
        <f t="shared" si="28"/>
        <v>13600</v>
      </c>
      <c r="R161" s="2042">
        <f t="shared" si="28"/>
        <v>10100</v>
      </c>
      <c r="S161" s="2042">
        <f t="shared" si="28"/>
        <v>8550</v>
      </c>
      <c r="T161" s="2042">
        <f t="shared" si="28"/>
        <v>8650</v>
      </c>
      <c r="U161" s="2042">
        <f t="shared" si="28"/>
        <v>1750</v>
      </c>
      <c r="V161" s="2042"/>
      <c r="W161" s="2042"/>
      <c r="X161" s="2042"/>
      <c r="Y161" s="2054"/>
      <c r="Z161" s="2054"/>
      <c r="AA161" s="2054"/>
      <c r="AB161" s="2054"/>
      <c r="AC161" s="2054"/>
      <c r="AD161" s="2054"/>
      <c r="AE161" s="2054"/>
      <c r="AF161" s="2054"/>
      <c r="AG161" s="2054"/>
      <c r="AH161" s="2054"/>
      <c r="AI161" s="2054"/>
      <c r="AJ161" s="2054"/>
      <c r="AK161" s="2054"/>
    </row>
    <row r="162" spans="1:37" s="1478" customFormat="1" hidden="1" outlineLevel="2">
      <c r="A162" s="1526" t="s">
        <v>303</v>
      </c>
      <c r="B162" s="1527" t="s">
        <v>1806</v>
      </c>
      <c r="C162" s="1528"/>
      <c r="D162" s="1527" t="s">
        <v>1803</v>
      </c>
      <c r="E162" s="2042">
        <f>E152</f>
        <v>2750</v>
      </c>
      <c r="F162" s="2042">
        <f t="shared" ref="F162:U162" si="29">F152</f>
        <v>2900</v>
      </c>
      <c r="G162" s="2042"/>
      <c r="H162" s="2042" t="e">
        <f t="shared" si="29"/>
        <v>#REF!</v>
      </c>
      <c r="I162" s="2042">
        <f t="shared" si="29"/>
        <v>1500</v>
      </c>
      <c r="J162" s="2042">
        <f t="shared" si="29"/>
        <v>2600</v>
      </c>
      <c r="K162" s="2042"/>
      <c r="L162" s="2042"/>
      <c r="M162" s="2042"/>
      <c r="N162" s="2042"/>
      <c r="O162" s="2042">
        <f t="shared" si="29"/>
        <v>8950</v>
      </c>
      <c r="P162" s="2042">
        <f t="shared" si="29"/>
        <v>11150</v>
      </c>
      <c r="Q162" s="2042">
        <f t="shared" si="29"/>
        <v>13600</v>
      </c>
      <c r="R162" s="2042">
        <f t="shared" si="29"/>
        <v>10100</v>
      </c>
      <c r="S162" s="2042">
        <f t="shared" si="29"/>
        <v>8550</v>
      </c>
      <c r="T162" s="2042">
        <f t="shared" si="29"/>
        <v>8650</v>
      </c>
      <c r="U162" s="2042">
        <f t="shared" si="29"/>
        <v>1750</v>
      </c>
      <c r="V162" s="2042"/>
      <c r="W162" s="2042"/>
      <c r="X162" s="2042"/>
      <c r="Y162" s="2029"/>
      <c r="Z162" s="2029"/>
      <c r="AA162" s="2029"/>
      <c r="AB162" s="2029"/>
      <c r="AC162" s="2029"/>
      <c r="AD162" s="2029"/>
      <c r="AE162" s="2029"/>
      <c r="AF162" s="2029"/>
      <c r="AG162" s="2029"/>
      <c r="AH162" s="2029"/>
      <c r="AI162" s="2029"/>
      <c r="AJ162" s="2029"/>
      <c r="AK162" s="2029"/>
    </row>
    <row r="163" spans="1:37" s="1482" customFormat="1" hidden="1" outlineLevel="1" collapsed="1">
      <c r="A163" s="1490" t="s">
        <v>19</v>
      </c>
      <c r="B163" s="1539" t="s">
        <v>1807</v>
      </c>
      <c r="C163" s="1539"/>
      <c r="D163" s="1540" t="s">
        <v>195</v>
      </c>
      <c r="E163" s="2038">
        <f>Погонаж!C13</f>
        <v>2350</v>
      </c>
      <c r="F163" s="2038">
        <f>Погонаж!C40</f>
        <v>2350</v>
      </c>
      <c r="G163" s="2038">
        <f>Погонаж!C56</f>
        <v>2350</v>
      </c>
      <c r="H163" s="2039" t="e">
        <f>$H$6</f>
        <v>#REF!</v>
      </c>
      <c r="I163" s="2038">
        <f>Погонаж!E13</f>
        <v>1300</v>
      </c>
      <c r="J163" s="2038" t="str">
        <f>Погонаж!J13</f>
        <v>-</v>
      </c>
      <c r="K163" s="2038">
        <f>Погонаж!K13</f>
        <v>2300</v>
      </c>
      <c r="L163" s="2038">
        <f>Погонаж!L13</f>
        <v>2750</v>
      </c>
      <c r="M163" s="2038">
        <f>Погонаж!M13</f>
        <v>2950</v>
      </c>
      <c r="N163" s="2038">
        <f>Погонаж!N13</f>
        <v>3900</v>
      </c>
      <c r="O163" s="2038" t="str">
        <f>Порталы!C70</f>
        <v xml:space="preserve"> -</v>
      </c>
      <c r="P163" s="2038">
        <f>Порталы!E70</f>
        <v>9800</v>
      </c>
      <c r="Q163" s="2038"/>
      <c r="R163" s="2038" t="str">
        <f>Порталы!G70</f>
        <v xml:space="preserve"> -</v>
      </c>
      <c r="S163" s="2038">
        <f>Порталы!I12+Погонаж!E13*2</f>
        <v>7650</v>
      </c>
      <c r="T163" s="2038">
        <f>Порталы!J12+Погонаж!E13*2</f>
        <v>7750</v>
      </c>
      <c r="U163" s="2038">
        <f>Погонаж!D40</f>
        <v>1400</v>
      </c>
      <c r="V163" s="2038">
        <f>Погонаж!D56</f>
        <v>2300</v>
      </c>
      <c r="W163" s="2038">
        <f>Погонаж!F56</f>
        <v>1500</v>
      </c>
      <c r="X163" s="2038"/>
      <c r="Y163" s="2041"/>
      <c r="Z163" s="2041"/>
      <c r="AA163" s="2041"/>
      <c r="AB163" s="2041"/>
      <c r="AC163" s="2041"/>
      <c r="AD163" s="2041"/>
      <c r="AE163" s="2041"/>
      <c r="AF163" s="2041"/>
      <c r="AG163" s="2041"/>
      <c r="AH163" s="2041"/>
      <c r="AI163" s="2041"/>
      <c r="AJ163" s="2041"/>
      <c r="AK163" s="2041"/>
    </row>
    <row r="164" spans="1:37" s="1478" customFormat="1" hidden="1" outlineLevel="2">
      <c r="A164" s="1490" t="s">
        <v>19</v>
      </c>
      <c r="B164" s="1539" t="s">
        <v>1807</v>
      </c>
      <c r="C164" s="1539"/>
      <c r="D164" s="1541" t="s">
        <v>1808</v>
      </c>
      <c r="E164" s="2042">
        <f>E163</f>
        <v>2350</v>
      </c>
      <c r="F164" s="2042">
        <f t="shared" ref="F164:W164" si="30">F163</f>
        <v>2350</v>
      </c>
      <c r="G164" s="2042">
        <f t="shared" si="30"/>
        <v>2350</v>
      </c>
      <c r="H164" s="2042" t="e">
        <f t="shared" si="30"/>
        <v>#REF!</v>
      </c>
      <c r="I164" s="2042">
        <f t="shared" si="30"/>
        <v>1300</v>
      </c>
      <c r="J164" s="2042" t="str">
        <f t="shared" si="30"/>
        <v>-</v>
      </c>
      <c r="K164" s="2042">
        <f t="shared" si="30"/>
        <v>2300</v>
      </c>
      <c r="L164" s="2042">
        <f>L163</f>
        <v>2750</v>
      </c>
      <c r="M164" s="2042">
        <f>M163</f>
        <v>2950</v>
      </c>
      <c r="N164" s="2042">
        <f t="shared" si="30"/>
        <v>3900</v>
      </c>
      <c r="O164" s="2042" t="str">
        <f t="shared" si="30"/>
        <v xml:space="preserve"> -</v>
      </c>
      <c r="P164" s="2042">
        <f t="shared" si="30"/>
        <v>9800</v>
      </c>
      <c r="Q164" s="2042"/>
      <c r="R164" s="2042" t="str">
        <f t="shared" si="30"/>
        <v xml:space="preserve"> -</v>
      </c>
      <c r="S164" s="2042">
        <f t="shared" si="30"/>
        <v>7650</v>
      </c>
      <c r="T164" s="2042">
        <f t="shared" si="30"/>
        <v>7750</v>
      </c>
      <c r="U164" s="2042">
        <f t="shared" si="30"/>
        <v>1400</v>
      </c>
      <c r="V164" s="2042">
        <f t="shared" si="30"/>
        <v>2300</v>
      </c>
      <c r="W164" s="2042">
        <f t="shared" si="30"/>
        <v>1500</v>
      </c>
      <c r="X164" s="2042"/>
      <c r="Y164" s="2029"/>
      <c r="Z164" s="2029"/>
      <c r="AA164" s="2029"/>
      <c r="AB164" s="2029"/>
      <c r="AC164" s="2029"/>
      <c r="AD164" s="2029"/>
      <c r="AE164" s="2029"/>
      <c r="AF164" s="2029"/>
      <c r="AG164" s="2029"/>
      <c r="AH164" s="2029"/>
      <c r="AI164" s="2029"/>
      <c r="AJ164" s="2029"/>
      <c r="AK164" s="2029"/>
    </row>
    <row r="165" spans="1:37" s="1478" customFormat="1" hidden="1" outlineLevel="2">
      <c r="A165" s="1490" t="s">
        <v>19</v>
      </c>
      <c r="B165" s="1539" t="s">
        <v>1807</v>
      </c>
      <c r="C165" s="1539"/>
      <c r="D165" s="1541" t="s">
        <v>1809</v>
      </c>
      <c r="E165" s="2042">
        <f>E163</f>
        <v>2350</v>
      </c>
      <c r="F165" s="2042">
        <f t="shared" ref="F165:W165" si="31">F163</f>
        <v>2350</v>
      </c>
      <c r="G165" s="2042">
        <f t="shared" si="31"/>
        <v>2350</v>
      </c>
      <c r="H165" s="2042" t="e">
        <f t="shared" si="31"/>
        <v>#REF!</v>
      </c>
      <c r="I165" s="2042">
        <f t="shared" si="31"/>
        <v>1300</v>
      </c>
      <c r="J165" s="2042" t="str">
        <f t="shared" si="31"/>
        <v>-</v>
      </c>
      <c r="K165" s="2042">
        <f t="shared" si="31"/>
        <v>2300</v>
      </c>
      <c r="L165" s="2042">
        <f>L163</f>
        <v>2750</v>
      </c>
      <c r="M165" s="2042">
        <f>M163</f>
        <v>2950</v>
      </c>
      <c r="N165" s="2042">
        <f t="shared" si="31"/>
        <v>3900</v>
      </c>
      <c r="O165" s="2042" t="str">
        <f t="shared" si="31"/>
        <v xml:space="preserve"> -</v>
      </c>
      <c r="P165" s="2042">
        <f t="shared" si="31"/>
        <v>9800</v>
      </c>
      <c r="Q165" s="2042"/>
      <c r="R165" s="2042" t="str">
        <f t="shared" si="31"/>
        <v xml:space="preserve"> -</v>
      </c>
      <c r="S165" s="2042">
        <f t="shared" si="31"/>
        <v>7650</v>
      </c>
      <c r="T165" s="2042">
        <f t="shared" si="31"/>
        <v>7750</v>
      </c>
      <c r="U165" s="2042">
        <f t="shared" si="31"/>
        <v>1400</v>
      </c>
      <c r="V165" s="2042">
        <f t="shared" si="31"/>
        <v>2300</v>
      </c>
      <c r="W165" s="2042">
        <f t="shared" si="31"/>
        <v>1500</v>
      </c>
      <c r="X165" s="2042"/>
      <c r="Y165" s="2029"/>
      <c r="Z165" s="2029"/>
      <c r="AA165" s="2029"/>
      <c r="AB165" s="2029"/>
      <c r="AC165" s="2029"/>
      <c r="AD165" s="2029"/>
      <c r="AE165" s="2029"/>
      <c r="AF165" s="2029"/>
      <c r="AG165" s="2029"/>
      <c r="AH165" s="2029"/>
      <c r="AI165" s="2029"/>
      <c r="AJ165" s="2029"/>
      <c r="AK165" s="2029"/>
    </row>
    <row r="166" spans="1:37" s="1478" customFormat="1" hidden="1" outlineLevel="2">
      <c r="A166" s="1490" t="s">
        <v>19</v>
      </c>
      <c r="B166" s="1539" t="s">
        <v>1807</v>
      </c>
      <c r="C166" s="1539"/>
      <c r="D166" s="1541" t="s">
        <v>202</v>
      </c>
      <c r="E166" s="2042">
        <f>E163</f>
        <v>2350</v>
      </c>
      <c r="F166" s="2042">
        <f t="shared" ref="F166:W166" si="32">F163</f>
        <v>2350</v>
      </c>
      <c r="G166" s="2042">
        <f t="shared" si="32"/>
        <v>2350</v>
      </c>
      <c r="H166" s="2042" t="e">
        <f t="shared" si="32"/>
        <v>#REF!</v>
      </c>
      <c r="I166" s="2042">
        <f t="shared" si="32"/>
        <v>1300</v>
      </c>
      <c r="J166" s="2042" t="str">
        <f t="shared" si="32"/>
        <v>-</v>
      </c>
      <c r="K166" s="2042">
        <f t="shared" si="32"/>
        <v>2300</v>
      </c>
      <c r="L166" s="2042">
        <f>L163</f>
        <v>2750</v>
      </c>
      <c r="M166" s="2042">
        <f>M163</f>
        <v>2950</v>
      </c>
      <c r="N166" s="2042">
        <f t="shared" si="32"/>
        <v>3900</v>
      </c>
      <c r="O166" s="2042" t="str">
        <f t="shared" si="32"/>
        <v xml:space="preserve"> -</v>
      </c>
      <c r="P166" s="2042">
        <f t="shared" si="32"/>
        <v>9800</v>
      </c>
      <c r="Q166" s="2042"/>
      <c r="R166" s="2042" t="str">
        <f t="shared" si="32"/>
        <v xml:space="preserve"> -</v>
      </c>
      <c r="S166" s="2042">
        <f t="shared" si="32"/>
        <v>7650</v>
      </c>
      <c r="T166" s="2042">
        <f t="shared" si="32"/>
        <v>7750</v>
      </c>
      <c r="U166" s="2042">
        <f t="shared" si="32"/>
        <v>1400</v>
      </c>
      <c r="V166" s="2042">
        <f t="shared" si="32"/>
        <v>2300</v>
      </c>
      <c r="W166" s="2042">
        <f t="shared" si="32"/>
        <v>1500</v>
      </c>
      <c r="X166" s="2042"/>
      <c r="Y166" s="2029"/>
      <c r="Z166" s="2029"/>
      <c r="AA166" s="2029"/>
      <c r="AB166" s="2029"/>
      <c r="AC166" s="2029"/>
      <c r="AD166" s="2029"/>
      <c r="AE166" s="2029"/>
      <c r="AF166" s="2029"/>
      <c r="AG166" s="2029"/>
      <c r="AH166" s="2029"/>
      <c r="AI166" s="2029"/>
      <c r="AJ166" s="2029"/>
      <c r="AK166" s="2029"/>
    </row>
    <row r="167" spans="1:37" s="1478" customFormat="1" hidden="1" outlineLevel="2">
      <c r="A167" s="1490" t="s">
        <v>19</v>
      </c>
      <c r="B167" s="1539" t="s">
        <v>1807</v>
      </c>
      <c r="C167" s="1539"/>
      <c r="D167" s="1541" t="s">
        <v>1810</v>
      </c>
      <c r="E167" s="2042">
        <f>E163</f>
        <v>2350</v>
      </c>
      <c r="F167" s="2042">
        <f t="shared" ref="F167:W167" si="33">F163</f>
        <v>2350</v>
      </c>
      <c r="G167" s="2042">
        <f t="shared" si="33"/>
        <v>2350</v>
      </c>
      <c r="H167" s="2042" t="e">
        <f t="shared" si="33"/>
        <v>#REF!</v>
      </c>
      <c r="I167" s="2042">
        <f t="shared" si="33"/>
        <v>1300</v>
      </c>
      <c r="J167" s="2042" t="str">
        <f t="shared" si="33"/>
        <v>-</v>
      </c>
      <c r="K167" s="2042">
        <f t="shared" si="33"/>
        <v>2300</v>
      </c>
      <c r="L167" s="2042">
        <f>L163</f>
        <v>2750</v>
      </c>
      <c r="M167" s="2042">
        <f>M163</f>
        <v>2950</v>
      </c>
      <c r="N167" s="2042">
        <f t="shared" si="33"/>
        <v>3900</v>
      </c>
      <c r="O167" s="2042" t="str">
        <f t="shared" si="33"/>
        <v xml:space="preserve"> -</v>
      </c>
      <c r="P167" s="2042">
        <f t="shared" si="33"/>
        <v>9800</v>
      </c>
      <c r="Q167" s="2042"/>
      <c r="R167" s="2042" t="str">
        <f t="shared" si="33"/>
        <v xml:space="preserve"> -</v>
      </c>
      <c r="S167" s="2042">
        <f t="shared" si="33"/>
        <v>7650</v>
      </c>
      <c r="T167" s="2042">
        <f t="shared" si="33"/>
        <v>7750</v>
      </c>
      <c r="U167" s="2042">
        <f t="shared" si="33"/>
        <v>1400</v>
      </c>
      <c r="V167" s="2042">
        <f t="shared" si="33"/>
        <v>2300</v>
      </c>
      <c r="W167" s="2042">
        <f t="shared" si="33"/>
        <v>1500</v>
      </c>
      <c r="X167" s="2042"/>
      <c r="Y167" s="2029"/>
      <c r="Z167" s="2029"/>
      <c r="AA167" s="2029"/>
      <c r="AB167" s="2029"/>
      <c r="AC167" s="2029"/>
      <c r="AD167" s="2029"/>
      <c r="AE167" s="2029"/>
      <c r="AF167" s="2029"/>
      <c r="AG167" s="2029"/>
      <c r="AH167" s="2029"/>
      <c r="AI167" s="2029"/>
      <c r="AJ167" s="2029"/>
      <c r="AK167" s="2029"/>
    </row>
    <row r="168" spans="1:37" s="1478" customFormat="1" hidden="1" outlineLevel="2">
      <c r="A168" s="1490" t="s">
        <v>19</v>
      </c>
      <c r="B168" s="1539" t="s">
        <v>1807</v>
      </c>
      <c r="C168" s="1539"/>
      <c r="D168" s="1541" t="s">
        <v>1811</v>
      </c>
      <c r="E168" s="2042">
        <f>E163</f>
        <v>2350</v>
      </c>
      <c r="F168" s="2042">
        <f t="shared" ref="F168:W168" si="34">F163</f>
        <v>2350</v>
      </c>
      <c r="G168" s="2042">
        <f t="shared" si="34"/>
        <v>2350</v>
      </c>
      <c r="H168" s="2042" t="e">
        <f t="shared" si="34"/>
        <v>#REF!</v>
      </c>
      <c r="I168" s="2042">
        <f t="shared" si="34"/>
        <v>1300</v>
      </c>
      <c r="J168" s="2042" t="str">
        <f t="shared" si="34"/>
        <v>-</v>
      </c>
      <c r="K168" s="2042">
        <f t="shared" si="34"/>
        <v>2300</v>
      </c>
      <c r="L168" s="2042">
        <f>L163</f>
        <v>2750</v>
      </c>
      <c r="M168" s="2042">
        <f>M163</f>
        <v>2950</v>
      </c>
      <c r="N168" s="2042">
        <f t="shared" si="34"/>
        <v>3900</v>
      </c>
      <c r="O168" s="2042" t="str">
        <f t="shared" si="34"/>
        <v xml:space="preserve"> -</v>
      </c>
      <c r="P168" s="2042">
        <f t="shared" si="34"/>
        <v>9800</v>
      </c>
      <c r="Q168" s="2042"/>
      <c r="R168" s="2042" t="str">
        <f t="shared" si="34"/>
        <v xml:space="preserve"> -</v>
      </c>
      <c r="S168" s="2042">
        <f t="shared" si="34"/>
        <v>7650</v>
      </c>
      <c r="T168" s="2042">
        <f t="shared" si="34"/>
        <v>7750</v>
      </c>
      <c r="U168" s="2042">
        <f t="shared" si="34"/>
        <v>1400</v>
      </c>
      <c r="V168" s="2042">
        <f t="shared" si="34"/>
        <v>2300</v>
      </c>
      <c r="W168" s="2042">
        <f t="shared" si="34"/>
        <v>1500</v>
      </c>
      <c r="X168" s="2042"/>
      <c r="Y168" s="2029"/>
      <c r="Z168" s="2029"/>
      <c r="AA168" s="2029"/>
      <c r="AB168" s="2029"/>
      <c r="AC168" s="2029"/>
      <c r="AD168" s="2029"/>
      <c r="AE168" s="2029"/>
      <c r="AF168" s="2029"/>
      <c r="AG168" s="2029"/>
      <c r="AH168" s="2029"/>
      <c r="AI168" s="2029"/>
      <c r="AJ168" s="2029"/>
      <c r="AK168" s="2029"/>
    </row>
    <row r="169" spans="1:37" s="1478" customFormat="1" hidden="1" outlineLevel="2">
      <c r="A169" s="1490" t="s">
        <v>19</v>
      </c>
      <c r="B169" s="1539" t="s">
        <v>1807</v>
      </c>
      <c r="C169" s="1539"/>
      <c r="D169" s="1541" t="s">
        <v>197</v>
      </c>
      <c r="E169" s="2042">
        <f t="shared" ref="E169:P169" si="35">E163</f>
        <v>2350</v>
      </c>
      <c r="F169" s="2042">
        <f t="shared" si="35"/>
        <v>2350</v>
      </c>
      <c r="G169" s="2042">
        <f t="shared" si="35"/>
        <v>2350</v>
      </c>
      <c r="H169" s="2042" t="e">
        <f t="shared" si="35"/>
        <v>#REF!</v>
      </c>
      <c r="I169" s="2042">
        <f t="shared" si="35"/>
        <v>1300</v>
      </c>
      <c r="J169" s="2042" t="str">
        <f t="shared" si="35"/>
        <v>-</v>
      </c>
      <c r="K169" s="2042">
        <f t="shared" si="35"/>
        <v>2300</v>
      </c>
      <c r="L169" s="2042">
        <f t="shared" si="35"/>
        <v>2750</v>
      </c>
      <c r="M169" s="2042">
        <f t="shared" si="35"/>
        <v>2950</v>
      </c>
      <c r="N169" s="2042">
        <f t="shared" si="35"/>
        <v>3900</v>
      </c>
      <c r="O169" s="2042" t="str">
        <f t="shared" si="35"/>
        <v xml:space="preserve"> -</v>
      </c>
      <c r="P169" s="2042">
        <f t="shared" si="35"/>
        <v>9800</v>
      </c>
      <c r="Q169" s="2042"/>
      <c r="R169" s="2042" t="str">
        <f t="shared" ref="R169:W169" si="36">R163</f>
        <v xml:space="preserve"> -</v>
      </c>
      <c r="S169" s="2042">
        <f t="shared" si="36"/>
        <v>7650</v>
      </c>
      <c r="T169" s="2042">
        <f t="shared" si="36"/>
        <v>7750</v>
      </c>
      <c r="U169" s="2042">
        <f t="shared" si="36"/>
        <v>1400</v>
      </c>
      <c r="V169" s="2042">
        <f t="shared" si="36"/>
        <v>2300</v>
      </c>
      <c r="W169" s="2042">
        <f t="shared" si="36"/>
        <v>1500</v>
      </c>
      <c r="X169" s="2042"/>
      <c r="Y169" s="2029"/>
      <c r="Z169" s="2029"/>
      <c r="AA169" s="2029"/>
      <c r="AB169" s="2029"/>
      <c r="AC169" s="2029"/>
      <c r="AD169" s="2029"/>
      <c r="AE169" s="2029"/>
      <c r="AF169" s="2029"/>
      <c r="AG169" s="2029"/>
      <c r="AH169" s="2029"/>
      <c r="AI169" s="2029"/>
      <c r="AJ169" s="2029"/>
      <c r="AK169" s="2029"/>
    </row>
    <row r="170" spans="1:37" s="1478" customFormat="1" hidden="1" outlineLevel="2">
      <c r="A170" s="1490" t="s">
        <v>19</v>
      </c>
      <c r="B170" s="1539" t="s">
        <v>1807</v>
      </c>
      <c r="C170" s="1539"/>
      <c r="D170" s="1541" t="s">
        <v>1812</v>
      </c>
      <c r="E170" s="2042">
        <f t="shared" ref="E170:P170" si="37">E163</f>
        <v>2350</v>
      </c>
      <c r="F170" s="2042">
        <f t="shared" si="37"/>
        <v>2350</v>
      </c>
      <c r="G170" s="2042">
        <f t="shared" si="37"/>
        <v>2350</v>
      </c>
      <c r="H170" s="2042" t="e">
        <f t="shared" si="37"/>
        <v>#REF!</v>
      </c>
      <c r="I170" s="2042">
        <f t="shared" si="37"/>
        <v>1300</v>
      </c>
      <c r="J170" s="2042" t="str">
        <f t="shared" si="37"/>
        <v>-</v>
      </c>
      <c r="K170" s="2042">
        <f t="shared" si="37"/>
        <v>2300</v>
      </c>
      <c r="L170" s="2042">
        <f t="shared" si="37"/>
        <v>2750</v>
      </c>
      <c r="M170" s="2042">
        <f t="shared" si="37"/>
        <v>2950</v>
      </c>
      <c r="N170" s="2042">
        <f t="shared" si="37"/>
        <v>3900</v>
      </c>
      <c r="O170" s="2042" t="str">
        <f t="shared" si="37"/>
        <v xml:space="preserve"> -</v>
      </c>
      <c r="P170" s="2042">
        <f t="shared" si="37"/>
        <v>9800</v>
      </c>
      <c r="Q170" s="2042"/>
      <c r="R170" s="2042" t="str">
        <f t="shared" ref="R170:W170" si="38">R163</f>
        <v xml:space="preserve"> -</v>
      </c>
      <c r="S170" s="2042">
        <f t="shared" si="38"/>
        <v>7650</v>
      </c>
      <c r="T170" s="2042">
        <f t="shared" si="38"/>
        <v>7750</v>
      </c>
      <c r="U170" s="2042">
        <f t="shared" si="38"/>
        <v>1400</v>
      </c>
      <c r="V170" s="2042">
        <f t="shared" si="38"/>
        <v>2300</v>
      </c>
      <c r="W170" s="2042">
        <f t="shared" si="38"/>
        <v>1500</v>
      </c>
      <c r="X170" s="2042"/>
      <c r="Y170" s="2029"/>
      <c r="Z170" s="2029"/>
      <c r="AA170" s="2029"/>
      <c r="AB170" s="2029"/>
      <c r="AC170" s="2029"/>
      <c r="AD170" s="2029"/>
      <c r="AE170" s="2029"/>
      <c r="AF170" s="2029"/>
      <c r="AG170" s="2029"/>
      <c r="AH170" s="2029"/>
      <c r="AI170" s="2029"/>
      <c r="AJ170" s="2029"/>
      <c r="AK170" s="2029"/>
    </row>
    <row r="171" spans="1:37" s="1478" customFormat="1" hidden="1" outlineLevel="2">
      <c r="A171" s="1490" t="s">
        <v>19</v>
      </c>
      <c r="B171" s="1539" t="s">
        <v>1807</v>
      </c>
      <c r="C171" s="1539"/>
      <c r="D171" s="1541" t="s">
        <v>1813</v>
      </c>
      <c r="E171" s="2042">
        <f t="shared" ref="E171:P171" si="39">E163</f>
        <v>2350</v>
      </c>
      <c r="F171" s="2042">
        <f t="shared" si="39"/>
        <v>2350</v>
      </c>
      <c r="G171" s="2042">
        <f t="shared" si="39"/>
        <v>2350</v>
      </c>
      <c r="H171" s="2042" t="e">
        <f t="shared" si="39"/>
        <v>#REF!</v>
      </c>
      <c r="I171" s="2042">
        <f t="shared" si="39"/>
        <v>1300</v>
      </c>
      <c r="J171" s="2042" t="str">
        <f t="shared" si="39"/>
        <v>-</v>
      </c>
      <c r="K171" s="2042">
        <f t="shared" si="39"/>
        <v>2300</v>
      </c>
      <c r="L171" s="2042">
        <f t="shared" si="39"/>
        <v>2750</v>
      </c>
      <c r="M171" s="2042">
        <f t="shared" si="39"/>
        <v>2950</v>
      </c>
      <c r="N171" s="2042">
        <f t="shared" si="39"/>
        <v>3900</v>
      </c>
      <c r="O171" s="2042" t="str">
        <f t="shared" si="39"/>
        <v xml:space="preserve"> -</v>
      </c>
      <c r="P171" s="2042">
        <f t="shared" si="39"/>
        <v>9800</v>
      </c>
      <c r="Q171" s="2042"/>
      <c r="R171" s="2042" t="str">
        <f t="shared" ref="R171:W171" si="40">R163</f>
        <v xml:space="preserve"> -</v>
      </c>
      <c r="S171" s="2042">
        <f t="shared" si="40"/>
        <v>7650</v>
      </c>
      <c r="T171" s="2042">
        <f t="shared" si="40"/>
        <v>7750</v>
      </c>
      <c r="U171" s="2042">
        <f t="shared" si="40"/>
        <v>1400</v>
      </c>
      <c r="V171" s="2042">
        <f t="shared" si="40"/>
        <v>2300</v>
      </c>
      <c r="W171" s="2042">
        <f t="shared" si="40"/>
        <v>1500</v>
      </c>
      <c r="X171" s="2042"/>
      <c r="Y171" s="2029"/>
      <c r="Z171" s="2029"/>
      <c r="AA171" s="2029"/>
      <c r="AB171" s="2029"/>
      <c r="AC171" s="2029"/>
      <c r="AD171" s="2029"/>
      <c r="AE171" s="2029"/>
      <c r="AF171" s="2029"/>
      <c r="AG171" s="2029"/>
      <c r="AH171" s="2029"/>
      <c r="AI171" s="2029"/>
      <c r="AJ171" s="2029"/>
      <c r="AK171" s="2029"/>
    </row>
    <row r="172" spans="1:37" s="1478" customFormat="1" hidden="1" outlineLevel="2">
      <c r="A172" s="1490" t="s">
        <v>19</v>
      </c>
      <c r="B172" s="1539" t="s">
        <v>1807</v>
      </c>
      <c r="C172" s="1539"/>
      <c r="D172" s="1541" t="s">
        <v>1814</v>
      </c>
      <c r="E172" s="2042">
        <f t="shared" ref="E172:P172" si="41">E163</f>
        <v>2350</v>
      </c>
      <c r="F172" s="2042">
        <f t="shared" si="41"/>
        <v>2350</v>
      </c>
      <c r="G172" s="2042">
        <f t="shared" si="41"/>
        <v>2350</v>
      </c>
      <c r="H172" s="2042" t="e">
        <f t="shared" si="41"/>
        <v>#REF!</v>
      </c>
      <c r="I172" s="2042">
        <f t="shared" si="41"/>
        <v>1300</v>
      </c>
      <c r="J172" s="2042" t="str">
        <f t="shared" si="41"/>
        <v>-</v>
      </c>
      <c r="K172" s="2042">
        <f t="shared" si="41"/>
        <v>2300</v>
      </c>
      <c r="L172" s="2042">
        <f t="shared" si="41"/>
        <v>2750</v>
      </c>
      <c r="M172" s="2042">
        <f t="shared" si="41"/>
        <v>2950</v>
      </c>
      <c r="N172" s="2042">
        <f t="shared" si="41"/>
        <v>3900</v>
      </c>
      <c r="O172" s="2042" t="str">
        <f t="shared" si="41"/>
        <v xml:space="preserve"> -</v>
      </c>
      <c r="P172" s="2042">
        <f t="shared" si="41"/>
        <v>9800</v>
      </c>
      <c r="Q172" s="2042"/>
      <c r="R172" s="2042" t="str">
        <f t="shared" ref="R172:W172" si="42">R163</f>
        <v xml:space="preserve"> -</v>
      </c>
      <c r="S172" s="2042">
        <f t="shared" si="42"/>
        <v>7650</v>
      </c>
      <c r="T172" s="2042">
        <f t="shared" si="42"/>
        <v>7750</v>
      </c>
      <c r="U172" s="2042">
        <f t="shared" si="42"/>
        <v>1400</v>
      </c>
      <c r="V172" s="2042">
        <f t="shared" si="42"/>
        <v>2300</v>
      </c>
      <c r="W172" s="2042">
        <f t="shared" si="42"/>
        <v>1500</v>
      </c>
      <c r="X172" s="2042"/>
      <c r="Y172" s="2029"/>
      <c r="Z172" s="2029"/>
      <c r="AA172" s="2029"/>
      <c r="AB172" s="2029"/>
      <c r="AC172" s="2029"/>
      <c r="AD172" s="2029"/>
      <c r="AE172" s="2029"/>
      <c r="AF172" s="2029"/>
      <c r="AG172" s="2029"/>
      <c r="AH172" s="2029"/>
      <c r="AI172" s="2029"/>
      <c r="AJ172" s="2029"/>
      <c r="AK172" s="2029"/>
    </row>
    <row r="173" spans="1:37" s="1520" customFormat="1" hidden="1" outlineLevel="2">
      <c r="A173" s="1490" t="s">
        <v>19</v>
      </c>
      <c r="B173" s="1539" t="s">
        <v>1807</v>
      </c>
      <c r="C173" s="1539"/>
      <c r="D173" s="1541" t="s">
        <v>1815</v>
      </c>
      <c r="E173" s="2042">
        <f t="shared" ref="E173:P173" si="43">E163</f>
        <v>2350</v>
      </c>
      <c r="F173" s="2042">
        <f t="shared" si="43"/>
        <v>2350</v>
      </c>
      <c r="G173" s="2042">
        <f t="shared" si="43"/>
        <v>2350</v>
      </c>
      <c r="H173" s="2042" t="e">
        <f t="shared" si="43"/>
        <v>#REF!</v>
      </c>
      <c r="I173" s="2042">
        <f t="shared" si="43"/>
        <v>1300</v>
      </c>
      <c r="J173" s="2042" t="str">
        <f t="shared" si="43"/>
        <v>-</v>
      </c>
      <c r="K173" s="2042">
        <f t="shared" si="43"/>
        <v>2300</v>
      </c>
      <c r="L173" s="2042">
        <f t="shared" si="43"/>
        <v>2750</v>
      </c>
      <c r="M173" s="2042">
        <f t="shared" si="43"/>
        <v>2950</v>
      </c>
      <c r="N173" s="2042">
        <f t="shared" si="43"/>
        <v>3900</v>
      </c>
      <c r="O173" s="2042" t="str">
        <f t="shared" si="43"/>
        <v xml:space="preserve"> -</v>
      </c>
      <c r="P173" s="2042">
        <f t="shared" si="43"/>
        <v>9800</v>
      </c>
      <c r="Q173" s="2042"/>
      <c r="R173" s="2042" t="str">
        <f t="shared" ref="R173:W173" si="44">R163</f>
        <v xml:space="preserve"> -</v>
      </c>
      <c r="S173" s="2042">
        <f t="shared" si="44"/>
        <v>7650</v>
      </c>
      <c r="T173" s="2042">
        <f t="shared" si="44"/>
        <v>7750</v>
      </c>
      <c r="U173" s="2042">
        <f t="shared" si="44"/>
        <v>1400</v>
      </c>
      <c r="V173" s="2042">
        <f t="shared" si="44"/>
        <v>2300</v>
      </c>
      <c r="W173" s="2042">
        <f t="shared" si="44"/>
        <v>1500</v>
      </c>
      <c r="X173" s="2042"/>
      <c r="Y173" s="2049"/>
      <c r="Z173" s="2049"/>
      <c r="AA173" s="2049"/>
      <c r="AB173" s="2049"/>
      <c r="AC173" s="2049"/>
      <c r="AD173" s="2049"/>
      <c r="AE173" s="2049"/>
      <c r="AF173" s="2049"/>
      <c r="AG173" s="2049"/>
      <c r="AH173" s="2049"/>
      <c r="AI173" s="2049"/>
      <c r="AJ173" s="2049"/>
      <c r="AK173" s="2049"/>
    </row>
    <row r="174" spans="1:37" s="1478" customFormat="1" hidden="1" outlineLevel="2">
      <c r="A174" s="1490" t="s">
        <v>19</v>
      </c>
      <c r="B174" s="1539" t="s">
        <v>1807</v>
      </c>
      <c r="C174" s="1539"/>
      <c r="D174" s="1541" t="s">
        <v>1816</v>
      </c>
      <c r="E174" s="2042">
        <f t="shared" ref="E174:P174" si="45">CEILING(E163*1.2, 10)</f>
        <v>2820</v>
      </c>
      <c r="F174" s="2042">
        <f t="shared" si="45"/>
        <v>2820</v>
      </c>
      <c r="G174" s="2042">
        <f t="shared" si="45"/>
        <v>2820</v>
      </c>
      <c r="H174" s="2042" t="e">
        <f t="shared" si="45"/>
        <v>#REF!</v>
      </c>
      <c r="I174" s="2042">
        <f t="shared" si="45"/>
        <v>1560</v>
      </c>
      <c r="J174" s="2042" t="e">
        <f t="shared" si="45"/>
        <v>#VALUE!</v>
      </c>
      <c r="K174" s="2042">
        <f t="shared" si="45"/>
        <v>2760</v>
      </c>
      <c r="L174" s="2042">
        <f t="shared" si="45"/>
        <v>3300</v>
      </c>
      <c r="M174" s="2042">
        <f t="shared" si="45"/>
        <v>3540</v>
      </c>
      <c r="N174" s="2042">
        <f t="shared" si="45"/>
        <v>4680</v>
      </c>
      <c r="O174" s="2042" t="e">
        <f t="shared" si="45"/>
        <v>#VALUE!</v>
      </c>
      <c r="P174" s="2042">
        <f t="shared" si="45"/>
        <v>11760</v>
      </c>
      <c r="Q174" s="2042"/>
      <c r="R174" s="2042" t="e">
        <f t="shared" ref="R174:W174" si="46">CEILING(R163*1.2, 10)</f>
        <v>#VALUE!</v>
      </c>
      <c r="S174" s="2042">
        <f t="shared" si="46"/>
        <v>9180</v>
      </c>
      <c r="T174" s="2042">
        <f t="shared" si="46"/>
        <v>9300</v>
      </c>
      <c r="U174" s="2042">
        <f t="shared" si="46"/>
        <v>1680</v>
      </c>
      <c r="V174" s="2042">
        <f t="shared" si="46"/>
        <v>2760</v>
      </c>
      <c r="W174" s="2042">
        <f t="shared" si="46"/>
        <v>1800</v>
      </c>
      <c r="X174" s="2042"/>
      <c r="Y174" s="2029"/>
      <c r="Z174" s="2029"/>
      <c r="AA174" s="2029"/>
      <c r="AB174" s="2029"/>
      <c r="AC174" s="2029"/>
      <c r="AD174" s="2029"/>
      <c r="AE174" s="2029"/>
      <c r="AF174" s="2029"/>
      <c r="AG174" s="2029"/>
      <c r="AH174" s="2029"/>
      <c r="AI174" s="2029"/>
      <c r="AJ174" s="2029"/>
      <c r="AK174" s="2029"/>
    </row>
    <row r="175" spans="1:37" s="1482" customFormat="1" hidden="1" outlineLevel="1" collapsed="1">
      <c r="A175" s="1542" t="s">
        <v>19</v>
      </c>
      <c r="B175" s="1543" t="s">
        <v>1817</v>
      </c>
      <c r="C175" s="1543"/>
      <c r="D175" s="1544" t="s">
        <v>1818</v>
      </c>
      <c r="E175" s="2038">
        <f>E163</f>
        <v>2350</v>
      </c>
      <c r="F175" s="2038">
        <f>F163</f>
        <v>2350</v>
      </c>
      <c r="G175" s="2038">
        <f>G163</f>
        <v>2350</v>
      </c>
      <c r="H175" s="2043" t="e">
        <f t="shared" ref="H175:H186" si="47">$H$6</f>
        <v>#REF!</v>
      </c>
      <c r="I175" s="2038">
        <f t="shared" ref="I175:P175" si="48">I163</f>
        <v>1300</v>
      </c>
      <c r="J175" s="2038" t="str">
        <f t="shared" si="48"/>
        <v>-</v>
      </c>
      <c r="K175" s="2038">
        <f t="shared" si="48"/>
        <v>2300</v>
      </c>
      <c r="L175" s="2038">
        <f t="shared" si="48"/>
        <v>2750</v>
      </c>
      <c r="M175" s="2038">
        <f t="shared" si="48"/>
        <v>2950</v>
      </c>
      <c r="N175" s="2038">
        <f t="shared" si="48"/>
        <v>3900</v>
      </c>
      <c r="O175" s="2038" t="str">
        <f t="shared" si="48"/>
        <v xml:space="preserve"> -</v>
      </c>
      <c r="P175" s="2038">
        <f t="shared" si="48"/>
        <v>9800</v>
      </c>
      <c r="Q175" s="2038"/>
      <c r="R175" s="2038" t="str">
        <f t="shared" ref="R175:W175" si="49">R163</f>
        <v xml:space="preserve"> -</v>
      </c>
      <c r="S175" s="2038">
        <f t="shared" si="49"/>
        <v>7650</v>
      </c>
      <c r="T175" s="2038">
        <f t="shared" si="49"/>
        <v>7750</v>
      </c>
      <c r="U175" s="2038">
        <f t="shared" si="49"/>
        <v>1400</v>
      </c>
      <c r="V175" s="2038">
        <f t="shared" si="49"/>
        <v>2300</v>
      </c>
      <c r="W175" s="2038">
        <f t="shared" si="49"/>
        <v>1500</v>
      </c>
      <c r="X175" s="2038"/>
      <c r="Y175" s="2041"/>
      <c r="Z175" s="2041"/>
      <c r="AA175" s="2041"/>
      <c r="AB175" s="2041"/>
      <c r="AC175" s="2041"/>
      <c r="AD175" s="2041"/>
      <c r="AE175" s="2041"/>
      <c r="AF175" s="2041"/>
      <c r="AG175" s="2041"/>
      <c r="AH175" s="2041"/>
      <c r="AI175" s="2041"/>
      <c r="AJ175" s="2041"/>
      <c r="AK175" s="2041"/>
    </row>
    <row r="176" spans="1:37" s="1478" customFormat="1" hidden="1" outlineLevel="2">
      <c r="A176" s="1542" t="s">
        <v>19</v>
      </c>
      <c r="B176" s="1543" t="s">
        <v>1817</v>
      </c>
      <c r="C176" s="1543"/>
      <c r="D176" s="1545" t="s">
        <v>1819</v>
      </c>
      <c r="E176" s="2042">
        <f t="shared" ref="E176:G179" si="50">E163</f>
        <v>2350</v>
      </c>
      <c r="F176" s="2042">
        <f t="shared" si="50"/>
        <v>2350</v>
      </c>
      <c r="G176" s="2042">
        <f t="shared" si="50"/>
        <v>2350</v>
      </c>
      <c r="H176" s="2043" t="e">
        <f t="shared" si="47"/>
        <v>#REF!</v>
      </c>
      <c r="I176" s="2042">
        <f t="shared" ref="I176:P181" si="51">I163</f>
        <v>1300</v>
      </c>
      <c r="J176" s="2042" t="str">
        <f t="shared" si="51"/>
        <v>-</v>
      </c>
      <c r="K176" s="2042">
        <f t="shared" si="51"/>
        <v>2300</v>
      </c>
      <c r="L176" s="2042">
        <f t="shared" si="51"/>
        <v>2750</v>
      </c>
      <c r="M176" s="2042">
        <f t="shared" si="51"/>
        <v>2950</v>
      </c>
      <c r="N176" s="2042">
        <f t="shared" si="51"/>
        <v>3900</v>
      </c>
      <c r="O176" s="2042" t="str">
        <f t="shared" si="51"/>
        <v xml:space="preserve"> -</v>
      </c>
      <c r="P176" s="2042">
        <f t="shared" si="51"/>
        <v>9800</v>
      </c>
      <c r="Q176" s="2042"/>
      <c r="R176" s="2042" t="str">
        <f t="shared" ref="R176:W180" si="52">R163</f>
        <v xml:space="preserve"> -</v>
      </c>
      <c r="S176" s="2042">
        <f t="shared" si="52"/>
        <v>7650</v>
      </c>
      <c r="T176" s="2042">
        <f t="shared" si="52"/>
        <v>7750</v>
      </c>
      <c r="U176" s="2042">
        <f t="shared" si="52"/>
        <v>1400</v>
      </c>
      <c r="V176" s="2042">
        <f t="shared" si="52"/>
        <v>2300</v>
      </c>
      <c r="W176" s="2042">
        <f t="shared" si="52"/>
        <v>1500</v>
      </c>
      <c r="X176" s="2042"/>
      <c r="Y176" s="2029"/>
      <c r="Z176" s="2029"/>
      <c r="AA176" s="2029"/>
      <c r="AB176" s="2029"/>
      <c r="AC176" s="2029"/>
      <c r="AD176" s="2029"/>
      <c r="AE176" s="2029"/>
      <c r="AF176" s="2029"/>
      <c r="AG176" s="2029"/>
      <c r="AH176" s="2029"/>
      <c r="AI176" s="2029"/>
      <c r="AJ176" s="2029"/>
      <c r="AK176" s="2029"/>
    </row>
    <row r="177" spans="1:37" s="1478" customFormat="1" hidden="1" outlineLevel="2">
      <c r="A177" s="1542" t="s">
        <v>19</v>
      </c>
      <c r="B177" s="1543" t="s">
        <v>1817</v>
      </c>
      <c r="C177" s="1543"/>
      <c r="D177" s="1545" t="s">
        <v>1820</v>
      </c>
      <c r="E177" s="2042">
        <f t="shared" si="50"/>
        <v>2350</v>
      </c>
      <c r="F177" s="2042">
        <f t="shared" si="50"/>
        <v>2350</v>
      </c>
      <c r="G177" s="2042">
        <f t="shared" si="50"/>
        <v>2350</v>
      </c>
      <c r="H177" s="2043" t="e">
        <f t="shared" si="47"/>
        <v>#REF!</v>
      </c>
      <c r="I177" s="2042">
        <f t="shared" si="51"/>
        <v>1300</v>
      </c>
      <c r="J177" s="2042" t="str">
        <f t="shared" si="51"/>
        <v>-</v>
      </c>
      <c r="K177" s="2042">
        <f t="shared" si="51"/>
        <v>2300</v>
      </c>
      <c r="L177" s="2042">
        <f t="shared" si="51"/>
        <v>2750</v>
      </c>
      <c r="M177" s="2042">
        <f t="shared" si="51"/>
        <v>2950</v>
      </c>
      <c r="N177" s="2042">
        <f t="shared" si="51"/>
        <v>3900</v>
      </c>
      <c r="O177" s="2042" t="str">
        <f t="shared" si="51"/>
        <v xml:space="preserve"> -</v>
      </c>
      <c r="P177" s="2042">
        <f t="shared" si="51"/>
        <v>9800</v>
      </c>
      <c r="Q177" s="2042"/>
      <c r="R177" s="2042" t="str">
        <f t="shared" si="52"/>
        <v xml:space="preserve"> -</v>
      </c>
      <c r="S177" s="2042">
        <f t="shared" si="52"/>
        <v>7650</v>
      </c>
      <c r="T177" s="2042">
        <f t="shared" si="52"/>
        <v>7750</v>
      </c>
      <c r="U177" s="2042">
        <f t="shared" si="52"/>
        <v>1400</v>
      </c>
      <c r="V177" s="2042">
        <f t="shared" si="52"/>
        <v>2300</v>
      </c>
      <c r="W177" s="2042">
        <f t="shared" si="52"/>
        <v>1500</v>
      </c>
      <c r="X177" s="2042"/>
      <c r="Y177" s="2029"/>
      <c r="Z177" s="2029"/>
      <c r="AA177" s="2029"/>
      <c r="AB177" s="2029"/>
      <c r="AC177" s="2029"/>
      <c r="AD177" s="2029"/>
      <c r="AE177" s="2029"/>
      <c r="AF177" s="2029"/>
      <c r="AG177" s="2029"/>
      <c r="AH177" s="2029"/>
      <c r="AI177" s="2029"/>
      <c r="AJ177" s="2029"/>
      <c r="AK177" s="2029"/>
    </row>
    <row r="178" spans="1:37" s="1478" customFormat="1" hidden="1" outlineLevel="2">
      <c r="A178" s="1542" t="s">
        <v>19</v>
      </c>
      <c r="B178" s="1543" t="s">
        <v>1817</v>
      </c>
      <c r="C178" s="1543"/>
      <c r="D178" s="1545" t="s">
        <v>1821</v>
      </c>
      <c r="E178" s="2042">
        <f t="shared" si="50"/>
        <v>2350</v>
      </c>
      <c r="F178" s="2042">
        <f t="shared" si="50"/>
        <v>2350</v>
      </c>
      <c r="G178" s="2042">
        <f t="shared" si="50"/>
        <v>2350</v>
      </c>
      <c r="H178" s="2043" t="e">
        <f t="shared" si="47"/>
        <v>#REF!</v>
      </c>
      <c r="I178" s="2042">
        <f t="shared" si="51"/>
        <v>1300</v>
      </c>
      <c r="J178" s="2042" t="str">
        <f t="shared" si="51"/>
        <v>-</v>
      </c>
      <c r="K178" s="2042">
        <f t="shared" si="51"/>
        <v>2300</v>
      </c>
      <c r="L178" s="2042">
        <f t="shared" si="51"/>
        <v>2750</v>
      </c>
      <c r="M178" s="2042">
        <f t="shared" si="51"/>
        <v>2950</v>
      </c>
      <c r="N178" s="2042">
        <f t="shared" si="51"/>
        <v>3900</v>
      </c>
      <c r="O178" s="2042" t="str">
        <f t="shared" si="51"/>
        <v xml:space="preserve"> -</v>
      </c>
      <c r="P178" s="2042">
        <f t="shared" si="51"/>
        <v>9800</v>
      </c>
      <c r="Q178" s="2042"/>
      <c r="R178" s="2042" t="str">
        <f t="shared" si="52"/>
        <v xml:space="preserve"> -</v>
      </c>
      <c r="S178" s="2042">
        <f t="shared" si="52"/>
        <v>7650</v>
      </c>
      <c r="T178" s="2042">
        <f t="shared" si="52"/>
        <v>7750</v>
      </c>
      <c r="U178" s="2042">
        <f t="shared" si="52"/>
        <v>1400</v>
      </c>
      <c r="V178" s="2042">
        <f t="shared" si="52"/>
        <v>2300</v>
      </c>
      <c r="W178" s="2042">
        <f t="shared" si="52"/>
        <v>1500</v>
      </c>
      <c r="X178" s="2042"/>
      <c r="Y178" s="2029"/>
      <c r="Z178" s="2029"/>
      <c r="AA178" s="2029"/>
      <c r="AB178" s="2029"/>
      <c r="AC178" s="2029"/>
      <c r="AD178" s="2029"/>
      <c r="AE178" s="2029"/>
      <c r="AF178" s="2029"/>
      <c r="AG178" s="2029"/>
      <c r="AH178" s="2029"/>
      <c r="AI178" s="2029"/>
      <c r="AJ178" s="2029"/>
      <c r="AK178" s="2029"/>
    </row>
    <row r="179" spans="1:37" s="1478" customFormat="1" hidden="1" outlineLevel="2">
      <c r="A179" s="1542" t="s">
        <v>19</v>
      </c>
      <c r="B179" s="1543" t="s">
        <v>1817</v>
      </c>
      <c r="C179" s="1543"/>
      <c r="D179" s="1545" t="s">
        <v>1822</v>
      </c>
      <c r="E179" s="2042">
        <f t="shared" si="50"/>
        <v>2350</v>
      </c>
      <c r="F179" s="2042">
        <f t="shared" si="50"/>
        <v>2350</v>
      </c>
      <c r="G179" s="2042">
        <f t="shared" si="50"/>
        <v>2350</v>
      </c>
      <c r="H179" s="2043" t="e">
        <f t="shared" si="47"/>
        <v>#REF!</v>
      </c>
      <c r="I179" s="2042">
        <f t="shared" si="51"/>
        <v>1300</v>
      </c>
      <c r="J179" s="2042" t="str">
        <f t="shared" si="51"/>
        <v>-</v>
      </c>
      <c r="K179" s="2042">
        <f t="shared" si="51"/>
        <v>2300</v>
      </c>
      <c r="L179" s="2042">
        <f t="shared" si="51"/>
        <v>2750</v>
      </c>
      <c r="M179" s="2042">
        <f t="shared" si="51"/>
        <v>2950</v>
      </c>
      <c r="N179" s="2042">
        <f t="shared" si="51"/>
        <v>3900</v>
      </c>
      <c r="O179" s="2042" t="str">
        <f t="shared" si="51"/>
        <v xml:space="preserve"> -</v>
      </c>
      <c r="P179" s="2042">
        <f t="shared" si="51"/>
        <v>9800</v>
      </c>
      <c r="Q179" s="2042"/>
      <c r="R179" s="2042" t="str">
        <f t="shared" si="52"/>
        <v xml:space="preserve"> -</v>
      </c>
      <c r="S179" s="2042">
        <f t="shared" si="52"/>
        <v>7650</v>
      </c>
      <c r="T179" s="2042">
        <f t="shared" si="52"/>
        <v>7750</v>
      </c>
      <c r="U179" s="2042">
        <f t="shared" si="52"/>
        <v>1400</v>
      </c>
      <c r="V179" s="2042">
        <f t="shared" si="52"/>
        <v>2300</v>
      </c>
      <c r="W179" s="2042">
        <f t="shared" si="52"/>
        <v>1500</v>
      </c>
      <c r="X179" s="2042"/>
      <c r="Y179" s="2029"/>
      <c r="Z179" s="2029"/>
      <c r="AA179" s="2029"/>
      <c r="AB179" s="2029"/>
      <c r="AC179" s="2029"/>
      <c r="AD179" s="2029"/>
      <c r="AE179" s="2029"/>
      <c r="AF179" s="2029"/>
      <c r="AG179" s="2029"/>
      <c r="AH179" s="2029"/>
      <c r="AI179" s="2029"/>
      <c r="AJ179" s="2029"/>
      <c r="AK179" s="2029"/>
    </row>
    <row r="180" spans="1:37" s="1478" customFormat="1" hidden="1" outlineLevel="2">
      <c r="A180" s="1542" t="s">
        <v>19</v>
      </c>
      <c r="B180" s="1543" t="s">
        <v>1817</v>
      </c>
      <c r="C180" s="1543"/>
      <c r="D180" s="1545" t="s">
        <v>1823</v>
      </c>
      <c r="E180" s="2042">
        <f>E175</f>
        <v>2350</v>
      </c>
      <c r="F180" s="2042">
        <f>F167</f>
        <v>2350</v>
      </c>
      <c r="G180" s="2042">
        <f>G167</f>
        <v>2350</v>
      </c>
      <c r="H180" s="2043" t="e">
        <f t="shared" si="47"/>
        <v>#REF!</v>
      </c>
      <c r="I180" s="2042">
        <f t="shared" si="51"/>
        <v>1300</v>
      </c>
      <c r="J180" s="2042" t="str">
        <f t="shared" si="51"/>
        <v>-</v>
      </c>
      <c r="K180" s="2042">
        <f t="shared" si="51"/>
        <v>2300</v>
      </c>
      <c r="L180" s="2042">
        <f t="shared" si="51"/>
        <v>2750</v>
      </c>
      <c r="M180" s="2042">
        <f t="shared" si="51"/>
        <v>2950</v>
      </c>
      <c r="N180" s="2042">
        <f t="shared" si="51"/>
        <v>3900</v>
      </c>
      <c r="O180" s="2042" t="str">
        <f t="shared" si="51"/>
        <v xml:space="preserve"> -</v>
      </c>
      <c r="P180" s="2042">
        <f t="shared" si="51"/>
        <v>9800</v>
      </c>
      <c r="Q180" s="2042"/>
      <c r="R180" s="2042" t="str">
        <f t="shared" si="52"/>
        <v xml:space="preserve"> -</v>
      </c>
      <c r="S180" s="2042">
        <f t="shared" si="52"/>
        <v>7650</v>
      </c>
      <c r="T180" s="2042">
        <f t="shared" si="52"/>
        <v>7750</v>
      </c>
      <c r="U180" s="2042">
        <f t="shared" si="52"/>
        <v>1400</v>
      </c>
      <c r="V180" s="2042">
        <f t="shared" si="52"/>
        <v>2300</v>
      </c>
      <c r="W180" s="2042">
        <f t="shared" si="52"/>
        <v>1500</v>
      </c>
      <c r="X180" s="2042"/>
      <c r="Y180" s="2029"/>
      <c r="Z180" s="2029"/>
      <c r="AA180" s="2029"/>
      <c r="AB180" s="2029"/>
      <c r="AC180" s="2029"/>
      <c r="AD180" s="2029"/>
      <c r="AE180" s="2029"/>
      <c r="AF180" s="2029"/>
      <c r="AG180" s="2029"/>
      <c r="AH180" s="2029"/>
      <c r="AI180" s="2029"/>
      <c r="AJ180" s="2029"/>
      <c r="AK180" s="2029"/>
    </row>
    <row r="181" spans="1:37" s="1478" customFormat="1" hidden="1" outlineLevel="2">
      <c r="A181" s="1542" t="s">
        <v>19</v>
      </c>
      <c r="B181" s="1543" t="s">
        <v>1817</v>
      </c>
      <c r="C181" s="1543"/>
      <c r="D181" s="1545" t="s">
        <v>1824</v>
      </c>
      <c r="E181" s="2042">
        <f t="shared" ref="E181:G182" si="53">E176</f>
        <v>2350</v>
      </c>
      <c r="F181" s="2042">
        <f t="shared" si="53"/>
        <v>2350</v>
      </c>
      <c r="G181" s="2042">
        <f t="shared" si="53"/>
        <v>2350</v>
      </c>
      <c r="H181" s="2043" t="e">
        <f t="shared" si="47"/>
        <v>#REF!</v>
      </c>
      <c r="I181" s="2042">
        <f t="shared" si="51"/>
        <v>1300</v>
      </c>
      <c r="J181" s="2042" t="str">
        <f t="shared" si="51"/>
        <v>-</v>
      </c>
      <c r="K181" s="2042">
        <f t="shared" si="51"/>
        <v>2300</v>
      </c>
      <c r="L181" s="2042">
        <f t="shared" si="51"/>
        <v>2750</v>
      </c>
      <c r="M181" s="2042">
        <f t="shared" si="51"/>
        <v>2950</v>
      </c>
      <c r="N181" s="2042">
        <f t="shared" si="51"/>
        <v>3900</v>
      </c>
      <c r="O181" s="2042" t="str">
        <f t="shared" si="51"/>
        <v xml:space="preserve"> -</v>
      </c>
      <c r="P181" s="2042">
        <f t="shared" si="51"/>
        <v>9800</v>
      </c>
      <c r="Q181" s="2042"/>
      <c r="R181" s="2042" t="str">
        <f t="shared" ref="R181:W182" si="54">R168</f>
        <v xml:space="preserve"> -</v>
      </c>
      <c r="S181" s="2042">
        <f t="shared" si="54"/>
        <v>7650</v>
      </c>
      <c r="T181" s="2042">
        <f t="shared" si="54"/>
        <v>7750</v>
      </c>
      <c r="U181" s="2042">
        <f t="shared" si="54"/>
        <v>1400</v>
      </c>
      <c r="V181" s="2042">
        <f t="shared" si="54"/>
        <v>2300</v>
      </c>
      <c r="W181" s="2042">
        <f t="shared" si="54"/>
        <v>1500</v>
      </c>
      <c r="X181" s="2042"/>
      <c r="Y181" s="2029"/>
      <c r="Z181" s="2029"/>
      <c r="AA181" s="2029"/>
      <c r="AB181" s="2029"/>
      <c r="AC181" s="2029"/>
      <c r="AD181" s="2029"/>
      <c r="AE181" s="2029"/>
      <c r="AF181" s="2029"/>
      <c r="AG181" s="2029"/>
      <c r="AH181" s="2029"/>
      <c r="AI181" s="2029"/>
      <c r="AJ181" s="2029"/>
      <c r="AK181" s="2029"/>
    </row>
    <row r="182" spans="1:37" s="1478" customFormat="1" hidden="1" outlineLevel="2">
      <c r="A182" s="1542" t="s">
        <v>19</v>
      </c>
      <c r="B182" s="1543" t="s">
        <v>1817</v>
      </c>
      <c r="C182" s="1543"/>
      <c r="D182" s="1545" t="s">
        <v>1825</v>
      </c>
      <c r="E182" s="2042">
        <f t="shared" si="53"/>
        <v>2350</v>
      </c>
      <c r="F182" s="2042">
        <f t="shared" ref="F182:W186" si="55">F169</f>
        <v>2350</v>
      </c>
      <c r="G182" s="2042">
        <f t="shared" si="55"/>
        <v>2350</v>
      </c>
      <c r="H182" s="2043" t="e">
        <f t="shared" si="47"/>
        <v>#REF!</v>
      </c>
      <c r="I182" s="2042">
        <f t="shared" si="55"/>
        <v>1300</v>
      </c>
      <c r="J182" s="2042" t="str">
        <f t="shared" si="55"/>
        <v>-</v>
      </c>
      <c r="K182" s="2042">
        <f t="shared" si="55"/>
        <v>2300</v>
      </c>
      <c r="L182" s="2042">
        <f t="shared" ref="L182:M186" si="56">L169</f>
        <v>2750</v>
      </c>
      <c r="M182" s="2042">
        <f t="shared" si="56"/>
        <v>2950</v>
      </c>
      <c r="N182" s="2042">
        <f t="shared" si="55"/>
        <v>3900</v>
      </c>
      <c r="O182" s="2042" t="str">
        <f t="shared" si="55"/>
        <v xml:space="preserve"> -</v>
      </c>
      <c r="P182" s="2042">
        <f t="shared" si="55"/>
        <v>9800</v>
      </c>
      <c r="Q182" s="2042"/>
      <c r="R182" s="2042" t="str">
        <f t="shared" si="54"/>
        <v xml:space="preserve"> -</v>
      </c>
      <c r="S182" s="2042">
        <f t="shared" si="54"/>
        <v>7650</v>
      </c>
      <c r="T182" s="2042">
        <f t="shared" si="54"/>
        <v>7750</v>
      </c>
      <c r="U182" s="2042">
        <f t="shared" si="54"/>
        <v>1400</v>
      </c>
      <c r="V182" s="2042">
        <f t="shared" si="54"/>
        <v>2300</v>
      </c>
      <c r="W182" s="2042">
        <f t="shared" si="54"/>
        <v>1500</v>
      </c>
      <c r="X182" s="2042"/>
      <c r="Y182" s="2029"/>
      <c r="Z182" s="2029"/>
      <c r="AA182" s="2029"/>
      <c r="AB182" s="2029"/>
      <c r="AC182" s="2029"/>
      <c r="AD182" s="2029"/>
      <c r="AE182" s="2029"/>
      <c r="AF182" s="2029"/>
      <c r="AG182" s="2029"/>
      <c r="AH182" s="2029"/>
      <c r="AI182" s="2029"/>
      <c r="AJ182" s="2029"/>
      <c r="AK182" s="2029"/>
    </row>
    <row r="183" spans="1:37" s="1478" customFormat="1" hidden="1" outlineLevel="2">
      <c r="A183" s="1542" t="s">
        <v>19</v>
      </c>
      <c r="B183" s="1543" t="s">
        <v>1817</v>
      </c>
      <c r="C183" s="1543"/>
      <c r="D183" s="1545" t="s">
        <v>1826</v>
      </c>
      <c r="E183" s="2042">
        <f>E170</f>
        <v>2350</v>
      </c>
      <c r="F183" s="2042">
        <f t="shared" si="55"/>
        <v>2350</v>
      </c>
      <c r="G183" s="2042">
        <f t="shared" si="55"/>
        <v>2350</v>
      </c>
      <c r="H183" s="2043" t="e">
        <f t="shared" si="47"/>
        <v>#REF!</v>
      </c>
      <c r="I183" s="2042">
        <f t="shared" si="55"/>
        <v>1300</v>
      </c>
      <c r="J183" s="2042" t="str">
        <f t="shared" si="55"/>
        <v>-</v>
      </c>
      <c r="K183" s="2042">
        <f t="shared" si="55"/>
        <v>2300</v>
      </c>
      <c r="L183" s="2042">
        <f t="shared" si="56"/>
        <v>2750</v>
      </c>
      <c r="M183" s="2042">
        <f t="shared" si="56"/>
        <v>2950</v>
      </c>
      <c r="N183" s="2042">
        <f t="shared" si="55"/>
        <v>3900</v>
      </c>
      <c r="O183" s="2042" t="str">
        <f t="shared" si="55"/>
        <v xml:space="preserve"> -</v>
      </c>
      <c r="P183" s="2042">
        <f t="shared" si="55"/>
        <v>9800</v>
      </c>
      <c r="Q183" s="2042"/>
      <c r="R183" s="2042" t="str">
        <f t="shared" si="55"/>
        <v xml:space="preserve"> -</v>
      </c>
      <c r="S183" s="2042">
        <f t="shared" si="55"/>
        <v>7650</v>
      </c>
      <c r="T183" s="2042">
        <f t="shared" si="55"/>
        <v>7750</v>
      </c>
      <c r="U183" s="2042">
        <f t="shared" si="55"/>
        <v>1400</v>
      </c>
      <c r="V183" s="2042">
        <f t="shared" si="55"/>
        <v>2300</v>
      </c>
      <c r="W183" s="2042">
        <f t="shared" si="55"/>
        <v>1500</v>
      </c>
      <c r="X183" s="2042"/>
      <c r="Y183" s="2029"/>
      <c r="Z183" s="2029"/>
      <c r="AA183" s="2029"/>
      <c r="AB183" s="2029"/>
      <c r="AC183" s="2029"/>
      <c r="AD183" s="2029"/>
      <c r="AE183" s="2029"/>
      <c r="AF183" s="2029"/>
      <c r="AG183" s="2029"/>
      <c r="AH183" s="2029"/>
      <c r="AI183" s="2029"/>
      <c r="AJ183" s="2029"/>
      <c r="AK183" s="2029"/>
    </row>
    <row r="184" spans="1:37" s="1478" customFormat="1" hidden="1" outlineLevel="2">
      <c r="A184" s="1542" t="s">
        <v>19</v>
      </c>
      <c r="B184" s="1543" t="s">
        <v>1817</v>
      </c>
      <c r="C184" s="1543"/>
      <c r="D184" s="1545" t="s">
        <v>1827</v>
      </c>
      <c r="E184" s="2042">
        <f>E171</f>
        <v>2350</v>
      </c>
      <c r="F184" s="2042">
        <f t="shared" si="55"/>
        <v>2350</v>
      </c>
      <c r="G184" s="2042">
        <f t="shared" si="55"/>
        <v>2350</v>
      </c>
      <c r="H184" s="2043" t="e">
        <f t="shared" si="47"/>
        <v>#REF!</v>
      </c>
      <c r="I184" s="2042">
        <f t="shared" si="55"/>
        <v>1300</v>
      </c>
      <c r="J184" s="2042" t="str">
        <f t="shared" si="55"/>
        <v>-</v>
      </c>
      <c r="K184" s="2042">
        <f t="shared" si="55"/>
        <v>2300</v>
      </c>
      <c r="L184" s="2042">
        <f t="shared" si="56"/>
        <v>2750</v>
      </c>
      <c r="M184" s="2042">
        <f t="shared" si="56"/>
        <v>2950</v>
      </c>
      <c r="N184" s="2042">
        <f t="shared" si="55"/>
        <v>3900</v>
      </c>
      <c r="O184" s="2042" t="str">
        <f t="shared" si="55"/>
        <v xml:space="preserve"> -</v>
      </c>
      <c r="P184" s="2042">
        <f t="shared" si="55"/>
        <v>9800</v>
      </c>
      <c r="Q184" s="2042"/>
      <c r="R184" s="2042" t="str">
        <f t="shared" si="55"/>
        <v xml:space="preserve"> -</v>
      </c>
      <c r="S184" s="2042">
        <f t="shared" si="55"/>
        <v>7650</v>
      </c>
      <c r="T184" s="2042">
        <f t="shared" si="55"/>
        <v>7750</v>
      </c>
      <c r="U184" s="2042">
        <f t="shared" si="55"/>
        <v>1400</v>
      </c>
      <c r="V184" s="2042">
        <f t="shared" si="55"/>
        <v>2300</v>
      </c>
      <c r="W184" s="2042">
        <f t="shared" si="55"/>
        <v>1500</v>
      </c>
      <c r="X184" s="2042"/>
      <c r="Y184" s="2029"/>
      <c r="Z184" s="2029"/>
      <c r="AA184" s="2029"/>
      <c r="AB184" s="2029"/>
      <c r="AC184" s="2029"/>
      <c r="AD184" s="2029"/>
      <c r="AE184" s="2029"/>
      <c r="AF184" s="2029"/>
      <c r="AG184" s="2029"/>
      <c r="AH184" s="2029"/>
      <c r="AI184" s="2029"/>
      <c r="AJ184" s="2029"/>
      <c r="AK184" s="2029"/>
    </row>
    <row r="185" spans="1:37" s="1520" customFormat="1" hidden="1" outlineLevel="2">
      <c r="A185" s="1542" t="s">
        <v>19</v>
      </c>
      <c r="B185" s="1543" t="s">
        <v>1817</v>
      </c>
      <c r="C185" s="1546"/>
      <c r="D185" s="1545" t="s">
        <v>1828</v>
      </c>
      <c r="E185" s="2042">
        <f>E172</f>
        <v>2350</v>
      </c>
      <c r="F185" s="2042">
        <f t="shared" si="55"/>
        <v>2350</v>
      </c>
      <c r="G185" s="2042">
        <f t="shared" si="55"/>
        <v>2350</v>
      </c>
      <c r="H185" s="2043" t="e">
        <f t="shared" si="47"/>
        <v>#REF!</v>
      </c>
      <c r="I185" s="2042">
        <f t="shared" si="55"/>
        <v>1300</v>
      </c>
      <c r="J185" s="2042" t="str">
        <f t="shared" si="55"/>
        <v>-</v>
      </c>
      <c r="K185" s="2042">
        <f t="shared" si="55"/>
        <v>2300</v>
      </c>
      <c r="L185" s="2042">
        <f t="shared" si="56"/>
        <v>2750</v>
      </c>
      <c r="M185" s="2042">
        <f t="shared" si="56"/>
        <v>2950</v>
      </c>
      <c r="N185" s="2042">
        <f t="shared" si="55"/>
        <v>3900</v>
      </c>
      <c r="O185" s="2042" t="str">
        <f t="shared" si="55"/>
        <v xml:space="preserve"> -</v>
      </c>
      <c r="P185" s="2042">
        <f t="shared" si="55"/>
        <v>9800</v>
      </c>
      <c r="Q185" s="2042"/>
      <c r="R185" s="2042" t="str">
        <f t="shared" si="55"/>
        <v xml:space="preserve"> -</v>
      </c>
      <c r="S185" s="2042">
        <f t="shared" si="55"/>
        <v>7650</v>
      </c>
      <c r="T185" s="2042">
        <f t="shared" si="55"/>
        <v>7750</v>
      </c>
      <c r="U185" s="2042">
        <f t="shared" si="55"/>
        <v>1400</v>
      </c>
      <c r="V185" s="2042">
        <f t="shared" si="55"/>
        <v>2300</v>
      </c>
      <c r="W185" s="2042">
        <f t="shared" si="55"/>
        <v>1500</v>
      </c>
      <c r="X185" s="2042"/>
      <c r="Y185" s="2049"/>
      <c r="Z185" s="2049"/>
      <c r="AA185" s="2049"/>
      <c r="AB185" s="2049"/>
      <c r="AC185" s="2049"/>
      <c r="AD185" s="2049"/>
      <c r="AE185" s="2049"/>
      <c r="AF185" s="2049"/>
      <c r="AG185" s="2049"/>
      <c r="AH185" s="2049"/>
      <c r="AI185" s="2049"/>
      <c r="AJ185" s="2049"/>
      <c r="AK185" s="2049"/>
    </row>
    <row r="186" spans="1:37" s="1478" customFormat="1" hidden="1" outlineLevel="2">
      <c r="A186" s="1542" t="s">
        <v>19</v>
      </c>
      <c r="B186" s="1543" t="s">
        <v>1817</v>
      </c>
      <c r="C186" s="1543"/>
      <c r="D186" s="1545" t="s">
        <v>1829</v>
      </c>
      <c r="E186" s="2042">
        <f>E173</f>
        <v>2350</v>
      </c>
      <c r="F186" s="2042">
        <f t="shared" si="55"/>
        <v>2350</v>
      </c>
      <c r="G186" s="2042">
        <f t="shared" si="55"/>
        <v>2350</v>
      </c>
      <c r="H186" s="2043" t="e">
        <f t="shared" si="47"/>
        <v>#REF!</v>
      </c>
      <c r="I186" s="2042">
        <f t="shared" si="55"/>
        <v>1300</v>
      </c>
      <c r="J186" s="2042" t="str">
        <f t="shared" si="55"/>
        <v>-</v>
      </c>
      <c r="K186" s="2042">
        <f t="shared" si="55"/>
        <v>2300</v>
      </c>
      <c r="L186" s="2042">
        <f t="shared" si="56"/>
        <v>2750</v>
      </c>
      <c r="M186" s="2042">
        <f t="shared" si="56"/>
        <v>2950</v>
      </c>
      <c r="N186" s="2042">
        <f t="shared" si="55"/>
        <v>3900</v>
      </c>
      <c r="O186" s="2042" t="str">
        <f t="shared" si="55"/>
        <v xml:space="preserve"> -</v>
      </c>
      <c r="P186" s="2042">
        <f t="shared" si="55"/>
        <v>9800</v>
      </c>
      <c r="Q186" s="2042"/>
      <c r="R186" s="2042" t="str">
        <f t="shared" si="55"/>
        <v xml:space="preserve"> -</v>
      </c>
      <c r="S186" s="2042">
        <f t="shared" si="55"/>
        <v>7650</v>
      </c>
      <c r="T186" s="2042">
        <f t="shared" si="55"/>
        <v>7750</v>
      </c>
      <c r="U186" s="2042">
        <f t="shared" si="55"/>
        <v>1400</v>
      </c>
      <c r="V186" s="2042">
        <f t="shared" si="55"/>
        <v>2300</v>
      </c>
      <c r="W186" s="2042">
        <f t="shared" si="55"/>
        <v>1500</v>
      </c>
      <c r="X186" s="2042"/>
      <c r="Y186" s="2029"/>
      <c r="Z186" s="2029"/>
      <c r="AA186" s="2029"/>
      <c r="AB186" s="2029"/>
      <c r="AC186" s="2029"/>
      <c r="AD186" s="2029"/>
      <c r="AE186" s="2029"/>
      <c r="AF186" s="2029"/>
      <c r="AG186" s="2029"/>
      <c r="AH186" s="2029"/>
      <c r="AI186" s="2029"/>
      <c r="AJ186" s="2029"/>
      <c r="AK186" s="2029"/>
    </row>
    <row r="187" spans="1:37" hidden="1" outlineLevel="1" collapsed="1"/>
    <row r="188" spans="1:37" s="1478" customFormat="1" collapsed="1">
      <c r="E188" s="2029"/>
      <c r="F188" s="2029"/>
      <c r="G188" s="2057"/>
      <c r="H188" s="2036"/>
      <c r="I188" s="2029"/>
      <c r="J188" s="2029"/>
      <c r="K188" s="2029"/>
      <c r="L188" s="2029"/>
      <c r="M188" s="2029"/>
      <c r="N188" s="2029"/>
      <c r="O188" s="2029"/>
      <c r="P188" s="2029"/>
      <c r="Q188" s="2029"/>
      <c r="R188" s="2029"/>
      <c r="S188" s="2029"/>
      <c r="T188" s="2029"/>
      <c r="U188" s="2029"/>
      <c r="V188" s="2029"/>
      <c r="W188" s="2029"/>
      <c r="X188" s="2029"/>
      <c r="Y188" s="2029"/>
      <c r="Z188" s="2029"/>
      <c r="AA188" s="2029"/>
      <c r="AB188" s="2029"/>
      <c r="AC188" s="2029"/>
      <c r="AD188" s="2029"/>
      <c r="AE188" s="2029"/>
      <c r="AF188" s="2029"/>
      <c r="AG188" s="2029"/>
      <c r="AH188" s="2029"/>
      <c r="AI188" s="2029"/>
      <c r="AJ188" s="2029"/>
      <c r="AK188" s="2029"/>
    </row>
    <row r="189" spans="1:37" s="1478" customFormat="1">
      <c r="E189" s="2029"/>
      <c r="F189" s="2029"/>
      <c r="G189" s="2029"/>
      <c r="H189" s="2036"/>
      <c r="I189" s="2029"/>
      <c r="J189" s="2029"/>
      <c r="K189" s="2029"/>
      <c r="L189" s="2029"/>
      <c r="M189" s="2029"/>
      <c r="N189" s="2029"/>
      <c r="O189" s="2029"/>
      <c r="P189" s="2029"/>
      <c r="Q189" s="2029"/>
      <c r="R189" s="2029"/>
      <c r="S189" s="2029"/>
      <c r="T189" s="2029"/>
      <c r="U189" s="2029"/>
      <c r="V189" s="2029"/>
      <c r="W189" s="2029"/>
      <c r="X189" s="2029"/>
      <c r="Y189" s="2029"/>
      <c r="Z189" s="2029"/>
      <c r="AA189" s="2029"/>
      <c r="AB189" s="2029"/>
      <c r="AC189" s="2029"/>
      <c r="AD189" s="2029"/>
      <c r="AE189" s="2029"/>
      <c r="AF189" s="2029"/>
      <c r="AG189" s="2029"/>
      <c r="AH189" s="2029"/>
      <c r="AI189" s="2029"/>
      <c r="AJ189" s="2029"/>
      <c r="AK189" s="2029"/>
    </row>
  </sheetData>
  <sheetProtection password="E910" sheet="1" objects="1" scenarios="1"/>
  <autoFilter ref="A5:W186"/>
  <pageMargins left="0.7" right="0.7" top="0.75" bottom="0.75" header="0.511811023622047" footer="0.511811023622047"/>
  <pageSetup paperSize="9" orientation="portrait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92D050"/>
  </sheetPr>
  <dimension ref="A1:AR70"/>
  <sheetViews>
    <sheetView view="pageBreakPreview" zoomScale="80" zoomScaleNormal="70" zoomScaleSheetLayoutView="80" zoomScalePageLayoutView="70" workbookViewId="0">
      <pane xSplit="6" ySplit="6" topLeftCell="G13" activePane="bottomRight" state="frozen"/>
      <selection pane="topRight" activeCell="G1" sqref="G1"/>
      <selection pane="bottomLeft" activeCell="A12" sqref="A12"/>
      <selection pane="bottomRight" activeCell="B1" sqref="B1"/>
    </sheetView>
  </sheetViews>
  <sheetFormatPr defaultColWidth="8.85546875" defaultRowHeight="15"/>
  <cols>
    <col min="1" max="1" width="5.7109375" style="589" customWidth="1"/>
    <col min="2" max="5" width="11.7109375" style="589" customWidth="1"/>
    <col min="6" max="6" width="11.7109375" style="2" customWidth="1"/>
    <col min="7" max="7" width="20.7109375" style="589" customWidth="1"/>
    <col min="8" max="8" width="19.85546875" style="589" hidden="1" customWidth="1"/>
    <col min="9" max="9" width="22.42578125" style="589" customWidth="1"/>
    <col min="10" max="10" width="22.7109375" style="589" customWidth="1"/>
    <col min="11" max="14" width="20.7109375" style="589" customWidth="1"/>
    <col min="15" max="17" width="8.85546875" style="589" customWidth="1"/>
    <col min="18" max="16384" width="8.85546875" style="589"/>
  </cols>
  <sheetData>
    <row r="1" spans="1:44" s="2273" customFormat="1" ht="18" customHeight="1">
      <c r="B1" s="2279" t="s">
        <v>490</v>
      </c>
      <c r="C1" s="2279"/>
      <c r="D1" s="2280"/>
      <c r="E1" s="2280"/>
      <c r="F1" s="2281"/>
      <c r="G1" s="2280"/>
      <c r="H1" s="2280"/>
      <c r="I1" s="2280"/>
      <c r="J1" s="2280"/>
      <c r="K1" s="2280"/>
      <c r="L1" s="2280"/>
      <c r="M1" s="2280"/>
      <c r="N1" s="2282"/>
      <c r="O1" s="441"/>
      <c r="P1" s="441"/>
      <c r="Q1" s="441"/>
      <c r="R1" s="441"/>
      <c r="S1" s="441"/>
      <c r="T1" s="441"/>
      <c r="U1" s="441"/>
      <c r="V1" s="441"/>
      <c r="W1" s="441"/>
      <c r="X1" s="441"/>
      <c r="Y1" s="441"/>
      <c r="Z1" s="441"/>
      <c r="AA1" s="441"/>
      <c r="AB1" s="441"/>
      <c r="AC1" s="441"/>
      <c r="AD1" s="441"/>
      <c r="AE1" s="441"/>
      <c r="AF1" s="441"/>
      <c r="AG1" s="441"/>
      <c r="AH1" s="441"/>
      <c r="AI1" s="441"/>
      <c r="AJ1" s="441"/>
      <c r="AK1" s="441"/>
      <c r="AL1" s="441"/>
      <c r="AM1" s="441"/>
      <c r="AN1" s="441"/>
      <c r="AO1" s="441"/>
      <c r="AP1" s="441"/>
      <c r="AQ1" s="441"/>
      <c r="AR1" s="441"/>
    </row>
    <row r="3" spans="1:44" ht="90" customHeight="1">
      <c r="A3" s="7"/>
      <c r="B3" s="4197" t="s">
        <v>308</v>
      </c>
      <c r="C3" s="4198"/>
      <c r="D3" s="4199"/>
      <c r="E3" s="4200"/>
      <c r="F3" s="8"/>
      <c r="G3" s="439"/>
      <c r="H3" s="439"/>
      <c r="I3" s="439"/>
      <c r="J3" s="471"/>
      <c r="K3" s="15"/>
      <c r="L3" s="3243"/>
      <c r="M3" s="439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  <c r="AK3" s="242"/>
      <c r="AL3" s="242"/>
      <c r="AM3" s="242"/>
      <c r="AN3" s="242"/>
      <c r="AO3" s="242"/>
      <c r="AP3" s="242"/>
      <c r="AQ3" s="242"/>
      <c r="AR3" s="242"/>
    </row>
    <row r="4" spans="1:44" ht="18.75">
      <c r="A4" s="2180"/>
      <c r="B4" s="19" t="s">
        <v>59</v>
      </c>
      <c r="C4" s="19"/>
      <c r="D4" s="2180"/>
      <c r="E4" s="2180"/>
      <c r="F4" s="6"/>
      <c r="G4" s="2180"/>
      <c r="H4" s="3133"/>
      <c r="I4" s="2180"/>
      <c r="J4" s="471"/>
      <c r="K4" s="15"/>
      <c r="L4" s="439"/>
      <c r="M4" s="439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2"/>
      <c r="AI4" s="242"/>
      <c r="AJ4" s="242"/>
      <c r="AK4" s="242"/>
      <c r="AL4" s="242"/>
      <c r="AM4" s="242"/>
      <c r="AN4" s="242"/>
      <c r="AO4" s="242"/>
      <c r="AP4" s="242"/>
      <c r="AQ4" s="242"/>
      <c r="AR4" s="242"/>
    </row>
    <row r="5" spans="1:44" ht="33.75" customHeight="1">
      <c r="A5" s="4220" t="s">
        <v>2</v>
      </c>
      <c r="B5" s="4221"/>
      <c r="C5" s="4222"/>
      <c r="D5" s="4201" t="s">
        <v>42</v>
      </c>
      <c r="E5" s="4201" t="s">
        <v>41</v>
      </c>
      <c r="F5" s="4201" t="s">
        <v>54</v>
      </c>
      <c r="G5" s="4292" t="s">
        <v>2860</v>
      </c>
      <c r="H5" s="3220" t="s">
        <v>2860</v>
      </c>
      <c r="I5" s="3224" t="s">
        <v>2866</v>
      </c>
      <c r="J5" s="4395" t="s">
        <v>2862</v>
      </c>
      <c r="K5" s="2413" t="s">
        <v>2861</v>
      </c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</row>
    <row r="6" spans="1:44" ht="24.95" customHeight="1">
      <c r="A6" s="4223"/>
      <c r="B6" s="4224"/>
      <c r="C6" s="4225"/>
      <c r="D6" s="4202"/>
      <c r="E6" s="4202"/>
      <c r="F6" s="4202"/>
      <c r="G6" s="4293"/>
      <c r="H6" s="3240" t="s">
        <v>2504</v>
      </c>
      <c r="I6" s="3240" t="s">
        <v>2939</v>
      </c>
      <c r="J6" s="4396"/>
      <c r="K6" s="3240" t="s">
        <v>2939</v>
      </c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</row>
    <row r="7" spans="1:44" ht="24" customHeight="1">
      <c r="A7" s="4262" t="s">
        <v>1425</v>
      </c>
      <c r="B7" s="4209" t="s">
        <v>2418</v>
      </c>
      <c r="C7" s="4210"/>
      <c r="D7" s="4203" t="s">
        <v>35</v>
      </c>
      <c r="E7" s="4203" t="s">
        <v>34</v>
      </c>
      <c r="F7" s="132" t="s">
        <v>0</v>
      </c>
      <c r="G7" s="1191">
        <f>CEILING('Полотна база'!H52*(1+скидки_наценки!$B$28)*скидки_наценки!$D$10*скидки_наценки!$F$10/скидки_наценки!$B$4, 50)</f>
        <v>14750</v>
      </c>
      <c r="H7" s="1191">
        <f>CEILING(('Полотна база'!H52+Алюм.погонаж!$E$24)*(1+скидки_наценки!$B$28)*скидки_наценки!$D$10*скидки_наценки!$F$10/скидки_наценки!$B$4, 50)</f>
        <v>17600</v>
      </c>
      <c r="I7" s="1191">
        <f>CEILING(('Полотна база'!BB52+Алюм.погонаж!$E$24)*(1+скидки_наценки!$B$28)*скидки_наценки!$D$10*скидки_наценки!$F$10/скидки_наценки!$B$4, 50)</f>
        <v>19400</v>
      </c>
      <c r="J7" s="1191">
        <f>CEILING('Полотна база'!BB52*(1+скидки_наценки!$B$28)*скидки_наценки!$D$10*скидки_наценки!$F$10/скидки_наценки!$B$4, 50)</f>
        <v>16550</v>
      </c>
      <c r="K7" s="1191">
        <f>CEILING(('Полотна база'!I52+Алюм.погонаж!$E$24)*(1+скидки_наценки!$B$28)*скидки_наценки!$D$10*скидки_наценки!$F$10/скидки_наценки!$B$4, 50)</f>
        <v>20900</v>
      </c>
      <c r="L7" s="242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  <c r="Y7" s="242"/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</row>
    <row r="8" spans="1:44" s="2180" customFormat="1" ht="15" customHeight="1">
      <c r="A8" s="4263"/>
      <c r="B8" s="4226" t="s">
        <v>2464</v>
      </c>
      <c r="C8" s="4227"/>
      <c r="D8" s="4204"/>
      <c r="E8" s="4204"/>
      <c r="F8" s="307" t="s">
        <v>306</v>
      </c>
      <c r="G8" s="2331">
        <f>IF(G7=0,0,(Погонаж!$C$11*2.5+Погонаж!$E$11*5))</f>
        <v>8125</v>
      </c>
      <c r="H8" s="2331">
        <f>IF(H7=0,0,(Погонаж!$C$11*2.5+Погонаж!$E$11*5))</f>
        <v>8125</v>
      </c>
      <c r="I8" s="2331">
        <f>IF(I7=0,0,(Погонаж!$C$11*2.5+Погонаж!$E$11*5))</f>
        <v>8125</v>
      </c>
      <c r="J8" s="2331">
        <f>IF(J7=0,0,(Погонаж!$C$11*2.5+Погонаж!$E$11*5))</f>
        <v>8125</v>
      </c>
      <c r="K8" s="2331">
        <f>IF(K7=0,0,(Погонаж!$C$11*2.5+Погонаж!$E$11*5))</f>
        <v>8125</v>
      </c>
      <c r="L8" s="441"/>
      <c r="M8" s="441"/>
      <c r="N8" s="441"/>
      <c r="O8" s="441"/>
      <c r="P8" s="441"/>
      <c r="Q8" s="441"/>
      <c r="R8" s="441"/>
      <c r="S8" s="441"/>
      <c r="T8" s="441"/>
      <c r="U8" s="441"/>
      <c r="V8" s="441"/>
      <c r="W8" s="441"/>
      <c r="X8" s="441"/>
      <c r="Y8" s="441"/>
      <c r="Z8" s="441"/>
      <c r="AA8" s="441"/>
      <c r="AB8" s="441"/>
      <c r="AC8" s="441"/>
      <c r="AD8" s="441"/>
      <c r="AE8" s="441"/>
      <c r="AF8" s="441"/>
      <c r="AG8" s="441"/>
      <c r="AH8" s="441"/>
      <c r="AI8" s="441"/>
      <c r="AJ8" s="441"/>
      <c r="AK8" s="441"/>
      <c r="AL8" s="441"/>
      <c r="AM8" s="441"/>
      <c r="AN8" s="441"/>
      <c r="AO8" s="441"/>
      <c r="AP8" s="441"/>
    </row>
    <row r="9" spans="1:44" s="2180" customFormat="1" ht="24" customHeight="1">
      <c r="A9" s="4263"/>
      <c r="B9" s="4228"/>
      <c r="C9" s="4229"/>
      <c r="D9" s="4205"/>
      <c r="E9" s="4205"/>
      <c r="F9" s="30" t="s">
        <v>1</v>
      </c>
      <c r="G9" s="379">
        <f>G7+G8</f>
        <v>22875</v>
      </c>
      <c r="H9" s="379">
        <f>H7+H8</f>
        <v>25725</v>
      </c>
      <c r="I9" s="379">
        <f>I7+I8</f>
        <v>27525</v>
      </c>
      <c r="J9" s="379">
        <f>J7+J8</f>
        <v>24675</v>
      </c>
      <c r="K9" s="379">
        <f>K7+K8</f>
        <v>29025</v>
      </c>
      <c r="L9" s="599"/>
      <c r="M9" s="441"/>
      <c r="N9" s="441"/>
      <c r="O9" s="441"/>
      <c r="P9" s="441"/>
      <c r="Q9" s="441"/>
      <c r="R9" s="441"/>
      <c r="S9" s="441"/>
      <c r="T9" s="441"/>
      <c r="U9" s="441"/>
      <c r="V9" s="441"/>
      <c r="W9" s="441"/>
      <c r="X9" s="441"/>
      <c r="Y9" s="441"/>
      <c r="Z9" s="441"/>
      <c r="AA9" s="441"/>
      <c r="AB9" s="441"/>
      <c r="AC9" s="441"/>
      <c r="AD9" s="441"/>
      <c r="AE9" s="441"/>
      <c r="AF9" s="441"/>
      <c r="AG9" s="441"/>
      <c r="AH9" s="441"/>
      <c r="AI9" s="441"/>
      <c r="AJ9" s="441"/>
      <c r="AK9" s="441"/>
      <c r="AL9" s="441"/>
      <c r="AM9" s="441"/>
      <c r="AN9" s="441"/>
      <c r="AO9" s="441"/>
      <c r="AP9" s="441"/>
    </row>
    <row r="10" spans="1:44" ht="24" customHeight="1">
      <c r="A10" s="4263"/>
      <c r="B10" s="4211" t="s">
        <v>2419</v>
      </c>
      <c r="C10" s="4212"/>
      <c r="D10" s="4213" t="s">
        <v>35</v>
      </c>
      <c r="E10" s="4213" t="s">
        <v>34</v>
      </c>
      <c r="F10" s="182" t="s">
        <v>0</v>
      </c>
      <c r="G10" s="691">
        <f>CEILING('Полотна база'!H53*(1+скидки_наценки!$B$28)*скидки_наценки!$D$10*скидки_наценки!$F$10/скидки_наценки!$B$4, 50)</f>
        <v>17250</v>
      </c>
      <c r="H10" s="691">
        <f>CEILING(('Полотна база'!H53+Алюм.погонаж!$E$24)*(1+скидки_наценки!$B$28)*скидки_наценки!$D$10*скидки_наценки!$F$10/скидки_наценки!$B$4, 50)</f>
        <v>20100</v>
      </c>
      <c r="I10" s="691">
        <f>CEILING(('Полотна база'!BB53+Алюм.погонаж!$E$24)*(1+скидки_наценки!$B$28)*скидки_наценки!$D$10*скидки_наценки!$F$10/скидки_наценки!$B$4, 50)</f>
        <v>21900</v>
      </c>
      <c r="J10" s="691">
        <f>CEILING('Полотна база'!BB53*(1+скидки_наценки!$B$28)*скидки_наценки!$D$10*скидки_наценки!$F$10/скидки_наценки!$B$4, 50)</f>
        <v>19050</v>
      </c>
      <c r="K10" s="691">
        <f>CEILING(('Полотна база'!I53+Алюм.погонаж!$E$24)*(1+скидки_наценки!$B$28)*скидки_наценки!$D$10*скидки_наценки!$F$10/скидки_наценки!$B$4, 50)</f>
        <v>23400</v>
      </c>
      <c r="L10" s="242"/>
      <c r="M10" s="242"/>
      <c r="N10" s="242"/>
      <c r="O10" s="242"/>
      <c r="P10" s="242"/>
      <c r="Q10" s="242"/>
      <c r="R10" s="242"/>
      <c r="S10" s="242"/>
      <c r="T10" s="242"/>
      <c r="U10" s="242"/>
      <c r="V10" s="242"/>
      <c r="W10" s="242"/>
      <c r="X10" s="242"/>
      <c r="Y10" s="242"/>
      <c r="Z10" s="242"/>
      <c r="AA10" s="242"/>
      <c r="AB10" s="242"/>
      <c r="AC10" s="242"/>
      <c r="AD10" s="242"/>
      <c r="AE10" s="242"/>
      <c r="AF10" s="242"/>
      <c r="AG10" s="242"/>
      <c r="AH10" s="242"/>
      <c r="AI10" s="242"/>
      <c r="AJ10" s="242"/>
      <c r="AK10" s="242"/>
      <c r="AL10" s="242"/>
      <c r="AM10" s="242"/>
      <c r="AN10" s="242"/>
      <c r="AO10" s="242"/>
      <c r="AP10" s="242"/>
    </row>
    <row r="11" spans="1:44" s="2335" customFormat="1" ht="15" customHeight="1">
      <c r="A11" s="4263"/>
      <c r="B11" s="4216" t="s">
        <v>2481</v>
      </c>
      <c r="C11" s="4217"/>
      <c r="D11" s="4214"/>
      <c r="E11" s="4214"/>
      <c r="F11" s="183" t="s">
        <v>306</v>
      </c>
      <c r="G11" s="373">
        <f>IF(G10=0,0,(Погонаж!$C$12*2.5+Погонаж!$E$12*5))</f>
        <v>9875</v>
      </c>
      <c r="H11" s="3127">
        <f>IF(H10=0,0,(Погонаж!$C$12*2.5+Погонаж!$E$12*5))</f>
        <v>9875</v>
      </c>
      <c r="I11" s="3127">
        <f>IF(I10=0,0,(Погонаж!$C$12*2.5+Погонаж!$E$12*5))</f>
        <v>9875</v>
      </c>
      <c r="J11" s="3127">
        <f>IF(J10=0,0,(Погонаж!$C$12*2.5+Погонаж!$E$12*5))</f>
        <v>9875</v>
      </c>
      <c r="K11" s="373">
        <f>IF(K10=0,0,(Погонаж!$C$12*2.5+Погонаж!$E$12*5))</f>
        <v>9875</v>
      </c>
      <c r="L11" s="441"/>
      <c r="M11" s="441"/>
      <c r="N11" s="441"/>
      <c r="O11" s="441"/>
      <c r="P11" s="441"/>
      <c r="Q11" s="441"/>
      <c r="R11" s="441"/>
      <c r="S11" s="441"/>
      <c r="T11" s="441"/>
      <c r="U11" s="441"/>
      <c r="V11" s="441"/>
      <c r="W11" s="441"/>
      <c r="X11" s="441"/>
      <c r="Y11" s="441"/>
      <c r="Z11" s="441"/>
      <c r="AA11" s="441"/>
      <c r="AB11" s="441"/>
      <c r="AC11" s="441"/>
      <c r="AD11" s="441"/>
      <c r="AE11" s="441"/>
      <c r="AF11" s="441"/>
      <c r="AG11" s="441"/>
      <c r="AH11" s="441"/>
      <c r="AI11" s="441"/>
      <c r="AJ11" s="441"/>
      <c r="AK11" s="441"/>
      <c r="AL11" s="441"/>
      <c r="AM11" s="441"/>
      <c r="AN11" s="441"/>
      <c r="AO11" s="441"/>
      <c r="AP11" s="441"/>
    </row>
    <row r="12" spans="1:44" s="2335" customFormat="1" ht="24" customHeight="1">
      <c r="A12" s="4264"/>
      <c r="B12" s="4218"/>
      <c r="C12" s="4219"/>
      <c r="D12" s="4215"/>
      <c r="E12" s="4215"/>
      <c r="F12" s="267" t="s">
        <v>1</v>
      </c>
      <c r="G12" s="598">
        <f>G10+G11</f>
        <v>27125</v>
      </c>
      <c r="H12" s="598">
        <f>H10+H11</f>
        <v>29975</v>
      </c>
      <c r="I12" s="598">
        <f>I10+I11</f>
        <v>31775</v>
      </c>
      <c r="J12" s="598">
        <f>J10+J11</f>
        <v>28925</v>
      </c>
      <c r="K12" s="598">
        <f>K10+K11</f>
        <v>33275</v>
      </c>
      <c r="L12" s="599"/>
      <c r="M12" s="441"/>
      <c r="N12" s="441"/>
      <c r="O12" s="441"/>
      <c r="P12" s="441"/>
      <c r="Q12" s="441"/>
      <c r="R12" s="441"/>
      <c r="S12" s="441"/>
      <c r="T12" s="441"/>
      <c r="U12" s="441"/>
      <c r="V12" s="441"/>
      <c r="W12" s="441"/>
      <c r="X12" s="441"/>
      <c r="Y12" s="441"/>
      <c r="Z12" s="441"/>
      <c r="AA12" s="441"/>
      <c r="AB12" s="441"/>
      <c r="AC12" s="441"/>
      <c r="AD12" s="441"/>
      <c r="AE12" s="441"/>
      <c r="AF12" s="441"/>
      <c r="AG12" s="441"/>
      <c r="AH12" s="441"/>
      <c r="AI12" s="441"/>
      <c r="AJ12" s="441"/>
      <c r="AK12" s="441"/>
      <c r="AL12" s="441"/>
      <c r="AM12" s="441"/>
      <c r="AN12" s="441"/>
      <c r="AO12" s="441"/>
      <c r="AP12" s="441"/>
    </row>
    <row r="13" spans="1:44" s="2180" customFormat="1" ht="24" customHeight="1">
      <c r="A13" s="4230" t="s">
        <v>30</v>
      </c>
      <c r="B13" s="4209" t="s">
        <v>284</v>
      </c>
      <c r="C13" s="4210"/>
      <c r="D13" s="4233" t="s">
        <v>35</v>
      </c>
      <c r="E13" s="4233" t="s">
        <v>34</v>
      </c>
      <c r="F13" s="132" t="s">
        <v>0</v>
      </c>
      <c r="G13" s="1191">
        <f>CEILING('Полотна база'!H54*(1+скидки_наценки!$B$30)*скидки_наценки!$D$13*скидки_наценки!$F$13/скидки_наценки!$B$4, 50)</f>
        <v>22100</v>
      </c>
      <c r="H13" s="1191">
        <f>CEILING(('Полотна база'!H54+Алюм.погонаж!$E$24)*(1+скидки_наценки!$B$28)*скидки_наценки!$D$10*скидки_наценки!$F$10/скидки_наценки!$B$4, 50)</f>
        <v>24950</v>
      </c>
      <c r="I13" s="1191">
        <f>CEILING(('Полотна база'!BB54+Алюм.погонаж!$E$24)*(1+скидки_наценки!$B$28)*скидки_наценки!$D$10*скидки_наценки!$F$10/скидки_наценки!$B$4, 50)</f>
        <v>26750</v>
      </c>
      <c r="J13" s="1191">
        <f>CEILING('Полотна база'!BB54*(1+скидки_наценки!$B$28)*скидки_наценки!$D$10*скидки_наценки!$F$10/скидки_наценки!$B$4, 50)</f>
        <v>23900</v>
      </c>
      <c r="K13" s="1191">
        <f>CEILING(('Полотна база'!I54+Алюм.погонаж!$E$24)*(1+скидки_наценки!$B$30)*скидки_наценки!$D$13*скидки_наценки!$F$13/скидки_наценки!$B$4, 50)</f>
        <v>27550</v>
      </c>
      <c r="L13" s="2775"/>
      <c r="M13" s="441"/>
      <c r="N13" s="441"/>
      <c r="O13" s="441"/>
      <c r="P13" s="441"/>
      <c r="Q13" s="441"/>
      <c r="R13" s="441"/>
      <c r="S13" s="441"/>
      <c r="T13" s="441"/>
      <c r="U13" s="441"/>
      <c r="V13" s="441"/>
      <c r="W13" s="441"/>
      <c r="X13" s="441"/>
      <c r="Y13" s="441"/>
      <c r="Z13" s="441"/>
      <c r="AA13" s="441"/>
      <c r="AB13" s="441"/>
      <c r="AC13" s="441"/>
      <c r="AD13" s="441"/>
      <c r="AE13" s="441"/>
      <c r="AF13" s="441"/>
      <c r="AG13" s="441"/>
      <c r="AH13" s="441"/>
      <c r="AI13" s="441"/>
      <c r="AJ13" s="441"/>
      <c r="AK13" s="441"/>
      <c r="AL13" s="441"/>
      <c r="AM13" s="441"/>
      <c r="AN13" s="441"/>
      <c r="AO13" s="441"/>
      <c r="AP13" s="441"/>
    </row>
    <row r="14" spans="1:44" s="2180" customFormat="1" ht="15" customHeight="1">
      <c r="A14" s="4231"/>
      <c r="B14" s="4226"/>
      <c r="C14" s="4227"/>
      <c r="D14" s="4233"/>
      <c r="E14" s="4233"/>
      <c r="F14" s="307" t="s">
        <v>306</v>
      </c>
      <c r="G14" s="2331">
        <f>IF(G13=0,0,(Погонаж!$C$13*2.5+Погонаж!$E$13*5))</f>
        <v>12375</v>
      </c>
      <c r="H14" s="2331">
        <f>IF(H13=0,0,(Погонаж!$C$13*2.5+Погонаж!$E$13*5))</f>
        <v>12375</v>
      </c>
      <c r="I14" s="2331">
        <f>IF(I13=0,0,(Погонаж!$C$13*2.5+Погонаж!$E$13*5))</f>
        <v>12375</v>
      </c>
      <c r="J14" s="2331">
        <f>IF(J13=0,0,(Погонаж!$C$13*2.5+Погонаж!$E$13*5))</f>
        <v>12375</v>
      </c>
      <c r="K14" s="2331">
        <f>IF(K13=0,0,(Погонаж!$C$13*2.5+Погонаж!$E$13*5))</f>
        <v>12375</v>
      </c>
      <c r="L14" s="441"/>
      <c r="M14" s="441"/>
      <c r="N14" s="441"/>
      <c r="O14" s="441"/>
      <c r="P14" s="441"/>
      <c r="Q14" s="441"/>
      <c r="R14" s="441"/>
      <c r="S14" s="441"/>
      <c r="T14" s="441"/>
      <c r="U14" s="441"/>
      <c r="V14" s="441"/>
      <c r="W14" s="441"/>
      <c r="X14" s="441"/>
      <c r="Y14" s="441"/>
      <c r="Z14" s="441"/>
      <c r="AA14" s="441"/>
      <c r="AB14" s="441"/>
      <c r="AC14" s="441"/>
      <c r="AD14" s="441"/>
      <c r="AE14" s="441"/>
      <c r="AF14" s="441"/>
      <c r="AG14" s="441"/>
      <c r="AH14" s="441"/>
      <c r="AI14" s="441"/>
      <c r="AJ14" s="441"/>
      <c r="AK14" s="441"/>
      <c r="AL14" s="441"/>
      <c r="AM14" s="441"/>
      <c r="AN14" s="441"/>
      <c r="AO14" s="441"/>
      <c r="AP14" s="441"/>
    </row>
    <row r="15" spans="1:44" s="2180" customFormat="1" ht="24" customHeight="1">
      <c r="A15" s="4232"/>
      <c r="B15" s="4228"/>
      <c r="C15" s="4229"/>
      <c r="D15" s="4233"/>
      <c r="E15" s="4233"/>
      <c r="F15" s="30" t="s">
        <v>1</v>
      </c>
      <c r="G15" s="379">
        <f>G13+G14</f>
        <v>34475</v>
      </c>
      <c r="H15" s="379">
        <f>H13+H14</f>
        <v>37325</v>
      </c>
      <c r="I15" s="379">
        <f>I13+I14</f>
        <v>39125</v>
      </c>
      <c r="J15" s="379">
        <f>J13+J14</f>
        <v>36275</v>
      </c>
      <c r="K15" s="379">
        <f>K13+K14</f>
        <v>39925</v>
      </c>
      <c r="L15" s="636"/>
      <c r="M15" s="441"/>
      <c r="N15" s="441"/>
      <c r="O15" s="441"/>
      <c r="P15" s="441"/>
      <c r="Q15" s="441"/>
      <c r="R15" s="441"/>
      <c r="S15" s="441"/>
      <c r="T15" s="441"/>
      <c r="U15" s="441"/>
      <c r="V15" s="441"/>
      <c r="W15" s="441"/>
      <c r="X15" s="441"/>
      <c r="Y15" s="441"/>
      <c r="Z15" s="441"/>
      <c r="AA15" s="441"/>
      <c r="AB15" s="441"/>
      <c r="AC15" s="441"/>
      <c r="AD15" s="441"/>
      <c r="AE15" s="441"/>
      <c r="AF15" s="441"/>
      <c r="AG15" s="441"/>
      <c r="AH15" s="441"/>
      <c r="AI15" s="441"/>
      <c r="AJ15" s="441"/>
      <c r="AK15" s="441"/>
      <c r="AL15" s="441"/>
      <c r="AM15" s="441"/>
      <c r="AN15" s="441"/>
      <c r="AO15" s="441"/>
      <c r="AP15" s="441"/>
    </row>
    <row r="16" spans="1:44" s="9" customFormat="1" ht="24" customHeight="1">
      <c r="A16" s="4260" t="s">
        <v>26</v>
      </c>
      <c r="B16" s="4211" t="s">
        <v>2587</v>
      </c>
      <c r="C16" s="4212"/>
      <c r="D16" s="4206" t="s">
        <v>35</v>
      </c>
      <c r="E16" s="4206" t="s">
        <v>34</v>
      </c>
      <c r="F16" s="50" t="s">
        <v>0</v>
      </c>
      <c r="G16" s="691">
        <f>CEILING('Полотна база'!H55*(1+скидки_наценки!$B$29)*скидки_наценки!$D$13*скидки_наценки!$F$13/скидки_наценки!$B$4, 50)</f>
        <v>23200</v>
      </c>
      <c r="H16" s="691">
        <f>CEILING(('Полотна база'!H55+Алюм.погонаж!$E$24)*(1+скидки_наценки!$B$28)*скидки_наценки!$D$10*скидки_наценки!$F$10/скидки_наценки!$B$4, 50)</f>
        <v>26050</v>
      </c>
      <c r="I16" s="691">
        <f>CEILING(('Полотна база'!BB55+Алюм.погонаж!$E$24)*(1+скидки_наценки!$B$28)*скидки_наценки!$D$10*скидки_наценки!$F$10/скидки_наценки!$B$4, 50)</f>
        <v>27850</v>
      </c>
      <c r="J16" s="691">
        <f>CEILING('Полотна база'!BB55*(1+скидки_наценки!$B$28)*скидки_наценки!$D$10*скидки_наценки!$F$10/скидки_наценки!$B$4, 50)</f>
        <v>25000</v>
      </c>
      <c r="K16" s="691">
        <f>CEILING(('Полотна база'!I55+Алюм.погонаж!$E$24)*(1+скидки_наценки!$B$29)*скидки_наценки!$D$13*скидки_наценки!$F$13/скидки_наценки!$B$4, 50)</f>
        <v>29350</v>
      </c>
      <c r="L16" s="599"/>
      <c r="M16" s="441"/>
      <c r="N16" s="441"/>
      <c r="O16" s="441"/>
      <c r="P16" s="441"/>
      <c r="Q16" s="3225"/>
      <c r="R16" s="3225"/>
      <c r="S16" s="441"/>
      <c r="T16" s="441"/>
      <c r="U16" s="441"/>
      <c r="V16" s="441"/>
      <c r="W16" s="441"/>
      <c r="X16" s="441"/>
      <c r="Y16" s="441"/>
      <c r="Z16" s="441"/>
      <c r="AA16" s="441"/>
      <c r="AB16" s="441"/>
      <c r="AC16" s="441"/>
      <c r="AD16" s="441"/>
      <c r="AE16" s="441"/>
      <c r="AF16" s="441"/>
      <c r="AG16" s="441"/>
      <c r="AH16" s="441"/>
      <c r="AI16" s="441"/>
      <c r="AJ16" s="441"/>
      <c r="AK16" s="441"/>
      <c r="AL16" s="441"/>
      <c r="AM16" s="441"/>
      <c r="AN16" s="441"/>
      <c r="AO16" s="441"/>
      <c r="AP16" s="441"/>
    </row>
    <row r="17" spans="1:44" s="9" customFormat="1" ht="15" customHeight="1">
      <c r="A17" s="4260"/>
      <c r="B17" s="4216"/>
      <c r="C17" s="4217"/>
      <c r="D17" s="4207"/>
      <c r="E17" s="4207"/>
      <c r="F17" s="303" t="s">
        <v>306</v>
      </c>
      <c r="G17" s="373">
        <f>IF(G16=0,0,(Погонаж!$C$14*2.5+Погонаж!$E$14*5))</f>
        <v>13250</v>
      </c>
      <c r="H17" s="3127">
        <f>IF(H16=0,0,(Погонаж!$C$14*2.5+Погонаж!$E$14*5))</f>
        <v>13250</v>
      </c>
      <c r="I17" s="3127">
        <f>IF(I16=0,0,(Погонаж!$C$14*2.5+Погонаж!$E$14*5))</f>
        <v>13250</v>
      </c>
      <c r="J17" s="3127">
        <f>IF(J16=0,0,(Погонаж!$C$14*2.5+Погонаж!$E$14*5))</f>
        <v>13250</v>
      </c>
      <c r="K17" s="373">
        <f>IF(K16=0,0,(Погонаж!$C$14*2.5+Погонаж!$E$14*5))</f>
        <v>13250</v>
      </c>
      <c r="L17" s="599"/>
      <c r="M17" s="441"/>
      <c r="N17" s="441"/>
      <c r="O17" s="441"/>
      <c r="P17" s="441"/>
      <c r="Q17" s="441"/>
      <c r="R17" s="441"/>
      <c r="S17" s="441"/>
      <c r="T17" s="441"/>
      <c r="U17" s="441"/>
      <c r="V17" s="441"/>
      <c r="W17" s="441"/>
      <c r="X17" s="441"/>
      <c r="Y17" s="441"/>
      <c r="Z17" s="441"/>
      <c r="AA17" s="441"/>
      <c r="AB17" s="441"/>
      <c r="AC17" s="441"/>
      <c r="AD17" s="441"/>
      <c r="AE17" s="441"/>
      <c r="AF17" s="441"/>
      <c r="AG17" s="441"/>
      <c r="AH17" s="441"/>
      <c r="AI17" s="441"/>
      <c r="AJ17" s="441"/>
      <c r="AK17" s="441"/>
      <c r="AL17" s="441"/>
      <c r="AM17" s="441"/>
      <c r="AN17" s="441"/>
      <c r="AO17" s="441"/>
      <c r="AP17" s="441"/>
    </row>
    <row r="18" spans="1:44" s="9" customFormat="1" ht="24" customHeight="1">
      <c r="A18" s="4260"/>
      <c r="B18" s="4218"/>
      <c r="C18" s="4219"/>
      <c r="D18" s="4208"/>
      <c r="E18" s="4208"/>
      <c r="F18" s="13" t="s">
        <v>1</v>
      </c>
      <c r="G18" s="598">
        <f>G16+G17</f>
        <v>36450</v>
      </c>
      <c r="H18" s="598">
        <f>H16+H17</f>
        <v>39300</v>
      </c>
      <c r="I18" s="598">
        <f>I16+I17</f>
        <v>41100</v>
      </c>
      <c r="J18" s="598">
        <f>J16+J17</f>
        <v>38250</v>
      </c>
      <c r="K18" s="598">
        <f>K16+K17</f>
        <v>42600</v>
      </c>
      <c r="L18" s="599"/>
      <c r="M18" s="441"/>
      <c r="N18" s="441"/>
      <c r="O18" s="441"/>
      <c r="P18" s="441"/>
      <c r="Q18" s="441"/>
      <c r="R18" s="441"/>
      <c r="S18" s="441"/>
      <c r="T18" s="441"/>
      <c r="U18" s="441"/>
      <c r="V18" s="441"/>
      <c r="W18" s="441"/>
      <c r="X18" s="441"/>
      <c r="Y18" s="441"/>
      <c r="Z18" s="441"/>
      <c r="AA18" s="441"/>
      <c r="AB18" s="441"/>
      <c r="AC18" s="441"/>
      <c r="AD18" s="441"/>
      <c r="AE18" s="441"/>
      <c r="AF18" s="441"/>
      <c r="AG18" s="441"/>
      <c r="AH18" s="441"/>
      <c r="AI18" s="441"/>
      <c r="AJ18" s="441"/>
      <c r="AK18" s="441"/>
      <c r="AL18" s="441"/>
      <c r="AM18" s="441"/>
      <c r="AN18" s="441"/>
      <c r="AO18" s="441"/>
      <c r="AP18" s="441"/>
    </row>
    <row r="19" spans="1:44" s="9" customFormat="1" ht="24" customHeight="1">
      <c r="A19" s="4260"/>
      <c r="B19" s="4209" t="s">
        <v>2580</v>
      </c>
      <c r="C19" s="4210"/>
      <c r="D19" s="4203" t="s">
        <v>35</v>
      </c>
      <c r="E19" s="4203" t="s">
        <v>34</v>
      </c>
      <c r="F19" s="132" t="s">
        <v>0</v>
      </c>
      <c r="G19" s="1191">
        <f>CEILING('Полотна база'!H56*(1+скидки_наценки!$B$29)*скидки_наценки!$D$13*скидки_наценки!$F$13/скидки_наценки!$B$4, 50)</f>
        <v>24850</v>
      </c>
      <c r="H19" s="1191">
        <f>CEILING(('Полотна база'!H56+Алюм.погонаж!$E$24)*(1+скидки_наценки!$B$28)*скидки_наценки!$D$10*скидки_наценки!$F$10/скидки_наценки!$B$4, 50)</f>
        <v>27700</v>
      </c>
      <c r="I19" s="1191">
        <f>CEILING(('Полотна база'!H57+Алюм.погонаж!$E$24)*(1+скидки_наценки!$B$28)*скидки_наценки!$D$10*скидки_наценки!$F$10/скидки_наценки!$B$4, 50)</f>
        <v>28750</v>
      </c>
      <c r="J19" s="1191">
        <f>CEILING('Полотна база'!BB56*(1+скидки_наценки!$B$28)*скидки_наценки!$D$10*скидки_наценки!$F$10/скидки_наценки!$B$4, 50)</f>
        <v>26650</v>
      </c>
      <c r="K19" s="1191">
        <f>CEILING(('Полотна база'!I56+Алюм.погонаж!$E$24)*(1+скидки_наценки!$B$29)*скидки_наценки!$D$13*скидки_наценки!$F$13/скидки_наценки!$B$4, 50)</f>
        <v>31000</v>
      </c>
      <c r="L19" s="599"/>
      <c r="M19" s="596"/>
      <c r="N19" s="441"/>
      <c r="O19" s="441"/>
      <c r="P19" s="441"/>
      <c r="Q19" s="441"/>
      <c r="R19" s="441"/>
      <c r="S19" s="441"/>
      <c r="T19" s="441"/>
      <c r="U19" s="441"/>
      <c r="V19" s="441"/>
      <c r="W19" s="441"/>
      <c r="X19" s="441"/>
      <c r="Y19" s="441"/>
      <c r="Z19" s="441"/>
      <c r="AA19" s="441"/>
      <c r="AB19" s="441"/>
      <c r="AC19" s="441"/>
      <c r="AD19" s="441"/>
      <c r="AE19" s="441"/>
      <c r="AF19" s="441"/>
      <c r="AG19" s="441"/>
      <c r="AH19" s="441"/>
      <c r="AI19" s="441"/>
      <c r="AJ19" s="441"/>
      <c r="AK19" s="441"/>
      <c r="AL19" s="441"/>
      <c r="AM19" s="441"/>
      <c r="AN19" s="441"/>
      <c r="AO19" s="441"/>
      <c r="AP19" s="441"/>
    </row>
    <row r="20" spans="1:44" s="9" customFormat="1" ht="15" customHeight="1">
      <c r="A20" s="4260"/>
      <c r="B20" s="4226"/>
      <c r="C20" s="4227"/>
      <c r="D20" s="4204"/>
      <c r="E20" s="4204"/>
      <c r="F20" s="307" t="s">
        <v>306</v>
      </c>
      <c r="G20" s="2331">
        <f>IF(G19=0,0,(Погонаж!$C$15*2.5+Погонаж!$E$15*5))</f>
        <v>14375</v>
      </c>
      <c r="H20" s="2331">
        <f>IF(H19=0,0,(Погонаж!$C$15*2.5+Погонаж!$E$15*5))</f>
        <v>14375</v>
      </c>
      <c r="I20" s="2331">
        <f>IF(I19=0,0,(Погонаж!$C$15*2.5+Погонаж!$E$15*5))</f>
        <v>14375</v>
      </c>
      <c r="J20" s="2331">
        <f>IF(J19=0,0,(Погонаж!$C$15*2.5+Погонаж!$E$15*5))</f>
        <v>14375</v>
      </c>
      <c r="K20" s="2331">
        <f>IF(K19=0,0,(Погонаж!$C$15*2.5+Погонаж!$E$15*5))</f>
        <v>14375</v>
      </c>
      <c r="L20" s="599"/>
      <c r="M20" s="596"/>
      <c r="N20" s="441"/>
      <c r="O20" s="441"/>
      <c r="P20" s="441"/>
      <c r="Q20" s="441"/>
      <c r="R20" s="441"/>
      <c r="S20" s="441"/>
      <c r="T20" s="441"/>
      <c r="U20" s="441"/>
      <c r="V20" s="441"/>
      <c r="W20" s="441"/>
      <c r="X20" s="441"/>
      <c r="Y20" s="441"/>
      <c r="Z20" s="441"/>
      <c r="AA20" s="441"/>
      <c r="AB20" s="441"/>
      <c r="AC20" s="441"/>
      <c r="AD20" s="441"/>
      <c r="AE20" s="441"/>
      <c r="AF20" s="441"/>
      <c r="AG20" s="441"/>
      <c r="AH20" s="441"/>
      <c r="AI20" s="441"/>
      <c r="AJ20" s="441"/>
      <c r="AK20" s="441"/>
      <c r="AL20" s="441"/>
      <c r="AM20" s="441"/>
      <c r="AN20" s="441"/>
      <c r="AO20" s="441"/>
      <c r="AP20" s="441"/>
    </row>
    <row r="21" spans="1:44" s="9" customFormat="1" ht="24" customHeight="1">
      <c r="A21" s="4260"/>
      <c r="B21" s="4228"/>
      <c r="C21" s="4229"/>
      <c r="D21" s="4205"/>
      <c r="E21" s="4205"/>
      <c r="F21" s="30" t="s">
        <v>1</v>
      </c>
      <c r="G21" s="379">
        <f>G19+G20</f>
        <v>39225</v>
      </c>
      <c r="H21" s="379">
        <f>H19+H20</f>
        <v>42075</v>
      </c>
      <c r="I21" s="379">
        <f>I19+I20</f>
        <v>43125</v>
      </c>
      <c r="J21" s="379">
        <f>J19+J20</f>
        <v>41025</v>
      </c>
      <c r="K21" s="379">
        <f>K19+K20</f>
        <v>45375</v>
      </c>
      <c r="L21" s="441"/>
      <c r="M21" s="441"/>
      <c r="N21" s="441"/>
      <c r="O21" s="441"/>
      <c r="P21" s="441"/>
      <c r="Q21" s="441"/>
      <c r="R21" s="441"/>
      <c r="S21" s="441"/>
      <c r="T21" s="441"/>
      <c r="U21" s="441"/>
      <c r="V21" s="441"/>
      <c r="W21" s="441"/>
      <c r="X21" s="441"/>
      <c r="Y21" s="441"/>
      <c r="Z21" s="441"/>
      <c r="AA21" s="441"/>
      <c r="AB21" s="441"/>
      <c r="AC21" s="441"/>
      <c r="AD21" s="441"/>
      <c r="AE21" s="441"/>
      <c r="AF21" s="441"/>
      <c r="AG21" s="441"/>
      <c r="AH21" s="441"/>
      <c r="AI21" s="441"/>
      <c r="AJ21" s="441"/>
      <c r="AK21" s="441"/>
      <c r="AL21" s="441"/>
      <c r="AM21" s="441"/>
      <c r="AN21" s="441"/>
      <c r="AO21" s="441"/>
      <c r="AP21" s="441"/>
    </row>
    <row r="22" spans="1:44" s="9" customFormat="1" ht="24" customHeight="1">
      <c r="A22" s="4261"/>
      <c r="B22" s="4271" t="s">
        <v>3477</v>
      </c>
      <c r="C22" s="4272"/>
      <c r="D22" s="4213" t="s">
        <v>35</v>
      </c>
      <c r="E22" s="4213" t="s">
        <v>34</v>
      </c>
      <c r="F22" s="182" t="s">
        <v>0</v>
      </c>
      <c r="G22" s="691">
        <f>CEILING('Полотна база'!H57*(1+скидки_наценки!$B$29)*скидки_наценки!$D$13*скидки_наценки!$F$13/скидки_наценки!$B$4, 50)</f>
        <v>25900</v>
      </c>
      <c r="H22" s="691">
        <f>CEILING(('Полотна база'!H59+Алюм.погонаж!$E$24)*(1+скидки_наценки!$B$28)*скидки_наценки!$D$10*скидки_наценки!$F$10/скидки_наценки!$B$4, 50)</f>
        <v>2850</v>
      </c>
      <c r="I22" s="691">
        <f>CEILING(('Полотна база'!H57+Алюм.погонаж!$E$24)*(1+скидки_наценки!$B$28)*скидки_наценки!$D$10*скидки_наценки!$F$10/скидки_наценки!$B$4, 50)</f>
        <v>28750</v>
      </c>
      <c r="J22" s="691">
        <f>CEILING('Полотна база'!BB57*(1+скидки_наценки!$B$28)*скидки_наценки!$D$10*скидки_наценки!$F$10/скидки_наценки!$B$4, 50)</f>
        <v>27700</v>
      </c>
      <c r="K22" s="691">
        <f>CEILING(('Полотна база'!I57+Алюм.погонаж!$E$24)*(1+скидки_наценки!$B$29)*скидки_наценки!$D$13*скидки_наценки!$F$13/скидки_наценки!$B$4, 50)</f>
        <v>32050</v>
      </c>
      <c r="L22" s="441"/>
      <c r="M22" s="441"/>
      <c r="N22" s="441"/>
      <c r="O22" s="441"/>
      <c r="P22" s="441"/>
      <c r="Q22" s="441"/>
      <c r="R22" s="441"/>
      <c r="S22" s="441"/>
      <c r="T22" s="441"/>
      <c r="U22" s="441"/>
      <c r="V22" s="441"/>
      <c r="W22" s="441"/>
      <c r="X22" s="441"/>
      <c r="Y22" s="441"/>
      <c r="Z22" s="441"/>
      <c r="AA22" s="441"/>
      <c r="AB22" s="441"/>
      <c r="AC22" s="441"/>
      <c r="AD22" s="441"/>
      <c r="AE22" s="441"/>
      <c r="AF22" s="441"/>
      <c r="AG22" s="441"/>
      <c r="AH22" s="441"/>
      <c r="AI22" s="441"/>
      <c r="AJ22" s="441"/>
      <c r="AK22" s="441"/>
      <c r="AL22" s="441"/>
      <c r="AM22" s="441"/>
      <c r="AN22" s="441"/>
      <c r="AO22" s="441"/>
      <c r="AP22" s="441"/>
    </row>
    <row r="23" spans="1:44" s="9" customFormat="1" ht="24" customHeight="1">
      <c r="A23" s="4261"/>
      <c r="B23" s="4273"/>
      <c r="C23" s="4274"/>
      <c r="D23" s="4214"/>
      <c r="E23" s="4214"/>
      <c r="F23" s="2735" t="s">
        <v>306</v>
      </c>
      <c r="G23" s="3914">
        <f>IF(G22=0,0,(Погонаж!C16*2.5+Погонаж!E16*5))</f>
        <v>14750</v>
      </c>
      <c r="H23" s="3914">
        <f>IF(H22=0,0,(Погонаж!D16*2.5+Погонаж!F16*5))</f>
        <v>12875</v>
      </c>
      <c r="I23" s="3914">
        <f>IF(I22=0,0,(Погонаж!C16*2.5+Погонаж!E16*5))</f>
        <v>14750</v>
      </c>
      <c r="J23" s="3914">
        <f>IF(J22=0,0,(Погонаж!C16*2.5+Погонаж!E16*5))</f>
        <v>14750</v>
      </c>
      <c r="K23" s="3914">
        <f>IF(K22=0,0,(Погонаж!C16*2.5+Погонаж!E16*5))</f>
        <v>14750</v>
      </c>
      <c r="L23" s="441"/>
      <c r="M23" s="441"/>
      <c r="N23" s="441"/>
      <c r="O23" s="441"/>
      <c r="P23" s="441"/>
      <c r="Q23" s="441"/>
      <c r="R23" s="441"/>
      <c r="S23" s="441"/>
      <c r="T23" s="441"/>
      <c r="U23" s="441"/>
      <c r="V23" s="441"/>
      <c r="W23" s="441"/>
      <c r="X23" s="441"/>
      <c r="Y23" s="441"/>
      <c r="Z23" s="441"/>
      <c r="AA23" s="441"/>
      <c r="AB23" s="441"/>
      <c r="AC23" s="441"/>
      <c r="AD23" s="441"/>
      <c r="AE23" s="441"/>
      <c r="AF23" s="441"/>
      <c r="AG23" s="441"/>
      <c r="AH23" s="441"/>
      <c r="AI23" s="441"/>
      <c r="AJ23" s="441"/>
      <c r="AK23" s="441"/>
      <c r="AL23" s="441"/>
      <c r="AM23" s="441"/>
      <c r="AN23" s="441"/>
      <c r="AO23" s="441"/>
      <c r="AP23" s="441"/>
    </row>
    <row r="24" spans="1:44" s="9" customFormat="1" ht="24" customHeight="1">
      <c r="A24" s="4261"/>
      <c r="B24" s="4275"/>
      <c r="C24" s="4276"/>
      <c r="D24" s="4215"/>
      <c r="E24" s="4215"/>
      <c r="F24" s="267" t="s">
        <v>1</v>
      </c>
      <c r="G24" s="598">
        <f>G22+G23</f>
        <v>40650</v>
      </c>
      <c r="H24" s="598">
        <f>H22+H23</f>
        <v>15725</v>
      </c>
      <c r="I24" s="598">
        <f>I22+I23</f>
        <v>43500</v>
      </c>
      <c r="J24" s="598">
        <f>J22+J23</f>
        <v>42450</v>
      </c>
      <c r="K24" s="598">
        <f>K22+K23</f>
        <v>46800</v>
      </c>
      <c r="L24" s="441"/>
      <c r="M24" s="441"/>
      <c r="N24" s="441"/>
      <c r="O24" s="441"/>
      <c r="P24" s="441"/>
      <c r="Q24" s="441"/>
      <c r="R24" s="441"/>
      <c r="S24" s="441"/>
      <c r="T24" s="441"/>
      <c r="U24" s="441"/>
      <c r="V24" s="441"/>
      <c r="W24" s="441"/>
      <c r="X24" s="441"/>
      <c r="Y24" s="441"/>
      <c r="Z24" s="441"/>
      <c r="AA24" s="441"/>
      <c r="AB24" s="441"/>
      <c r="AC24" s="441"/>
      <c r="AD24" s="441"/>
      <c r="AE24" s="441"/>
      <c r="AF24" s="441"/>
      <c r="AG24" s="441"/>
      <c r="AH24" s="441"/>
      <c r="AI24" s="441"/>
      <c r="AJ24" s="441"/>
      <c r="AK24" s="441"/>
      <c r="AL24" s="441"/>
      <c r="AM24" s="441"/>
      <c r="AN24" s="441"/>
      <c r="AO24" s="441"/>
      <c r="AP24" s="441"/>
    </row>
    <row r="25" spans="1:44" s="9" customFormat="1" ht="24" customHeight="1">
      <c r="A25" s="4260"/>
      <c r="B25" s="4209" t="s">
        <v>2589</v>
      </c>
      <c r="C25" s="4210"/>
      <c r="D25" s="4203" t="s">
        <v>35</v>
      </c>
      <c r="E25" s="4203" t="s">
        <v>34</v>
      </c>
      <c r="F25" s="132" t="s">
        <v>0</v>
      </c>
      <c r="G25" s="1191">
        <f>CEILING('Полотна база'!H58*(1+скидки_наценки!$B$29)*скидки_наценки!$D$13*скидки_наценки!$F$13/скидки_наценки!$B$4, 50)</f>
        <v>27000</v>
      </c>
      <c r="H25" s="1191">
        <f>CEILING(('Полотна база'!H58+Алюм.погонаж!$E$24)*(1+скидки_наценки!$B$28)*скидки_наценки!$D$10*скидки_наценки!$F$10/скидки_наценки!$B$4, 50)</f>
        <v>29850</v>
      </c>
      <c r="I25" s="1191">
        <f>CEILING(('Полотна база'!BB58+Алюм.погонаж!$E$24)*(1+скидки_наценки!$B$28)*скидки_наценки!$D$10*скидки_наценки!$F$10/скидки_наценки!$B$4, 50)</f>
        <v>31650</v>
      </c>
      <c r="J25" s="1191">
        <f>CEILING('Полотна база'!BB58*(1+скидки_наценки!$B$28)*скидки_наценки!$D$10*скидки_наценки!$F$10/скидки_наценки!$B$4, 50)</f>
        <v>28800</v>
      </c>
      <c r="K25" s="1191">
        <f>CEILING(('Полотна база'!I58+Алюм.погонаж!$E$24)*(1+скидки_наценки!$B$29)*скидки_наценки!$D$13*скидки_наценки!$F$13/скидки_наценки!$B$4, 50)</f>
        <v>33150</v>
      </c>
      <c r="L25" s="599"/>
      <c r="M25" s="596"/>
      <c r="N25" s="441"/>
      <c r="O25" s="441"/>
      <c r="P25" s="441"/>
      <c r="Q25" s="441"/>
      <c r="R25" s="441"/>
      <c r="S25" s="441"/>
      <c r="T25" s="441"/>
      <c r="U25" s="441"/>
      <c r="V25" s="441"/>
      <c r="W25" s="441"/>
      <c r="X25" s="441"/>
      <c r="Y25" s="441"/>
      <c r="Z25" s="441"/>
      <c r="AA25" s="441"/>
      <c r="AB25" s="441"/>
      <c r="AC25" s="441"/>
      <c r="AD25" s="441"/>
      <c r="AE25" s="441"/>
      <c r="AF25" s="441"/>
      <c r="AG25" s="441"/>
      <c r="AH25" s="441"/>
      <c r="AI25" s="441"/>
      <c r="AJ25" s="441"/>
      <c r="AK25" s="441"/>
      <c r="AL25" s="441"/>
      <c r="AM25" s="441"/>
      <c r="AN25" s="441"/>
      <c r="AO25" s="441"/>
      <c r="AP25" s="441"/>
    </row>
    <row r="26" spans="1:44" s="9" customFormat="1" ht="15" customHeight="1">
      <c r="A26" s="4260"/>
      <c r="B26" s="4226" t="s">
        <v>5</v>
      </c>
      <c r="C26" s="4227"/>
      <c r="D26" s="4204"/>
      <c r="E26" s="4204"/>
      <c r="F26" s="307" t="s">
        <v>306</v>
      </c>
      <c r="G26" s="2331">
        <f>IF(G25=0,0,(Погонаж!$C$17*2.5+Погонаж!$E$17*5))</f>
        <v>15250</v>
      </c>
      <c r="H26" s="2331">
        <f>IF(H25=0,0,(Погонаж!$C$17*2.5+Погонаж!$E$17*5))</f>
        <v>15250</v>
      </c>
      <c r="I26" s="2331">
        <f>IF(I25=0,0,(Погонаж!$C$17*2.5+Погонаж!$E$17*5))</f>
        <v>15250</v>
      </c>
      <c r="J26" s="2331">
        <f>IF(J25=0,0,(Погонаж!$C$17*2.5+Погонаж!$E$17*5))</f>
        <v>15250</v>
      </c>
      <c r="K26" s="2331">
        <f>IF(K25=0,0,(Погонаж!$C$17*2.5+Погонаж!$E$17*5))</f>
        <v>15250</v>
      </c>
      <c r="L26" s="599"/>
      <c r="M26" s="596"/>
      <c r="N26" s="441"/>
      <c r="O26" s="441"/>
      <c r="P26" s="441"/>
      <c r="Q26" s="441"/>
      <c r="R26" s="441"/>
      <c r="S26" s="441"/>
      <c r="T26" s="441"/>
      <c r="U26" s="441"/>
      <c r="V26" s="441"/>
      <c r="W26" s="441"/>
      <c r="X26" s="441"/>
      <c r="Y26" s="441"/>
      <c r="Z26" s="441"/>
      <c r="AA26" s="441"/>
      <c r="AB26" s="441"/>
      <c r="AC26" s="441"/>
      <c r="AD26" s="441"/>
      <c r="AE26" s="441"/>
      <c r="AF26" s="441"/>
      <c r="AG26" s="441"/>
      <c r="AH26" s="441"/>
      <c r="AI26" s="441"/>
      <c r="AJ26" s="441"/>
      <c r="AK26" s="441"/>
      <c r="AL26" s="441"/>
      <c r="AM26" s="441"/>
      <c r="AN26" s="441"/>
      <c r="AO26" s="441"/>
      <c r="AP26" s="441"/>
    </row>
    <row r="27" spans="1:44" s="9" customFormat="1" ht="24" customHeight="1">
      <c r="A27" s="4260"/>
      <c r="B27" s="4228"/>
      <c r="C27" s="4229"/>
      <c r="D27" s="4205"/>
      <c r="E27" s="4205"/>
      <c r="F27" s="30" t="s">
        <v>1</v>
      </c>
      <c r="G27" s="379">
        <f>G25+G26</f>
        <v>42250</v>
      </c>
      <c r="H27" s="379">
        <f>H25+H26</f>
        <v>45100</v>
      </c>
      <c r="I27" s="379">
        <f>I25+I26</f>
        <v>46900</v>
      </c>
      <c r="J27" s="379">
        <f>J25+J26</f>
        <v>44050</v>
      </c>
      <c r="K27" s="379">
        <f>K25+K26</f>
        <v>48400</v>
      </c>
      <c r="L27" s="441"/>
      <c r="M27" s="441"/>
      <c r="N27" s="441"/>
      <c r="O27" s="441"/>
      <c r="P27" s="441"/>
      <c r="Q27" s="441"/>
      <c r="R27" s="3227"/>
      <c r="S27" s="441"/>
      <c r="T27" s="441"/>
      <c r="U27" s="441"/>
      <c r="V27" s="441"/>
      <c r="W27" s="441"/>
      <c r="X27" s="441"/>
      <c r="Y27" s="441"/>
      <c r="Z27" s="441"/>
      <c r="AA27" s="441"/>
      <c r="AB27" s="441"/>
      <c r="AC27" s="441"/>
      <c r="AD27" s="441"/>
      <c r="AE27" s="441"/>
      <c r="AF27" s="441"/>
      <c r="AG27" s="441"/>
      <c r="AH27" s="441"/>
      <c r="AI27" s="441"/>
      <c r="AJ27" s="441"/>
      <c r="AK27" s="441"/>
      <c r="AL27" s="441"/>
      <c r="AM27" s="441"/>
      <c r="AN27" s="441"/>
      <c r="AO27" s="441"/>
      <c r="AP27" s="441"/>
    </row>
    <row r="28" spans="1:44" ht="15.95" customHeight="1">
      <c r="F28" s="589"/>
      <c r="N28" s="242"/>
      <c r="O28" s="242"/>
      <c r="P28" s="242"/>
      <c r="Q28" s="242"/>
      <c r="R28" s="242"/>
      <c r="S28" s="242"/>
      <c r="T28" s="242"/>
      <c r="U28" s="242"/>
      <c r="V28" s="242"/>
      <c r="W28" s="242"/>
      <c r="X28" s="242"/>
      <c r="Y28" s="242"/>
      <c r="Z28" s="242"/>
      <c r="AA28" s="242"/>
      <c r="AB28" s="242"/>
      <c r="AC28" s="242"/>
      <c r="AD28" s="242"/>
      <c r="AE28" s="242"/>
      <c r="AF28" s="242"/>
      <c r="AG28" s="242"/>
      <c r="AH28" s="242"/>
      <c r="AI28" s="242"/>
      <c r="AJ28" s="242"/>
      <c r="AK28" s="242"/>
      <c r="AL28" s="242"/>
      <c r="AM28" s="242"/>
      <c r="AN28" s="242"/>
      <c r="AO28" s="242"/>
      <c r="AP28" s="242"/>
      <c r="AQ28" s="242"/>
      <c r="AR28" s="242"/>
    </row>
    <row r="29" spans="1:44" s="11" customFormat="1" ht="15" customHeight="1">
      <c r="B29" s="60" t="s">
        <v>20</v>
      </c>
      <c r="C29" s="60"/>
      <c r="I29" s="61"/>
      <c r="J29" s="589"/>
      <c r="K29" s="387"/>
      <c r="L29" s="387"/>
      <c r="M29" s="387"/>
      <c r="N29" s="387"/>
      <c r="O29" s="387"/>
      <c r="P29" s="387"/>
      <c r="Q29" s="3223"/>
      <c r="R29" s="387"/>
      <c r="S29" s="387"/>
      <c r="T29" s="387"/>
      <c r="U29" s="387"/>
      <c r="V29" s="387"/>
      <c r="W29" s="387"/>
      <c r="X29" s="387"/>
      <c r="Y29" s="387"/>
      <c r="Z29" s="387"/>
      <c r="AA29" s="387"/>
      <c r="AB29" s="387"/>
      <c r="AC29" s="387"/>
      <c r="AD29" s="387"/>
      <c r="AE29" s="387"/>
      <c r="AF29" s="387"/>
      <c r="AG29" s="387"/>
      <c r="AH29" s="387"/>
      <c r="AI29" s="387"/>
      <c r="AJ29" s="387"/>
      <c r="AK29" s="387"/>
      <c r="AL29" s="387"/>
      <c r="AM29" s="387"/>
      <c r="AN29" s="387"/>
    </row>
    <row r="30" spans="1:44" s="11" customFormat="1" ht="15" customHeight="1">
      <c r="A30" s="4373" t="s">
        <v>2867</v>
      </c>
      <c r="B30" s="4374"/>
      <c r="C30" s="4374"/>
      <c r="D30" s="4374"/>
      <c r="E30" s="4374"/>
      <c r="F30" s="4374"/>
      <c r="G30" s="4388" t="str">
        <f>G5</f>
        <v>Slot 10-001
(Porte02 )</v>
      </c>
      <c r="H30" s="3228" t="str">
        <f>H5</f>
        <v>Slot 10-001
(Porte02 )</v>
      </c>
      <c r="I30" s="3228" t="str">
        <f>I5</f>
        <v>Slot 10-002/004
(Porte02 )</v>
      </c>
      <c r="J30" s="4388" t="str">
        <f>J5</f>
        <v>Slot 10-011/012</v>
      </c>
      <c r="K30" s="2417" t="str">
        <f>K5</f>
        <v>Slot41-002
(Porte04)</v>
      </c>
      <c r="L30" s="387"/>
      <c r="M30" s="387"/>
      <c r="N30" s="387"/>
      <c r="O30" s="387"/>
      <c r="P30" s="387"/>
      <c r="Q30" s="387"/>
      <c r="R30" s="387"/>
      <c r="S30" s="387"/>
      <c r="T30" s="387"/>
      <c r="U30" s="387"/>
      <c r="V30" s="387"/>
      <c r="W30" s="387"/>
      <c r="X30" s="387"/>
      <c r="Y30" s="387"/>
      <c r="Z30" s="387"/>
      <c r="AA30" s="387"/>
      <c r="AB30" s="387"/>
      <c r="AC30" s="387"/>
      <c r="AD30" s="387"/>
      <c r="AE30" s="387"/>
      <c r="AF30" s="387"/>
      <c r="AG30" s="387"/>
      <c r="AH30" s="387"/>
      <c r="AI30" s="387"/>
      <c r="AJ30" s="387"/>
      <c r="AK30" s="387"/>
      <c r="AL30" s="387"/>
    </row>
    <row r="31" spans="1:44" s="11" customFormat="1" ht="15" customHeight="1">
      <c r="A31" s="4375"/>
      <c r="B31" s="4376"/>
      <c r="C31" s="4376"/>
      <c r="D31" s="4376"/>
      <c r="E31" s="4376"/>
      <c r="F31" s="4376"/>
      <c r="G31" s="4389"/>
      <c r="H31" s="3245" t="str">
        <f>H6</f>
        <v>в базе 2Al</v>
      </c>
      <c r="I31" s="3245" t="str">
        <f>I6</f>
        <v xml:space="preserve"> кромка 2Al </v>
      </c>
      <c r="J31" s="4389"/>
      <c r="K31" s="3245" t="str">
        <f>K6</f>
        <v xml:space="preserve"> кромка 2Al </v>
      </c>
      <c r="L31" s="387"/>
      <c r="M31" s="387"/>
      <c r="N31" s="387"/>
      <c r="O31" s="387"/>
      <c r="P31" s="387"/>
      <c r="Q31" s="387"/>
      <c r="R31" s="387"/>
      <c r="S31" s="387"/>
      <c r="T31" s="387"/>
      <c r="U31" s="387"/>
      <c r="V31" s="387"/>
      <c r="W31" s="387"/>
      <c r="X31" s="387"/>
      <c r="Y31" s="387"/>
      <c r="Z31" s="387"/>
      <c r="AA31" s="387"/>
      <c r="AB31" s="387"/>
      <c r="AC31" s="387"/>
      <c r="AD31" s="387"/>
      <c r="AE31" s="387"/>
      <c r="AF31" s="387"/>
      <c r="AG31" s="387"/>
      <c r="AH31" s="387"/>
      <c r="AI31" s="387"/>
      <c r="AJ31" s="387"/>
      <c r="AK31" s="387"/>
      <c r="AL31" s="387"/>
    </row>
    <row r="32" spans="1:44" s="63" customFormat="1">
      <c r="A32" s="866" t="s">
        <v>2436</v>
      </c>
      <c r="B32" s="867"/>
      <c r="C32" s="1109"/>
      <c r="D32" s="867"/>
      <c r="E32" s="867"/>
      <c r="F32" s="867"/>
      <c r="G32" s="3244"/>
      <c r="H32" s="3244"/>
      <c r="I32" s="3244"/>
      <c r="J32" s="3221"/>
      <c r="K32" s="3244"/>
      <c r="L32" s="387"/>
      <c r="M32" s="387"/>
      <c r="N32" s="387"/>
      <c r="O32" s="387"/>
      <c r="P32" s="387"/>
      <c r="Q32" s="387"/>
      <c r="R32" s="387"/>
      <c r="S32" s="387"/>
      <c r="T32" s="387"/>
      <c r="U32" s="387"/>
      <c r="V32" s="387"/>
      <c r="W32" s="387"/>
      <c r="X32" s="387"/>
      <c r="Y32" s="387"/>
      <c r="Z32" s="387"/>
      <c r="AA32" s="387"/>
      <c r="AB32" s="387"/>
      <c r="AC32" s="387"/>
      <c r="AD32" s="387"/>
      <c r="AE32" s="387"/>
      <c r="AF32" s="387"/>
      <c r="AG32" s="387"/>
      <c r="AH32" s="387"/>
      <c r="AI32" s="387"/>
      <c r="AJ32" s="387"/>
      <c r="AK32" s="387"/>
      <c r="AL32" s="387"/>
    </row>
    <row r="33" spans="1:44" s="72" customFormat="1" ht="18" customHeight="1">
      <c r="A33" s="4250" t="s">
        <v>2437</v>
      </c>
      <c r="B33" s="4244"/>
      <c r="C33" s="4244"/>
      <c r="D33" s="4390"/>
      <c r="E33" s="4384" t="s">
        <v>2439</v>
      </c>
      <c r="F33" s="4385"/>
      <c r="G33" s="2276" t="s">
        <v>2435</v>
      </c>
      <c r="H33" s="2276" t="s">
        <v>2435</v>
      </c>
      <c r="I33" s="3229" t="s">
        <v>2435</v>
      </c>
      <c r="J33" s="3229" t="s">
        <v>2435</v>
      </c>
      <c r="K33" s="2276" t="s">
        <v>4</v>
      </c>
      <c r="L33" s="442"/>
      <c r="M33" s="442"/>
      <c r="N33" s="442"/>
      <c r="O33" s="442"/>
      <c r="P33" s="442"/>
      <c r="Q33" s="442"/>
      <c r="R33" s="442"/>
      <c r="S33" s="442"/>
      <c r="T33" s="442"/>
      <c r="U33" s="442"/>
      <c r="V33" s="442"/>
      <c r="W33" s="442"/>
      <c r="X33" s="442"/>
      <c r="Y33" s="442"/>
      <c r="Z33" s="442"/>
      <c r="AA33" s="442"/>
      <c r="AB33" s="442"/>
      <c r="AC33" s="442"/>
      <c r="AD33" s="442"/>
      <c r="AE33" s="442"/>
      <c r="AF33" s="442"/>
      <c r="AG33" s="442"/>
      <c r="AH33" s="442"/>
      <c r="AI33" s="442"/>
      <c r="AJ33" s="442"/>
      <c r="AK33" s="442"/>
      <c r="AL33" s="442"/>
    </row>
    <row r="34" spans="1:44" s="72" customFormat="1" ht="18" customHeight="1">
      <c r="A34" s="4251"/>
      <c r="B34" s="4252"/>
      <c r="C34" s="4252"/>
      <c r="D34" s="4291"/>
      <c r="E34" s="4386" t="s">
        <v>2440</v>
      </c>
      <c r="F34" s="4387"/>
      <c r="G34" s="1105" t="s">
        <v>2435</v>
      </c>
      <c r="H34" s="1105" t="s">
        <v>2435</v>
      </c>
      <c r="I34" s="3230" t="s">
        <v>2435</v>
      </c>
      <c r="J34" s="3230" t="s">
        <v>2435</v>
      </c>
      <c r="K34" s="1068" t="s">
        <v>4</v>
      </c>
      <c r="L34" s="442"/>
      <c r="M34" s="442"/>
      <c r="N34" s="442"/>
      <c r="O34" s="442"/>
      <c r="P34" s="442"/>
      <c r="Q34" s="442"/>
      <c r="R34" s="442"/>
      <c r="S34" s="442"/>
      <c r="T34" s="442"/>
      <c r="U34" s="442"/>
      <c r="V34" s="442"/>
      <c r="W34" s="442"/>
      <c r="X34" s="442"/>
      <c r="Y34" s="442"/>
      <c r="Z34" s="442"/>
      <c r="AA34" s="442"/>
      <c r="AB34" s="442"/>
      <c r="AC34" s="442"/>
      <c r="AD34" s="442"/>
      <c r="AE34" s="442"/>
      <c r="AF34" s="442"/>
      <c r="AG34" s="442"/>
      <c r="AH34" s="442"/>
      <c r="AI34" s="442"/>
      <c r="AJ34" s="442"/>
      <c r="AK34" s="442"/>
      <c r="AL34" s="442"/>
    </row>
    <row r="35" spans="1:44" s="72" customFormat="1" ht="18" customHeight="1">
      <c r="A35" s="4341" t="s">
        <v>2438</v>
      </c>
      <c r="B35" s="4315"/>
      <c r="C35" s="4315"/>
      <c r="D35" s="4391"/>
      <c r="E35" s="4393" t="s">
        <v>2439</v>
      </c>
      <c r="F35" s="4394"/>
      <c r="G35" s="3129" t="s">
        <v>4</v>
      </c>
      <c r="H35" s="3129" t="s">
        <v>4</v>
      </c>
      <c r="I35" s="3129" t="s">
        <v>4</v>
      </c>
      <c r="J35" s="3129" t="s">
        <v>4</v>
      </c>
      <c r="K35" s="2330" t="s">
        <v>2435</v>
      </c>
      <c r="L35" s="442"/>
      <c r="M35" s="442"/>
      <c r="N35" s="442"/>
      <c r="O35" s="442"/>
      <c r="P35" s="442"/>
      <c r="Q35" s="442"/>
      <c r="R35" s="442"/>
      <c r="S35" s="442"/>
      <c r="T35" s="442"/>
      <c r="U35" s="442"/>
      <c r="V35" s="442"/>
      <c r="W35" s="442"/>
      <c r="X35" s="442"/>
      <c r="Y35" s="442"/>
      <c r="Z35" s="442"/>
      <c r="AA35" s="442"/>
      <c r="AB35" s="442"/>
      <c r="AC35" s="442"/>
      <c r="AD35" s="442"/>
      <c r="AE35" s="442"/>
      <c r="AF35" s="442"/>
      <c r="AG35" s="442"/>
      <c r="AH35" s="442"/>
      <c r="AI35" s="442"/>
      <c r="AJ35" s="442"/>
      <c r="AK35" s="442"/>
      <c r="AL35" s="442"/>
    </row>
    <row r="36" spans="1:44" s="72" customFormat="1" ht="18" customHeight="1">
      <c r="A36" s="4342"/>
      <c r="B36" s="4343"/>
      <c r="C36" s="4343"/>
      <c r="D36" s="4392"/>
      <c r="E36" s="4378" t="s">
        <v>2440</v>
      </c>
      <c r="F36" s="4379"/>
      <c r="G36" s="3128" t="s">
        <v>4</v>
      </c>
      <c r="H36" s="3128" t="s">
        <v>4</v>
      </c>
      <c r="I36" s="3128" t="s">
        <v>4</v>
      </c>
      <c r="J36" s="3128" t="s">
        <v>4</v>
      </c>
      <c r="K36" s="2404" t="s">
        <v>2435</v>
      </c>
      <c r="L36" s="442"/>
      <c r="M36" s="442"/>
      <c r="N36" s="442"/>
      <c r="O36" s="442"/>
      <c r="P36" s="442"/>
      <c r="Q36" s="442"/>
      <c r="R36" s="442"/>
      <c r="S36" s="442"/>
      <c r="T36" s="442"/>
      <c r="U36" s="442"/>
      <c r="V36" s="442"/>
      <c r="W36" s="442"/>
      <c r="X36" s="442"/>
      <c r="Y36" s="442"/>
      <c r="Z36" s="442"/>
      <c r="AA36" s="442"/>
      <c r="AB36" s="442"/>
      <c r="AC36" s="442"/>
      <c r="AD36" s="442"/>
      <c r="AE36" s="442"/>
      <c r="AF36" s="442"/>
      <c r="AG36" s="442"/>
      <c r="AH36" s="442"/>
      <c r="AI36" s="442"/>
      <c r="AJ36" s="442"/>
      <c r="AK36" s="442"/>
      <c r="AL36" s="442"/>
    </row>
    <row r="37" spans="1:44" s="63" customFormat="1" ht="14.1" customHeight="1">
      <c r="A37" s="2394" t="s">
        <v>2441</v>
      </c>
      <c r="B37" s="1081"/>
      <c r="C37" s="1081"/>
      <c r="D37" s="1081"/>
      <c r="E37" s="1081"/>
      <c r="F37" s="1081"/>
      <c r="G37" s="1081"/>
      <c r="H37" s="3226"/>
      <c r="I37" s="3226"/>
      <c r="J37" s="3222"/>
      <c r="K37" s="1081"/>
      <c r="L37" s="442"/>
      <c r="M37" s="387"/>
      <c r="N37" s="387"/>
      <c r="O37" s="387"/>
      <c r="P37" s="387"/>
      <c r="Q37" s="387"/>
      <c r="R37" s="387"/>
      <c r="S37" s="387"/>
      <c r="T37" s="387"/>
      <c r="U37" s="387"/>
      <c r="V37" s="387"/>
      <c r="W37" s="387"/>
      <c r="X37" s="387"/>
      <c r="Y37" s="387"/>
      <c r="Z37" s="387"/>
      <c r="AA37" s="387"/>
      <c r="AB37" s="387"/>
      <c r="AC37" s="387"/>
      <c r="AD37" s="387"/>
      <c r="AE37" s="387"/>
      <c r="AF37" s="387"/>
      <c r="AG37" s="387"/>
      <c r="AH37" s="387"/>
      <c r="AI37" s="387"/>
      <c r="AJ37" s="387"/>
      <c r="AK37" s="387"/>
      <c r="AL37" s="387"/>
      <c r="AM37" s="387"/>
      <c r="AN37" s="387"/>
      <c r="AO37" s="387"/>
      <c r="AP37" s="387"/>
    </row>
    <row r="38" spans="1:44" s="72" customFormat="1" ht="18" customHeight="1">
      <c r="A38" s="4344" t="s">
        <v>1371</v>
      </c>
      <c r="B38" s="4380"/>
      <c r="C38" s="4380"/>
      <c r="D38" s="4380"/>
      <c r="E38" s="4380"/>
      <c r="F38" s="4345"/>
      <c r="G38" s="1110" t="s">
        <v>56</v>
      </c>
      <c r="H38" s="1110" t="s">
        <v>56</v>
      </c>
      <c r="I38" s="3231" t="s">
        <v>56</v>
      </c>
      <c r="J38" s="3689">
        <v>0</v>
      </c>
      <c r="K38" s="1110" t="s">
        <v>56</v>
      </c>
      <c r="L38" s="442"/>
      <c r="M38" s="442"/>
      <c r="N38" s="442"/>
      <c r="O38" s="442"/>
      <c r="P38" s="442"/>
      <c r="Q38" s="442"/>
      <c r="R38" s="442"/>
      <c r="S38" s="442"/>
      <c r="T38" s="442"/>
      <c r="U38" s="442"/>
      <c r="V38" s="442"/>
      <c r="W38" s="442"/>
      <c r="X38" s="442"/>
      <c r="Y38" s="442"/>
      <c r="Z38" s="442"/>
      <c r="AA38" s="442"/>
      <c r="AB38" s="442"/>
      <c r="AC38" s="442"/>
      <c r="AD38" s="442"/>
      <c r="AE38" s="442"/>
      <c r="AF38" s="442"/>
      <c r="AG38" s="442"/>
      <c r="AH38" s="442"/>
      <c r="AI38" s="442"/>
      <c r="AJ38" s="442"/>
      <c r="AK38" s="442"/>
      <c r="AL38" s="442"/>
      <c r="AM38" s="442"/>
      <c r="AN38" s="442"/>
      <c r="AO38" s="442"/>
      <c r="AP38" s="442"/>
    </row>
    <row r="39" spans="1:44" s="72" customFormat="1" ht="18" customHeight="1">
      <c r="A39" s="4381" t="s">
        <v>57</v>
      </c>
      <c r="B39" s="4382"/>
      <c r="C39" s="4382"/>
      <c r="D39" s="4382"/>
      <c r="E39" s="4382"/>
      <c r="F39" s="4383"/>
      <c r="G39" s="1114">
        <v>0</v>
      </c>
      <c r="H39" s="1114">
        <v>1.1499999999999999</v>
      </c>
      <c r="I39" s="3232">
        <v>0</v>
      </c>
      <c r="J39" s="3232" t="s">
        <v>56</v>
      </c>
      <c r="K39" s="1113">
        <v>0</v>
      </c>
      <c r="L39" s="442"/>
      <c r="M39" s="442"/>
      <c r="N39" s="442"/>
      <c r="O39" s="442"/>
      <c r="P39" s="442"/>
      <c r="Q39" s="442"/>
      <c r="R39" s="442"/>
      <c r="S39" s="442"/>
      <c r="T39" s="442"/>
      <c r="U39" s="442"/>
      <c r="V39" s="442"/>
      <c r="W39" s="442"/>
      <c r="X39" s="442"/>
      <c r="Y39" s="442"/>
      <c r="Z39" s="442"/>
      <c r="AA39" s="442"/>
      <c r="AB39" s="442"/>
      <c r="AC39" s="442"/>
      <c r="AD39" s="442"/>
      <c r="AE39" s="442"/>
      <c r="AF39" s="442"/>
      <c r="AG39" s="442"/>
      <c r="AH39" s="442"/>
      <c r="AI39" s="442"/>
      <c r="AJ39" s="442"/>
      <c r="AK39" s="442"/>
      <c r="AL39" s="442"/>
      <c r="AM39" s="442"/>
      <c r="AN39" s="442"/>
      <c r="AO39" s="442"/>
      <c r="AP39" s="442"/>
    </row>
    <row r="40" spans="1:44" s="72" customFormat="1" ht="18" customHeight="1">
      <c r="A40" s="4349" t="s">
        <v>58</v>
      </c>
      <c r="B40" s="4350"/>
      <c r="C40" s="4350"/>
      <c r="D40" s="4350"/>
      <c r="E40" s="4350"/>
      <c r="F40" s="4351"/>
      <c r="G40" s="1115" t="s">
        <v>4</v>
      </c>
      <c r="H40" s="1115" t="s">
        <v>4</v>
      </c>
      <c r="I40" s="3233" t="s">
        <v>4</v>
      </c>
      <c r="J40" s="3233" t="s">
        <v>4</v>
      </c>
      <c r="K40" s="1116" t="s">
        <v>4</v>
      </c>
      <c r="L40" s="442"/>
      <c r="M40" s="442"/>
      <c r="N40" s="442"/>
      <c r="O40" s="442"/>
      <c r="P40" s="442"/>
      <c r="Q40" s="442"/>
      <c r="R40" s="442"/>
      <c r="S40" s="442"/>
      <c r="T40" s="442"/>
      <c r="U40" s="442"/>
      <c r="V40" s="442"/>
      <c r="W40" s="442"/>
      <c r="X40" s="442"/>
      <c r="Y40" s="442"/>
      <c r="Z40" s="442"/>
      <c r="AA40" s="442"/>
      <c r="AB40" s="442"/>
      <c r="AC40" s="442"/>
      <c r="AD40" s="442"/>
      <c r="AE40" s="442"/>
      <c r="AF40" s="442"/>
      <c r="AG40" s="442"/>
      <c r="AH40" s="442"/>
      <c r="AI40" s="442"/>
      <c r="AJ40" s="442"/>
      <c r="AK40" s="442"/>
      <c r="AL40" s="442"/>
      <c r="AM40" s="442"/>
      <c r="AN40" s="442"/>
      <c r="AO40" s="442"/>
      <c r="AP40" s="442"/>
    </row>
    <row r="41" spans="1:44" s="63" customFormat="1" ht="18" hidden="1" customHeight="1">
      <c r="A41" s="3035" t="s">
        <v>2428</v>
      </c>
      <c r="B41" s="3036"/>
      <c r="C41" s="3037"/>
      <c r="D41" s="3036"/>
      <c r="E41" s="3036"/>
      <c r="F41" s="3036"/>
      <c r="G41" s="3036"/>
      <c r="H41" s="3241"/>
      <c r="I41" s="3036"/>
      <c r="J41" s="442"/>
      <c r="K41" s="442"/>
      <c r="L41" s="442"/>
      <c r="M41" s="387"/>
      <c r="N41" s="387"/>
      <c r="O41" s="387"/>
      <c r="P41" s="387"/>
      <c r="Q41" s="387"/>
      <c r="R41" s="387"/>
      <c r="S41" s="387"/>
      <c r="T41" s="387"/>
      <c r="U41" s="387"/>
      <c r="V41" s="387"/>
      <c r="W41" s="387"/>
      <c r="X41" s="387"/>
      <c r="Y41" s="387"/>
      <c r="Z41" s="387"/>
      <c r="AA41" s="387"/>
      <c r="AB41" s="387"/>
      <c r="AC41" s="387"/>
      <c r="AD41" s="387"/>
      <c r="AE41" s="387"/>
      <c r="AF41" s="387"/>
      <c r="AG41" s="387"/>
      <c r="AH41" s="387"/>
      <c r="AI41" s="387"/>
      <c r="AJ41" s="387"/>
      <c r="AK41" s="387"/>
      <c r="AL41" s="387"/>
      <c r="AM41" s="387"/>
      <c r="AN41" s="387"/>
    </row>
    <row r="42" spans="1:44" s="64" customFormat="1" ht="18" hidden="1" customHeight="1">
      <c r="A42" s="4353" t="s">
        <v>2429</v>
      </c>
      <c r="B42" s="4354"/>
      <c r="C42" s="4354"/>
      <c r="D42" s="4354"/>
      <c r="E42" s="4354"/>
      <c r="F42" s="4355"/>
      <c r="G42" s="3038">
        <v>0.15</v>
      </c>
      <c r="H42" s="3242"/>
      <c r="I42" s="3038">
        <f>G42</f>
        <v>0.15</v>
      </c>
      <c r="J42" s="442"/>
      <c r="K42" s="442"/>
      <c r="L42" s="442"/>
      <c r="M42" s="242"/>
      <c r="N42" s="242"/>
      <c r="O42" s="242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  <c r="AN42" s="242"/>
    </row>
    <row r="43" spans="1:44" s="64" customFormat="1" ht="18" hidden="1" customHeight="1">
      <c r="A43" s="4370" t="s">
        <v>2430</v>
      </c>
      <c r="B43" s="4371"/>
      <c r="C43" s="4371"/>
      <c r="D43" s="4371"/>
      <c r="E43" s="4371"/>
      <c r="F43" s="4372"/>
      <c r="G43" s="3041">
        <v>0.2</v>
      </c>
      <c r="H43" s="3041"/>
      <c r="I43" s="3041">
        <f>G43</f>
        <v>0.2</v>
      </c>
      <c r="J43" s="442"/>
      <c r="K43" s="442"/>
      <c r="L43" s="442"/>
      <c r="M43" s="242"/>
      <c r="N43" s="242"/>
      <c r="O43" s="242"/>
      <c r="P43" s="242"/>
      <c r="Q43" s="242"/>
      <c r="R43" s="242"/>
      <c r="S43" s="242"/>
      <c r="T43" s="242"/>
      <c r="U43" s="242"/>
      <c r="V43" s="242"/>
      <c r="W43" s="242"/>
      <c r="X43" s="242"/>
      <c r="Y43" s="242"/>
      <c r="Z43" s="242"/>
      <c r="AA43" s="242"/>
      <c r="AB43" s="242"/>
      <c r="AC43" s="242"/>
      <c r="AD43" s="242"/>
      <c r="AE43" s="242"/>
      <c r="AF43" s="242"/>
      <c r="AG43" s="242"/>
      <c r="AH43" s="242"/>
      <c r="AI43" s="242"/>
      <c r="AJ43" s="242"/>
      <c r="AK43" s="242"/>
      <c r="AL43" s="242"/>
      <c r="AM43" s="242"/>
      <c r="AN43" s="242"/>
    </row>
    <row r="44" spans="1:44" s="64" customFormat="1" ht="18" hidden="1" customHeight="1">
      <c r="A44" s="4282" t="s">
        <v>2431</v>
      </c>
      <c r="B44" s="4283"/>
      <c r="C44" s="4283"/>
      <c r="D44" s="4283"/>
      <c r="E44" s="4283"/>
      <c r="F44" s="4284"/>
      <c r="G44" s="3040">
        <v>0.3</v>
      </c>
      <c r="H44" s="3040"/>
      <c r="I44" s="3040">
        <f>G44</f>
        <v>0.3</v>
      </c>
      <c r="J44" s="442"/>
      <c r="K44" s="442"/>
      <c r="L44" s="442"/>
      <c r="M44" s="242"/>
      <c r="N44" s="242"/>
      <c r="O44" s="242"/>
      <c r="P44" s="242"/>
      <c r="Q44" s="242"/>
      <c r="R44" s="242"/>
      <c r="S44" s="242"/>
      <c r="T44" s="242"/>
      <c r="U44" s="242"/>
      <c r="V44" s="242"/>
      <c r="W44" s="242"/>
      <c r="X44" s="242"/>
      <c r="Y44" s="242"/>
      <c r="Z44" s="242"/>
      <c r="AA44" s="242"/>
      <c r="AB44" s="242"/>
      <c r="AC44" s="242"/>
      <c r="AD44" s="242"/>
      <c r="AE44" s="242"/>
      <c r="AF44" s="242"/>
      <c r="AG44" s="242"/>
      <c r="AH44" s="242"/>
      <c r="AI44" s="242"/>
      <c r="AJ44" s="242"/>
      <c r="AK44" s="242"/>
      <c r="AL44" s="242"/>
      <c r="AM44" s="242"/>
      <c r="AN44" s="242"/>
    </row>
    <row r="45" spans="1:44" ht="18" customHeight="1">
      <c r="B45" s="2377" t="s">
        <v>2423</v>
      </c>
      <c r="C45" s="196"/>
      <c r="F45" s="589"/>
      <c r="N45" s="242"/>
      <c r="O45" s="242"/>
      <c r="P45" s="242"/>
      <c r="Q45" s="242"/>
      <c r="R45" s="242"/>
      <c r="S45" s="242"/>
      <c r="T45" s="242"/>
      <c r="U45" s="242"/>
      <c r="V45" s="242"/>
      <c r="W45" s="242"/>
      <c r="X45" s="242"/>
      <c r="Y45" s="242"/>
      <c r="Z45" s="242"/>
      <c r="AA45" s="242"/>
      <c r="AB45" s="242"/>
      <c r="AC45" s="242"/>
      <c r="AD45" s="242"/>
      <c r="AE45" s="242"/>
      <c r="AF45" s="242"/>
      <c r="AG45" s="242"/>
      <c r="AH45" s="242"/>
      <c r="AI45" s="242"/>
      <c r="AJ45" s="242"/>
      <c r="AK45" s="242"/>
      <c r="AL45" s="242"/>
      <c r="AM45" s="242"/>
      <c r="AN45" s="242"/>
      <c r="AO45" s="242"/>
      <c r="AP45" s="242"/>
      <c r="AQ45" s="242"/>
      <c r="AR45" s="242"/>
    </row>
    <row r="46" spans="1:44" ht="37.5" customHeight="1">
      <c r="B46" s="4377" t="s">
        <v>2882</v>
      </c>
      <c r="C46" s="4377"/>
      <c r="D46" s="4377"/>
      <c r="E46" s="4377"/>
      <c r="F46" s="4377"/>
      <c r="G46" s="4377"/>
      <c r="H46" s="4377"/>
      <c r="I46" s="4377"/>
      <c r="J46" s="4377"/>
      <c r="K46" s="4377"/>
      <c r="L46" s="4377"/>
      <c r="N46" s="242"/>
      <c r="O46" s="242"/>
      <c r="P46" s="242"/>
      <c r="Q46" s="242"/>
      <c r="R46" s="242"/>
      <c r="S46" s="242"/>
      <c r="T46" s="242"/>
      <c r="U46" s="242"/>
      <c r="V46" s="242"/>
      <c r="W46" s="242"/>
      <c r="X46" s="242"/>
      <c r="Y46" s="242"/>
      <c r="Z46" s="242"/>
      <c r="AA46" s="242"/>
      <c r="AB46" s="242"/>
      <c r="AC46" s="242"/>
      <c r="AD46" s="242"/>
      <c r="AE46" s="242"/>
      <c r="AF46" s="242"/>
      <c r="AG46" s="242"/>
      <c r="AH46" s="242"/>
      <c r="AI46" s="242"/>
      <c r="AJ46" s="242"/>
      <c r="AK46" s="242"/>
      <c r="AL46" s="242"/>
      <c r="AM46" s="242"/>
      <c r="AN46" s="242"/>
      <c r="AO46" s="242"/>
      <c r="AP46" s="242"/>
      <c r="AQ46" s="242"/>
      <c r="AR46" s="242"/>
    </row>
    <row r="47" spans="1:44" ht="27" customHeight="1">
      <c r="B47" s="4377" t="s">
        <v>2883</v>
      </c>
      <c r="C47" s="4377"/>
      <c r="D47" s="4377"/>
      <c r="E47" s="4377"/>
      <c r="F47" s="4377"/>
      <c r="G47" s="4377"/>
      <c r="H47" s="4377"/>
      <c r="I47" s="4377"/>
      <c r="J47" s="4377"/>
      <c r="K47" s="4377"/>
      <c r="L47" s="4377"/>
      <c r="N47" s="242"/>
      <c r="O47" s="242"/>
      <c r="P47" s="242"/>
      <c r="Q47" s="242"/>
      <c r="R47" s="242"/>
      <c r="S47" s="242"/>
      <c r="T47" s="242"/>
      <c r="U47" s="242"/>
      <c r="V47" s="242"/>
      <c r="W47" s="242"/>
      <c r="X47" s="242"/>
      <c r="Y47" s="242"/>
      <c r="Z47" s="242"/>
      <c r="AA47" s="242"/>
      <c r="AB47" s="242"/>
      <c r="AC47" s="242"/>
      <c r="AD47" s="242"/>
      <c r="AE47" s="242"/>
      <c r="AF47" s="242"/>
      <c r="AG47" s="242"/>
      <c r="AH47" s="242"/>
      <c r="AI47" s="242"/>
      <c r="AJ47" s="242"/>
      <c r="AK47" s="242"/>
      <c r="AL47" s="242"/>
      <c r="AM47" s="242"/>
      <c r="AN47" s="242"/>
      <c r="AO47" s="242"/>
      <c r="AP47" s="242"/>
      <c r="AQ47" s="242"/>
      <c r="AR47" s="242"/>
    </row>
    <row r="48" spans="1:44">
      <c r="B48" s="4377" t="s">
        <v>2868</v>
      </c>
      <c r="C48" s="4377"/>
      <c r="D48" s="4377"/>
      <c r="E48" s="4377"/>
      <c r="F48" s="4377"/>
      <c r="G48" s="4377"/>
      <c r="H48" s="4377"/>
      <c r="I48" s="4377"/>
      <c r="J48" s="4377"/>
      <c r="K48" s="4377"/>
      <c r="L48" s="4377"/>
      <c r="N48" s="242"/>
      <c r="O48" s="242"/>
      <c r="P48" s="242"/>
      <c r="Q48" s="242"/>
      <c r="R48" s="242"/>
      <c r="S48" s="242"/>
      <c r="T48" s="242"/>
      <c r="U48" s="242"/>
      <c r="V48" s="242"/>
      <c r="W48" s="242"/>
      <c r="X48" s="242"/>
      <c r="Y48" s="242"/>
      <c r="Z48" s="242"/>
      <c r="AA48" s="242"/>
      <c r="AB48" s="242"/>
      <c r="AC48" s="242"/>
      <c r="AD48" s="242"/>
      <c r="AE48" s="242"/>
      <c r="AF48" s="242"/>
      <c r="AG48" s="242"/>
      <c r="AH48" s="242"/>
      <c r="AI48" s="242"/>
      <c r="AJ48" s="242"/>
      <c r="AK48" s="242"/>
      <c r="AL48" s="242"/>
      <c r="AM48" s="242"/>
      <c r="AN48" s="242"/>
      <c r="AO48" s="242"/>
      <c r="AP48" s="242"/>
      <c r="AQ48" s="242"/>
      <c r="AR48" s="242"/>
    </row>
    <row r="49" spans="1:44">
      <c r="B49" s="4377" t="s">
        <v>3423</v>
      </c>
      <c r="C49" s="4377"/>
      <c r="D49" s="4377"/>
      <c r="E49" s="4377"/>
      <c r="F49" s="4377"/>
      <c r="G49" s="4377"/>
      <c r="H49" s="4377"/>
      <c r="I49" s="4377"/>
      <c r="J49" s="4377"/>
      <c r="K49" s="4377"/>
      <c r="L49" s="4377"/>
      <c r="N49" s="242"/>
      <c r="O49" s="242"/>
      <c r="P49" s="242"/>
      <c r="Q49" s="242"/>
      <c r="R49" s="242"/>
      <c r="S49" s="242"/>
      <c r="T49" s="242"/>
      <c r="U49" s="242"/>
      <c r="V49" s="242"/>
      <c r="W49" s="242"/>
      <c r="X49" s="242"/>
      <c r="Y49" s="242"/>
      <c r="Z49" s="242"/>
      <c r="AA49" s="242"/>
      <c r="AB49" s="242"/>
      <c r="AC49" s="242"/>
      <c r="AD49" s="242"/>
      <c r="AE49" s="242"/>
      <c r="AF49" s="242"/>
      <c r="AG49" s="242"/>
      <c r="AH49" s="242"/>
      <c r="AI49" s="242"/>
      <c r="AJ49" s="242"/>
      <c r="AK49" s="242"/>
      <c r="AL49" s="242"/>
      <c r="AM49" s="242"/>
      <c r="AN49" s="242"/>
      <c r="AO49" s="242"/>
      <c r="AP49" s="242"/>
      <c r="AQ49" s="242"/>
      <c r="AR49" s="242"/>
    </row>
    <row r="50" spans="1:44">
      <c r="K50" s="49"/>
      <c r="N50" s="242"/>
      <c r="O50" s="242"/>
      <c r="P50" s="242"/>
      <c r="Q50" s="242"/>
      <c r="R50" s="242"/>
      <c r="S50" s="242"/>
      <c r="T50" s="242"/>
      <c r="U50" s="242"/>
      <c r="V50" s="242"/>
      <c r="W50" s="242"/>
      <c r="X50" s="242"/>
      <c r="Y50" s="242"/>
      <c r="Z50" s="242"/>
      <c r="AA50" s="242"/>
      <c r="AB50" s="242"/>
      <c r="AC50" s="242"/>
      <c r="AD50" s="242"/>
      <c r="AE50" s="242"/>
      <c r="AF50" s="242"/>
      <c r="AG50" s="242"/>
      <c r="AH50" s="242"/>
      <c r="AI50" s="242"/>
      <c r="AJ50" s="242"/>
      <c r="AK50" s="242"/>
      <c r="AL50" s="242"/>
      <c r="AM50" s="242"/>
      <c r="AN50" s="242"/>
      <c r="AO50" s="242"/>
      <c r="AP50" s="242"/>
      <c r="AQ50" s="242"/>
      <c r="AR50" s="242"/>
    </row>
    <row r="51" spans="1:44" s="359" customFormat="1">
      <c r="A51" s="74"/>
      <c r="B51" s="589"/>
      <c r="C51" s="589"/>
      <c r="D51" s="589"/>
      <c r="E51" s="60"/>
      <c r="F51" s="60"/>
      <c r="G51" s="53"/>
      <c r="H51" s="53"/>
      <c r="I51" s="53"/>
      <c r="J51" s="53"/>
      <c r="K51" s="53"/>
      <c r="L51" s="589"/>
      <c r="M51" s="589"/>
      <c r="N51" s="242"/>
      <c r="O51" s="442"/>
      <c r="P51" s="442"/>
      <c r="Q51" s="442"/>
      <c r="R51" s="442"/>
      <c r="S51" s="442"/>
      <c r="T51" s="442"/>
      <c r="U51" s="442"/>
      <c r="V51" s="442"/>
      <c r="W51" s="442"/>
      <c r="X51" s="442"/>
      <c r="Y51" s="442"/>
      <c r="Z51" s="442"/>
      <c r="AA51" s="442"/>
      <c r="AB51" s="442"/>
      <c r="AC51" s="442"/>
      <c r="AD51" s="442"/>
      <c r="AE51" s="442"/>
      <c r="AF51" s="442"/>
      <c r="AG51" s="442"/>
      <c r="AH51" s="442"/>
      <c r="AI51" s="442"/>
      <c r="AJ51" s="442"/>
      <c r="AK51" s="442"/>
      <c r="AL51" s="442"/>
      <c r="AM51" s="442"/>
      <c r="AN51" s="442"/>
      <c r="AO51" s="442"/>
      <c r="AP51" s="442"/>
      <c r="AQ51" s="442"/>
      <c r="AR51" s="442"/>
    </row>
    <row r="52" spans="1:44" s="75" customFormat="1">
      <c r="B52" s="589"/>
      <c r="C52" s="589"/>
      <c r="D52" s="589"/>
      <c r="E52" s="192"/>
      <c r="F52" s="192"/>
      <c r="G52" s="193"/>
      <c r="H52" s="193"/>
      <c r="I52" s="193"/>
      <c r="J52" s="194"/>
      <c r="K52" s="41"/>
      <c r="L52" s="589"/>
      <c r="M52" s="589"/>
      <c r="N52" s="242"/>
      <c r="O52" s="649"/>
      <c r="P52" s="649"/>
      <c r="Q52" s="649"/>
      <c r="R52" s="649"/>
      <c r="S52" s="649"/>
      <c r="T52" s="649"/>
      <c r="U52" s="649"/>
      <c r="V52" s="649"/>
      <c r="W52" s="649"/>
      <c r="X52" s="649"/>
      <c r="Y52" s="649"/>
      <c r="Z52" s="649"/>
      <c r="AA52" s="649"/>
      <c r="AB52" s="649"/>
      <c r="AC52" s="649"/>
      <c r="AD52" s="649"/>
      <c r="AE52" s="649"/>
      <c r="AF52" s="649"/>
      <c r="AG52" s="649"/>
      <c r="AH52" s="649"/>
      <c r="AI52" s="649"/>
      <c r="AJ52" s="649"/>
      <c r="AK52" s="649"/>
      <c r="AL52" s="649"/>
      <c r="AM52" s="649"/>
      <c r="AN52" s="649"/>
      <c r="AO52" s="649"/>
      <c r="AP52" s="649"/>
      <c r="AQ52" s="649"/>
      <c r="AR52" s="649"/>
    </row>
    <row r="53" spans="1:44" s="75" customFormat="1">
      <c r="B53" s="589"/>
      <c r="C53" s="589"/>
      <c r="D53" s="589"/>
      <c r="E53" s="199"/>
      <c r="F53" s="199"/>
      <c r="G53" s="193"/>
      <c r="H53" s="193"/>
      <c r="I53" s="199"/>
      <c r="J53" s="196"/>
      <c r="K53" s="41"/>
      <c r="L53" s="589"/>
      <c r="M53" s="589"/>
      <c r="N53" s="242"/>
      <c r="O53" s="649"/>
      <c r="P53" s="649"/>
      <c r="Q53" s="649"/>
      <c r="R53" s="649"/>
      <c r="S53" s="649"/>
      <c r="T53" s="649"/>
      <c r="U53" s="649"/>
      <c r="V53" s="649"/>
      <c r="W53" s="649"/>
      <c r="X53" s="649"/>
      <c r="Y53" s="649"/>
      <c r="Z53" s="649"/>
      <c r="AA53" s="649"/>
      <c r="AB53" s="649"/>
      <c r="AC53" s="649"/>
      <c r="AD53" s="649"/>
      <c r="AE53" s="649"/>
      <c r="AF53" s="649"/>
      <c r="AG53" s="649"/>
      <c r="AH53" s="649"/>
      <c r="AI53" s="649"/>
      <c r="AJ53" s="649"/>
      <c r="AK53" s="649"/>
      <c r="AL53" s="649"/>
      <c r="AM53" s="649"/>
      <c r="AN53" s="649"/>
      <c r="AO53" s="649"/>
      <c r="AP53" s="649"/>
      <c r="AQ53" s="649"/>
      <c r="AR53" s="649"/>
    </row>
    <row r="54" spans="1:44" s="75" customFormat="1">
      <c r="B54" s="589"/>
      <c r="C54" s="589"/>
      <c r="D54" s="589"/>
      <c r="E54" s="199"/>
      <c r="F54" s="199"/>
      <c r="G54" s="193"/>
      <c r="H54" s="193"/>
      <c r="I54" s="199"/>
      <c r="J54" s="196"/>
      <c r="K54" s="41"/>
      <c r="L54" s="589"/>
      <c r="M54" s="589"/>
      <c r="N54" s="242"/>
      <c r="O54" s="649"/>
      <c r="P54" s="649"/>
      <c r="Q54" s="649"/>
      <c r="R54" s="649"/>
      <c r="S54" s="649"/>
      <c r="T54" s="649"/>
      <c r="U54" s="649"/>
      <c r="V54" s="649"/>
      <c r="W54" s="649"/>
      <c r="X54" s="649"/>
      <c r="Y54" s="649"/>
      <c r="Z54" s="649"/>
      <c r="AA54" s="649"/>
      <c r="AB54" s="649"/>
      <c r="AC54" s="649"/>
      <c r="AD54" s="649"/>
      <c r="AE54" s="649"/>
      <c r="AF54" s="649"/>
      <c r="AG54" s="649"/>
      <c r="AH54" s="649"/>
      <c r="AI54" s="649"/>
      <c r="AJ54" s="649"/>
      <c r="AK54" s="649"/>
      <c r="AL54" s="649"/>
      <c r="AM54" s="649"/>
      <c r="AN54" s="649"/>
      <c r="AO54" s="649"/>
      <c r="AP54" s="649"/>
      <c r="AQ54" s="649"/>
      <c r="AR54" s="649"/>
    </row>
    <row r="55" spans="1:44" s="75" customFormat="1">
      <c r="B55" s="589"/>
      <c r="C55" s="589"/>
      <c r="D55" s="589"/>
      <c r="E55" s="199"/>
      <c r="F55" s="199"/>
      <c r="G55" s="193"/>
      <c r="H55" s="193"/>
      <c r="I55" s="199"/>
      <c r="J55" s="194"/>
      <c r="K55" s="11"/>
      <c r="L55" s="589"/>
      <c r="M55" s="589"/>
      <c r="N55" s="242"/>
      <c r="O55" s="649"/>
      <c r="P55" s="649"/>
      <c r="Q55" s="649"/>
      <c r="R55" s="649"/>
      <c r="S55" s="649"/>
      <c r="T55" s="649"/>
      <c r="U55" s="649"/>
      <c r="V55" s="649"/>
      <c r="W55" s="649"/>
      <c r="X55" s="649"/>
      <c r="Y55" s="649"/>
      <c r="Z55" s="649"/>
      <c r="AA55" s="649"/>
      <c r="AB55" s="649"/>
      <c r="AC55" s="649"/>
      <c r="AD55" s="649"/>
      <c r="AE55" s="649"/>
      <c r="AF55" s="649"/>
      <c r="AG55" s="649"/>
      <c r="AH55" s="649"/>
      <c r="AI55" s="649"/>
      <c r="AJ55" s="649"/>
      <c r="AK55" s="649"/>
      <c r="AL55" s="649"/>
      <c r="AM55" s="649"/>
      <c r="AN55" s="649"/>
      <c r="AO55" s="649"/>
      <c r="AP55" s="649"/>
      <c r="AQ55" s="649"/>
      <c r="AR55" s="649"/>
    </row>
    <row r="56" spans="1:44" s="75" customFormat="1">
      <c r="B56" s="192"/>
      <c r="C56" s="192"/>
      <c r="D56" s="199"/>
      <c r="E56" s="199"/>
      <c r="F56" s="199"/>
      <c r="G56" s="193"/>
      <c r="H56" s="193"/>
      <c r="I56" s="199"/>
      <c r="J56" s="196"/>
      <c r="K56" s="41"/>
      <c r="L56" s="589"/>
      <c r="M56" s="589"/>
      <c r="N56" s="242"/>
      <c r="O56" s="649"/>
      <c r="P56" s="649"/>
      <c r="Q56" s="649"/>
      <c r="R56" s="649"/>
      <c r="S56" s="649"/>
      <c r="T56" s="649"/>
      <c r="U56" s="649"/>
      <c r="V56" s="649"/>
      <c r="W56" s="649"/>
      <c r="X56" s="649"/>
      <c r="Y56" s="649"/>
      <c r="Z56" s="649"/>
      <c r="AA56" s="649"/>
      <c r="AB56" s="649"/>
      <c r="AC56" s="649"/>
      <c r="AD56" s="649"/>
      <c r="AE56" s="649"/>
      <c r="AF56" s="649"/>
      <c r="AG56" s="649"/>
      <c r="AH56" s="649"/>
      <c r="AI56" s="649"/>
      <c r="AJ56" s="649"/>
      <c r="AK56" s="649"/>
      <c r="AL56" s="649"/>
      <c r="AM56" s="649"/>
      <c r="AN56" s="649"/>
      <c r="AO56" s="649"/>
      <c r="AP56" s="649"/>
      <c r="AQ56" s="649"/>
      <c r="AR56" s="649"/>
    </row>
    <row r="57" spans="1:44" s="75" customFormat="1">
      <c r="B57" s="196"/>
      <c r="C57" s="196"/>
      <c r="D57" s="199"/>
      <c r="E57" s="199"/>
      <c r="F57" s="199"/>
      <c r="G57" s="193"/>
      <c r="H57" s="193"/>
      <c r="I57" s="199"/>
      <c r="J57" s="194"/>
      <c r="K57" s="11"/>
      <c r="L57" s="589"/>
      <c r="M57" s="589"/>
      <c r="N57" s="242"/>
      <c r="O57" s="649"/>
      <c r="P57" s="649"/>
      <c r="Q57" s="649"/>
      <c r="R57" s="649"/>
      <c r="S57" s="649"/>
      <c r="T57" s="649"/>
      <c r="U57" s="649"/>
      <c r="V57" s="649"/>
      <c r="W57" s="649"/>
      <c r="X57" s="649"/>
      <c r="Y57" s="649"/>
      <c r="Z57" s="649"/>
      <c r="AA57" s="649"/>
      <c r="AB57" s="649"/>
      <c r="AC57" s="649"/>
      <c r="AD57" s="649"/>
      <c r="AE57" s="649"/>
      <c r="AF57" s="649"/>
      <c r="AG57" s="649"/>
      <c r="AH57" s="649"/>
      <c r="AI57" s="649"/>
      <c r="AJ57" s="649"/>
      <c r="AK57" s="649"/>
      <c r="AL57" s="649"/>
      <c r="AM57" s="649"/>
      <c r="AN57" s="649"/>
      <c r="AO57" s="649"/>
      <c r="AP57" s="649"/>
      <c r="AQ57" s="649"/>
      <c r="AR57" s="649"/>
    </row>
    <row r="58" spans="1:44" s="75" customFormat="1">
      <c r="B58" s="196"/>
      <c r="C58" s="196"/>
      <c r="D58" s="199"/>
      <c r="E58" s="199"/>
      <c r="F58" s="199"/>
      <c r="G58" s="193"/>
      <c r="H58" s="193"/>
      <c r="I58" s="199"/>
      <c r="J58" s="194"/>
      <c r="K58" s="11"/>
      <c r="L58" s="589"/>
      <c r="M58" s="589"/>
      <c r="N58" s="242"/>
      <c r="O58" s="649"/>
      <c r="P58" s="649"/>
      <c r="Q58" s="649"/>
      <c r="R58" s="649"/>
      <c r="S58" s="649"/>
      <c r="T58" s="649"/>
      <c r="U58" s="649"/>
      <c r="V58" s="649"/>
      <c r="W58" s="649"/>
      <c r="X58" s="649"/>
      <c r="Y58" s="649"/>
      <c r="Z58" s="649"/>
      <c r="AA58" s="649"/>
      <c r="AB58" s="649"/>
      <c r="AC58" s="649"/>
      <c r="AD58" s="649"/>
      <c r="AE58" s="649"/>
      <c r="AF58" s="649"/>
      <c r="AG58" s="649"/>
      <c r="AH58" s="649"/>
      <c r="AI58" s="649"/>
      <c r="AJ58" s="649"/>
      <c r="AK58" s="649"/>
      <c r="AL58" s="649"/>
      <c r="AM58" s="649"/>
      <c r="AN58" s="649"/>
      <c r="AO58" s="649"/>
      <c r="AP58" s="649"/>
      <c r="AQ58" s="649"/>
      <c r="AR58" s="649"/>
    </row>
    <row r="59" spans="1:44" s="75" customFormat="1">
      <c r="B59" s="196"/>
      <c r="C59" s="196"/>
      <c r="D59" s="199"/>
      <c r="E59" s="199"/>
      <c r="F59" s="199"/>
      <c r="G59" s="193"/>
      <c r="H59" s="193"/>
      <c r="I59" s="199"/>
      <c r="J59" s="196"/>
      <c r="K59" s="41"/>
      <c r="L59" s="589"/>
      <c r="M59" s="589"/>
      <c r="N59" s="242"/>
      <c r="O59" s="649"/>
      <c r="P59" s="649"/>
      <c r="Q59" s="649"/>
      <c r="R59" s="649"/>
      <c r="S59" s="649"/>
      <c r="T59" s="649"/>
      <c r="U59" s="649"/>
      <c r="V59" s="649"/>
      <c r="W59" s="649"/>
      <c r="X59" s="649"/>
      <c r="Y59" s="649"/>
      <c r="Z59" s="649"/>
      <c r="AA59" s="649"/>
      <c r="AB59" s="649"/>
      <c r="AC59" s="649"/>
      <c r="AD59" s="649"/>
      <c r="AE59" s="649"/>
      <c r="AF59" s="649"/>
      <c r="AG59" s="649"/>
      <c r="AH59" s="649"/>
      <c r="AI59" s="649"/>
      <c r="AJ59" s="649"/>
      <c r="AK59" s="649"/>
      <c r="AL59" s="649"/>
      <c r="AM59" s="649"/>
      <c r="AN59" s="649"/>
      <c r="AO59" s="649"/>
      <c r="AP59" s="649"/>
      <c r="AQ59" s="649"/>
      <c r="AR59" s="649"/>
    </row>
    <row r="60" spans="1:44" s="75" customFormat="1">
      <c r="B60" s="196"/>
      <c r="C60" s="196"/>
      <c r="D60" s="199"/>
      <c r="E60" s="199"/>
      <c r="F60" s="199"/>
      <c r="G60" s="193"/>
      <c r="H60" s="193"/>
      <c r="I60" s="199"/>
      <c r="J60" s="194"/>
      <c r="K60" s="11"/>
      <c r="L60" s="589"/>
      <c r="M60" s="589"/>
      <c r="N60" s="242"/>
      <c r="O60" s="649"/>
      <c r="P60" s="649"/>
      <c r="Q60" s="649"/>
      <c r="R60" s="649"/>
      <c r="S60" s="649"/>
      <c r="T60" s="649"/>
      <c r="U60" s="649"/>
      <c r="V60" s="649"/>
      <c r="W60" s="649"/>
      <c r="X60" s="649"/>
      <c r="Y60" s="649"/>
      <c r="Z60" s="649"/>
      <c r="AA60" s="649"/>
      <c r="AB60" s="649"/>
      <c r="AC60" s="649"/>
      <c r="AD60" s="649"/>
      <c r="AE60" s="649"/>
      <c r="AF60" s="649"/>
      <c r="AG60" s="649"/>
      <c r="AH60" s="649"/>
      <c r="AI60" s="649"/>
      <c r="AJ60" s="649"/>
      <c r="AK60" s="649"/>
      <c r="AL60" s="649"/>
      <c r="AM60" s="649"/>
      <c r="AN60" s="649"/>
      <c r="AO60" s="649"/>
      <c r="AP60" s="649"/>
      <c r="AQ60" s="649"/>
      <c r="AR60" s="649"/>
    </row>
    <row r="61" spans="1:44" s="75" customFormat="1">
      <c r="B61" s="196"/>
      <c r="C61" s="196"/>
      <c r="D61" s="199"/>
      <c r="E61" s="199"/>
      <c r="F61" s="199"/>
      <c r="G61" s="193"/>
      <c r="H61" s="193"/>
      <c r="I61" s="199"/>
      <c r="J61" s="196"/>
      <c r="K61" s="41"/>
      <c r="L61" s="589"/>
      <c r="M61" s="589"/>
      <c r="N61" s="242"/>
      <c r="O61" s="649"/>
      <c r="P61" s="649"/>
      <c r="Q61" s="649"/>
      <c r="R61" s="649"/>
      <c r="S61" s="649"/>
      <c r="T61" s="649"/>
      <c r="U61" s="649"/>
      <c r="V61" s="649"/>
      <c r="W61" s="649"/>
      <c r="X61" s="649"/>
      <c r="Y61" s="649"/>
      <c r="Z61" s="649"/>
      <c r="AA61" s="649"/>
      <c r="AB61" s="649"/>
      <c r="AC61" s="649"/>
      <c r="AD61" s="649"/>
      <c r="AE61" s="649"/>
      <c r="AF61" s="649"/>
      <c r="AG61" s="649"/>
      <c r="AH61" s="649"/>
      <c r="AI61" s="649"/>
      <c r="AJ61" s="649"/>
      <c r="AK61" s="649"/>
      <c r="AL61" s="649"/>
      <c r="AM61" s="649"/>
      <c r="AN61" s="649"/>
      <c r="AO61" s="649"/>
      <c r="AP61" s="649"/>
      <c r="AQ61" s="649"/>
      <c r="AR61" s="649"/>
    </row>
    <row r="62" spans="1:44" ht="18" customHeight="1">
      <c r="N62" s="242"/>
      <c r="O62" s="242"/>
      <c r="P62" s="242"/>
      <c r="Q62" s="242"/>
      <c r="R62" s="242"/>
      <c r="S62" s="242"/>
      <c r="T62" s="242"/>
      <c r="U62" s="242"/>
      <c r="V62" s="242"/>
      <c r="W62" s="242"/>
      <c r="X62" s="242"/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</row>
    <row r="63" spans="1:44" ht="18" customHeight="1">
      <c r="N63" s="242"/>
    </row>
    <row r="64" spans="1:44" ht="18" customHeight="1"/>
    <row r="65" ht="18" customHeight="1"/>
    <row r="66" ht="18" customHeight="1"/>
    <row r="67" ht="18" customHeight="1"/>
    <row r="68" ht="18" customHeight="1"/>
    <row r="70" ht="15" customHeight="1"/>
  </sheetData>
  <mergeCells count="56">
    <mergeCell ref="B49:L49"/>
    <mergeCell ref="A35:D36"/>
    <mergeCell ref="E35:F35"/>
    <mergeCell ref="J5:J6"/>
    <mergeCell ref="B13:C13"/>
    <mergeCell ref="B14:C15"/>
    <mergeCell ref="B10:C10"/>
    <mergeCell ref="D10:D12"/>
    <mergeCell ref="E10:E12"/>
    <mergeCell ref="B11:C12"/>
    <mergeCell ref="A7:A12"/>
    <mergeCell ref="B7:C7"/>
    <mergeCell ref="D7:D9"/>
    <mergeCell ref="E7:E9"/>
    <mergeCell ref="B8:C9"/>
    <mergeCell ref="A13:A15"/>
    <mergeCell ref="D13:D15"/>
    <mergeCell ref="E13:E15"/>
    <mergeCell ref="D25:D27"/>
    <mergeCell ref="E25:E27"/>
    <mergeCell ref="D16:D18"/>
    <mergeCell ref="E19:E21"/>
    <mergeCell ref="E16:E18"/>
    <mergeCell ref="D19:D21"/>
    <mergeCell ref="D22:D24"/>
    <mergeCell ref="E22:E24"/>
    <mergeCell ref="A16:A27"/>
    <mergeCell ref="B16:C16"/>
    <mergeCell ref="B17:C18"/>
    <mergeCell ref="B19:C19"/>
    <mergeCell ref="B20:C21"/>
    <mergeCell ref="B25:C25"/>
    <mergeCell ref="B26:C27"/>
    <mergeCell ref="B22:C24"/>
    <mergeCell ref="G5:G6"/>
    <mergeCell ref="B3:E3"/>
    <mergeCell ref="A5:C6"/>
    <mergeCell ref="D5:D6"/>
    <mergeCell ref="E5:E6"/>
    <mergeCell ref="F5:F6"/>
    <mergeCell ref="A43:F43"/>
    <mergeCell ref="A30:F31"/>
    <mergeCell ref="B48:L48"/>
    <mergeCell ref="B46:L46"/>
    <mergeCell ref="E36:F36"/>
    <mergeCell ref="A38:F38"/>
    <mergeCell ref="A39:F39"/>
    <mergeCell ref="E33:F33"/>
    <mergeCell ref="E34:F34"/>
    <mergeCell ref="G30:G31"/>
    <mergeCell ref="J30:J31"/>
    <mergeCell ref="B47:L47"/>
    <mergeCell ref="A44:F44"/>
    <mergeCell ref="A33:D34"/>
    <mergeCell ref="A40:F40"/>
    <mergeCell ref="A42:F42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58" firstPageNumber="32" fitToHeight="0" orientation="landscape" useFirstPageNumber="1" r:id="rId1"/>
  <headerFooter>
    <oddFooter>&amp;L&amp;P&amp;R&amp;G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20">
    <tabColor rgb="FF92D050"/>
  </sheetPr>
  <dimension ref="A1:AT374"/>
  <sheetViews>
    <sheetView view="pageBreakPreview" zoomScale="85" zoomScaleNormal="100" zoomScaleSheetLayoutView="85" zoomScalePageLayoutView="85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B1" sqref="B1"/>
    </sheetView>
  </sheetViews>
  <sheetFormatPr defaultColWidth="8.85546875" defaultRowHeight="15"/>
  <cols>
    <col min="1" max="1" width="4.7109375" style="21" customWidth="1"/>
    <col min="2" max="2" width="11.7109375" style="21" customWidth="1"/>
    <col min="3" max="3" width="11.7109375" style="589" customWidth="1"/>
    <col min="4" max="5" width="11.7109375" style="21" customWidth="1"/>
    <col min="6" max="6" width="11.7109375" style="2" customWidth="1"/>
    <col min="7" max="7" width="15" style="21" bestFit="1" customWidth="1"/>
    <col min="8" max="8" width="20.28515625" style="589" customWidth="1"/>
    <col min="9" max="9" width="22.140625" style="589" customWidth="1"/>
    <col min="10" max="10" width="20.7109375" style="438" customWidth="1"/>
    <col min="11" max="12" width="20.7109375" style="589" customWidth="1"/>
    <col min="13" max="13" width="18.42578125" style="21" customWidth="1"/>
    <col min="14" max="15" width="12.28515625" style="438" customWidth="1"/>
    <col min="16" max="17" width="12.28515625" style="21" customWidth="1"/>
    <col min="18" max="18" width="12.28515625" style="438" customWidth="1"/>
    <col min="19" max="27" width="12.28515625" style="21" customWidth="1"/>
    <col min="28" max="29" width="12.28515625" style="359" customWidth="1"/>
    <col min="30" max="16384" width="8.85546875" style="21"/>
  </cols>
  <sheetData>
    <row r="1" spans="1:46" s="2273" customFormat="1" ht="18" customHeight="1">
      <c r="B1" s="2311" t="s">
        <v>490</v>
      </c>
      <c r="C1" s="2283"/>
      <c r="D1" s="2280"/>
      <c r="E1" s="2280"/>
      <c r="F1" s="2281"/>
      <c r="G1" s="2280"/>
      <c r="H1" s="2280"/>
      <c r="I1" s="2280"/>
      <c r="J1" s="2280"/>
      <c r="K1" s="2280"/>
      <c r="L1" s="2280"/>
      <c r="N1" s="2280"/>
      <c r="O1" s="2280"/>
      <c r="P1" s="2280"/>
      <c r="Q1" s="2280"/>
      <c r="R1" s="2280"/>
      <c r="S1" s="2280"/>
      <c r="T1" s="2280"/>
      <c r="U1" s="2284"/>
      <c r="V1" s="2284"/>
      <c r="W1" s="2284"/>
      <c r="X1" s="2284"/>
      <c r="Y1" s="2284"/>
      <c r="Z1" s="2284"/>
      <c r="AA1" s="2284"/>
      <c r="AB1" s="2284"/>
      <c r="AC1" s="2284"/>
      <c r="AD1" s="2284"/>
      <c r="AE1" s="2284"/>
      <c r="AF1" s="2284"/>
      <c r="AG1" s="2284"/>
      <c r="AH1" s="2284"/>
      <c r="AI1" s="2284"/>
      <c r="AJ1" s="2284"/>
      <c r="AK1" s="2284"/>
      <c r="AL1" s="2284"/>
      <c r="AM1" s="2284"/>
      <c r="AN1" s="2284"/>
      <c r="AO1" s="2284"/>
      <c r="AP1" s="2284"/>
      <c r="AQ1" s="2284"/>
      <c r="AR1" s="2284"/>
      <c r="AS1" s="2284"/>
      <c r="AT1" s="2284"/>
    </row>
    <row r="3" spans="1:46" s="589" customFormat="1" ht="90" customHeight="1">
      <c r="A3" s="7"/>
      <c r="B3" s="4397" t="s">
        <v>310</v>
      </c>
      <c r="C3" s="4398"/>
      <c r="D3" s="4398"/>
      <c r="E3" s="4399"/>
      <c r="F3" s="8"/>
      <c r="G3" s="7"/>
      <c r="H3" s="7"/>
      <c r="I3" s="7"/>
      <c r="J3" s="7"/>
      <c r="K3" s="7"/>
      <c r="L3" s="7"/>
      <c r="M3" s="7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  <c r="AK3" s="242"/>
      <c r="AL3" s="242"/>
      <c r="AM3" s="242"/>
      <c r="AN3" s="242"/>
      <c r="AO3" s="242"/>
      <c r="AP3" s="242"/>
    </row>
    <row r="4" spans="1:46" ht="15" customHeight="1">
      <c r="A4" s="138"/>
      <c r="B4" s="19" t="s">
        <v>59</v>
      </c>
      <c r="C4" s="19"/>
      <c r="D4" s="138"/>
      <c r="E4" s="138"/>
      <c r="F4" s="6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625"/>
      <c r="V4" s="625"/>
      <c r="W4" s="625"/>
      <c r="X4" s="625"/>
      <c r="Y4" s="625"/>
      <c r="Z4" s="625"/>
      <c r="AA4" s="625"/>
      <c r="AB4" s="625"/>
      <c r="AC4" s="625"/>
      <c r="AD4" s="625"/>
      <c r="AE4" s="625"/>
      <c r="AF4" s="625"/>
      <c r="AG4" s="625"/>
      <c r="AH4" s="625"/>
      <c r="AI4" s="625"/>
      <c r="AJ4" s="625"/>
      <c r="AK4" s="625"/>
      <c r="AL4" s="625"/>
      <c r="AM4" s="625"/>
      <c r="AN4" s="625"/>
      <c r="AO4" s="625"/>
      <c r="AP4" s="625"/>
      <c r="AQ4" s="625"/>
      <c r="AR4" s="625"/>
      <c r="AS4" s="625"/>
      <c r="AT4" s="625"/>
    </row>
    <row r="5" spans="1:46" ht="32.25" customHeight="1">
      <c r="A5" s="4220" t="s">
        <v>2</v>
      </c>
      <c r="B5" s="4221"/>
      <c r="C5" s="4222"/>
      <c r="D5" s="4201" t="s">
        <v>42</v>
      </c>
      <c r="E5" s="4201" t="s">
        <v>41</v>
      </c>
      <c r="F5" s="4201" t="s">
        <v>8</v>
      </c>
      <c r="G5" s="4292" t="s">
        <v>3452</v>
      </c>
      <c r="H5" s="4292" t="s">
        <v>3453</v>
      </c>
      <c r="I5" s="3988" t="s">
        <v>3454</v>
      </c>
      <c r="J5" s="4292" t="s">
        <v>2576</v>
      </c>
      <c r="K5" s="4411" t="s">
        <v>2575</v>
      </c>
      <c r="L5" s="2418" t="s">
        <v>2443</v>
      </c>
      <c r="M5" s="1051"/>
      <c r="N5" s="1051"/>
      <c r="O5" s="1051"/>
      <c r="P5" s="1051"/>
      <c r="Q5" s="625"/>
      <c r="R5" s="625"/>
      <c r="S5" s="625"/>
      <c r="T5" s="625"/>
      <c r="U5" s="625"/>
      <c r="V5" s="625"/>
      <c r="W5" s="625"/>
      <c r="X5" s="625"/>
      <c r="Y5" s="625"/>
      <c r="Z5" s="625"/>
      <c r="AA5" s="625"/>
      <c r="AB5" s="625"/>
      <c r="AC5" s="625"/>
      <c r="AD5" s="625"/>
      <c r="AE5" s="625"/>
      <c r="AF5" s="625"/>
      <c r="AG5" s="625"/>
      <c r="AH5" s="625"/>
      <c r="AI5" s="625"/>
      <c r="AJ5" s="625"/>
      <c r="AK5" s="625"/>
      <c r="AL5" s="625"/>
      <c r="AM5" s="625"/>
      <c r="AN5" s="625"/>
      <c r="AO5" s="625"/>
      <c r="AP5" s="625"/>
    </row>
    <row r="6" spans="1:46" s="589" customFormat="1" ht="18.75">
      <c r="A6" s="4223"/>
      <c r="B6" s="4224"/>
      <c r="C6" s="4225"/>
      <c r="D6" s="4412"/>
      <c r="E6" s="4412"/>
      <c r="F6" s="4412"/>
      <c r="G6" s="4293"/>
      <c r="H6" s="4293"/>
      <c r="I6" s="3285" t="s">
        <v>2940</v>
      </c>
      <c r="J6" s="4293"/>
      <c r="K6" s="4293"/>
      <c r="L6" s="2419" t="s">
        <v>2941</v>
      </c>
      <c r="M6" s="1051"/>
      <c r="N6" s="1051"/>
      <c r="O6" s="1051"/>
      <c r="P6" s="1051"/>
      <c r="Q6" s="625"/>
      <c r="R6" s="625"/>
      <c r="S6" s="625"/>
      <c r="T6" s="625"/>
      <c r="U6" s="625"/>
      <c r="V6" s="625"/>
      <c r="W6" s="625"/>
      <c r="X6" s="625"/>
      <c r="Y6" s="625"/>
      <c r="Z6" s="625"/>
      <c r="AA6" s="625"/>
      <c r="AB6" s="625"/>
      <c r="AC6" s="625"/>
      <c r="AD6" s="625"/>
      <c r="AE6" s="625"/>
      <c r="AF6" s="625"/>
      <c r="AG6" s="625"/>
      <c r="AH6" s="625"/>
      <c r="AI6" s="625"/>
      <c r="AJ6" s="625"/>
      <c r="AK6" s="625"/>
      <c r="AL6" s="625"/>
      <c r="AM6" s="625"/>
      <c r="AN6" s="625"/>
      <c r="AO6" s="625"/>
      <c r="AP6" s="625"/>
    </row>
    <row r="7" spans="1:46" s="431" customFormat="1" ht="24" customHeight="1">
      <c r="A7" s="4407" t="s">
        <v>30</v>
      </c>
      <c r="B7" s="4209" t="s">
        <v>284</v>
      </c>
      <c r="C7" s="4210"/>
      <c r="D7" s="4203" t="s">
        <v>35</v>
      </c>
      <c r="E7" s="4203" t="s">
        <v>34</v>
      </c>
      <c r="F7" s="132" t="s">
        <v>0</v>
      </c>
      <c r="G7" s="2352" t="s">
        <v>4</v>
      </c>
      <c r="H7" s="2587" t="s">
        <v>4</v>
      </c>
      <c r="I7" s="3297"/>
      <c r="J7" s="2352" t="s">
        <v>4</v>
      </c>
      <c r="K7" s="3304">
        <f>CEILING('Полотна база'!AW54*(1+скидки_наценки!$B$29)*скидки_наценки!$D$15*скидки_наценки!$F$15/скидки_наценки!$B$4,50)</f>
        <v>35450</v>
      </c>
      <c r="L7" s="2587">
        <f>CEILING(('Полотна база'!AX54+Алюм.погонаж!$E$24)*(1+скидки_наценки!$B$30)*скидки_наценки!$D$13*скидки_наценки!$F$13/скидки_наценки!$B$4, 50)</f>
        <v>31450</v>
      </c>
      <c r="M7" s="1058"/>
      <c r="N7" s="1058"/>
      <c r="O7" s="441"/>
      <c r="P7" s="1052"/>
      <c r="Q7" s="625"/>
      <c r="R7" s="625"/>
      <c r="S7" s="625"/>
      <c r="T7" s="625"/>
      <c r="U7" s="625"/>
      <c r="V7" s="625"/>
      <c r="W7" s="625"/>
      <c r="X7" s="625"/>
      <c r="Y7" s="625"/>
      <c r="Z7" s="625"/>
      <c r="AA7" s="625"/>
      <c r="AB7" s="625"/>
      <c r="AC7" s="625"/>
      <c r="AD7" s="625"/>
      <c r="AE7" s="625"/>
      <c r="AF7" s="625"/>
      <c r="AG7" s="625"/>
      <c r="AH7" s="625"/>
      <c r="AI7" s="625"/>
      <c r="AJ7" s="625"/>
      <c r="AK7" s="625"/>
      <c r="AL7" s="625"/>
      <c r="AM7" s="625"/>
      <c r="AN7" s="625"/>
      <c r="AO7" s="625"/>
      <c r="AP7" s="625"/>
    </row>
    <row r="8" spans="1:46" s="431" customFormat="1" ht="15" customHeight="1">
      <c r="A8" s="4408"/>
      <c r="B8" s="4226"/>
      <c r="C8" s="4227"/>
      <c r="D8" s="4204"/>
      <c r="E8" s="4204"/>
      <c r="F8" s="307" t="s">
        <v>306</v>
      </c>
      <c r="G8" s="2353" t="s">
        <v>4</v>
      </c>
      <c r="H8" s="2353" t="s">
        <v>4</v>
      </c>
      <c r="I8" s="2353"/>
      <c r="J8" s="2355" t="s">
        <v>4</v>
      </c>
      <c r="K8" s="3340">
        <f>IF(K7=0,0,(Погонаж!$C$13*2.5+Погонаж!$E$13*5))</f>
        <v>12375</v>
      </c>
      <c r="L8" s="2588">
        <f>IF(L7=0,0,(Погонаж!$C$13*2.5+Погонаж!$E$13*5))</f>
        <v>12375</v>
      </c>
      <c r="M8" s="1056"/>
      <c r="N8" s="1056"/>
      <c r="O8" s="441"/>
      <c r="P8" s="1053"/>
      <c r="Q8" s="625"/>
      <c r="R8" s="625"/>
      <c r="S8" s="625"/>
      <c r="T8" s="625"/>
      <c r="U8" s="625"/>
      <c r="V8" s="625"/>
      <c r="W8" s="625"/>
      <c r="X8" s="625"/>
      <c r="Y8" s="625"/>
      <c r="Z8" s="625"/>
      <c r="AA8" s="625"/>
      <c r="AB8" s="625"/>
      <c r="AC8" s="625"/>
      <c r="AD8" s="625"/>
      <c r="AE8" s="625"/>
      <c r="AF8" s="625"/>
      <c r="AG8" s="625"/>
      <c r="AH8" s="625"/>
      <c r="AI8" s="625"/>
      <c r="AJ8" s="625"/>
      <c r="AK8" s="625"/>
      <c r="AL8" s="625"/>
      <c r="AM8" s="625"/>
      <c r="AN8" s="625"/>
      <c r="AO8" s="625"/>
      <c r="AP8" s="625"/>
    </row>
    <row r="9" spans="1:46" s="431" customFormat="1" ht="23.25" customHeight="1">
      <c r="A9" s="4408"/>
      <c r="B9" s="4228"/>
      <c r="C9" s="4229"/>
      <c r="D9" s="4205"/>
      <c r="E9" s="4205"/>
      <c r="F9" s="30" t="s">
        <v>1</v>
      </c>
      <c r="G9" s="2184" t="s">
        <v>4</v>
      </c>
      <c r="H9" s="2184" t="s">
        <v>4</v>
      </c>
      <c r="I9" s="2184"/>
      <c r="J9" s="2354" t="s">
        <v>4</v>
      </c>
      <c r="K9" s="2406">
        <f>K7+K8</f>
        <v>47825</v>
      </c>
      <c r="L9" s="2406">
        <f>L7+L8</f>
        <v>43825</v>
      </c>
      <c r="M9" s="1059"/>
      <c r="N9" s="1059"/>
      <c r="O9" s="441"/>
      <c r="P9" s="1054"/>
      <c r="Q9" s="625"/>
      <c r="R9" s="625"/>
      <c r="S9" s="625"/>
      <c r="T9" s="625"/>
      <c r="U9" s="625"/>
      <c r="V9" s="625"/>
      <c r="W9" s="625"/>
      <c r="X9" s="625"/>
      <c r="Y9" s="625"/>
      <c r="Z9" s="625"/>
      <c r="AA9" s="625"/>
      <c r="AB9" s="625"/>
      <c r="AC9" s="625"/>
      <c r="AD9" s="625"/>
      <c r="AE9" s="625"/>
      <c r="AF9" s="625"/>
      <c r="AG9" s="625"/>
      <c r="AH9" s="625"/>
      <c r="AI9" s="625"/>
      <c r="AJ9" s="625"/>
      <c r="AK9" s="625"/>
      <c r="AL9" s="625"/>
      <c r="AM9" s="625"/>
      <c r="AN9" s="625"/>
      <c r="AO9" s="625"/>
      <c r="AP9" s="625"/>
    </row>
    <row r="10" spans="1:46" s="2335" customFormat="1" ht="24" hidden="1" customHeight="1">
      <c r="A10" s="4408"/>
      <c r="B10" s="4401" t="s">
        <v>2797</v>
      </c>
      <c r="C10" s="4402"/>
      <c r="D10" s="4400" t="s">
        <v>35</v>
      </c>
      <c r="E10" s="4400" t="s">
        <v>34</v>
      </c>
      <c r="F10" s="2350" t="s">
        <v>0</v>
      </c>
      <c r="G10" s="2356" t="s">
        <v>4</v>
      </c>
      <c r="H10" s="2586" t="s">
        <v>4</v>
      </c>
      <c r="I10" s="3298"/>
      <c r="J10" s="3124" t="s">
        <v>4</v>
      </c>
      <c r="K10" s="2575" t="s">
        <v>2612</v>
      </c>
      <c r="L10" s="2575" t="s">
        <v>2612</v>
      </c>
      <c r="M10" s="1052"/>
      <c r="N10" s="1052"/>
      <c r="O10" s="1055"/>
      <c r="P10" s="1055"/>
      <c r="Q10" s="625"/>
      <c r="R10" s="625"/>
      <c r="S10" s="625"/>
      <c r="T10" s="625"/>
      <c r="U10" s="625"/>
      <c r="V10" s="625"/>
      <c r="W10" s="625"/>
      <c r="X10" s="625"/>
      <c r="Y10" s="625"/>
      <c r="Z10" s="625"/>
      <c r="AA10" s="625"/>
      <c r="AB10" s="625"/>
      <c r="AC10" s="625"/>
      <c r="AD10" s="625"/>
      <c r="AE10" s="625"/>
      <c r="AF10" s="625"/>
      <c r="AG10" s="625"/>
      <c r="AH10" s="625"/>
      <c r="AI10" s="625"/>
      <c r="AJ10" s="625"/>
      <c r="AK10" s="625"/>
      <c r="AL10" s="625"/>
      <c r="AM10" s="625"/>
      <c r="AN10" s="625"/>
      <c r="AO10" s="625"/>
      <c r="AP10" s="625"/>
    </row>
    <row r="11" spans="1:46" s="2335" customFormat="1" ht="15" hidden="1" customHeight="1">
      <c r="A11" s="4408"/>
      <c r="B11" s="4403"/>
      <c r="C11" s="4404"/>
      <c r="D11" s="4400"/>
      <c r="E11" s="4400"/>
      <c r="F11" s="2350" t="s">
        <v>306</v>
      </c>
      <c r="G11" s="2357" t="s">
        <v>4</v>
      </c>
      <c r="H11" s="2585" t="s">
        <v>4</v>
      </c>
      <c r="I11" s="3286"/>
      <c r="J11" s="3122" t="s">
        <v>4</v>
      </c>
      <c r="K11" s="2521" t="s">
        <v>2612</v>
      </c>
      <c r="L11" s="2915" t="s">
        <v>2612</v>
      </c>
      <c r="M11" s="1053"/>
      <c r="N11" s="1053"/>
      <c r="O11" s="1056"/>
      <c r="P11" s="1056"/>
      <c r="Q11" s="625"/>
      <c r="R11" s="625"/>
      <c r="S11" s="625"/>
      <c r="T11" s="625"/>
      <c r="U11" s="625"/>
      <c r="V11" s="625"/>
      <c r="W11" s="625"/>
      <c r="X11" s="625"/>
      <c r="Y11" s="625"/>
      <c r="Z11" s="625"/>
      <c r="AA11" s="625"/>
      <c r="AB11" s="625"/>
      <c r="AC11" s="625"/>
      <c r="AD11" s="625"/>
      <c r="AE11" s="625"/>
      <c r="AF11" s="625"/>
      <c r="AG11" s="625"/>
      <c r="AH11" s="625"/>
      <c r="AI11" s="625"/>
      <c r="AJ11" s="625"/>
      <c r="AK11" s="625"/>
      <c r="AL11" s="625"/>
      <c r="AM11" s="625"/>
      <c r="AN11" s="625"/>
      <c r="AO11" s="625"/>
      <c r="AP11" s="625"/>
    </row>
    <row r="12" spans="1:46" s="2335" customFormat="1" ht="24" hidden="1" customHeight="1">
      <c r="A12" s="4409"/>
      <c r="B12" s="4405"/>
      <c r="C12" s="4406"/>
      <c r="D12" s="4400"/>
      <c r="E12" s="4400"/>
      <c r="F12" s="1062" t="s">
        <v>1</v>
      </c>
      <c r="G12" s="2358" t="s">
        <v>4</v>
      </c>
      <c r="H12" s="2358" t="s">
        <v>4</v>
      </c>
      <c r="I12" s="2358"/>
      <c r="J12" s="2358" t="s">
        <v>4</v>
      </c>
      <c r="K12" s="2407" t="s">
        <v>2612</v>
      </c>
      <c r="L12" s="2407" t="s">
        <v>2612</v>
      </c>
      <c r="M12" s="1054"/>
      <c r="N12" s="1054"/>
      <c r="O12" s="1057"/>
      <c r="P12" s="1057"/>
      <c r="Q12" s="625"/>
      <c r="R12" s="625"/>
      <c r="S12" s="625"/>
      <c r="T12" s="625"/>
      <c r="U12" s="625"/>
      <c r="V12" s="625"/>
      <c r="W12" s="625"/>
      <c r="X12" s="625"/>
      <c r="Y12" s="625"/>
      <c r="Z12" s="625"/>
      <c r="AA12" s="625"/>
      <c r="AB12" s="625"/>
      <c r="AC12" s="625"/>
      <c r="AD12" s="625"/>
      <c r="AE12" s="625"/>
      <c r="AF12" s="625"/>
      <c r="AG12" s="625"/>
      <c r="AH12" s="625"/>
      <c r="AI12" s="625"/>
      <c r="AJ12" s="625"/>
      <c r="AK12" s="625"/>
      <c r="AL12" s="625"/>
      <c r="AM12" s="625"/>
      <c r="AN12" s="625"/>
      <c r="AO12" s="625"/>
      <c r="AP12" s="625"/>
    </row>
    <row r="13" spans="1:46" s="9" customFormat="1" ht="24" customHeight="1">
      <c r="A13" s="4261" t="s">
        <v>26</v>
      </c>
      <c r="B13" s="4211" t="s">
        <v>2579</v>
      </c>
      <c r="C13" s="4212"/>
      <c r="D13" s="4400" t="s">
        <v>35</v>
      </c>
      <c r="E13" s="4400" t="s">
        <v>34</v>
      </c>
      <c r="F13" s="3287" t="s">
        <v>0</v>
      </c>
      <c r="G13" s="3289">
        <f>CEILING('Полотна база'!AU56*(1+скидки_наценки!$B$29)*скидки_наценки!$D$15*скидки_наценки!$F$15/скидки_наценки!$B$4, 50)</f>
        <v>33850</v>
      </c>
      <c r="H13" s="3289">
        <f>CEILING('Полотна база'!AV56*(1+скидки_наценки!$B$29)*скидки_наценки!$D$15*скидки_наценки!$F$15/скидки_наценки!$B$4, 50)</f>
        <v>36050</v>
      </c>
      <c r="I13" s="3298">
        <f>CEILING(('Полотна база'!AV56+Алюм.погонаж!$E$24)*(1+скидки_наценки!$B$29)*скидки_наценки!$D$15*скидки_наценки!$F$15/скидки_наценки!$B$4, 50)</f>
        <v>38900</v>
      </c>
      <c r="J13" s="3289">
        <f>CEILING('Полотна база'!AW56*(1+скидки_наценки!$B$29)*скидки_наценки!$D$15*скидки_наценки!$F$15/скидки_наценки!$B$4, 50)</f>
        <v>41350</v>
      </c>
      <c r="K13" s="3289">
        <f>CEILING('Полотна база'!AW56*(1+скидки_наценки!$B$29)*скидки_наценки!$D$15*скидки_наценки!$F$15/скидки_наценки!$B$4, 50)</f>
        <v>41350</v>
      </c>
      <c r="L13" s="3289">
        <f>CEILING(('Полотна база'!AX56+Алюм.погонаж!$E$24)*(1+скидки_наценки!$B$29)*скидки_наценки!$D$15*скидки_наценки!$F$15/скидки_наценки!$B$4, 50)</f>
        <v>35200</v>
      </c>
      <c r="M13" s="1052"/>
      <c r="N13" s="1052"/>
      <c r="O13" s="1055"/>
      <c r="P13" s="1055"/>
      <c r="Q13" s="625"/>
      <c r="R13" s="625"/>
      <c r="S13" s="625"/>
      <c r="T13" s="625"/>
      <c r="U13" s="625"/>
      <c r="V13" s="625"/>
      <c r="W13" s="625"/>
      <c r="X13" s="625"/>
      <c r="Y13" s="625"/>
      <c r="Z13" s="625"/>
      <c r="AA13" s="625"/>
      <c r="AB13" s="625"/>
      <c r="AC13" s="625"/>
      <c r="AD13" s="625"/>
      <c r="AE13" s="625"/>
      <c r="AF13" s="625"/>
      <c r="AG13" s="625"/>
      <c r="AH13" s="625"/>
      <c r="AI13" s="625"/>
      <c r="AJ13" s="625"/>
      <c r="AK13" s="625"/>
      <c r="AL13" s="625"/>
      <c r="AM13" s="625"/>
      <c r="AN13" s="625"/>
      <c r="AO13" s="625"/>
      <c r="AP13" s="625"/>
    </row>
    <row r="14" spans="1:46" s="9" customFormat="1" ht="15" customHeight="1">
      <c r="A14" s="4261"/>
      <c r="B14" s="4216"/>
      <c r="C14" s="4217"/>
      <c r="D14" s="4400"/>
      <c r="E14" s="4400"/>
      <c r="F14" s="3287" t="s">
        <v>306</v>
      </c>
      <c r="G14" s="3288">
        <f>IF(G13=0,0,(Погонаж!$C$15*2.5+Погонаж!$E$15*5))</f>
        <v>14375</v>
      </c>
      <c r="H14" s="3288">
        <f>IF(H13=0,0,(Погонаж!$C$15*2.5+Погонаж!$E$15*5))</f>
        <v>14375</v>
      </c>
      <c r="I14" s="3288">
        <f>IF(I13=0,0,(Погонаж!$C$15*2.5+Погонаж!$E$15*5))</f>
        <v>14375</v>
      </c>
      <c r="J14" s="3288">
        <f>IF(J13=0,0,(Погонаж!$C$15*2.5+Погонаж!$E$15*5))</f>
        <v>14375</v>
      </c>
      <c r="K14" s="3288">
        <f>IF(K13=0,0,(Погонаж!$C$15*2.5+Погонаж!$E$15*5))</f>
        <v>14375</v>
      </c>
      <c r="L14" s="3288">
        <f>IF(L13=0,0,(Погонаж!$C$15*2.5+Погонаж!$E$15*5))</f>
        <v>14375</v>
      </c>
      <c r="M14" s="1053"/>
      <c r="N14" s="1053"/>
      <c r="O14" s="1056"/>
      <c r="P14" s="1056"/>
      <c r="Q14" s="625"/>
      <c r="R14" s="625"/>
      <c r="S14" s="625"/>
      <c r="T14" s="625"/>
      <c r="U14" s="625"/>
      <c r="V14" s="625"/>
      <c r="W14" s="625"/>
      <c r="X14" s="625"/>
      <c r="Y14" s="625"/>
      <c r="Z14" s="625"/>
      <c r="AA14" s="625"/>
      <c r="AB14" s="625"/>
      <c r="AC14" s="625"/>
      <c r="AD14" s="625"/>
      <c r="AE14" s="625"/>
      <c r="AF14" s="625"/>
      <c r="AG14" s="625"/>
      <c r="AH14" s="625"/>
      <c r="AI14" s="625"/>
      <c r="AJ14" s="625"/>
      <c r="AK14" s="625"/>
      <c r="AL14" s="625"/>
      <c r="AM14" s="625"/>
      <c r="AN14" s="625"/>
      <c r="AO14" s="625"/>
      <c r="AP14" s="625"/>
    </row>
    <row r="15" spans="1:46" s="9" customFormat="1" ht="24" customHeight="1">
      <c r="A15" s="4261"/>
      <c r="B15" s="4218"/>
      <c r="C15" s="4219"/>
      <c r="D15" s="4400"/>
      <c r="E15" s="4400"/>
      <c r="F15" s="3293" t="s">
        <v>1</v>
      </c>
      <c r="G15" s="2407">
        <f>G13+G14</f>
        <v>48225</v>
      </c>
      <c r="H15" s="2407">
        <f>H13+H14</f>
        <v>50425</v>
      </c>
      <c r="I15" s="2407">
        <f>I13+I14</f>
        <v>53275</v>
      </c>
      <c r="J15" s="2407">
        <f>J13+J14</f>
        <v>55725</v>
      </c>
      <c r="K15" s="2407">
        <f>J15</f>
        <v>55725</v>
      </c>
      <c r="L15" s="2407">
        <f>G15</f>
        <v>48225</v>
      </c>
      <c r="M15" s="1054"/>
      <c r="N15" s="1054"/>
      <c r="O15" s="1057"/>
      <c r="P15" s="1057"/>
      <c r="Q15" s="625"/>
      <c r="R15" s="625"/>
      <c r="S15" s="625"/>
      <c r="T15" s="625"/>
      <c r="U15" s="625"/>
      <c r="V15" s="625"/>
      <c r="W15" s="625"/>
      <c r="X15" s="625"/>
      <c r="Y15" s="625"/>
      <c r="Z15" s="625"/>
      <c r="AA15" s="625"/>
      <c r="AB15" s="625"/>
      <c r="AC15" s="625"/>
      <c r="AD15" s="625"/>
      <c r="AE15" s="625"/>
      <c r="AF15" s="625"/>
      <c r="AG15" s="625"/>
      <c r="AH15" s="625"/>
      <c r="AI15" s="625"/>
      <c r="AJ15" s="625"/>
      <c r="AK15" s="625"/>
      <c r="AL15" s="625"/>
      <c r="AM15" s="625"/>
      <c r="AN15" s="625"/>
      <c r="AO15" s="625"/>
      <c r="AP15" s="625"/>
    </row>
    <row r="16" spans="1:46" s="9" customFormat="1" ht="24" customHeight="1">
      <c r="A16" s="4261"/>
      <c r="B16" s="4211" t="s">
        <v>3380</v>
      </c>
      <c r="C16" s="4212"/>
      <c r="D16" s="4400" t="s">
        <v>35</v>
      </c>
      <c r="E16" s="4400" t="s">
        <v>34</v>
      </c>
      <c r="F16" s="3845" t="s">
        <v>0</v>
      </c>
      <c r="G16" s="3913">
        <f>CEILING('Полотна база'!AU57*(1+скидки_наценки!$B$29)*скидки_наценки!$D$15*скидки_наценки!$F$15/скидки_наценки!$B$4, 50)</f>
        <v>34900</v>
      </c>
      <c r="H16" s="3913">
        <f>CEILING('Полотна база'!AU57*(1+скидки_наценки!$B$29)*скидки_наценки!$D$15*скидки_наценки!$F$15/скидки_наценки!$B$4, 50)</f>
        <v>34900</v>
      </c>
      <c r="I16" s="3298">
        <f>CEILING(('Полотна база'!AV57+Алюм.погонаж!$E$24)*(1+скидки_наценки!$B$29)*скидки_наценки!$D$15*скидки_наценки!$F$15/скидки_наценки!$B$4, 50)</f>
        <v>39950</v>
      </c>
      <c r="J16" s="3913" t="s">
        <v>2612</v>
      </c>
      <c r="K16" s="3913" t="s">
        <v>2612</v>
      </c>
      <c r="L16" s="3913" t="s">
        <v>2612</v>
      </c>
      <c r="M16" s="1054"/>
      <c r="N16" s="1054"/>
      <c r="O16" s="1057"/>
      <c r="P16" s="1057"/>
      <c r="Q16" s="625"/>
      <c r="R16" s="625"/>
      <c r="S16" s="625"/>
      <c r="T16" s="625"/>
      <c r="U16" s="625"/>
      <c r="V16" s="625"/>
      <c r="W16" s="625"/>
      <c r="X16" s="625"/>
      <c r="Y16" s="625"/>
      <c r="Z16" s="625"/>
      <c r="AA16" s="625"/>
      <c r="AB16" s="625"/>
      <c r="AC16" s="625"/>
      <c r="AD16" s="625"/>
      <c r="AE16" s="625"/>
      <c r="AF16" s="625"/>
      <c r="AG16" s="625"/>
      <c r="AH16" s="625"/>
      <c r="AI16" s="625"/>
      <c r="AJ16" s="625"/>
      <c r="AK16" s="625"/>
      <c r="AL16" s="625"/>
      <c r="AM16" s="625"/>
      <c r="AN16" s="625"/>
      <c r="AO16" s="625"/>
      <c r="AP16" s="625"/>
    </row>
    <row r="17" spans="1:42" s="9" customFormat="1" ht="24" customHeight="1">
      <c r="A17" s="4261"/>
      <c r="B17" s="4322"/>
      <c r="C17" s="4323"/>
      <c r="D17" s="4400"/>
      <c r="E17" s="4400"/>
      <c r="F17" s="3845" t="s">
        <v>306</v>
      </c>
      <c r="G17" s="3912">
        <f>IF(G16=0,0,(Погонаж!C16*2.5+Погонаж!E16*5))</f>
        <v>14750</v>
      </c>
      <c r="H17" s="3912">
        <f>IF(H16=0,0,(Погонаж!C16*2.5+Погонаж!E16*5))</f>
        <v>14750</v>
      </c>
      <c r="I17" s="3912">
        <f>IF(I16=0,0,(Погонаж!C16*2.5+Погонаж!E16*5))</f>
        <v>14750</v>
      </c>
      <c r="J17" s="3913" t="s">
        <v>2612</v>
      </c>
      <c r="K17" s="3913" t="s">
        <v>2612</v>
      </c>
      <c r="L17" s="3913" t="s">
        <v>2612</v>
      </c>
      <c r="M17" s="1054"/>
      <c r="N17" s="1054"/>
      <c r="O17" s="1057"/>
      <c r="P17" s="1057"/>
      <c r="Q17" s="625"/>
      <c r="R17" s="625"/>
      <c r="S17" s="625"/>
      <c r="T17" s="625"/>
      <c r="U17" s="625"/>
      <c r="V17" s="625"/>
      <c r="W17" s="625"/>
      <c r="X17" s="625"/>
      <c r="Y17" s="625"/>
      <c r="Z17" s="625"/>
      <c r="AA17" s="625"/>
      <c r="AB17" s="625"/>
      <c r="AC17" s="625"/>
      <c r="AD17" s="625"/>
      <c r="AE17" s="625"/>
      <c r="AF17" s="625"/>
      <c r="AG17" s="625"/>
      <c r="AH17" s="625"/>
      <c r="AI17" s="625"/>
      <c r="AJ17" s="625"/>
      <c r="AK17" s="625"/>
      <c r="AL17" s="625"/>
      <c r="AM17" s="625"/>
      <c r="AN17" s="625"/>
      <c r="AO17" s="625"/>
      <c r="AP17" s="625"/>
    </row>
    <row r="18" spans="1:42" s="9" customFormat="1" ht="24" customHeight="1">
      <c r="A18" s="4261"/>
      <c r="B18" s="4324"/>
      <c r="C18" s="4325"/>
      <c r="D18" s="4400"/>
      <c r="E18" s="4400"/>
      <c r="F18" s="3847" t="s">
        <v>1</v>
      </c>
      <c r="G18" s="2407">
        <f>G16+G17</f>
        <v>49650</v>
      </c>
      <c r="H18" s="2407">
        <f>H16+H17</f>
        <v>49650</v>
      </c>
      <c r="I18" s="2407">
        <f>I16+I17</f>
        <v>54700</v>
      </c>
      <c r="J18" s="3913" t="s">
        <v>2612</v>
      </c>
      <c r="K18" s="3913" t="s">
        <v>2612</v>
      </c>
      <c r="L18" s="3913" t="s">
        <v>2612</v>
      </c>
      <c r="M18" s="1054"/>
      <c r="N18" s="1054"/>
      <c r="O18" s="1057"/>
      <c r="P18" s="1057"/>
      <c r="Q18" s="625"/>
      <c r="R18" s="625"/>
      <c r="S18" s="625"/>
      <c r="T18" s="625"/>
      <c r="U18" s="625"/>
      <c r="V18" s="625"/>
      <c r="W18" s="625"/>
      <c r="X18" s="625"/>
      <c r="Y18" s="625"/>
      <c r="Z18" s="625"/>
      <c r="AA18" s="625"/>
      <c r="AB18" s="625"/>
      <c r="AC18" s="625"/>
      <c r="AD18" s="625"/>
      <c r="AE18" s="625"/>
      <c r="AF18" s="625"/>
      <c r="AG18" s="625"/>
      <c r="AH18" s="625"/>
      <c r="AI18" s="625"/>
      <c r="AJ18" s="625"/>
      <c r="AK18" s="625"/>
      <c r="AL18" s="625"/>
      <c r="AM18" s="625"/>
      <c r="AN18" s="625"/>
      <c r="AO18" s="625"/>
      <c r="AP18" s="625"/>
    </row>
    <row r="19" spans="1:42" s="23" customFormat="1" ht="24" customHeight="1">
      <c r="A19" s="4261"/>
      <c r="B19" s="4209" t="s">
        <v>2798</v>
      </c>
      <c r="C19" s="4210"/>
      <c r="D19" s="4249" t="s">
        <v>35</v>
      </c>
      <c r="E19" s="4249" t="s">
        <v>34</v>
      </c>
      <c r="F19" s="3294" t="s">
        <v>0</v>
      </c>
      <c r="G19" s="3290">
        <f>CEILING('Полотна база'!AU58*(1+скидки_наценки!$B$29)*скидки_наценки!$D$15*скидки_наценки!$F$15/скидки_наценки!$B$4, 50)</f>
        <v>36000</v>
      </c>
      <c r="H19" s="3290">
        <f>CEILING('Полотна база'!AV58*(1+скидки_наценки!$B$29)*скидки_наценки!$D$15*скидки_наценки!$F$15/скидки_наценки!$B$4, 50)</f>
        <v>38200</v>
      </c>
      <c r="I19" s="3297">
        <f>CEILING(('Полотна база'!AV58+Алюм.погонаж!$E$24)*(1+скидки_наценки!$B$29)*скидки_наценки!$D$15*скидки_наценки!$F$15/скидки_наценки!$B$4, 50)</f>
        <v>41050</v>
      </c>
      <c r="J19" s="3290" t="s">
        <v>2612</v>
      </c>
      <c r="K19" s="3290" t="s">
        <v>2612</v>
      </c>
      <c r="L19" s="3290" t="s">
        <v>4</v>
      </c>
      <c r="M19" s="1052"/>
      <c r="N19" s="1052"/>
      <c r="O19" s="1055"/>
      <c r="P19" s="1055"/>
      <c r="Q19" s="625"/>
      <c r="R19" s="625"/>
      <c r="S19" s="625"/>
      <c r="T19" s="625"/>
      <c r="U19" s="625"/>
      <c r="V19" s="625"/>
      <c r="W19" s="625"/>
      <c r="X19" s="625"/>
      <c r="Y19" s="625"/>
      <c r="Z19" s="625"/>
      <c r="AA19" s="625"/>
      <c r="AB19" s="625"/>
      <c r="AC19" s="625"/>
      <c r="AD19" s="625"/>
      <c r="AE19" s="625"/>
      <c r="AF19" s="625"/>
      <c r="AG19" s="625"/>
      <c r="AH19" s="625"/>
      <c r="AI19" s="625"/>
      <c r="AJ19" s="625"/>
      <c r="AK19" s="625"/>
      <c r="AL19" s="625"/>
      <c r="AM19" s="625"/>
      <c r="AN19" s="625"/>
      <c r="AO19" s="625"/>
      <c r="AP19" s="625"/>
    </row>
    <row r="20" spans="1:42" s="305" customFormat="1" ht="15" customHeight="1">
      <c r="A20" s="4261"/>
      <c r="B20" s="4226"/>
      <c r="C20" s="4227"/>
      <c r="D20" s="4249"/>
      <c r="E20" s="4249"/>
      <c r="F20" s="3294" t="s">
        <v>306</v>
      </c>
      <c r="G20" s="3291">
        <f>IF(G19=0,0,(Погонаж!$C$17*2.5+Погонаж!$E$17*5))</f>
        <v>15250</v>
      </c>
      <c r="H20" s="3291">
        <f>IF(H19=0,0,(Погонаж!$C$17*2.5+Погонаж!$E$17*5))</f>
        <v>15250</v>
      </c>
      <c r="I20" s="3291">
        <f>IF(I19=0,0,(Погонаж!$C$17*2.5+Погонаж!$E$17*5))</f>
        <v>15250</v>
      </c>
      <c r="J20" s="3291" t="s">
        <v>2616</v>
      </c>
      <c r="K20" s="3291" t="s">
        <v>2612</v>
      </c>
      <c r="L20" s="3291" t="s">
        <v>4</v>
      </c>
      <c r="M20" s="1053"/>
      <c r="N20" s="1053"/>
      <c r="O20" s="1056"/>
      <c r="P20" s="1056"/>
      <c r="Q20" s="625"/>
      <c r="R20" s="625"/>
      <c r="S20" s="625"/>
      <c r="T20" s="625"/>
      <c r="U20" s="625"/>
      <c r="V20" s="625"/>
      <c r="W20" s="625"/>
      <c r="X20" s="625"/>
      <c r="Y20" s="625"/>
      <c r="Z20" s="625"/>
      <c r="AA20" s="625"/>
      <c r="AB20" s="625"/>
      <c r="AC20" s="625"/>
      <c r="AD20" s="625"/>
      <c r="AE20" s="625"/>
      <c r="AF20" s="625"/>
      <c r="AG20" s="625"/>
      <c r="AH20" s="625"/>
      <c r="AI20" s="625"/>
      <c r="AJ20" s="625"/>
      <c r="AK20" s="625"/>
      <c r="AL20" s="625"/>
      <c r="AM20" s="625"/>
      <c r="AN20" s="625"/>
      <c r="AO20" s="625"/>
      <c r="AP20" s="625"/>
    </row>
    <row r="21" spans="1:42" s="23" customFormat="1" ht="24" customHeight="1">
      <c r="A21" s="4261"/>
      <c r="B21" s="4228"/>
      <c r="C21" s="4229"/>
      <c r="D21" s="4249"/>
      <c r="E21" s="4249"/>
      <c r="F21" s="3295" t="s">
        <v>1</v>
      </c>
      <c r="G21" s="2406">
        <f>G19+G20</f>
        <v>51250</v>
      </c>
      <c r="H21" s="2406">
        <f>H19+H20</f>
        <v>53450</v>
      </c>
      <c r="I21" s="2406">
        <f>I19+I20</f>
        <v>56300</v>
      </c>
      <c r="J21" s="2406" t="s">
        <v>2612</v>
      </c>
      <c r="K21" s="2406" t="s">
        <v>2612</v>
      </c>
      <c r="L21" s="2406" t="s">
        <v>4</v>
      </c>
      <c r="M21" s="1054"/>
      <c r="N21" s="1054"/>
      <c r="O21" s="1057"/>
      <c r="P21" s="1057"/>
      <c r="Q21" s="625"/>
      <c r="R21" s="625"/>
      <c r="S21" s="625"/>
      <c r="T21" s="625"/>
      <c r="U21" s="625"/>
      <c r="V21" s="625"/>
      <c r="W21" s="625"/>
      <c r="X21" s="625"/>
      <c r="Y21" s="625"/>
      <c r="Z21" s="625"/>
      <c r="AA21" s="625"/>
      <c r="AB21" s="625"/>
      <c r="AC21" s="625"/>
      <c r="AD21" s="625"/>
      <c r="AE21" s="625"/>
      <c r="AF21" s="625"/>
      <c r="AG21" s="625"/>
      <c r="AH21" s="625"/>
      <c r="AI21" s="625"/>
      <c r="AJ21" s="625"/>
      <c r="AK21" s="625"/>
      <c r="AL21" s="625"/>
      <c r="AM21" s="625"/>
      <c r="AN21" s="625"/>
      <c r="AO21" s="625"/>
      <c r="AP21" s="625"/>
    </row>
    <row r="22" spans="1:42" s="210" customFormat="1" ht="15.75" customHeight="1">
      <c r="A22" s="1078"/>
      <c r="B22" s="4410" t="s">
        <v>2810</v>
      </c>
      <c r="C22" s="4410"/>
      <c r="D22" s="4410"/>
      <c r="E22" s="4410"/>
      <c r="F22" s="4410"/>
      <c r="G22" s="4410"/>
      <c r="H22" s="4410"/>
      <c r="I22" s="4410"/>
      <c r="J22" s="4410"/>
      <c r="K22" s="4410"/>
      <c r="L22" s="4410"/>
      <c r="M22" s="289"/>
      <c r="N22" s="1032"/>
      <c r="O22" s="1032"/>
      <c r="P22" s="1032"/>
      <c r="Q22" s="1032"/>
      <c r="R22" s="1032"/>
      <c r="S22" s="1032"/>
      <c r="T22" s="1032"/>
      <c r="U22" s="1032"/>
      <c r="V22" s="1032"/>
      <c r="W22" s="1032"/>
      <c r="X22" s="1032"/>
      <c r="Y22" s="1032"/>
      <c r="Z22" s="1032"/>
      <c r="AA22" s="1032"/>
      <c r="AB22" s="1032"/>
      <c r="AC22" s="1032"/>
      <c r="AD22" s="1032"/>
      <c r="AE22" s="1032"/>
      <c r="AF22" s="1032"/>
      <c r="AG22" s="1032"/>
      <c r="AH22" s="1032"/>
      <c r="AI22" s="1032"/>
      <c r="AJ22" s="1032"/>
      <c r="AK22" s="1032"/>
    </row>
    <row r="23" spans="1:42" ht="18" customHeight="1">
      <c r="A23" s="242"/>
      <c r="B23" s="242"/>
      <c r="C23" s="242"/>
      <c r="D23" s="242"/>
      <c r="E23" s="242"/>
      <c r="F23" s="242"/>
      <c r="G23" s="242"/>
      <c r="H23" s="242"/>
      <c r="I23" s="242"/>
      <c r="J23" s="242"/>
      <c r="K23" s="242"/>
      <c r="L23" s="242"/>
      <c r="M23" s="1060"/>
      <c r="N23" s="242"/>
      <c r="O23" s="242"/>
      <c r="P23" s="242"/>
      <c r="Q23" s="242"/>
      <c r="R23" s="242"/>
      <c r="S23" s="242"/>
      <c r="T23" s="242"/>
    </row>
    <row r="24" spans="1:42" ht="18" customHeight="1">
      <c r="A24" s="11"/>
      <c r="B24" s="60" t="s">
        <v>20</v>
      </c>
      <c r="C24" s="60"/>
      <c r="D24" s="11"/>
      <c r="E24" s="11"/>
      <c r="F24" s="11"/>
      <c r="G24" s="11"/>
      <c r="H24" s="242"/>
      <c r="I24" s="242"/>
      <c r="J24" s="242"/>
      <c r="K24" s="242"/>
      <c r="L24" s="242"/>
      <c r="M24" s="242"/>
      <c r="N24" s="242"/>
      <c r="O24" s="242"/>
      <c r="P24" s="616"/>
      <c r="Q24" s="616"/>
      <c r="R24" s="616"/>
      <c r="S24" s="242"/>
      <c r="T24" s="616"/>
      <c r="U24" s="33"/>
    </row>
    <row r="25" spans="1:42" ht="18" customHeight="1">
      <c r="A25" s="4373" t="s">
        <v>2867</v>
      </c>
      <c r="B25" s="4374"/>
      <c r="C25" s="4374"/>
      <c r="D25" s="4374"/>
      <c r="E25" s="4374"/>
      <c r="F25" s="4374"/>
      <c r="G25" s="4388" t="str">
        <f t="shared" ref="G25:L25" si="0">G5</f>
        <v>серия 
Unit</v>
      </c>
      <c r="H25" s="4388" t="str">
        <f t="shared" si="0"/>
        <v>Unit Slot 10-111</v>
      </c>
      <c r="I25" s="3299" t="str">
        <f t="shared" si="0"/>
        <v>Unit Slot 10-122/123</v>
      </c>
      <c r="J25" s="4388" t="str">
        <f t="shared" si="0"/>
        <v>серия 
Capriccio</v>
      </c>
      <c r="K25" s="4388" t="str">
        <f t="shared" si="0"/>
        <v>серия  
Spline</v>
      </c>
      <c r="L25" s="3301" t="str">
        <f t="shared" si="0"/>
        <v>серия Wave</v>
      </c>
      <c r="M25" s="242"/>
      <c r="N25" s="242"/>
      <c r="O25" s="242"/>
      <c r="P25" s="616"/>
      <c r="Q25" s="616"/>
      <c r="R25" s="616"/>
      <c r="S25" s="242"/>
      <c r="T25" s="616"/>
      <c r="U25" s="33"/>
    </row>
    <row r="26" spans="1:42" ht="18" customHeight="1">
      <c r="A26" s="4375"/>
      <c r="B26" s="4376"/>
      <c r="C26" s="4376"/>
      <c r="D26" s="4376"/>
      <c r="E26" s="4376"/>
      <c r="F26" s="4376"/>
      <c r="G26" s="4389"/>
      <c r="H26" s="4389"/>
      <c r="I26" s="3245" t="str">
        <f>I6</f>
        <v xml:space="preserve">кромка 2AL </v>
      </c>
      <c r="J26" s="4389"/>
      <c r="K26" s="4389"/>
      <c r="L26" s="3300" t="str">
        <f>L6</f>
        <v>кромка 2AL</v>
      </c>
      <c r="M26" s="242"/>
      <c r="N26" s="242"/>
      <c r="O26" s="242"/>
      <c r="P26" s="242"/>
      <c r="Q26" s="242"/>
      <c r="R26" s="242"/>
      <c r="S26" s="242"/>
      <c r="T26" s="242"/>
    </row>
    <row r="27" spans="1:42" ht="18" customHeight="1">
      <c r="A27" s="866" t="s">
        <v>2436</v>
      </c>
      <c r="B27" s="867"/>
      <c r="C27" s="1109"/>
      <c r="D27" s="867"/>
      <c r="E27" s="867"/>
      <c r="F27" s="867"/>
      <c r="G27" s="3244"/>
      <c r="H27" s="3244"/>
      <c r="I27" s="3244"/>
      <c r="J27" s="3244"/>
      <c r="K27" s="3244"/>
      <c r="L27" s="3244"/>
      <c r="M27" s="242"/>
      <c r="N27" s="242"/>
      <c r="O27" s="242"/>
      <c r="P27" s="242"/>
      <c r="Q27" s="242"/>
      <c r="R27" s="242"/>
      <c r="S27" s="242"/>
      <c r="T27" s="242"/>
    </row>
    <row r="28" spans="1:42" ht="18" customHeight="1">
      <c r="A28" s="4314" t="s">
        <v>2437</v>
      </c>
      <c r="B28" s="4315"/>
      <c r="C28" s="4315"/>
      <c r="D28" s="4414"/>
      <c r="E28" s="4256" t="s">
        <v>2439</v>
      </c>
      <c r="F28" s="4257"/>
      <c r="G28" s="3247" t="s">
        <v>4</v>
      </c>
      <c r="H28" s="3247" t="s">
        <v>2435</v>
      </c>
      <c r="I28" s="3247" t="s">
        <v>2435</v>
      </c>
      <c r="J28" s="3247" t="s">
        <v>4</v>
      </c>
      <c r="K28" s="3247" t="s">
        <v>4</v>
      </c>
      <c r="L28" s="3247" t="s">
        <v>4</v>
      </c>
      <c r="M28" s="242"/>
      <c r="N28" s="242"/>
      <c r="O28" s="242"/>
      <c r="P28" s="242"/>
      <c r="Q28" s="242"/>
      <c r="R28" s="242"/>
      <c r="S28" s="242"/>
      <c r="T28" s="242"/>
    </row>
    <row r="29" spans="1:42" ht="15.75">
      <c r="A29" s="4316"/>
      <c r="B29" s="4317"/>
      <c r="C29" s="4317"/>
      <c r="D29" s="4415"/>
      <c r="E29" s="4416" t="s">
        <v>2440</v>
      </c>
      <c r="F29" s="4417"/>
      <c r="G29" s="3246" t="s">
        <v>4</v>
      </c>
      <c r="H29" s="3246" t="s">
        <v>2435</v>
      </c>
      <c r="I29" s="3246" t="s">
        <v>2435</v>
      </c>
      <c r="J29" s="3246" t="s">
        <v>4</v>
      </c>
      <c r="K29" s="3246" t="s">
        <v>4</v>
      </c>
      <c r="L29" s="3246" t="s">
        <v>4</v>
      </c>
      <c r="M29" s="242"/>
      <c r="N29" s="242"/>
      <c r="O29" s="242"/>
      <c r="P29" s="242"/>
      <c r="Q29" s="242"/>
      <c r="R29" s="242"/>
      <c r="S29" s="242"/>
      <c r="T29" s="242"/>
    </row>
    <row r="30" spans="1:42" ht="17.25" customHeight="1">
      <c r="A30" s="242"/>
      <c r="B30" s="4377" t="s">
        <v>3420</v>
      </c>
      <c r="C30" s="4377"/>
      <c r="D30" s="4377"/>
      <c r="E30" s="4377"/>
      <c r="F30" s="4377"/>
      <c r="G30" s="4377"/>
      <c r="H30" s="4377"/>
      <c r="I30" s="4377"/>
      <c r="J30" s="4377"/>
      <c r="K30" s="4377"/>
      <c r="L30" s="4377"/>
      <c r="M30" s="242"/>
      <c r="N30" s="242"/>
      <c r="O30" s="242"/>
      <c r="P30" s="242"/>
      <c r="Q30" s="242"/>
      <c r="R30" s="242"/>
      <c r="S30" s="242"/>
      <c r="T30" s="242"/>
    </row>
    <row r="31" spans="1:42" ht="17.25" customHeight="1">
      <c r="A31" s="3253"/>
      <c r="B31" s="54" t="s">
        <v>2869</v>
      </c>
      <c r="C31" s="3253"/>
      <c r="D31" s="3253"/>
      <c r="E31" s="3253"/>
      <c r="F31" s="3257"/>
      <c r="G31" s="3253"/>
      <c r="H31" s="3253"/>
      <c r="I31" s="3253"/>
      <c r="J31" s="3253"/>
      <c r="K31" s="3253"/>
      <c r="L31" s="3253"/>
      <c r="M31" s="242"/>
      <c r="N31" s="242"/>
      <c r="O31" s="242"/>
      <c r="P31" s="242"/>
      <c r="Q31" s="242"/>
      <c r="R31" s="242"/>
      <c r="S31" s="242"/>
      <c r="T31" s="242"/>
    </row>
    <row r="32" spans="1:42" ht="18" customHeight="1">
      <c r="A32" s="3253"/>
      <c r="B32" s="3253"/>
      <c r="C32" s="3254"/>
      <c r="D32" s="4413" t="s">
        <v>3455</v>
      </c>
      <c r="E32" s="4413"/>
      <c r="F32" s="4413"/>
      <c r="G32" s="3253"/>
      <c r="H32" s="3255"/>
      <c r="I32" s="3255"/>
      <c r="J32" s="3258" t="s">
        <v>2871</v>
      </c>
      <c r="L32" s="3253"/>
      <c r="M32" s="242"/>
      <c r="N32" s="242"/>
      <c r="O32" s="242"/>
      <c r="P32" s="242"/>
      <c r="Q32" s="242"/>
      <c r="R32" s="242"/>
      <c r="S32" s="242"/>
      <c r="T32" s="242"/>
    </row>
    <row r="33" spans="1:29" s="589" customFormat="1">
      <c r="A33" s="3253"/>
      <c r="B33" s="3253"/>
      <c r="C33" s="3254"/>
      <c r="D33" s="3256"/>
      <c r="E33" s="3256"/>
      <c r="F33" s="3256"/>
      <c r="G33" s="3253"/>
      <c r="H33" s="3255"/>
      <c r="I33" s="3255"/>
      <c r="K33" s="3255"/>
      <c r="L33" s="3253"/>
      <c r="M33" s="242"/>
      <c r="N33" s="242"/>
      <c r="O33" s="242"/>
      <c r="P33" s="242"/>
      <c r="Q33" s="242"/>
      <c r="R33" s="242"/>
      <c r="S33" s="242"/>
      <c r="T33" s="242"/>
      <c r="AB33" s="359"/>
      <c r="AC33" s="359"/>
    </row>
    <row r="34" spans="1:29">
      <c r="A34" s="3253"/>
      <c r="B34" s="3253"/>
      <c r="C34" s="3253"/>
      <c r="D34" s="64"/>
      <c r="E34" s="64"/>
      <c r="F34" s="64"/>
      <c r="G34" s="3253"/>
      <c r="H34" s="3253"/>
      <c r="I34" s="3253"/>
      <c r="J34" s="3253"/>
      <c r="K34" s="3257"/>
      <c r="L34" s="3253"/>
      <c r="M34" s="242"/>
      <c r="N34" s="242"/>
      <c r="O34" s="242"/>
      <c r="P34" s="242"/>
      <c r="Q34" s="242"/>
      <c r="R34" s="242"/>
      <c r="S34" s="242"/>
      <c r="T34" s="242"/>
    </row>
    <row r="35" spans="1:29">
      <c r="A35" s="3253"/>
      <c r="B35" s="3253"/>
      <c r="C35" s="3253"/>
      <c r="D35" s="64"/>
      <c r="E35" s="64"/>
      <c r="F35" s="64"/>
      <c r="G35" s="3253"/>
      <c r="H35" s="3253"/>
      <c r="I35" s="3253"/>
      <c r="J35" s="3253"/>
      <c r="K35" s="3257"/>
      <c r="L35" s="3253"/>
      <c r="M35" s="242"/>
      <c r="N35" s="242"/>
      <c r="O35" s="242"/>
      <c r="P35" s="242"/>
      <c r="Q35" s="242"/>
      <c r="R35" s="242"/>
      <c r="S35" s="242"/>
      <c r="T35" s="242"/>
    </row>
    <row r="36" spans="1:29">
      <c r="A36" s="3253"/>
      <c r="B36" s="3253"/>
      <c r="C36" s="3253"/>
      <c r="D36" s="64"/>
      <c r="E36" s="64"/>
      <c r="F36" s="64"/>
      <c r="G36" s="3253"/>
      <c r="H36" s="3253"/>
      <c r="I36" s="3253"/>
      <c r="J36" s="3253"/>
      <c r="K36" s="3257"/>
      <c r="L36" s="3253"/>
      <c r="M36" s="242"/>
      <c r="N36" s="242"/>
      <c r="O36" s="242"/>
      <c r="P36" s="242"/>
      <c r="Q36" s="242"/>
      <c r="R36" s="242"/>
      <c r="S36" s="242"/>
      <c r="T36" s="242"/>
    </row>
    <row r="37" spans="1:29">
      <c r="A37" s="3253"/>
      <c r="B37" s="3253"/>
      <c r="C37" s="3253"/>
      <c r="D37" s="64"/>
      <c r="E37" s="64"/>
      <c r="F37" s="64"/>
      <c r="G37" s="3253"/>
      <c r="H37" s="3253"/>
      <c r="I37" s="3253"/>
      <c r="J37" s="3253"/>
      <c r="K37" s="3257"/>
      <c r="L37" s="3253"/>
      <c r="M37" s="242"/>
      <c r="N37" s="242"/>
      <c r="O37" s="242"/>
      <c r="P37" s="242"/>
      <c r="Q37" s="242"/>
      <c r="R37" s="242"/>
      <c r="S37" s="242"/>
      <c r="T37" s="242"/>
    </row>
    <row r="38" spans="1:29">
      <c r="A38" s="3253"/>
      <c r="B38" s="3253"/>
      <c r="C38" s="3253"/>
      <c r="D38" s="64"/>
      <c r="E38" s="64"/>
      <c r="F38" s="64"/>
      <c r="G38" s="3253"/>
      <c r="H38" s="3253"/>
      <c r="I38" s="3253"/>
      <c r="J38" s="3253"/>
      <c r="K38" s="3257"/>
      <c r="L38" s="3253"/>
      <c r="M38" s="242"/>
      <c r="N38" s="242"/>
      <c r="O38" s="242"/>
      <c r="P38" s="242"/>
      <c r="Q38" s="242"/>
      <c r="R38" s="242"/>
      <c r="S38" s="242"/>
      <c r="T38" s="242"/>
    </row>
    <row r="39" spans="1:29">
      <c r="A39" s="3253"/>
      <c r="B39" s="3253"/>
      <c r="C39" s="3253"/>
      <c r="D39" s="64"/>
      <c r="E39" s="64"/>
      <c r="F39" s="64"/>
      <c r="G39" s="3253"/>
      <c r="H39" s="3253"/>
      <c r="I39" s="3253"/>
      <c r="J39" s="3253"/>
      <c r="K39" s="3257"/>
      <c r="L39" s="3253"/>
      <c r="M39" s="242"/>
      <c r="N39" s="242"/>
      <c r="O39" s="242"/>
      <c r="P39" s="242"/>
      <c r="Q39" s="242"/>
      <c r="R39" s="242"/>
      <c r="S39" s="242"/>
      <c r="T39" s="242"/>
    </row>
    <row r="40" spans="1:29">
      <c r="A40" s="3253"/>
      <c r="B40" s="3253"/>
      <c r="C40" s="3253"/>
      <c r="D40" s="64"/>
      <c r="E40" s="64"/>
      <c r="F40" s="64"/>
      <c r="G40" s="3253"/>
      <c r="H40" s="3253"/>
      <c r="I40" s="3253"/>
      <c r="J40" s="3253"/>
      <c r="K40" s="3257"/>
      <c r="L40" s="3253"/>
      <c r="M40" s="242"/>
      <c r="N40" s="242"/>
      <c r="O40" s="242"/>
      <c r="P40" s="242"/>
      <c r="Q40" s="242"/>
      <c r="R40" s="242"/>
      <c r="S40" s="242"/>
      <c r="T40" s="242"/>
    </row>
    <row r="41" spans="1:29">
      <c r="A41" s="3253"/>
      <c r="B41" s="3253"/>
      <c r="C41" s="3253"/>
      <c r="D41" s="3259" t="s">
        <v>2872</v>
      </c>
      <c r="E41" s="3256"/>
      <c r="F41" s="3256"/>
      <c r="G41" s="3253"/>
      <c r="I41" s="3253"/>
      <c r="J41" s="3254" t="s">
        <v>2954</v>
      </c>
      <c r="K41" s="3255" t="s">
        <v>2955</v>
      </c>
      <c r="L41" s="3253"/>
      <c r="M41" s="242"/>
      <c r="N41" s="242"/>
      <c r="O41" s="242"/>
      <c r="P41" s="242"/>
      <c r="Q41" s="242"/>
      <c r="R41" s="242"/>
      <c r="S41" s="242"/>
      <c r="T41" s="242"/>
    </row>
    <row r="42" spans="1:29" ht="15" customHeight="1">
      <c r="A42" s="3253"/>
      <c r="B42" s="3253"/>
      <c r="C42" s="3253"/>
      <c r="D42" s="3253"/>
      <c r="E42" s="3253"/>
      <c r="F42" s="3257"/>
      <c r="G42" s="3253"/>
      <c r="H42" s="3253"/>
      <c r="I42" s="3253"/>
      <c r="J42" s="3253"/>
      <c r="K42" s="3253"/>
      <c r="L42" s="3253"/>
      <c r="M42" s="242"/>
      <c r="N42" s="242"/>
      <c r="O42" s="242"/>
      <c r="P42" s="242"/>
      <c r="Q42" s="242"/>
      <c r="R42" s="242"/>
      <c r="S42" s="242"/>
      <c r="T42" s="242"/>
    </row>
    <row r="43" spans="1:29">
      <c r="A43" s="3253"/>
      <c r="B43" s="3253"/>
      <c r="C43" s="3253"/>
      <c r="D43" s="3253"/>
      <c r="E43" s="3253"/>
      <c r="F43" s="3257"/>
      <c r="G43" s="3253"/>
      <c r="H43" s="3253"/>
      <c r="I43" s="3253"/>
      <c r="J43" s="3253"/>
      <c r="K43" s="3253"/>
      <c r="L43" s="3253"/>
      <c r="M43" s="242"/>
      <c r="N43" s="242"/>
      <c r="O43" s="242"/>
      <c r="P43" s="242"/>
      <c r="Q43" s="242"/>
      <c r="R43" s="242"/>
      <c r="S43" s="242"/>
      <c r="T43" s="242"/>
    </row>
    <row r="44" spans="1:29">
      <c r="A44" s="3253"/>
      <c r="B44" s="3253"/>
      <c r="C44" s="3253"/>
      <c r="D44" s="3253"/>
      <c r="E44" s="3253"/>
      <c r="F44" s="3257"/>
      <c r="G44" s="3253"/>
      <c r="H44" s="3253"/>
      <c r="I44" s="3253"/>
      <c r="J44" s="3253"/>
      <c r="K44" s="3253"/>
      <c r="L44" s="3253"/>
      <c r="M44" s="242"/>
      <c r="N44" s="242"/>
      <c r="O44" s="242"/>
      <c r="P44" s="242"/>
      <c r="Q44" s="242"/>
      <c r="R44" s="242"/>
      <c r="S44" s="242"/>
      <c r="T44" s="242"/>
    </row>
    <row r="45" spans="1:29">
      <c r="A45" s="3253"/>
      <c r="B45" s="3253"/>
      <c r="C45" s="3253"/>
      <c r="D45" s="3253"/>
      <c r="E45" s="3253"/>
      <c r="F45" s="3257"/>
      <c r="G45" s="3253"/>
      <c r="H45" s="3253"/>
      <c r="I45" s="3253"/>
      <c r="J45" s="3253"/>
      <c r="K45" s="3253"/>
      <c r="L45" s="3253"/>
      <c r="M45" s="242"/>
      <c r="N45" s="242"/>
      <c r="O45" s="242"/>
      <c r="P45" s="242"/>
      <c r="Q45" s="242"/>
      <c r="R45" s="242"/>
      <c r="S45" s="242"/>
      <c r="T45" s="242"/>
    </row>
    <row r="46" spans="1:29">
      <c r="A46" s="3253"/>
      <c r="B46" s="3253"/>
      <c r="C46" s="3253"/>
      <c r="D46" s="3253"/>
      <c r="E46" s="3253"/>
      <c r="F46" s="3257"/>
      <c r="G46" s="3253"/>
      <c r="H46" s="3253"/>
      <c r="I46" s="3253"/>
      <c r="J46" s="3253"/>
      <c r="K46" s="3253"/>
      <c r="L46" s="3253"/>
      <c r="M46" s="242"/>
      <c r="N46" s="242"/>
      <c r="O46" s="242"/>
      <c r="P46" s="242"/>
      <c r="Q46" s="242"/>
      <c r="R46" s="242"/>
      <c r="S46" s="242"/>
      <c r="T46" s="242"/>
    </row>
    <row r="47" spans="1:29">
      <c r="A47" s="3253"/>
      <c r="B47" s="3253"/>
      <c r="C47" s="3253"/>
      <c r="D47" s="3253"/>
      <c r="E47" s="3253"/>
      <c r="F47" s="3257"/>
      <c r="G47" s="3253"/>
      <c r="H47" s="3253"/>
      <c r="I47" s="3253"/>
      <c r="J47" s="3253"/>
      <c r="K47" s="3253"/>
      <c r="L47" s="3253"/>
      <c r="M47" s="242"/>
      <c r="N47" s="242"/>
      <c r="O47" s="242"/>
      <c r="P47" s="242"/>
      <c r="Q47" s="242"/>
      <c r="R47" s="242"/>
      <c r="S47" s="242"/>
      <c r="T47" s="242"/>
    </row>
    <row r="48" spans="1:29">
      <c r="A48" s="3253"/>
      <c r="B48" s="3253"/>
      <c r="C48" s="3253"/>
      <c r="D48" s="3253"/>
      <c r="E48" s="3253"/>
      <c r="F48" s="3257"/>
      <c r="G48" s="3253"/>
      <c r="H48" s="3253"/>
      <c r="I48" s="3253"/>
      <c r="J48" s="3253"/>
      <c r="K48" s="3253"/>
      <c r="L48" s="3253"/>
      <c r="M48" s="242"/>
      <c r="N48" s="242"/>
      <c r="O48" s="242"/>
      <c r="P48" s="242"/>
      <c r="Q48" s="242"/>
      <c r="R48" s="242"/>
      <c r="S48" s="242"/>
      <c r="T48" s="242"/>
    </row>
    <row r="49" spans="1:20">
      <c r="A49" s="3253"/>
      <c r="B49" s="3253"/>
      <c r="C49" s="3253"/>
      <c r="D49" s="3253"/>
      <c r="E49" s="3253"/>
      <c r="F49" s="3257"/>
      <c r="G49" s="3253"/>
      <c r="H49" s="3253"/>
      <c r="I49" s="3253"/>
      <c r="J49" s="3253"/>
      <c r="K49" s="3253"/>
      <c r="L49" s="3253"/>
      <c r="M49" s="242"/>
      <c r="N49" s="242"/>
      <c r="O49" s="242"/>
      <c r="P49" s="242"/>
      <c r="Q49" s="242"/>
      <c r="R49" s="242"/>
      <c r="S49" s="242"/>
      <c r="T49" s="242"/>
    </row>
    <row r="50" spans="1:20">
      <c r="A50" s="3253"/>
      <c r="B50" s="3253"/>
      <c r="C50" s="3253"/>
      <c r="D50" s="3253"/>
      <c r="E50" s="3253"/>
      <c r="F50" s="3257"/>
      <c r="G50" s="3253"/>
      <c r="H50" s="3253"/>
      <c r="I50" s="3253"/>
      <c r="J50" s="3253"/>
      <c r="K50" s="3253"/>
      <c r="L50" s="3253"/>
      <c r="M50" s="242"/>
      <c r="N50" s="242"/>
      <c r="O50" s="242"/>
      <c r="P50" s="242"/>
      <c r="Q50" s="242"/>
      <c r="R50" s="242"/>
      <c r="S50" s="242"/>
      <c r="T50" s="242"/>
    </row>
    <row r="51" spans="1:20">
      <c r="A51" s="242"/>
      <c r="B51" s="242"/>
      <c r="C51" s="242"/>
      <c r="D51" s="242"/>
      <c r="E51" s="242"/>
      <c r="F51" s="620"/>
      <c r="G51" s="242"/>
      <c r="H51" s="242"/>
      <c r="I51" s="242"/>
      <c r="J51" s="242"/>
      <c r="K51" s="242"/>
      <c r="L51" s="242"/>
      <c r="M51" s="242"/>
      <c r="N51" s="242"/>
      <c r="O51" s="242"/>
      <c r="P51" s="242"/>
      <c r="Q51" s="242"/>
      <c r="R51" s="242"/>
      <c r="S51" s="242"/>
      <c r="T51" s="242"/>
    </row>
    <row r="52" spans="1:20">
      <c r="A52" s="242"/>
      <c r="B52" s="242"/>
      <c r="C52" s="242"/>
      <c r="D52" s="242"/>
      <c r="E52" s="242"/>
      <c r="F52" s="620"/>
      <c r="G52" s="242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</row>
    <row r="53" spans="1:20">
      <c r="A53" s="242"/>
      <c r="B53" s="242"/>
      <c r="C53" s="242"/>
      <c r="D53" s="242"/>
      <c r="E53" s="242"/>
      <c r="F53" s="620"/>
      <c r="G53" s="242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</row>
    <row r="54" spans="1:20">
      <c r="A54" s="242"/>
      <c r="B54" s="242"/>
      <c r="C54" s="242"/>
      <c r="D54" s="242"/>
      <c r="E54" s="242"/>
      <c r="F54" s="620"/>
      <c r="G54" s="242"/>
      <c r="H54" s="242"/>
      <c r="I54" s="242"/>
      <c r="J54" s="242"/>
      <c r="K54" s="242"/>
      <c r="L54" s="242"/>
      <c r="M54" s="242"/>
      <c r="N54" s="242"/>
      <c r="O54" s="242"/>
      <c r="P54" s="242"/>
      <c r="Q54" s="242"/>
      <c r="R54" s="242"/>
      <c r="S54" s="242"/>
      <c r="T54" s="242"/>
    </row>
    <row r="55" spans="1:20">
      <c r="A55" s="242"/>
      <c r="B55" s="242"/>
      <c r="C55" s="242"/>
      <c r="D55" s="242"/>
      <c r="E55" s="242"/>
      <c r="F55" s="620"/>
      <c r="G55" s="242"/>
      <c r="H55" s="242"/>
      <c r="I55" s="242"/>
      <c r="J55" s="242"/>
      <c r="K55" s="242"/>
      <c r="L55" s="242"/>
      <c r="M55" s="242"/>
      <c r="N55" s="242"/>
      <c r="O55" s="242"/>
      <c r="P55" s="242"/>
      <c r="Q55" s="242"/>
      <c r="R55" s="242"/>
      <c r="S55" s="242"/>
      <c r="T55" s="242"/>
    </row>
    <row r="56" spans="1:20">
      <c r="A56" s="242"/>
      <c r="B56" s="242"/>
      <c r="C56" s="242"/>
      <c r="D56" s="242"/>
      <c r="E56" s="242"/>
      <c r="F56" s="620"/>
      <c r="G56" s="242"/>
      <c r="H56" s="242"/>
      <c r="I56" s="242"/>
      <c r="J56" s="242"/>
      <c r="K56" s="242"/>
      <c r="L56" s="242"/>
      <c r="M56" s="242"/>
      <c r="N56" s="242"/>
      <c r="O56" s="242"/>
      <c r="P56" s="242"/>
      <c r="Q56" s="242"/>
      <c r="R56" s="242"/>
      <c r="S56" s="242"/>
      <c r="T56" s="242"/>
    </row>
    <row r="57" spans="1:20">
      <c r="A57" s="242"/>
      <c r="B57" s="242"/>
      <c r="C57" s="242"/>
      <c r="D57" s="242"/>
      <c r="E57" s="242"/>
      <c r="F57" s="620"/>
      <c r="G57" s="242"/>
      <c r="H57" s="242"/>
      <c r="I57" s="242"/>
      <c r="J57" s="242"/>
      <c r="K57" s="242"/>
      <c r="L57" s="242"/>
      <c r="M57" s="242"/>
      <c r="N57" s="242"/>
      <c r="O57" s="242"/>
      <c r="P57" s="242"/>
      <c r="Q57" s="242"/>
      <c r="R57" s="242"/>
      <c r="S57" s="242"/>
      <c r="T57" s="242"/>
    </row>
    <row r="58" spans="1:20">
      <c r="A58" s="242"/>
      <c r="B58" s="242"/>
      <c r="C58" s="242"/>
      <c r="D58" s="242"/>
      <c r="E58" s="242"/>
      <c r="F58" s="620"/>
      <c r="G58" s="242"/>
      <c r="H58" s="242"/>
      <c r="I58" s="242"/>
      <c r="J58" s="242"/>
      <c r="K58" s="242"/>
      <c r="L58" s="242"/>
      <c r="M58" s="242"/>
      <c r="N58" s="242"/>
      <c r="O58" s="242"/>
      <c r="P58" s="242"/>
      <c r="Q58" s="242"/>
      <c r="R58" s="242"/>
      <c r="S58" s="242"/>
      <c r="T58" s="242"/>
    </row>
    <row r="59" spans="1:20">
      <c r="A59" s="242"/>
      <c r="B59" s="242"/>
      <c r="C59" s="242"/>
      <c r="D59" s="242"/>
      <c r="E59" s="242"/>
      <c r="F59" s="620"/>
      <c r="G59" s="242"/>
      <c r="H59" s="242"/>
      <c r="I59" s="242"/>
      <c r="J59" s="242"/>
      <c r="K59" s="242"/>
      <c r="L59" s="242"/>
      <c r="M59" s="242"/>
      <c r="N59" s="242"/>
      <c r="O59" s="242"/>
      <c r="P59" s="242"/>
      <c r="Q59" s="242"/>
      <c r="R59" s="242"/>
      <c r="S59" s="242"/>
      <c r="T59" s="242"/>
    </row>
    <row r="60" spans="1:20">
      <c r="A60" s="242"/>
      <c r="B60" s="242"/>
      <c r="C60" s="242"/>
      <c r="D60" s="242"/>
      <c r="E60" s="242"/>
      <c r="F60" s="620"/>
      <c r="G60" s="242"/>
      <c r="H60" s="242"/>
      <c r="I60" s="242"/>
      <c r="J60" s="242"/>
      <c r="K60" s="242"/>
      <c r="L60" s="242"/>
      <c r="M60" s="242"/>
      <c r="N60" s="242"/>
      <c r="O60" s="242"/>
      <c r="P60" s="242"/>
      <c r="Q60" s="242"/>
      <c r="R60" s="242"/>
      <c r="S60" s="242"/>
      <c r="T60" s="242"/>
    </row>
    <row r="61" spans="1:20">
      <c r="A61" s="242"/>
      <c r="B61" s="242"/>
      <c r="C61" s="242"/>
      <c r="D61" s="242"/>
      <c r="E61" s="242"/>
      <c r="F61" s="620"/>
      <c r="G61" s="242"/>
      <c r="H61" s="242"/>
      <c r="I61" s="242"/>
      <c r="J61" s="242"/>
      <c r="K61" s="242"/>
      <c r="L61" s="242"/>
      <c r="M61" s="242"/>
      <c r="N61" s="242"/>
      <c r="O61" s="242"/>
      <c r="P61" s="242"/>
      <c r="Q61" s="242"/>
      <c r="R61" s="242"/>
      <c r="S61" s="242"/>
      <c r="T61" s="242"/>
    </row>
    <row r="62" spans="1:20">
      <c r="A62" s="242"/>
      <c r="B62" s="242"/>
      <c r="C62" s="242"/>
      <c r="D62" s="242"/>
      <c r="E62" s="242"/>
      <c r="F62" s="620"/>
      <c r="G62" s="242"/>
      <c r="H62" s="242"/>
      <c r="I62" s="242"/>
      <c r="J62" s="242"/>
      <c r="K62" s="242"/>
      <c r="L62" s="242"/>
      <c r="M62" s="242"/>
      <c r="N62" s="242"/>
      <c r="O62" s="242"/>
      <c r="P62" s="242"/>
      <c r="Q62" s="242"/>
      <c r="R62" s="242"/>
      <c r="S62" s="242"/>
      <c r="T62" s="242"/>
    </row>
    <row r="63" spans="1:20">
      <c r="A63" s="242"/>
      <c r="B63" s="242"/>
      <c r="C63" s="242"/>
      <c r="D63" s="242"/>
      <c r="E63" s="242"/>
      <c r="F63" s="620"/>
      <c r="G63" s="242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</row>
    <row r="64" spans="1:20">
      <c r="A64" s="242"/>
      <c r="B64" s="242"/>
      <c r="C64" s="242"/>
      <c r="D64" s="242"/>
      <c r="E64" s="242"/>
      <c r="F64" s="620"/>
      <c r="G64" s="242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</row>
    <row r="65" spans="1:20">
      <c r="A65" s="242"/>
      <c r="B65" s="242"/>
      <c r="C65" s="242"/>
      <c r="D65" s="242"/>
      <c r="E65" s="242"/>
      <c r="F65" s="620"/>
      <c r="G65" s="242"/>
      <c r="H65" s="242"/>
      <c r="I65" s="242"/>
      <c r="J65" s="242"/>
      <c r="K65" s="242"/>
      <c r="L65" s="242"/>
      <c r="M65" s="242"/>
      <c r="N65" s="242"/>
      <c r="O65" s="242"/>
      <c r="P65" s="242"/>
      <c r="Q65" s="242"/>
      <c r="R65" s="242"/>
      <c r="S65" s="242"/>
      <c r="T65" s="242"/>
    </row>
    <row r="66" spans="1:20">
      <c r="A66" s="242"/>
      <c r="B66" s="242"/>
      <c r="C66" s="242"/>
      <c r="D66" s="242"/>
      <c r="E66" s="242"/>
      <c r="F66" s="620"/>
      <c r="G66" s="242"/>
      <c r="H66" s="242"/>
      <c r="I66" s="242"/>
      <c r="J66" s="242"/>
      <c r="K66" s="242"/>
      <c r="L66" s="242"/>
      <c r="M66" s="242"/>
      <c r="N66" s="242"/>
      <c r="O66" s="242"/>
      <c r="P66" s="242"/>
      <c r="Q66" s="242"/>
      <c r="R66" s="242"/>
      <c r="S66" s="242"/>
      <c r="T66" s="242"/>
    </row>
    <row r="67" spans="1:20">
      <c r="A67" s="242"/>
      <c r="B67" s="242"/>
      <c r="C67" s="242"/>
      <c r="D67" s="242"/>
      <c r="E67" s="242"/>
      <c r="F67" s="620"/>
      <c r="G67" s="242"/>
      <c r="H67" s="242"/>
      <c r="I67" s="242"/>
      <c r="J67" s="242"/>
      <c r="K67" s="242"/>
      <c r="L67" s="242"/>
      <c r="M67" s="242"/>
      <c r="N67" s="242"/>
      <c r="O67" s="242"/>
      <c r="P67" s="242"/>
      <c r="Q67" s="242"/>
      <c r="R67" s="242"/>
      <c r="S67" s="242"/>
      <c r="T67" s="242"/>
    </row>
    <row r="68" spans="1:20">
      <c r="A68" s="242"/>
      <c r="B68" s="242"/>
      <c r="C68" s="242"/>
      <c r="D68" s="242"/>
      <c r="E68" s="242"/>
      <c r="F68" s="620"/>
      <c r="G68" s="242"/>
      <c r="H68" s="242"/>
      <c r="I68" s="242"/>
      <c r="J68" s="242"/>
      <c r="K68" s="242"/>
      <c r="L68" s="242"/>
      <c r="M68" s="242"/>
      <c r="N68" s="242"/>
      <c r="O68" s="242"/>
      <c r="P68" s="242"/>
      <c r="Q68" s="242"/>
      <c r="R68" s="242"/>
      <c r="S68" s="242"/>
      <c r="T68" s="242"/>
    </row>
    <row r="69" spans="1:20">
      <c r="A69" s="242"/>
      <c r="B69" s="242"/>
      <c r="C69" s="242"/>
      <c r="D69" s="242"/>
      <c r="E69" s="242"/>
      <c r="F69" s="620"/>
      <c r="G69" s="242"/>
      <c r="H69" s="242"/>
      <c r="I69" s="242"/>
      <c r="J69" s="242"/>
      <c r="K69" s="242"/>
      <c r="L69" s="242"/>
      <c r="M69" s="242"/>
      <c r="N69" s="242"/>
      <c r="O69" s="242"/>
      <c r="P69" s="242"/>
      <c r="Q69" s="242"/>
      <c r="R69" s="242"/>
      <c r="S69" s="242"/>
      <c r="T69" s="242"/>
    </row>
    <row r="70" spans="1:20">
      <c r="A70" s="242"/>
      <c r="B70" s="242"/>
      <c r="C70" s="242"/>
      <c r="D70" s="242"/>
      <c r="E70" s="242"/>
      <c r="F70" s="620"/>
      <c r="G70" s="242"/>
      <c r="H70" s="242"/>
      <c r="I70" s="242"/>
      <c r="J70" s="242"/>
      <c r="K70" s="242"/>
      <c r="L70" s="242"/>
      <c r="M70" s="242"/>
      <c r="N70" s="242"/>
      <c r="O70" s="242"/>
      <c r="P70" s="242"/>
      <c r="Q70" s="242"/>
      <c r="R70" s="242"/>
      <c r="S70" s="242"/>
      <c r="T70" s="242"/>
    </row>
    <row r="71" spans="1:20">
      <c r="A71" s="242"/>
      <c r="B71" s="242"/>
      <c r="C71" s="242"/>
      <c r="D71" s="242"/>
      <c r="E71" s="242"/>
      <c r="F71" s="620"/>
      <c r="G71" s="242"/>
      <c r="H71" s="242"/>
      <c r="I71" s="242"/>
      <c r="J71" s="242"/>
      <c r="K71" s="242"/>
      <c r="L71" s="242"/>
      <c r="M71" s="242"/>
      <c r="N71" s="242"/>
      <c r="O71" s="242"/>
      <c r="P71" s="242"/>
      <c r="Q71" s="242"/>
      <c r="R71" s="242"/>
      <c r="S71" s="242"/>
      <c r="T71" s="242"/>
    </row>
    <row r="72" spans="1:20">
      <c r="A72" s="242"/>
      <c r="B72" s="242"/>
      <c r="C72" s="242"/>
      <c r="D72" s="242"/>
      <c r="E72" s="242"/>
      <c r="F72" s="620"/>
      <c r="G72" s="242"/>
      <c r="H72" s="242"/>
      <c r="I72" s="242"/>
      <c r="J72" s="242"/>
      <c r="K72" s="242"/>
      <c r="L72" s="242"/>
      <c r="M72" s="242"/>
      <c r="N72" s="242"/>
      <c r="O72" s="242"/>
      <c r="P72" s="242"/>
      <c r="Q72" s="242"/>
      <c r="R72" s="242"/>
      <c r="S72" s="242"/>
      <c r="T72" s="242"/>
    </row>
    <row r="73" spans="1:20">
      <c r="A73" s="242"/>
      <c r="B73" s="242"/>
      <c r="C73" s="242"/>
      <c r="D73" s="242"/>
      <c r="E73" s="242"/>
      <c r="F73" s="620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</row>
    <row r="74" spans="1:20">
      <c r="A74" s="242"/>
      <c r="B74" s="242"/>
      <c r="C74" s="242"/>
      <c r="D74" s="242"/>
      <c r="E74" s="242"/>
      <c r="F74" s="620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</row>
    <row r="75" spans="1:20">
      <c r="A75" s="242"/>
      <c r="B75" s="242"/>
      <c r="C75" s="242"/>
      <c r="D75" s="242"/>
      <c r="E75" s="242"/>
      <c r="F75" s="620"/>
      <c r="G75" s="242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</row>
    <row r="76" spans="1:20">
      <c r="A76" s="242"/>
      <c r="B76" s="242"/>
      <c r="C76" s="242"/>
      <c r="D76" s="242"/>
      <c r="E76" s="242"/>
      <c r="F76" s="620"/>
      <c r="G76" s="242"/>
      <c r="H76" s="242"/>
      <c r="I76" s="242"/>
      <c r="J76" s="242"/>
      <c r="K76" s="242"/>
      <c r="L76" s="242"/>
      <c r="M76" s="242"/>
      <c r="N76" s="242"/>
      <c r="O76" s="242"/>
      <c r="P76" s="242"/>
      <c r="Q76" s="242"/>
      <c r="R76" s="242"/>
      <c r="S76" s="242"/>
      <c r="T76" s="242"/>
    </row>
    <row r="77" spans="1:20">
      <c r="A77" s="242"/>
      <c r="B77" s="242"/>
      <c r="C77" s="242"/>
      <c r="D77" s="242"/>
      <c r="E77" s="242"/>
      <c r="F77" s="620"/>
      <c r="G77" s="242"/>
      <c r="H77" s="242"/>
      <c r="I77" s="242"/>
      <c r="J77" s="242"/>
      <c r="K77" s="242"/>
      <c r="L77" s="242"/>
      <c r="M77" s="242"/>
      <c r="N77" s="242"/>
      <c r="O77" s="242"/>
      <c r="P77" s="242"/>
      <c r="Q77" s="242"/>
      <c r="R77" s="242"/>
      <c r="S77" s="242"/>
      <c r="T77" s="242"/>
    </row>
    <row r="78" spans="1:20">
      <c r="A78" s="242"/>
      <c r="B78" s="242"/>
      <c r="C78" s="242"/>
      <c r="D78" s="242"/>
      <c r="E78" s="242"/>
      <c r="F78" s="620"/>
      <c r="G78" s="242"/>
      <c r="H78" s="242"/>
      <c r="I78" s="242"/>
      <c r="J78" s="242"/>
      <c r="K78" s="242"/>
      <c r="L78" s="242"/>
      <c r="M78" s="242"/>
      <c r="N78" s="242"/>
      <c r="O78" s="242"/>
      <c r="P78" s="242"/>
      <c r="Q78" s="242"/>
      <c r="R78" s="242"/>
      <c r="S78" s="242"/>
      <c r="T78" s="242"/>
    </row>
    <row r="79" spans="1:20">
      <c r="A79" s="242"/>
      <c r="B79" s="242"/>
      <c r="C79" s="242"/>
      <c r="D79" s="242"/>
      <c r="E79" s="242"/>
      <c r="F79" s="620"/>
      <c r="G79" s="242"/>
      <c r="H79" s="242"/>
      <c r="I79" s="242"/>
      <c r="J79" s="242"/>
      <c r="K79" s="242"/>
      <c r="L79" s="242"/>
      <c r="M79" s="242"/>
      <c r="N79" s="242"/>
      <c r="O79" s="242"/>
      <c r="P79" s="242"/>
      <c r="Q79" s="242"/>
      <c r="R79" s="242"/>
      <c r="S79" s="242"/>
      <c r="T79" s="242"/>
    </row>
    <row r="80" spans="1:20">
      <c r="A80" s="242"/>
      <c r="B80" s="242"/>
      <c r="C80" s="242"/>
      <c r="D80" s="242"/>
      <c r="E80" s="242"/>
      <c r="F80" s="620"/>
      <c r="G80" s="242"/>
      <c r="H80" s="242"/>
      <c r="I80" s="242"/>
      <c r="J80" s="242"/>
      <c r="K80" s="242"/>
      <c r="L80" s="242"/>
      <c r="M80" s="242"/>
      <c r="N80" s="242"/>
      <c r="O80" s="242"/>
      <c r="P80" s="242"/>
      <c r="Q80" s="242"/>
      <c r="R80" s="242"/>
      <c r="S80" s="242"/>
      <c r="T80" s="242"/>
    </row>
    <row r="81" spans="1:20">
      <c r="A81" s="242"/>
      <c r="B81" s="242"/>
      <c r="C81" s="242"/>
      <c r="D81" s="242"/>
      <c r="E81" s="242"/>
      <c r="F81" s="620"/>
      <c r="G81" s="242"/>
      <c r="H81" s="242"/>
      <c r="I81" s="242"/>
      <c r="J81" s="242"/>
      <c r="K81" s="242"/>
      <c r="L81" s="242"/>
      <c r="M81" s="242"/>
      <c r="N81" s="242"/>
      <c r="O81" s="242"/>
      <c r="P81" s="242"/>
      <c r="Q81" s="242"/>
      <c r="R81" s="242"/>
      <c r="S81" s="242"/>
      <c r="T81" s="242"/>
    </row>
    <row r="82" spans="1:20">
      <c r="A82" s="242"/>
      <c r="B82" s="242"/>
      <c r="C82" s="242"/>
      <c r="D82" s="242"/>
      <c r="E82" s="242"/>
      <c r="F82" s="620"/>
      <c r="G82" s="242"/>
      <c r="H82" s="242"/>
      <c r="I82" s="242"/>
      <c r="J82" s="242"/>
      <c r="K82" s="242"/>
      <c r="L82" s="242"/>
      <c r="M82" s="242"/>
      <c r="N82" s="242"/>
      <c r="O82" s="242"/>
      <c r="P82" s="242"/>
      <c r="Q82" s="242"/>
      <c r="R82" s="242"/>
      <c r="S82" s="242"/>
      <c r="T82" s="242"/>
    </row>
    <row r="83" spans="1:20">
      <c r="A83" s="242"/>
      <c r="B83" s="242"/>
      <c r="C83" s="242"/>
      <c r="D83" s="242"/>
      <c r="E83" s="242"/>
      <c r="F83" s="620"/>
      <c r="G83" s="242"/>
      <c r="H83" s="242"/>
      <c r="I83" s="242"/>
      <c r="J83" s="242"/>
      <c r="K83" s="242"/>
      <c r="L83" s="242"/>
      <c r="M83" s="242"/>
      <c r="N83" s="242"/>
      <c r="O83" s="242"/>
      <c r="P83" s="242"/>
      <c r="Q83" s="242"/>
      <c r="R83" s="242"/>
      <c r="S83" s="242"/>
      <c r="T83" s="242"/>
    </row>
    <row r="84" spans="1:20">
      <c r="A84" s="242"/>
      <c r="B84" s="242"/>
      <c r="C84" s="242"/>
      <c r="D84" s="242"/>
      <c r="E84" s="242"/>
      <c r="F84" s="620"/>
      <c r="G84" s="242"/>
      <c r="H84" s="242"/>
      <c r="I84" s="242"/>
      <c r="J84" s="242"/>
      <c r="K84" s="242"/>
      <c r="L84" s="242"/>
      <c r="M84" s="242"/>
      <c r="N84" s="242"/>
      <c r="O84" s="242"/>
      <c r="P84" s="242"/>
      <c r="Q84" s="242"/>
      <c r="R84" s="242"/>
      <c r="S84" s="242"/>
      <c r="T84" s="242"/>
    </row>
    <row r="85" spans="1:20">
      <c r="A85" s="242"/>
      <c r="B85" s="242"/>
      <c r="C85" s="242"/>
      <c r="D85" s="242"/>
      <c r="E85" s="242"/>
      <c r="F85" s="620"/>
      <c r="G85" s="242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</row>
    <row r="86" spans="1:20">
      <c r="A86" s="242"/>
      <c r="B86" s="242"/>
      <c r="C86" s="242"/>
      <c r="D86" s="242"/>
      <c r="E86" s="242"/>
      <c r="F86" s="620"/>
      <c r="G86" s="242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</row>
    <row r="87" spans="1:20">
      <c r="A87" s="242"/>
      <c r="B87" s="242"/>
      <c r="C87" s="242"/>
      <c r="D87" s="242"/>
      <c r="E87" s="242"/>
      <c r="F87" s="620"/>
      <c r="G87" s="242"/>
      <c r="H87" s="242"/>
      <c r="I87" s="242"/>
      <c r="J87" s="242"/>
      <c r="K87" s="242"/>
      <c r="L87" s="242"/>
      <c r="M87" s="242"/>
      <c r="N87" s="242"/>
      <c r="O87" s="242"/>
      <c r="P87" s="242"/>
      <c r="Q87" s="242"/>
      <c r="R87" s="242"/>
      <c r="S87" s="242"/>
      <c r="T87" s="242"/>
    </row>
    <row r="88" spans="1:20">
      <c r="A88" s="242"/>
      <c r="B88" s="242"/>
      <c r="C88" s="242"/>
      <c r="D88" s="242"/>
      <c r="E88" s="242"/>
      <c r="F88" s="620"/>
      <c r="G88" s="242"/>
      <c r="H88" s="242"/>
      <c r="I88" s="242"/>
      <c r="J88" s="242"/>
      <c r="K88" s="242"/>
      <c r="L88" s="242"/>
      <c r="M88" s="242"/>
      <c r="N88" s="242"/>
      <c r="O88" s="242"/>
      <c r="P88" s="242"/>
      <c r="Q88" s="242"/>
      <c r="R88" s="242"/>
      <c r="S88" s="242"/>
      <c r="T88" s="242"/>
    </row>
    <row r="89" spans="1:20">
      <c r="A89" s="242"/>
      <c r="B89" s="242"/>
      <c r="C89" s="242"/>
      <c r="D89" s="242"/>
      <c r="E89" s="242"/>
      <c r="F89" s="620"/>
      <c r="G89" s="242"/>
      <c r="H89" s="242"/>
      <c r="I89" s="242"/>
      <c r="J89" s="242"/>
      <c r="K89" s="242"/>
      <c r="L89" s="242"/>
      <c r="M89" s="242"/>
      <c r="N89" s="242"/>
      <c r="O89" s="242"/>
      <c r="P89" s="242"/>
      <c r="Q89" s="242"/>
      <c r="R89" s="242"/>
      <c r="S89" s="242"/>
      <c r="T89" s="242"/>
    </row>
    <row r="90" spans="1:20">
      <c r="A90" s="242"/>
      <c r="B90" s="242"/>
      <c r="C90" s="242"/>
      <c r="D90" s="242"/>
      <c r="E90" s="242"/>
      <c r="F90" s="620"/>
      <c r="G90" s="242"/>
      <c r="H90" s="242"/>
      <c r="I90" s="242"/>
      <c r="J90" s="242"/>
      <c r="K90" s="242"/>
      <c r="L90" s="242"/>
      <c r="M90" s="242"/>
      <c r="N90" s="242"/>
      <c r="O90" s="242"/>
      <c r="P90" s="242"/>
      <c r="Q90" s="242"/>
      <c r="R90" s="242"/>
      <c r="S90" s="242"/>
      <c r="T90" s="242"/>
    </row>
    <row r="91" spans="1:20">
      <c r="A91" s="242"/>
      <c r="B91" s="242"/>
      <c r="C91" s="242"/>
      <c r="D91" s="242"/>
      <c r="E91" s="242"/>
      <c r="F91" s="620"/>
      <c r="G91" s="242"/>
      <c r="H91" s="242"/>
      <c r="I91" s="242"/>
      <c r="J91" s="242"/>
      <c r="K91" s="242"/>
      <c r="L91" s="242"/>
      <c r="M91" s="242"/>
      <c r="N91" s="242"/>
      <c r="O91" s="242"/>
      <c r="P91" s="242"/>
      <c r="Q91" s="242"/>
      <c r="R91" s="242"/>
      <c r="S91" s="242"/>
      <c r="T91" s="242"/>
    </row>
    <row r="92" spans="1:20">
      <c r="A92" s="242"/>
      <c r="B92" s="242"/>
      <c r="C92" s="242"/>
      <c r="D92" s="242"/>
      <c r="E92" s="242"/>
      <c r="F92" s="620"/>
      <c r="G92" s="242"/>
      <c r="H92" s="242"/>
      <c r="I92" s="242"/>
      <c r="J92" s="242"/>
      <c r="K92" s="242"/>
      <c r="L92" s="242"/>
      <c r="M92" s="242"/>
      <c r="N92" s="242"/>
      <c r="O92" s="242"/>
      <c r="P92" s="242"/>
      <c r="Q92" s="242"/>
      <c r="R92" s="242"/>
      <c r="S92" s="242"/>
      <c r="T92" s="242"/>
    </row>
    <row r="93" spans="1:20">
      <c r="A93" s="242"/>
      <c r="B93" s="242"/>
      <c r="C93" s="242"/>
      <c r="D93" s="242"/>
      <c r="E93" s="242"/>
      <c r="F93" s="620"/>
      <c r="G93" s="242"/>
      <c r="H93" s="242"/>
      <c r="I93" s="242"/>
      <c r="J93" s="242"/>
      <c r="K93" s="242"/>
      <c r="L93" s="242"/>
      <c r="M93" s="242"/>
      <c r="N93" s="242"/>
      <c r="O93" s="242"/>
      <c r="P93" s="242"/>
      <c r="Q93" s="242"/>
      <c r="R93" s="242"/>
      <c r="S93" s="242"/>
      <c r="T93" s="242"/>
    </row>
    <row r="94" spans="1:20">
      <c r="A94" s="242"/>
      <c r="B94" s="242"/>
      <c r="C94" s="242"/>
      <c r="D94" s="242"/>
      <c r="E94" s="242"/>
      <c r="F94" s="620"/>
      <c r="G94" s="242"/>
      <c r="H94" s="242"/>
      <c r="I94" s="242"/>
      <c r="J94" s="242"/>
      <c r="K94" s="242"/>
      <c r="L94" s="242"/>
      <c r="M94" s="242"/>
      <c r="N94" s="242"/>
      <c r="O94" s="242"/>
      <c r="P94" s="242"/>
      <c r="Q94" s="242"/>
      <c r="R94" s="242"/>
      <c r="S94" s="242"/>
      <c r="T94" s="242"/>
    </row>
    <row r="95" spans="1:20">
      <c r="A95" s="242"/>
      <c r="B95" s="242"/>
      <c r="C95" s="242"/>
      <c r="D95" s="242"/>
      <c r="E95" s="242"/>
      <c r="F95" s="620"/>
      <c r="G95" s="242"/>
      <c r="H95" s="242"/>
      <c r="I95" s="242"/>
      <c r="J95" s="242"/>
      <c r="K95" s="242"/>
      <c r="L95" s="242"/>
      <c r="M95" s="242"/>
      <c r="N95" s="242"/>
      <c r="O95" s="242"/>
      <c r="P95" s="242"/>
      <c r="Q95" s="242"/>
      <c r="R95" s="242"/>
      <c r="S95" s="242"/>
      <c r="T95" s="242"/>
    </row>
    <row r="96" spans="1:20">
      <c r="A96" s="242"/>
      <c r="B96" s="242"/>
      <c r="C96" s="242"/>
      <c r="D96" s="242"/>
      <c r="E96" s="242"/>
      <c r="F96" s="620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</row>
    <row r="97" spans="1:20">
      <c r="A97" s="242"/>
      <c r="B97" s="242"/>
      <c r="C97" s="242"/>
      <c r="D97" s="242"/>
      <c r="E97" s="242"/>
      <c r="F97" s="620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</row>
    <row r="98" spans="1:20">
      <c r="A98" s="242"/>
      <c r="B98" s="242"/>
      <c r="C98" s="242"/>
      <c r="D98" s="242"/>
      <c r="E98" s="242"/>
      <c r="F98" s="620"/>
      <c r="G98" s="242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</row>
    <row r="99" spans="1:20">
      <c r="A99" s="242"/>
      <c r="B99" s="242"/>
      <c r="C99" s="242"/>
      <c r="D99" s="242"/>
      <c r="E99" s="242"/>
      <c r="F99" s="620"/>
      <c r="G99" s="242"/>
      <c r="H99" s="242"/>
      <c r="I99" s="242"/>
      <c r="J99" s="242"/>
      <c r="K99" s="242"/>
      <c r="L99" s="242"/>
      <c r="M99" s="242"/>
      <c r="N99" s="242"/>
      <c r="O99" s="242"/>
      <c r="P99" s="242"/>
      <c r="Q99" s="242"/>
      <c r="R99" s="242"/>
      <c r="S99" s="242"/>
      <c r="T99" s="242"/>
    </row>
    <row r="100" spans="1:20">
      <c r="A100" s="242"/>
      <c r="B100" s="242"/>
      <c r="C100" s="242"/>
      <c r="D100" s="242"/>
      <c r="E100" s="242"/>
      <c r="F100" s="620"/>
      <c r="G100" s="242"/>
      <c r="H100" s="242"/>
      <c r="I100" s="242"/>
      <c r="J100" s="242"/>
      <c r="K100" s="242"/>
      <c r="L100" s="242"/>
      <c r="M100" s="242"/>
      <c r="N100" s="242"/>
      <c r="O100" s="242"/>
      <c r="P100" s="242"/>
      <c r="Q100" s="242"/>
      <c r="R100" s="242"/>
      <c r="S100" s="242"/>
      <c r="T100" s="242"/>
    </row>
    <row r="101" spans="1:20">
      <c r="A101" s="242"/>
      <c r="B101" s="242"/>
      <c r="C101" s="242"/>
      <c r="D101" s="242"/>
      <c r="E101" s="242"/>
      <c r="F101" s="620"/>
      <c r="G101" s="242"/>
      <c r="H101" s="242"/>
      <c r="I101" s="242"/>
      <c r="J101" s="242"/>
      <c r="K101" s="242"/>
      <c r="L101" s="242"/>
      <c r="M101" s="242"/>
      <c r="N101" s="242"/>
      <c r="O101" s="242"/>
      <c r="P101" s="242"/>
      <c r="Q101" s="242"/>
      <c r="R101" s="242"/>
      <c r="S101" s="242"/>
      <c r="T101" s="242"/>
    </row>
    <row r="102" spans="1:20">
      <c r="A102" s="242"/>
      <c r="B102" s="242"/>
      <c r="C102" s="242"/>
      <c r="D102" s="242"/>
      <c r="E102" s="242"/>
      <c r="F102" s="620"/>
      <c r="G102" s="242"/>
      <c r="H102" s="242"/>
      <c r="I102" s="242"/>
      <c r="J102" s="242"/>
      <c r="K102" s="242"/>
      <c r="L102" s="242"/>
      <c r="M102" s="242"/>
      <c r="N102" s="242"/>
      <c r="O102" s="242"/>
      <c r="P102" s="242"/>
      <c r="Q102" s="242"/>
      <c r="R102" s="242"/>
      <c r="S102" s="242"/>
      <c r="T102" s="242"/>
    </row>
    <row r="103" spans="1:20">
      <c r="A103" s="242"/>
      <c r="B103" s="242"/>
      <c r="C103" s="242"/>
      <c r="D103" s="242"/>
      <c r="E103" s="242"/>
      <c r="F103" s="620"/>
      <c r="G103" s="242"/>
      <c r="H103" s="242"/>
      <c r="I103" s="242"/>
      <c r="J103" s="242"/>
      <c r="K103" s="242"/>
      <c r="L103" s="242"/>
      <c r="M103" s="242"/>
      <c r="N103" s="242"/>
      <c r="O103" s="242"/>
      <c r="P103" s="242"/>
      <c r="Q103" s="242"/>
      <c r="R103" s="242"/>
      <c r="S103" s="242"/>
      <c r="T103" s="242"/>
    </row>
    <row r="104" spans="1:20">
      <c r="A104" s="242"/>
      <c r="B104" s="242"/>
      <c r="C104" s="242"/>
      <c r="D104" s="242"/>
      <c r="E104" s="242"/>
      <c r="F104" s="620"/>
      <c r="G104" s="242"/>
      <c r="H104" s="242"/>
      <c r="I104" s="242"/>
      <c r="J104" s="242"/>
      <c r="K104" s="242"/>
      <c r="L104" s="242"/>
      <c r="M104" s="242"/>
      <c r="N104" s="242"/>
      <c r="O104" s="242"/>
      <c r="P104" s="242"/>
      <c r="Q104" s="242"/>
      <c r="R104" s="242"/>
      <c r="S104" s="242"/>
      <c r="T104" s="242"/>
    </row>
    <row r="105" spans="1:20">
      <c r="A105" s="242"/>
      <c r="B105" s="242"/>
      <c r="C105" s="242"/>
      <c r="D105" s="242"/>
      <c r="E105" s="242"/>
      <c r="F105" s="620"/>
      <c r="G105" s="242"/>
      <c r="H105" s="242"/>
      <c r="I105" s="242"/>
      <c r="J105" s="242"/>
      <c r="K105" s="242"/>
      <c r="L105" s="242"/>
      <c r="M105" s="242"/>
      <c r="N105" s="242"/>
      <c r="O105" s="242"/>
      <c r="P105" s="242"/>
      <c r="Q105" s="242"/>
      <c r="R105" s="242"/>
      <c r="S105" s="242"/>
      <c r="T105" s="242"/>
    </row>
    <row r="106" spans="1:20">
      <c r="A106" s="242"/>
      <c r="B106" s="242"/>
      <c r="C106" s="242"/>
      <c r="D106" s="242"/>
      <c r="E106" s="242"/>
      <c r="F106" s="620"/>
      <c r="G106" s="242"/>
      <c r="H106" s="242"/>
      <c r="I106" s="242"/>
      <c r="J106" s="242"/>
      <c r="K106" s="242"/>
      <c r="L106" s="242"/>
      <c r="M106" s="242"/>
      <c r="N106" s="242"/>
      <c r="O106" s="242"/>
      <c r="P106" s="242"/>
      <c r="Q106" s="242"/>
      <c r="R106" s="242"/>
      <c r="S106" s="242"/>
      <c r="T106" s="242"/>
    </row>
    <row r="107" spans="1:20">
      <c r="A107" s="242"/>
      <c r="B107" s="242"/>
      <c r="C107" s="242"/>
      <c r="D107" s="242"/>
      <c r="E107" s="242"/>
      <c r="F107" s="620"/>
      <c r="G107" s="242"/>
      <c r="H107" s="242"/>
      <c r="I107" s="242"/>
      <c r="J107" s="242"/>
      <c r="K107" s="242"/>
      <c r="L107" s="242"/>
      <c r="M107" s="242"/>
      <c r="N107" s="242"/>
      <c r="O107" s="242"/>
      <c r="P107" s="242"/>
      <c r="Q107" s="242"/>
      <c r="R107" s="242"/>
      <c r="S107" s="242"/>
      <c r="T107" s="242"/>
    </row>
    <row r="108" spans="1:20">
      <c r="A108" s="242"/>
      <c r="B108" s="242"/>
      <c r="C108" s="242"/>
      <c r="D108" s="242"/>
      <c r="E108" s="242"/>
      <c r="F108" s="620"/>
      <c r="G108" s="242"/>
      <c r="H108" s="242"/>
      <c r="I108" s="242"/>
      <c r="J108" s="242"/>
      <c r="K108" s="242"/>
      <c r="L108" s="242"/>
      <c r="M108" s="242"/>
      <c r="N108" s="242"/>
      <c r="O108" s="242"/>
      <c r="P108" s="242"/>
      <c r="Q108" s="242"/>
      <c r="R108" s="242"/>
      <c r="S108" s="242"/>
      <c r="T108" s="242"/>
    </row>
    <row r="109" spans="1:20">
      <c r="A109" s="242"/>
      <c r="B109" s="242"/>
      <c r="C109" s="242"/>
      <c r="D109" s="242"/>
      <c r="E109" s="242"/>
      <c r="F109" s="620"/>
      <c r="G109" s="242"/>
      <c r="H109" s="242"/>
      <c r="I109" s="242"/>
      <c r="J109" s="242"/>
      <c r="K109" s="242"/>
      <c r="L109" s="242"/>
      <c r="M109" s="242"/>
      <c r="N109" s="242"/>
      <c r="O109" s="242"/>
      <c r="P109" s="242"/>
      <c r="Q109" s="242"/>
      <c r="R109" s="242"/>
      <c r="S109" s="242"/>
      <c r="T109" s="242"/>
    </row>
    <row r="110" spans="1:20">
      <c r="A110" s="242"/>
      <c r="B110" s="242"/>
      <c r="C110" s="242"/>
      <c r="D110" s="242"/>
      <c r="E110" s="242"/>
      <c r="F110" s="620"/>
      <c r="G110" s="242"/>
      <c r="H110" s="242"/>
      <c r="I110" s="242"/>
      <c r="J110" s="242"/>
      <c r="K110" s="242"/>
      <c r="L110" s="242"/>
      <c r="M110" s="242"/>
      <c r="N110" s="242"/>
      <c r="O110" s="242"/>
      <c r="P110" s="242"/>
      <c r="Q110" s="242"/>
      <c r="R110" s="242"/>
      <c r="S110" s="242"/>
      <c r="T110" s="242"/>
    </row>
    <row r="111" spans="1:20">
      <c r="A111" s="242"/>
      <c r="B111" s="242"/>
      <c r="C111" s="242"/>
      <c r="D111" s="242"/>
      <c r="E111" s="242"/>
      <c r="F111" s="620"/>
      <c r="G111" s="242"/>
      <c r="H111" s="242"/>
      <c r="I111" s="242"/>
      <c r="J111" s="242"/>
      <c r="K111" s="242"/>
      <c r="L111" s="242"/>
      <c r="M111" s="242"/>
      <c r="N111" s="242"/>
      <c r="O111" s="242"/>
      <c r="P111" s="242"/>
      <c r="Q111" s="242"/>
      <c r="R111" s="242"/>
      <c r="S111" s="242"/>
      <c r="T111" s="242"/>
    </row>
    <row r="112" spans="1:20">
      <c r="A112" s="242"/>
      <c r="B112" s="242"/>
      <c r="C112" s="242"/>
      <c r="D112" s="242"/>
      <c r="E112" s="242"/>
      <c r="F112" s="620"/>
      <c r="G112" s="242"/>
      <c r="H112" s="242"/>
      <c r="I112" s="242"/>
      <c r="J112" s="242"/>
      <c r="K112" s="242"/>
      <c r="L112" s="242"/>
      <c r="M112" s="242"/>
      <c r="N112" s="242"/>
      <c r="O112" s="242"/>
      <c r="P112" s="242"/>
      <c r="Q112" s="242"/>
      <c r="R112" s="242"/>
      <c r="S112" s="242"/>
      <c r="T112" s="242"/>
    </row>
    <row r="113" spans="1:20">
      <c r="A113" s="242"/>
      <c r="B113" s="242"/>
      <c r="C113" s="242"/>
      <c r="D113" s="242"/>
      <c r="E113" s="242"/>
      <c r="F113" s="620"/>
      <c r="G113" s="242"/>
      <c r="H113" s="242"/>
      <c r="I113" s="242"/>
      <c r="J113" s="242"/>
      <c r="K113" s="242"/>
      <c r="L113" s="242"/>
      <c r="M113" s="242"/>
      <c r="N113" s="242"/>
      <c r="O113" s="242"/>
      <c r="P113" s="242"/>
      <c r="Q113" s="242"/>
      <c r="R113" s="242"/>
      <c r="S113" s="242"/>
      <c r="T113" s="242"/>
    </row>
    <row r="114" spans="1:20">
      <c r="A114" s="242"/>
      <c r="B114" s="242"/>
      <c r="C114" s="242"/>
      <c r="D114" s="242"/>
      <c r="E114" s="242"/>
      <c r="F114" s="620"/>
      <c r="G114" s="242"/>
      <c r="H114" s="242"/>
      <c r="I114" s="242"/>
      <c r="J114" s="242"/>
      <c r="K114" s="242"/>
      <c r="L114" s="242"/>
      <c r="M114" s="242"/>
      <c r="N114" s="242"/>
      <c r="O114" s="242"/>
      <c r="P114" s="242"/>
      <c r="Q114" s="242"/>
      <c r="R114" s="242"/>
      <c r="S114" s="242"/>
      <c r="T114" s="242"/>
    </row>
    <row r="115" spans="1:20">
      <c r="A115" s="242"/>
      <c r="B115" s="242"/>
      <c r="C115" s="242"/>
      <c r="D115" s="242"/>
      <c r="E115" s="242"/>
      <c r="F115" s="620"/>
      <c r="G115" s="242"/>
      <c r="H115" s="242"/>
      <c r="I115" s="242"/>
      <c r="J115" s="242"/>
      <c r="K115" s="242"/>
      <c r="L115" s="242"/>
      <c r="M115" s="242"/>
      <c r="N115" s="242"/>
      <c r="O115" s="242"/>
      <c r="P115" s="242"/>
      <c r="Q115" s="242"/>
      <c r="R115" s="242"/>
      <c r="S115" s="242"/>
      <c r="T115" s="242"/>
    </row>
    <row r="116" spans="1:20">
      <c r="A116" s="242"/>
      <c r="B116" s="242"/>
      <c r="C116" s="242"/>
      <c r="D116" s="242"/>
      <c r="E116" s="242"/>
      <c r="F116" s="620"/>
      <c r="G116" s="242"/>
      <c r="H116" s="242"/>
      <c r="I116" s="242"/>
      <c r="J116" s="242"/>
      <c r="K116" s="242"/>
      <c r="L116" s="242"/>
      <c r="M116" s="242"/>
      <c r="N116" s="242"/>
      <c r="O116" s="242"/>
      <c r="P116" s="242"/>
      <c r="Q116" s="242"/>
      <c r="R116" s="242"/>
      <c r="S116" s="242"/>
      <c r="T116" s="242"/>
    </row>
    <row r="117" spans="1:20">
      <c r="A117" s="242"/>
      <c r="B117" s="242"/>
      <c r="C117" s="242"/>
      <c r="D117" s="242"/>
      <c r="E117" s="242"/>
      <c r="F117" s="620"/>
      <c r="G117" s="242"/>
      <c r="H117" s="242"/>
      <c r="I117" s="242"/>
      <c r="J117" s="242"/>
      <c r="K117" s="242"/>
      <c r="L117" s="242"/>
      <c r="M117" s="242"/>
      <c r="N117" s="242"/>
      <c r="O117" s="242"/>
      <c r="P117" s="242"/>
      <c r="Q117" s="242"/>
      <c r="R117" s="242"/>
      <c r="S117" s="242"/>
      <c r="T117" s="242"/>
    </row>
    <row r="118" spans="1:20">
      <c r="A118" s="242"/>
      <c r="B118" s="242"/>
      <c r="C118" s="242"/>
      <c r="D118" s="242"/>
      <c r="E118" s="242"/>
      <c r="F118" s="620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</row>
    <row r="119" spans="1:20">
      <c r="A119" s="242"/>
      <c r="B119" s="242"/>
      <c r="C119" s="242"/>
      <c r="D119" s="242"/>
      <c r="E119" s="242"/>
      <c r="F119" s="620"/>
      <c r="G119" s="242"/>
      <c r="H119" s="242"/>
      <c r="I119" s="242"/>
      <c r="J119" s="242"/>
      <c r="K119" s="242"/>
      <c r="L119" s="242"/>
      <c r="M119" s="242"/>
      <c r="N119" s="242"/>
      <c r="O119" s="242"/>
      <c r="P119" s="242"/>
      <c r="Q119" s="242"/>
      <c r="R119" s="242"/>
      <c r="S119" s="242"/>
      <c r="T119" s="242"/>
    </row>
    <row r="120" spans="1:20">
      <c r="A120" s="242"/>
      <c r="B120" s="242"/>
      <c r="C120" s="242"/>
      <c r="D120" s="242"/>
      <c r="E120" s="242"/>
      <c r="F120" s="620"/>
      <c r="G120" s="242"/>
      <c r="H120" s="242"/>
      <c r="I120" s="242"/>
      <c r="J120" s="242"/>
      <c r="K120" s="242"/>
      <c r="L120" s="242"/>
      <c r="M120" s="242"/>
      <c r="N120" s="242"/>
      <c r="O120" s="242"/>
      <c r="P120" s="242"/>
      <c r="Q120" s="242"/>
      <c r="R120" s="242"/>
      <c r="S120" s="242"/>
      <c r="T120" s="242"/>
    </row>
    <row r="121" spans="1:20">
      <c r="A121" s="242"/>
      <c r="B121" s="242"/>
      <c r="C121" s="242"/>
      <c r="D121" s="242"/>
      <c r="E121" s="242"/>
      <c r="F121" s="620"/>
      <c r="G121" s="242"/>
      <c r="H121" s="242"/>
      <c r="I121" s="242"/>
      <c r="J121" s="242"/>
      <c r="K121" s="242"/>
      <c r="L121" s="242"/>
      <c r="M121" s="242"/>
      <c r="N121" s="242"/>
      <c r="O121" s="242"/>
      <c r="P121" s="242"/>
      <c r="Q121" s="242"/>
      <c r="R121" s="242"/>
      <c r="S121" s="242"/>
      <c r="T121" s="242"/>
    </row>
    <row r="122" spans="1:20">
      <c r="A122" s="242"/>
      <c r="B122" s="242"/>
      <c r="C122" s="242"/>
      <c r="D122" s="242"/>
      <c r="E122" s="242"/>
      <c r="F122" s="620"/>
      <c r="G122" s="242"/>
      <c r="H122" s="242"/>
      <c r="I122" s="242"/>
      <c r="J122" s="242"/>
      <c r="K122" s="242"/>
      <c r="L122" s="242"/>
      <c r="M122" s="242"/>
      <c r="N122" s="242"/>
      <c r="O122" s="242"/>
      <c r="P122" s="242"/>
      <c r="Q122" s="242"/>
      <c r="R122" s="242"/>
      <c r="S122" s="242"/>
      <c r="T122" s="242"/>
    </row>
    <row r="123" spans="1:20">
      <c r="A123" s="242"/>
      <c r="B123" s="242"/>
      <c r="C123" s="242"/>
      <c r="D123" s="242"/>
      <c r="E123" s="242"/>
      <c r="F123" s="620"/>
      <c r="G123" s="242"/>
      <c r="H123" s="242"/>
      <c r="I123" s="242"/>
      <c r="J123" s="242"/>
      <c r="K123" s="242"/>
      <c r="L123" s="242"/>
      <c r="M123" s="242"/>
      <c r="N123" s="242"/>
      <c r="O123" s="242"/>
      <c r="P123" s="242"/>
      <c r="Q123" s="242"/>
      <c r="R123" s="242"/>
      <c r="S123" s="242"/>
      <c r="T123" s="242"/>
    </row>
    <row r="124" spans="1:20">
      <c r="A124" s="242"/>
      <c r="B124" s="242"/>
      <c r="C124" s="242"/>
      <c r="D124" s="242"/>
      <c r="E124" s="242"/>
      <c r="F124" s="620"/>
      <c r="G124" s="242"/>
      <c r="H124" s="242"/>
      <c r="I124" s="242"/>
      <c r="J124" s="242"/>
      <c r="K124" s="242"/>
      <c r="L124" s="242"/>
      <c r="M124" s="242"/>
      <c r="N124" s="242"/>
      <c r="O124" s="242"/>
      <c r="P124" s="242"/>
      <c r="Q124" s="242"/>
      <c r="R124" s="242"/>
      <c r="S124" s="242"/>
      <c r="T124" s="242"/>
    </row>
    <row r="125" spans="1:20">
      <c r="A125" s="242"/>
      <c r="B125" s="242"/>
      <c r="C125" s="242"/>
      <c r="D125" s="242"/>
      <c r="E125" s="242"/>
      <c r="F125" s="620"/>
      <c r="G125" s="242"/>
      <c r="H125" s="242"/>
      <c r="I125" s="242"/>
      <c r="J125" s="242"/>
      <c r="K125" s="242"/>
      <c r="L125" s="242"/>
      <c r="M125" s="242"/>
      <c r="N125" s="242"/>
      <c r="O125" s="242"/>
      <c r="P125" s="242"/>
      <c r="Q125" s="242"/>
      <c r="R125" s="242"/>
      <c r="S125" s="242"/>
      <c r="T125" s="242"/>
    </row>
    <row r="126" spans="1:20">
      <c r="A126" s="242"/>
      <c r="B126" s="242"/>
      <c r="C126" s="242"/>
      <c r="D126" s="242"/>
      <c r="E126" s="242"/>
      <c r="F126" s="620"/>
      <c r="G126" s="242"/>
      <c r="H126" s="242"/>
      <c r="I126" s="242"/>
      <c r="J126" s="242"/>
      <c r="K126" s="242"/>
      <c r="L126" s="242"/>
      <c r="M126" s="242"/>
      <c r="N126" s="242"/>
      <c r="O126" s="242"/>
      <c r="P126" s="242"/>
      <c r="Q126" s="242"/>
      <c r="R126" s="242"/>
      <c r="S126" s="242"/>
      <c r="T126" s="242"/>
    </row>
    <row r="127" spans="1:20">
      <c r="A127" s="242"/>
      <c r="B127" s="242"/>
      <c r="C127" s="242"/>
      <c r="D127" s="242"/>
      <c r="E127" s="242"/>
      <c r="F127" s="620"/>
      <c r="G127" s="242"/>
      <c r="H127" s="242"/>
      <c r="I127" s="242"/>
      <c r="J127" s="242"/>
      <c r="K127" s="242"/>
      <c r="L127" s="242"/>
      <c r="M127" s="242"/>
      <c r="N127" s="242"/>
      <c r="O127" s="242"/>
      <c r="P127" s="242"/>
      <c r="Q127" s="242"/>
      <c r="R127" s="242"/>
      <c r="S127" s="242"/>
      <c r="T127" s="242"/>
    </row>
    <row r="128" spans="1:20">
      <c r="A128" s="242"/>
      <c r="B128" s="242"/>
      <c r="C128" s="242"/>
      <c r="D128" s="242"/>
      <c r="E128" s="242"/>
      <c r="F128" s="620"/>
      <c r="G128" s="242"/>
      <c r="H128" s="242"/>
      <c r="I128" s="242"/>
      <c r="J128" s="242"/>
      <c r="K128" s="242"/>
      <c r="L128" s="242"/>
      <c r="M128" s="242"/>
      <c r="N128" s="242"/>
      <c r="O128" s="242"/>
      <c r="P128" s="242"/>
      <c r="Q128" s="242"/>
      <c r="R128" s="242"/>
      <c r="S128" s="242"/>
      <c r="T128" s="242"/>
    </row>
    <row r="129" spans="1:20">
      <c r="A129" s="242"/>
      <c r="B129" s="242"/>
      <c r="C129" s="242"/>
      <c r="D129" s="242"/>
      <c r="E129" s="242"/>
      <c r="F129" s="620"/>
      <c r="G129" s="242"/>
      <c r="H129" s="242"/>
      <c r="I129" s="242"/>
      <c r="J129" s="242"/>
      <c r="K129" s="242"/>
      <c r="L129" s="242"/>
      <c r="M129" s="242"/>
      <c r="N129" s="242"/>
      <c r="O129" s="242"/>
      <c r="P129" s="242"/>
      <c r="Q129" s="242"/>
      <c r="R129" s="242"/>
      <c r="S129" s="242"/>
      <c r="T129" s="242"/>
    </row>
    <row r="130" spans="1:20">
      <c r="A130" s="242"/>
      <c r="B130" s="242"/>
      <c r="C130" s="242"/>
      <c r="D130" s="242"/>
      <c r="E130" s="242"/>
      <c r="F130" s="620"/>
      <c r="G130" s="242"/>
      <c r="H130" s="242"/>
      <c r="I130" s="242"/>
      <c r="J130" s="242"/>
      <c r="K130" s="242"/>
      <c r="L130" s="242"/>
      <c r="M130" s="242"/>
      <c r="N130" s="242"/>
      <c r="O130" s="242"/>
      <c r="P130" s="242"/>
      <c r="Q130" s="242"/>
      <c r="R130" s="242"/>
      <c r="S130" s="242"/>
      <c r="T130" s="242"/>
    </row>
    <row r="131" spans="1:20">
      <c r="A131" s="242"/>
      <c r="B131" s="242"/>
      <c r="C131" s="242"/>
      <c r="D131" s="242"/>
      <c r="E131" s="242"/>
      <c r="F131" s="620"/>
      <c r="G131" s="242"/>
      <c r="H131" s="242"/>
      <c r="I131" s="242"/>
      <c r="J131" s="242"/>
      <c r="K131" s="242"/>
      <c r="L131" s="242"/>
      <c r="M131" s="242"/>
      <c r="N131" s="242"/>
      <c r="O131" s="242"/>
      <c r="P131" s="242"/>
      <c r="Q131" s="242"/>
      <c r="R131" s="242"/>
      <c r="S131" s="242"/>
      <c r="T131" s="242"/>
    </row>
    <row r="132" spans="1:20">
      <c r="A132" s="242"/>
      <c r="B132" s="242"/>
      <c r="C132" s="242"/>
      <c r="D132" s="242"/>
      <c r="E132" s="242"/>
      <c r="F132" s="620"/>
      <c r="G132" s="242"/>
      <c r="H132" s="242"/>
      <c r="I132" s="242"/>
      <c r="J132" s="242"/>
      <c r="K132" s="242"/>
      <c r="L132" s="242"/>
      <c r="M132" s="242"/>
      <c r="N132" s="242"/>
      <c r="O132" s="242"/>
      <c r="P132" s="242"/>
      <c r="Q132" s="242"/>
      <c r="R132" s="242"/>
      <c r="S132" s="242"/>
      <c r="T132" s="242"/>
    </row>
    <row r="133" spans="1:20">
      <c r="A133" s="242"/>
      <c r="B133" s="242"/>
      <c r="C133" s="242"/>
      <c r="D133" s="242"/>
      <c r="E133" s="242"/>
      <c r="F133" s="620"/>
      <c r="G133" s="242"/>
      <c r="H133" s="242"/>
      <c r="I133" s="242"/>
      <c r="J133" s="242"/>
      <c r="K133" s="242"/>
      <c r="L133" s="242"/>
      <c r="M133" s="242"/>
      <c r="N133" s="242"/>
      <c r="O133" s="242"/>
      <c r="P133" s="242"/>
      <c r="Q133" s="242"/>
      <c r="R133" s="242"/>
      <c r="S133" s="242"/>
      <c r="T133" s="242"/>
    </row>
    <row r="134" spans="1:20">
      <c r="A134" s="242"/>
      <c r="B134" s="242"/>
      <c r="C134" s="242"/>
      <c r="D134" s="242"/>
      <c r="E134" s="242"/>
      <c r="F134" s="620"/>
      <c r="G134" s="242"/>
      <c r="H134" s="242"/>
      <c r="I134" s="242"/>
      <c r="J134" s="242"/>
      <c r="K134" s="242"/>
      <c r="L134" s="242"/>
      <c r="M134" s="242"/>
      <c r="N134" s="242"/>
      <c r="O134" s="242"/>
      <c r="P134" s="242"/>
      <c r="Q134" s="242"/>
      <c r="R134" s="242"/>
      <c r="S134" s="242"/>
      <c r="T134" s="242"/>
    </row>
    <row r="135" spans="1:20">
      <c r="A135" s="242"/>
      <c r="B135" s="242"/>
      <c r="C135" s="242"/>
      <c r="D135" s="242"/>
      <c r="E135" s="242"/>
      <c r="F135" s="620"/>
      <c r="G135" s="242"/>
      <c r="H135" s="242"/>
      <c r="I135" s="242"/>
      <c r="J135" s="242"/>
      <c r="K135" s="242"/>
      <c r="L135" s="242"/>
      <c r="M135" s="242"/>
      <c r="N135" s="242"/>
      <c r="O135" s="242"/>
      <c r="P135" s="242"/>
      <c r="Q135" s="242"/>
      <c r="R135" s="242"/>
      <c r="S135" s="242"/>
      <c r="T135" s="242"/>
    </row>
    <row r="136" spans="1:20">
      <c r="A136" s="242"/>
      <c r="B136" s="242"/>
      <c r="C136" s="242"/>
      <c r="D136" s="242"/>
      <c r="E136" s="242"/>
      <c r="F136" s="620"/>
      <c r="G136" s="242"/>
      <c r="H136" s="242"/>
      <c r="I136" s="242"/>
      <c r="J136" s="242"/>
      <c r="K136" s="242"/>
      <c r="L136" s="242"/>
      <c r="M136" s="242"/>
      <c r="N136" s="242"/>
      <c r="O136" s="242"/>
      <c r="P136" s="242"/>
      <c r="Q136" s="242"/>
      <c r="R136" s="242"/>
      <c r="S136" s="242"/>
      <c r="T136" s="242"/>
    </row>
    <row r="137" spans="1:20">
      <c r="A137" s="242"/>
      <c r="B137" s="242"/>
      <c r="C137" s="242"/>
      <c r="D137" s="242"/>
      <c r="E137" s="242"/>
      <c r="F137" s="620"/>
      <c r="G137" s="242"/>
      <c r="H137" s="242"/>
      <c r="I137" s="242"/>
      <c r="J137" s="242"/>
      <c r="K137" s="242"/>
      <c r="L137" s="242"/>
      <c r="M137" s="242"/>
      <c r="N137" s="242"/>
      <c r="O137" s="242"/>
      <c r="P137" s="242"/>
      <c r="Q137" s="242"/>
      <c r="R137" s="242"/>
      <c r="S137" s="242"/>
      <c r="T137" s="242"/>
    </row>
    <row r="138" spans="1:20">
      <c r="A138" s="242"/>
      <c r="B138" s="242"/>
      <c r="C138" s="242"/>
      <c r="D138" s="242"/>
      <c r="E138" s="242"/>
      <c r="F138" s="620"/>
      <c r="G138" s="242"/>
      <c r="H138" s="242"/>
      <c r="I138" s="242"/>
      <c r="J138" s="242"/>
      <c r="K138" s="242"/>
      <c r="L138" s="242"/>
      <c r="M138" s="242"/>
      <c r="N138" s="242"/>
      <c r="O138" s="242"/>
      <c r="P138" s="242"/>
      <c r="Q138" s="242"/>
      <c r="R138" s="242"/>
      <c r="S138" s="242"/>
      <c r="T138" s="242"/>
    </row>
    <row r="139" spans="1:20">
      <c r="A139" s="242"/>
      <c r="B139" s="242"/>
      <c r="C139" s="242"/>
      <c r="D139" s="242"/>
      <c r="E139" s="242"/>
      <c r="F139" s="620"/>
      <c r="G139" s="242"/>
      <c r="H139" s="242"/>
      <c r="I139" s="242"/>
      <c r="J139" s="242"/>
      <c r="K139" s="242"/>
      <c r="L139" s="242"/>
      <c r="M139" s="242"/>
      <c r="N139" s="242"/>
      <c r="O139" s="242"/>
      <c r="P139" s="242"/>
      <c r="Q139" s="242"/>
      <c r="R139" s="242"/>
      <c r="S139" s="242"/>
      <c r="T139" s="242"/>
    </row>
    <row r="140" spans="1:20">
      <c r="A140" s="242"/>
      <c r="B140" s="242"/>
      <c r="C140" s="242"/>
      <c r="D140" s="242"/>
      <c r="E140" s="242"/>
      <c r="F140" s="620"/>
      <c r="G140" s="242"/>
      <c r="H140" s="242"/>
      <c r="I140" s="242"/>
      <c r="J140" s="242"/>
      <c r="K140" s="242"/>
      <c r="L140" s="242"/>
      <c r="M140" s="242"/>
      <c r="N140" s="242"/>
      <c r="O140" s="242"/>
      <c r="P140" s="242"/>
      <c r="Q140" s="242"/>
      <c r="R140" s="242"/>
      <c r="S140" s="242"/>
      <c r="T140" s="242"/>
    </row>
    <row r="141" spans="1:20">
      <c r="A141" s="242"/>
      <c r="B141" s="242"/>
      <c r="C141" s="242"/>
      <c r="D141" s="242"/>
      <c r="E141" s="242"/>
      <c r="F141" s="620"/>
      <c r="G141" s="242"/>
      <c r="H141" s="242"/>
      <c r="I141" s="242"/>
      <c r="J141" s="242"/>
      <c r="K141" s="242"/>
      <c r="L141" s="242"/>
      <c r="M141" s="242"/>
      <c r="N141" s="242"/>
      <c r="O141" s="242"/>
      <c r="P141" s="242"/>
      <c r="Q141" s="242"/>
      <c r="R141" s="242"/>
      <c r="S141" s="242"/>
      <c r="T141" s="242"/>
    </row>
    <row r="142" spans="1:20">
      <c r="A142" s="242"/>
      <c r="B142" s="242"/>
      <c r="C142" s="242"/>
      <c r="D142" s="242"/>
      <c r="E142" s="242"/>
      <c r="F142" s="620"/>
      <c r="G142" s="242"/>
      <c r="H142" s="242"/>
      <c r="I142" s="242"/>
      <c r="J142" s="242"/>
      <c r="K142" s="242"/>
      <c r="L142" s="242"/>
      <c r="M142" s="242"/>
      <c r="N142" s="242"/>
      <c r="O142" s="242"/>
      <c r="P142" s="242"/>
      <c r="Q142" s="242"/>
      <c r="R142" s="242"/>
      <c r="S142" s="242"/>
      <c r="T142" s="242"/>
    </row>
    <row r="143" spans="1:20">
      <c r="A143" s="242"/>
      <c r="B143" s="242"/>
      <c r="C143" s="242"/>
      <c r="D143" s="242"/>
      <c r="E143" s="242"/>
      <c r="F143" s="620"/>
      <c r="G143" s="242"/>
      <c r="H143" s="242"/>
      <c r="I143" s="242"/>
      <c r="J143" s="242"/>
      <c r="K143" s="242"/>
      <c r="L143" s="242"/>
      <c r="M143" s="242"/>
      <c r="N143" s="242"/>
      <c r="O143" s="242"/>
      <c r="P143" s="242"/>
      <c r="Q143" s="242"/>
      <c r="R143" s="242"/>
      <c r="S143" s="242"/>
      <c r="T143" s="242"/>
    </row>
    <row r="144" spans="1:20">
      <c r="A144" s="242"/>
      <c r="B144" s="242"/>
      <c r="C144" s="242"/>
      <c r="D144" s="242"/>
      <c r="E144" s="242"/>
      <c r="F144" s="620"/>
      <c r="G144" s="242"/>
      <c r="H144" s="242"/>
      <c r="I144" s="242"/>
      <c r="J144" s="242"/>
      <c r="K144" s="242"/>
      <c r="L144" s="242"/>
      <c r="M144" s="242"/>
      <c r="N144" s="242"/>
      <c r="O144" s="242"/>
      <c r="P144" s="242"/>
      <c r="Q144" s="242"/>
      <c r="R144" s="242"/>
      <c r="S144" s="242"/>
      <c r="T144" s="242"/>
    </row>
    <row r="145" spans="1:20">
      <c r="A145" s="242"/>
      <c r="B145" s="242"/>
      <c r="C145" s="242"/>
      <c r="D145" s="242"/>
      <c r="E145" s="242"/>
      <c r="F145" s="620"/>
      <c r="G145" s="242"/>
      <c r="H145" s="242"/>
      <c r="I145" s="242"/>
      <c r="J145" s="242"/>
      <c r="K145" s="242"/>
      <c r="L145" s="242"/>
      <c r="M145" s="242"/>
      <c r="N145" s="242"/>
      <c r="O145" s="242"/>
      <c r="P145" s="242"/>
      <c r="Q145" s="242"/>
      <c r="R145" s="242"/>
      <c r="S145" s="242"/>
      <c r="T145" s="242"/>
    </row>
    <row r="146" spans="1:20">
      <c r="A146" s="242"/>
      <c r="B146" s="242"/>
      <c r="C146" s="242"/>
      <c r="D146" s="242"/>
      <c r="E146" s="242"/>
      <c r="F146" s="620"/>
      <c r="G146" s="242"/>
      <c r="H146" s="242"/>
      <c r="I146" s="242"/>
      <c r="J146" s="242"/>
      <c r="K146" s="242"/>
      <c r="L146" s="242"/>
      <c r="M146" s="242"/>
      <c r="N146" s="242"/>
      <c r="O146" s="242"/>
      <c r="P146" s="242"/>
      <c r="Q146" s="242"/>
      <c r="R146" s="242"/>
      <c r="S146" s="242"/>
      <c r="T146" s="242"/>
    </row>
    <row r="147" spans="1:20">
      <c r="A147" s="242"/>
      <c r="B147" s="242"/>
      <c r="C147" s="242"/>
      <c r="D147" s="242"/>
      <c r="E147" s="242"/>
      <c r="F147" s="620"/>
      <c r="G147" s="242"/>
      <c r="H147" s="242"/>
      <c r="I147" s="242"/>
      <c r="J147" s="242"/>
      <c r="K147" s="242"/>
      <c r="L147" s="242"/>
      <c r="M147" s="242"/>
      <c r="N147" s="242"/>
      <c r="O147" s="242"/>
      <c r="P147" s="242"/>
      <c r="Q147" s="242"/>
      <c r="R147" s="242"/>
      <c r="S147" s="242"/>
      <c r="T147" s="242"/>
    </row>
    <row r="148" spans="1:20">
      <c r="A148" s="242"/>
      <c r="B148" s="242"/>
      <c r="C148" s="242"/>
      <c r="D148" s="242"/>
      <c r="E148" s="242"/>
      <c r="F148" s="620"/>
      <c r="G148" s="242"/>
      <c r="H148" s="242"/>
      <c r="I148" s="242"/>
      <c r="J148" s="242"/>
      <c r="K148" s="242"/>
      <c r="L148" s="242"/>
      <c r="M148" s="242"/>
      <c r="N148" s="242"/>
      <c r="O148" s="242"/>
      <c r="P148" s="242"/>
      <c r="Q148" s="242"/>
      <c r="R148" s="242"/>
      <c r="S148" s="242"/>
      <c r="T148" s="242"/>
    </row>
    <row r="149" spans="1:20">
      <c r="A149" s="242"/>
      <c r="B149" s="242"/>
      <c r="C149" s="242"/>
      <c r="D149" s="242"/>
      <c r="E149" s="242"/>
      <c r="F149" s="620"/>
      <c r="G149" s="242"/>
      <c r="H149" s="242"/>
      <c r="I149" s="242"/>
      <c r="J149" s="242"/>
      <c r="K149" s="242"/>
      <c r="L149" s="242"/>
      <c r="M149" s="242"/>
      <c r="N149" s="242"/>
      <c r="O149" s="242"/>
      <c r="P149" s="242"/>
      <c r="Q149" s="242"/>
      <c r="R149" s="242"/>
      <c r="S149" s="242"/>
      <c r="T149" s="242"/>
    </row>
    <row r="150" spans="1:20">
      <c r="A150" s="242"/>
      <c r="B150" s="242"/>
      <c r="C150" s="242"/>
      <c r="D150" s="242"/>
      <c r="E150" s="242"/>
      <c r="F150" s="620"/>
      <c r="G150" s="242"/>
      <c r="H150" s="242"/>
      <c r="I150" s="242"/>
      <c r="J150" s="242"/>
      <c r="K150" s="242"/>
      <c r="L150" s="242"/>
      <c r="M150" s="242"/>
      <c r="N150" s="242"/>
      <c r="O150" s="242"/>
      <c r="P150" s="242"/>
      <c r="Q150" s="242"/>
      <c r="R150" s="242"/>
      <c r="S150" s="242"/>
      <c r="T150" s="242"/>
    </row>
    <row r="151" spans="1:20">
      <c r="A151" s="242"/>
      <c r="B151" s="242"/>
      <c r="C151" s="242"/>
      <c r="D151" s="242"/>
      <c r="E151" s="242"/>
      <c r="F151" s="620"/>
      <c r="G151" s="242"/>
      <c r="H151" s="242"/>
      <c r="I151" s="242"/>
      <c r="J151" s="242"/>
      <c r="K151" s="242"/>
      <c r="L151" s="242"/>
      <c r="M151" s="242"/>
      <c r="N151" s="242"/>
      <c r="O151" s="242"/>
      <c r="P151" s="242"/>
      <c r="Q151" s="242"/>
      <c r="R151" s="242"/>
      <c r="S151" s="242"/>
      <c r="T151" s="242"/>
    </row>
    <row r="152" spans="1:20">
      <c r="A152" s="242"/>
      <c r="B152" s="242"/>
      <c r="C152" s="242"/>
      <c r="D152" s="242"/>
      <c r="E152" s="242"/>
      <c r="F152" s="620"/>
      <c r="G152" s="242"/>
      <c r="H152" s="242"/>
      <c r="I152" s="242"/>
      <c r="J152" s="242"/>
      <c r="K152" s="242"/>
      <c r="L152" s="242"/>
      <c r="M152" s="242"/>
      <c r="N152" s="242"/>
      <c r="O152" s="242"/>
      <c r="P152" s="242"/>
      <c r="Q152" s="242"/>
      <c r="R152" s="242"/>
      <c r="S152" s="242"/>
      <c r="T152" s="242"/>
    </row>
    <row r="153" spans="1:20">
      <c r="A153" s="242"/>
      <c r="B153" s="242"/>
      <c r="C153" s="242"/>
      <c r="D153" s="242"/>
      <c r="E153" s="242"/>
      <c r="F153" s="620"/>
      <c r="G153" s="242"/>
      <c r="H153" s="242"/>
      <c r="I153" s="242"/>
      <c r="J153" s="242"/>
      <c r="K153" s="242"/>
      <c r="L153" s="242"/>
      <c r="M153" s="242"/>
      <c r="N153" s="242"/>
      <c r="O153" s="242"/>
      <c r="P153" s="242"/>
      <c r="Q153" s="242"/>
      <c r="R153" s="242"/>
      <c r="S153" s="242"/>
      <c r="T153" s="242"/>
    </row>
    <row r="154" spans="1:20">
      <c r="A154" s="242"/>
      <c r="B154" s="242"/>
      <c r="C154" s="242"/>
      <c r="D154" s="242"/>
      <c r="E154" s="242"/>
      <c r="F154" s="620"/>
      <c r="G154" s="242"/>
      <c r="H154" s="242"/>
      <c r="I154" s="242"/>
      <c r="J154" s="242"/>
      <c r="K154" s="242"/>
      <c r="L154" s="242"/>
      <c r="M154" s="242"/>
      <c r="N154" s="242"/>
      <c r="O154" s="242"/>
      <c r="P154" s="242"/>
      <c r="Q154" s="242"/>
      <c r="R154" s="242"/>
      <c r="S154" s="242"/>
      <c r="T154" s="242"/>
    </row>
    <row r="155" spans="1:20">
      <c r="A155" s="242"/>
      <c r="B155" s="242"/>
      <c r="C155" s="242"/>
      <c r="D155" s="242"/>
      <c r="E155" s="242"/>
      <c r="F155" s="620"/>
      <c r="G155" s="242"/>
      <c r="H155" s="242"/>
      <c r="I155" s="242"/>
      <c r="J155" s="242"/>
      <c r="K155" s="242"/>
      <c r="L155" s="242"/>
      <c r="M155" s="242"/>
      <c r="N155" s="242"/>
      <c r="O155" s="242"/>
      <c r="P155" s="242"/>
      <c r="Q155" s="242"/>
      <c r="R155" s="242"/>
      <c r="S155" s="242"/>
      <c r="T155" s="242"/>
    </row>
    <row r="156" spans="1:20">
      <c r="A156" s="242"/>
      <c r="B156" s="242"/>
      <c r="C156" s="242"/>
      <c r="D156" s="242"/>
      <c r="E156" s="242"/>
      <c r="F156" s="620"/>
      <c r="G156" s="242"/>
      <c r="H156" s="242"/>
      <c r="I156" s="242"/>
      <c r="J156" s="242"/>
      <c r="K156" s="242"/>
      <c r="L156" s="242"/>
      <c r="M156" s="242"/>
      <c r="N156" s="242"/>
      <c r="O156" s="242"/>
      <c r="P156" s="242"/>
      <c r="Q156" s="242"/>
      <c r="R156" s="242"/>
      <c r="S156" s="242"/>
      <c r="T156" s="242"/>
    </row>
    <row r="157" spans="1:20">
      <c r="A157" s="242"/>
      <c r="B157" s="242"/>
      <c r="C157" s="242"/>
      <c r="D157" s="242"/>
      <c r="E157" s="242"/>
      <c r="F157" s="620"/>
      <c r="G157" s="242"/>
      <c r="H157" s="242"/>
      <c r="I157" s="242"/>
      <c r="J157" s="242"/>
      <c r="K157" s="242"/>
      <c r="L157" s="242"/>
      <c r="M157" s="242"/>
      <c r="N157" s="242"/>
      <c r="O157" s="242"/>
      <c r="P157" s="242"/>
      <c r="Q157" s="242"/>
      <c r="R157" s="242"/>
      <c r="S157" s="242"/>
      <c r="T157" s="242"/>
    </row>
    <row r="158" spans="1:20">
      <c r="A158" s="242"/>
      <c r="B158" s="242"/>
      <c r="C158" s="242"/>
      <c r="D158" s="242"/>
      <c r="E158" s="242"/>
      <c r="F158" s="620"/>
      <c r="G158" s="242"/>
      <c r="H158" s="242"/>
      <c r="I158" s="242"/>
      <c r="J158" s="242"/>
      <c r="K158" s="242"/>
      <c r="L158" s="242"/>
      <c r="M158" s="242"/>
      <c r="N158" s="242"/>
      <c r="O158" s="242"/>
      <c r="P158" s="242"/>
      <c r="Q158" s="242"/>
      <c r="R158" s="242"/>
      <c r="S158" s="242"/>
      <c r="T158" s="242"/>
    </row>
    <row r="159" spans="1:20">
      <c r="A159" s="242"/>
      <c r="B159" s="242"/>
      <c r="C159" s="242"/>
      <c r="D159" s="242"/>
      <c r="E159" s="242"/>
      <c r="F159" s="620"/>
      <c r="G159" s="242"/>
      <c r="H159" s="242"/>
      <c r="I159" s="242"/>
      <c r="J159" s="242"/>
      <c r="K159" s="242"/>
      <c r="L159" s="242"/>
      <c r="M159" s="242"/>
      <c r="N159" s="242"/>
      <c r="O159" s="242"/>
      <c r="P159" s="242"/>
      <c r="Q159" s="242"/>
      <c r="R159" s="242"/>
      <c r="S159" s="242"/>
      <c r="T159" s="242"/>
    </row>
    <row r="160" spans="1:20">
      <c r="A160" s="242"/>
      <c r="B160" s="242"/>
      <c r="C160" s="242"/>
      <c r="D160" s="242"/>
      <c r="E160" s="242"/>
      <c r="F160" s="620"/>
      <c r="G160" s="242"/>
      <c r="H160" s="242"/>
      <c r="I160" s="242"/>
      <c r="J160" s="242"/>
      <c r="K160" s="242"/>
      <c r="L160" s="242"/>
      <c r="M160" s="242"/>
      <c r="N160" s="242"/>
      <c r="O160" s="242"/>
      <c r="P160" s="242"/>
      <c r="Q160" s="242"/>
      <c r="R160" s="242"/>
      <c r="S160" s="242"/>
      <c r="T160" s="242"/>
    </row>
    <row r="161" spans="1:20">
      <c r="A161" s="242"/>
      <c r="B161" s="242"/>
      <c r="C161" s="242"/>
      <c r="D161" s="242"/>
      <c r="E161" s="242"/>
      <c r="F161" s="620"/>
      <c r="G161" s="242"/>
      <c r="H161" s="242"/>
      <c r="I161" s="242"/>
      <c r="J161" s="242"/>
      <c r="K161" s="242"/>
      <c r="L161" s="242"/>
      <c r="M161" s="242"/>
      <c r="N161" s="242"/>
      <c r="O161" s="242"/>
      <c r="P161" s="242"/>
      <c r="Q161" s="242"/>
      <c r="R161" s="242"/>
      <c r="S161" s="242"/>
      <c r="T161" s="242"/>
    </row>
    <row r="162" spans="1:20">
      <c r="A162" s="242"/>
      <c r="B162" s="242"/>
      <c r="C162" s="242"/>
      <c r="D162" s="242"/>
      <c r="E162" s="242"/>
      <c r="F162" s="620"/>
      <c r="G162" s="242"/>
      <c r="H162" s="242"/>
      <c r="I162" s="242"/>
      <c r="J162" s="242"/>
      <c r="K162" s="242"/>
      <c r="L162" s="242"/>
      <c r="M162" s="242"/>
      <c r="N162" s="242"/>
      <c r="O162" s="242"/>
      <c r="P162" s="242"/>
      <c r="Q162" s="242"/>
      <c r="R162" s="242"/>
      <c r="S162" s="242"/>
      <c r="T162" s="242"/>
    </row>
    <row r="163" spans="1:20">
      <c r="A163" s="242"/>
      <c r="B163" s="242"/>
      <c r="C163" s="242"/>
      <c r="D163" s="242"/>
      <c r="E163" s="242"/>
      <c r="F163" s="620"/>
      <c r="G163" s="242"/>
      <c r="H163" s="242"/>
      <c r="I163" s="242"/>
      <c r="J163" s="242"/>
      <c r="K163" s="242"/>
      <c r="L163" s="242"/>
      <c r="M163" s="242"/>
      <c r="N163" s="242"/>
      <c r="O163" s="242"/>
      <c r="P163" s="242"/>
      <c r="Q163" s="242"/>
      <c r="R163" s="242"/>
      <c r="S163" s="242"/>
      <c r="T163" s="242"/>
    </row>
    <row r="164" spans="1:20">
      <c r="A164" s="242"/>
      <c r="B164" s="242"/>
      <c r="C164" s="242"/>
      <c r="D164" s="242"/>
      <c r="E164" s="242"/>
      <c r="F164" s="620"/>
      <c r="G164" s="242"/>
      <c r="H164" s="242"/>
      <c r="I164" s="242"/>
      <c r="J164" s="242"/>
      <c r="K164" s="242"/>
      <c r="L164" s="242"/>
      <c r="M164" s="242"/>
      <c r="N164" s="242"/>
      <c r="O164" s="242"/>
      <c r="P164" s="242"/>
      <c r="Q164" s="242"/>
      <c r="R164" s="242"/>
      <c r="S164" s="242"/>
      <c r="T164" s="242"/>
    </row>
    <row r="165" spans="1:20">
      <c r="A165" s="242"/>
      <c r="B165" s="242"/>
      <c r="C165" s="242"/>
      <c r="D165" s="242"/>
      <c r="E165" s="242"/>
      <c r="F165" s="620"/>
      <c r="G165" s="242"/>
      <c r="H165" s="242"/>
      <c r="I165" s="242"/>
      <c r="J165" s="242"/>
      <c r="K165" s="242"/>
      <c r="L165" s="242"/>
      <c r="M165" s="242"/>
      <c r="N165" s="242"/>
      <c r="O165" s="242"/>
      <c r="P165" s="242"/>
      <c r="Q165" s="242"/>
      <c r="R165" s="242"/>
      <c r="S165" s="242"/>
      <c r="T165" s="242"/>
    </row>
    <row r="166" spans="1:20">
      <c r="A166" s="242"/>
      <c r="B166" s="242"/>
      <c r="C166" s="242"/>
      <c r="D166" s="242"/>
      <c r="E166" s="242"/>
      <c r="F166" s="620"/>
      <c r="G166" s="242"/>
      <c r="H166" s="242"/>
      <c r="I166" s="242"/>
      <c r="J166" s="242"/>
      <c r="K166" s="242"/>
      <c r="L166" s="242"/>
      <c r="M166" s="242"/>
      <c r="N166" s="242"/>
      <c r="O166" s="242"/>
      <c r="P166" s="242"/>
      <c r="Q166" s="242"/>
      <c r="R166" s="242"/>
      <c r="S166" s="242"/>
      <c r="T166" s="242"/>
    </row>
    <row r="167" spans="1:20">
      <c r="A167" s="242"/>
      <c r="B167" s="242"/>
      <c r="C167" s="242"/>
      <c r="D167" s="242"/>
      <c r="E167" s="242"/>
      <c r="F167" s="620"/>
      <c r="G167" s="242"/>
      <c r="H167" s="242"/>
      <c r="I167" s="242"/>
      <c r="J167" s="242"/>
      <c r="K167" s="242"/>
      <c r="L167" s="242"/>
      <c r="M167" s="242"/>
      <c r="N167" s="242"/>
      <c r="O167" s="242"/>
      <c r="P167" s="242"/>
      <c r="Q167" s="242"/>
      <c r="R167" s="242"/>
      <c r="S167" s="242"/>
      <c r="T167" s="242"/>
    </row>
    <row r="168" spans="1:20">
      <c r="A168" s="242"/>
      <c r="B168" s="242"/>
      <c r="C168" s="242"/>
      <c r="D168" s="242"/>
      <c r="E168" s="242"/>
      <c r="F168" s="620"/>
      <c r="G168" s="242"/>
      <c r="H168" s="242"/>
      <c r="I168" s="242"/>
      <c r="J168" s="242"/>
      <c r="K168" s="242"/>
      <c r="L168" s="242"/>
      <c r="M168" s="242"/>
      <c r="N168" s="242"/>
      <c r="O168" s="242"/>
      <c r="P168" s="242"/>
      <c r="Q168" s="242"/>
      <c r="R168" s="242"/>
      <c r="S168" s="242"/>
      <c r="T168" s="242"/>
    </row>
    <row r="169" spans="1:20">
      <c r="A169" s="242"/>
      <c r="B169" s="242"/>
      <c r="C169" s="242"/>
      <c r="D169" s="242"/>
      <c r="E169" s="242"/>
      <c r="F169" s="620"/>
      <c r="G169" s="242"/>
      <c r="H169" s="242"/>
      <c r="I169" s="242"/>
      <c r="J169" s="242"/>
      <c r="K169" s="242"/>
      <c r="L169" s="242"/>
      <c r="M169" s="242"/>
      <c r="N169" s="242"/>
      <c r="O169" s="242"/>
      <c r="P169" s="242"/>
      <c r="Q169" s="242"/>
      <c r="R169" s="242"/>
      <c r="S169" s="242"/>
      <c r="T169" s="242"/>
    </row>
    <row r="170" spans="1:20">
      <c r="A170" s="242"/>
      <c r="B170" s="242"/>
      <c r="C170" s="242"/>
      <c r="D170" s="242"/>
      <c r="E170" s="242"/>
      <c r="F170" s="620"/>
      <c r="G170" s="242"/>
      <c r="H170" s="242"/>
      <c r="I170" s="242"/>
      <c r="J170" s="242"/>
      <c r="K170" s="242"/>
      <c r="L170" s="242"/>
      <c r="M170" s="242"/>
      <c r="N170" s="242"/>
      <c r="O170" s="242"/>
      <c r="P170" s="242"/>
      <c r="Q170" s="242"/>
      <c r="R170" s="242"/>
      <c r="S170" s="242"/>
      <c r="T170" s="242"/>
    </row>
    <row r="171" spans="1:20">
      <c r="A171" s="242"/>
      <c r="B171" s="242"/>
      <c r="C171" s="242"/>
      <c r="D171" s="242"/>
      <c r="E171" s="242"/>
      <c r="F171" s="620"/>
      <c r="G171" s="242"/>
      <c r="H171" s="242"/>
      <c r="I171" s="242"/>
      <c r="J171" s="242"/>
      <c r="K171" s="242"/>
      <c r="L171" s="242"/>
      <c r="M171" s="242"/>
      <c r="N171" s="242"/>
      <c r="O171" s="242"/>
      <c r="P171" s="242"/>
      <c r="Q171" s="242"/>
      <c r="R171" s="242"/>
      <c r="S171" s="242"/>
      <c r="T171" s="242"/>
    </row>
    <row r="172" spans="1:20">
      <c r="A172" s="242"/>
      <c r="B172" s="242"/>
      <c r="C172" s="242"/>
      <c r="D172" s="242"/>
      <c r="E172" s="242"/>
      <c r="F172" s="620"/>
      <c r="G172" s="242"/>
      <c r="H172" s="242"/>
      <c r="I172" s="242"/>
      <c r="J172" s="242"/>
      <c r="K172" s="242"/>
      <c r="L172" s="242"/>
      <c r="M172" s="242"/>
      <c r="N172" s="242"/>
      <c r="O172" s="242"/>
      <c r="P172" s="242"/>
      <c r="Q172" s="242"/>
      <c r="R172" s="242"/>
      <c r="S172" s="242"/>
      <c r="T172" s="242"/>
    </row>
    <row r="173" spans="1:20">
      <c r="A173" s="242"/>
      <c r="B173" s="242"/>
      <c r="C173" s="242"/>
      <c r="D173" s="242"/>
      <c r="E173" s="242"/>
      <c r="F173" s="620"/>
      <c r="G173" s="242"/>
      <c r="H173" s="242"/>
      <c r="I173" s="242"/>
      <c r="J173" s="242"/>
      <c r="K173" s="242"/>
      <c r="L173" s="242"/>
      <c r="M173" s="242"/>
      <c r="N173" s="242"/>
      <c r="O173" s="242"/>
      <c r="P173" s="242"/>
      <c r="Q173" s="242"/>
      <c r="R173" s="242"/>
      <c r="S173" s="242"/>
      <c r="T173" s="242"/>
    </row>
    <row r="174" spans="1:20">
      <c r="A174" s="242"/>
      <c r="B174" s="242"/>
      <c r="C174" s="242"/>
      <c r="D174" s="242"/>
      <c r="E174" s="242"/>
      <c r="F174" s="620"/>
      <c r="G174" s="242"/>
      <c r="H174" s="242"/>
      <c r="I174" s="242"/>
      <c r="J174" s="242"/>
      <c r="K174" s="242"/>
      <c r="L174" s="242"/>
      <c r="M174" s="242"/>
      <c r="N174" s="242"/>
      <c r="O174" s="242"/>
      <c r="P174" s="242"/>
      <c r="Q174" s="242"/>
      <c r="R174" s="242"/>
      <c r="S174" s="242"/>
      <c r="T174" s="242"/>
    </row>
    <row r="175" spans="1:20">
      <c r="A175" s="242"/>
      <c r="B175" s="242"/>
      <c r="C175" s="242"/>
      <c r="D175" s="242"/>
      <c r="E175" s="242"/>
      <c r="F175" s="620"/>
      <c r="G175" s="242"/>
      <c r="H175" s="242"/>
      <c r="I175" s="242"/>
      <c r="J175" s="242"/>
      <c r="K175" s="242"/>
      <c r="L175" s="242"/>
      <c r="M175" s="242"/>
      <c r="N175" s="242"/>
      <c r="O175" s="242"/>
      <c r="P175" s="242"/>
      <c r="Q175" s="242"/>
      <c r="R175" s="242"/>
      <c r="S175" s="242"/>
      <c r="T175" s="242"/>
    </row>
    <row r="176" spans="1:20">
      <c r="A176" s="242"/>
      <c r="B176" s="242"/>
      <c r="C176" s="242"/>
      <c r="D176" s="242"/>
      <c r="E176" s="242"/>
      <c r="F176" s="620"/>
      <c r="G176" s="242"/>
      <c r="H176" s="242"/>
      <c r="I176" s="242"/>
      <c r="J176" s="242"/>
      <c r="K176" s="242"/>
      <c r="L176" s="242"/>
      <c r="M176" s="242"/>
      <c r="N176" s="242"/>
      <c r="O176" s="242"/>
      <c r="P176" s="242"/>
      <c r="Q176" s="242"/>
      <c r="R176" s="242"/>
      <c r="S176" s="242"/>
      <c r="T176" s="242"/>
    </row>
    <row r="177" spans="1:20">
      <c r="A177" s="242"/>
      <c r="B177" s="242"/>
      <c r="C177" s="242"/>
      <c r="D177" s="242"/>
      <c r="E177" s="242"/>
      <c r="F177" s="620"/>
      <c r="G177" s="242"/>
      <c r="H177" s="242"/>
      <c r="I177" s="242"/>
      <c r="J177" s="242"/>
      <c r="K177" s="242"/>
      <c r="L177" s="242"/>
      <c r="M177" s="242"/>
      <c r="N177" s="242"/>
      <c r="O177" s="242"/>
      <c r="P177" s="242"/>
      <c r="Q177" s="242"/>
      <c r="R177" s="242"/>
      <c r="S177" s="242"/>
      <c r="T177" s="242"/>
    </row>
    <row r="178" spans="1:20">
      <c r="A178" s="242"/>
      <c r="B178" s="242"/>
      <c r="C178" s="242"/>
      <c r="D178" s="242"/>
      <c r="E178" s="242"/>
      <c r="F178" s="620"/>
      <c r="G178" s="242"/>
      <c r="H178" s="242"/>
      <c r="I178" s="242"/>
      <c r="J178" s="242"/>
      <c r="K178" s="242"/>
      <c r="L178" s="242"/>
      <c r="M178" s="242"/>
      <c r="N178" s="242"/>
      <c r="O178" s="242"/>
      <c r="P178" s="242"/>
      <c r="Q178" s="242"/>
      <c r="R178" s="242"/>
      <c r="S178" s="242"/>
      <c r="T178" s="242"/>
    </row>
    <row r="179" spans="1:20">
      <c r="A179" s="242"/>
      <c r="B179" s="242"/>
      <c r="C179" s="242"/>
      <c r="D179" s="242"/>
      <c r="E179" s="242"/>
      <c r="F179" s="620"/>
      <c r="G179" s="242"/>
      <c r="H179" s="242"/>
      <c r="I179" s="242"/>
      <c r="J179" s="242"/>
      <c r="K179" s="242"/>
      <c r="L179" s="242"/>
      <c r="M179" s="242"/>
      <c r="N179" s="242"/>
      <c r="O179" s="242"/>
      <c r="P179" s="242"/>
      <c r="Q179" s="242"/>
      <c r="R179" s="242"/>
      <c r="S179" s="242"/>
      <c r="T179" s="242"/>
    </row>
    <row r="180" spans="1:20">
      <c r="A180" s="242"/>
      <c r="B180" s="242"/>
      <c r="C180" s="242"/>
      <c r="D180" s="242"/>
      <c r="E180" s="242"/>
      <c r="F180" s="620"/>
      <c r="G180" s="242"/>
      <c r="H180" s="242"/>
      <c r="I180" s="242"/>
      <c r="J180" s="242"/>
      <c r="K180" s="242"/>
      <c r="L180" s="242"/>
      <c r="M180" s="242"/>
      <c r="N180" s="242"/>
      <c r="O180" s="242"/>
      <c r="P180" s="242"/>
      <c r="Q180" s="242"/>
      <c r="R180" s="242"/>
      <c r="S180" s="242"/>
      <c r="T180" s="242"/>
    </row>
    <row r="181" spans="1:20">
      <c r="A181" s="242"/>
      <c r="B181" s="242"/>
      <c r="C181" s="242"/>
      <c r="D181" s="242"/>
      <c r="E181" s="242"/>
      <c r="F181" s="620"/>
      <c r="G181" s="242"/>
      <c r="H181" s="242"/>
      <c r="I181" s="242"/>
      <c r="J181" s="242"/>
      <c r="K181" s="242"/>
      <c r="L181" s="242"/>
      <c r="M181" s="242"/>
      <c r="N181" s="242"/>
      <c r="O181" s="242"/>
      <c r="P181" s="242"/>
      <c r="Q181" s="242"/>
      <c r="R181" s="242"/>
      <c r="S181" s="242"/>
      <c r="T181" s="242"/>
    </row>
    <row r="182" spans="1:20">
      <c r="A182" s="242"/>
      <c r="B182" s="242"/>
      <c r="C182" s="242"/>
      <c r="D182" s="242"/>
      <c r="E182" s="242"/>
      <c r="F182" s="620"/>
      <c r="G182" s="242"/>
      <c r="H182" s="242"/>
      <c r="I182" s="242"/>
      <c r="J182" s="242"/>
      <c r="K182" s="242"/>
      <c r="L182" s="242"/>
      <c r="M182" s="242"/>
      <c r="N182" s="242"/>
      <c r="O182" s="242"/>
      <c r="P182" s="242"/>
      <c r="Q182" s="242"/>
      <c r="R182" s="242"/>
      <c r="S182" s="242"/>
      <c r="T182" s="242"/>
    </row>
    <row r="183" spans="1:20">
      <c r="A183" s="242"/>
      <c r="B183" s="242"/>
      <c r="C183" s="242"/>
      <c r="D183" s="242"/>
      <c r="E183" s="242"/>
      <c r="F183" s="620"/>
      <c r="G183" s="242"/>
      <c r="H183" s="242"/>
      <c r="I183" s="242"/>
      <c r="J183" s="242"/>
      <c r="K183" s="242"/>
      <c r="L183" s="242"/>
      <c r="M183" s="242"/>
      <c r="N183" s="242"/>
      <c r="O183" s="242"/>
      <c r="P183" s="242"/>
      <c r="Q183" s="242"/>
      <c r="R183" s="242"/>
      <c r="S183" s="242"/>
      <c r="T183" s="242"/>
    </row>
    <row r="184" spans="1:20">
      <c r="A184" s="242"/>
      <c r="B184" s="242"/>
      <c r="C184" s="242"/>
      <c r="D184" s="242"/>
      <c r="E184" s="242"/>
      <c r="F184" s="620"/>
      <c r="G184" s="242"/>
      <c r="H184" s="242"/>
      <c r="I184" s="242"/>
      <c r="J184" s="242"/>
      <c r="K184" s="242"/>
      <c r="L184" s="242"/>
      <c r="M184" s="242"/>
      <c r="N184" s="242"/>
      <c r="O184" s="242"/>
      <c r="P184" s="242"/>
      <c r="Q184" s="242"/>
      <c r="R184" s="242"/>
      <c r="S184" s="242"/>
      <c r="T184" s="242"/>
    </row>
    <row r="185" spans="1:20">
      <c r="A185" s="242"/>
      <c r="B185" s="242"/>
      <c r="C185" s="242"/>
      <c r="D185" s="242"/>
      <c r="E185" s="242"/>
      <c r="F185" s="620"/>
      <c r="G185" s="242"/>
      <c r="H185" s="242"/>
      <c r="I185" s="242"/>
      <c r="J185" s="242"/>
      <c r="K185" s="242"/>
      <c r="L185" s="242"/>
      <c r="M185" s="242"/>
      <c r="N185" s="242"/>
      <c r="O185" s="242"/>
      <c r="P185" s="242"/>
      <c r="Q185" s="242"/>
      <c r="R185" s="242"/>
      <c r="S185" s="242"/>
      <c r="T185" s="242"/>
    </row>
    <row r="186" spans="1:20">
      <c r="A186" s="242"/>
      <c r="B186" s="242"/>
      <c r="C186" s="242"/>
      <c r="D186" s="242"/>
      <c r="E186" s="242"/>
      <c r="F186" s="620"/>
      <c r="G186" s="242"/>
      <c r="H186" s="242"/>
      <c r="I186" s="242"/>
      <c r="J186" s="242"/>
      <c r="K186" s="242"/>
      <c r="L186" s="242"/>
      <c r="M186" s="242"/>
      <c r="N186" s="242"/>
      <c r="O186" s="242"/>
      <c r="P186" s="242"/>
      <c r="Q186" s="242"/>
      <c r="R186" s="242"/>
      <c r="S186" s="242"/>
      <c r="T186" s="242"/>
    </row>
    <row r="187" spans="1:20">
      <c r="A187" s="242"/>
      <c r="B187" s="242"/>
      <c r="C187" s="242"/>
      <c r="D187" s="242"/>
      <c r="E187" s="242"/>
      <c r="F187" s="620"/>
      <c r="G187" s="242"/>
      <c r="H187" s="242"/>
      <c r="I187" s="242"/>
      <c r="J187" s="242"/>
      <c r="K187" s="242"/>
      <c r="L187" s="242"/>
      <c r="M187" s="242"/>
      <c r="N187" s="242"/>
      <c r="O187" s="242"/>
      <c r="P187" s="242"/>
      <c r="Q187" s="242"/>
      <c r="R187" s="242"/>
      <c r="S187" s="242"/>
      <c r="T187" s="242"/>
    </row>
    <row r="188" spans="1:20">
      <c r="A188" s="242"/>
      <c r="B188" s="242"/>
      <c r="C188" s="242"/>
      <c r="D188" s="242"/>
      <c r="E188" s="242"/>
      <c r="F188" s="620"/>
      <c r="G188" s="242"/>
      <c r="H188" s="242"/>
      <c r="I188" s="242"/>
      <c r="J188" s="242"/>
      <c r="K188" s="242"/>
      <c r="L188" s="242"/>
      <c r="M188" s="242"/>
      <c r="N188" s="242"/>
      <c r="O188" s="242"/>
      <c r="P188" s="242"/>
      <c r="Q188" s="242"/>
      <c r="R188" s="242"/>
      <c r="S188" s="242"/>
      <c r="T188" s="242"/>
    </row>
    <row r="189" spans="1:20">
      <c r="A189" s="242"/>
      <c r="B189" s="242"/>
      <c r="C189" s="242"/>
      <c r="D189" s="242"/>
      <c r="E189" s="242"/>
      <c r="F189" s="620"/>
      <c r="G189" s="242"/>
      <c r="H189" s="242"/>
      <c r="I189" s="242"/>
      <c r="J189" s="242"/>
      <c r="K189" s="242"/>
      <c r="L189" s="242"/>
      <c r="M189" s="242"/>
      <c r="N189" s="242"/>
      <c r="O189" s="242"/>
      <c r="P189" s="242"/>
      <c r="Q189" s="242"/>
      <c r="R189" s="242"/>
      <c r="S189" s="242"/>
      <c r="T189" s="242"/>
    </row>
    <row r="190" spans="1:20">
      <c r="A190" s="242"/>
      <c r="B190" s="242"/>
      <c r="C190" s="242"/>
      <c r="D190" s="242"/>
      <c r="E190" s="242"/>
      <c r="F190" s="620"/>
      <c r="G190" s="242"/>
      <c r="H190" s="242"/>
      <c r="I190" s="242"/>
      <c r="J190" s="242"/>
      <c r="K190" s="242"/>
      <c r="L190" s="242"/>
      <c r="M190" s="242"/>
      <c r="N190" s="242"/>
      <c r="O190" s="242"/>
      <c r="P190" s="242"/>
      <c r="Q190" s="242"/>
      <c r="R190" s="242"/>
      <c r="S190" s="242"/>
      <c r="T190" s="242"/>
    </row>
    <row r="191" spans="1:20">
      <c r="A191" s="242"/>
      <c r="B191" s="242"/>
      <c r="C191" s="242"/>
      <c r="D191" s="242"/>
      <c r="E191" s="242"/>
      <c r="F191" s="620"/>
      <c r="G191" s="242"/>
      <c r="H191" s="242"/>
      <c r="I191" s="242"/>
      <c r="J191" s="242"/>
      <c r="K191" s="242"/>
      <c r="L191" s="242"/>
      <c r="M191" s="242"/>
      <c r="N191" s="242"/>
      <c r="O191" s="242"/>
      <c r="P191" s="242"/>
      <c r="Q191" s="242"/>
      <c r="R191" s="242"/>
      <c r="S191" s="242"/>
      <c r="T191" s="242"/>
    </row>
    <row r="192" spans="1:20">
      <c r="A192" s="242"/>
      <c r="B192" s="242"/>
      <c r="C192" s="242"/>
      <c r="D192" s="242"/>
      <c r="E192" s="242"/>
      <c r="F192" s="620"/>
      <c r="G192" s="242"/>
      <c r="H192" s="242"/>
      <c r="I192" s="242"/>
      <c r="J192" s="242"/>
      <c r="K192" s="242"/>
      <c r="L192" s="242"/>
      <c r="M192" s="242"/>
      <c r="N192" s="242"/>
      <c r="O192" s="242"/>
      <c r="P192" s="242"/>
      <c r="Q192" s="242"/>
      <c r="R192" s="242"/>
      <c r="S192" s="242"/>
      <c r="T192" s="242"/>
    </row>
    <row r="193" spans="1:20">
      <c r="A193" s="242"/>
      <c r="B193" s="242"/>
      <c r="C193" s="242"/>
      <c r="D193" s="242"/>
      <c r="E193" s="242"/>
      <c r="F193" s="620"/>
      <c r="G193" s="242"/>
      <c r="H193" s="242"/>
      <c r="I193" s="242"/>
      <c r="J193" s="242"/>
      <c r="K193" s="242"/>
      <c r="L193" s="242"/>
      <c r="M193" s="242"/>
      <c r="N193" s="242"/>
      <c r="O193" s="242"/>
      <c r="P193" s="242"/>
      <c r="Q193" s="242"/>
      <c r="R193" s="242"/>
      <c r="S193" s="242"/>
      <c r="T193" s="242"/>
    </row>
    <row r="194" spans="1:20">
      <c r="A194" s="242"/>
      <c r="B194" s="242"/>
      <c r="C194" s="242"/>
      <c r="D194" s="242"/>
      <c r="E194" s="242"/>
      <c r="F194" s="620"/>
      <c r="G194" s="242"/>
      <c r="H194" s="242"/>
      <c r="I194" s="242"/>
      <c r="J194" s="242"/>
      <c r="K194" s="242"/>
      <c r="L194" s="242"/>
      <c r="M194" s="242"/>
      <c r="N194" s="242"/>
      <c r="O194" s="242"/>
      <c r="P194" s="242"/>
      <c r="Q194" s="242"/>
      <c r="R194" s="242"/>
      <c r="S194" s="242"/>
      <c r="T194" s="242"/>
    </row>
    <row r="195" spans="1:20">
      <c r="A195" s="242"/>
      <c r="B195" s="242"/>
      <c r="C195" s="242"/>
      <c r="D195" s="242"/>
      <c r="E195" s="242"/>
      <c r="F195" s="620"/>
      <c r="G195" s="242"/>
      <c r="H195" s="242"/>
      <c r="I195" s="242"/>
      <c r="J195" s="242"/>
      <c r="K195" s="242"/>
      <c r="L195" s="242"/>
      <c r="M195" s="242"/>
      <c r="N195" s="242"/>
      <c r="O195" s="242"/>
      <c r="P195" s="242"/>
      <c r="Q195" s="242"/>
      <c r="R195" s="242"/>
      <c r="S195" s="242"/>
      <c r="T195" s="242"/>
    </row>
    <row r="196" spans="1:20">
      <c r="A196" s="242"/>
      <c r="B196" s="242"/>
      <c r="C196" s="242"/>
      <c r="D196" s="242"/>
      <c r="E196" s="242"/>
      <c r="F196" s="620"/>
      <c r="G196" s="242"/>
      <c r="H196" s="242"/>
      <c r="I196" s="242"/>
      <c r="J196" s="242"/>
      <c r="K196" s="242"/>
      <c r="L196" s="242"/>
      <c r="M196" s="242"/>
      <c r="N196" s="242"/>
      <c r="O196" s="242"/>
      <c r="P196" s="242"/>
      <c r="Q196" s="242"/>
      <c r="R196" s="242"/>
      <c r="S196" s="242"/>
      <c r="T196" s="242"/>
    </row>
    <row r="197" spans="1:20">
      <c r="A197" s="242"/>
      <c r="B197" s="242"/>
      <c r="C197" s="242"/>
      <c r="D197" s="242"/>
      <c r="E197" s="242"/>
      <c r="F197" s="620"/>
      <c r="G197" s="242"/>
      <c r="H197" s="242"/>
      <c r="I197" s="242"/>
      <c r="J197" s="242"/>
      <c r="K197" s="242"/>
      <c r="L197" s="242"/>
      <c r="M197" s="242"/>
      <c r="N197" s="242"/>
      <c r="O197" s="242"/>
      <c r="P197" s="242"/>
      <c r="Q197" s="242"/>
      <c r="R197" s="242"/>
      <c r="S197" s="242"/>
      <c r="T197" s="242"/>
    </row>
    <row r="198" spans="1:20">
      <c r="A198" s="242"/>
      <c r="B198" s="242"/>
      <c r="C198" s="242"/>
      <c r="D198" s="242"/>
      <c r="E198" s="242"/>
      <c r="F198" s="620"/>
      <c r="G198" s="242"/>
      <c r="H198" s="242"/>
      <c r="I198" s="242"/>
      <c r="J198" s="242"/>
      <c r="K198" s="242"/>
      <c r="L198" s="242"/>
      <c r="M198" s="242"/>
      <c r="N198" s="242"/>
      <c r="O198" s="242"/>
      <c r="P198" s="242"/>
      <c r="Q198" s="242"/>
      <c r="R198" s="242"/>
      <c r="S198" s="242"/>
      <c r="T198" s="242"/>
    </row>
    <row r="199" spans="1:20">
      <c r="A199" s="242"/>
      <c r="B199" s="242"/>
      <c r="C199" s="242"/>
      <c r="D199" s="242"/>
      <c r="E199" s="242"/>
      <c r="F199" s="620"/>
      <c r="G199" s="242"/>
      <c r="H199" s="242"/>
      <c r="I199" s="242"/>
      <c r="J199" s="242"/>
      <c r="K199" s="242"/>
      <c r="L199" s="242"/>
      <c r="M199" s="242"/>
      <c r="N199" s="242"/>
      <c r="O199" s="242"/>
      <c r="P199" s="242"/>
      <c r="Q199" s="242"/>
      <c r="R199" s="242"/>
      <c r="S199" s="242"/>
      <c r="T199" s="242"/>
    </row>
    <row r="200" spans="1:20">
      <c r="A200" s="242"/>
      <c r="B200" s="242"/>
      <c r="C200" s="242"/>
      <c r="D200" s="242"/>
      <c r="E200" s="242"/>
      <c r="F200" s="620"/>
      <c r="G200" s="242"/>
      <c r="H200" s="242"/>
      <c r="I200" s="242"/>
      <c r="J200" s="242"/>
      <c r="K200" s="242"/>
      <c r="L200" s="242"/>
      <c r="M200" s="242"/>
      <c r="N200" s="242"/>
      <c r="O200" s="242"/>
      <c r="P200" s="242"/>
      <c r="Q200" s="242"/>
      <c r="R200" s="242"/>
      <c r="S200" s="242"/>
      <c r="T200" s="242"/>
    </row>
    <row r="201" spans="1:20">
      <c r="A201" s="242"/>
      <c r="B201" s="242"/>
      <c r="C201" s="242"/>
      <c r="D201" s="242"/>
      <c r="E201" s="242"/>
      <c r="F201" s="620"/>
      <c r="G201" s="242"/>
      <c r="H201" s="242"/>
      <c r="I201" s="242"/>
      <c r="J201" s="242"/>
      <c r="K201" s="242"/>
      <c r="L201" s="242"/>
      <c r="M201" s="242"/>
      <c r="N201" s="242"/>
      <c r="O201" s="242"/>
      <c r="P201" s="242"/>
      <c r="Q201" s="242"/>
      <c r="R201" s="242"/>
      <c r="S201" s="242"/>
      <c r="T201" s="242"/>
    </row>
    <row r="202" spans="1:20">
      <c r="A202" s="242"/>
      <c r="B202" s="242"/>
      <c r="C202" s="242"/>
      <c r="D202" s="242"/>
      <c r="E202" s="242"/>
      <c r="F202" s="620"/>
      <c r="G202" s="242"/>
      <c r="H202" s="242"/>
      <c r="I202" s="242"/>
      <c r="J202" s="242"/>
      <c r="K202" s="242"/>
      <c r="L202" s="242"/>
      <c r="M202" s="242"/>
      <c r="N202" s="242"/>
      <c r="O202" s="242"/>
      <c r="P202" s="242"/>
      <c r="Q202" s="242"/>
      <c r="R202" s="242"/>
      <c r="S202" s="242"/>
      <c r="T202" s="242"/>
    </row>
    <row r="203" spans="1:20">
      <c r="A203" s="242"/>
      <c r="B203" s="242"/>
      <c r="C203" s="242"/>
      <c r="D203" s="242"/>
      <c r="E203" s="242"/>
      <c r="F203" s="620"/>
      <c r="G203" s="242"/>
      <c r="H203" s="242"/>
      <c r="I203" s="242"/>
      <c r="J203" s="242"/>
      <c r="K203" s="242"/>
      <c r="L203" s="242"/>
      <c r="M203" s="242"/>
      <c r="N203" s="242"/>
      <c r="O203" s="242"/>
      <c r="P203" s="242"/>
      <c r="Q203" s="242"/>
      <c r="R203" s="242"/>
      <c r="S203" s="242"/>
      <c r="T203" s="242"/>
    </row>
    <row r="204" spans="1:20">
      <c r="A204" s="242"/>
      <c r="B204" s="242"/>
      <c r="C204" s="242"/>
      <c r="D204" s="242"/>
      <c r="E204" s="242"/>
      <c r="F204" s="620"/>
      <c r="G204" s="242"/>
      <c r="H204" s="242"/>
      <c r="I204" s="242"/>
      <c r="J204" s="242"/>
      <c r="K204" s="242"/>
      <c r="L204" s="242"/>
      <c r="M204" s="242"/>
      <c r="N204" s="242"/>
      <c r="O204" s="242"/>
      <c r="P204" s="242"/>
      <c r="Q204" s="242"/>
      <c r="R204" s="242"/>
      <c r="S204" s="242"/>
      <c r="T204" s="242"/>
    </row>
    <row r="205" spans="1:20">
      <c r="A205" s="242"/>
      <c r="B205" s="242"/>
      <c r="C205" s="242"/>
      <c r="D205" s="242"/>
      <c r="E205" s="242"/>
      <c r="F205" s="620"/>
      <c r="G205" s="242"/>
      <c r="H205" s="242"/>
      <c r="I205" s="242"/>
      <c r="J205" s="242"/>
      <c r="K205" s="242"/>
      <c r="L205" s="242"/>
      <c r="M205" s="242"/>
      <c r="N205" s="242"/>
      <c r="O205" s="242"/>
      <c r="P205" s="242"/>
      <c r="Q205" s="242"/>
      <c r="R205" s="242"/>
      <c r="S205" s="242"/>
      <c r="T205" s="242"/>
    </row>
    <row r="206" spans="1:20">
      <c r="A206" s="242"/>
      <c r="B206" s="242"/>
      <c r="C206" s="242"/>
      <c r="D206" s="242"/>
      <c r="E206" s="242"/>
      <c r="F206" s="620"/>
      <c r="G206" s="242"/>
      <c r="H206" s="242"/>
      <c r="I206" s="242"/>
      <c r="J206" s="242"/>
      <c r="K206" s="242"/>
      <c r="L206" s="242"/>
      <c r="M206" s="242"/>
      <c r="N206" s="242"/>
      <c r="O206" s="242"/>
      <c r="P206" s="242"/>
      <c r="Q206" s="242"/>
      <c r="R206" s="242"/>
      <c r="S206" s="242"/>
      <c r="T206" s="242"/>
    </row>
    <row r="207" spans="1:20">
      <c r="A207" s="242"/>
      <c r="B207" s="242"/>
      <c r="C207" s="242"/>
      <c r="D207" s="242"/>
      <c r="E207" s="242"/>
      <c r="F207" s="620"/>
      <c r="G207" s="242"/>
      <c r="H207" s="242"/>
      <c r="I207" s="242"/>
      <c r="J207" s="242"/>
      <c r="K207" s="242"/>
      <c r="L207" s="242"/>
      <c r="M207" s="242"/>
      <c r="N207" s="242"/>
      <c r="O207" s="242"/>
      <c r="P207" s="242"/>
      <c r="Q207" s="242"/>
      <c r="R207" s="242"/>
      <c r="S207" s="242"/>
      <c r="T207" s="242"/>
    </row>
    <row r="208" spans="1:20">
      <c r="A208" s="242"/>
      <c r="B208" s="242"/>
      <c r="C208" s="242"/>
      <c r="D208" s="242"/>
      <c r="E208" s="242"/>
      <c r="F208" s="620"/>
      <c r="G208" s="242"/>
      <c r="H208" s="242"/>
      <c r="I208" s="242"/>
      <c r="J208" s="242"/>
      <c r="K208" s="242"/>
      <c r="L208" s="242"/>
      <c r="M208" s="242"/>
      <c r="N208" s="242"/>
      <c r="O208" s="242"/>
      <c r="P208" s="242"/>
      <c r="Q208" s="242"/>
      <c r="R208" s="242"/>
      <c r="S208" s="242"/>
      <c r="T208" s="242"/>
    </row>
    <row r="209" spans="1:20">
      <c r="A209" s="242"/>
      <c r="B209" s="242"/>
      <c r="C209" s="242"/>
      <c r="D209" s="242"/>
      <c r="E209" s="242"/>
      <c r="F209" s="620"/>
      <c r="G209" s="242"/>
      <c r="H209" s="242"/>
      <c r="I209" s="242"/>
      <c r="J209" s="242"/>
      <c r="K209" s="242"/>
      <c r="L209" s="242"/>
      <c r="M209" s="242"/>
      <c r="N209" s="242"/>
      <c r="O209" s="242"/>
      <c r="P209" s="242"/>
      <c r="Q209" s="242"/>
      <c r="R209" s="242"/>
      <c r="S209" s="242"/>
      <c r="T209" s="242"/>
    </row>
    <row r="210" spans="1:20">
      <c r="A210" s="242"/>
      <c r="B210" s="242"/>
      <c r="C210" s="242"/>
      <c r="D210" s="242"/>
      <c r="E210" s="242"/>
      <c r="F210" s="620"/>
      <c r="G210" s="242"/>
      <c r="H210" s="242"/>
      <c r="I210" s="242"/>
      <c r="J210" s="242"/>
      <c r="K210" s="242"/>
      <c r="L210" s="242"/>
      <c r="M210" s="242"/>
      <c r="N210" s="242"/>
      <c r="O210" s="242"/>
      <c r="P210" s="242"/>
      <c r="Q210" s="242"/>
      <c r="R210" s="242"/>
      <c r="S210" s="242"/>
      <c r="T210" s="242"/>
    </row>
    <row r="211" spans="1:20">
      <c r="A211" s="242"/>
      <c r="B211" s="242"/>
      <c r="C211" s="242"/>
      <c r="D211" s="242"/>
      <c r="E211" s="242"/>
      <c r="F211" s="620"/>
      <c r="G211" s="242"/>
      <c r="H211" s="242"/>
      <c r="I211" s="242"/>
      <c r="J211" s="242"/>
      <c r="K211" s="242"/>
      <c r="L211" s="242"/>
      <c r="M211" s="242"/>
      <c r="N211" s="242"/>
      <c r="O211" s="242"/>
      <c r="P211" s="242"/>
      <c r="Q211" s="242"/>
      <c r="R211" s="242"/>
      <c r="S211" s="242"/>
      <c r="T211" s="242"/>
    </row>
    <row r="212" spans="1:20">
      <c r="A212" s="242"/>
      <c r="B212" s="242"/>
      <c r="C212" s="242"/>
      <c r="D212" s="242"/>
      <c r="E212" s="242"/>
      <c r="F212" s="620"/>
      <c r="G212" s="242"/>
      <c r="H212" s="242"/>
      <c r="I212" s="242"/>
      <c r="J212" s="242"/>
      <c r="K212" s="242"/>
      <c r="L212" s="242"/>
      <c r="M212" s="242"/>
      <c r="N212" s="242"/>
      <c r="O212" s="242"/>
      <c r="P212" s="242"/>
      <c r="Q212" s="242"/>
      <c r="R212" s="242"/>
      <c r="S212" s="242"/>
      <c r="T212" s="242"/>
    </row>
    <row r="213" spans="1:20">
      <c r="A213" s="242"/>
      <c r="B213" s="242"/>
      <c r="C213" s="242"/>
      <c r="D213" s="242"/>
      <c r="E213" s="242"/>
      <c r="F213" s="620"/>
      <c r="G213" s="242"/>
      <c r="H213" s="242"/>
      <c r="I213" s="242"/>
      <c r="J213" s="242"/>
      <c r="K213" s="242"/>
      <c r="L213" s="242"/>
      <c r="M213" s="242"/>
      <c r="N213" s="242"/>
      <c r="O213" s="242"/>
      <c r="P213" s="242"/>
      <c r="Q213" s="242"/>
      <c r="R213" s="242"/>
      <c r="S213" s="242"/>
      <c r="T213" s="242"/>
    </row>
    <row r="214" spans="1:20">
      <c r="A214" s="242"/>
      <c r="B214" s="242"/>
      <c r="C214" s="242"/>
      <c r="D214" s="242"/>
      <c r="E214" s="242"/>
      <c r="F214" s="620"/>
      <c r="G214" s="242"/>
      <c r="H214" s="242"/>
      <c r="I214" s="242"/>
      <c r="J214" s="242"/>
      <c r="K214" s="242"/>
      <c r="L214" s="242"/>
      <c r="M214" s="242"/>
      <c r="N214" s="242"/>
      <c r="O214" s="242"/>
      <c r="P214" s="242"/>
      <c r="Q214" s="242"/>
      <c r="R214" s="242"/>
      <c r="S214" s="242"/>
      <c r="T214" s="242"/>
    </row>
    <row r="215" spans="1:20">
      <c r="A215" s="242"/>
      <c r="B215" s="242"/>
      <c r="C215" s="242"/>
      <c r="D215" s="242"/>
      <c r="E215" s="242"/>
      <c r="F215" s="620"/>
      <c r="G215" s="242"/>
      <c r="H215" s="242"/>
      <c r="I215" s="242"/>
      <c r="J215" s="242"/>
      <c r="K215" s="242"/>
      <c r="L215" s="242"/>
      <c r="M215" s="242"/>
      <c r="N215" s="242"/>
      <c r="O215" s="242"/>
      <c r="P215" s="242"/>
      <c r="Q215" s="242"/>
      <c r="R215" s="242"/>
      <c r="S215" s="242"/>
      <c r="T215" s="242"/>
    </row>
    <row r="216" spans="1:20">
      <c r="A216" s="242"/>
      <c r="B216" s="242"/>
      <c r="C216" s="242"/>
      <c r="D216" s="242"/>
      <c r="E216" s="242"/>
      <c r="F216" s="620"/>
      <c r="G216" s="242"/>
      <c r="H216" s="242"/>
      <c r="I216" s="242"/>
      <c r="J216" s="242"/>
      <c r="K216" s="242"/>
      <c r="L216" s="242"/>
      <c r="M216" s="242"/>
      <c r="N216" s="242"/>
      <c r="O216" s="242"/>
      <c r="P216" s="242"/>
      <c r="Q216" s="242"/>
      <c r="R216" s="242"/>
      <c r="S216" s="242"/>
      <c r="T216" s="242"/>
    </row>
    <row r="217" spans="1:20">
      <c r="A217" s="242"/>
      <c r="B217" s="242"/>
      <c r="C217" s="242"/>
      <c r="D217" s="242"/>
      <c r="E217" s="242"/>
      <c r="F217" s="620"/>
      <c r="G217" s="242"/>
      <c r="H217" s="242"/>
      <c r="I217" s="242"/>
      <c r="J217" s="242"/>
      <c r="K217" s="242"/>
      <c r="L217" s="242"/>
      <c r="M217" s="242"/>
      <c r="N217" s="242"/>
      <c r="O217" s="242"/>
      <c r="P217" s="242"/>
      <c r="Q217" s="242"/>
      <c r="R217" s="242"/>
      <c r="S217" s="242"/>
      <c r="T217" s="242"/>
    </row>
    <row r="218" spans="1:20">
      <c r="A218" s="242"/>
      <c r="B218" s="242"/>
      <c r="C218" s="242"/>
      <c r="D218" s="242"/>
      <c r="E218" s="242"/>
      <c r="F218" s="620"/>
      <c r="G218" s="242"/>
      <c r="H218" s="242"/>
      <c r="I218" s="242"/>
      <c r="J218" s="242"/>
      <c r="K218" s="242"/>
      <c r="L218" s="242"/>
      <c r="M218" s="242"/>
      <c r="N218" s="242"/>
      <c r="O218" s="242"/>
      <c r="P218" s="242"/>
      <c r="Q218" s="242"/>
      <c r="R218" s="242"/>
      <c r="S218" s="242"/>
      <c r="T218" s="242"/>
    </row>
    <row r="219" spans="1:20">
      <c r="A219" s="242"/>
      <c r="B219" s="242"/>
      <c r="C219" s="242"/>
      <c r="D219" s="242"/>
      <c r="E219" s="242"/>
      <c r="F219" s="620"/>
      <c r="G219" s="242"/>
      <c r="H219" s="242"/>
      <c r="I219" s="242"/>
      <c r="J219" s="242"/>
      <c r="K219" s="242"/>
      <c r="L219" s="242"/>
      <c r="M219" s="242"/>
      <c r="N219" s="242"/>
      <c r="O219" s="242"/>
      <c r="P219" s="242"/>
      <c r="Q219" s="242"/>
      <c r="R219" s="242"/>
      <c r="S219" s="242"/>
      <c r="T219" s="242"/>
    </row>
    <row r="220" spans="1:20">
      <c r="A220" s="242"/>
      <c r="B220" s="242"/>
      <c r="C220" s="242"/>
      <c r="D220" s="242"/>
      <c r="E220" s="242"/>
      <c r="F220" s="620"/>
      <c r="G220" s="242"/>
      <c r="H220" s="242"/>
      <c r="I220" s="242"/>
      <c r="J220" s="242"/>
      <c r="K220" s="242"/>
      <c r="L220" s="242"/>
      <c r="M220" s="242"/>
      <c r="N220" s="242"/>
      <c r="O220" s="242"/>
      <c r="P220" s="242"/>
      <c r="Q220" s="242"/>
      <c r="R220" s="242"/>
      <c r="S220" s="242"/>
      <c r="T220" s="242"/>
    </row>
    <row r="221" spans="1:20">
      <c r="A221" s="242"/>
      <c r="B221" s="242"/>
      <c r="C221" s="242"/>
      <c r="D221" s="242"/>
      <c r="E221" s="242"/>
      <c r="F221" s="620"/>
      <c r="G221" s="242"/>
      <c r="H221" s="242"/>
      <c r="I221" s="242"/>
      <c r="J221" s="242"/>
      <c r="K221" s="242"/>
      <c r="L221" s="242"/>
      <c r="M221" s="242"/>
      <c r="N221" s="242"/>
      <c r="O221" s="242"/>
      <c r="P221" s="242"/>
      <c r="Q221" s="242"/>
      <c r="R221" s="242"/>
      <c r="S221" s="242"/>
      <c r="T221" s="242"/>
    </row>
    <row r="222" spans="1:20">
      <c r="A222" s="242"/>
      <c r="B222" s="242"/>
      <c r="C222" s="242"/>
      <c r="D222" s="242"/>
      <c r="E222" s="242"/>
      <c r="F222" s="620"/>
      <c r="G222" s="242"/>
      <c r="H222" s="242"/>
      <c r="I222" s="242"/>
      <c r="J222" s="242"/>
      <c r="K222" s="242"/>
      <c r="L222" s="242"/>
      <c r="M222" s="242"/>
      <c r="N222" s="242"/>
      <c r="O222" s="242"/>
      <c r="P222" s="242"/>
      <c r="Q222" s="242"/>
      <c r="R222" s="242"/>
      <c r="S222" s="242"/>
      <c r="T222" s="242"/>
    </row>
    <row r="223" spans="1:20">
      <c r="A223" s="242"/>
      <c r="B223" s="242"/>
      <c r="C223" s="242"/>
      <c r="D223" s="242"/>
      <c r="E223" s="242"/>
      <c r="F223" s="620"/>
      <c r="G223" s="242"/>
      <c r="H223" s="242"/>
      <c r="I223" s="242"/>
      <c r="J223" s="242"/>
      <c r="K223" s="242"/>
      <c r="L223" s="242"/>
      <c r="M223" s="242"/>
      <c r="N223" s="242"/>
      <c r="O223" s="242"/>
      <c r="P223" s="242"/>
      <c r="Q223" s="242"/>
      <c r="R223" s="242"/>
      <c r="S223" s="242"/>
      <c r="T223" s="242"/>
    </row>
    <row r="224" spans="1:20">
      <c r="A224" s="242"/>
      <c r="B224" s="242"/>
      <c r="C224" s="242"/>
      <c r="D224" s="242"/>
      <c r="E224" s="242"/>
      <c r="F224" s="620"/>
      <c r="G224" s="242"/>
      <c r="H224" s="242"/>
      <c r="I224" s="242"/>
      <c r="J224" s="242"/>
      <c r="K224" s="242"/>
      <c r="L224" s="242"/>
      <c r="M224" s="242"/>
      <c r="N224" s="242"/>
      <c r="O224" s="242"/>
      <c r="P224" s="242"/>
      <c r="Q224" s="242"/>
      <c r="R224" s="242"/>
      <c r="S224" s="242"/>
      <c r="T224" s="242"/>
    </row>
    <row r="225" spans="1:20">
      <c r="A225" s="242"/>
      <c r="B225" s="242"/>
      <c r="C225" s="242"/>
      <c r="D225" s="242"/>
      <c r="E225" s="242"/>
      <c r="F225" s="620"/>
      <c r="G225" s="242"/>
      <c r="H225" s="242"/>
      <c r="I225" s="242"/>
      <c r="J225" s="242"/>
      <c r="K225" s="242"/>
      <c r="L225" s="242"/>
      <c r="M225" s="242"/>
      <c r="N225" s="242"/>
      <c r="O225" s="242"/>
      <c r="P225" s="242"/>
      <c r="Q225" s="242"/>
      <c r="R225" s="242"/>
      <c r="S225" s="242"/>
      <c r="T225" s="242"/>
    </row>
    <row r="226" spans="1:20">
      <c r="A226" s="242"/>
      <c r="B226" s="242"/>
      <c r="C226" s="242"/>
      <c r="D226" s="242"/>
      <c r="E226" s="242"/>
      <c r="F226" s="620"/>
      <c r="G226" s="242"/>
      <c r="H226" s="242"/>
      <c r="I226" s="242"/>
      <c r="J226" s="242"/>
      <c r="K226" s="242"/>
      <c r="L226" s="242"/>
      <c r="M226" s="242"/>
      <c r="N226" s="242"/>
      <c r="O226" s="242"/>
      <c r="P226" s="242"/>
      <c r="Q226" s="242"/>
      <c r="R226" s="242"/>
      <c r="S226" s="242"/>
      <c r="T226" s="242"/>
    </row>
    <row r="227" spans="1:20">
      <c r="A227" s="242"/>
      <c r="B227" s="242"/>
      <c r="C227" s="242"/>
      <c r="D227" s="242"/>
      <c r="E227" s="242"/>
      <c r="F227" s="620"/>
      <c r="G227" s="242"/>
      <c r="H227" s="242"/>
      <c r="I227" s="242"/>
      <c r="J227" s="242"/>
      <c r="K227" s="242"/>
      <c r="L227" s="242"/>
      <c r="M227" s="242"/>
      <c r="N227" s="242"/>
      <c r="O227" s="242"/>
      <c r="P227" s="242"/>
      <c r="Q227" s="242"/>
      <c r="R227" s="242"/>
      <c r="S227" s="242"/>
      <c r="T227" s="242"/>
    </row>
    <row r="228" spans="1:20">
      <c r="A228" s="242"/>
      <c r="B228" s="242"/>
      <c r="C228" s="242"/>
      <c r="D228" s="242"/>
      <c r="E228" s="242"/>
      <c r="F228" s="620"/>
      <c r="G228" s="242"/>
      <c r="H228" s="242"/>
      <c r="I228" s="242"/>
      <c r="J228" s="242"/>
      <c r="K228" s="242"/>
      <c r="L228" s="242"/>
      <c r="M228" s="242"/>
      <c r="N228" s="242"/>
      <c r="O228" s="242"/>
      <c r="P228" s="242"/>
      <c r="Q228" s="242"/>
      <c r="R228" s="242"/>
      <c r="S228" s="242"/>
      <c r="T228" s="242"/>
    </row>
    <row r="229" spans="1:20">
      <c r="A229" s="242"/>
      <c r="B229" s="242"/>
      <c r="C229" s="242"/>
      <c r="D229" s="242"/>
      <c r="E229" s="242"/>
      <c r="F229" s="620"/>
      <c r="G229" s="242"/>
      <c r="H229" s="242"/>
      <c r="I229" s="242"/>
      <c r="J229" s="242"/>
      <c r="K229" s="242"/>
      <c r="L229" s="242"/>
      <c r="M229" s="242"/>
      <c r="N229" s="242"/>
      <c r="O229" s="242"/>
      <c r="P229" s="242"/>
      <c r="Q229" s="242"/>
      <c r="R229" s="242"/>
      <c r="S229" s="242"/>
      <c r="T229" s="242"/>
    </row>
    <row r="230" spans="1:20">
      <c r="A230" s="242"/>
      <c r="B230" s="242"/>
      <c r="C230" s="242"/>
      <c r="D230" s="242"/>
      <c r="E230" s="242"/>
      <c r="F230" s="620"/>
      <c r="G230" s="242"/>
      <c r="H230" s="242"/>
      <c r="I230" s="242"/>
      <c r="J230" s="242"/>
      <c r="K230" s="242"/>
      <c r="L230" s="242"/>
      <c r="M230" s="242"/>
      <c r="N230" s="242"/>
      <c r="O230" s="242"/>
      <c r="P230" s="242"/>
      <c r="Q230" s="242"/>
      <c r="R230" s="242"/>
      <c r="S230" s="242"/>
      <c r="T230" s="242"/>
    </row>
    <row r="231" spans="1:20">
      <c r="A231" s="242"/>
      <c r="B231" s="242"/>
      <c r="C231" s="242"/>
      <c r="D231" s="242"/>
      <c r="E231" s="242"/>
      <c r="F231" s="620"/>
      <c r="G231" s="242"/>
      <c r="H231" s="242"/>
      <c r="I231" s="242"/>
      <c r="J231" s="242"/>
      <c r="K231" s="242"/>
      <c r="L231" s="242"/>
      <c r="M231" s="242"/>
      <c r="N231" s="242"/>
      <c r="O231" s="242"/>
      <c r="P231" s="242"/>
      <c r="Q231" s="242"/>
      <c r="R231" s="242"/>
      <c r="S231" s="242"/>
      <c r="T231" s="242"/>
    </row>
    <row r="232" spans="1:20">
      <c r="A232" s="242"/>
      <c r="B232" s="242"/>
      <c r="C232" s="242"/>
      <c r="D232" s="242"/>
      <c r="E232" s="242"/>
      <c r="F232" s="620"/>
      <c r="G232" s="242"/>
      <c r="H232" s="242"/>
      <c r="I232" s="242"/>
      <c r="J232" s="242"/>
      <c r="K232" s="242"/>
      <c r="L232" s="242"/>
      <c r="M232" s="242"/>
      <c r="N232" s="242"/>
      <c r="O232" s="242"/>
      <c r="P232" s="242"/>
      <c r="Q232" s="242"/>
      <c r="R232" s="242"/>
      <c r="S232" s="242"/>
      <c r="T232" s="242"/>
    </row>
    <row r="233" spans="1:20">
      <c r="A233" s="242"/>
      <c r="B233" s="242"/>
      <c r="C233" s="242"/>
      <c r="D233" s="242"/>
      <c r="E233" s="242"/>
      <c r="F233" s="620"/>
      <c r="G233" s="242"/>
      <c r="H233" s="242"/>
      <c r="I233" s="242"/>
      <c r="J233" s="242"/>
      <c r="K233" s="242"/>
      <c r="L233" s="242"/>
      <c r="M233" s="242"/>
      <c r="N233" s="242"/>
      <c r="O233" s="242"/>
      <c r="P233" s="242"/>
      <c r="Q233" s="242"/>
      <c r="R233" s="242"/>
      <c r="S233" s="242"/>
      <c r="T233" s="242"/>
    </row>
    <row r="234" spans="1:20">
      <c r="A234" s="242"/>
      <c r="B234" s="242"/>
      <c r="C234" s="242"/>
      <c r="D234" s="242"/>
      <c r="E234" s="242"/>
      <c r="F234" s="620"/>
      <c r="G234" s="242"/>
      <c r="H234" s="242"/>
      <c r="I234" s="242"/>
      <c r="J234" s="242"/>
      <c r="K234" s="242"/>
      <c r="L234" s="242"/>
      <c r="M234" s="242"/>
      <c r="N234" s="242"/>
      <c r="O234" s="242"/>
      <c r="P234" s="242"/>
      <c r="Q234" s="242"/>
      <c r="R234" s="242"/>
      <c r="S234" s="242"/>
      <c r="T234" s="242"/>
    </row>
    <row r="235" spans="1:20">
      <c r="A235" s="242"/>
      <c r="B235" s="242"/>
      <c r="C235" s="242"/>
      <c r="D235" s="242"/>
      <c r="E235" s="242"/>
      <c r="F235" s="620"/>
      <c r="G235" s="242"/>
      <c r="H235" s="242"/>
      <c r="I235" s="242"/>
      <c r="J235" s="242"/>
      <c r="K235" s="242"/>
      <c r="L235" s="242"/>
      <c r="M235" s="242"/>
      <c r="N235" s="242"/>
      <c r="O235" s="242"/>
      <c r="P235" s="242"/>
      <c r="Q235" s="242"/>
      <c r="R235" s="242"/>
      <c r="S235" s="242"/>
      <c r="T235" s="242"/>
    </row>
    <row r="236" spans="1:20">
      <c r="A236" s="242"/>
      <c r="B236" s="242"/>
      <c r="C236" s="242"/>
      <c r="D236" s="242"/>
      <c r="E236" s="242"/>
      <c r="F236" s="620"/>
      <c r="G236" s="242"/>
      <c r="H236" s="242"/>
      <c r="I236" s="242"/>
      <c r="J236" s="242"/>
      <c r="K236" s="242"/>
      <c r="L236" s="242"/>
      <c r="M236" s="242"/>
      <c r="N236" s="242"/>
      <c r="O236" s="242"/>
      <c r="P236" s="242"/>
      <c r="Q236" s="242"/>
      <c r="R236" s="242"/>
      <c r="S236" s="242"/>
      <c r="T236" s="242"/>
    </row>
    <row r="237" spans="1:20">
      <c r="A237" s="242"/>
      <c r="B237" s="242"/>
      <c r="C237" s="242"/>
      <c r="D237" s="242"/>
      <c r="E237" s="242"/>
      <c r="F237" s="620"/>
      <c r="G237" s="242"/>
      <c r="H237" s="242"/>
      <c r="I237" s="242"/>
      <c r="J237" s="242"/>
      <c r="K237" s="242"/>
      <c r="L237" s="242"/>
      <c r="M237" s="242"/>
      <c r="N237" s="242"/>
      <c r="O237" s="242"/>
      <c r="P237" s="242"/>
      <c r="Q237" s="242"/>
      <c r="R237" s="242"/>
      <c r="S237" s="242"/>
      <c r="T237" s="242"/>
    </row>
    <row r="238" spans="1:20">
      <c r="A238" s="242"/>
      <c r="B238" s="242"/>
      <c r="C238" s="242"/>
      <c r="D238" s="242"/>
      <c r="E238" s="242"/>
      <c r="F238" s="620"/>
      <c r="G238" s="242"/>
      <c r="H238" s="242"/>
      <c r="I238" s="242"/>
      <c r="J238" s="242"/>
      <c r="K238" s="242"/>
      <c r="L238" s="242"/>
      <c r="M238" s="242"/>
      <c r="N238" s="242"/>
      <c r="O238" s="242"/>
      <c r="P238" s="242"/>
      <c r="Q238" s="242"/>
      <c r="R238" s="242"/>
      <c r="S238" s="242"/>
      <c r="T238" s="242"/>
    </row>
    <row r="239" spans="1:20">
      <c r="A239" s="242"/>
      <c r="B239" s="242"/>
      <c r="C239" s="242"/>
      <c r="D239" s="242"/>
      <c r="E239" s="242"/>
      <c r="F239" s="620"/>
      <c r="G239" s="242"/>
      <c r="H239" s="242"/>
      <c r="I239" s="242"/>
      <c r="J239" s="242"/>
      <c r="K239" s="242"/>
      <c r="L239" s="242"/>
      <c r="M239" s="242"/>
      <c r="N239" s="242"/>
      <c r="O239" s="242"/>
      <c r="P239" s="242"/>
      <c r="Q239" s="242"/>
      <c r="R239" s="242"/>
      <c r="S239" s="242"/>
      <c r="T239" s="242"/>
    </row>
    <row r="240" spans="1:20">
      <c r="A240" s="242"/>
      <c r="B240" s="242"/>
      <c r="C240" s="242"/>
      <c r="D240" s="242"/>
      <c r="E240" s="242"/>
      <c r="F240" s="620"/>
      <c r="G240" s="242"/>
      <c r="H240" s="242"/>
      <c r="I240" s="242"/>
      <c r="J240" s="242"/>
      <c r="K240" s="242"/>
      <c r="L240" s="242"/>
      <c r="M240" s="242"/>
      <c r="N240" s="242"/>
      <c r="O240" s="242"/>
      <c r="P240" s="242"/>
      <c r="Q240" s="242"/>
      <c r="R240" s="242"/>
      <c r="S240" s="242"/>
      <c r="T240" s="242"/>
    </row>
    <row r="241" spans="1:20">
      <c r="A241" s="242"/>
      <c r="B241" s="242"/>
      <c r="C241" s="242"/>
      <c r="D241" s="242"/>
      <c r="E241" s="242"/>
      <c r="F241" s="620"/>
      <c r="G241" s="242"/>
      <c r="H241" s="242"/>
      <c r="I241" s="242"/>
      <c r="J241" s="242"/>
      <c r="K241" s="242"/>
      <c r="L241" s="242"/>
      <c r="M241" s="242"/>
      <c r="N241" s="242"/>
      <c r="O241" s="242"/>
      <c r="P241" s="242"/>
      <c r="Q241" s="242"/>
      <c r="R241" s="242"/>
      <c r="S241" s="242"/>
      <c r="T241" s="242"/>
    </row>
    <row r="242" spans="1:20">
      <c r="A242" s="242"/>
      <c r="B242" s="242"/>
      <c r="C242" s="242"/>
      <c r="D242" s="242"/>
      <c r="E242" s="242"/>
      <c r="F242" s="620"/>
      <c r="G242" s="242"/>
      <c r="H242" s="242"/>
      <c r="I242" s="242"/>
      <c r="J242" s="242"/>
      <c r="K242" s="242"/>
      <c r="L242" s="242"/>
      <c r="M242" s="242"/>
      <c r="N242" s="242"/>
      <c r="O242" s="242"/>
      <c r="P242" s="242"/>
      <c r="Q242" s="242"/>
      <c r="R242" s="242"/>
      <c r="S242" s="242"/>
      <c r="T242" s="242"/>
    </row>
    <row r="243" spans="1:20">
      <c r="A243" s="242"/>
      <c r="B243" s="242"/>
      <c r="C243" s="242"/>
      <c r="D243" s="242"/>
      <c r="E243" s="242"/>
      <c r="F243" s="620"/>
      <c r="G243" s="242"/>
      <c r="H243" s="242"/>
      <c r="I243" s="242"/>
      <c r="J243" s="242"/>
      <c r="K243" s="242"/>
      <c r="L243" s="242"/>
      <c r="M243" s="242"/>
      <c r="N243" s="242"/>
      <c r="O243" s="242"/>
      <c r="P243" s="242"/>
      <c r="Q243" s="242"/>
      <c r="R243" s="242"/>
      <c r="S243" s="242"/>
      <c r="T243" s="242"/>
    </row>
    <row r="244" spans="1:20">
      <c r="A244" s="242"/>
      <c r="B244" s="242"/>
      <c r="C244" s="242"/>
      <c r="D244" s="242"/>
      <c r="E244" s="242"/>
      <c r="F244" s="620"/>
      <c r="G244" s="242"/>
      <c r="H244" s="242"/>
      <c r="I244" s="242"/>
      <c r="J244" s="242"/>
      <c r="K244" s="242"/>
      <c r="L244" s="242"/>
      <c r="M244" s="242"/>
      <c r="N244" s="242"/>
      <c r="O244" s="242"/>
      <c r="P244" s="242"/>
      <c r="Q244" s="242"/>
      <c r="R244" s="242"/>
      <c r="S244" s="242"/>
      <c r="T244" s="242"/>
    </row>
    <row r="245" spans="1:20">
      <c r="A245" s="242"/>
      <c r="B245" s="242"/>
      <c r="C245" s="242"/>
      <c r="D245" s="242"/>
      <c r="E245" s="242"/>
      <c r="F245" s="620"/>
      <c r="G245" s="242"/>
      <c r="H245" s="242"/>
      <c r="I245" s="242"/>
      <c r="J245" s="242"/>
      <c r="K245" s="242"/>
      <c r="L245" s="242"/>
      <c r="M245" s="242"/>
      <c r="N245" s="242"/>
      <c r="O245" s="242"/>
      <c r="P245" s="242"/>
      <c r="Q245" s="242"/>
      <c r="R245" s="242"/>
      <c r="S245" s="242"/>
      <c r="T245" s="242"/>
    </row>
    <row r="246" spans="1:20">
      <c r="A246" s="242"/>
      <c r="B246" s="242"/>
      <c r="C246" s="242"/>
      <c r="D246" s="242"/>
      <c r="E246" s="242"/>
      <c r="F246" s="620"/>
      <c r="G246" s="242"/>
      <c r="H246" s="242"/>
      <c r="I246" s="242"/>
      <c r="J246" s="242"/>
      <c r="K246" s="242"/>
      <c r="L246" s="242"/>
      <c r="M246" s="242"/>
      <c r="N246" s="242"/>
      <c r="O246" s="242"/>
      <c r="P246" s="242"/>
      <c r="Q246" s="242"/>
      <c r="R246" s="242"/>
      <c r="S246" s="242"/>
      <c r="T246" s="242"/>
    </row>
    <row r="247" spans="1:20">
      <c r="A247" s="242"/>
      <c r="B247" s="242"/>
      <c r="C247" s="242"/>
      <c r="D247" s="242"/>
      <c r="E247" s="242"/>
      <c r="F247" s="620"/>
      <c r="G247" s="242"/>
      <c r="H247" s="242"/>
      <c r="I247" s="242"/>
      <c r="J247" s="242"/>
      <c r="K247" s="242"/>
      <c r="L247" s="242"/>
      <c r="M247" s="242"/>
      <c r="N247" s="242"/>
      <c r="O247" s="242"/>
      <c r="P247" s="242"/>
      <c r="Q247" s="242"/>
      <c r="R247" s="242"/>
      <c r="S247" s="242"/>
      <c r="T247" s="242"/>
    </row>
    <row r="248" spans="1:20">
      <c r="A248" s="242"/>
      <c r="B248" s="242"/>
      <c r="C248" s="242"/>
      <c r="D248" s="242"/>
      <c r="E248" s="242"/>
      <c r="F248" s="620"/>
      <c r="G248" s="242"/>
      <c r="H248" s="242"/>
      <c r="I248" s="242"/>
      <c r="J248" s="242"/>
      <c r="K248" s="242"/>
      <c r="L248" s="242"/>
      <c r="M248" s="242"/>
      <c r="N248" s="242"/>
      <c r="O248" s="242"/>
      <c r="P248" s="242"/>
      <c r="Q248" s="242"/>
      <c r="R248" s="242"/>
      <c r="S248" s="242"/>
      <c r="T248" s="242"/>
    </row>
    <row r="249" spans="1:20">
      <c r="A249" s="242"/>
      <c r="B249" s="242"/>
      <c r="C249" s="242"/>
      <c r="D249" s="242"/>
      <c r="E249" s="242"/>
      <c r="F249" s="620"/>
      <c r="G249" s="242"/>
      <c r="H249" s="242"/>
      <c r="I249" s="242"/>
      <c r="J249" s="242"/>
      <c r="K249" s="242"/>
      <c r="L249" s="242"/>
      <c r="M249" s="242"/>
      <c r="N249" s="242"/>
      <c r="O249" s="242"/>
      <c r="P249" s="242"/>
      <c r="Q249" s="242"/>
      <c r="R249" s="242"/>
      <c r="S249" s="242"/>
      <c r="T249" s="242"/>
    </row>
    <row r="250" spans="1:20">
      <c r="A250" s="242"/>
      <c r="B250" s="242"/>
      <c r="C250" s="242"/>
      <c r="D250" s="242"/>
      <c r="E250" s="242"/>
      <c r="F250" s="620"/>
      <c r="G250" s="242"/>
      <c r="H250" s="242"/>
      <c r="I250" s="242"/>
      <c r="J250" s="242"/>
      <c r="K250" s="242"/>
      <c r="L250" s="242"/>
      <c r="M250" s="242"/>
      <c r="N250" s="242"/>
      <c r="O250" s="242"/>
      <c r="P250" s="242"/>
      <c r="Q250" s="242"/>
      <c r="R250" s="242"/>
      <c r="S250" s="242"/>
      <c r="T250" s="242"/>
    </row>
    <row r="251" spans="1:20">
      <c r="A251" s="242"/>
      <c r="B251" s="242"/>
      <c r="C251" s="242"/>
      <c r="D251" s="242"/>
      <c r="E251" s="242"/>
      <c r="F251" s="620"/>
      <c r="G251" s="242"/>
      <c r="H251" s="242"/>
      <c r="I251" s="242"/>
      <c r="J251" s="242"/>
      <c r="K251" s="242"/>
      <c r="L251" s="242"/>
      <c r="M251" s="242"/>
      <c r="N251" s="242"/>
      <c r="O251" s="242"/>
      <c r="P251" s="242"/>
      <c r="Q251" s="242"/>
      <c r="R251" s="242"/>
      <c r="S251" s="242"/>
      <c r="T251" s="242"/>
    </row>
    <row r="252" spans="1:20">
      <c r="A252" s="242"/>
      <c r="B252" s="242"/>
      <c r="C252" s="242"/>
      <c r="D252" s="242"/>
      <c r="E252" s="242"/>
      <c r="F252" s="620"/>
      <c r="G252" s="242"/>
      <c r="H252" s="242"/>
      <c r="I252" s="242"/>
      <c r="J252" s="242"/>
      <c r="K252" s="242"/>
      <c r="L252" s="242"/>
      <c r="M252" s="242"/>
      <c r="N252" s="242"/>
      <c r="O252" s="242"/>
      <c r="P252" s="242"/>
      <c r="Q252" s="242"/>
      <c r="R252" s="242"/>
      <c r="S252" s="242"/>
      <c r="T252" s="242"/>
    </row>
    <row r="253" spans="1:20">
      <c r="A253" s="242"/>
      <c r="B253" s="242"/>
      <c r="C253" s="242"/>
      <c r="D253" s="242"/>
      <c r="E253" s="242"/>
      <c r="F253" s="620"/>
      <c r="G253" s="242"/>
      <c r="H253" s="242"/>
      <c r="I253" s="242"/>
      <c r="J253" s="242"/>
      <c r="K253" s="242"/>
      <c r="L253" s="242"/>
      <c r="M253" s="242"/>
      <c r="N253" s="242"/>
      <c r="O253" s="242"/>
      <c r="P253" s="242"/>
      <c r="Q253" s="242"/>
      <c r="R253" s="242"/>
      <c r="S253" s="242"/>
      <c r="T253" s="242"/>
    </row>
    <row r="254" spans="1:20">
      <c r="A254" s="242"/>
      <c r="B254" s="242"/>
      <c r="C254" s="242"/>
      <c r="D254" s="242"/>
      <c r="E254" s="242"/>
      <c r="F254" s="620"/>
      <c r="G254" s="242"/>
      <c r="H254" s="242"/>
      <c r="I254" s="242"/>
      <c r="J254" s="242"/>
      <c r="K254" s="242"/>
      <c r="L254" s="242"/>
      <c r="M254" s="242"/>
      <c r="N254" s="242"/>
      <c r="O254" s="242"/>
      <c r="P254" s="242"/>
      <c r="Q254" s="242"/>
      <c r="R254" s="242"/>
      <c r="S254" s="242"/>
      <c r="T254" s="242"/>
    </row>
    <row r="255" spans="1:20">
      <c r="A255" s="242"/>
      <c r="B255" s="242"/>
      <c r="C255" s="242"/>
      <c r="D255" s="242"/>
      <c r="E255" s="242"/>
      <c r="F255" s="620"/>
      <c r="G255" s="242"/>
      <c r="H255" s="242"/>
      <c r="I255" s="242"/>
      <c r="J255" s="242"/>
      <c r="K255" s="242"/>
      <c r="L255" s="242"/>
      <c r="M255" s="242"/>
      <c r="N255" s="242"/>
      <c r="O255" s="242"/>
      <c r="P255" s="242"/>
      <c r="Q255" s="242"/>
      <c r="R255" s="242"/>
      <c r="S255" s="242"/>
      <c r="T255" s="242"/>
    </row>
    <row r="256" spans="1:20">
      <c r="A256" s="242"/>
      <c r="B256" s="242"/>
      <c r="C256" s="242"/>
      <c r="D256" s="242"/>
      <c r="E256" s="242"/>
      <c r="F256" s="620"/>
      <c r="G256" s="242"/>
      <c r="H256" s="242"/>
      <c r="I256" s="242"/>
      <c r="J256" s="242"/>
      <c r="K256" s="242"/>
      <c r="L256" s="242"/>
      <c r="M256" s="242"/>
      <c r="N256" s="242"/>
      <c r="O256" s="242"/>
      <c r="P256" s="242"/>
      <c r="Q256" s="242"/>
      <c r="R256" s="242"/>
      <c r="S256" s="242"/>
      <c r="T256" s="242"/>
    </row>
    <row r="257" spans="1:20">
      <c r="A257" s="242"/>
      <c r="B257" s="242"/>
      <c r="C257" s="242"/>
      <c r="D257" s="242"/>
      <c r="E257" s="242"/>
      <c r="F257" s="620"/>
      <c r="G257" s="242"/>
      <c r="H257" s="242"/>
      <c r="I257" s="242"/>
      <c r="J257" s="242"/>
      <c r="K257" s="242"/>
      <c r="L257" s="242"/>
      <c r="M257" s="242"/>
      <c r="N257" s="242"/>
      <c r="O257" s="242"/>
      <c r="P257" s="242"/>
      <c r="Q257" s="242"/>
      <c r="R257" s="242"/>
      <c r="S257" s="242"/>
      <c r="T257" s="242"/>
    </row>
    <row r="258" spans="1:20">
      <c r="A258" s="242"/>
      <c r="B258" s="242"/>
      <c r="C258" s="242"/>
      <c r="D258" s="242"/>
      <c r="E258" s="242"/>
      <c r="F258" s="620"/>
      <c r="G258" s="242"/>
      <c r="H258" s="242"/>
      <c r="I258" s="242"/>
      <c r="J258" s="242"/>
      <c r="K258" s="242"/>
      <c r="L258" s="242"/>
      <c r="M258" s="242"/>
      <c r="N258" s="242"/>
      <c r="O258" s="242"/>
      <c r="P258" s="242"/>
      <c r="Q258" s="242"/>
      <c r="R258" s="242"/>
      <c r="S258" s="242"/>
      <c r="T258" s="242"/>
    </row>
    <row r="259" spans="1:20">
      <c r="A259" s="242"/>
      <c r="B259" s="242"/>
      <c r="C259" s="242"/>
      <c r="D259" s="242"/>
      <c r="E259" s="242"/>
      <c r="F259" s="620"/>
      <c r="G259" s="242"/>
      <c r="H259" s="242"/>
      <c r="I259" s="242"/>
      <c r="J259" s="242"/>
      <c r="K259" s="242"/>
      <c r="L259" s="242"/>
      <c r="M259" s="242"/>
      <c r="N259" s="242"/>
      <c r="O259" s="242"/>
      <c r="P259" s="242"/>
      <c r="Q259" s="242"/>
      <c r="R259" s="242"/>
      <c r="S259" s="242"/>
      <c r="T259" s="242"/>
    </row>
    <row r="260" spans="1:20">
      <c r="A260" s="242"/>
      <c r="B260" s="242"/>
      <c r="C260" s="242"/>
      <c r="D260" s="242"/>
      <c r="E260" s="242"/>
      <c r="F260" s="620"/>
      <c r="G260" s="242"/>
      <c r="H260" s="242"/>
      <c r="I260" s="242"/>
      <c r="J260" s="242"/>
      <c r="K260" s="242"/>
      <c r="L260" s="242"/>
      <c r="M260" s="242"/>
      <c r="N260" s="242"/>
      <c r="O260" s="242"/>
      <c r="P260" s="242"/>
      <c r="Q260" s="242"/>
      <c r="R260" s="242"/>
      <c r="S260" s="242"/>
      <c r="T260" s="242"/>
    </row>
    <row r="261" spans="1:20">
      <c r="A261" s="242"/>
      <c r="B261" s="242"/>
      <c r="C261" s="242"/>
      <c r="D261" s="242"/>
      <c r="E261" s="242"/>
      <c r="F261" s="620"/>
      <c r="G261" s="242"/>
      <c r="H261" s="242"/>
      <c r="I261" s="242"/>
      <c r="J261" s="242"/>
      <c r="K261" s="242"/>
      <c r="L261" s="242"/>
      <c r="M261" s="242"/>
      <c r="N261" s="242"/>
      <c r="O261" s="242"/>
      <c r="P261" s="242"/>
      <c r="Q261" s="242"/>
      <c r="R261" s="242"/>
      <c r="S261" s="242"/>
      <c r="T261" s="242"/>
    </row>
    <row r="262" spans="1:20">
      <c r="A262" s="242"/>
      <c r="B262" s="242"/>
      <c r="C262" s="242"/>
      <c r="D262" s="242"/>
      <c r="E262" s="242"/>
      <c r="F262" s="620"/>
      <c r="G262" s="242"/>
      <c r="H262" s="242"/>
      <c r="I262" s="242"/>
      <c r="J262" s="242"/>
      <c r="K262" s="242"/>
      <c r="L262" s="242"/>
      <c r="M262" s="242"/>
      <c r="N262" s="242"/>
      <c r="O262" s="242"/>
      <c r="P262" s="242"/>
      <c r="Q262" s="242"/>
      <c r="R262" s="242"/>
      <c r="S262" s="242"/>
      <c r="T262" s="242"/>
    </row>
    <row r="263" spans="1:20">
      <c r="A263" s="242"/>
      <c r="B263" s="242"/>
      <c r="C263" s="242"/>
      <c r="D263" s="242"/>
      <c r="E263" s="242"/>
      <c r="F263" s="620"/>
      <c r="G263" s="242"/>
      <c r="H263" s="242"/>
      <c r="I263" s="242"/>
      <c r="J263" s="242"/>
      <c r="K263" s="242"/>
      <c r="L263" s="242"/>
      <c r="M263" s="242"/>
      <c r="N263" s="242"/>
      <c r="O263" s="242"/>
      <c r="P263" s="242"/>
      <c r="Q263" s="242"/>
      <c r="R263" s="242"/>
      <c r="S263" s="242"/>
      <c r="T263" s="242"/>
    </row>
    <row r="264" spans="1:20">
      <c r="A264" s="242"/>
      <c r="B264" s="242"/>
      <c r="C264" s="242"/>
      <c r="D264" s="242"/>
      <c r="E264" s="242"/>
      <c r="F264" s="620"/>
      <c r="G264" s="242"/>
      <c r="H264" s="242"/>
      <c r="I264" s="242"/>
      <c r="J264" s="242"/>
      <c r="K264" s="242"/>
      <c r="L264" s="242"/>
      <c r="M264" s="242"/>
      <c r="N264" s="242"/>
      <c r="O264" s="242"/>
      <c r="P264" s="242"/>
      <c r="Q264" s="242"/>
      <c r="R264" s="242"/>
      <c r="S264" s="242"/>
      <c r="T264" s="242"/>
    </row>
    <row r="265" spans="1:20">
      <c r="A265" s="242"/>
      <c r="B265" s="242"/>
      <c r="C265" s="242"/>
      <c r="D265" s="242"/>
      <c r="E265" s="242"/>
      <c r="F265" s="620"/>
      <c r="G265" s="242"/>
      <c r="H265" s="242"/>
      <c r="I265" s="242"/>
      <c r="J265" s="242"/>
      <c r="K265" s="242"/>
      <c r="L265" s="242"/>
      <c r="M265" s="242"/>
      <c r="N265" s="242"/>
      <c r="O265" s="242"/>
      <c r="P265" s="242"/>
      <c r="Q265" s="242"/>
      <c r="R265" s="242"/>
      <c r="S265" s="242"/>
      <c r="T265" s="242"/>
    </row>
    <row r="266" spans="1:20">
      <c r="A266" s="242"/>
      <c r="B266" s="242"/>
      <c r="C266" s="242"/>
      <c r="D266" s="242"/>
      <c r="E266" s="242"/>
      <c r="F266" s="620"/>
      <c r="G266" s="242"/>
      <c r="H266" s="242"/>
      <c r="I266" s="242"/>
      <c r="J266" s="242"/>
      <c r="K266" s="242"/>
      <c r="L266" s="242"/>
      <c r="M266" s="242"/>
      <c r="N266" s="242"/>
      <c r="O266" s="242"/>
      <c r="P266" s="242"/>
      <c r="Q266" s="242"/>
      <c r="R266" s="242"/>
      <c r="S266" s="242"/>
      <c r="T266" s="242"/>
    </row>
    <row r="267" spans="1:20">
      <c r="A267" s="242"/>
      <c r="B267" s="242"/>
      <c r="C267" s="242"/>
      <c r="D267" s="242"/>
      <c r="E267" s="242"/>
      <c r="F267" s="620"/>
      <c r="G267" s="242"/>
      <c r="H267" s="242"/>
      <c r="I267" s="242"/>
      <c r="J267" s="242"/>
      <c r="K267" s="242"/>
      <c r="L267" s="242"/>
      <c r="M267" s="242"/>
      <c r="N267" s="242"/>
      <c r="O267" s="242"/>
      <c r="P267" s="242"/>
      <c r="Q267" s="242"/>
      <c r="R267" s="242"/>
      <c r="S267" s="242"/>
      <c r="T267" s="242"/>
    </row>
    <row r="268" spans="1:20">
      <c r="A268" s="242"/>
      <c r="B268" s="242"/>
      <c r="C268" s="242"/>
      <c r="D268" s="242"/>
      <c r="E268" s="242"/>
      <c r="F268" s="620"/>
      <c r="G268" s="242"/>
      <c r="H268" s="242"/>
      <c r="I268" s="242"/>
      <c r="J268" s="242"/>
      <c r="K268" s="242"/>
      <c r="L268" s="242"/>
      <c r="M268" s="242"/>
      <c r="N268" s="242"/>
      <c r="O268" s="242"/>
      <c r="P268" s="242"/>
      <c r="Q268" s="242"/>
      <c r="R268" s="242"/>
      <c r="S268" s="242"/>
      <c r="T268" s="242"/>
    </row>
    <row r="269" spans="1:20">
      <c r="A269" s="242"/>
      <c r="B269" s="242"/>
      <c r="C269" s="242"/>
      <c r="D269" s="242"/>
      <c r="E269" s="242"/>
      <c r="F269" s="620"/>
      <c r="G269" s="242"/>
      <c r="H269" s="242"/>
      <c r="I269" s="242"/>
      <c r="J269" s="242"/>
      <c r="K269" s="242"/>
      <c r="L269" s="242"/>
      <c r="M269" s="242"/>
      <c r="N269" s="242"/>
      <c r="O269" s="242"/>
      <c r="P269" s="242"/>
      <c r="Q269" s="242"/>
      <c r="R269" s="242"/>
      <c r="S269" s="242"/>
      <c r="T269" s="242"/>
    </row>
    <row r="270" spans="1:20">
      <c r="A270" s="242"/>
      <c r="B270" s="242"/>
      <c r="C270" s="242"/>
      <c r="D270" s="242"/>
      <c r="E270" s="242"/>
      <c r="F270" s="620"/>
      <c r="G270" s="242"/>
      <c r="H270" s="242"/>
      <c r="I270" s="242"/>
      <c r="J270" s="242"/>
      <c r="K270" s="242"/>
      <c r="L270" s="242"/>
      <c r="M270" s="242"/>
      <c r="N270" s="242"/>
      <c r="O270" s="242"/>
      <c r="P270" s="242"/>
      <c r="Q270" s="242"/>
      <c r="R270" s="242"/>
      <c r="S270" s="242"/>
      <c r="T270" s="242"/>
    </row>
    <row r="271" spans="1:20">
      <c r="A271" s="242"/>
      <c r="B271" s="242"/>
      <c r="C271" s="242"/>
      <c r="D271" s="242"/>
      <c r="E271" s="242"/>
      <c r="F271" s="620"/>
      <c r="G271" s="242"/>
      <c r="H271" s="242"/>
      <c r="I271" s="242"/>
      <c r="J271" s="242"/>
      <c r="K271" s="242"/>
      <c r="L271" s="242"/>
      <c r="M271" s="242"/>
      <c r="N271" s="242"/>
      <c r="O271" s="242"/>
      <c r="P271" s="242"/>
      <c r="Q271" s="242"/>
      <c r="R271" s="242"/>
      <c r="S271" s="242"/>
      <c r="T271" s="242"/>
    </row>
    <row r="272" spans="1:20">
      <c r="A272" s="242"/>
      <c r="B272" s="242"/>
      <c r="C272" s="242"/>
      <c r="D272" s="242"/>
      <c r="E272" s="242"/>
      <c r="F272" s="620"/>
      <c r="G272" s="242"/>
      <c r="H272" s="242"/>
      <c r="I272" s="242"/>
      <c r="J272" s="242"/>
      <c r="K272" s="242"/>
      <c r="L272" s="242"/>
      <c r="M272" s="242"/>
      <c r="N272" s="242"/>
      <c r="O272" s="242"/>
      <c r="P272" s="242"/>
      <c r="Q272" s="242"/>
      <c r="R272" s="242"/>
      <c r="S272" s="242"/>
      <c r="T272" s="242"/>
    </row>
    <row r="273" spans="1:20">
      <c r="A273" s="242"/>
      <c r="B273" s="242"/>
      <c r="C273" s="242"/>
      <c r="D273" s="242"/>
      <c r="E273" s="242"/>
      <c r="F273" s="620"/>
      <c r="G273" s="242"/>
      <c r="H273" s="242"/>
      <c r="I273" s="242"/>
      <c r="J273" s="242"/>
      <c r="K273" s="242"/>
      <c r="L273" s="242"/>
      <c r="M273" s="242"/>
      <c r="N273" s="242"/>
      <c r="O273" s="242"/>
      <c r="P273" s="242"/>
      <c r="Q273" s="242"/>
      <c r="R273" s="242"/>
      <c r="S273" s="242"/>
      <c r="T273" s="242"/>
    </row>
    <row r="274" spans="1:20">
      <c r="A274" s="242"/>
      <c r="B274" s="242"/>
      <c r="C274" s="242"/>
      <c r="D274" s="242"/>
      <c r="E274" s="242"/>
      <c r="F274" s="620"/>
      <c r="G274" s="242"/>
      <c r="H274" s="242"/>
      <c r="I274" s="242"/>
      <c r="J274" s="242"/>
      <c r="K274" s="242"/>
      <c r="L274" s="242"/>
      <c r="M274" s="242"/>
      <c r="N274" s="242"/>
      <c r="O274" s="242"/>
      <c r="P274" s="242"/>
      <c r="Q274" s="242"/>
      <c r="R274" s="242"/>
      <c r="S274" s="242"/>
      <c r="T274" s="242"/>
    </row>
    <row r="275" spans="1:20">
      <c r="A275" s="242"/>
      <c r="B275" s="242"/>
      <c r="C275" s="242"/>
      <c r="D275" s="242"/>
      <c r="E275" s="242"/>
      <c r="F275" s="620"/>
      <c r="G275" s="242"/>
      <c r="H275" s="242"/>
      <c r="I275" s="242"/>
      <c r="J275" s="242"/>
      <c r="K275" s="242"/>
      <c r="L275" s="242"/>
      <c r="M275" s="242"/>
      <c r="N275" s="242"/>
      <c r="O275" s="242"/>
      <c r="P275" s="242"/>
      <c r="Q275" s="242"/>
      <c r="R275" s="242"/>
      <c r="S275" s="242"/>
      <c r="T275" s="242"/>
    </row>
    <row r="276" spans="1:20">
      <c r="A276" s="242"/>
      <c r="B276" s="242"/>
      <c r="C276" s="242"/>
      <c r="D276" s="242"/>
      <c r="E276" s="242"/>
      <c r="F276" s="620"/>
      <c r="G276" s="242"/>
      <c r="H276" s="242"/>
      <c r="I276" s="242"/>
      <c r="J276" s="242"/>
      <c r="K276" s="242"/>
      <c r="L276" s="242"/>
      <c r="M276" s="242"/>
      <c r="N276" s="242"/>
      <c r="O276" s="242"/>
      <c r="P276" s="242"/>
      <c r="Q276" s="242"/>
      <c r="R276" s="242"/>
      <c r="S276" s="242"/>
      <c r="T276" s="242"/>
    </row>
    <row r="277" spans="1:20">
      <c r="A277" s="242"/>
      <c r="B277" s="242"/>
      <c r="C277" s="242"/>
      <c r="D277" s="242"/>
      <c r="E277" s="242"/>
      <c r="F277" s="620"/>
      <c r="G277" s="242"/>
      <c r="H277" s="242"/>
      <c r="I277" s="242"/>
      <c r="J277" s="242"/>
      <c r="K277" s="242"/>
      <c r="L277" s="242"/>
      <c r="M277" s="242"/>
      <c r="N277" s="242"/>
      <c r="O277" s="242"/>
      <c r="P277" s="242"/>
      <c r="Q277" s="242"/>
      <c r="R277" s="242"/>
      <c r="S277" s="242"/>
      <c r="T277" s="242"/>
    </row>
    <row r="278" spans="1:20">
      <c r="A278" s="242"/>
      <c r="B278" s="242"/>
      <c r="C278" s="242"/>
      <c r="D278" s="242"/>
      <c r="E278" s="242"/>
      <c r="F278" s="620"/>
      <c r="G278" s="242"/>
      <c r="H278" s="242"/>
      <c r="I278" s="242"/>
      <c r="J278" s="242"/>
      <c r="K278" s="242"/>
      <c r="L278" s="242"/>
      <c r="M278" s="242"/>
      <c r="N278" s="242"/>
      <c r="O278" s="242"/>
      <c r="P278" s="242"/>
      <c r="Q278" s="242"/>
      <c r="R278" s="242"/>
      <c r="S278" s="242"/>
      <c r="T278" s="242"/>
    </row>
    <row r="279" spans="1:20">
      <c r="A279" s="242"/>
      <c r="B279" s="242"/>
      <c r="C279" s="242"/>
      <c r="D279" s="242"/>
      <c r="E279" s="242"/>
      <c r="F279" s="620"/>
      <c r="G279" s="242"/>
      <c r="H279" s="242"/>
      <c r="I279" s="242"/>
      <c r="J279" s="242"/>
      <c r="K279" s="242"/>
      <c r="L279" s="242"/>
      <c r="M279" s="242"/>
      <c r="N279" s="242"/>
      <c r="O279" s="242"/>
      <c r="P279" s="242"/>
      <c r="Q279" s="242"/>
      <c r="R279" s="242"/>
      <c r="S279" s="242"/>
      <c r="T279" s="242"/>
    </row>
    <row r="280" spans="1:20">
      <c r="A280" s="242"/>
      <c r="B280" s="242"/>
      <c r="C280" s="242"/>
      <c r="D280" s="242"/>
      <c r="E280" s="242"/>
      <c r="F280" s="620"/>
      <c r="G280" s="242"/>
      <c r="H280" s="242"/>
      <c r="I280" s="242"/>
      <c r="J280" s="242"/>
      <c r="K280" s="242"/>
      <c r="L280" s="242"/>
      <c r="M280" s="242"/>
      <c r="N280" s="242"/>
      <c r="O280" s="242"/>
      <c r="P280" s="242"/>
      <c r="Q280" s="242"/>
      <c r="R280" s="242"/>
      <c r="S280" s="242"/>
      <c r="T280" s="242"/>
    </row>
    <row r="281" spans="1:20">
      <c r="A281" s="242"/>
      <c r="B281" s="242"/>
      <c r="C281" s="242"/>
      <c r="D281" s="242"/>
      <c r="E281" s="242"/>
      <c r="F281" s="620"/>
      <c r="G281" s="242"/>
      <c r="H281" s="242"/>
      <c r="I281" s="242"/>
      <c r="J281" s="242"/>
      <c r="K281" s="242"/>
      <c r="L281" s="242"/>
      <c r="M281" s="242"/>
      <c r="N281" s="242"/>
      <c r="O281" s="242"/>
      <c r="P281" s="242"/>
      <c r="Q281" s="242"/>
      <c r="R281" s="242"/>
      <c r="S281" s="242"/>
      <c r="T281" s="242"/>
    </row>
    <row r="282" spans="1:20">
      <c r="A282" s="242"/>
      <c r="B282" s="242"/>
      <c r="C282" s="242"/>
      <c r="D282" s="242"/>
      <c r="E282" s="242"/>
      <c r="F282" s="620"/>
      <c r="G282" s="242"/>
      <c r="H282" s="242"/>
      <c r="I282" s="242"/>
      <c r="J282" s="242"/>
      <c r="K282" s="242"/>
      <c r="L282" s="242"/>
      <c r="M282" s="242"/>
      <c r="N282" s="242"/>
      <c r="O282" s="242"/>
      <c r="P282" s="242"/>
      <c r="Q282" s="242"/>
      <c r="R282" s="242"/>
      <c r="S282" s="242"/>
      <c r="T282" s="242"/>
    </row>
    <row r="283" spans="1:20">
      <c r="A283" s="242"/>
      <c r="B283" s="242"/>
      <c r="C283" s="242"/>
      <c r="D283" s="242"/>
      <c r="E283" s="242"/>
      <c r="F283" s="620"/>
      <c r="G283" s="242"/>
      <c r="H283" s="242"/>
      <c r="I283" s="242"/>
      <c r="J283" s="242"/>
      <c r="K283" s="242"/>
      <c r="L283" s="242"/>
      <c r="M283" s="242"/>
      <c r="N283" s="242"/>
      <c r="O283" s="242"/>
      <c r="P283" s="242"/>
      <c r="Q283" s="242"/>
      <c r="R283" s="242"/>
      <c r="S283" s="242"/>
      <c r="T283" s="242"/>
    </row>
    <row r="284" spans="1:20">
      <c r="A284" s="242"/>
      <c r="B284" s="242"/>
      <c r="C284" s="242"/>
      <c r="D284" s="242"/>
      <c r="E284" s="242"/>
      <c r="F284" s="620"/>
      <c r="G284" s="242"/>
      <c r="H284" s="242"/>
      <c r="I284" s="242"/>
      <c r="J284" s="242"/>
      <c r="K284" s="242"/>
      <c r="L284" s="242"/>
      <c r="M284" s="242"/>
      <c r="N284" s="242"/>
      <c r="O284" s="242"/>
      <c r="P284" s="242"/>
      <c r="Q284" s="242"/>
      <c r="R284" s="242"/>
      <c r="S284" s="242"/>
      <c r="T284" s="242"/>
    </row>
    <row r="285" spans="1:20">
      <c r="A285" s="242"/>
      <c r="B285" s="242"/>
      <c r="C285" s="242"/>
      <c r="D285" s="242"/>
      <c r="E285" s="242"/>
      <c r="F285" s="620"/>
      <c r="G285" s="242"/>
      <c r="H285" s="242"/>
      <c r="I285" s="242"/>
      <c r="J285" s="242"/>
      <c r="K285" s="242"/>
      <c r="L285" s="242"/>
      <c r="M285" s="242"/>
      <c r="N285" s="242"/>
      <c r="O285" s="242"/>
      <c r="P285" s="242"/>
      <c r="Q285" s="242"/>
      <c r="R285" s="242"/>
      <c r="S285" s="242"/>
      <c r="T285" s="242"/>
    </row>
    <row r="286" spans="1:20">
      <c r="A286" s="242"/>
      <c r="B286" s="242"/>
      <c r="C286" s="242"/>
      <c r="D286" s="242"/>
      <c r="E286" s="242"/>
      <c r="F286" s="620"/>
      <c r="G286" s="242"/>
      <c r="H286" s="242"/>
      <c r="I286" s="242"/>
      <c r="J286" s="242"/>
      <c r="K286" s="242"/>
      <c r="L286" s="242"/>
      <c r="M286" s="242"/>
      <c r="N286" s="242"/>
      <c r="O286" s="242"/>
      <c r="P286" s="242"/>
      <c r="Q286" s="242"/>
      <c r="R286" s="242"/>
      <c r="S286" s="242"/>
      <c r="T286" s="242"/>
    </row>
    <row r="287" spans="1:20">
      <c r="A287" s="242"/>
      <c r="B287" s="242"/>
      <c r="C287" s="242"/>
      <c r="D287" s="242"/>
      <c r="E287" s="242"/>
      <c r="F287" s="620"/>
      <c r="G287" s="242"/>
      <c r="H287" s="242"/>
      <c r="I287" s="242"/>
      <c r="J287" s="242"/>
      <c r="K287" s="242"/>
      <c r="L287" s="242"/>
      <c r="M287" s="242"/>
      <c r="N287" s="242"/>
      <c r="O287" s="242"/>
      <c r="P287" s="242"/>
      <c r="Q287" s="242"/>
      <c r="R287" s="242"/>
      <c r="S287" s="242"/>
      <c r="T287" s="242"/>
    </row>
    <row r="288" spans="1:20">
      <c r="A288" s="242"/>
      <c r="B288" s="242"/>
      <c r="C288" s="242"/>
      <c r="D288" s="242"/>
      <c r="E288" s="242"/>
      <c r="F288" s="620"/>
      <c r="G288" s="242"/>
      <c r="H288" s="242"/>
      <c r="I288" s="242"/>
      <c r="J288" s="242"/>
      <c r="K288" s="242"/>
      <c r="L288" s="242"/>
      <c r="M288" s="242"/>
      <c r="N288" s="242"/>
      <c r="O288" s="242"/>
      <c r="P288" s="242"/>
      <c r="Q288" s="242"/>
      <c r="R288" s="242"/>
      <c r="S288" s="242"/>
      <c r="T288" s="242"/>
    </row>
    <row r="289" spans="1:20">
      <c r="A289" s="242"/>
      <c r="B289" s="242"/>
      <c r="C289" s="242"/>
      <c r="D289" s="242"/>
      <c r="E289" s="242"/>
      <c r="F289" s="620"/>
      <c r="G289" s="242"/>
      <c r="H289" s="242"/>
      <c r="I289" s="242"/>
      <c r="J289" s="242"/>
      <c r="K289" s="242"/>
      <c r="L289" s="242"/>
      <c r="M289" s="242"/>
      <c r="N289" s="242"/>
      <c r="O289" s="242"/>
      <c r="P289" s="242"/>
      <c r="Q289" s="242"/>
      <c r="R289" s="242"/>
      <c r="S289" s="242"/>
      <c r="T289" s="242"/>
    </row>
    <row r="290" spans="1:20">
      <c r="A290" s="242"/>
      <c r="B290" s="242"/>
      <c r="C290" s="242"/>
      <c r="D290" s="242"/>
      <c r="E290" s="242"/>
      <c r="F290" s="620"/>
      <c r="G290" s="242"/>
      <c r="H290" s="242"/>
      <c r="I290" s="242"/>
      <c r="J290" s="242"/>
      <c r="K290" s="242"/>
      <c r="L290" s="242"/>
      <c r="M290" s="242"/>
      <c r="N290" s="242"/>
      <c r="O290" s="242"/>
      <c r="P290" s="242"/>
      <c r="Q290" s="242"/>
      <c r="R290" s="242"/>
      <c r="S290" s="242"/>
      <c r="T290" s="242"/>
    </row>
    <row r="291" spans="1:20">
      <c r="A291" s="242"/>
      <c r="B291" s="242"/>
      <c r="C291" s="242"/>
      <c r="D291" s="242"/>
      <c r="E291" s="242"/>
      <c r="F291" s="620"/>
      <c r="G291" s="242"/>
      <c r="H291" s="242"/>
      <c r="I291" s="242"/>
      <c r="J291" s="242"/>
      <c r="K291" s="242"/>
      <c r="L291" s="242"/>
      <c r="M291" s="242"/>
      <c r="N291" s="242"/>
      <c r="O291" s="242"/>
      <c r="P291" s="242"/>
      <c r="Q291" s="242"/>
      <c r="R291" s="242"/>
      <c r="S291" s="242"/>
      <c r="T291" s="242"/>
    </row>
    <row r="292" spans="1:20">
      <c r="A292" s="242"/>
      <c r="B292" s="242"/>
      <c r="C292" s="242"/>
      <c r="D292" s="242"/>
      <c r="E292" s="242"/>
      <c r="F292" s="620"/>
      <c r="G292" s="242"/>
      <c r="H292" s="242"/>
      <c r="I292" s="242"/>
      <c r="J292" s="242"/>
      <c r="K292" s="242"/>
      <c r="L292" s="242"/>
      <c r="M292" s="242"/>
      <c r="N292" s="242"/>
      <c r="O292" s="242"/>
      <c r="P292" s="242"/>
      <c r="Q292" s="242"/>
      <c r="R292" s="242"/>
      <c r="S292" s="242"/>
      <c r="T292" s="242"/>
    </row>
    <row r="293" spans="1:20">
      <c r="A293" s="242"/>
      <c r="B293" s="242"/>
      <c r="C293" s="242"/>
      <c r="D293" s="242"/>
      <c r="E293" s="242"/>
      <c r="F293" s="620"/>
      <c r="G293" s="242"/>
      <c r="H293" s="242"/>
      <c r="I293" s="242"/>
      <c r="J293" s="242"/>
      <c r="K293" s="242"/>
      <c r="L293" s="242"/>
      <c r="M293" s="242"/>
      <c r="N293" s="242"/>
      <c r="O293" s="242"/>
      <c r="P293" s="242"/>
      <c r="Q293" s="242"/>
      <c r="R293" s="242"/>
      <c r="S293" s="242"/>
      <c r="T293" s="242"/>
    </row>
    <row r="294" spans="1:20">
      <c r="A294" s="242"/>
      <c r="B294" s="242"/>
      <c r="C294" s="242"/>
      <c r="D294" s="242"/>
      <c r="E294" s="242"/>
      <c r="F294" s="620"/>
      <c r="G294" s="242"/>
      <c r="H294" s="242"/>
      <c r="I294" s="242"/>
      <c r="J294" s="242"/>
      <c r="K294" s="242"/>
      <c r="L294" s="242"/>
      <c r="M294" s="242"/>
      <c r="N294" s="242"/>
      <c r="O294" s="242"/>
      <c r="P294" s="242"/>
      <c r="Q294" s="242"/>
      <c r="R294" s="242"/>
      <c r="S294" s="242"/>
      <c r="T294" s="242"/>
    </row>
    <row r="295" spans="1:20">
      <c r="A295" s="242"/>
      <c r="B295" s="242"/>
      <c r="C295" s="242"/>
      <c r="D295" s="242"/>
      <c r="E295" s="242"/>
      <c r="F295" s="620"/>
      <c r="G295" s="242"/>
      <c r="H295" s="242"/>
      <c r="I295" s="242"/>
      <c r="J295" s="242"/>
      <c r="K295" s="242"/>
      <c r="L295" s="242"/>
      <c r="M295" s="242"/>
      <c r="N295" s="242"/>
      <c r="O295" s="242"/>
      <c r="P295" s="242"/>
      <c r="Q295" s="242"/>
      <c r="R295" s="242"/>
      <c r="S295" s="242"/>
      <c r="T295" s="242"/>
    </row>
    <row r="296" spans="1:20">
      <c r="A296" s="242"/>
      <c r="B296" s="242"/>
      <c r="C296" s="242"/>
      <c r="D296" s="242"/>
      <c r="E296" s="242"/>
      <c r="F296" s="620"/>
      <c r="G296" s="242"/>
      <c r="H296" s="242"/>
      <c r="I296" s="242"/>
      <c r="J296" s="242"/>
      <c r="K296" s="242"/>
      <c r="L296" s="242"/>
      <c r="M296" s="242"/>
      <c r="N296" s="242"/>
      <c r="O296" s="242"/>
      <c r="P296" s="242"/>
      <c r="Q296" s="242"/>
      <c r="R296" s="242"/>
      <c r="S296" s="242"/>
      <c r="T296" s="242"/>
    </row>
    <row r="297" spans="1:20">
      <c r="A297" s="242"/>
      <c r="B297" s="242"/>
      <c r="C297" s="242"/>
      <c r="D297" s="242"/>
      <c r="E297" s="242"/>
      <c r="F297" s="620"/>
      <c r="G297" s="242"/>
      <c r="H297" s="242"/>
      <c r="I297" s="242"/>
      <c r="J297" s="242"/>
      <c r="K297" s="242"/>
      <c r="L297" s="242"/>
      <c r="M297" s="242"/>
      <c r="N297" s="242"/>
      <c r="O297" s="242"/>
      <c r="P297" s="242"/>
      <c r="Q297" s="242"/>
      <c r="R297" s="242"/>
      <c r="S297" s="242"/>
      <c r="T297" s="242"/>
    </row>
    <row r="298" spans="1:20">
      <c r="A298" s="242"/>
      <c r="B298" s="242"/>
      <c r="C298" s="242"/>
      <c r="D298" s="242"/>
      <c r="E298" s="242"/>
      <c r="F298" s="620"/>
      <c r="G298" s="242"/>
      <c r="H298" s="242"/>
      <c r="I298" s="242"/>
      <c r="J298" s="242"/>
      <c r="K298" s="242"/>
      <c r="L298" s="242"/>
      <c r="M298" s="242"/>
      <c r="N298" s="242"/>
      <c r="O298" s="242"/>
      <c r="P298" s="242"/>
      <c r="Q298" s="242"/>
      <c r="R298" s="242"/>
      <c r="S298" s="242"/>
      <c r="T298" s="242"/>
    </row>
    <row r="299" spans="1:20">
      <c r="A299" s="242"/>
      <c r="B299" s="242"/>
      <c r="C299" s="242"/>
      <c r="D299" s="242"/>
      <c r="E299" s="242"/>
      <c r="F299" s="620"/>
      <c r="G299" s="242"/>
      <c r="H299" s="242"/>
      <c r="I299" s="242"/>
      <c r="J299" s="242"/>
      <c r="K299" s="242"/>
      <c r="L299" s="242"/>
      <c r="M299" s="242"/>
      <c r="N299" s="242"/>
      <c r="O299" s="242"/>
      <c r="P299" s="242"/>
      <c r="Q299" s="242"/>
      <c r="R299" s="242"/>
      <c r="S299" s="242"/>
      <c r="T299" s="242"/>
    </row>
    <row r="300" spans="1:20">
      <c r="A300" s="242"/>
      <c r="B300" s="242"/>
      <c r="C300" s="242"/>
      <c r="D300" s="242"/>
      <c r="E300" s="242"/>
      <c r="F300" s="620"/>
      <c r="G300" s="242"/>
      <c r="H300" s="242"/>
      <c r="I300" s="242"/>
      <c r="J300" s="242"/>
      <c r="K300" s="242"/>
      <c r="L300" s="242"/>
      <c r="M300" s="242"/>
      <c r="N300" s="242"/>
      <c r="O300" s="242"/>
      <c r="P300" s="242"/>
      <c r="Q300" s="242"/>
      <c r="R300" s="242"/>
      <c r="S300" s="242"/>
      <c r="T300" s="242"/>
    </row>
    <row r="301" spans="1:20">
      <c r="A301" s="242"/>
      <c r="B301" s="242"/>
      <c r="C301" s="242"/>
      <c r="D301" s="242"/>
      <c r="E301" s="242"/>
      <c r="F301" s="620"/>
      <c r="G301" s="242"/>
      <c r="H301" s="242"/>
      <c r="I301" s="242"/>
      <c r="J301" s="242"/>
      <c r="K301" s="242"/>
      <c r="L301" s="242"/>
      <c r="M301" s="242"/>
      <c r="N301" s="242"/>
      <c r="O301" s="242"/>
      <c r="P301" s="242"/>
      <c r="Q301" s="242"/>
      <c r="R301" s="242"/>
      <c r="S301" s="242"/>
      <c r="T301" s="242"/>
    </row>
    <row r="302" spans="1:20">
      <c r="A302" s="242"/>
      <c r="B302" s="242"/>
      <c r="C302" s="242"/>
      <c r="D302" s="242"/>
      <c r="E302" s="242"/>
      <c r="F302" s="620"/>
      <c r="G302" s="242"/>
      <c r="H302" s="242"/>
      <c r="I302" s="242"/>
      <c r="J302" s="242"/>
      <c r="K302" s="242"/>
      <c r="L302" s="242"/>
      <c r="M302" s="242"/>
      <c r="N302" s="242"/>
      <c r="O302" s="242"/>
      <c r="P302" s="242"/>
      <c r="Q302" s="242"/>
      <c r="R302" s="242"/>
      <c r="S302" s="242"/>
      <c r="T302" s="242"/>
    </row>
    <row r="303" spans="1:20">
      <c r="A303" s="242"/>
      <c r="B303" s="242"/>
      <c r="C303" s="242"/>
      <c r="D303" s="242"/>
      <c r="E303" s="242"/>
      <c r="F303" s="620"/>
      <c r="G303" s="242"/>
      <c r="H303" s="242"/>
      <c r="I303" s="242"/>
      <c r="J303" s="242"/>
      <c r="K303" s="242"/>
      <c r="L303" s="242"/>
      <c r="M303" s="242"/>
      <c r="N303" s="242"/>
      <c r="O303" s="242"/>
      <c r="P303" s="242"/>
      <c r="Q303" s="242"/>
      <c r="R303" s="242"/>
      <c r="S303" s="242"/>
      <c r="T303" s="242"/>
    </row>
    <row r="304" spans="1:20">
      <c r="A304" s="242"/>
      <c r="B304" s="242"/>
      <c r="C304" s="242"/>
      <c r="D304" s="242"/>
      <c r="E304" s="242"/>
      <c r="F304" s="620"/>
      <c r="G304" s="242"/>
      <c r="H304" s="242"/>
      <c r="I304" s="242"/>
      <c r="J304" s="242"/>
      <c r="K304" s="242"/>
      <c r="L304" s="242"/>
      <c r="M304" s="242"/>
      <c r="N304" s="242"/>
      <c r="O304" s="242"/>
      <c r="P304" s="242"/>
      <c r="Q304" s="242"/>
      <c r="R304" s="242"/>
      <c r="S304" s="242"/>
      <c r="T304" s="242"/>
    </row>
    <row r="305" spans="1:20">
      <c r="A305" s="242"/>
      <c r="B305" s="242"/>
      <c r="C305" s="242"/>
      <c r="D305" s="242"/>
      <c r="E305" s="242"/>
      <c r="F305" s="620"/>
      <c r="G305" s="242"/>
      <c r="H305" s="242"/>
      <c r="I305" s="242"/>
      <c r="J305" s="242"/>
      <c r="K305" s="242"/>
      <c r="L305" s="242"/>
      <c r="M305" s="242"/>
      <c r="N305" s="242"/>
      <c r="O305" s="242"/>
      <c r="P305" s="242"/>
      <c r="Q305" s="242"/>
      <c r="R305" s="242"/>
      <c r="S305" s="242"/>
      <c r="T305" s="242"/>
    </row>
    <row r="306" spans="1:20">
      <c r="A306" s="242"/>
      <c r="B306" s="242"/>
      <c r="C306" s="242"/>
      <c r="D306" s="242"/>
      <c r="E306" s="242"/>
      <c r="F306" s="620"/>
      <c r="G306" s="242"/>
      <c r="H306" s="242"/>
      <c r="I306" s="242"/>
      <c r="J306" s="242"/>
      <c r="K306" s="242"/>
      <c r="L306" s="242"/>
      <c r="M306" s="242"/>
      <c r="N306" s="242"/>
      <c r="O306" s="242"/>
      <c r="P306" s="242"/>
      <c r="Q306" s="242"/>
      <c r="R306" s="242"/>
      <c r="S306" s="242"/>
      <c r="T306" s="242"/>
    </row>
    <row r="307" spans="1:20">
      <c r="A307" s="242"/>
      <c r="B307" s="242"/>
      <c r="C307" s="242"/>
      <c r="D307" s="242"/>
      <c r="E307" s="242"/>
      <c r="F307" s="620"/>
      <c r="G307" s="242"/>
      <c r="H307" s="242"/>
      <c r="I307" s="242"/>
      <c r="J307" s="242"/>
      <c r="K307" s="242"/>
      <c r="L307" s="242"/>
      <c r="M307" s="242"/>
      <c r="N307" s="242"/>
      <c r="O307" s="242"/>
      <c r="P307" s="242"/>
      <c r="Q307" s="242"/>
      <c r="R307" s="242"/>
      <c r="S307" s="242"/>
      <c r="T307" s="242"/>
    </row>
    <row r="308" spans="1:20">
      <c r="A308" s="242"/>
      <c r="B308" s="242"/>
      <c r="C308" s="242"/>
      <c r="D308" s="242"/>
      <c r="E308" s="242"/>
      <c r="F308" s="620"/>
      <c r="G308" s="242"/>
      <c r="H308" s="242"/>
      <c r="I308" s="242"/>
      <c r="J308" s="242"/>
      <c r="K308" s="242"/>
      <c r="L308" s="242"/>
      <c r="M308" s="242"/>
      <c r="N308" s="242"/>
      <c r="O308" s="242"/>
      <c r="P308" s="242"/>
      <c r="Q308" s="242"/>
      <c r="R308" s="242"/>
      <c r="S308" s="242"/>
      <c r="T308" s="242"/>
    </row>
    <row r="309" spans="1:20">
      <c r="A309" s="242"/>
      <c r="B309" s="242"/>
      <c r="C309" s="242"/>
      <c r="D309" s="242"/>
      <c r="E309" s="242"/>
      <c r="F309" s="620"/>
      <c r="G309" s="242"/>
      <c r="H309" s="242"/>
      <c r="I309" s="242"/>
      <c r="J309" s="242"/>
      <c r="K309" s="242"/>
      <c r="L309" s="242"/>
      <c r="M309" s="242"/>
      <c r="N309" s="242"/>
      <c r="O309" s="242"/>
      <c r="P309" s="242"/>
      <c r="Q309" s="242"/>
      <c r="R309" s="242"/>
      <c r="S309" s="242"/>
      <c r="T309" s="242"/>
    </row>
    <row r="310" spans="1:20">
      <c r="A310" s="242"/>
      <c r="B310" s="242"/>
      <c r="C310" s="242"/>
      <c r="D310" s="242"/>
      <c r="E310" s="242"/>
      <c r="F310" s="620"/>
      <c r="G310" s="242"/>
      <c r="H310" s="242"/>
      <c r="I310" s="242"/>
      <c r="J310" s="242"/>
      <c r="K310" s="242"/>
      <c r="L310" s="242"/>
      <c r="M310" s="242"/>
      <c r="N310" s="242"/>
      <c r="O310" s="242"/>
      <c r="P310" s="242"/>
      <c r="Q310" s="242"/>
      <c r="R310" s="242"/>
      <c r="S310" s="242"/>
      <c r="T310" s="242"/>
    </row>
    <row r="311" spans="1:20">
      <c r="A311" s="242"/>
      <c r="B311" s="242"/>
      <c r="C311" s="242"/>
      <c r="D311" s="242"/>
      <c r="E311" s="242"/>
      <c r="F311" s="620"/>
      <c r="G311" s="242"/>
      <c r="H311" s="242"/>
      <c r="I311" s="242"/>
      <c r="J311" s="242"/>
      <c r="K311" s="242"/>
      <c r="L311" s="242"/>
      <c r="M311" s="242"/>
      <c r="N311" s="242"/>
      <c r="O311" s="242"/>
      <c r="P311" s="242"/>
      <c r="Q311" s="242"/>
      <c r="R311" s="242"/>
      <c r="S311" s="242"/>
      <c r="T311" s="242"/>
    </row>
    <row r="312" spans="1:20">
      <c r="A312" s="242"/>
      <c r="B312" s="242"/>
      <c r="C312" s="242"/>
      <c r="D312" s="242"/>
      <c r="E312" s="242"/>
      <c r="F312" s="620"/>
      <c r="G312" s="242"/>
      <c r="H312" s="242"/>
      <c r="I312" s="242"/>
      <c r="J312" s="242"/>
      <c r="K312" s="242"/>
      <c r="L312" s="242"/>
      <c r="M312" s="242"/>
      <c r="N312" s="242"/>
      <c r="O312" s="242"/>
      <c r="P312" s="242"/>
      <c r="Q312" s="242"/>
      <c r="R312" s="242"/>
      <c r="S312" s="242"/>
      <c r="T312" s="242"/>
    </row>
    <row r="313" spans="1:20">
      <c r="A313" s="242"/>
      <c r="B313" s="242"/>
      <c r="C313" s="242"/>
      <c r="D313" s="242"/>
      <c r="E313" s="242"/>
      <c r="F313" s="620"/>
      <c r="G313" s="242"/>
      <c r="H313" s="242"/>
      <c r="I313" s="242"/>
      <c r="J313" s="242"/>
      <c r="K313" s="242"/>
      <c r="L313" s="242"/>
      <c r="M313" s="242"/>
      <c r="N313" s="242"/>
      <c r="O313" s="242"/>
      <c r="P313" s="242"/>
      <c r="Q313" s="242"/>
      <c r="R313" s="242"/>
      <c r="S313" s="242"/>
      <c r="T313" s="242"/>
    </row>
    <row r="314" spans="1:20">
      <c r="A314" s="242"/>
      <c r="B314" s="242"/>
      <c r="C314" s="242"/>
      <c r="D314" s="242"/>
      <c r="E314" s="242"/>
      <c r="F314" s="620"/>
      <c r="G314" s="242"/>
      <c r="H314" s="242"/>
      <c r="I314" s="242"/>
      <c r="J314" s="242"/>
      <c r="K314" s="242"/>
      <c r="L314" s="242"/>
      <c r="M314" s="242"/>
      <c r="N314" s="242"/>
      <c r="O314" s="242"/>
      <c r="P314" s="242"/>
      <c r="Q314" s="242"/>
      <c r="R314" s="242"/>
      <c r="S314" s="242"/>
      <c r="T314" s="242"/>
    </row>
    <row r="315" spans="1:20">
      <c r="A315" s="242"/>
      <c r="B315" s="242"/>
      <c r="C315" s="242"/>
      <c r="D315" s="242"/>
      <c r="E315" s="242"/>
      <c r="F315" s="620"/>
      <c r="G315" s="242"/>
      <c r="H315" s="242"/>
      <c r="I315" s="242"/>
      <c r="J315" s="242"/>
      <c r="K315" s="242"/>
      <c r="L315" s="242"/>
      <c r="M315" s="242"/>
      <c r="N315" s="242"/>
      <c r="O315" s="242"/>
      <c r="P315" s="242"/>
      <c r="Q315" s="242"/>
      <c r="R315" s="242"/>
      <c r="S315" s="242"/>
      <c r="T315" s="242"/>
    </row>
    <row r="316" spans="1:20">
      <c r="A316" s="242"/>
      <c r="B316" s="242"/>
      <c r="C316" s="242"/>
      <c r="D316" s="242"/>
      <c r="E316" s="242"/>
      <c r="F316" s="620"/>
      <c r="G316" s="242"/>
      <c r="H316" s="242"/>
      <c r="I316" s="242"/>
      <c r="J316" s="242"/>
      <c r="K316" s="242"/>
      <c r="L316" s="242"/>
      <c r="M316" s="242"/>
      <c r="N316" s="242"/>
      <c r="O316" s="242"/>
      <c r="P316" s="242"/>
      <c r="Q316" s="242"/>
      <c r="R316" s="242"/>
      <c r="S316" s="242"/>
      <c r="T316" s="242"/>
    </row>
    <row r="317" spans="1:20">
      <c r="A317" s="242"/>
      <c r="B317" s="242"/>
      <c r="C317" s="242"/>
      <c r="D317" s="242"/>
      <c r="E317" s="242"/>
      <c r="F317" s="620"/>
      <c r="G317" s="242"/>
      <c r="H317" s="242"/>
      <c r="I317" s="242"/>
      <c r="J317" s="242"/>
      <c r="K317" s="242"/>
      <c r="L317" s="242"/>
      <c r="M317" s="242"/>
      <c r="N317" s="242"/>
      <c r="O317" s="242"/>
      <c r="P317" s="242"/>
      <c r="Q317" s="242"/>
      <c r="R317" s="242"/>
      <c r="S317" s="242"/>
      <c r="T317" s="242"/>
    </row>
    <row r="318" spans="1:20">
      <c r="A318" s="242"/>
      <c r="B318" s="242"/>
      <c r="C318" s="242"/>
      <c r="D318" s="242"/>
      <c r="E318" s="242"/>
      <c r="F318" s="620"/>
      <c r="G318" s="242"/>
      <c r="H318" s="242"/>
      <c r="I318" s="242"/>
      <c r="J318" s="242"/>
      <c r="K318" s="242"/>
      <c r="L318" s="242"/>
      <c r="M318" s="242"/>
      <c r="N318" s="242"/>
      <c r="O318" s="242"/>
      <c r="P318" s="242"/>
      <c r="Q318" s="242"/>
      <c r="R318" s="242"/>
      <c r="S318" s="242"/>
      <c r="T318" s="242"/>
    </row>
    <row r="319" spans="1:20">
      <c r="A319" s="242"/>
      <c r="B319" s="242"/>
      <c r="C319" s="242"/>
      <c r="D319" s="242"/>
      <c r="E319" s="242"/>
      <c r="F319" s="620"/>
      <c r="G319" s="242"/>
      <c r="H319" s="242"/>
      <c r="I319" s="242"/>
      <c r="J319" s="242"/>
      <c r="K319" s="242"/>
      <c r="L319" s="242"/>
      <c r="M319" s="242"/>
      <c r="N319" s="242"/>
      <c r="O319" s="242"/>
      <c r="P319" s="242"/>
      <c r="Q319" s="242"/>
      <c r="R319" s="242"/>
      <c r="S319" s="242"/>
      <c r="T319" s="242"/>
    </row>
    <row r="320" spans="1:20">
      <c r="A320" s="242"/>
      <c r="B320" s="242"/>
      <c r="C320" s="242"/>
      <c r="D320" s="242"/>
      <c r="E320" s="242"/>
      <c r="F320" s="620"/>
      <c r="G320" s="242"/>
      <c r="H320" s="242"/>
      <c r="I320" s="242"/>
      <c r="J320" s="242"/>
      <c r="K320" s="242"/>
      <c r="L320" s="242"/>
      <c r="M320" s="242"/>
      <c r="N320" s="242"/>
      <c r="O320" s="242"/>
      <c r="P320" s="242"/>
      <c r="Q320" s="242"/>
      <c r="R320" s="242"/>
      <c r="S320" s="242"/>
      <c r="T320" s="242"/>
    </row>
    <row r="321" spans="1:20">
      <c r="A321" s="242"/>
      <c r="B321" s="242"/>
      <c r="C321" s="242"/>
      <c r="D321" s="242"/>
      <c r="E321" s="242"/>
      <c r="F321" s="620"/>
      <c r="G321" s="242"/>
      <c r="H321" s="242"/>
      <c r="I321" s="242"/>
      <c r="J321" s="242"/>
      <c r="K321" s="242"/>
      <c r="L321" s="242"/>
      <c r="M321" s="242"/>
      <c r="N321" s="242"/>
      <c r="O321" s="242"/>
      <c r="P321" s="242"/>
      <c r="Q321" s="242"/>
      <c r="R321" s="242"/>
      <c r="S321" s="242"/>
      <c r="T321" s="242"/>
    </row>
    <row r="322" spans="1:20">
      <c r="A322" s="242"/>
      <c r="B322" s="242"/>
      <c r="C322" s="242"/>
      <c r="D322" s="242"/>
      <c r="E322" s="242"/>
      <c r="F322" s="620"/>
      <c r="G322" s="242"/>
      <c r="H322" s="242"/>
      <c r="I322" s="242"/>
      <c r="J322" s="242"/>
      <c r="K322" s="242"/>
      <c r="L322" s="242"/>
      <c r="M322" s="242"/>
      <c r="N322" s="242"/>
      <c r="O322" s="242"/>
      <c r="P322" s="242"/>
      <c r="Q322" s="242"/>
      <c r="R322" s="242"/>
      <c r="S322" s="242"/>
      <c r="T322" s="242"/>
    </row>
    <row r="323" spans="1:20">
      <c r="A323" s="242"/>
      <c r="B323" s="242"/>
      <c r="C323" s="242"/>
      <c r="D323" s="242"/>
      <c r="E323" s="242"/>
      <c r="F323" s="620"/>
      <c r="G323" s="242"/>
      <c r="H323" s="242"/>
      <c r="I323" s="242"/>
      <c r="J323" s="242"/>
      <c r="K323" s="242"/>
      <c r="L323" s="242"/>
      <c r="M323" s="242"/>
      <c r="N323" s="242"/>
      <c r="O323" s="242"/>
      <c r="P323" s="242"/>
      <c r="Q323" s="242"/>
      <c r="R323" s="242"/>
      <c r="S323" s="242"/>
      <c r="T323" s="242"/>
    </row>
    <row r="324" spans="1:20">
      <c r="A324" s="242"/>
      <c r="B324" s="242"/>
      <c r="C324" s="242"/>
      <c r="D324" s="242"/>
      <c r="E324" s="242"/>
      <c r="F324" s="620"/>
      <c r="G324" s="242"/>
      <c r="H324" s="242"/>
      <c r="I324" s="242"/>
      <c r="J324" s="242"/>
      <c r="K324" s="242"/>
      <c r="L324" s="242"/>
      <c r="M324" s="242"/>
      <c r="N324" s="242"/>
      <c r="O324" s="242"/>
      <c r="P324" s="242"/>
      <c r="Q324" s="242"/>
      <c r="R324" s="242"/>
      <c r="S324" s="242"/>
      <c r="T324" s="242"/>
    </row>
    <row r="325" spans="1:20">
      <c r="A325" s="242"/>
      <c r="B325" s="242"/>
      <c r="C325" s="242"/>
      <c r="D325" s="242"/>
      <c r="E325" s="242"/>
      <c r="F325" s="620"/>
      <c r="G325" s="242"/>
      <c r="H325" s="242"/>
      <c r="I325" s="242"/>
      <c r="J325" s="242"/>
      <c r="K325" s="242"/>
      <c r="L325" s="242"/>
      <c r="M325" s="242"/>
      <c r="N325" s="242"/>
      <c r="O325" s="242"/>
      <c r="P325" s="242"/>
      <c r="Q325" s="242"/>
      <c r="R325" s="242"/>
      <c r="S325" s="242"/>
      <c r="T325" s="242"/>
    </row>
    <row r="326" spans="1:20">
      <c r="A326" s="242"/>
      <c r="B326" s="242"/>
      <c r="C326" s="242"/>
      <c r="D326" s="242"/>
      <c r="E326" s="242"/>
      <c r="F326" s="620"/>
      <c r="G326" s="242"/>
      <c r="H326" s="242"/>
      <c r="I326" s="242"/>
      <c r="J326" s="242"/>
      <c r="K326" s="242"/>
      <c r="L326" s="242"/>
      <c r="M326" s="242"/>
      <c r="N326" s="242"/>
      <c r="O326" s="242"/>
      <c r="P326" s="242"/>
      <c r="Q326" s="242"/>
      <c r="R326" s="242"/>
      <c r="S326" s="242"/>
      <c r="T326" s="242"/>
    </row>
    <row r="327" spans="1:20">
      <c r="A327" s="242"/>
      <c r="B327" s="242"/>
      <c r="C327" s="242"/>
      <c r="D327" s="242"/>
      <c r="E327" s="242"/>
      <c r="F327" s="620"/>
      <c r="G327" s="242"/>
      <c r="H327" s="242"/>
      <c r="I327" s="242"/>
      <c r="J327" s="242"/>
      <c r="K327" s="242"/>
      <c r="L327" s="242"/>
      <c r="M327" s="242"/>
      <c r="N327" s="242"/>
      <c r="O327" s="242"/>
      <c r="P327" s="242"/>
      <c r="Q327" s="242"/>
      <c r="R327" s="242"/>
      <c r="S327" s="242"/>
      <c r="T327" s="242"/>
    </row>
    <row r="328" spans="1:20">
      <c r="A328" s="242"/>
      <c r="B328" s="242"/>
      <c r="C328" s="242"/>
      <c r="D328" s="242"/>
      <c r="E328" s="242"/>
      <c r="F328" s="620"/>
      <c r="G328" s="242"/>
      <c r="H328" s="242"/>
      <c r="I328" s="242"/>
      <c r="J328" s="242"/>
      <c r="K328" s="242"/>
      <c r="L328" s="242"/>
      <c r="M328" s="242"/>
      <c r="N328" s="242"/>
      <c r="O328" s="242"/>
      <c r="P328" s="242"/>
      <c r="Q328" s="242"/>
      <c r="R328" s="242"/>
      <c r="S328" s="242"/>
      <c r="T328" s="242"/>
    </row>
    <row r="329" spans="1:20">
      <c r="A329" s="242"/>
      <c r="B329" s="242"/>
      <c r="C329" s="242"/>
      <c r="D329" s="242"/>
      <c r="E329" s="242"/>
      <c r="F329" s="620"/>
      <c r="G329" s="242"/>
      <c r="H329" s="242"/>
      <c r="I329" s="242"/>
      <c r="J329" s="242"/>
      <c r="K329" s="242"/>
      <c r="L329" s="242"/>
      <c r="M329" s="242"/>
      <c r="N329" s="242"/>
      <c r="O329" s="242"/>
      <c r="P329" s="242"/>
      <c r="Q329" s="242"/>
      <c r="R329" s="242"/>
      <c r="S329" s="242"/>
      <c r="T329" s="242"/>
    </row>
    <row r="330" spans="1:20">
      <c r="A330" s="242"/>
      <c r="B330" s="242"/>
      <c r="C330" s="242"/>
      <c r="D330" s="242"/>
      <c r="E330" s="242"/>
      <c r="F330" s="620"/>
      <c r="G330" s="242"/>
      <c r="H330" s="242"/>
      <c r="I330" s="242"/>
      <c r="J330" s="242"/>
      <c r="K330" s="242"/>
      <c r="L330" s="242"/>
      <c r="M330" s="242"/>
      <c r="N330" s="242"/>
      <c r="O330" s="242"/>
      <c r="P330" s="242"/>
      <c r="Q330" s="242"/>
      <c r="R330" s="242"/>
      <c r="S330" s="242"/>
      <c r="T330" s="242"/>
    </row>
    <row r="331" spans="1:20">
      <c r="A331" s="242"/>
      <c r="B331" s="242"/>
      <c r="C331" s="242"/>
      <c r="D331" s="242"/>
      <c r="E331" s="242"/>
      <c r="F331" s="620"/>
      <c r="G331" s="242"/>
      <c r="H331" s="242"/>
      <c r="I331" s="242"/>
      <c r="J331" s="242"/>
      <c r="K331" s="242"/>
      <c r="L331" s="242"/>
      <c r="M331" s="242"/>
      <c r="N331" s="242"/>
      <c r="O331" s="242"/>
      <c r="P331" s="242"/>
      <c r="Q331" s="242"/>
      <c r="R331" s="242"/>
      <c r="S331" s="242"/>
      <c r="T331" s="242"/>
    </row>
    <row r="332" spans="1:20">
      <c r="A332" s="242"/>
      <c r="B332" s="242"/>
      <c r="C332" s="242"/>
      <c r="D332" s="242"/>
      <c r="E332" s="242"/>
      <c r="F332" s="620"/>
      <c r="G332" s="242"/>
      <c r="H332" s="242"/>
      <c r="I332" s="242"/>
      <c r="J332" s="242"/>
      <c r="K332" s="242"/>
      <c r="L332" s="242"/>
      <c r="M332" s="242"/>
      <c r="N332" s="242"/>
      <c r="O332" s="242"/>
      <c r="P332" s="242"/>
      <c r="Q332" s="242"/>
      <c r="R332" s="242"/>
      <c r="S332" s="242"/>
      <c r="T332" s="242"/>
    </row>
    <row r="333" spans="1:20">
      <c r="A333" s="242"/>
      <c r="B333" s="242"/>
      <c r="C333" s="242"/>
      <c r="D333" s="242"/>
      <c r="E333" s="242"/>
      <c r="F333" s="620"/>
      <c r="G333" s="242"/>
      <c r="H333" s="242"/>
      <c r="I333" s="242"/>
      <c r="J333" s="242"/>
      <c r="K333" s="242"/>
      <c r="L333" s="242"/>
      <c r="M333" s="242"/>
      <c r="N333" s="242"/>
      <c r="O333" s="242"/>
      <c r="P333" s="242"/>
      <c r="Q333" s="242"/>
      <c r="R333" s="242"/>
      <c r="S333" s="242"/>
      <c r="T333" s="242"/>
    </row>
    <row r="334" spans="1:20">
      <c r="A334" s="242"/>
      <c r="B334" s="242"/>
      <c r="C334" s="242"/>
      <c r="D334" s="242"/>
      <c r="E334" s="242"/>
      <c r="F334" s="620"/>
      <c r="G334" s="242"/>
      <c r="H334" s="242"/>
      <c r="I334" s="242"/>
      <c r="J334" s="242"/>
      <c r="K334" s="242"/>
      <c r="L334" s="242"/>
      <c r="M334" s="242"/>
      <c r="N334" s="242"/>
      <c r="O334" s="242"/>
      <c r="P334" s="242"/>
      <c r="Q334" s="242"/>
      <c r="R334" s="242"/>
      <c r="S334" s="242"/>
      <c r="T334" s="242"/>
    </row>
    <row r="335" spans="1:20">
      <c r="A335" s="242"/>
      <c r="B335" s="242"/>
      <c r="C335" s="242"/>
      <c r="D335" s="242"/>
      <c r="E335" s="242"/>
      <c r="F335" s="620"/>
      <c r="G335" s="242"/>
      <c r="H335" s="242"/>
      <c r="I335" s="242"/>
      <c r="J335" s="242"/>
      <c r="K335" s="242"/>
      <c r="L335" s="242"/>
      <c r="M335" s="242"/>
      <c r="N335" s="242"/>
      <c r="O335" s="242"/>
      <c r="P335" s="242"/>
      <c r="Q335" s="242"/>
      <c r="R335" s="242"/>
      <c r="S335" s="242"/>
      <c r="T335" s="242"/>
    </row>
    <row r="336" spans="1:20">
      <c r="A336" s="242"/>
      <c r="B336" s="242"/>
      <c r="C336" s="242"/>
      <c r="D336" s="242"/>
      <c r="E336" s="242"/>
      <c r="F336" s="620"/>
      <c r="G336" s="242"/>
      <c r="H336" s="242"/>
      <c r="I336" s="242"/>
      <c r="J336" s="242"/>
      <c r="K336" s="242"/>
      <c r="L336" s="242"/>
      <c r="M336" s="242"/>
      <c r="N336" s="242"/>
      <c r="O336" s="242"/>
      <c r="P336" s="242"/>
      <c r="Q336" s="242"/>
      <c r="R336" s="242"/>
      <c r="S336" s="242"/>
      <c r="T336" s="242"/>
    </row>
    <row r="337" spans="1:20">
      <c r="A337" s="242"/>
      <c r="B337" s="242"/>
      <c r="C337" s="242"/>
      <c r="D337" s="242"/>
      <c r="E337" s="242"/>
      <c r="F337" s="620"/>
      <c r="G337" s="242"/>
      <c r="H337" s="242"/>
      <c r="I337" s="242"/>
      <c r="J337" s="242"/>
      <c r="K337" s="242"/>
      <c r="L337" s="242"/>
      <c r="M337" s="242"/>
      <c r="N337" s="242"/>
      <c r="O337" s="242"/>
      <c r="P337" s="242"/>
      <c r="Q337" s="242"/>
      <c r="R337" s="242"/>
      <c r="S337" s="242"/>
      <c r="T337" s="242"/>
    </row>
    <row r="338" spans="1:20">
      <c r="A338" s="242"/>
      <c r="B338" s="242"/>
      <c r="C338" s="242"/>
      <c r="D338" s="242"/>
      <c r="E338" s="242"/>
      <c r="F338" s="620"/>
      <c r="G338" s="242"/>
      <c r="H338" s="242"/>
      <c r="I338" s="242"/>
      <c r="J338" s="242"/>
      <c r="K338" s="242"/>
      <c r="L338" s="242"/>
      <c r="M338" s="242"/>
      <c r="N338" s="242"/>
      <c r="O338" s="242"/>
      <c r="P338" s="242"/>
      <c r="Q338" s="242"/>
      <c r="R338" s="242"/>
      <c r="S338" s="242"/>
      <c r="T338" s="242"/>
    </row>
    <row r="339" spans="1:20">
      <c r="A339" s="242"/>
      <c r="B339" s="242"/>
      <c r="C339" s="242"/>
      <c r="D339" s="242"/>
      <c r="E339" s="242"/>
      <c r="F339" s="620"/>
      <c r="G339" s="242"/>
      <c r="H339" s="242"/>
      <c r="I339" s="242"/>
      <c r="J339" s="242"/>
      <c r="K339" s="242"/>
      <c r="L339" s="242"/>
      <c r="M339" s="242"/>
      <c r="N339" s="242"/>
      <c r="O339" s="242"/>
      <c r="P339" s="242"/>
      <c r="Q339" s="242"/>
      <c r="R339" s="242"/>
      <c r="S339" s="242"/>
      <c r="T339" s="242"/>
    </row>
    <row r="340" spans="1:20">
      <c r="A340" s="242"/>
      <c r="B340" s="242"/>
      <c r="C340" s="242"/>
      <c r="D340" s="242"/>
      <c r="E340" s="242"/>
      <c r="F340" s="620"/>
      <c r="G340" s="242"/>
      <c r="H340" s="242"/>
      <c r="I340" s="242"/>
      <c r="J340" s="242"/>
      <c r="K340" s="242"/>
      <c r="L340" s="242"/>
      <c r="M340" s="242"/>
      <c r="N340" s="242"/>
      <c r="O340" s="242"/>
      <c r="P340" s="242"/>
      <c r="Q340" s="242"/>
      <c r="R340" s="242"/>
      <c r="S340" s="242"/>
      <c r="T340" s="242"/>
    </row>
    <row r="341" spans="1:20">
      <c r="A341" s="242"/>
      <c r="B341" s="242"/>
      <c r="C341" s="242"/>
      <c r="D341" s="242"/>
      <c r="E341" s="242"/>
      <c r="F341" s="620"/>
      <c r="G341" s="242"/>
      <c r="H341" s="242"/>
      <c r="I341" s="242"/>
      <c r="J341" s="242"/>
      <c r="K341" s="242"/>
      <c r="L341" s="242"/>
      <c r="M341" s="242"/>
      <c r="N341" s="242"/>
      <c r="O341" s="242"/>
      <c r="P341" s="242"/>
      <c r="Q341" s="242"/>
      <c r="R341" s="242"/>
      <c r="S341" s="242"/>
      <c r="T341" s="242"/>
    </row>
    <row r="342" spans="1:20">
      <c r="A342" s="242"/>
      <c r="B342" s="242"/>
      <c r="C342" s="242"/>
      <c r="D342" s="242"/>
      <c r="E342" s="242"/>
      <c r="F342" s="620"/>
      <c r="G342" s="242"/>
      <c r="H342" s="242"/>
      <c r="I342" s="242"/>
      <c r="J342" s="242"/>
      <c r="K342" s="242"/>
      <c r="L342" s="242"/>
      <c r="M342" s="242"/>
      <c r="N342" s="242"/>
      <c r="O342" s="242"/>
      <c r="P342" s="242"/>
      <c r="Q342" s="242"/>
      <c r="R342" s="242"/>
      <c r="S342" s="242"/>
      <c r="T342" s="242"/>
    </row>
    <row r="343" spans="1:20">
      <c r="A343" s="242"/>
      <c r="B343" s="242"/>
      <c r="C343" s="242"/>
      <c r="D343" s="242"/>
      <c r="E343" s="242"/>
      <c r="F343" s="620"/>
      <c r="G343" s="242"/>
      <c r="H343" s="242"/>
      <c r="I343" s="242"/>
      <c r="J343" s="242"/>
      <c r="K343" s="242"/>
      <c r="L343" s="242"/>
      <c r="M343" s="242"/>
      <c r="N343" s="242"/>
      <c r="O343" s="242"/>
      <c r="P343" s="242"/>
      <c r="Q343" s="242"/>
      <c r="R343" s="242"/>
      <c r="S343" s="242"/>
      <c r="T343" s="242"/>
    </row>
    <row r="344" spans="1:20">
      <c r="A344" s="242"/>
      <c r="B344" s="242"/>
      <c r="C344" s="242"/>
      <c r="D344" s="242"/>
      <c r="E344" s="242"/>
      <c r="F344" s="620"/>
      <c r="G344" s="242"/>
      <c r="H344" s="242"/>
      <c r="I344" s="242"/>
      <c r="J344" s="242"/>
      <c r="K344" s="242"/>
      <c r="L344" s="242"/>
      <c r="M344" s="242"/>
      <c r="N344" s="242"/>
      <c r="O344" s="242"/>
      <c r="P344" s="242"/>
      <c r="Q344" s="242"/>
      <c r="R344" s="242"/>
      <c r="S344" s="242"/>
      <c r="T344" s="242"/>
    </row>
    <row r="345" spans="1:20">
      <c r="A345" s="242"/>
      <c r="B345" s="242"/>
      <c r="C345" s="242"/>
      <c r="D345" s="242"/>
      <c r="E345" s="242"/>
      <c r="F345" s="620"/>
      <c r="G345" s="242"/>
      <c r="H345" s="242"/>
      <c r="I345" s="242"/>
      <c r="J345" s="242"/>
      <c r="K345" s="242"/>
      <c r="L345" s="242"/>
      <c r="M345" s="242"/>
      <c r="N345" s="242"/>
      <c r="O345" s="242"/>
      <c r="P345" s="242"/>
      <c r="Q345" s="242"/>
      <c r="R345" s="242"/>
      <c r="S345" s="242"/>
      <c r="T345" s="242"/>
    </row>
    <row r="346" spans="1:20">
      <c r="A346" s="242"/>
      <c r="B346" s="242"/>
      <c r="C346" s="242"/>
      <c r="D346" s="242"/>
      <c r="E346" s="242"/>
      <c r="F346" s="620"/>
      <c r="G346" s="242"/>
      <c r="H346" s="242"/>
      <c r="I346" s="242"/>
      <c r="J346" s="242"/>
      <c r="K346" s="242"/>
      <c r="L346" s="242"/>
      <c r="M346" s="242"/>
      <c r="N346" s="242"/>
      <c r="O346" s="242"/>
      <c r="P346" s="242"/>
      <c r="Q346" s="242"/>
      <c r="R346" s="242"/>
      <c r="S346" s="242"/>
      <c r="T346" s="242"/>
    </row>
    <row r="347" spans="1:20">
      <c r="A347" s="242"/>
      <c r="B347" s="242"/>
      <c r="C347" s="242"/>
      <c r="D347" s="242"/>
      <c r="E347" s="242"/>
      <c r="F347" s="620"/>
      <c r="G347" s="242"/>
      <c r="H347" s="242"/>
      <c r="I347" s="242"/>
      <c r="J347" s="242"/>
      <c r="K347" s="242"/>
      <c r="L347" s="242"/>
      <c r="M347" s="242"/>
      <c r="N347" s="242"/>
      <c r="O347" s="242"/>
      <c r="P347" s="242"/>
      <c r="Q347" s="242"/>
      <c r="R347" s="242"/>
      <c r="S347" s="242"/>
      <c r="T347" s="242"/>
    </row>
    <row r="348" spans="1:20">
      <c r="A348" s="242"/>
      <c r="B348" s="242"/>
      <c r="C348" s="242"/>
      <c r="D348" s="242"/>
      <c r="E348" s="242"/>
      <c r="F348" s="620"/>
      <c r="G348" s="242"/>
      <c r="H348" s="242"/>
      <c r="I348" s="242"/>
      <c r="J348" s="242"/>
      <c r="K348" s="242"/>
      <c r="L348" s="242"/>
      <c r="M348" s="242"/>
      <c r="N348" s="242"/>
      <c r="O348" s="242"/>
      <c r="P348" s="242"/>
      <c r="Q348" s="242"/>
      <c r="R348" s="242"/>
      <c r="S348" s="242"/>
      <c r="T348" s="242"/>
    </row>
    <row r="349" spans="1:20">
      <c r="A349" s="242"/>
      <c r="B349" s="242"/>
      <c r="C349" s="242"/>
      <c r="D349" s="242"/>
      <c r="E349" s="242"/>
      <c r="F349" s="620"/>
      <c r="G349" s="242"/>
      <c r="H349" s="242"/>
      <c r="I349" s="242"/>
      <c r="J349" s="242"/>
      <c r="K349" s="242"/>
      <c r="L349" s="242"/>
      <c r="M349" s="242"/>
      <c r="N349" s="242"/>
      <c r="O349" s="242"/>
      <c r="P349" s="242"/>
      <c r="Q349" s="242"/>
      <c r="R349" s="242"/>
      <c r="S349" s="242"/>
      <c r="T349" s="242"/>
    </row>
    <row r="350" spans="1:20">
      <c r="A350" s="242"/>
      <c r="B350" s="242"/>
      <c r="C350" s="242"/>
      <c r="D350" s="242"/>
      <c r="E350" s="242"/>
      <c r="F350" s="620"/>
      <c r="G350" s="242"/>
      <c r="H350" s="242"/>
      <c r="I350" s="242"/>
      <c r="J350" s="242"/>
      <c r="K350" s="242"/>
      <c r="L350" s="242"/>
      <c r="M350" s="242"/>
      <c r="N350" s="242"/>
      <c r="O350" s="242"/>
      <c r="P350" s="242"/>
      <c r="Q350" s="242"/>
      <c r="R350" s="242"/>
      <c r="S350" s="242"/>
      <c r="T350" s="242"/>
    </row>
    <row r="351" spans="1:20">
      <c r="A351" s="242"/>
      <c r="B351" s="242"/>
      <c r="C351" s="242"/>
      <c r="D351" s="242"/>
      <c r="E351" s="242"/>
      <c r="F351" s="620"/>
      <c r="G351" s="242"/>
      <c r="H351" s="242"/>
      <c r="I351" s="242"/>
      <c r="J351" s="242"/>
      <c r="K351" s="242"/>
      <c r="L351" s="242"/>
      <c r="M351" s="242"/>
      <c r="N351" s="242"/>
      <c r="O351" s="242"/>
      <c r="P351" s="242"/>
      <c r="Q351" s="242"/>
      <c r="R351" s="242"/>
      <c r="S351" s="242"/>
      <c r="T351" s="242"/>
    </row>
    <row r="352" spans="1:20">
      <c r="A352" s="242"/>
      <c r="B352" s="242"/>
      <c r="C352" s="242"/>
      <c r="D352" s="242"/>
      <c r="E352" s="242"/>
      <c r="F352" s="620"/>
      <c r="G352" s="242"/>
      <c r="H352" s="242"/>
      <c r="I352" s="242"/>
      <c r="J352" s="242"/>
      <c r="K352" s="242"/>
      <c r="L352" s="242"/>
      <c r="M352" s="242"/>
      <c r="N352" s="242"/>
      <c r="O352" s="242"/>
      <c r="P352" s="242"/>
      <c r="Q352" s="242"/>
      <c r="R352" s="242"/>
      <c r="S352" s="242"/>
      <c r="T352" s="242"/>
    </row>
    <row r="353" spans="1:20">
      <c r="A353" s="242"/>
      <c r="B353" s="242"/>
      <c r="C353" s="242"/>
      <c r="D353" s="242"/>
      <c r="E353" s="242"/>
      <c r="F353" s="620"/>
      <c r="G353" s="242"/>
      <c r="H353" s="242"/>
      <c r="I353" s="242"/>
      <c r="J353" s="242"/>
      <c r="K353" s="242"/>
      <c r="L353" s="242"/>
      <c r="M353" s="242"/>
      <c r="N353" s="242"/>
      <c r="O353" s="242"/>
      <c r="P353" s="242"/>
      <c r="Q353" s="242"/>
      <c r="R353" s="242"/>
      <c r="S353" s="242"/>
      <c r="T353" s="242"/>
    </row>
    <row r="354" spans="1:20">
      <c r="A354" s="242"/>
      <c r="B354" s="242"/>
      <c r="C354" s="242"/>
      <c r="D354" s="242"/>
      <c r="E354" s="242"/>
      <c r="F354" s="620"/>
      <c r="G354" s="242"/>
      <c r="H354" s="242"/>
      <c r="I354" s="242"/>
      <c r="J354" s="242"/>
      <c r="K354" s="242"/>
      <c r="L354" s="242"/>
      <c r="M354" s="242"/>
      <c r="N354" s="242"/>
      <c r="O354" s="242"/>
      <c r="P354" s="242"/>
      <c r="Q354" s="242"/>
      <c r="R354" s="242"/>
      <c r="S354" s="242"/>
      <c r="T354" s="242"/>
    </row>
    <row r="355" spans="1:20">
      <c r="A355" s="242"/>
      <c r="B355" s="242"/>
      <c r="C355" s="242"/>
      <c r="D355" s="242"/>
      <c r="E355" s="242"/>
      <c r="F355" s="620"/>
      <c r="G355" s="242"/>
      <c r="H355" s="242"/>
      <c r="I355" s="242"/>
      <c r="J355" s="242"/>
      <c r="K355" s="242"/>
      <c r="L355" s="242"/>
      <c r="M355" s="242"/>
      <c r="N355" s="242"/>
      <c r="O355" s="242"/>
      <c r="P355" s="242"/>
      <c r="Q355" s="242"/>
      <c r="R355" s="242"/>
      <c r="S355" s="242"/>
      <c r="T355" s="242"/>
    </row>
    <row r="356" spans="1:20">
      <c r="A356" s="242"/>
      <c r="B356" s="242"/>
      <c r="C356" s="242"/>
      <c r="D356" s="242"/>
      <c r="E356" s="242"/>
      <c r="F356" s="620"/>
      <c r="G356" s="242"/>
      <c r="H356" s="242"/>
      <c r="I356" s="242"/>
      <c r="J356" s="242"/>
      <c r="K356" s="242"/>
      <c r="L356" s="242"/>
      <c r="M356" s="242"/>
      <c r="N356" s="242"/>
      <c r="O356" s="242"/>
      <c r="P356" s="242"/>
      <c r="Q356" s="242"/>
      <c r="R356" s="242"/>
      <c r="S356" s="242"/>
      <c r="T356" s="242"/>
    </row>
    <row r="357" spans="1:20">
      <c r="A357" s="242"/>
      <c r="B357" s="242"/>
      <c r="C357" s="242"/>
      <c r="D357" s="242"/>
      <c r="E357" s="242"/>
      <c r="F357" s="620"/>
      <c r="G357" s="242"/>
      <c r="H357" s="242"/>
      <c r="I357" s="242"/>
      <c r="J357" s="242"/>
      <c r="K357" s="242"/>
      <c r="L357" s="242"/>
      <c r="M357" s="242"/>
      <c r="N357" s="242"/>
      <c r="O357" s="242"/>
      <c r="P357" s="242"/>
      <c r="Q357" s="242"/>
      <c r="R357" s="242"/>
      <c r="S357" s="242"/>
      <c r="T357" s="242"/>
    </row>
    <row r="358" spans="1:20">
      <c r="A358" s="242"/>
      <c r="B358" s="242"/>
      <c r="C358" s="242"/>
      <c r="D358" s="242"/>
      <c r="E358" s="242"/>
      <c r="F358" s="620"/>
      <c r="G358" s="242"/>
      <c r="H358" s="242"/>
      <c r="I358" s="242"/>
      <c r="J358" s="242"/>
      <c r="K358" s="242"/>
      <c r="L358" s="242"/>
      <c r="M358" s="242"/>
      <c r="N358" s="242"/>
      <c r="O358" s="242"/>
      <c r="P358" s="242"/>
      <c r="Q358" s="242"/>
      <c r="R358" s="242"/>
      <c r="S358" s="242"/>
      <c r="T358" s="242"/>
    </row>
    <row r="359" spans="1:20">
      <c r="A359" s="242"/>
      <c r="B359" s="242"/>
      <c r="C359" s="242"/>
      <c r="D359" s="242"/>
      <c r="E359" s="242"/>
      <c r="F359" s="620"/>
      <c r="G359" s="242"/>
      <c r="H359" s="242"/>
      <c r="I359" s="242"/>
      <c r="J359" s="242"/>
      <c r="K359" s="242"/>
      <c r="L359" s="242"/>
      <c r="M359" s="242"/>
      <c r="N359" s="242"/>
      <c r="O359" s="242"/>
      <c r="P359" s="242"/>
      <c r="Q359" s="242"/>
      <c r="R359" s="242"/>
      <c r="S359" s="242"/>
      <c r="T359" s="242"/>
    </row>
    <row r="360" spans="1:20">
      <c r="A360" s="242"/>
      <c r="B360" s="242"/>
      <c r="C360" s="242"/>
      <c r="D360" s="242"/>
      <c r="E360" s="242"/>
      <c r="F360" s="620"/>
      <c r="G360" s="242"/>
      <c r="H360" s="242"/>
      <c r="I360" s="242"/>
      <c r="J360" s="242"/>
      <c r="K360" s="242"/>
      <c r="L360" s="242"/>
      <c r="M360" s="242"/>
      <c r="N360" s="242"/>
      <c r="O360" s="242"/>
      <c r="P360" s="242"/>
      <c r="Q360" s="242"/>
      <c r="R360" s="242"/>
      <c r="S360" s="242"/>
      <c r="T360" s="242"/>
    </row>
    <row r="361" spans="1:20">
      <c r="A361" s="242"/>
      <c r="B361" s="242"/>
      <c r="C361" s="242"/>
      <c r="D361" s="242"/>
      <c r="E361" s="242"/>
      <c r="F361" s="620"/>
      <c r="G361" s="242"/>
      <c r="H361" s="242"/>
      <c r="I361" s="242"/>
      <c r="J361" s="242"/>
      <c r="K361" s="242"/>
      <c r="L361" s="242"/>
      <c r="M361" s="242"/>
      <c r="N361" s="242"/>
      <c r="O361" s="242"/>
      <c r="P361" s="242"/>
      <c r="Q361" s="242"/>
      <c r="R361" s="242"/>
      <c r="S361" s="242"/>
      <c r="T361" s="242"/>
    </row>
    <row r="362" spans="1:20">
      <c r="A362" s="242"/>
      <c r="B362" s="242"/>
      <c r="C362" s="242"/>
      <c r="D362" s="242"/>
      <c r="E362" s="242"/>
      <c r="F362" s="620"/>
      <c r="G362" s="242"/>
      <c r="H362" s="242"/>
      <c r="I362" s="242"/>
      <c r="J362" s="242"/>
      <c r="K362" s="242"/>
      <c r="L362" s="242"/>
      <c r="M362" s="242"/>
      <c r="N362" s="242"/>
      <c r="O362" s="242"/>
      <c r="P362" s="242"/>
      <c r="Q362" s="242"/>
      <c r="R362" s="242"/>
      <c r="S362" s="242"/>
      <c r="T362" s="242"/>
    </row>
    <row r="363" spans="1:20">
      <c r="A363" s="242"/>
      <c r="B363" s="242"/>
      <c r="C363" s="242"/>
      <c r="D363" s="242"/>
      <c r="E363" s="242"/>
      <c r="F363" s="620"/>
      <c r="G363" s="242"/>
      <c r="H363" s="242"/>
      <c r="I363" s="242"/>
      <c r="J363" s="242"/>
      <c r="K363" s="242"/>
      <c r="L363" s="242"/>
      <c r="M363" s="242"/>
      <c r="N363" s="242"/>
      <c r="O363" s="242"/>
      <c r="P363" s="242"/>
      <c r="Q363" s="242"/>
      <c r="R363" s="242"/>
      <c r="S363" s="242"/>
      <c r="T363" s="242"/>
    </row>
    <row r="364" spans="1:20">
      <c r="A364" s="242"/>
      <c r="B364" s="242"/>
      <c r="C364" s="242"/>
      <c r="D364" s="242"/>
      <c r="E364" s="242"/>
      <c r="F364" s="620"/>
      <c r="G364" s="242"/>
      <c r="H364" s="242"/>
      <c r="I364" s="242"/>
      <c r="J364" s="242"/>
      <c r="K364" s="242"/>
      <c r="L364" s="242"/>
      <c r="M364" s="242"/>
      <c r="N364" s="242"/>
      <c r="O364" s="242"/>
      <c r="P364" s="242"/>
      <c r="Q364" s="242"/>
      <c r="R364" s="242"/>
      <c r="S364" s="242"/>
      <c r="T364" s="242"/>
    </row>
    <row r="365" spans="1:20">
      <c r="A365" s="242"/>
      <c r="B365" s="242"/>
      <c r="C365" s="242"/>
      <c r="D365" s="242"/>
      <c r="E365" s="242"/>
      <c r="F365" s="620"/>
      <c r="G365" s="242"/>
      <c r="H365" s="242"/>
      <c r="I365" s="242"/>
      <c r="J365" s="242"/>
      <c r="K365" s="242"/>
      <c r="L365" s="242"/>
      <c r="M365" s="242"/>
      <c r="N365" s="242"/>
      <c r="O365" s="242"/>
      <c r="P365" s="242"/>
      <c r="Q365" s="242"/>
      <c r="R365" s="242"/>
      <c r="S365" s="242"/>
      <c r="T365" s="242"/>
    </row>
    <row r="366" spans="1:20">
      <c r="A366" s="242"/>
      <c r="B366" s="242"/>
      <c r="C366" s="242"/>
      <c r="D366" s="242"/>
      <c r="E366" s="242"/>
      <c r="F366" s="620"/>
      <c r="G366" s="242"/>
      <c r="H366" s="242"/>
      <c r="I366" s="242"/>
      <c r="J366" s="242"/>
      <c r="K366" s="242"/>
      <c r="L366" s="242"/>
      <c r="M366" s="242"/>
      <c r="N366" s="242"/>
      <c r="O366" s="242"/>
      <c r="P366" s="242"/>
      <c r="Q366" s="242"/>
      <c r="R366" s="242"/>
      <c r="S366" s="242"/>
      <c r="T366" s="242"/>
    </row>
    <row r="367" spans="1:20">
      <c r="A367" s="242"/>
      <c r="B367" s="242"/>
      <c r="C367" s="242"/>
      <c r="D367" s="242"/>
      <c r="E367" s="242"/>
      <c r="F367" s="620"/>
      <c r="G367" s="242"/>
      <c r="H367" s="242"/>
      <c r="I367" s="242"/>
      <c r="J367" s="242"/>
      <c r="K367" s="242"/>
      <c r="L367" s="242"/>
      <c r="M367" s="242"/>
      <c r="N367" s="242"/>
      <c r="O367" s="242"/>
      <c r="P367" s="242"/>
      <c r="Q367" s="242"/>
      <c r="R367" s="242"/>
      <c r="S367" s="242"/>
      <c r="T367" s="242"/>
    </row>
    <row r="368" spans="1:20">
      <c r="A368" s="242"/>
      <c r="B368" s="242"/>
      <c r="C368" s="242"/>
      <c r="D368" s="242"/>
      <c r="E368" s="242"/>
      <c r="F368" s="620"/>
      <c r="G368" s="242"/>
      <c r="H368" s="242"/>
      <c r="I368" s="242"/>
      <c r="J368" s="242"/>
      <c r="K368" s="242"/>
      <c r="L368" s="242"/>
      <c r="M368" s="242"/>
      <c r="N368" s="242"/>
      <c r="O368" s="242"/>
      <c r="P368" s="242"/>
      <c r="Q368" s="242"/>
      <c r="R368" s="242"/>
      <c r="S368" s="242"/>
      <c r="T368" s="242"/>
    </row>
    <row r="369" spans="1:20">
      <c r="A369" s="242"/>
      <c r="B369" s="242"/>
      <c r="C369" s="242"/>
      <c r="D369" s="242"/>
      <c r="E369" s="242"/>
      <c r="F369" s="620"/>
      <c r="G369" s="242"/>
      <c r="H369" s="242"/>
      <c r="I369" s="242"/>
      <c r="J369" s="242"/>
      <c r="K369" s="242"/>
      <c r="L369" s="242"/>
      <c r="M369" s="242"/>
      <c r="N369" s="242"/>
      <c r="O369" s="242"/>
      <c r="P369" s="242"/>
      <c r="Q369" s="242"/>
      <c r="R369" s="242"/>
      <c r="S369" s="242"/>
      <c r="T369" s="242"/>
    </row>
    <row r="370" spans="1:20">
      <c r="A370" s="242"/>
      <c r="B370" s="242"/>
      <c r="C370" s="242"/>
      <c r="D370" s="242"/>
      <c r="E370" s="242"/>
      <c r="F370" s="620"/>
      <c r="G370" s="242"/>
      <c r="H370" s="242"/>
      <c r="I370" s="242"/>
      <c r="J370" s="242"/>
      <c r="K370" s="242"/>
      <c r="L370" s="242"/>
      <c r="M370" s="242"/>
      <c r="N370" s="242"/>
      <c r="O370" s="242"/>
      <c r="P370" s="242"/>
      <c r="Q370" s="242"/>
      <c r="R370" s="242"/>
      <c r="S370" s="242"/>
      <c r="T370" s="242"/>
    </row>
    <row r="371" spans="1:20">
      <c r="A371" s="242"/>
      <c r="B371" s="242"/>
      <c r="C371" s="242"/>
      <c r="D371" s="242"/>
      <c r="E371" s="242"/>
      <c r="F371" s="620"/>
      <c r="G371" s="242"/>
      <c r="H371" s="242"/>
      <c r="I371" s="242"/>
      <c r="J371" s="242"/>
      <c r="K371" s="242"/>
      <c r="L371" s="242"/>
      <c r="M371" s="242"/>
      <c r="N371" s="242"/>
      <c r="O371" s="242"/>
      <c r="P371" s="242"/>
      <c r="Q371" s="242"/>
      <c r="R371" s="242"/>
      <c r="S371" s="242"/>
      <c r="T371" s="242"/>
    </row>
    <row r="372" spans="1:20">
      <c r="A372" s="242"/>
      <c r="B372" s="242"/>
      <c r="C372" s="242"/>
      <c r="D372" s="242"/>
      <c r="E372" s="242"/>
      <c r="F372" s="620"/>
      <c r="G372" s="242"/>
      <c r="H372" s="242"/>
      <c r="I372" s="242"/>
      <c r="J372" s="242"/>
      <c r="K372" s="242"/>
      <c r="L372" s="242"/>
      <c r="M372" s="242"/>
      <c r="N372" s="242"/>
      <c r="O372" s="242"/>
      <c r="P372" s="242"/>
      <c r="Q372" s="242"/>
      <c r="R372" s="242"/>
      <c r="S372" s="242"/>
      <c r="T372" s="242"/>
    </row>
    <row r="373" spans="1:20">
      <c r="A373" s="242"/>
      <c r="B373" s="242"/>
      <c r="C373" s="242"/>
      <c r="D373" s="242"/>
      <c r="E373" s="242"/>
      <c r="F373" s="620"/>
      <c r="G373" s="242"/>
      <c r="H373" s="242"/>
      <c r="I373" s="242"/>
      <c r="J373" s="242"/>
      <c r="K373" s="242"/>
      <c r="L373" s="242"/>
      <c r="M373" s="242"/>
      <c r="N373" s="242"/>
      <c r="O373" s="242"/>
      <c r="P373" s="242"/>
      <c r="Q373" s="242"/>
      <c r="R373" s="242"/>
      <c r="S373" s="242"/>
      <c r="T373" s="242"/>
    </row>
    <row r="374" spans="1:20">
      <c r="A374" s="242"/>
      <c r="B374" s="242"/>
      <c r="C374" s="242"/>
      <c r="D374" s="242"/>
      <c r="E374" s="242"/>
      <c r="F374" s="620"/>
      <c r="G374" s="242"/>
      <c r="H374" s="242"/>
      <c r="I374" s="242"/>
      <c r="J374" s="242"/>
      <c r="K374" s="242"/>
      <c r="L374" s="242"/>
      <c r="M374" s="242"/>
      <c r="N374" s="242"/>
      <c r="O374" s="242"/>
      <c r="P374" s="242"/>
      <c r="Q374" s="242"/>
      <c r="R374" s="242"/>
      <c r="S374" s="242"/>
      <c r="T374" s="242"/>
    </row>
  </sheetData>
  <mergeCells count="41">
    <mergeCell ref="K25:K26"/>
    <mergeCell ref="D32:F32"/>
    <mergeCell ref="H25:H26"/>
    <mergeCell ref="J25:J26"/>
    <mergeCell ref="A25:F26"/>
    <mergeCell ref="G25:G26"/>
    <mergeCell ref="A28:D29"/>
    <mergeCell ref="E28:F28"/>
    <mergeCell ref="E29:F29"/>
    <mergeCell ref="B30:L30"/>
    <mergeCell ref="B22:L22"/>
    <mergeCell ref="H5:H6"/>
    <mergeCell ref="K5:K6"/>
    <mergeCell ref="B14:C15"/>
    <mergeCell ref="D13:D15"/>
    <mergeCell ref="D19:D21"/>
    <mergeCell ref="E19:E21"/>
    <mergeCell ref="D7:D9"/>
    <mergeCell ref="E7:E9"/>
    <mergeCell ref="D5:D6"/>
    <mergeCell ref="E5:E6"/>
    <mergeCell ref="G5:G6"/>
    <mergeCell ref="F5:F6"/>
    <mergeCell ref="J5:J6"/>
    <mergeCell ref="B19:C19"/>
    <mergeCell ref="B16:C16"/>
    <mergeCell ref="A7:A12"/>
    <mergeCell ref="A13:A21"/>
    <mergeCell ref="A5:C6"/>
    <mergeCell ref="E13:E15"/>
    <mergeCell ref="B13:C13"/>
    <mergeCell ref="B20:C21"/>
    <mergeCell ref="B17:C18"/>
    <mergeCell ref="D16:D18"/>
    <mergeCell ref="E16:E18"/>
    <mergeCell ref="B3:E3"/>
    <mergeCell ref="B7:C7"/>
    <mergeCell ref="B8:C9"/>
    <mergeCell ref="E10:E12"/>
    <mergeCell ref="D10:D12"/>
    <mergeCell ref="B10:C12"/>
  </mergeCells>
  <conditionalFormatting sqref="G25:G27 J25:L27 H25:I28">
    <cfRule type="cellIs" dxfId="145" priority="19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54" firstPageNumber="37" orientation="landscape" useFirstPageNumber="1" r:id="rId1"/>
  <headerFooter>
    <oddFooter>&amp;L&amp;P&amp;R&amp;G</oddFooter>
  </headerFooter>
  <colBreaks count="1" manualBreakCount="1">
    <brk id="20" min="1" max="74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92D050"/>
  </sheetPr>
  <dimension ref="A1:AP386"/>
  <sheetViews>
    <sheetView view="pageBreakPreview" zoomScale="80" zoomScaleNormal="100" zoomScaleSheetLayoutView="80" zoomScalePageLayoutView="85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B1" sqref="B1"/>
    </sheetView>
  </sheetViews>
  <sheetFormatPr defaultColWidth="8.85546875" defaultRowHeight="15"/>
  <cols>
    <col min="1" max="1" width="4.7109375" style="589" customWidth="1"/>
    <col min="2" max="5" width="11.7109375" style="589" customWidth="1"/>
    <col min="6" max="6" width="11.7109375" style="2" customWidth="1"/>
    <col min="7" max="9" width="22" style="589" customWidth="1"/>
    <col min="10" max="10" width="11.5703125" style="589" customWidth="1"/>
    <col min="11" max="23" width="12.28515625" style="589" customWidth="1"/>
    <col min="24" max="25" width="12.28515625" style="359" customWidth="1"/>
    <col min="26" max="16384" width="8.85546875" style="589"/>
  </cols>
  <sheetData>
    <row r="1" spans="1:42" s="3133" customFormat="1" ht="18" customHeight="1">
      <c r="B1" s="2311" t="s">
        <v>490</v>
      </c>
      <c r="C1" s="2283"/>
      <c r="D1" s="2280"/>
      <c r="E1" s="2280"/>
      <c r="F1" s="2281"/>
      <c r="G1" s="2280"/>
      <c r="H1" s="2280"/>
      <c r="I1" s="2280"/>
      <c r="J1" s="2280"/>
      <c r="K1" s="2280"/>
      <c r="L1" s="2280"/>
      <c r="M1" s="2280"/>
      <c r="N1" s="2280"/>
      <c r="O1" s="2280"/>
      <c r="P1" s="2280"/>
      <c r="Q1" s="2284"/>
      <c r="R1" s="2284"/>
      <c r="S1" s="2284"/>
      <c r="T1" s="2284"/>
      <c r="U1" s="2284"/>
      <c r="V1" s="2284"/>
      <c r="W1" s="2284"/>
      <c r="X1" s="2284"/>
      <c r="Y1" s="2284"/>
      <c r="Z1" s="2284"/>
      <c r="AA1" s="2284"/>
      <c r="AB1" s="2284"/>
      <c r="AC1" s="2284"/>
      <c r="AD1" s="2284"/>
      <c r="AE1" s="2284"/>
      <c r="AF1" s="2284"/>
      <c r="AG1" s="2284"/>
      <c r="AH1" s="2284"/>
      <c r="AI1" s="2284"/>
      <c r="AJ1" s="2284"/>
      <c r="AK1" s="2284"/>
      <c r="AL1" s="2284"/>
      <c r="AM1" s="2284"/>
      <c r="AN1" s="2284"/>
      <c r="AO1" s="2284"/>
      <c r="AP1" s="2284"/>
    </row>
    <row r="3" spans="1:42" ht="90" customHeight="1">
      <c r="A3" s="7"/>
      <c r="B3" s="4397" t="s">
        <v>310</v>
      </c>
      <c r="C3" s="4398"/>
      <c r="D3" s="4398"/>
      <c r="E3" s="4399"/>
      <c r="F3" s="8"/>
      <c r="G3" s="7"/>
      <c r="H3" s="7"/>
      <c r="I3" s="7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  <c r="AK3" s="242"/>
      <c r="AL3" s="242"/>
    </row>
    <row r="4" spans="1:42" ht="15" customHeight="1">
      <c r="A4" s="3133"/>
      <c r="B4" s="19" t="s">
        <v>59</v>
      </c>
      <c r="C4" s="19"/>
      <c r="D4" s="3133"/>
      <c r="E4" s="3133"/>
      <c r="F4" s="6"/>
      <c r="G4" s="15"/>
      <c r="H4" s="15"/>
      <c r="I4" s="15"/>
      <c r="J4" s="15"/>
      <c r="K4" s="15"/>
      <c r="L4" s="15"/>
      <c r="M4" s="15"/>
      <c r="N4" s="15"/>
      <c r="O4" s="15"/>
      <c r="P4" s="15"/>
      <c r="Q4" s="625"/>
      <c r="R4" s="625"/>
      <c r="S4" s="625"/>
      <c r="T4" s="625"/>
      <c r="U4" s="625"/>
      <c r="V4" s="625"/>
      <c r="W4" s="625"/>
      <c r="X4" s="625"/>
      <c r="Y4" s="625"/>
      <c r="Z4" s="625"/>
      <c r="AA4" s="625"/>
      <c r="AB4" s="625"/>
      <c r="AC4" s="625"/>
      <c r="AD4" s="625"/>
      <c r="AE4" s="625"/>
      <c r="AF4" s="625"/>
      <c r="AG4" s="625"/>
      <c r="AH4" s="625"/>
      <c r="AI4" s="625"/>
      <c r="AJ4" s="625"/>
      <c r="AK4" s="625"/>
      <c r="AL4" s="625"/>
      <c r="AM4" s="625"/>
      <c r="AN4" s="625"/>
      <c r="AO4" s="625"/>
      <c r="AP4" s="625"/>
    </row>
    <row r="5" spans="1:42" ht="18.75" customHeight="1">
      <c r="A5" s="4220" t="s">
        <v>2</v>
      </c>
      <c r="B5" s="4221"/>
      <c r="C5" s="4222"/>
      <c r="D5" s="4201" t="s">
        <v>42</v>
      </c>
      <c r="E5" s="4201" t="s">
        <v>41</v>
      </c>
      <c r="F5" s="4201" t="s">
        <v>8</v>
      </c>
      <c r="G5" s="4418" t="s">
        <v>2859</v>
      </c>
      <c r="H5" s="4419" t="s">
        <v>2956</v>
      </c>
      <c r="I5" s="4418" t="s">
        <v>3510</v>
      </c>
      <c r="J5" s="1051"/>
      <c r="K5" s="1051"/>
      <c r="L5" s="1051"/>
      <c r="M5" s="625"/>
      <c r="N5" s="625"/>
      <c r="O5" s="625"/>
      <c r="P5" s="625"/>
      <c r="Q5" s="625"/>
      <c r="R5" s="625"/>
      <c r="S5" s="625"/>
      <c r="T5" s="625"/>
      <c r="U5" s="625"/>
      <c r="V5" s="625"/>
      <c r="W5" s="625"/>
      <c r="X5" s="625"/>
      <c r="Y5" s="625"/>
      <c r="Z5" s="625"/>
      <c r="AA5" s="625"/>
      <c r="AB5" s="625"/>
      <c r="AC5" s="625"/>
      <c r="AD5" s="625"/>
      <c r="AE5" s="625"/>
      <c r="AF5" s="625"/>
      <c r="AG5" s="625"/>
      <c r="AH5" s="625"/>
      <c r="AI5" s="625"/>
      <c r="AJ5" s="625"/>
      <c r="AK5" s="625"/>
      <c r="AL5" s="625"/>
    </row>
    <row r="6" spans="1:42" ht="18.75">
      <c r="A6" s="4223"/>
      <c r="B6" s="4224"/>
      <c r="C6" s="4225"/>
      <c r="D6" s="4412"/>
      <c r="E6" s="4412"/>
      <c r="F6" s="4412"/>
      <c r="G6" s="4418"/>
      <c r="H6" s="4419"/>
      <c r="I6" s="4418"/>
      <c r="J6" s="1051"/>
      <c r="K6" s="1051"/>
      <c r="L6" s="1051"/>
      <c r="M6" s="625"/>
      <c r="N6" s="625"/>
      <c r="O6" s="625"/>
      <c r="P6" s="625"/>
      <c r="Q6" s="625"/>
      <c r="R6" s="625"/>
      <c r="S6" s="625"/>
      <c r="T6" s="625"/>
      <c r="U6" s="625"/>
      <c r="V6" s="625"/>
      <c r="W6" s="625"/>
      <c r="X6" s="625"/>
      <c r="Y6" s="625"/>
      <c r="Z6" s="625"/>
      <c r="AA6" s="625"/>
      <c r="AB6" s="625"/>
      <c r="AC6" s="625"/>
      <c r="AD6" s="625"/>
      <c r="AE6" s="625"/>
      <c r="AF6" s="625"/>
      <c r="AG6" s="625"/>
      <c r="AH6" s="625"/>
      <c r="AI6" s="625"/>
      <c r="AJ6" s="625"/>
      <c r="AK6" s="625"/>
      <c r="AL6" s="625"/>
    </row>
    <row r="7" spans="1:42" s="3133" customFormat="1" ht="24" customHeight="1">
      <c r="A7" s="4420" t="s">
        <v>30</v>
      </c>
      <c r="B7" s="4209" t="s">
        <v>284</v>
      </c>
      <c r="C7" s="4210"/>
      <c r="D7" s="4203" t="s">
        <v>35</v>
      </c>
      <c r="E7" s="4203" t="s">
        <v>34</v>
      </c>
      <c r="F7" s="132" t="s">
        <v>0</v>
      </c>
      <c r="G7" s="3125">
        <f>CEILING('Полотна база'!AY54*(1+скидки_наценки!$B$30)*скидки_наценки!$D$13*скидки_наценки!$F$13/скидки_наценки!$B$4, 50)</f>
        <v>35450</v>
      </c>
      <c r="H7" s="3248">
        <f>CEILING('Полотна база'!BA54*(1+скидки_наценки!$B$30)*скидки_наценки!$D$15*скидки_наценки!$F$15/скидки_наценки!$B$4, 50)</f>
        <v>53300</v>
      </c>
      <c r="I7" s="4035">
        <f>CEILING('Полотна база'!AY54*(1+скидки_наценки!$B$30)*скидки_наценки!$D$13*скидки_наценки!$F$13/скидки_наценки!$B$4, 50)</f>
        <v>35450</v>
      </c>
      <c r="J7" s="1058"/>
      <c r="K7" s="441"/>
      <c r="L7" s="1052"/>
      <c r="M7" s="625"/>
      <c r="N7" s="625"/>
      <c r="O7" s="625"/>
      <c r="P7" s="625"/>
      <c r="Q7" s="625"/>
      <c r="R7" s="625"/>
      <c r="S7" s="625"/>
      <c r="T7" s="625"/>
      <c r="U7" s="625"/>
      <c r="V7" s="625"/>
      <c r="W7" s="625"/>
      <c r="X7" s="625"/>
      <c r="Y7" s="625"/>
      <c r="Z7" s="625"/>
      <c r="AA7" s="625"/>
      <c r="AB7" s="625"/>
      <c r="AC7" s="625"/>
      <c r="AD7" s="625"/>
      <c r="AE7" s="625"/>
      <c r="AF7" s="625"/>
      <c r="AG7" s="625"/>
      <c r="AH7" s="625"/>
      <c r="AI7" s="625"/>
      <c r="AJ7" s="625"/>
      <c r="AK7" s="625"/>
      <c r="AL7" s="625"/>
    </row>
    <row r="8" spans="1:42" s="3133" customFormat="1" ht="15" customHeight="1">
      <c r="A8" s="4420"/>
      <c r="B8" s="4226"/>
      <c r="C8" s="4227"/>
      <c r="D8" s="4204"/>
      <c r="E8" s="4204"/>
      <c r="F8" s="307" t="s">
        <v>306</v>
      </c>
      <c r="G8" s="3126">
        <f>IF(G7=0,0,(Погонаж!$C$13*2.5+Погонаж!$E$13*5))</f>
        <v>12375</v>
      </c>
      <c r="H8" s="3249">
        <f>IF(H7=0,0,(Погонаж!$C$13*2.5+Погонаж!$E$13*5))</f>
        <v>12375</v>
      </c>
      <c r="I8" s="4036">
        <f>IF(I7=0,0,(Погонаж!$C$13*2.5+Погонаж!$E$13*5))</f>
        <v>12375</v>
      </c>
      <c r="J8" s="1056"/>
      <c r="K8" s="441"/>
      <c r="L8" s="1053"/>
      <c r="M8" s="625"/>
      <c r="N8" s="625"/>
      <c r="O8" s="625"/>
      <c r="P8" s="625"/>
      <c r="Q8" s="625"/>
      <c r="R8" s="625"/>
      <c r="S8" s="625"/>
      <c r="T8" s="625"/>
      <c r="U8" s="625"/>
      <c r="V8" s="625"/>
      <c r="W8" s="625"/>
      <c r="X8" s="625"/>
      <c r="Y8" s="625"/>
      <c r="Z8" s="625"/>
      <c r="AA8" s="625"/>
      <c r="AB8" s="625"/>
      <c r="AC8" s="625"/>
      <c r="AD8" s="625"/>
      <c r="AE8" s="625"/>
      <c r="AF8" s="625"/>
      <c r="AG8" s="625"/>
      <c r="AH8" s="625"/>
      <c r="AI8" s="625"/>
      <c r="AJ8" s="625"/>
      <c r="AK8" s="625"/>
      <c r="AL8" s="625"/>
    </row>
    <row r="9" spans="1:42" s="3133" customFormat="1" ht="23.25" customHeight="1">
      <c r="A9" s="4420"/>
      <c r="B9" s="4228"/>
      <c r="C9" s="4229"/>
      <c r="D9" s="4205"/>
      <c r="E9" s="4205"/>
      <c r="F9" s="30" t="s">
        <v>1</v>
      </c>
      <c r="G9" s="2406">
        <f>G7+G8</f>
        <v>47825</v>
      </c>
      <c r="H9" s="3250">
        <f>H7+H8</f>
        <v>65675</v>
      </c>
      <c r="I9" s="2406">
        <f>I7+I8</f>
        <v>47825</v>
      </c>
      <c r="J9" s="1059"/>
      <c r="K9" s="441"/>
      <c r="L9" s="1054"/>
      <c r="M9" s="625"/>
      <c r="N9" s="625"/>
      <c r="O9" s="625"/>
      <c r="P9" s="625"/>
      <c r="Q9" s="625"/>
      <c r="R9" s="625"/>
      <c r="S9" s="625"/>
      <c r="T9" s="625"/>
      <c r="U9" s="625"/>
      <c r="V9" s="625"/>
      <c r="W9" s="625"/>
      <c r="X9" s="625"/>
      <c r="Y9" s="625"/>
      <c r="Z9" s="625"/>
      <c r="AA9" s="625"/>
      <c r="AB9" s="625"/>
      <c r="AC9" s="625"/>
      <c r="AD9" s="625"/>
      <c r="AE9" s="625"/>
      <c r="AF9" s="625"/>
      <c r="AG9" s="625"/>
      <c r="AH9" s="625"/>
      <c r="AI9" s="625"/>
      <c r="AJ9" s="625"/>
      <c r="AK9" s="625"/>
      <c r="AL9" s="625"/>
    </row>
    <row r="10" spans="1:42" s="3133" customFormat="1" ht="24" hidden="1" customHeight="1">
      <c r="A10" s="4420"/>
      <c r="B10" s="4401" t="s">
        <v>2797</v>
      </c>
      <c r="C10" s="4402"/>
      <c r="D10" s="4400" t="s">
        <v>35</v>
      </c>
      <c r="E10" s="4400" t="s">
        <v>34</v>
      </c>
      <c r="F10" s="3121" t="s">
        <v>0</v>
      </c>
      <c r="G10" s="2575" t="s">
        <v>2612</v>
      </c>
      <c r="H10" s="3251" t="s">
        <v>4</v>
      </c>
      <c r="I10" s="2575" t="s">
        <v>2612</v>
      </c>
      <c r="J10" s="1052"/>
      <c r="K10" s="1055"/>
      <c r="L10" s="1055"/>
      <c r="M10" s="625"/>
      <c r="N10" s="625"/>
      <c r="O10" s="625"/>
      <c r="P10" s="625"/>
      <c r="Q10" s="625"/>
      <c r="R10" s="625"/>
      <c r="S10" s="625"/>
      <c r="T10" s="625"/>
      <c r="U10" s="625"/>
      <c r="V10" s="625"/>
      <c r="W10" s="625"/>
      <c r="X10" s="625"/>
      <c r="Y10" s="625"/>
      <c r="Z10" s="625"/>
      <c r="AA10" s="625"/>
      <c r="AB10" s="625"/>
      <c r="AC10" s="625"/>
      <c r="AD10" s="625"/>
      <c r="AE10" s="625"/>
      <c r="AF10" s="625"/>
      <c r="AG10" s="625"/>
      <c r="AH10" s="625"/>
      <c r="AI10" s="625"/>
      <c r="AJ10" s="625"/>
      <c r="AK10" s="625"/>
      <c r="AL10" s="625"/>
    </row>
    <row r="11" spans="1:42" s="3133" customFormat="1" ht="15" hidden="1" customHeight="1">
      <c r="A11" s="4420"/>
      <c r="B11" s="4403"/>
      <c r="C11" s="4404"/>
      <c r="D11" s="4400"/>
      <c r="E11" s="4400"/>
      <c r="F11" s="3121" t="s">
        <v>306</v>
      </c>
      <c r="G11" s="3122" t="s">
        <v>2612</v>
      </c>
      <c r="H11" s="2410" t="s">
        <v>4</v>
      </c>
      <c r="I11" s="4033" t="s">
        <v>2612</v>
      </c>
      <c r="J11" s="1053"/>
      <c r="K11" s="1056"/>
      <c r="L11" s="1056"/>
      <c r="M11" s="625"/>
      <c r="N11" s="625"/>
      <c r="O11" s="625"/>
      <c r="P11" s="625"/>
      <c r="Q11" s="625"/>
      <c r="R11" s="625"/>
      <c r="S11" s="625"/>
      <c r="T11" s="625"/>
      <c r="U11" s="625"/>
      <c r="V11" s="625"/>
      <c r="W11" s="625"/>
      <c r="X11" s="625"/>
      <c r="Y11" s="625"/>
      <c r="Z11" s="625"/>
      <c r="AA11" s="625"/>
      <c r="AB11" s="625"/>
      <c r="AC11" s="625"/>
      <c r="AD11" s="625"/>
      <c r="AE11" s="625"/>
      <c r="AF11" s="625"/>
      <c r="AG11" s="625"/>
      <c r="AH11" s="625"/>
      <c r="AI11" s="625"/>
      <c r="AJ11" s="625"/>
      <c r="AK11" s="625"/>
      <c r="AL11" s="625"/>
    </row>
    <row r="12" spans="1:42" s="3133" customFormat="1" ht="24" hidden="1" customHeight="1">
      <c r="A12" s="4420"/>
      <c r="B12" s="4405"/>
      <c r="C12" s="4406"/>
      <c r="D12" s="4400"/>
      <c r="E12" s="4400"/>
      <c r="F12" s="3130" t="s">
        <v>1</v>
      </c>
      <c r="G12" s="2407" t="s">
        <v>2612</v>
      </c>
      <c r="H12" s="3252" t="s">
        <v>4</v>
      </c>
      <c r="I12" s="2407" t="s">
        <v>2612</v>
      </c>
      <c r="J12" s="1054"/>
      <c r="K12" s="1057"/>
      <c r="L12" s="1057"/>
      <c r="M12" s="625"/>
      <c r="N12" s="625"/>
      <c r="O12" s="625"/>
      <c r="P12" s="625"/>
      <c r="Q12" s="625"/>
      <c r="R12" s="625"/>
      <c r="S12" s="625"/>
      <c r="T12" s="625"/>
      <c r="U12" s="625"/>
      <c r="V12" s="625"/>
      <c r="W12" s="625"/>
      <c r="X12" s="625"/>
      <c r="Y12" s="625"/>
      <c r="Z12" s="625"/>
      <c r="AA12" s="625"/>
      <c r="AB12" s="625"/>
      <c r="AC12" s="625"/>
      <c r="AD12" s="625"/>
      <c r="AE12" s="625"/>
      <c r="AF12" s="625"/>
      <c r="AG12" s="625"/>
      <c r="AH12" s="625"/>
      <c r="AI12" s="625"/>
      <c r="AJ12" s="625"/>
      <c r="AK12" s="625"/>
      <c r="AL12" s="625"/>
    </row>
    <row r="13" spans="1:42" s="9" customFormat="1" ht="24" hidden="1" customHeight="1">
      <c r="A13" s="4421" t="s">
        <v>26</v>
      </c>
      <c r="B13" s="4209" t="s">
        <v>2579</v>
      </c>
      <c r="C13" s="4210"/>
      <c r="D13" s="4249" t="s">
        <v>35</v>
      </c>
      <c r="E13" s="4249" t="s">
        <v>34</v>
      </c>
      <c r="F13" s="3131" t="s">
        <v>0</v>
      </c>
      <c r="G13" s="2574" t="s">
        <v>2612</v>
      </c>
      <c r="H13" s="3248" t="s">
        <v>4</v>
      </c>
      <c r="I13" s="2574" t="s">
        <v>2612</v>
      </c>
      <c r="J13" s="1052"/>
      <c r="K13" s="1055"/>
      <c r="L13" s="1055"/>
      <c r="M13" s="625"/>
      <c r="N13" s="625"/>
      <c r="O13" s="625"/>
      <c r="P13" s="625"/>
      <c r="Q13" s="625"/>
      <c r="R13" s="625"/>
      <c r="S13" s="625"/>
      <c r="T13" s="625"/>
      <c r="U13" s="625"/>
      <c r="V13" s="625"/>
      <c r="W13" s="625"/>
      <c r="X13" s="625"/>
      <c r="Y13" s="625"/>
      <c r="Z13" s="625"/>
      <c r="AA13" s="625"/>
      <c r="AB13" s="625"/>
      <c r="AC13" s="625"/>
      <c r="AD13" s="625"/>
      <c r="AE13" s="625"/>
      <c r="AF13" s="625"/>
      <c r="AG13" s="625"/>
      <c r="AH13" s="625"/>
      <c r="AI13" s="625"/>
      <c r="AJ13" s="625"/>
      <c r="AK13" s="625"/>
      <c r="AL13" s="625"/>
    </row>
    <row r="14" spans="1:42" s="9" customFormat="1" ht="15" hidden="1" customHeight="1">
      <c r="A14" s="4421"/>
      <c r="B14" s="4226"/>
      <c r="C14" s="4227"/>
      <c r="D14" s="4249"/>
      <c r="E14" s="4249"/>
      <c r="F14" s="3131" t="s">
        <v>306</v>
      </c>
      <c r="G14" s="3126" t="s">
        <v>2612</v>
      </c>
      <c r="H14" s="3249" t="s">
        <v>4</v>
      </c>
      <c r="I14" s="4036" t="s">
        <v>2612</v>
      </c>
      <c r="J14" s="1053"/>
      <c r="K14" s="1056"/>
      <c r="L14" s="1056"/>
      <c r="M14" s="625"/>
      <c r="N14" s="625"/>
      <c r="O14" s="625"/>
      <c r="P14" s="625"/>
      <c r="Q14" s="625"/>
      <c r="R14" s="625"/>
      <c r="S14" s="625"/>
      <c r="T14" s="625"/>
      <c r="U14" s="625"/>
      <c r="V14" s="625"/>
      <c r="W14" s="625"/>
      <c r="X14" s="625"/>
      <c r="Y14" s="625"/>
      <c r="Z14" s="625"/>
      <c r="AA14" s="625"/>
      <c r="AB14" s="625"/>
      <c r="AC14" s="625"/>
      <c r="AD14" s="625"/>
      <c r="AE14" s="625"/>
      <c r="AF14" s="625"/>
      <c r="AG14" s="625"/>
      <c r="AH14" s="625"/>
      <c r="AI14" s="625"/>
      <c r="AJ14" s="625"/>
      <c r="AK14" s="625"/>
      <c r="AL14" s="625"/>
    </row>
    <row r="15" spans="1:42" s="9" customFormat="1" ht="24" hidden="1" customHeight="1">
      <c r="A15" s="4421"/>
      <c r="B15" s="4228"/>
      <c r="C15" s="4229"/>
      <c r="D15" s="4249"/>
      <c r="E15" s="4249"/>
      <c r="F15" s="3132" t="s">
        <v>1</v>
      </c>
      <c r="G15" s="2406" t="s">
        <v>2616</v>
      </c>
      <c r="H15" s="3250" t="s">
        <v>4</v>
      </c>
      <c r="I15" s="2406" t="s">
        <v>2616</v>
      </c>
      <c r="J15" s="1054"/>
      <c r="K15" s="1057"/>
      <c r="L15" s="1057"/>
      <c r="M15" s="625"/>
      <c r="N15" s="625"/>
      <c r="O15" s="625"/>
      <c r="P15" s="625"/>
      <c r="Q15" s="625"/>
      <c r="R15" s="625"/>
      <c r="S15" s="625"/>
      <c r="T15" s="625"/>
      <c r="U15" s="625"/>
      <c r="V15" s="625"/>
      <c r="W15" s="625"/>
      <c r="X15" s="625"/>
      <c r="Y15" s="625"/>
      <c r="Z15" s="625"/>
      <c r="AA15" s="625"/>
      <c r="AB15" s="625"/>
      <c r="AC15" s="625"/>
      <c r="AD15" s="625"/>
      <c r="AE15" s="625"/>
      <c r="AF15" s="625"/>
      <c r="AG15" s="625"/>
      <c r="AH15" s="625"/>
      <c r="AI15" s="625"/>
      <c r="AJ15" s="625"/>
      <c r="AK15" s="625"/>
      <c r="AL15" s="625"/>
    </row>
    <row r="16" spans="1:42" s="3133" customFormat="1" ht="24" hidden="1" customHeight="1">
      <c r="A16" s="4421"/>
      <c r="B16" s="4401" t="s">
        <v>2798</v>
      </c>
      <c r="C16" s="4402"/>
      <c r="D16" s="4400" t="s">
        <v>35</v>
      </c>
      <c r="E16" s="4400" t="s">
        <v>34</v>
      </c>
      <c r="F16" s="3121" t="s">
        <v>0</v>
      </c>
      <c r="G16" s="2575" t="s">
        <v>2612</v>
      </c>
      <c r="H16" s="3251" t="s">
        <v>4</v>
      </c>
      <c r="I16" s="2575" t="s">
        <v>2612</v>
      </c>
      <c r="J16" s="1052"/>
      <c r="K16" s="1055"/>
      <c r="L16" s="1055"/>
      <c r="M16" s="625"/>
      <c r="N16" s="625"/>
      <c r="O16" s="625"/>
      <c r="P16" s="625"/>
      <c r="Q16" s="625"/>
      <c r="R16" s="625"/>
      <c r="S16" s="625"/>
      <c r="T16" s="625"/>
      <c r="U16" s="625"/>
      <c r="V16" s="625"/>
      <c r="W16" s="625"/>
      <c r="X16" s="625"/>
      <c r="Y16" s="625"/>
      <c r="Z16" s="625"/>
      <c r="AA16" s="625"/>
      <c r="AB16" s="625"/>
      <c r="AC16" s="625"/>
      <c r="AD16" s="625"/>
      <c r="AE16" s="625"/>
      <c r="AF16" s="625"/>
      <c r="AG16" s="625"/>
      <c r="AH16" s="625"/>
      <c r="AI16" s="625"/>
      <c r="AJ16" s="625"/>
      <c r="AK16" s="625"/>
      <c r="AL16" s="625"/>
    </row>
    <row r="17" spans="1:38" s="3133" customFormat="1" ht="15" hidden="1" customHeight="1">
      <c r="A17" s="4421"/>
      <c r="B17" s="4403"/>
      <c r="C17" s="4404"/>
      <c r="D17" s="4400"/>
      <c r="E17" s="4400"/>
      <c r="F17" s="3121" t="s">
        <v>306</v>
      </c>
      <c r="G17" s="3122" t="s">
        <v>2612</v>
      </c>
      <c r="H17" s="2410" t="s">
        <v>4</v>
      </c>
      <c r="I17" s="4033" t="s">
        <v>2612</v>
      </c>
      <c r="J17" s="1053"/>
      <c r="K17" s="1056"/>
      <c r="L17" s="1056"/>
      <c r="M17" s="625"/>
      <c r="N17" s="625"/>
      <c r="O17" s="625"/>
      <c r="P17" s="625"/>
      <c r="Q17" s="625"/>
      <c r="R17" s="625"/>
      <c r="S17" s="625"/>
      <c r="T17" s="625"/>
      <c r="U17" s="625"/>
      <c r="V17" s="625"/>
      <c r="W17" s="625"/>
      <c r="X17" s="625"/>
      <c r="Y17" s="625"/>
      <c r="Z17" s="625"/>
      <c r="AA17" s="625"/>
      <c r="AB17" s="625"/>
      <c r="AC17" s="625"/>
      <c r="AD17" s="625"/>
      <c r="AE17" s="625"/>
      <c r="AF17" s="625"/>
      <c r="AG17" s="625"/>
      <c r="AH17" s="625"/>
      <c r="AI17" s="625"/>
      <c r="AJ17" s="625"/>
      <c r="AK17" s="625"/>
      <c r="AL17" s="625"/>
    </row>
    <row r="18" spans="1:38" s="3133" customFormat="1" ht="24" hidden="1" customHeight="1">
      <c r="A18" s="4422"/>
      <c r="B18" s="4405"/>
      <c r="C18" s="4406"/>
      <c r="D18" s="4400"/>
      <c r="E18" s="4400"/>
      <c r="F18" s="3130" t="s">
        <v>1</v>
      </c>
      <c r="G18" s="3123" t="s">
        <v>2612</v>
      </c>
      <c r="H18" s="3252" t="s">
        <v>4</v>
      </c>
      <c r="I18" s="4034" t="s">
        <v>2612</v>
      </c>
      <c r="J18" s="1054"/>
      <c r="K18" s="1057"/>
      <c r="L18" s="1057"/>
      <c r="M18" s="625"/>
      <c r="N18" s="625"/>
      <c r="O18" s="625"/>
      <c r="P18" s="625"/>
      <c r="Q18" s="625"/>
      <c r="R18" s="625"/>
      <c r="S18" s="625"/>
      <c r="T18" s="625"/>
      <c r="U18" s="625"/>
      <c r="V18" s="625"/>
      <c r="W18" s="625"/>
      <c r="X18" s="625"/>
      <c r="Y18" s="625"/>
      <c r="Z18" s="625"/>
      <c r="AA18" s="625"/>
      <c r="AB18" s="625"/>
      <c r="AC18" s="625"/>
      <c r="AD18" s="625"/>
      <c r="AE18" s="625"/>
      <c r="AF18" s="625"/>
      <c r="AG18" s="625"/>
      <c r="AH18" s="625"/>
      <c r="AI18" s="625"/>
      <c r="AJ18" s="625"/>
      <c r="AK18" s="625"/>
      <c r="AL18" s="625"/>
    </row>
    <row r="19" spans="1:38" s="210" customFormat="1" ht="15.75" customHeight="1">
      <c r="A19" s="1078"/>
      <c r="B19" s="4423" t="s">
        <v>29</v>
      </c>
      <c r="C19" s="4423"/>
      <c r="D19" s="1078"/>
      <c r="E19" s="1078"/>
      <c r="F19" s="1079"/>
      <c r="G19" s="1079"/>
      <c r="H19" s="1079"/>
      <c r="I19" s="1079"/>
      <c r="J19" s="1032"/>
      <c r="K19" s="1032"/>
      <c r="L19" s="1032"/>
      <c r="M19" s="1032"/>
      <c r="N19" s="1032"/>
      <c r="O19" s="1032"/>
      <c r="P19" s="1032"/>
      <c r="Q19" s="1032"/>
      <c r="R19" s="1032"/>
      <c r="S19" s="1032"/>
      <c r="T19" s="1032"/>
      <c r="U19" s="1032"/>
      <c r="V19" s="1032"/>
      <c r="W19" s="1032"/>
      <c r="X19" s="1032"/>
      <c r="Y19" s="1032"/>
      <c r="Z19" s="1032"/>
      <c r="AA19" s="1032"/>
      <c r="AB19" s="1032"/>
      <c r="AC19" s="1032"/>
      <c r="AD19" s="1032"/>
      <c r="AE19" s="1032"/>
      <c r="AF19" s="1032"/>
      <c r="AG19" s="1032"/>
    </row>
    <row r="20" spans="1:38" s="11" customFormat="1" ht="15" hidden="1" customHeight="1">
      <c r="B20" s="2989" t="s">
        <v>2781</v>
      </c>
      <c r="C20" s="2989"/>
      <c r="G20" s="1077"/>
      <c r="H20" s="1077"/>
      <c r="I20" s="1077"/>
      <c r="J20" s="387"/>
      <c r="K20" s="387"/>
      <c r="L20" s="387"/>
      <c r="M20" s="387"/>
      <c r="N20" s="387"/>
      <c r="O20" s="387"/>
      <c r="P20" s="387"/>
      <c r="Q20" s="387"/>
      <c r="R20" s="387"/>
      <c r="S20" s="387"/>
      <c r="T20" s="387"/>
      <c r="U20" s="387"/>
      <c r="V20" s="387"/>
      <c r="W20" s="387"/>
      <c r="X20" s="387"/>
      <c r="Y20" s="387"/>
      <c r="Z20" s="387"/>
      <c r="AA20" s="387"/>
      <c r="AB20" s="387"/>
      <c r="AC20" s="387"/>
      <c r="AD20" s="387"/>
      <c r="AE20" s="387"/>
      <c r="AF20" s="387"/>
      <c r="AG20" s="387"/>
      <c r="AH20" s="387"/>
      <c r="AI20" s="387"/>
      <c r="AJ20" s="387"/>
      <c r="AK20" s="387"/>
      <c r="AL20" s="387"/>
    </row>
    <row r="21" spans="1:38" s="11" customFormat="1" ht="30" hidden="1" customHeight="1">
      <c r="A21" s="4333" t="s">
        <v>3</v>
      </c>
      <c r="B21" s="4334"/>
      <c r="C21" s="4334"/>
      <c r="D21" s="4334"/>
      <c r="E21" s="4334"/>
      <c r="F21" s="4335"/>
      <c r="G21" s="2576"/>
      <c r="H21" s="2416" t="str">
        <f>H5</f>
        <v>серия Podio
(01/ 02/ 03)</v>
      </c>
      <c r="I21" s="2576"/>
      <c r="J21" s="387"/>
      <c r="K21" s="387"/>
      <c r="L21" s="387"/>
      <c r="M21" s="387"/>
      <c r="N21" s="387"/>
      <c r="O21" s="387"/>
      <c r="P21" s="387"/>
      <c r="Q21" s="387"/>
      <c r="R21" s="387"/>
      <c r="S21" s="387"/>
      <c r="T21" s="387"/>
      <c r="U21" s="387"/>
      <c r="V21" s="387"/>
      <c r="W21" s="387"/>
      <c r="X21" s="387"/>
      <c r="Y21" s="387"/>
      <c r="Z21" s="387"/>
      <c r="AA21" s="387"/>
      <c r="AB21" s="387"/>
      <c r="AC21" s="387"/>
      <c r="AD21" s="387"/>
      <c r="AE21" s="387"/>
      <c r="AF21" s="387"/>
      <c r="AG21" s="387"/>
      <c r="AH21" s="387"/>
      <c r="AI21" s="387"/>
      <c r="AJ21" s="387"/>
      <c r="AK21" s="387"/>
      <c r="AL21" s="387"/>
    </row>
    <row r="22" spans="1:38" s="63" customFormat="1" ht="14.1" hidden="1" customHeight="1">
      <c r="A22" s="4331" t="s">
        <v>2444</v>
      </c>
      <c r="B22" s="4332"/>
      <c r="C22" s="4332"/>
      <c r="D22" s="4332"/>
      <c r="E22" s="4332"/>
      <c r="F22" s="4332"/>
      <c r="G22" s="4424"/>
      <c r="H22" s="4332"/>
      <c r="I22" s="387"/>
      <c r="J22" s="387"/>
      <c r="K22" s="387"/>
      <c r="L22" s="387"/>
      <c r="M22" s="387"/>
      <c r="N22" s="387"/>
      <c r="O22" s="387"/>
      <c r="P22" s="387"/>
      <c r="Q22" s="387"/>
      <c r="R22" s="387"/>
      <c r="S22" s="387"/>
      <c r="T22" s="387"/>
      <c r="U22" s="387"/>
      <c r="V22" s="387"/>
      <c r="W22" s="387"/>
      <c r="X22" s="387"/>
      <c r="Y22" s="387"/>
      <c r="Z22" s="387"/>
      <c r="AA22" s="387"/>
      <c r="AB22" s="387"/>
      <c r="AC22" s="387"/>
      <c r="AD22" s="387"/>
      <c r="AE22" s="387"/>
      <c r="AF22" s="387"/>
      <c r="AG22" s="387"/>
      <c r="AH22" s="387"/>
      <c r="AI22" s="387"/>
      <c r="AJ22" s="387"/>
      <c r="AK22" s="387"/>
      <c r="AL22" s="387"/>
    </row>
    <row r="23" spans="1:38" s="64" customFormat="1" ht="25.5" hidden="1" customHeight="1">
      <c r="A23" s="4425" t="s">
        <v>1422</v>
      </c>
      <c r="B23" s="4426"/>
      <c r="C23" s="4431" t="s">
        <v>1367</v>
      </c>
      <c r="D23" s="4431"/>
      <c r="E23" s="4255" t="s">
        <v>1296</v>
      </c>
      <c r="F23" s="4255"/>
      <c r="G23" s="2577"/>
      <c r="H23" s="2398" t="s">
        <v>4</v>
      </c>
      <c r="I23" s="2577"/>
      <c r="J23" s="242"/>
      <c r="K23" s="242"/>
      <c r="L23" s="242"/>
      <c r="M23" s="242"/>
      <c r="N23" s="242"/>
      <c r="O23" s="242"/>
      <c r="P23" s="242"/>
      <c r="Q23" s="242"/>
      <c r="R23" s="242"/>
      <c r="S23" s="242"/>
      <c r="T23" s="242"/>
      <c r="U23" s="242"/>
      <c r="V23" s="242"/>
      <c r="W23" s="242"/>
      <c r="X23" s="242"/>
      <c r="Y23" s="242"/>
      <c r="Z23" s="242"/>
      <c r="AA23" s="242"/>
      <c r="AB23" s="242"/>
      <c r="AC23" s="242"/>
      <c r="AD23" s="242"/>
      <c r="AE23" s="242"/>
      <c r="AF23" s="242"/>
      <c r="AG23" s="242"/>
      <c r="AH23" s="242"/>
      <c r="AI23" s="242"/>
      <c r="AJ23" s="242"/>
      <c r="AK23" s="242"/>
      <c r="AL23" s="242"/>
    </row>
    <row r="24" spans="1:38" s="64" customFormat="1" ht="18" hidden="1" customHeight="1">
      <c r="A24" s="4427"/>
      <c r="B24" s="4428"/>
      <c r="C24" s="4431"/>
      <c r="D24" s="4431"/>
      <c r="E24" s="4432" t="s">
        <v>1373</v>
      </c>
      <c r="F24" s="4433"/>
      <c r="G24" s="2397"/>
      <c r="H24" s="2397" t="s">
        <v>4</v>
      </c>
      <c r="I24" s="2397"/>
      <c r="J24" s="242"/>
      <c r="K24" s="242"/>
      <c r="L24" s="242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242"/>
      <c r="X24" s="242"/>
      <c r="Y24" s="242"/>
      <c r="Z24" s="242"/>
      <c r="AA24" s="242"/>
      <c r="AB24" s="242"/>
      <c r="AC24" s="242"/>
      <c r="AD24" s="242"/>
      <c r="AE24" s="242"/>
      <c r="AF24" s="242"/>
      <c r="AG24" s="242"/>
      <c r="AH24" s="242"/>
      <c r="AI24" s="242"/>
      <c r="AJ24" s="242"/>
      <c r="AK24" s="242"/>
      <c r="AL24" s="242"/>
    </row>
    <row r="25" spans="1:38" s="72" customFormat="1" ht="24.75" hidden="1" customHeight="1">
      <c r="A25" s="4427"/>
      <c r="B25" s="4428"/>
      <c r="C25" s="4344" t="s">
        <v>736</v>
      </c>
      <c r="D25" s="4345"/>
      <c r="E25" s="4344" t="s">
        <v>2427</v>
      </c>
      <c r="F25" s="4345"/>
      <c r="G25" s="2577"/>
      <c r="H25" s="2398" t="s">
        <v>4</v>
      </c>
      <c r="I25" s="2577"/>
      <c r="J25" s="442"/>
      <c r="K25" s="442"/>
      <c r="L25" s="442"/>
      <c r="M25" s="442"/>
      <c r="N25" s="442"/>
      <c r="O25" s="442"/>
      <c r="P25" s="442"/>
      <c r="Q25" s="442"/>
      <c r="R25" s="442"/>
      <c r="S25" s="442"/>
      <c r="T25" s="442"/>
      <c r="U25" s="442"/>
      <c r="V25" s="442"/>
      <c r="W25" s="442"/>
      <c r="X25" s="442"/>
      <c r="Y25" s="442"/>
      <c r="Z25" s="442"/>
      <c r="AA25" s="442"/>
      <c r="AB25" s="442"/>
      <c r="AC25" s="442"/>
      <c r="AD25" s="442"/>
      <c r="AE25" s="442"/>
      <c r="AF25" s="442"/>
      <c r="AG25" s="442"/>
      <c r="AH25" s="442"/>
      <c r="AI25" s="442"/>
      <c r="AJ25" s="442"/>
      <c r="AK25" s="442"/>
      <c r="AL25" s="442"/>
    </row>
    <row r="26" spans="1:38" s="72" customFormat="1" ht="24.75" hidden="1" customHeight="1">
      <c r="A26" s="4427"/>
      <c r="B26" s="4428"/>
      <c r="C26" s="4253" t="s">
        <v>205</v>
      </c>
      <c r="D26" s="4254"/>
      <c r="E26" s="4253" t="s">
        <v>1426</v>
      </c>
      <c r="F26" s="4254"/>
      <c r="G26" s="2401"/>
      <c r="H26" s="2401" t="s">
        <v>4</v>
      </c>
      <c r="I26" s="2401"/>
      <c r="J26" s="442"/>
      <c r="K26" s="442"/>
      <c r="L26" s="442"/>
      <c r="M26" s="442"/>
      <c r="N26" s="442"/>
      <c r="O26" s="442"/>
      <c r="P26" s="442"/>
      <c r="Q26" s="442"/>
      <c r="R26" s="442"/>
      <c r="S26" s="442"/>
      <c r="T26" s="442"/>
      <c r="U26" s="442"/>
      <c r="V26" s="442"/>
      <c r="W26" s="442"/>
      <c r="X26" s="442"/>
      <c r="Y26" s="442"/>
      <c r="Z26" s="442"/>
      <c r="AA26" s="442"/>
      <c r="AB26" s="442"/>
      <c r="AC26" s="442"/>
      <c r="AD26" s="442"/>
      <c r="AE26" s="442"/>
      <c r="AF26" s="442"/>
      <c r="AG26" s="442"/>
      <c r="AH26" s="442"/>
      <c r="AI26" s="442"/>
      <c r="AJ26" s="442"/>
      <c r="AK26" s="442"/>
      <c r="AL26" s="442"/>
    </row>
    <row r="27" spans="1:38" s="72" customFormat="1" ht="24.75" hidden="1" customHeight="1">
      <c r="A27" s="4429"/>
      <c r="B27" s="4430"/>
      <c r="C27" s="4438" t="s">
        <v>1425</v>
      </c>
      <c r="D27" s="4439"/>
      <c r="E27" s="4438" t="s">
        <v>1427</v>
      </c>
      <c r="F27" s="4439"/>
      <c r="G27" s="2396"/>
      <c r="H27" s="2396" t="s">
        <v>4</v>
      </c>
      <c r="I27" s="2396"/>
      <c r="J27" s="442"/>
      <c r="K27" s="442"/>
      <c r="L27" s="442"/>
      <c r="M27" s="442"/>
      <c r="N27" s="442"/>
      <c r="O27" s="442"/>
      <c r="P27" s="442"/>
      <c r="Q27" s="442"/>
      <c r="R27" s="442"/>
      <c r="S27" s="442"/>
      <c r="T27" s="442"/>
      <c r="U27" s="442"/>
      <c r="V27" s="442"/>
      <c r="W27" s="442"/>
      <c r="X27" s="442"/>
      <c r="Y27" s="442"/>
      <c r="Z27" s="442"/>
      <c r="AA27" s="442"/>
      <c r="AB27" s="442"/>
      <c r="AC27" s="442"/>
      <c r="AD27" s="442"/>
      <c r="AE27" s="442"/>
      <c r="AF27" s="442"/>
      <c r="AG27" s="442"/>
      <c r="AH27" s="442"/>
      <c r="AI27" s="442"/>
      <c r="AJ27" s="442"/>
      <c r="AK27" s="442"/>
      <c r="AL27" s="442"/>
    </row>
    <row r="28" spans="1:38" s="63" customFormat="1" ht="14.1" hidden="1" customHeight="1">
      <c r="A28" s="4339" t="s">
        <v>2445</v>
      </c>
      <c r="B28" s="4340"/>
      <c r="C28" s="4340"/>
      <c r="D28" s="4340"/>
      <c r="E28" s="4340"/>
      <c r="F28" s="4340"/>
      <c r="G28" s="4440"/>
      <c r="H28" s="4340"/>
      <c r="I28" s="387"/>
      <c r="J28" s="387"/>
      <c r="K28" s="387"/>
      <c r="L28" s="387"/>
      <c r="M28" s="387"/>
      <c r="N28" s="387"/>
      <c r="O28" s="387"/>
      <c r="P28" s="387"/>
      <c r="Q28" s="387"/>
      <c r="R28" s="387"/>
      <c r="S28" s="387"/>
      <c r="T28" s="387"/>
      <c r="U28" s="387"/>
      <c r="V28" s="387"/>
      <c r="W28" s="387"/>
      <c r="X28" s="387"/>
      <c r="Y28" s="387"/>
      <c r="Z28" s="387"/>
      <c r="AA28" s="387"/>
      <c r="AB28" s="387"/>
      <c r="AC28" s="387"/>
      <c r="AD28" s="387"/>
      <c r="AE28" s="387"/>
      <c r="AF28" s="387"/>
      <c r="AG28" s="387"/>
      <c r="AH28" s="387"/>
      <c r="AI28" s="387"/>
      <c r="AJ28" s="387"/>
      <c r="AK28" s="387"/>
      <c r="AL28" s="387"/>
    </row>
    <row r="29" spans="1:38" s="64" customFormat="1" ht="35.1" hidden="1" customHeight="1">
      <c r="A29" s="4356"/>
      <c r="B29" s="4357"/>
      <c r="C29" s="4358"/>
      <c r="D29" s="4357"/>
      <c r="E29" s="4357"/>
      <c r="F29" s="4359"/>
      <c r="G29" s="2578"/>
      <c r="H29" s="1031" t="s">
        <v>1321</v>
      </c>
      <c r="I29" s="2578"/>
      <c r="J29" s="242"/>
      <c r="K29" s="242"/>
      <c r="L29" s="242"/>
      <c r="M29" s="242"/>
      <c r="N29" s="242"/>
      <c r="O29" s="242"/>
      <c r="P29" s="242"/>
      <c r="Q29" s="242"/>
      <c r="R29" s="242"/>
      <c r="S29" s="242"/>
      <c r="T29" s="242"/>
      <c r="U29" s="242"/>
      <c r="V29" s="242"/>
      <c r="W29" s="242"/>
      <c r="X29" s="242"/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</row>
    <row r="30" spans="1:38" s="63" customFormat="1" ht="18.75" hidden="1" customHeight="1">
      <c r="A30" s="866" t="s">
        <v>2442</v>
      </c>
      <c r="B30" s="867"/>
      <c r="C30" s="1109"/>
      <c r="D30" s="867"/>
      <c r="E30" s="867"/>
      <c r="F30" s="867"/>
      <c r="G30" s="2579"/>
      <c r="H30" s="867"/>
      <c r="I30" s="2579"/>
      <c r="J30" s="387"/>
      <c r="K30" s="387"/>
      <c r="L30" s="387"/>
      <c r="M30" s="387"/>
      <c r="N30" s="387"/>
      <c r="O30" s="387"/>
      <c r="P30" s="387"/>
      <c r="Q30" s="387"/>
      <c r="R30" s="387"/>
      <c r="S30" s="387"/>
      <c r="T30" s="387"/>
      <c r="U30" s="387"/>
      <c r="V30" s="387"/>
      <c r="W30" s="387"/>
      <c r="X30" s="387"/>
      <c r="Y30" s="387"/>
      <c r="Z30" s="387"/>
      <c r="AA30" s="387"/>
      <c r="AB30" s="387"/>
      <c r="AC30" s="387"/>
      <c r="AD30" s="387"/>
      <c r="AE30" s="387"/>
      <c r="AF30" s="387"/>
      <c r="AG30" s="387"/>
      <c r="AH30" s="387"/>
      <c r="AI30" s="387"/>
      <c r="AJ30" s="387"/>
    </row>
    <row r="31" spans="1:38" s="64" customFormat="1" ht="18.75" hidden="1" customHeight="1">
      <c r="A31" s="4435" t="s">
        <v>2430</v>
      </c>
      <c r="B31" s="4436"/>
      <c r="C31" s="4436"/>
      <c r="D31" s="4436"/>
      <c r="E31" s="4436"/>
      <c r="F31" s="4437"/>
      <c r="G31" s="2389"/>
      <c r="H31" s="2389">
        <v>0.1</v>
      </c>
      <c r="I31" s="2389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</row>
    <row r="32" spans="1:38" s="64" customFormat="1" ht="18.75" hidden="1" customHeight="1">
      <c r="A32" s="4349" t="s">
        <v>2431</v>
      </c>
      <c r="B32" s="4350"/>
      <c r="C32" s="4350"/>
      <c r="D32" s="4350"/>
      <c r="E32" s="4350"/>
      <c r="F32" s="4351"/>
      <c r="G32" s="2388"/>
      <c r="H32" s="2388">
        <v>0.15</v>
      </c>
      <c r="I32" s="2388"/>
      <c r="J32" s="242"/>
      <c r="K32" s="242"/>
      <c r="L32" s="242"/>
      <c r="M32" s="242"/>
      <c r="N32" s="242"/>
      <c r="O32" s="242"/>
      <c r="P32" s="242"/>
      <c r="Q32" s="242"/>
      <c r="R32" s="242"/>
      <c r="S32" s="242"/>
      <c r="T32" s="242"/>
      <c r="U32" s="242"/>
      <c r="V32" s="242"/>
      <c r="W32" s="242"/>
      <c r="X32" s="242"/>
      <c r="Y32" s="242"/>
      <c r="Z32" s="242"/>
      <c r="AA32" s="242"/>
      <c r="AB32" s="242"/>
      <c r="AC32" s="242"/>
      <c r="AD32" s="242"/>
      <c r="AE32" s="242"/>
      <c r="AF32" s="242"/>
      <c r="AG32" s="242"/>
      <c r="AH32" s="242"/>
      <c r="AI32" s="242"/>
      <c r="AJ32" s="242"/>
    </row>
    <row r="33" spans="1:33" s="210" customFormat="1" ht="15.75" customHeight="1">
      <c r="A33" s="1078"/>
      <c r="B33" s="4410" t="s">
        <v>2810</v>
      </c>
      <c r="C33" s="4410"/>
      <c r="D33" s="4410"/>
      <c r="E33" s="4410"/>
      <c r="F33" s="4410"/>
      <c r="G33" s="4410"/>
      <c r="H33" s="1079"/>
      <c r="I33" s="289"/>
      <c r="J33" s="1032"/>
      <c r="K33" s="1032"/>
      <c r="L33" s="1032"/>
      <c r="M33" s="1032"/>
      <c r="N33" s="1032"/>
      <c r="O33" s="1032"/>
      <c r="P33" s="1032"/>
      <c r="Q33" s="1032"/>
      <c r="R33" s="1032"/>
      <c r="S33" s="1032"/>
      <c r="T33" s="1032"/>
      <c r="U33" s="1032"/>
      <c r="V33" s="1032"/>
      <c r="W33" s="1032"/>
      <c r="X33" s="1032"/>
      <c r="Y33" s="1032"/>
      <c r="Z33" s="1032"/>
      <c r="AA33" s="1032"/>
      <c r="AB33" s="1032"/>
      <c r="AC33" s="1032"/>
      <c r="AD33" s="1032"/>
      <c r="AE33" s="1032"/>
      <c r="AF33" s="1032"/>
      <c r="AG33" s="1032"/>
    </row>
    <row r="34" spans="1:33" ht="18" customHeight="1">
      <c r="A34" s="242"/>
      <c r="B34" s="242"/>
      <c r="C34" s="242"/>
      <c r="D34" s="242"/>
      <c r="E34" s="242"/>
      <c r="F34" s="242"/>
      <c r="G34" s="242"/>
      <c r="H34" s="242"/>
      <c r="I34" s="242"/>
      <c r="J34" s="242"/>
      <c r="K34" s="242"/>
      <c r="L34" s="242"/>
      <c r="M34" s="242"/>
      <c r="N34" s="242"/>
      <c r="O34" s="242"/>
      <c r="P34" s="242"/>
    </row>
    <row r="35" spans="1:33" ht="18" customHeight="1">
      <c r="A35" s="3253"/>
      <c r="B35" s="54" t="s">
        <v>2869</v>
      </c>
      <c r="C35" s="3253"/>
      <c r="D35" s="3253"/>
      <c r="E35" s="3253"/>
      <c r="F35" s="3253"/>
      <c r="G35" s="3253"/>
      <c r="H35" s="3253"/>
      <c r="I35" s="4038" t="s">
        <v>5</v>
      </c>
      <c r="J35" s="242"/>
      <c r="K35" s="242"/>
      <c r="L35" s="616"/>
      <c r="M35" s="616"/>
      <c r="N35" s="616"/>
      <c r="O35" s="242"/>
      <c r="P35" s="616"/>
      <c r="Q35" s="33"/>
    </row>
    <row r="36" spans="1:33" ht="18" customHeight="1">
      <c r="A36" s="3253"/>
      <c r="B36" s="3253"/>
      <c r="C36" s="3254"/>
      <c r="D36" s="4434" t="s">
        <v>2957</v>
      </c>
      <c r="E36" s="4434"/>
      <c r="F36" s="4434"/>
      <c r="G36" s="4038" t="s">
        <v>2873</v>
      </c>
      <c r="H36" s="4038"/>
      <c r="I36" s="4038" t="s">
        <v>3511</v>
      </c>
      <c r="K36" s="242"/>
      <c r="L36" s="616"/>
      <c r="M36" s="616"/>
      <c r="N36" s="616"/>
      <c r="O36" s="242"/>
      <c r="P36" s="616"/>
      <c r="Q36" s="33"/>
    </row>
    <row r="37" spans="1:33" ht="18" customHeight="1">
      <c r="A37" s="3253"/>
      <c r="B37" s="3253"/>
      <c r="C37" s="3254"/>
      <c r="D37" s="3260"/>
      <c r="E37" s="3260"/>
      <c r="F37" s="3260"/>
      <c r="G37" s="3253"/>
      <c r="H37" s="3253"/>
      <c r="I37" s="3253"/>
      <c r="J37" s="242"/>
      <c r="K37" s="242"/>
      <c r="L37" s="242"/>
      <c r="M37" s="242"/>
      <c r="N37" s="242"/>
      <c r="O37" s="242"/>
      <c r="P37" s="242"/>
    </row>
    <row r="38" spans="1:33" ht="18" customHeight="1">
      <c r="A38" s="3253"/>
      <c r="B38" s="3261"/>
      <c r="C38" s="3261"/>
      <c r="D38" s="3253"/>
      <c r="E38" s="3253"/>
      <c r="F38" s="3253"/>
      <c r="G38" s="3253"/>
      <c r="H38" s="3253"/>
      <c r="I38" s="3253"/>
      <c r="L38" s="242"/>
      <c r="M38" s="242"/>
      <c r="N38" s="242"/>
      <c r="O38" s="242"/>
      <c r="P38" s="242"/>
    </row>
    <row r="39" spans="1:33" ht="18" customHeight="1">
      <c r="A39" s="3253"/>
      <c r="B39" s="3261"/>
      <c r="C39" s="3261"/>
      <c r="D39" s="3253"/>
      <c r="E39" s="3253"/>
      <c r="F39" s="3253"/>
      <c r="G39" s="3253"/>
      <c r="H39" s="3253"/>
      <c r="I39" s="3253"/>
      <c r="J39" s="242"/>
      <c r="K39" s="242"/>
      <c r="L39" s="242"/>
      <c r="M39" s="242"/>
      <c r="N39" s="242"/>
      <c r="O39" s="242"/>
      <c r="P39" s="242"/>
    </row>
    <row r="40" spans="1:33">
      <c r="A40" s="3253"/>
      <c r="B40" s="3262"/>
      <c r="C40" s="3262"/>
      <c r="D40" s="3253"/>
      <c r="E40" s="3253"/>
      <c r="F40" s="3253"/>
      <c r="G40" s="3253"/>
      <c r="H40" s="3253"/>
      <c r="I40" s="3253"/>
      <c r="J40" s="242"/>
      <c r="K40" s="242"/>
      <c r="L40" s="242"/>
      <c r="M40" s="242"/>
      <c r="N40" s="242"/>
      <c r="O40" s="242"/>
      <c r="P40" s="242"/>
    </row>
    <row r="41" spans="1:33">
      <c r="A41" s="3253"/>
      <c r="B41" s="3253"/>
      <c r="C41" s="3253"/>
      <c r="D41" s="3253"/>
      <c r="E41" s="3253"/>
      <c r="F41" s="3257"/>
      <c r="G41" s="3253"/>
      <c r="H41" s="3253"/>
      <c r="I41" s="3253"/>
      <c r="J41" s="242"/>
      <c r="K41" s="242"/>
      <c r="L41" s="242"/>
      <c r="M41" s="242"/>
      <c r="N41" s="242"/>
      <c r="O41" s="242"/>
      <c r="P41" s="242"/>
    </row>
    <row r="42" spans="1:33">
      <c r="A42" s="3253"/>
      <c r="B42" s="3253"/>
      <c r="C42" s="3253"/>
      <c r="D42" s="3253"/>
      <c r="E42" s="3253"/>
      <c r="F42" s="3257"/>
      <c r="G42" s="3253"/>
      <c r="H42" s="3253"/>
      <c r="I42" s="3253"/>
      <c r="J42" s="242"/>
      <c r="K42" s="242"/>
      <c r="L42" s="242"/>
      <c r="M42" s="242"/>
      <c r="N42" s="242"/>
      <c r="O42" s="242"/>
      <c r="P42" s="242"/>
    </row>
    <row r="43" spans="1:33" ht="17.25" customHeight="1">
      <c r="A43" s="3253"/>
      <c r="B43" s="3253"/>
      <c r="C43" s="3253"/>
      <c r="D43" s="3253"/>
      <c r="E43" s="3253"/>
      <c r="F43" s="3257"/>
      <c r="G43" s="3253"/>
      <c r="H43" s="3253"/>
      <c r="I43" s="3253"/>
      <c r="J43" s="242"/>
      <c r="K43" s="242"/>
      <c r="L43" s="242"/>
      <c r="M43" s="242"/>
      <c r="N43" s="242"/>
      <c r="O43" s="242"/>
      <c r="P43" s="242"/>
    </row>
    <row r="44" spans="1:33" ht="17.25" customHeight="1">
      <c r="A44" s="3253"/>
      <c r="B44" s="3253"/>
      <c r="C44" s="3253"/>
      <c r="D44" s="3253"/>
      <c r="E44" s="3253"/>
      <c r="F44" s="3257"/>
      <c r="G44" s="3253"/>
      <c r="H44" s="3253"/>
      <c r="I44" s="3253"/>
      <c r="J44" s="242"/>
      <c r="K44" s="242"/>
      <c r="L44" s="242"/>
      <c r="M44" s="242"/>
      <c r="N44" s="242"/>
      <c r="O44" s="242"/>
      <c r="P44" s="242"/>
    </row>
    <row r="45" spans="1:33">
      <c r="A45" s="3253"/>
      <c r="B45" s="3253"/>
      <c r="C45" s="3253"/>
      <c r="D45" s="3253"/>
      <c r="E45" s="3253"/>
      <c r="F45" s="3257"/>
      <c r="G45" s="3253"/>
      <c r="H45" s="3253"/>
      <c r="I45" s="3253"/>
      <c r="J45" s="242"/>
      <c r="K45" s="242"/>
      <c r="L45" s="242"/>
      <c r="M45" s="242"/>
      <c r="N45" s="242"/>
      <c r="O45" s="242"/>
      <c r="P45" s="242"/>
    </row>
    <row r="46" spans="1:33">
      <c r="A46" s="242"/>
      <c r="B46" s="242"/>
      <c r="C46" s="242"/>
      <c r="D46" s="242"/>
      <c r="E46" s="242"/>
      <c r="F46" s="620"/>
      <c r="G46" s="242"/>
      <c r="H46" s="242"/>
      <c r="I46" s="242"/>
      <c r="J46" s="242"/>
      <c r="K46" s="242"/>
      <c r="L46" s="242"/>
      <c r="M46" s="242"/>
      <c r="N46" s="242"/>
      <c r="O46" s="242"/>
      <c r="P46" s="242"/>
    </row>
    <row r="47" spans="1:33">
      <c r="A47" s="242"/>
      <c r="B47" s="242"/>
      <c r="C47" s="242"/>
      <c r="D47" s="242"/>
      <c r="E47" s="242"/>
      <c r="F47" s="620"/>
      <c r="G47" s="242"/>
      <c r="H47" s="242"/>
      <c r="I47" s="242"/>
      <c r="J47" s="242"/>
      <c r="K47" s="242"/>
      <c r="L47" s="242"/>
      <c r="M47" s="242"/>
      <c r="N47" s="242"/>
      <c r="O47" s="242"/>
      <c r="P47" s="242"/>
    </row>
    <row r="48" spans="1:33">
      <c r="A48" s="242"/>
      <c r="B48" s="242"/>
      <c r="C48" s="242"/>
      <c r="D48" s="242"/>
      <c r="E48" s="242"/>
      <c r="F48" s="620"/>
      <c r="G48" s="242"/>
      <c r="H48" s="242"/>
      <c r="I48" s="242"/>
      <c r="J48" s="242"/>
      <c r="K48" s="242"/>
      <c r="L48" s="242"/>
      <c r="M48" s="242"/>
      <c r="N48" s="242"/>
      <c r="O48" s="242"/>
      <c r="P48" s="242"/>
    </row>
    <row r="49" spans="1:16">
      <c r="A49" s="242"/>
      <c r="B49" s="242"/>
      <c r="C49" s="242"/>
      <c r="D49" s="242"/>
      <c r="E49" s="242"/>
      <c r="F49" s="620"/>
      <c r="G49" s="242"/>
      <c r="H49" s="242"/>
      <c r="I49" s="242"/>
      <c r="J49" s="242"/>
      <c r="K49" s="242"/>
      <c r="L49" s="242"/>
      <c r="M49" s="242"/>
      <c r="N49" s="242"/>
      <c r="O49" s="242"/>
      <c r="P49" s="242"/>
    </row>
    <row r="50" spans="1:16">
      <c r="A50" s="242"/>
      <c r="B50" s="242"/>
      <c r="C50" s="242"/>
      <c r="D50" s="242"/>
      <c r="E50" s="242"/>
      <c r="F50" s="620"/>
      <c r="G50" s="242"/>
      <c r="H50" s="242"/>
      <c r="I50" s="242"/>
      <c r="J50" s="242"/>
      <c r="K50" s="242"/>
      <c r="L50" s="242"/>
      <c r="M50" s="242"/>
      <c r="N50" s="242"/>
      <c r="O50" s="242"/>
      <c r="P50" s="242"/>
    </row>
    <row r="51" spans="1:16">
      <c r="A51" s="242"/>
      <c r="B51" s="242"/>
      <c r="C51" s="242"/>
      <c r="D51" s="242"/>
      <c r="E51" s="242"/>
      <c r="F51" s="620"/>
      <c r="G51" s="242"/>
      <c r="H51" s="242"/>
      <c r="I51" s="242"/>
      <c r="J51" s="242"/>
      <c r="K51" s="242"/>
      <c r="L51" s="242"/>
      <c r="M51" s="242"/>
      <c r="N51" s="242"/>
      <c r="O51" s="242"/>
      <c r="P51" s="242"/>
    </row>
    <row r="52" spans="1:16">
      <c r="A52" s="242"/>
      <c r="B52" s="242"/>
      <c r="C52" s="242"/>
      <c r="D52" s="242"/>
      <c r="E52" s="242"/>
      <c r="F52" s="620"/>
      <c r="G52" s="242"/>
      <c r="H52" s="242"/>
      <c r="I52" s="242"/>
      <c r="J52" s="242"/>
      <c r="K52" s="242"/>
      <c r="L52" s="242"/>
      <c r="M52" s="242"/>
      <c r="N52" s="242"/>
      <c r="O52" s="242"/>
      <c r="P52" s="242"/>
    </row>
    <row r="53" spans="1:16">
      <c r="A53" s="242"/>
      <c r="B53" s="242"/>
      <c r="C53" s="242"/>
      <c r="D53" s="242"/>
      <c r="E53" s="242"/>
      <c r="F53" s="620"/>
      <c r="G53" s="242"/>
      <c r="H53" s="242"/>
      <c r="I53" s="242"/>
      <c r="J53" s="242"/>
      <c r="K53" s="242"/>
      <c r="L53" s="242"/>
      <c r="M53" s="242"/>
      <c r="N53" s="242"/>
      <c r="O53" s="242"/>
      <c r="P53" s="242"/>
    </row>
    <row r="54" spans="1:16" ht="15" customHeight="1">
      <c r="A54" s="242"/>
      <c r="B54" s="242"/>
      <c r="C54" s="242"/>
      <c r="D54" s="242"/>
      <c r="E54" s="242"/>
      <c r="F54" s="620"/>
      <c r="G54" s="242"/>
      <c r="H54" s="242"/>
      <c r="I54" s="242"/>
      <c r="J54" s="242"/>
      <c r="K54" s="242"/>
      <c r="L54" s="242"/>
      <c r="M54" s="242"/>
      <c r="N54" s="242"/>
      <c r="O54" s="242"/>
      <c r="P54" s="242"/>
    </row>
    <row r="55" spans="1:16">
      <c r="A55" s="242"/>
      <c r="B55" s="242"/>
      <c r="C55" s="242"/>
      <c r="D55" s="242"/>
      <c r="E55" s="242"/>
      <c r="F55" s="620"/>
      <c r="G55" s="242"/>
      <c r="H55" s="242"/>
      <c r="I55" s="242"/>
      <c r="J55" s="242"/>
      <c r="K55" s="242"/>
      <c r="L55" s="242"/>
      <c r="M55" s="242"/>
      <c r="N55" s="242"/>
      <c r="O55" s="242"/>
      <c r="P55" s="242"/>
    </row>
    <row r="56" spans="1:16">
      <c r="A56" s="242"/>
      <c r="B56" s="242"/>
      <c r="C56" s="242"/>
      <c r="D56" s="242"/>
      <c r="E56" s="242"/>
      <c r="F56" s="620"/>
      <c r="G56" s="242"/>
      <c r="H56" s="242"/>
      <c r="I56" s="242"/>
      <c r="J56" s="242"/>
      <c r="K56" s="242"/>
      <c r="L56" s="242"/>
      <c r="M56" s="242"/>
      <c r="N56" s="242"/>
      <c r="O56" s="242"/>
      <c r="P56" s="242"/>
    </row>
    <row r="57" spans="1:16">
      <c r="A57" s="242"/>
      <c r="B57" s="242"/>
      <c r="C57" s="242"/>
      <c r="D57" s="242"/>
      <c r="E57" s="242"/>
      <c r="F57" s="620"/>
      <c r="G57" s="242"/>
      <c r="H57" s="242"/>
      <c r="I57" s="242"/>
      <c r="J57" s="242"/>
      <c r="K57" s="242"/>
      <c r="L57" s="242"/>
      <c r="M57" s="242"/>
      <c r="N57" s="242"/>
      <c r="O57" s="242"/>
      <c r="P57" s="242"/>
    </row>
    <row r="58" spans="1:16">
      <c r="A58" s="242"/>
      <c r="B58" s="242"/>
      <c r="C58" s="242"/>
      <c r="D58" s="242"/>
      <c r="E58" s="242"/>
      <c r="F58" s="620"/>
      <c r="G58" s="242"/>
      <c r="H58" s="242"/>
      <c r="I58" s="242"/>
      <c r="J58" s="242"/>
      <c r="K58" s="242"/>
      <c r="L58" s="242"/>
      <c r="M58" s="242"/>
      <c r="N58" s="242"/>
      <c r="O58" s="242"/>
      <c r="P58" s="242"/>
    </row>
    <row r="59" spans="1:16">
      <c r="A59" s="242"/>
      <c r="B59" s="242"/>
      <c r="C59" s="242"/>
      <c r="D59" s="242"/>
      <c r="E59" s="242"/>
      <c r="F59" s="620"/>
      <c r="G59" s="242"/>
      <c r="H59" s="242"/>
      <c r="I59" s="242"/>
      <c r="J59" s="242"/>
      <c r="K59" s="242"/>
      <c r="L59" s="242"/>
      <c r="M59" s="242"/>
      <c r="N59" s="242"/>
      <c r="O59" s="242"/>
      <c r="P59" s="242"/>
    </row>
    <row r="60" spans="1:16">
      <c r="A60" s="242"/>
      <c r="B60" s="242"/>
      <c r="C60" s="242"/>
      <c r="D60" s="242"/>
      <c r="E60" s="242"/>
      <c r="F60" s="620"/>
      <c r="G60" s="242"/>
      <c r="H60" s="242"/>
      <c r="I60" s="242"/>
      <c r="J60" s="242"/>
      <c r="K60" s="242"/>
      <c r="L60" s="242"/>
      <c r="M60" s="242"/>
      <c r="N60" s="242"/>
      <c r="O60" s="242"/>
      <c r="P60" s="242"/>
    </row>
    <row r="61" spans="1:16">
      <c r="A61" s="242"/>
      <c r="B61" s="242"/>
      <c r="C61" s="242"/>
      <c r="D61" s="242"/>
      <c r="E61" s="242"/>
      <c r="F61" s="620"/>
      <c r="G61" s="242"/>
      <c r="H61" s="242"/>
      <c r="I61" s="242"/>
      <c r="J61" s="242"/>
      <c r="K61" s="242"/>
      <c r="L61" s="242"/>
      <c r="M61" s="242"/>
      <c r="N61" s="242"/>
      <c r="O61" s="242"/>
      <c r="P61" s="242"/>
    </row>
    <row r="62" spans="1:16">
      <c r="A62" s="242"/>
      <c r="B62" s="242"/>
      <c r="C62" s="242"/>
      <c r="D62" s="242"/>
      <c r="E62" s="242"/>
      <c r="F62" s="620"/>
      <c r="G62" s="242"/>
      <c r="H62" s="242"/>
      <c r="I62" s="242"/>
      <c r="J62" s="242"/>
      <c r="K62" s="242"/>
      <c r="L62" s="242"/>
      <c r="M62" s="242"/>
      <c r="N62" s="242"/>
      <c r="O62" s="242"/>
      <c r="P62" s="242"/>
    </row>
    <row r="63" spans="1:16">
      <c r="A63" s="242"/>
      <c r="B63" s="242"/>
      <c r="C63" s="242"/>
      <c r="D63" s="242"/>
      <c r="E63" s="242"/>
      <c r="F63" s="620"/>
      <c r="G63" s="242"/>
      <c r="H63" s="242"/>
      <c r="I63" s="242"/>
      <c r="J63" s="242"/>
      <c r="K63" s="242"/>
      <c r="L63" s="242"/>
      <c r="M63" s="242"/>
      <c r="N63" s="242"/>
      <c r="O63" s="242"/>
      <c r="P63" s="242"/>
    </row>
    <row r="64" spans="1:16">
      <c r="A64" s="242"/>
      <c r="B64" s="242"/>
      <c r="C64" s="242"/>
      <c r="D64" s="242"/>
      <c r="E64" s="242"/>
      <c r="F64" s="620"/>
      <c r="G64" s="242"/>
      <c r="H64" s="242"/>
      <c r="I64" s="242"/>
      <c r="J64" s="242"/>
      <c r="K64" s="242"/>
      <c r="L64" s="242"/>
      <c r="M64" s="242"/>
      <c r="N64" s="242"/>
      <c r="O64" s="242"/>
      <c r="P64" s="242"/>
    </row>
    <row r="65" spans="1:16">
      <c r="A65" s="242"/>
      <c r="B65" s="242"/>
      <c r="C65" s="242"/>
      <c r="D65" s="242"/>
      <c r="E65" s="242"/>
      <c r="F65" s="620"/>
      <c r="G65" s="242"/>
      <c r="H65" s="242"/>
      <c r="I65" s="242"/>
      <c r="J65" s="242"/>
      <c r="K65" s="242"/>
      <c r="L65" s="242"/>
      <c r="M65" s="242"/>
      <c r="N65" s="242"/>
      <c r="O65" s="242"/>
      <c r="P65" s="242"/>
    </row>
    <row r="66" spans="1:16">
      <c r="A66" s="242"/>
      <c r="B66" s="242"/>
      <c r="C66" s="242"/>
      <c r="D66" s="242"/>
      <c r="E66" s="242"/>
      <c r="F66" s="620"/>
      <c r="G66" s="242"/>
      <c r="H66" s="242"/>
      <c r="I66" s="242"/>
      <c r="J66" s="242"/>
      <c r="K66" s="242"/>
      <c r="L66" s="242"/>
      <c r="M66" s="242"/>
      <c r="N66" s="242"/>
      <c r="O66" s="242"/>
      <c r="P66" s="242"/>
    </row>
    <row r="67" spans="1:16">
      <c r="A67" s="242"/>
      <c r="B67" s="242"/>
      <c r="C67" s="242"/>
      <c r="D67" s="242"/>
      <c r="E67" s="242"/>
      <c r="F67" s="620"/>
      <c r="G67" s="242"/>
      <c r="H67" s="242"/>
      <c r="I67" s="242"/>
      <c r="J67" s="242"/>
      <c r="K67" s="242"/>
      <c r="L67" s="242"/>
      <c r="M67" s="242"/>
      <c r="N67" s="242"/>
      <c r="O67" s="242"/>
      <c r="P67" s="242"/>
    </row>
    <row r="68" spans="1:16">
      <c r="A68" s="242"/>
      <c r="B68" s="242"/>
      <c r="C68" s="242"/>
      <c r="D68" s="242"/>
      <c r="E68" s="242"/>
      <c r="F68" s="620"/>
      <c r="G68" s="242"/>
      <c r="H68" s="242"/>
      <c r="I68" s="242"/>
      <c r="J68" s="242"/>
      <c r="K68" s="242"/>
      <c r="L68" s="242"/>
      <c r="M68" s="242"/>
      <c r="N68" s="242"/>
      <c r="O68" s="242"/>
      <c r="P68" s="242"/>
    </row>
    <row r="69" spans="1:16">
      <c r="A69" s="242"/>
      <c r="B69" s="242"/>
      <c r="C69" s="242"/>
      <c r="D69" s="242"/>
      <c r="E69" s="242"/>
      <c r="F69" s="620"/>
      <c r="G69" s="242"/>
      <c r="H69" s="242"/>
      <c r="I69" s="242"/>
      <c r="J69" s="242"/>
      <c r="K69" s="242"/>
      <c r="L69" s="242"/>
      <c r="M69" s="242"/>
      <c r="N69" s="242"/>
      <c r="O69" s="242"/>
      <c r="P69" s="242"/>
    </row>
    <row r="70" spans="1:16">
      <c r="A70" s="242"/>
      <c r="B70" s="242"/>
      <c r="C70" s="242"/>
      <c r="D70" s="242"/>
      <c r="E70" s="242"/>
      <c r="F70" s="620"/>
      <c r="G70" s="242"/>
      <c r="H70" s="242"/>
      <c r="I70" s="242"/>
      <c r="J70" s="242"/>
      <c r="K70" s="242"/>
      <c r="L70" s="242"/>
      <c r="M70" s="242"/>
      <c r="N70" s="242"/>
      <c r="O70" s="242"/>
      <c r="P70" s="242"/>
    </row>
    <row r="71" spans="1:16">
      <c r="A71" s="242"/>
      <c r="B71" s="242"/>
      <c r="C71" s="242"/>
      <c r="D71" s="242"/>
      <c r="E71" s="242"/>
      <c r="F71" s="620"/>
      <c r="G71" s="242"/>
      <c r="H71" s="242"/>
      <c r="I71" s="242"/>
      <c r="J71" s="242"/>
      <c r="K71" s="242"/>
      <c r="L71" s="242"/>
      <c r="M71" s="242"/>
      <c r="N71" s="242"/>
      <c r="O71" s="242"/>
      <c r="P71" s="242"/>
    </row>
    <row r="72" spans="1:16">
      <c r="A72" s="242"/>
      <c r="B72" s="242"/>
      <c r="C72" s="242"/>
      <c r="D72" s="242"/>
      <c r="E72" s="242"/>
      <c r="F72" s="620"/>
      <c r="G72" s="242"/>
      <c r="H72" s="242"/>
      <c r="I72" s="242"/>
      <c r="J72" s="242"/>
      <c r="K72" s="242"/>
      <c r="L72" s="242"/>
      <c r="M72" s="242"/>
      <c r="N72" s="242"/>
      <c r="O72" s="242"/>
      <c r="P72" s="242"/>
    </row>
    <row r="73" spans="1:16">
      <c r="A73" s="242"/>
      <c r="B73" s="242"/>
      <c r="C73" s="242"/>
      <c r="D73" s="242"/>
      <c r="E73" s="242"/>
      <c r="F73" s="620"/>
      <c r="G73" s="242"/>
      <c r="H73" s="242"/>
      <c r="I73" s="242"/>
      <c r="J73" s="242"/>
      <c r="K73" s="242"/>
      <c r="L73" s="242"/>
      <c r="M73" s="242"/>
      <c r="N73" s="242"/>
      <c r="O73" s="242"/>
      <c r="P73" s="242"/>
    </row>
    <row r="74" spans="1:16">
      <c r="A74" s="242"/>
      <c r="B74" s="242"/>
      <c r="C74" s="242"/>
      <c r="D74" s="242"/>
      <c r="E74" s="242"/>
      <c r="F74" s="620"/>
      <c r="G74" s="242"/>
      <c r="H74" s="242"/>
      <c r="I74" s="242"/>
      <c r="J74" s="242"/>
      <c r="K74" s="242"/>
      <c r="L74" s="242"/>
      <c r="M74" s="242"/>
      <c r="N74" s="242"/>
      <c r="O74" s="242"/>
      <c r="P74" s="242"/>
    </row>
    <row r="75" spans="1:16">
      <c r="A75" s="242"/>
      <c r="B75" s="242"/>
      <c r="C75" s="242"/>
      <c r="D75" s="242"/>
      <c r="E75" s="242"/>
      <c r="F75" s="620"/>
      <c r="G75" s="242"/>
      <c r="H75" s="242"/>
      <c r="I75" s="242"/>
      <c r="J75" s="242"/>
      <c r="K75" s="242"/>
      <c r="L75" s="242"/>
      <c r="M75" s="242"/>
      <c r="N75" s="242"/>
      <c r="O75" s="242"/>
      <c r="P75" s="242"/>
    </row>
    <row r="76" spans="1:16">
      <c r="A76" s="242"/>
      <c r="B76" s="242"/>
      <c r="C76" s="242"/>
      <c r="D76" s="242"/>
      <c r="E76" s="242"/>
      <c r="F76" s="620"/>
      <c r="G76" s="242"/>
      <c r="H76" s="242"/>
      <c r="I76" s="242"/>
      <c r="J76" s="242"/>
      <c r="K76" s="242"/>
      <c r="L76" s="242"/>
      <c r="M76" s="242"/>
      <c r="N76" s="242"/>
      <c r="O76" s="242"/>
      <c r="P76" s="242"/>
    </row>
    <row r="77" spans="1:16">
      <c r="A77" s="242"/>
      <c r="B77" s="242"/>
      <c r="C77" s="242"/>
      <c r="D77" s="242"/>
      <c r="E77" s="242"/>
      <c r="F77" s="620"/>
      <c r="G77" s="242"/>
      <c r="H77" s="242"/>
      <c r="I77" s="242"/>
      <c r="J77" s="242"/>
      <c r="K77" s="242"/>
      <c r="L77" s="242"/>
      <c r="M77" s="242"/>
      <c r="N77" s="242"/>
      <c r="O77" s="242"/>
      <c r="P77" s="242"/>
    </row>
    <row r="78" spans="1:16">
      <c r="A78" s="242"/>
      <c r="B78" s="242"/>
      <c r="C78" s="242"/>
      <c r="D78" s="242"/>
      <c r="E78" s="242"/>
      <c r="F78" s="620"/>
      <c r="G78" s="242"/>
      <c r="H78" s="242"/>
      <c r="I78" s="242"/>
      <c r="J78" s="242"/>
      <c r="K78" s="242"/>
      <c r="L78" s="242"/>
      <c r="M78" s="242"/>
      <c r="N78" s="242"/>
      <c r="O78" s="242"/>
      <c r="P78" s="242"/>
    </row>
    <row r="79" spans="1:16">
      <c r="A79" s="242"/>
      <c r="B79" s="242"/>
      <c r="C79" s="242"/>
      <c r="D79" s="242"/>
      <c r="E79" s="242"/>
      <c r="F79" s="620"/>
      <c r="G79" s="242"/>
      <c r="H79" s="242"/>
      <c r="I79" s="242"/>
      <c r="J79" s="242"/>
      <c r="K79" s="242"/>
      <c r="L79" s="242"/>
      <c r="M79" s="242"/>
      <c r="N79" s="242"/>
      <c r="O79" s="242"/>
      <c r="P79" s="242"/>
    </row>
    <row r="80" spans="1:16">
      <c r="A80" s="242"/>
      <c r="B80" s="242"/>
      <c r="C80" s="242"/>
      <c r="D80" s="242"/>
      <c r="E80" s="242"/>
      <c r="F80" s="620"/>
      <c r="G80" s="242"/>
      <c r="H80" s="242"/>
      <c r="I80" s="242"/>
      <c r="J80" s="242"/>
      <c r="K80" s="242"/>
      <c r="L80" s="242"/>
      <c r="M80" s="242"/>
      <c r="N80" s="242"/>
      <c r="O80" s="242"/>
      <c r="P80" s="242"/>
    </row>
    <row r="81" spans="1:16">
      <c r="A81" s="242"/>
      <c r="B81" s="242"/>
      <c r="C81" s="242"/>
      <c r="D81" s="242"/>
      <c r="E81" s="242"/>
      <c r="F81" s="620"/>
      <c r="G81" s="242"/>
      <c r="H81" s="242"/>
      <c r="I81" s="242"/>
      <c r="J81" s="242"/>
      <c r="K81" s="242"/>
      <c r="L81" s="242"/>
      <c r="M81" s="242"/>
      <c r="N81" s="242"/>
      <c r="O81" s="242"/>
      <c r="P81" s="242"/>
    </row>
    <row r="82" spans="1:16">
      <c r="A82" s="242"/>
      <c r="B82" s="242"/>
      <c r="C82" s="242"/>
      <c r="D82" s="242"/>
      <c r="E82" s="242"/>
      <c r="F82" s="620"/>
      <c r="G82" s="242"/>
      <c r="H82" s="242"/>
      <c r="I82" s="242"/>
      <c r="J82" s="242"/>
      <c r="K82" s="242"/>
      <c r="L82" s="242"/>
      <c r="M82" s="242"/>
      <c r="N82" s="242"/>
      <c r="O82" s="242"/>
      <c r="P82" s="242"/>
    </row>
    <row r="83" spans="1:16">
      <c r="A83" s="242"/>
      <c r="B83" s="242"/>
      <c r="C83" s="242"/>
      <c r="D83" s="242"/>
      <c r="E83" s="242"/>
      <c r="F83" s="620"/>
      <c r="G83" s="242"/>
      <c r="H83" s="242"/>
      <c r="I83" s="242"/>
      <c r="J83" s="242"/>
      <c r="K83" s="242"/>
      <c r="L83" s="242"/>
      <c r="M83" s="242"/>
      <c r="N83" s="242"/>
      <c r="O83" s="242"/>
      <c r="P83" s="242"/>
    </row>
    <row r="84" spans="1:16">
      <c r="A84" s="242"/>
      <c r="B84" s="242"/>
      <c r="C84" s="242"/>
      <c r="D84" s="242"/>
      <c r="E84" s="242"/>
      <c r="F84" s="620"/>
      <c r="G84" s="242"/>
      <c r="H84" s="242"/>
      <c r="I84" s="242"/>
      <c r="J84" s="242"/>
      <c r="K84" s="242"/>
      <c r="L84" s="242"/>
      <c r="M84" s="242"/>
      <c r="N84" s="242"/>
      <c r="O84" s="242"/>
      <c r="P84" s="242"/>
    </row>
    <row r="85" spans="1:16">
      <c r="A85" s="242"/>
      <c r="B85" s="242"/>
      <c r="C85" s="242"/>
      <c r="D85" s="242"/>
      <c r="E85" s="242"/>
      <c r="F85" s="620"/>
      <c r="G85" s="242"/>
      <c r="H85" s="242"/>
      <c r="I85" s="242"/>
      <c r="J85" s="242"/>
      <c r="K85" s="242"/>
      <c r="L85" s="242"/>
      <c r="M85" s="242"/>
      <c r="N85" s="242"/>
      <c r="O85" s="242"/>
      <c r="P85" s="242"/>
    </row>
    <row r="86" spans="1:16">
      <c r="A86" s="242"/>
      <c r="B86" s="242"/>
      <c r="C86" s="242"/>
      <c r="D86" s="242"/>
      <c r="E86" s="242"/>
      <c r="F86" s="620"/>
      <c r="G86" s="242"/>
      <c r="H86" s="242"/>
      <c r="I86" s="242"/>
      <c r="J86" s="242"/>
      <c r="K86" s="242"/>
      <c r="L86" s="242"/>
      <c r="M86" s="242"/>
      <c r="N86" s="242"/>
      <c r="O86" s="242"/>
      <c r="P86" s="242"/>
    </row>
    <row r="87" spans="1:16">
      <c r="A87" s="242"/>
      <c r="B87" s="242"/>
      <c r="C87" s="242"/>
      <c r="D87" s="242"/>
      <c r="E87" s="242"/>
      <c r="F87" s="620"/>
      <c r="G87" s="242"/>
      <c r="H87" s="242"/>
      <c r="I87" s="242"/>
      <c r="J87" s="242"/>
      <c r="K87" s="242"/>
      <c r="L87" s="242"/>
      <c r="M87" s="242"/>
      <c r="N87" s="242"/>
      <c r="O87" s="242"/>
      <c r="P87" s="242"/>
    </row>
    <row r="88" spans="1:16">
      <c r="A88" s="242"/>
      <c r="B88" s="242"/>
      <c r="C88" s="242"/>
      <c r="D88" s="242"/>
      <c r="E88" s="242"/>
      <c r="F88" s="620"/>
      <c r="G88" s="242"/>
      <c r="H88" s="242"/>
      <c r="I88" s="242"/>
      <c r="J88" s="242"/>
      <c r="K88" s="242"/>
      <c r="L88" s="242"/>
      <c r="M88" s="242"/>
      <c r="N88" s="242"/>
      <c r="O88" s="242"/>
      <c r="P88" s="242"/>
    </row>
    <row r="89" spans="1:16">
      <c r="A89" s="242"/>
      <c r="B89" s="242"/>
      <c r="C89" s="242"/>
      <c r="D89" s="242"/>
      <c r="E89" s="242"/>
      <c r="F89" s="620"/>
      <c r="G89" s="242"/>
      <c r="H89" s="242"/>
      <c r="I89" s="242"/>
      <c r="J89" s="242"/>
      <c r="K89" s="242"/>
      <c r="L89" s="242"/>
      <c r="M89" s="242"/>
      <c r="N89" s="242"/>
      <c r="O89" s="242"/>
      <c r="P89" s="242"/>
    </row>
    <row r="90" spans="1:16">
      <c r="A90" s="242"/>
      <c r="B90" s="242"/>
      <c r="C90" s="242"/>
      <c r="D90" s="242"/>
      <c r="E90" s="242"/>
      <c r="F90" s="620"/>
      <c r="G90" s="242"/>
      <c r="H90" s="242"/>
      <c r="I90" s="242"/>
      <c r="J90" s="242"/>
      <c r="K90" s="242"/>
      <c r="L90" s="242"/>
      <c r="M90" s="242"/>
      <c r="N90" s="242"/>
      <c r="O90" s="242"/>
      <c r="P90" s="242"/>
    </row>
    <row r="91" spans="1:16">
      <c r="A91" s="242"/>
      <c r="B91" s="242"/>
      <c r="C91" s="242"/>
      <c r="D91" s="242"/>
      <c r="E91" s="242"/>
      <c r="F91" s="620"/>
      <c r="G91" s="242"/>
      <c r="H91" s="242"/>
      <c r="I91" s="242"/>
      <c r="J91" s="242"/>
      <c r="K91" s="242"/>
      <c r="L91" s="242"/>
      <c r="M91" s="242"/>
      <c r="N91" s="242"/>
      <c r="O91" s="242"/>
      <c r="P91" s="242"/>
    </row>
    <row r="92" spans="1:16">
      <c r="A92" s="242"/>
      <c r="B92" s="242"/>
      <c r="C92" s="242"/>
      <c r="D92" s="242"/>
      <c r="E92" s="242"/>
      <c r="F92" s="620"/>
      <c r="G92" s="242"/>
      <c r="H92" s="242"/>
      <c r="I92" s="242"/>
      <c r="J92" s="242"/>
      <c r="K92" s="242"/>
      <c r="L92" s="242"/>
      <c r="M92" s="242"/>
      <c r="N92" s="242"/>
      <c r="O92" s="242"/>
      <c r="P92" s="242"/>
    </row>
    <row r="93" spans="1:16">
      <c r="A93" s="242"/>
      <c r="B93" s="242"/>
      <c r="C93" s="242"/>
      <c r="D93" s="242"/>
      <c r="E93" s="242"/>
      <c r="F93" s="620"/>
      <c r="G93" s="242"/>
      <c r="H93" s="242"/>
      <c r="I93" s="242"/>
      <c r="J93" s="242"/>
      <c r="K93" s="242"/>
      <c r="L93" s="242"/>
      <c r="M93" s="242"/>
      <c r="N93" s="242"/>
      <c r="O93" s="242"/>
      <c r="P93" s="242"/>
    </row>
    <row r="94" spans="1:16">
      <c r="A94" s="242"/>
      <c r="B94" s="242"/>
      <c r="C94" s="242"/>
      <c r="D94" s="242"/>
      <c r="E94" s="242"/>
      <c r="F94" s="620"/>
      <c r="G94" s="242"/>
      <c r="H94" s="242"/>
      <c r="I94" s="242"/>
      <c r="J94" s="242"/>
      <c r="K94" s="242"/>
      <c r="L94" s="242"/>
      <c r="M94" s="242"/>
      <c r="N94" s="242"/>
      <c r="O94" s="242"/>
      <c r="P94" s="242"/>
    </row>
    <row r="95" spans="1:16">
      <c r="A95" s="242"/>
      <c r="B95" s="242"/>
      <c r="C95" s="242"/>
      <c r="D95" s="242"/>
      <c r="E95" s="242"/>
      <c r="F95" s="620"/>
      <c r="G95" s="242"/>
      <c r="H95" s="242"/>
      <c r="I95" s="242"/>
      <c r="J95" s="242"/>
      <c r="K95" s="242"/>
      <c r="L95" s="242"/>
      <c r="M95" s="242"/>
      <c r="N95" s="242"/>
      <c r="O95" s="242"/>
      <c r="P95" s="242"/>
    </row>
    <row r="96" spans="1:16">
      <c r="A96" s="242"/>
      <c r="B96" s="242"/>
      <c r="C96" s="242"/>
      <c r="D96" s="242"/>
      <c r="E96" s="242"/>
      <c r="F96" s="620"/>
      <c r="G96" s="242"/>
      <c r="H96" s="242"/>
      <c r="I96" s="242"/>
      <c r="J96" s="242"/>
      <c r="K96" s="242"/>
      <c r="L96" s="242"/>
      <c r="M96" s="242"/>
      <c r="N96" s="242"/>
      <c r="O96" s="242"/>
      <c r="P96" s="242"/>
    </row>
    <row r="97" spans="1:16">
      <c r="A97" s="242"/>
      <c r="B97" s="242"/>
      <c r="C97" s="242"/>
      <c r="D97" s="242"/>
      <c r="E97" s="242"/>
      <c r="F97" s="620"/>
      <c r="G97" s="242"/>
      <c r="H97" s="242"/>
      <c r="I97" s="242"/>
      <c r="J97" s="242"/>
      <c r="K97" s="242"/>
      <c r="L97" s="242"/>
      <c r="M97" s="242"/>
      <c r="N97" s="242"/>
      <c r="O97" s="242"/>
      <c r="P97" s="242"/>
    </row>
    <row r="98" spans="1:16">
      <c r="A98" s="242"/>
      <c r="B98" s="242"/>
      <c r="C98" s="242"/>
      <c r="D98" s="242"/>
      <c r="E98" s="242"/>
      <c r="F98" s="620"/>
      <c r="G98" s="242"/>
      <c r="H98" s="242"/>
      <c r="I98" s="242"/>
      <c r="J98" s="242"/>
      <c r="K98" s="242"/>
      <c r="L98" s="242"/>
      <c r="M98" s="242"/>
      <c r="N98" s="242"/>
      <c r="O98" s="242"/>
      <c r="P98" s="242"/>
    </row>
    <row r="99" spans="1:16">
      <c r="A99" s="242"/>
      <c r="B99" s="242"/>
      <c r="C99" s="242"/>
      <c r="D99" s="242"/>
      <c r="E99" s="242"/>
      <c r="F99" s="620"/>
      <c r="G99" s="242"/>
      <c r="H99" s="242"/>
      <c r="I99" s="242"/>
      <c r="J99" s="242"/>
      <c r="K99" s="242"/>
      <c r="L99" s="242"/>
      <c r="M99" s="242"/>
      <c r="N99" s="242"/>
      <c r="O99" s="242"/>
      <c r="P99" s="242"/>
    </row>
    <row r="100" spans="1:16">
      <c r="A100" s="242"/>
      <c r="B100" s="242"/>
      <c r="C100" s="242"/>
      <c r="D100" s="242"/>
      <c r="E100" s="242"/>
      <c r="F100" s="620"/>
      <c r="G100" s="242"/>
      <c r="H100" s="242"/>
      <c r="I100" s="242"/>
      <c r="J100" s="242"/>
      <c r="K100" s="242"/>
      <c r="L100" s="242"/>
      <c r="M100" s="242"/>
      <c r="N100" s="242"/>
      <c r="O100" s="242"/>
      <c r="P100" s="242"/>
    </row>
    <row r="101" spans="1:16">
      <c r="A101" s="242"/>
      <c r="B101" s="242"/>
      <c r="C101" s="242"/>
      <c r="D101" s="242"/>
      <c r="E101" s="242"/>
      <c r="F101" s="620"/>
      <c r="G101" s="242"/>
      <c r="H101" s="242"/>
      <c r="I101" s="242"/>
      <c r="J101" s="242"/>
      <c r="K101" s="242"/>
      <c r="L101" s="242"/>
      <c r="M101" s="242"/>
      <c r="N101" s="242"/>
      <c r="O101" s="242"/>
      <c r="P101" s="242"/>
    </row>
    <row r="102" spans="1:16">
      <c r="A102" s="242"/>
      <c r="B102" s="242"/>
      <c r="C102" s="242"/>
      <c r="D102" s="242"/>
      <c r="E102" s="242"/>
      <c r="F102" s="620"/>
      <c r="G102" s="242"/>
      <c r="H102" s="242"/>
      <c r="I102" s="242"/>
      <c r="J102" s="242"/>
      <c r="K102" s="242"/>
      <c r="L102" s="242"/>
      <c r="M102" s="242"/>
      <c r="N102" s="242"/>
      <c r="O102" s="242"/>
      <c r="P102" s="242"/>
    </row>
    <row r="103" spans="1:16">
      <c r="A103" s="242"/>
      <c r="B103" s="242"/>
      <c r="C103" s="242"/>
      <c r="D103" s="242"/>
      <c r="E103" s="242"/>
      <c r="F103" s="620"/>
      <c r="G103" s="242"/>
      <c r="H103" s="242"/>
      <c r="I103" s="242"/>
      <c r="J103" s="242"/>
      <c r="K103" s="242"/>
      <c r="L103" s="242"/>
      <c r="M103" s="242"/>
      <c r="N103" s="242"/>
      <c r="O103" s="242"/>
      <c r="P103" s="242"/>
    </row>
    <row r="104" spans="1:16">
      <c r="A104" s="242"/>
      <c r="B104" s="242"/>
      <c r="C104" s="242"/>
      <c r="D104" s="242"/>
      <c r="E104" s="242"/>
      <c r="F104" s="620"/>
      <c r="G104" s="242"/>
      <c r="H104" s="242"/>
      <c r="I104" s="242"/>
      <c r="J104" s="242"/>
      <c r="K104" s="242"/>
      <c r="L104" s="242"/>
      <c r="M104" s="242"/>
      <c r="N104" s="242"/>
      <c r="O104" s="242"/>
      <c r="P104" s="242"/>
    </row>
    <row r="105" spans="1:16">
      <c r="A105" s="242"/>
      <c r="B105" s="242"/>
      <c r="C105" s="242"/>
      <c r="D105" s="242"/>
      <c r="E105" s="242"/>
      <c r="F105" s="620"/>
      <c r="G105" s="242"/>
      <c r="H105" s="242"/>
      <c r="I105" s="242"/>
      <c r="J105" s="242"/>
      <c r="K105" s="242"/>
      <c r="L105" s="242"/>
      <c r="M105" s="242"/>
      <c r="N105" s="242"/>
      <c r="O105" s="242"/>
      <c r="P105" s="242"/>
    </row>
    <row r="106" spans="1:16">
      <c r="A106" s="242"/>
      <c r="B106" s="242"/>
      <c r="C106" s="242"/>
      <c r="D106" s="242"/>
      <c r="E106" s="242"/>
      <c r="F106" s="620"/>
      <c r="G106" s="242"/>
      <c r="H106" s="242"/>
      <c r="I106" s="242"/>
      <c r="J106" s="242"/>
      <c r="K106" s="242"/>
      <c r="L106" s="242"/>
      <c r="M106" s="242"/>
      <c r="N106" s="242"/>
      <c r="O106" s="242"/>
      <c r="P106" s="242"/>
    </row>
    <row r="107" spans="1:16">
      <c r="A107" s="242"/>
      <c r="B107" s="242"/>
      <c r="C107" s="242"/>
      <c r="D107" s="242"/>
      <c r="E107" s="242"/>
      <c r="F107" s="620"/>
      <c r="G107" s="242"/>
      <c r="H107" s="242"/>
      <c r="I107" s="242"/>
      <c r="J107" s="242"/>
      <c r="K107" s="242"/>
      <c r="L107" s="242"/>
      <c r="M107" s="242"/>
      <c r="N107" s="242"/>
      <c r="O107" s="242"/>
      <c r="P107" s="242"/>
    </row>
    <row r="108" spans="1:16">
      <c r="A108" s="242"/>
      <c r="B108" s="242"/>
      <c r="C108" s="242"/>
      <c r="D108" s="242"/>
      <c r="E108" s="242"/>
      <c r="F108" s="620"/>
      <c r="G108" s="242"/>
      <c r="H108" s="242"/>
      <c r="I108" s="242"/>
      <c r="J108" s="242"/>
      <c r="K108" s="242"/>
      <c r="L108" s="242"/>
      <c r="M108" s="242"/>
      <c r="N108" s="242"/>
      <c r="O108" s="242"/>
      <c r="P108" s="242"/>
    </row>
    <row r="109" spans="1:16">
      <c r="A109" s="242"/>
      <c r="B109" s="242"/>
      <c r="C109" s="242"/>
      <c r="D109" s="242"/>
      <c r="E109" s="242"/>
      <c r="F109" s="620"/>
      <c r="G109" s="242"/>
      <c r="H109" s="242"/>
      <c r="I109" s="242"/>
      <c r="J109" s="242"/>
      <c r="K109" s="242"/>
      <c r="L109" s="242"/>
      <c r="M109" s="242"/>
      <c r="N109" s="242"/>
      <c r="O109" s="242"/>
      <c r="P109" s="242"/>
    </row>
    <row r="110" spans="1:16">
      <c r="A110" s="242"/>
      <c r="B110" s="242"/>
      <c r="C110" s="242"/>
      <c r="D110" s="242"/>
      <c r="E110" s="242"/>
      <c r="F110" s="620"/>
      <c r="G110" s="242"/>
      <c r="H110" s="242"/>
      <c r="I110" s="242"/>
      <c r="J110" s="242"/>
      <c r="K110" s="242"/>
      <c r="L110" s="242"/>
      <c r="M110" s="242"/>
      <c r="N110" s="242"/>
      <c r="O110" s="242"/>
      <c r="P110" s="242"/>
    </row>
    <row r="111" spans="1:16">
      <c r="A111" s="242"/>
      <c r="B111" s="242"/>
      <c r="C111" s="242"/>
      <c r="D111" s="242"/>
      <c r="E111" s="242"/>
      <c r="F111" s="620"/>
      <c r="G111" s="242"/>
      <c r="H111" s="242"/>
      <c r="I111" s="242"/>
      <c r="J111" s="242"/>
      <c r="K111" s="242"/>
      <c r="L111" s="242"/>
      <c r="M111" s="242"/>
      <c r="N111" s="242"/>
      <c r="O111" s="242"/>
      <c r="P111" s="242"/>
    </row>
    <row r="112" spans="1:16">
      <c r="A112" s="242"/>
      <c r="B112" s="242"/>
      <c r="C112" s="242"/>
      <c r="D112" s="242"/>
      <c r="E112" s="242"/>
      <c r="F112" s="620"/>
      <c r="G112" s="242"/>
      <c r="H112" s="242"/>
      <c r="I112" s="242"/>
      <c r="J112" s="242"/>
      <c r="K112" s="242"/>
      <c r="L112" s="242"/>
      <c r="M112" s="242"/>
      <c r="N112" s="242"/>
      <c r="O112" s="242"/>
      <c r="P112" s="242"/>
    </row>
    <row r="113" spans="1:16">
      <c r="A113" s="242"/>
      <c r="B113" s="242"/>
      <c r="C113" s="242"/>
      <c r="D113" s="242"/>
      <c r="E113" s="242"/>
      <c r="F113" s="620"/>
      <c r="G113" s="242"/>
      <c r="H113" s="242"/>
      <c r="I113" s="242"/>
      <c r="J113" s="242"/>
      <c r="K113" s="242"/>
      <c r="L113" s="242"/>
      <c r="M113" s="242"/>
      <c r="N113" s="242"/>
      <c r="O113" s="242"/>
      <c r="P113" s="242"/>
    </row>
    <row r="114" spans="1:16">
      <c r="A114" s="242"/>
      <c r="B114" s="242"/>
      <c r="C114" s="242"/>
      <c r="D114" s="242"/>
      <c r="E114" s="242"/>
      <c r="F114" s="620"/>
      <c r="G114" s="242"/>
      <c r="H114" s="242"/>
      <c r="I114" s="242"/>
      <c r="J114" s="242"/>
      <c r="K114" s="242"/>
      <c r="L114" s="242"/>
      <c r="M114" s="242"/>
      <c r="N114" s="242"/>
      <c r="O114" s="242"/>
      <c r="P114" s="242"/>
    </row>
    <row r="115" spans="1:16">
      <c r="A115" s="242"/>
      <c r="B115" s="242"/>
      <c r="C115" s="242"/>
      <c r="D115" s="242"/>
      <c r="E115" s="242"/>
      <c r="F115" s="620"/>
      <c r="G115" s="242"/>
      <c r="H115" s="242"/>
      <c r="I115" s="242"/>
      <c r="J115" s="242"/>
      <c r="K115" s="242"/>
      <c r="L115" s="242"/>
      <c r="M115" s="242"/>
      <c r="N115" s="242"/>
      <c r="O115" s="242"/>
      <c r="P115" s="242"/>
    </row>
    <row r="116" spans="1:16">
      <c r="A116" s="242"/>
      <c r="B116" s="242"/>
      <c r="C116" s="242"/>
      <c r="D116" s="242"/>
      <c r="E116" s="242"/>
      <c r="F116" s="620"/>
      <c r="G116" s="242"/>
      <c r="H116" s="242"/>
      <c r="I116" s="242"/>
      <c r="J116" s="242"/>
      <c r="K116" s="242"/>
      <c r="L116" s="242"/>
      <c r="M116" s="242"/>
      <c r="N116" s="242"/>
      <c r="O116" s="242"/>
      <c r="P116" s="242"/>
    </row>
    <row r="117" spans="1:16">
      <c r="A117" s="242"/>
      <c r="B117" s="242"/>
      <c r="C117" s="242"/>
      <c r="D117" s="242"/>
      <c r="E117" s="242"/>
      <c r="F117" s="620"/>
      <c r="G117" s="242"/>
      <c r="H117" s="242"/>
      <c r="I117" s="242"/>
      <c r="J117" s="242"/>
      <c r="K117" s="242"/>
      <c r="L117" s="242"/>
      <c r="M117" s="242"/>
      <c r="N117" s="242"/>
      <c r="O117" s="242"/>
      <c r="P117" s="242"/>
    </row>
    <row r="118" spans="1:16">
      <c r="A118" s="242"/>
      <c r="B118" s="242"/>
      <c r="C118" s="242"/>
      <c r="D118" s="242"/>
      <c r="E118" s="242"/>
      <c r="F118" s="620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</row>
    <row r="119" spans="1:16">
      <c r="A119" s="242"/>
      <c r="B119" s="242"/>
      <c r="C119" s="242"/>
      <c r="D119" s="242"/>
      <c r="E119" s="242"/>
      <c r="F119" s="620"/>
      <c r="G119" s="242"/>
      <c r="H119" s="242"/>
      <c r="I119" s="242"/>
      <c r="J119" s="242"/>
      <c r="K119" s="242"/>
      <c r="L119" s="242"/>
      <c r="M119" s="242"/>
      <c r="N119" s="242"/>
      <c r="O119" s="242"/>
      <c r="P119" s="242"/>
    </row>
    <row r="120" spans="1:16">
      <c r="A120" s="242"/>
      <c r="B120" s="242"/>
      <c r="C120" s="242"/>
      <c r="D120" s="242"/>
      <c r="E120" s="242"/>
      <c r="F120" s="620"/>
      <c r="G120" s="242"/>
      <c r="H120" s="242"/>
      <c r="I120" s="242"/>
      <c r="J120" s="242"/>
      <c r="K120" s="242"/>
      <c r="L120" s="242"/>
      <c r="M120" s="242"/>
      <c r="N120" s="242"/>
      <c r="O120" s="242"/>
      <c r="P120" s="242"/>
    </row>
    <row r="121" spans="1:16">
      <c r="A121" s="242"/>
      <c r="B121" s="242"/>
      <c r="C121" s="242"/>
      <c r="D121" s="242"/>
      <c r="E121" s="242"/>
      <c r="F121" s="620"/>
      <c r="G121" s="242"/>
      <c r="H121" s="242"/>
      <c r="I121" s="242"/>
      <c r="J121" s="242"/>
      <c r="K121" s="242"/>
      <c r="L121" s="242"/>
      <c r="M121" s="242"/>
      <c r="N121" s="242"/>
      <c r="O121" s="242"/>
      <c r="P121" s="242"/>
    </row>
    <row r="122" spans="1:16">
      <c r="A122" s="242"/>
      <c r="B122" s="242"/>
      <c r="C122" s="242"/>
      <c r="D122" s="242"/>
      <c r="E122" s="242"/>
      <c r="F122" s="620"/>
      <c r="G122" s="242"/>
      <c r="H122" s="242"/>
      <c r="I122" s="242"/>
      <c r="J122" s="242"/>
      <c r="K122" s="242"/>
      <c r="L122" s="242"/>
      <c r="M122" s="242"/>
      <c r="N122" s="242"/>
      <c r="O122" s="242"/>
      <c r="P122" s="242"/>
    </row>
    <row r="123" spans="1:16">
      <c r="A123" s="242"/>
      <c r="B123" s="242"/>
      <c r="C123" s="242"/>
      <c r="D123" s="242"/>
      <c r="E123" s="242"/>
      <c r="F123" s="620"/>
      <c r="G123" s="242"/>
      <c r="H123" s="242"/>
      <c r="I123" s="242"/>
      <c r="J123" s="242"/>
      <c r="K123" s="242"/>
      <c r="L123" s="242"/>
      <c r="M123" s="242"/>
      <c r="N123" s="242"/>
      <c r="O123" s="242"/>
      <c r="P123" s="242"/>
    </row>
    <row r="124" spans="1:16">
      <c r="A124" s="242"/>
      <c r="B124" s="242"/>
      <c r="C124" s="242"/>
      <c r="D124" s="242"/>
      <c r="E124" s="242"/>
      <c r="F124" s="620"/>
      <c r="G124" s="242"/>
      <c r="H124" s="242"/>
      <c r="I124" s="242"/>
      <c r="J124" s="242"/>
      <c r="K124" s="242"/>
      <c r="L124" s="242"/>
      <c r="M124" s="242"/>
      <c r="N124" s="242"/>
      <c r="O124" s="242"/>
      <c r="P124" s="242"/>
    </row>
    <row r="125" spans="1:16">
      <c r="A125" s="242"/>
      <c r="B125" s="242"/>
      <c r="C125" s="242"/>
      <c r="D125" s="242"/>
      <c r="E125" s="242"/>
      <c r="F125" s="620"/>
      <c r="G125" s="242"/>
      <c r="H125" s="242"/>
      <c r="I125" s="242"/>
      <c r="J125" s="242"/>
      <c r="K125" s="242"/>
      <c r="L125" s="242"/>
      <c r="M125" s="242"/>
      <c r="N125" s="242"/>
      <c r="O125" s="242"/>
      <c r="P125" s="242"/>
    </row>
    <row r="126" spans="1:16">
      <c r="A126" s="242"/>
      <c r="B126" s="242"/>
      <c r="C126" s="242"/>
      <c r="D126" s="242"/>
      <c r="E126" s="242"/>
      <c r="F126" s="620"/>
      <c r="G126" s="242"/>
      <c r="H126" s="242"/>
      <c r="I126" s="242"/>
      <c r="J126" s="242"/>
      <c r="K126" s="242"/>
      <c r="L126" s="242"/>
      <c r="M126" s="242"/>
      <c r="N126" s="242"/>
      <c r="O126" s="242"/>
      <c r="P126" s="242"/>
    </row>
    <row r="127" spans="1:16">
      <c r="A127" s="242"/>
      <c r="B127" s="242"/>
      <c r="C127" s="242"/>
      <c r="D127" s="242"/>
      <c r="E127" s="242"/>
      <c r="F127" s="620"/>
      <c r="G127" s="242"/>
      <c r="H127" s="242"/>
      <c r="I127" s="242"/>
      <c r="J127" s="242"/>
      <c r="K127" s="242"/>
      <c r="L127" s="242"/>
      <c r="M127" s="242"/>
      <c r="N127" s="242"/>
      <c r="O127" s="242"/>
      <c r="P127" s="242"/>
    </row>
    <row r="128" spans="1:16">
      <c r="A128" s="242"/>
      <c r="B128" s="242"/>
      <c r="C128" s="242"/>
      <c r="D128" s="242"/>
      <c r="E128" s="242"/>
      <c r="F128" s="620"/>
      <c r="G128" s="242"/>
      <c r="H128" s="242"/>
      <c r="I128" s="242"/>
      <c r="J128" s="242"/>
      <c r="K128" s="242"/>
      <c r="L128" s="242"/>
      <c r="M128" s="242"/>
      <c r="N128" s="242"/>
      <c r="O128" s="242"/>
      <c r="P128" s="242"/>
    </row>
    <row r="129" spans="1:16">
      <c r="A129" s="242"/>
      <c r="B129" s="242"/>
      <c r="C129" s="242"/>
      <c r="D129" s="242"/>
      <c r="E129" s="242"/>
      <c r="F129" s="620"/>
      <c r="G129" s="242"/>
      <c r="H129" s="242"/>
      <c r="I129" s="242"/>
      <c r="J129" s="242"/>
      <c r="K129" s="242"/>
      <c r="L129" s="242"/>
      <c r="M129" s="242"/>
      <c r="N129" s="242"/>
      <c r="O129" s="242"/>
      <c r="P129" s="242"/>
    </row>
    <row r="130" spans="1:16">
      <c r="A130" s="242"/>
      <c r="B130" s="242"/>
      <c r="C130" s="242"/>
      <c r="D130" s="242"/>
      <c r="E130" s="242"/>
      <c r="F130" s="620"/>
      <c r="G130" s="242"/>
      <c r="H130" s="242"/>
      <c r="I130" s="242"/>
      <c r="J130" s="242"/>
      <c r="K130" s="242"/>
      <c r="L130" s="242"/>
      <c r="M130" s="242"/>
      <c r="N130" s="242"/>
      <c r="O130" s="242"/>
      <c r="P130" s="242"/>
    </row>
    <row r="131" spans="1:16">
      <c r="A131" s="242"/>
      <c r="B131" s="242"/>
      <c r="C131" s="242"/>
      <c r="D131" s="242"/>
      <c r="E131" s="242"/>
      <c r="F131" s="620"/>
      <c r="G131" s="242"/>
      <c r="H131" s="242"/>
      <c r="I131" s="242"/>
      <c r="J131" s="242"/>
      <c r="K131" s="242"/>
      <c r="L131" s="242"/>
      <c r="M131" s="242"/>
      <c r="N131" s="242"/>
      <c r="O131" s="242"/>
      <c r="P131" s="242"/>
    </row>
    <row r="132" spans="1:16">
      <c r="A132" s="242"/>
      <c r="B132" s="242"/>
      <c r="C132" s="242"/>
      <c r="D132" s="242"/>
      <c r="E132" s="242"/>
      <c r="F132" s="620"/>
      <c r="G132" s="242"/>
      <c r="H132" s="242"/>
      <c r="I132" s="242"/>
      <c r="J132" s="242"/>
      <c r="K132" s="242"/>
      <c r="L132" s="242"/>
      <c r="M132" s="242"/>
      <c r="N132" s="242"/>
      <c r="O132" s="242"/>
      <c r="P132" s="242"/>
    </row>
    <row r="133" spans="1:16">
      <c r="A133" s="242"/>
      <c r="B133" s="242"/>
      <c r="C133" s="242"/>
      <c r="D133" s="242"/>
      <c r="E133" s="242"/>
      <c r="F133" s="620"/>
      <c r="G133" s="242"/>
      <c r="H133" s="242"/>
      <c r="I133" s="242"/>
      <c r="J133" s="242"/>
      <c r="K133" s="242"/>
      <c r="L133" s="242"/>
      <c r="M133" s="242"/>
      <c r="N133" s="242"/>
      <c r="O133" s="242"/>
      <c r="P133" s="242"/>
    </row>
    <row r="134" spans="1:16">
      <c r="A134" s="242"/>
      <c r="B134" s="242"/>
      <c r="C134" s="242"/>
      <c r="D134" s="242"/>
      <c r="E134" s="242"/>
      <c r="F134" s="620"/>
      <c r="G134" s="242"/>
      <c r="H134" s="242"/>
      <c r="I134" s="242"/>
      <c r="J134" s="242"/>
      <c r="K134" s="242"/>
      <c r="L134" s="242"/>
      <c r="M134" s="242"/>
      <c r="N134" s="242"/>
      <c r="O134" s="242"/>
      <c r="P134" s="242"/>
    </row>
    <row r="135" spans="1:16">
      <c r="A135" s="242"/>
      <c r="B135" s="242"/>
      <c r="C135" s="242"/>
      <c r="D135" s="242"/>
      <c r="E135" s="242"/>
      <c r="F135" s="620"/>
      <c r="G135" s="242"/>
      <c r="H135" s="242"/>
      <c r="I135" s="242"/>
      <c r="J135" s="242"/>
      <c r="K135" s="242"/>
      <c r="L135" s="242"/>
      <c r="M135" s="242"/>
      <c r="N135" s="242"/>
      <c r="O135" s="242"/>
      <c r="P135" s="242"/>
    </row>
    <row r="136" spans="1:16">
      <c r="A136" s="242"/>
      <c r="B136" s="242"/>
      <c r="C136" s="242"/>
      <c r="D136" s="242"/>
      <c r="E136" s="242"/>
      <c r="F136" s="620"/>
      <c r="G136" s="242"/>
      <c r="H136" s="242"/>
      <c r="I136" s="242"/>
      <c r="J136" s="242"/>
      <c r="K136" s="242"/>
      <c r="L136" s="242"/>
      <c r="M136" s="242"/>
      <c r="N136" s="242"/>
      <c r="O136" s="242"/>
      <c r="P136" s="242"/>
    </row>
    <row r="137" spans="1:16">
      <c r="A137" s="242"/>
      <c r="B137" s="242"/>
      <c r="C137" s="242"/>
      <c r="D137" s="242"/>
      <c r="E137" s="242"/>
      <c r="F137" s="620"/>
      <c r="G137" s="242"/>
      <c r="H137" s="242"/>
      <c r="I137" s="242"/>
      <c r="J137" s="242"/>
      <c r="K137" s="242"/>
      <c r="L137" s="242"/>
      <c r="M137" s="242"/>
      <c r="N137" s="242"/>
      <c r="O137" s="242"/>
      <c r="P137" s="242"/>
    </row>
    <row r="138" spans="1:16">
      <c r="A138" s="242"/>
      <c r="B138" s="242"/>
      <c r="C138" s="242"/>
      <c r="D138" s="242"/>
      <c r="E138" s="242"/>
      <c r="F138" s="620"/>
      <c r="G138" s="242"/>
      <c r="H138" s="242"/>
      <c r="I138" s="242"/>
      <c r="J138" s="242"/>
      <c r="K138" s="242"/>
      <c r="L138" s="242"/>
      <c r="M138" s="242"/>
      <c r="N138" s="242"/>
      <c r="O138" s="242"/>
      <c r="P138" s="242"/>
    </row>
    <row r="139" spans="1:16">
      <c r="A139" s="242"/>
      <c r="B139" s="242"/>
      <c r="C139" s="242"/>
      <c r="D139" s="242"/>
      <c r="E139" s="242"/>
      <c r="F139" s="620"/>
      <c r="G139" s="242"/>
      <c r="H139" s="242"/>
      <c r="I139" s="242"/>
      <c r="J139" s="242"/>
      <c r="K139" s="242"/>
      <c r="L139" s="242"/>
      <c r="M139" s="242"/>
      <c r="N139" s="242"/>
      <c r="O139" s="242"/>
      <c r="P139" s="242"/>
    </row>
    <row r="140" spans="1:16">
      <c r="A140" s="242"/>
      <c r="B140" s="242"/>
      <c r="C140" s="242"/>
      <c r="D140" s="242"/>
      <c r="E140" s="242"/>
      <c r="F140" s="620"/>
      <c r="G140" s="242"/>
      <c r="H140" s="242"/>
      <c r="I140" s="242"/>
      <c r="J140" s="242"/>
      <c r="K140" s="242"/>
      <c r="L140" s="242"/>
      <c r="M140" s="242"/>
      <c r="N140" s="242"/>
      <c r="O140" s="242"/>
      <c r="P140" s="242"/>
    </row>
    <row r="141" spans="1:16">
      <c r="A141" s="242"/>
      <c r="B141" s="242"/>
      <c r="C141" s="242"/>
      <c r="D141" s="242"/>
      <c r="E141" s="242"/>
      <c r="F141" s="620"/>
      <c r="G141" s="242"/>
      <c r="H141" s="242"/>
      <c r="I141" s="242"/>
      <c r="J141" s="242"/>
      <c r="K141" s="242"/>
      <c r="L141" s="242"/>
      <c r="M141" s="242"/>
      <c r="N141" s="242"/>
      <c r="O141" s="242"/>
      <c r="P141" s="242"/>
    </row>
    <row r="142" spans="1:16">
      <c r="A142" s="242"/>
      <c r="B142" s="242"/>
      <c r="C142" s="242"/>
      <c r="D142" s="242"/>
      <c r="E142" s="242"/>
      <c r="F142" s="620"/>
      <c r="G142" s="242"/>
      <c r="H142" s="242"/>
      <c r="I142" s="242"/>
      <c r="J142" s="242"/>
      <c r="K142" s="242"/>
      <c r="L142" s="242"/>
      <c r="M142" s="242"/>
      <c r="N142" s="242"/>
      <c r="O142" s="242"/>
      <c r="P142" s="242"/>
    </row>
    <row r="143" spans="1:16">
      <c r="A143" s="242"/>
      <c r="B143" s="242"/>
      <c r="C143" s="242"/>
      <c r="D143" s="242"/>
      <c r="E143" s="242"/>
      <c r="F143" s="620"/>
      <c r="G143" s="242"/>
      <c r="H143" s="242"/>
      <c r="I143" s="242"/>
      <c r="J143" s="242"/>
      <c r="K143" s="242"/>
      <c r="L143" s="242"/>
      <c r="M143" s="242"/>
      <c r="N143" s="242"/>
      <c r="O143" s="242"/>
      <c r="P143" s="242"/>
    </row>
    <row r="144" spans="1:16">
      <c r="A144" s="242"/>
      <c r="B144" s="242"/>
      <c r="C144" s="242"/>
      <c r="D144" s="242"/>
      <c r="E144" s="242"/>
      <c r="F144" s="620"/>
      <c r="G144" s="242"/>
      <c r="H144" s="242"/>
      <c r="I144" s="242"/>
      <c r="J144" s="242"/>
      <c r="K144" s="242"/>
      <c r="L144" s="242"/>
      <c r="M144" s="242"/>
      <c r="N144" s="242"/>
      <c r="O144" s="242"/>
      <c r="P144" s="242"/>
    </row>
    <row r="145" spans="1:16">
      <c r="A145" s="242"/>
      <c r="B145" s="242"/>
      <c r="C145" s="242"/>
      <c r="D145" s="242"/>
      <c r="E145" s="242"/>
      <c r="F145" s="620"/>
      <c r="G145" s="242"/>
      <c r="H145" s="242"/>
      <c r="I145" s="242"/>
      <c r="J145" s="242"/>
      <c r="K145" s="242"/>
      <c r="L145" s="242"/>
      <c r="M145" s="242"/>
      <c r="N145" s="242"/>
      <c r="O145" s="242"/>
      <c r="P145" s="242"/>
    </row>
    <row r="146" spans="1:16">
      <c r="A146" s="242"/>
      <c r="B146" s="242"/>
      <c r="C146" s="242"/>
      <c r="D146" s="242"/>
      <c r="E146" s="242"/>
      <c r="F146" s="620"/>
      <c r="G146" s="242"/>
      <c r="H146" s="242"/>
      <c r="I146" s="242"/>
      <c r="J146" s="242"/>
      <c r="K146" s="242"/>
      <c r="L146" s="242"/>
      <c r="M146" s="242"/>
      <c r="N146" s="242"/>
      <c r="O146" s="242"/>
      <c r="P146" s="242"/>
    </row>
    <row r="147" spans="1:16">
      <c r="A147" s="242"/>
      <c r="B147" s="242"/>
      <c r="C147" s="242"/>
      <c r="D147" s="242"/>
      <c r="E147" s="242"/>
      <c r="F147" s="620"/>
      <c r="G147" s="242"/>
      <c r="H147" s="242"/>
      <c r="I147" s="242"/>
      <c r="J147" s="242"/>
      <c r="K147" s="242"/>
      <c r="L147" s="242"/>
      <c r="M147" s="242"/>
      <c r="N147" s="242"/>
      <c r="O147" s="242"/>
      <c r="P147" s="242"/>
    </row>
    <row r="148" spans="1:16">
      <c r="A148" s="242"/>
      <c r="B148" s="242"/>
      <c r="C148" s="242"/>
      <c r="D148" s="242"/>
      <c r="E148" s="242"/>
      <c r="F148" s="620"/>
      <c r="G148" s="242"/>
      <c r="H148" s="242"/>
      <c r="I148" s="242"/>
      <c r="J148" s="242"/>
      <c r="K148" s="242"/>
      <c r="L148" s="242"/>
      <c r="M148" s="242"/>
      <c r="N148" s="242"/>
      <c r="O148" s="242"/>
      <c r="P148" s="242"/>
    </row>
    <row r="149" spans="1:16">
      <c r="A149" s="242"/>
      <c r="B149" s="242"/>
      <c r="C149" s="242"/>
      <c r="D149" s="242"/>
      <c r="E149" s="242"/>
      <c r="F149" s="620"/>
      <c r="G149" s="242"/>
      <c r="H149" s="242"/>
      <c r="I149" s="242"/>
      <c r="J149" s="242"/>
      <c r="K149" s="242"/>
      <c r="L149" s="242"/>
      <c r="M149" s="242"/>
      <c r="N149" s="242"/>
      <c r="O149" s="242"/>
      <c r="P149" s="242"/>
    </row>
    <row r="150" spans="1:16">
      <c r="A150" s="242"/>
      <c r="B150" s="242"/>
      <c r="C150" s="242"/>
      <c r="D150" s="242"/>
      <c r="E150" s="242"/>
      <c r="F150" s="620"/>
      <c r="G150" s="242"/>
      <c r="H150" s="242"/>
      <c r="I150" s="242"/>
      <c r="J150" s="242"/>
      <c r="K150" s="242"/>
      <c r="L150" s="242"/>
      <c r="M150" s="242"/>
      <c r="N150" s="242"/>
      <c r="O150" s="242"/>
      <c r="P150" s="242"/>
    </row>
    <row r="151" spans="1:16">
      <c r="A151" s="242"/>
      <c r="B151" s="242"/>
      <c r="C151" s="242"/>
      <c r="D151" s="242"/>
      <c r="E151" s="242"/>
      <c r="F151" s="620"/>
      <c r="G151" s="242"/>
      <c r="H151" s="242"/>
      <c r="I151" s="242"/>
      <c r="J151" s="242"/>
      <c r="K151" s="242"/>
      <c r="L151" s="242"/>
      <c r="M151" s="242"/>
      <c r="N151" s="242"/>
      <c r="O151" s="242"/>
      <c r="P151" s="242"/>
    </row>
    <row r="152" spans="1:16">
      <c r="A152" s="242"/>
      <c r="B152" s="242"/>
      <c r="C152" s="242"/>
      <c r="D152" s="242"/>
      <c r="E152" s="242"/>
      <c r="F152" s="620"/>
      <c r="G152" s="242"/>
      <c r="H152" s="242"/>
      <c r="I152" s="242"/>
      <c r="J152" s="242"/>
      <c r="K152" s="242"/>
      <c r="L152" s="242"/>
      <c r="M152" s="242"/>
      <c r="N152" s="242"/>
      <c r="O152" s="242"/>
      <c r="P152" s="242"/>
    </row>
    <row r="153" spans="1:16">
      <c r="A153" s="242"/>
      <c r="B153" s="242"/>
      <c r="C153" s="242"/>
      <c r="D153" s="242"/>
      <c r="E153" s="242"/>
      <c r="F153" s="620"/>
      <c r="G153" s="242"/>
      <c r="H153" s="242"/>
      <c r="I153" s="242"/>
      <c r="J153" s="242"/>
      <c r="K153" s="242"/>
      <c r="L153" s="242"/>
      <c r="M153" s="242"/>
      <c r="N153" s="242"/>
      <c r="O153" s="242"/>
      <c r="P153" s="242"/>
    </row>
    <row r="154" spans="1:16">
      <c r="A154" s="242"/>
      <c r="B154" s="242"/>
      <c r="C154" s="242"/>
      <c r="D154" s="242"/>
      <c r="E154" s="242"/>
      <c r="F154" s="620"/>
      <c r="G154" s="242"/>
      <c r="H154" s="242"/>
      <c r="I154" s="242"/>
      <c r="J154" s="242"/>
      <c r="K154" s="242"/>
      <c r="L154" s="242"/>
      <c r="M154" s="242"/>
      <c r="N154" s="242"/>
      <c r="O154" s="242"/>
      <c r="P154" s="242"/>
    </row>
    <row r="155" spans="1:16">
      <c r="A155" s="242"/>
      <c r="B155" s="242"/>
      <c r="C155" s="242"/>
      <c r="D155" s="242"/>
      <c r="E155" s="242"/>
      <c r="F155" s="620"/>
      <c r="G155" s="242"/>
      <c r="H155" s="242"/>
      <c r="I155" s="242"/>
      <c r="J155" s="242"/>
      <c r="K155" s="242"/>
      <c r="L155" s="242"/>
      <c r="M155" s="242"/>
      <c r="N155" s="242"/>
      <c r="O155" s="242"/>
      <c r="P155" s="242"/>
    </row>
    <row r="156" spans="1:16">
      <c r="A156" s="242"/>
      <c r="B156" s="242"/>
      <c r="C156" s="242"/>
      <c r="D156" s="242"/>
      <c r="E156" s="242"/>
      <c r="F156" s="620"/>
      <c r="G156" s="242"/>
      <c r="H156" s="242"/>
      <c r="I156" s="242"/>
      <c r="J156" s="242"/>
      <c r="K156" s="242"/>
      <c r="L156" s="242"/>
      <c r="M156" s="242"/>
      <c r="N156" s="242"/>
      <c r="O156" s="242"/>
      <c r="P156" s="242"/>
    </row>
    <row r="157" spans="1:16">
      <c r="A157" s="242"/>
      <c r="B157" s="242"/>
      <c r="C157" s="242"/>
      <c r="D157" s="242"/>
      <c r="E157" s="242"/>
      <c r="F157" s="620"/>
      <c r="G157" s="242"/>
      <c r="H157" s="242"/>
      <c r="I157" s="242"/>
      <c r="J157" s="242"/>
      <c r="K157" s="242"/>
      <c r="L157" s="242"/>
      <c r="M157" s="242"/>
      <c r="N157" s="242"/>
      <c r="O157" s="242"/>
      <c r="P157" s="242"/>
    </row>
    <row r="158" spans="1:16">
      <c r="A158" s="242"/>
      <c r="B158" s="242"/>
      <c r="C158" s="242"/>
      <c r="D158" s="242"/>
      <c r="E158" s="242"/>
      <c r="F158" s="620"/>
      <c r="G158" s="242"/>
      <c r="H158" s="242"/>
      <c r="I158" s="242"/>
      <c r="J158" s="242"/>
      <c r="K158" s="242"/>
      <c r="L158" s="242"/>
      <c r="M158" s="242"/>
      <c r="N158" s="242"/>
      <c r="O158" s="242"/>
      <c r="P158" s="242"/>
    </row>
    <row r="159" spans="1:16">
      <c r="A159" s="242"/>
      <c r="B159" s="242"/>
      <c r="C159" s="242"/>
      <c r="D159" s="242"/>
      <c r="E159" s="242"/>
      <c r="F159" s="620"/>
      <c r="G159" s="242"/>
      <c r="H159" s="242"/>
      <c r="I159" s="242"/>
      <c r="J159" s="242"/>
      <c r="K159" s="242"/>
      <c r="L159" s="242"/>
      <c r="M159" s="242"/>
      <c r="N159" s="242"/>
      <c r="O159" s="242"/>
      <c r="P159" s="242"/>
    </row>
    <row r="160" spans="1:16">
      <c r="A160" s="242"/>
      <c r="B160" s="242"/>
      <c r="C160" s="242"/>
      <c r="D160" s="242"/>
      <c r="E160" s="242"/>
      <c r="F160" s="620"/>
      <c r="G160" s="242"/>
      <c r="H160" s="242"/>
      <c r="I160" s="242"/>
      <c r="J160" s="242"/>
      <c r="K160" s="242"/>
      <c r="L160" s="242"/>
      <c r="M160" s="242"/>
      <c r="N160" s="242"/>
      <c r="O160" s="242"/>
      <c r="P160" s="242"/>
    </row>
    <row r="161" spans="1:16">
      <c r="A161" s="242"/>
      <c r="B161" s="242"/>
      <c r="C161" s="242"/>
      <c r="D161" s="242"/>
      <c r="E161" s="242"/>
      <c r="F161" s="620"/>
      <c r="G161" s="242"/>
      <c r="H161" s="242"/>
      <c r="I161" s="242"/>
      <c r="J161" s="242"/>
      <c r="K161" s="242"/>
      <c r="L161" s="242"/>
      <c r="M161" s="242"/>
      <c r="N161" s="242"/>
      <c r="O161" s="242"/>
      <c r="P161" s="242"/>
    </row>
    <row r="162" spans="1:16">
      <c r="A162" s="242"/>
      <c r="B162" s="242"/>
      <c r="C162" s="242"/>
      <c r="D162" s="242"/>
      <c r="E162" s="242"/>
      <c r="F162" s="620"/>
      <c r="G162" s="242"/>
      <c r="H162" s="242"/>
      <c r="I162" s="242"/>
      <c r="J162" s="242"/>
      <c r="K162" s="242"/>
      <c r="L162" s="242"/>
      <c r="M162" s="242"/>
      <c r="N162" s="242"/>
      <c r="O162" s="242"/>
      <c r="P162" s="242"/>
    </row>
    <row r="163" spans="1:16">
      <c r="A163" s="242"/>
      <c r="B163" s="242"/>
      <c r="C163" s="242"/>
      <c r="D163" s="242"/>
      <c r="E163" s="242"/>
      <c r="F163" s="620"/>
      <c r="G163" s="242"/>
      <c r="H163" s="242"/>
      <c r="I163" s="242"/>
      <c r="J163" s="242"/>
      <c r="K163" s="242"/>
      <c r="L163" s="242"/>
      <c r="M163" s="242"/>
      <c r="N163" s="242"/>
      <c r="O163" s="242"/>
      <c r="P163" s="242"/>
    </row>
    <row r="164" spans="1:16">
      <c r="A164" s="242"/>
      <c r="B164" s="242"/>
      <c r="C164" s="242"/>
      <c r="D164" s="242"/>
      <c r="E164" s="242"/>
      <c r="F164" s="620"/>
      <c r="G164" s="242"/>
      <c r="H164" s="242"/>
      <c r="I164" s="242"/>
      <c r="J164" s="242"/>
      <c r="K164" s="242"/>
      <c r="L164" s="242"/>
      <c r="M164" s="242"/>
      <c r="N164" s="242"/>
      <c r="O164" s="242"/>
      <c r="P164" s="242"/>
    </row>
    <row r="165" spans="1:16">
      <c r="A165" s="242"/>
      <c r="B165" s="242"/>
      <c r="C165" s="242"/>
      <c r="D165" s="242"/>
      <c r="E165" s="242"/>
      <c r="F165" s="620"/>
      <c r="G165" s="242"/>
      <c r="H165" s="242"/>
      <c r="I165" s="242"/>
      <c r="J165" s="242"/>
      <c r="K165" s="242"/>
      <c r="L165" s="242"/>
      <c r="M165" s="242"/>
      <c r="N165" s="242"/>
      <c r="O165" s="242"/>
      <c r="P165" s="242"/>
    </row>
    <row r="166" spans="1:16">
      <c r="A166" s="242"/>
      <c r="B166" s="242"/>
      <c r="C166" s="242"/>
      <c r="D166" s="242"/>
      <c r="E166" s="242"/>
      <c r="F166" s="620"/>
      <c r="G166" s="242"/>
      <c r="H166" s="242"/>
      <c r="I166" s="242"/>
      <c r="J166" s="242"/>
      <c r="K166" s="242"/>
      <c r="L166" s="242"/>
      <c r="M166" s="242"/>
      <c r="N166" s="242"/>
      <c r="O166" s="242"/>
      <c r="P166" s="242"/>
    </row>
    <row r="167" spans="1:16">
      <c r="A167" s="242"/>
      <c r="B167" s="242"/>
      <c r="C167" s="242"/>
      <c r="D167" s="242"/>
      <c r="E167" s="242"/>
      <c r="F167" s="620"/>
      <c r="G167" s="242"/>
      <c r="H167" s="242"/>
      <c r="I167" s="242"/>
      <c r="J167" s="242"/>
      <c r="K167" s="242"/>
      <c r="L167" s="242"/>
      <c r="M167" s="242"/>
      <c r="N167" s="242"/>
      <c r="O167" s="242"/>
      <c r="P167" s="242"/>
    </row>
    <row r="168" spans="1:16">
      <c r="A168" s="242"/>
      <c r="B168" s="242"/>
      <c r="C168" s="242"/>
      <c r="D168" s="242"/>
      <c r="E168" s="242"/>
      <c r="F168" s="620"/>
      <c r="G168" s="242"/>
      <c r="H168" s="242"/>
      <c r="I168" s="242"/>
      <c r="J168" s="242"/>
      <c r="K168" s="242"/>
      <c r="L168" s="242"/>
      <c r="M168" s="242"/>
      <c r="N168" s="242"/>
      <c r="O168" s="242"/>
      <c r="P168" s="242"/>
    </row>
    <row r="169" spans="1:16">
      <c r="A169" s="242"/>
      <c r="B169" s="242"/>
      <c r="C169" s="242"/>
      <c r="D169" s="242"/>
      <c r="E169" s="242"/>
      <c r="F169" s="620"/>
      <c r="G169" s="242"/>
      <c r="H169" s="242"/>
      <c r="I169" s="242"/>
      <c r="J169" s="242"/>
      <c r="K169" s="242"/>
      <c r="L169" s="242"/>
      <c r="M169" s="242"/>
      <c r="N169" s="242"/>
      <c r="O169" s="242"/>
      <c r="P169" s="242"/>
    </row>
    <row r="170" spans="1:16">
      <c r="A170" s="242"/>
      <c r="B170" s="242"/>
      <c r="C170" s="242"/>
      <c r="D170" s="242"/>
      <c r="E170" s="242"/>
      <c r="F170" s="620"/>
      <c r="G170" s="242"/>
      <c r="H170" s="242"/>
      <c r="I170" s="242"/>
      <c r="J170" s="242"/>
      <c r="K170" s="242"/>
      <c r="L170" s="242"/>
      <c r="M170" s="242"/>
      <c r="N170" s="242"/>
      <c r="O170" s="242"/>
      <c r="P170" s="242"/>
    </row>
    <row r="171" spans="1:16">
      <c r="A171" s="242"/>
      <c r="B171" s="242"/>
      <c r="C171" s="242"/>
      <c r="D171" s="242"/>
      <c r="E171" s="242"/>
      <c r="F171" s="620"/>
      <c r="G171" s="242"/>
      <c r="H171" s="242"/>
      <c r="I171" s="242"/>
      <c r="J171" s="242"/>
      <c r="K171" s="242"/>
      <c r="L171" s="242"/>
      <c r="M171" s="242"/>
      <c r="N171" s="242"/>
      <c r="O171" s="242"/>
      <c r="P171" s="242"/>
    </row>
    <row r="172" spans="1:16">
      <c r="A172" s="242"/>
      <c r="B172" s="242"/>
      <c r="C172" s="242"/>
      <c r="D172" s="242"/>
      <c r="E172" s="242"/>
      <c r="F172" s="620"/>
      <c r="G172" s="242"/>
      <c r="H172" s="242"/>
      <c r="I172" s="242"/>
      <c r="J172" s="242"/>
      <c r="K172" s="242"/>
      <c r="L172" s="242"/>
      <c r="M172" s="242"/>
      <c r="N172" s="242"/>
      <c r="O172" s="242"/>
      <c r="P172" s="242"/>
    </row>
    <row r="173" spans="1:16">
      <c r="A173" s="242"/>
      <c r="B173" s="242"/>
      <c r="C173" s="242"/>
      <c r="D173" s="242"/>
      <c r="E173" s="242"/>
      <c r="F173" s="620"/>
      <c r="G173" s="242"/>
      <c r="H173" s="242"/>
      <c r="I173" s="242"/>
      <c r="J173" s="242"/>
      <c r="K173" s="242"/>
      <c r="L173" s="242"/>
      <c r="M173" s="242"/>
      <c r="N173" s="242"/>
      <c r="O173" s="242"/>
      <c r="P173" s="242"/>
    </row>
    <row r="174" spans="1:16">
      <c r="A174" s="242"/>
      <c r="B174" s="242"/>
      <c r="C174" s="242"/>
      <c r="D174" s="242"/>
      <c r="E174" s="242"/>
      <c r="F174" s="620"/>
      <c r="G174" s="242"/>
      <c r="H174" s="242"/>
      <c r="I174" s="242"/>
      <c r="J174" s="242"/>
      <c r="K174" s="242"/>
      <c r="L174" s="242"/>
      <c r="M174" s="242"/>
      <c r="N174" s="242"/>
      <c r="O174" s="242"/>
      <c r="P174" s="242"/>
    </row>
    <row r="175" spans="1:16">
      <c r="A175" s="242"/>
      <c r="B175" s="242"/>
      <c r="C175" s="242"/>
      <c r="D175" s="242"/>
      <c r="E175" s="242"/>
      <c r="F175" s="620"/>
      <c r="G175" s="242"/>
      <c r="H175" s="242"/>
      <c r="I175" s="242"/>
      <c r="J175" s="242"/>
      <c r="K175" s="242"/>
      <c r="L175" s="242"/>
      <c r="M175" s="242"/>
      <c r="N175" s="242"/>
      <c r="O175" s="242"/>
      <c r="P175" s="242"/>
    </row>
    <row r="176" spans="1:16">
      <c r="A176" s="242"/>
      <c r="B176" s="242"/>
      <c r="C176" s="242"/>
      <c r="D176" s="242"/>
      <c r="E176" s="242"/>
      <c r="F176" s="620"/>
      <c r="G176" s="242"/>
      <c r="H176" s="242"/>
      <c r="I176" s="242"/>
      <c r="J176" s="242"/>
      <c r="K176" s="242"/>
      <c r="L176" s="242"/>
      <c r="M176" s="242"/>
      <c r="N176" s="242"/>
      <c r="O176" s="242"/>
      <c r="P176" s="242"/>
    </row>
    <row r="177" spans="1:16">
      <c r="A177" s="242"/>
      <c r="B177" s="242"/>
      <c r="C177" s="242"/>
      <c r="D177" s="242"/>
      <c r="E177" s="242"/>
      <c r="F177" s="620"/>
      <c r="G177" s="242"/>
      <c r="H177" s="242"/>
      <c r="I177" s="242"/>
      <c r="J177" s="242"/>
      <c r="K177" s="242"/>
      <c r="L177" s="242"/>
      <c r="M177" s="242"/>
      <c r="N177" s="242"/>
      <c r="O177" s="242"/>
      <c r="P177" s="242"/>
    </row>
    <row r="178" spans="1:16">
      <c r="A178" s="242"/>
      <c r="B178" s="242"/>
      <c r="C178" s="242"/>
      <c r="D178" s="242"/>
      <c r="E178" s="242"/>
      <c r="F178" s="620"/>
      <c r="G178" s="242"/>
      <c r="H178" s="242"/>
      <c r="I178" s="242"/>
      <c r="J178" s="242"/>
      <c r="K178" s="242"/>
      <c r="L178" s="242"/>
      <c r="M178" s="242"/>
      <c r="N178" s="242"/>
      <c r="O178" s="242"/>
      <c r="P178" s="242"/>
    </row>
    <row r="179" spans="1:16">
      <c r="A179" s="242"/>
      <c r="B179" s="242"/>
      <c r="C179" s="242"/>
      <c r="D179" s="242"/>
      <c r="E179" s="242"/>
      <c r="F179" s="620"/>
      <c r="G179" s="242"/>
      <c r="H179" s="242"/>
      <c r="I179" s="242"/>
      <c r="J179" s="242"/>
      <c r="K179" s="242"/>
      <c r="L179" s="242"/>
      <c r="M179" s="242"/>
      <c r="N179" s="242"/>
      <c r="O179" s="242"/>
      <c r="P179" s="242"/>
    </row>
    <row r="180" spans="1:16">
      <c r="A180" s="242"/>
      <c r="B180" s="242"/>
      <c r="C180" s="242"/>
      <c r="D180" s="242"/>
      <c r="E180" s="242"/>
      <c r="F180" s="620"/>
      <c r="G180" s="242"/>
      <c r="H180" s="242"/>
      <c r="I180" s="242"/>
      <c r="J180" s="242"/>
      <c r="K180" s="242"/>
      <c r="L180" s="242"/>
      <c r="M180" s="242"/>
      <c r="N180" s="242"/>
      <c r="O180" s="242"/>
      <c r="P180" s="242"/>
    </row>
    <row r="181" spans="1:16">
      <c r="A181" s="242"/>
      <c r="B181" s="242"/>
      <c r="C181" s="242"/>
      <c r="D181" s="242"/>
      <c r="E181" s="242"/>
      <c r="F181" s="620"/>
      <c r="G181" s="242"/>
      <c r="H181" s="242"/>
      <c r="I181" s="242"/>
      <c r="J181" s="242"/>
      <c r="K181" s="242"/>
      <c r="L181" s="242"/>
      <c r="M181" s="242"/>
      <c r="N181" s="242"/>
      <c r="O181" s="242"/>
      <c r="P181" s="242"/>
    </row>
    <row r="182" spans="1:16">
      <c r="A182" s="242"/>
      <c r="B182" s="242"/>
      <c r="C182" s="242"/>
      <c r="D182" s="242"/>
      <c r="E182" s="242"/>
      <c r="F182" s="620"/>
      <c r="G182" s="242"/>
      <c r="H182" s="242"/>
      <c r="I182" s="242"/>
      <c r="J182" s="242"/>
      <c r="K182" s="242"/>
      <c r="L182" s="242"/>
      <c r="M182" s="242"/>
      <c r="N182" s="242"/>
      <c r="O182" s="242"/>
      <c r="P182" s="242"/>
    </row>
    <row r="183" spans="1:16">
      <c r="A183" s="242"/>
      <c r="B183" s="242"/>
      <c r="C183" s="242"/>
      <c r="D183" s="242"/>
      <c r="E183" s="242"/>
      <c r="F183" s="620"/>
      <c r="G183" s="242"/>
      <c r="H183" s="242"/>
      <c r="I183" s="242"/>
      <c r="J183" s="242"/>
      <c r="K183" s="242"/>
      <c r="L183" s="242"/>
      <c r="M183" s="242"/>
      <c r="N183" s="242"/>
      <c r="O183" s="242"/>
      <c r="P183" s="242"/>
    </row>
    <row r="184" spans="1:16">
      <c r="A184" s="242"/>
      <c r="B184" s="242"/>
      <c r="C184" s="242"/>
      <c r="D184" s="242"/>
      <c r="E184" s="242"/>
      <c r="F184" s="620"/>
      <c r="G184" s="242"/>
      <c r="H184" s="242"/>
      <c r="I184" s="242"/>
      <c r="J184" s="242"/>
      <c r="K184" s="242"/>
      <c r="L184" s="242"/>
      <c r="M184" s="242"/>
      <c r="N184" s="242"/>
      <c r="O184" s="242"/>
      <c r="P184" s="242"/>
    </row>
    <row r="185" spans="1:16">
      <c r="A185" s="242"/>
      <c r="B185" s="242"/>
      <c r="C185" s="242"/>
      <c r="D185" s="242"/>
      <c r="E185" s="242"/>
      <c r="F185" s="620"/>
      <c r="G185" s="242"/>
      <c r="H185" s="242"/>
      <c r="I185" s="242"/>
      <c r="J185" s="242"/>
      <c r="K185" s="242"/>
      <c r="L185" s="242"/>
      <c r="M185" s="242"/>
      <c r="N185" s="242"/>
      <c r="O185" s="242"/>
      <c r="P185" s="242"/>
    </row>
    <row r="186" spans="1:16">
      <c r="A186" s="242"/>
      <c r="B186" s="242"/>
      <c r="C186" s="242"/>
      <c r="D186" s="242"/>
      <c r="E186" s="242"/>
      <c r="F186" s="620"/>
      <c r="G186" s="242"/>
      <c r="H186" s="242"/>
      <c r="I186" s="242"/>
      <c r="J186" s="242"/>
      <c r="K186" s="242"/>
      <c r="L186" s="242"/>
      <c r="M186" s="242"/>
      <c r="N186" s="242"/>
      <c r="O186" s="242"/>
      <c r="P186" s="242"/>
    </row>
    <row r="187" spans="1:16">
      <c r="A187" s="242"/>
      <c r="B187" s="242"/>
      <c r="C187" s="242"/>
      <c r="D187" s="242"/>
      <c r="E187" s="242"/>
      <c r="F187" s="620"/>
      <c r="G187" s="242"/>
      <c r="H187" s="242"/>
      <c r="I187" s="242"/>
      <c r="J187" s="242"/>
      <c r="K187" s="242"/>
      <c r="L187" s="242"/>
      <c r="M187" s="242"/>
      <c r="N187" s="242"/>
      <c r="O187" s="242"/>
      <c r="P187" s="242"/>
    </row>
    <row r="188" spans="1:16">
      <c r="A188" s="242"/>
      <c r="B188" s="242"/>
      <c r="C188" s="242"/>
      <c r="D188" s="242"/>
      <c r="E188" s="242"/>
      <c r="F188" s="620"/>
      <c r="G188" s="242"/>
      <c r="H188" s="242"/>
      <c r="I188" s="242"/>
      <c r="J188" s="242"/>
      <c r="K188" s="242"/>
      <c r="L188" s="242"/>
      <c r="M188" s="242"/>
      <c r="N188" s="242"/>
      <c r="O188" s="242"/>
      <c r="P188" s="242"/>
    </row>
    <row r="189" spans="1:16">
      <c r="A189" s="242"/>
      <c r="B189" s="242"/>
      <c r="C189" s="242"/>
      <c r="D189" s="242"/>
      <c r="E189" s="242"/>
      <c r="F189" s="620"/>
      <c r="G189" s="242"/>
      <c r="H189" s="242"/>
      <c r="I189" s="242"/>
      <c r="J189" s="242"/>
      <c r="K189" s="242"/>
      <c r="L189" s="242"/>
      <c r="M189" s="242"/>
      <c r="N189" s="242"/>
      <c r="O189" s="242"/>
      <c r="P189" s="242"/>
    </row>
    <row r="190" spans="1:16">
      <c r="A190" s="242"/>
      <c r="B190" s="242"/>
      <c r="C190" s="242"/>
      <c r="D190" s="242"/>
      <c r="E190" s="242"/>
      <c r="F190" s="620"/>
      <c r="G190" s="242"/>
      <c r="H190" s="242"/>
      <c r="I190" s="242"/>
      <c r="J190" s="242"/>
      <c r="K190" s="242"/>
      <c r="L190" s="242"/>
      <c r="M190" s="242"/>
      <c r="N190" s="242"/>
      <c r="O190" s="242"/>
      <c r="P190" s="242"/>
    </row>
    <row r="191" spans="1:16">
      <c r="A191" s="242"/>
      <c r="B191" s="242"/>
      <c r="C191" s="242"/>
      <c r="D191" s="242"/>
      <c r="E191" s="242"/>
      <c r="F191" s="620"/>
      <c r="G191" s="242"/>
      <c r="H191" s="242"/>
      <c r="I191" s="242"/>
      <c r="J191" s="242"/>
      <c r="K191" s="242"/>
      <c r="L191" s="242"/>
      <c r="M191" s="242"/>
      <c r="N191" s="242"/>
      <c r="O191" s="242"/>
      <c r="P191" s="242"/>
    </row>
    <row r="192" spans="1:16">
      <c r="A192" s="242"/>
      <c r="B192" s="242"/>
      <c r="C192" s="242"/>
      <c r="D192" s="242"/>
      <c r="E192" s="242"/>
      <c r="F192" s="620"/>
      <c r="G192" s="242"/>
      <c r="H192" s="242"/>
      <c r="I192" s="242"/>
      <c r="J192" s="242"/>
      <c r="K192" s="242"/>
      <c r="L192" s="242"/>
      <c r="M192" s="242"/>
      <c r="N192" s="242"/>
      <c r="O192" s="242"/>
      <c r="P192" s="242"/>
    </row>
    <row r="193" spans="1:16">
      <c r="A193" s="242"/>
      <c r="B193" s="242"/>
      <c r="C193" s="242"/>
      <c r="D193" s="242"/>
      <c r="E193" s="242"/>
      <c r="F193" s="620"/>
      <c r="G193" s="242"/>
      <c r="H193" s="242"/>
      <c r="I193" s="242"/>
      <c r="J193" s="242"/>
      <c r="K193" s="242"/>
      <c r="L193" s="242"/>
      <c r="M193" s="242"/>
      <c r="N193" s="242"/>
      <c r="O193" s="242"/>
      <c r="P193" s="242"/>
    </row>
    <row r="194" spans="1:16">
      <c r="A194" s="242"/>
      <c r="B194" s="242"/>
      <c r="C194" s="242"/>
      <c r="D194" s="242"/>
      <c r="E194" s="242"/>
      <c r="F194" s="620"/>
      <c r="G194" s="242"/>
      <c r="H194" s="242"/>
      <c r="I194" s="242"/>
      <c r="J194" s="242"/>
      <c r="K194" s="242"/>
      <c r="L194" s="242"/>
      <c r="M194" s="242"/>
      <c r="N194" s="242"/>
      <c r="O194" s="242"/>
      <c r="P194" s="242"/>
    </row>
    <row r="195" spans="1:16">
      <c r="A195" s="242"/>
      <c r="B195" s="242"/>
      <c r="C195" s="242"/>
      <c r="D195" s="242"/>
      <c r="E195" s="242"/>
      <c r="F195" s="620"/>
      <c r="G195" s="242"/>
      <c r="H195" s="242"/>
      <c r="I195" s="242"/>
      <c r="J195" s="242"/>
      <c r="K195" s="242"/>
      <c r="L195" s="242"/>
      <c r="M195" s="242"/>
      <c r="N195" s="242"/>
      <c r="O195" s="242"/>
      <c r="P195" s="242"/>
    </row>
    <row r="196" spans="1:16">
      <c r="A196" s="242"/>
      <c r="B196" s="242"/>
      <c r="C196" s="242"/>
      <c r="D196" s="242"/>
      <c r="E196" s="242"/>
      <c r="F196" s="620"/>
      <c r="G196" s="242"/>
      <c r="H196" s="242"/>
      <c r="I196" s="242"/>
      <c r="J196" s="242"/>
      <c r="K196" s="242"/>
      <c r="L196" s="242"/>
      <c r="M196" s="242"/>
      <c r="N196" s="242"/>
      <c r="O196" s="242"/>
      <c r="P196" s="242"/>
    </row>
    <row r="197" spans="1:16">
      <c r="A197" s="242"/>
      <c r="B197" s="242"/>
      <c r="C197" s="242"/>
      <c r="D197" s="242"/>
      <c r="E197" s="242"/>
      <c r="F197" s="620"/>
      <c r="G197" s="242"/>
      <c r="H197" s="242"/>
      <c r="I197" s="242"/>
      <c r="J197" s="242"/>
      <c r="K197" s="242"/>
      <c r="L197" s="242"/>
      <c r="M197" s="242"/>
      <c r="N197" s="242"/>
      <c r="O197" s="242"/>
      <c r="P197" s="242"/>
    </row>
    <row r="198" spans="1:16">
      <c r="A198" s="242"/>
      <c r="B198" s="242"/>
      <c r="C198" s="242"/>
      <c r="D198" s="242"/>
      <c r="E198" s="242"/>
      <c r="F198" s="620"/>
      <c r="G198" s="242"/>
      <c r="H198" s="242"/>
      <c r="I198" s="242"/>
      <c r="J198" s="242"/>
      <c r="K198" s="242"/>
      <c r="L198" s="242"/>
      <c r="M198" s="242"/>
      <c r="N198" s="242"/>
      <c r="O198" s="242"/>
      <c r="P198" s="242"/>
    </row>
    <row r="199" spans="1:16">
      <c r="A199" s="242"/>
      <c r="B199" s="242"/>
      <c r="C199" s="242"/>
      <c r="D199" s="242"/>
      <c r="E199" s="242"/>
      <c r="F199" s="620"/>
      <c r="G199" s="242"/>
      <c r="H199" s="242"/>
      <c r="I199" s="242"/>
      <c r="J199" s="242"/>
      <c r="K199" s="242"/>
      <c r="L199" s="242"/>
      <c r="M199" s="242"/>
      <c r="N199" s="242"/>
      <c r="O199" s="242"/>
      <c r="P199" s="242"/>
    </row>
    <row r="200" spans="1:16">
      <c r="A200" s="242"/>
      <c r="B200" s="242"/>
      <c r="C200" s="242"/>
      <c r="D200" s="242"/>
      <c r="E200" s="242"/>
      <c r="F200" s="620"/>
      <c r="G200" s="242"/>
      <c r="H200" s="242"/>
      <c r="I200" s="242"/>
      <c r="J200" s="242"/>
      <c r="K200" s="242"/>
      <c r="L200" s="242"/>
      <c r="M200" s="242"/>
      <c r="N200" s="242"/>
      <c r="O200" s="242"/>
      <c r="P200" s="242"/>
    </row>
    <row r="201" spans="1:16">
      <c r="A201" s="242"/>
      <c r="B201" s="242"/>
      <c r="C201" s="242"/>
      <c r="D201" s="242"/>
      <c r="E201" s="242"/>
      <c r="F201" s="620"/>
      <c r="G201" s="242"/>
      <c r="H201" s="242"/>
      <c r="I201" s="242"/>
      <c r="J201" s="242"/>
      <c r="K201" s="242"/>
      <c r="L201" s="242"/>
      <c r="M201" s="242"/>
      <c r="N201" s="242"/>
      <c r="O201" s="242"/>
      <c r="P201" s="242"/>
    </row>
    <row r="202" spans="1:16">
      <c r="A202" s="242"/>
      <c r="B202" s="242"/>
      <c r="C202" s="242"/>
      <c r="D202" s="242"/>
      <c r="E202" s="242"/>
      <c r="F202" s="620"/>
      <c r="G202" s="242"/>
      <c r="H202" s="242"/>
      <c r="I202" s="242"/>
      <c r="J202" s="242"/>
      <c r="K202" s="242"/>
      <c r="L202" s="242"/>
      <c r="M202" s="242"/>
      <c r="N202" s="242"/>
      <c r="O202" s="242"/>
      <c r="P202" s="242"/>
    </row>
    <row r="203" spans="1:16">
      <c r="A203" s="242"/>
      <c r="B203" s="242"/>
      <c r="C203" s="242"/>
      <c r="D203" s="242"/>
      <c r="E203" s="242"/>
      <c r="F203" s="620"/>
      <c r="G203" s="242"/>
      <c r="H203" s="242"/>
      <c r="I203" s="242"/>
      <c r="J203" s="242"/>
      <c r="K203" s="242"/>
      <c r="L203" s="242"/>
      <c r="M203" s="242"/>
      <c r="N203" s="242"/>
      <c r="O203" s="242"/>
      <c r="P203" s="242"/>
    </row>
    <row r="204" spans="1:16">
      <c r="A204" s="242"/>
      <c r="B204" s="242"/>
      <c r="C204" s="242"/>
      <c r="D204" s="242"/>
      <c r="E204" s="242"/>
      <c r="F204" s="620"/>
      <c r="G204" s="242"/>
      <c r="H204" s="242"/>
      <c r="I204" s="242"/>
      <c r="J204" s="242"/>
      <c r="K204" s="242"/>
      <c r="L204" s="242"/>
      <c r="M204" s="242"/>
      <c r="N204" s="242"/>
      <c r="O204" s="242"/>
      <c r="P204" s="242"/>
    </row>
    <row r="205" spans="1:16">
      <c r="A205" s="242"/>
      <c r="B205" s="242"/>
      <c r="C205" s="242"/>
      <c r="D205" s="242"/>
      <c r="E205" s="242"/>
      <c r="F205" s="620"/>
      <c r="G205" s="242"/>
      <c r="H205" s="242"/>
      <c r="I205" s="242"/>
      <c r="J205" s="242"/>
      <c r="K205" s="242"/>
      <c r="L205" s="242"/>
      <c r="M205" s="242"/>
      <c r="N205" s="242"/>
      <c r="O205" s="242"/>
      <c r="P205" s="242"/>
    </row>
    <row r="206" spans="1:16">
      <c r="A206" s="242"/>
      <c r="B206" s="242"/>
      <c r="C206" s="242"/>
      <c r="D206" s="242"/>
      <c r="E206" s="242"/>
      <c r="F206" s="620"/>
      <c r="G206" s="242"/>
      <c r="H206" s="242"/>
      <c r="I206" s="242"/>
      <c r="J206" s="242"/>
      <c r="K206" s="242"/>
      <c r="L206" s="242"/>
      <c r="M206" s="242"/>
      <c r="N206" s="242"/>
      <c r="O206" s="242"/>
      <c r="P206" s="242"/>
    </row>
    <row r="207" spans="1:16">
      <c r="A207" s="242"/>
      <c r="B207" s="242"/>
      <c r="C207" s="242"/>
      <c r="D207" s="242"/>
      <c r="E207" s="242"/>
      <c r="F207" s="620"/>
      <c r="G207" s="242"/>
      <c r="H207" s="242"/>
      <c r="I207" s="242"/>
      <c r="J207" s="242"/>
      <c r="K207" s="242"/>
      <c r="L207" s="242"/>
      <c r="M207" s="242"/>
      <c r="N207" s="242"/>
      <c r="O207" s="242"/>
      <c r="P207" s="242"/>
    </row>
    <row r="208" spans="1:16">
      <c r="A208" s="242"/>
      <c r="B208" s="242"/>
      <c r="C208" s="242"/>
      <c r="D208" s="242"/>
      <c r="E208" s="242"/>
      <c r="F208" s="620"/>
      <c r="G208" s="242"/>
      <c r="H208" s="242"/>
      <c r="I208" s="242"/>
      <c r="J208" s="242"/>
      <c r="K208" s="242"/>
      <c r="L208" s="242"/>
      <c r="M208" s="242"/>
      <c r="N208" s="242"/>
      <c r="O208" s="242"/>
      <c r="P208" s="242"/>
    </row>
    <row r="209" spans="1:16">
      <c r="A209" s="242"/>
      <c r="B209" s="242"/>
      <c r="C209" s="242"/>
      <c r="D209" s="242"/>
      <c r="E209" s="242"/>
      <c r="F209" s="620"/>
      <c r="G209" s="242"/>
      <c r="H209" s="242"/>
      <c r="I209" s="242"/>
      <c r="J209" s="242"/>
      <c r="K209" s="242"/>
      <c r="L209" s="242"/>
      <c r="M209" s="242"/>
      <c r="N209" s="242"/>
      <c r="O209" s="242"/>
      <c r="P209" s="242"/>
    </row>
    <row r="210" spans="1:16">
      <c r="A210" s="242"/>
      <c r="B210" s="242"/>
      <c r="C210" s="242"/>
      <c r="D210" s="242"/>
      <c r="E210" s="242"/>
      <c r="F210" s="620"/>
      <c r="G210" s="242"/>
      <c r="H210" s="242"/>
      <c r="I210" s="242"/>
      <c r="J210" s="242"/>
      <c r="K210" s="242"/>
      <c r="L210" s="242"/>
      <c r="M210" s="242"/>
      <c r="N210" s="242"/>
      <c r="O210" s="242"/>
      <c r="P210" s="242"/>
    </row>
    <row r="211" spans="1:16">
      <c r="A211" s="242"/>
      <c r="B211" s="242"/>
      <c r="C211" s="242"/>
      <c r="D211" s="242"/>
      <c r="E211" s="242"/>
      <c r="F211" s="620"/>
      <c r="G211" s="242"/>
      <c r="H211" s="242"/>
      <c r="I211" s="242"/>
      <c r="J211" s="242"/>
      <c r="K211" s="242"/>
      <c r="L211" s="242"/>
      <c r="M211" s="242"/>
      <c r="N211" s="242"/>
      <c r="O211" s="242"/>
      <c r="P211" s="242"/>
    </row>
    <row r="212" spans="1:16">
      <c r="A212" s="242"/>
      <c r="B212" s="242"/>
      <c r="C212" s="242"/>
      <c r="D212" s="242"/>
      <c r="E212" s="242"/>
      <c r="F212" s="620"/>
      <c r="G212" s="242"/>
      <c r="H212" s="242"/>
      <c r="I212" s="242"/>
      <c r="J212" s="242"/>
      <c r="K212" s="242"/>
      <c r="L212" s="242"/>
      <c r="M212" s="242"/>
      <c r="N212" s="242"/>
      <c r="O212" s="242"/>
      <c r="P212" s="242"/>
    </row>
    <row r="213" spans="1:16">
      <c r="A213" s="242"/>
      <c r="B213" s="242"/>
      <c r="C213" s="242"/>
      <c r="D213" s="242"/>
      <c r="E213" s="242"/>
      <c r="F213" s="620"/>
      <c r="G213" s="242"/>
      <c r="H213" s="242"/>
      <c r="I213" s="242"/>
      <c r="J213" s="242"/>
      <c r="K213" s="242"/>
      <c r="L213" s="242"/>
      <c r="M213" s="242"/>
      <c r="N213" s="242"/>
      <c r="O213" s="242"/>
      <c r="P213" s="242"/>
    </row>
    <row r="214" spans="1:16">
      <c r="A214" s="242"/>
      <c r="B214" s="242"/>
      <c r="C214" s="242"/>
      <c r="D214" s="242"/>
      <c r="E214" s="242"/>
      <c r="F214" s="620"/>
      <c r="G214" s="242"/>
      <c r="H214" s="242"/>
      <c r="I214" s="242"/>
      <c r="J214" s="242"/>
      <c r="K214" s="242"/>
      <c r="L214" s="242"/>
      <c r="M214" s="242"/>
      <c r="N214" s="242"/>
      <c r="O214" s="242"/>
      <c r="P214" s="242"/>
    </row>
    <row r="215" spans="1:16">
      <c r="A215" s="242"/>
      <c r="B215" s="242"/>
      <c r="C215" s="242"/>
      <c r="D215" s="242"/>
      <c r="E215" s="242"/>
      <c r="F215" s="620"/>
      <c r="G215" s="242"/>
      <c r="H215" s="242"/>
      <c r="I215" s="242"/>
      <c r="J215" s="242"/>
      <c r="K215" s="242"/>
      <c r="L215" s="242"/>
      <c r="M215" s="242"/>
      <c r="N215" s="242"/>
      <c r="O215" s="242"/>
      <c r="P215" s="242"/>
    </row>
    <row r="216" spans="1:16">
      <c r="A216" s="242"/>
      <c r="B216" s="242"/>
      <c r="C216" s="242"/>
      <c r="D216" s="242"/>
      <c r="E216" s="242"/>
      <c r="F216" s="620"/>
      <c r="G216" s="242"/>
      <c r="H216" s="242"/>
      <c r="I216" s="242"/>
      <c r="J216" s="242"/>
      <c r="K216" s="242"/>
      <c r="L216" s="242"/>
      <c r="M216" s="242"/>
      <c r="N216" s="242"/>
      <c r="O216" s="242"/>
      <c r="P216" s="242"/>
    </row>
    <row r="217" spans="1:16">
      <c r="A217" s="242"/>
      <c r="B217" s="242"/>
      <c r="C217" s="242"/>
      <c r="D217" s="242"/>
      <c r="E217" s="242"/>
      <c r="F217" s="620"/>
      <c r="G217" s="242"/>
      <c r="H217" s="242"/>
      <c r="I217" s="242"/>
      <c r="J217" s="242"/>
      <c r="K217" s="242"/>
      <c r="L217" s="242"/>
      <c r="M217" s="242"/>
      <c r="N217" s="242"/>
      <c r="O217" s="242"/>
      <c r="P217" s="242"/>
    </row>
    <row r="218" spans="1:16">
      <c r="A218" s="242"/>
      <c r="B218" s="242"/>
      <c r="C218" s="242"/>
      <c r="D218" s="242"/>
      <c r="E218" s="242"/>
      <c r="F218" s="620"/>
      <c r="G218" s="242"/>
      <c r="H218" s="242"/>
      <c r="I218" s="242"/>
      <c r="J218" s="242"/>
      <c r="K218" s="242"/>
      <c r="L218" s="242"/>
      <c r="M218" s="242"/>
      <c r="N218" s="242"/>
      <c r="O218" s="242"/>
      <c r="P218" s="242"/>
    </row>
    <row r="219" spans="1:16">
      <c r="A219" s="242"/>
      <c r="B219" s="242"/>
      <c r="C219" s="242"/>
      <c r="D219" s="242"/>
      <c r="E219" s="242"/>
      <c r="F219" s="620"/>
      <c r="G219" s="242"/>
      <c r="H219" s="242"/>
      <c r="I219" s="242"/>
      <c r="J219" s="242"/>
      <c r="K219" s="242"/>
      <c r="L219" s="242"/>
      <c r="M219" s="242"/>
      <c r="N219" s="242"/>
      <c r="O219" s="242"/>
      <c r="P219" s="242"/>
    </row>
    <row r="220" spans="1:16">
      <c r="A220" s="242"/>
      <c r="B220" s="242"/>
      <c r="C220" s="242"/>
      <c r="D220" s="242"/>
      <c r="E220" s="242"/>
      <c r="F220" s="620"/>
      <c r="G220" s="242"/>
      <c r="H220" s="242"/>
      <c r="I220" s="242"/>
      <c r="J220" s="242"/>
      <c r="K220" s="242"/>
      <c r="L220" s="242"/>
      <c r="M220" s="242"/>
      <c r="N220" s="242"/>
      <c r="O220" s="242"/>
      <c r="P220" s="242"/>
    </row>
    <row r="221" spans="1:16">
      <c r="A221" s="242"/>
      <c r="B221" s="242"/>
      <c r="C221" s="242"/>
      <c r="D221" s="242"/>
      <c r="E221" s="242"/>
      <c r="F221" s="620"/>
      <c r="G221" s="242"/>
      <c r="H221" s="242"/>
      <c r="I221" s="242"/>
      <c r="J221" s="242"/>
      <c r="K221" s="242"/>
      <c r="L221" s="242"/>
      <c r="M221" s="242"/>
      <c r="N221" s="242"/>
      <c r="O221" s="242"/>
      <c r="P221" s="242"/>
    </row>
    <row r="222" spans="1:16">
      <c r="A222" s="242"/>
      <c r="B222" s="242"/>
      <c r="C222" s="242"/>
      <c r="D222" s="242"/>
      <c r="E222" s="242"/>
      <c r="F222" s="620"/>
      <c r="G222" s="242"/>
      <c r="H222" s="242"/>
      <c r="I222" s="242"/>
      <c r="J222" s="242"/>
      <c r="K222" s="242"/>
      <c r="L222" s="242"/>
      <c r="M222" s="242"/>
      <c r="N222" s="242"/>
      <c r="O222" s="242"/>
      <c r="P222" s="242"/>
    </row>
    <row r="223" spans="1:16">
      <c r="A223" s="242"/>
      <c r="B223" s="242"/>
      <c r="C223" s="242"/>
      <c r="D223" s="242"/>
      <c r="E223" s="242"/>
      <c r="F223" s="620"/>
      <c r="G223" s="242"/>
      <c r="H223" s="242"/>
      <c r="I223" s="242"/>
      <c r="J223" s="242"/>
      <c r="K223" s="242"/>
      <c r="L223" s="242"/>
      <c r="M223" s="242"/>
      <c r="N223" s="242"/>
      <c r="O223" s="242"/>
      <c r="P223" s="242"/>
    </row>
    <row r="224" spans="1:16">
      <c r="A224" s="242"/>
      <c r="B224" s="242"/>
      <c r="C224" s="242"/>
      <c r="D224" s="242"/>
      <c r="E224" s="242"/>
      <c r="F224" s="620"/>
      <c r="G224" s="242"/>
      <c r="H224" s="242"/>
      <c r="I224" s="242"/>
      <c r="J224" s="242"/>
      <c r="K224" s="242"/>
      <c r="L224" s="242"/>
      <c r="M224" s="242"/>
      <c r="N224" s="242"/>
      <c r="O224" s="242"/>
      <c r="P224" s="242"/>
    </row>
    <row r="225" spans="1:16">
      <c r="A225" s="242"/>
      <c r="B225" s="242"/>
      <c r="C225" s="242"/>
      <c r="D225" s="242"/>
      <c r="E225" s="242"/>
      <c r="F225" s="620"/>
      <c r="G225" s="242"/>
      <c r="H225" s="242"/>
      <c r="I225" s="242"/>
      <c r="J225" s="242"/>
      <c r="K225" s="242"/>
      <c r="L225" s="242"/>
      <c r="M225" s="242"/>
      <c r="N225" s="242"/>
      <c r="O225" s="242"/>
      <c r="P225" s="242"/>
    </row>
    <row r="226" spans="1:16">
      <c r="A226" s="242"/>
      <c r="B226" s="242"/>
      <c r="C226" s="242"/>
      <c r="D226" s="242"/>
      <c r="E226" s="242"/>
      <c r="F226" s="620"/>
      <c r="G226" s="242"/>
      <c r="H226" s="242"/>
      <c r="I226" s="242"/>
      <c r="J226" s="242"/>
      <c r="K226" s="242"/>
      <c r="L226" s="242"/>
      <c r="M226" s="242"/>
      <c r="N226" s="242"/>
      <c r="O226" s="242"/>
      <c r="P226" s="242"/>
    </row>
    <row r="227" spans="1:16">
      <c r="A227" s="242"/>
      <c r="B227" s="242"/>
      <c r="C227" s="242"/>
      <c r="D227" s="242"/>
      <c r="E227" s="242"/>
      <c r="F227" s="620"/>
      <c r="G227" s="242"/>
      <c r="H227" s="242"/>
      <c r="I227" s="242"/>
      <c r="J227" s="242"/>
      <c r="K227" s="242"/>
      <c r="L227" s="242"/>
      <c r="M227" s="242"/>
      <c r="N227" s="242"/>
      <c r="O227" s="242"/>
      <c r="P227" s="242"/>
    </row>
    <row r="228" spans="1:16">
      <c r="A228" s="242"/>
      <c r="B228" s="242"/>
      <c r="C228" s="242"/>
      <c r="D228" s="242"/>
      <c r="E228" s="242"/>
      <c r="F228" s="620"/>
      <c r="G228" s="242"/>
      <c r="H228" s="242"/>
      <c r="I228" s="242"/>
      <c r="J228" s="242"/>
      <c r="K228" s="242"/>
      <c r="L228" s="242"/>
      <c r="M228" s="242"/>
      <c r="N228" s="242"/>
      <c r="O228" s="242"/>
      <c r="P228" s="242"/>
    </row>
    <row r="229" spans="1:16">
      <c r="A229" s="242"/>
      <c r="B229" s="242"/>
      <c r="C229" s="242"/>
      <c r="D229" s="242"/>
      <c r="E229" s="242"/>
      <c r="F229" s="620"/>
      <c r="G229" s="242"/>
      <c r="H229" s="242"/>
      <c r="I229" s="242"/>
      <c r="J229" s="242"/>
      <c r="K229" s="242"/>
      <c r="L229" s="242"/>
      <c r="M229" s="242"/>
      <c r="N229" s="242"/>
      <c r="O229" s="242"/>
      <c r="P229" s="242"/>
    </row>
    <row r="230" spans="1:16">
      <c r="A230" s="242"/>
      <c r="B230" s="242"/>
      <c r="C230" s="242"/>
      <c r="D230" s="242"/>
      <c r="E230" s="242"/>
      <c r="F230" s="620"/>
      <c r="G230" s="242"/>
      <c r="H230" s="242"/>
      <c r="I230" s="242"/>
      <c r="J230" s="242"/>
      <c r="K230" s="242"/>
      <c r="L230" s="242"/>
      <c r="M230" s="242"/>
      <c r="N230" s="242"/>
      <c r="O230" s="242"/>
      <c r="P230" s="242"/>
    </row>
    <row r="231" spans="1:16">
      <c r="A231" s="242"/>
      <c r="B231" s="242"/>
      <c r="C231" s="242"/>
      <c r="D231" s="242"/>
      <c r="E231" s="242"/>
      <c r="F231" s="620"/>
      <c r="G231" s="242"/>
      <c r="H231" s="242"/>
      <c r="I231" s="242"/>
      <c r="J231" s="242"/>
      <c r="K231" s="242"/>
      <c r="L231" s="242"/>
      <c r="M231" s="242"/>
      <c r="N231" s="242"/>
      <c r="O231" s="242"/>
      <c r="P231" s="242"/>
    </row>
    <row r="232" spans="1:16">
      <c r="A232" s="242"/>
      <c r="B232" s="242"/>
      <c r="C232" s="242"/>
      <c r="D232" s="242"/>
      <c r="E232" s="242"/>
      <c r="F232" s="620"/>
      <c r="G232" s="242"/>
      <c r="H232" s="242"/>
      <c r="I232" s="242"/>
      <c r="J232" s="242"/>
      <c r="K232" s="242"/>
      <c r="L232" s="242"/>
      <c r="M232" s="242"/>
      <c r="N232" s="242"/>
      <c r="O232" s="242"/>
      <c r="P232" s="242"/>
    </row>
    <row r="233" spans="1:16">
      <c r="A233" s="242"/>
      <c r="B233" s="242"/>
      <c r="C233" s="242"/>
      <c r="D233" s="242"/>
      <c r="E233" s="242"/>
      <c r="F233" s="620"/>
      <c r="G233" s="242"/>
      <c r="H233" s="242"/>
      <c r="I233" s="242"/>
      <c r="J233" s="242"/>
      <c r="K233" s="242"/>
      <c r="L233" s="242"/>
      <c r="M233" s="242"/>
      <c r="N233" s="242"/>
      <c r="O233" s="242"/>
      <c r="P233" s="242"/>
    </row>
    <row r="234" spans="1:16">
      <c r="A234" s="242"/>
      <c r="B234" s="242"/>
      <c r="C234" s="242"/>
      <c r="D234" s="242"/>
      <c r="E234" s="242"/>
      <c r="F234" s="620"/>
      <c r="G234" s="242"/>
      <c r="H234" s="242"/>
      <c r="I234" s="242"/>
      <c r="J234" s="242"/>
      <c r="K234" s="242"/>
      <c r="L234" s="242"/>
      <c r="M234" s="242"/>
      <c r="N234" s="242"/>
      <c r="O234" s="242"/>
      <c r="P234" s="242"/>
    </row>
    <row r="235" spans="1:16">
      <c r="A235" s="242"/>
      <c r="B235" s="242"/>
      <c r="C235" s="242"/>
      <c r="D235" s="242"/>
      <c r="E235" s="242"/>
      <c r="F235" s="620"/>
      <c r="G235" s="242"/>
      <c r="H235" s="242"/>
      <c r="I235" s="242"/>
      <c r="J235" s="242"/>
      <c r="K235" s="242"/>
      <c r="L235" s="242"/>
      <c r="M235" s="242"/>
      <c r="N235" s="242"/>
      <c r="O235" s="242"/>
      <c r="P235" s="242"/>
    </row>
    <row r="236" spans="1:16">
      <c r="A236" s="242"/>
      <c r="B236" s="242"/>
      <c r="C236" s="242"/>
      <c r="D236" s="242"/>
      <c r="E236" s="242"/>
      <c r="F236" s="620"/>
      <c r="G236" s="242"/>
      <c r="H236" s="242"/>
      <c r="I236" s="242"/>
      <c r="J236" s="242"/>
      <c r="K236" s="242"/>
      <c r="L236" s="242"/>
      <c r="M236" s="242"/>
      <c r="N236" s="242"/>
      <c r="O236" s="242"/>
      <c r="P236" s="242"/>
    </row>
    <row r="237" spans="1:16">
      <c r="A237" s="242"/>
      <c r="B237" s="242"/>
      <c r="C237" s="242"/>
      <c r="D237" s="242"/>
      <c r="E237" s="242"/>
      <c r="F237" s="620"/>
      <c r="G237" s="242"/>
      <c r="H237" s="242"/>
      <c r="I237" s="242"/>
      <c r="J237" s="242"/>
      <c r="K237" s="242"/>
      <c r="L237" s="242"/>
      <c r="M237" s="242"/>
      <c r="N237" s="242"/>
      <c r="O237" s="242"/>
      <c r="P237" s="242"/>
    </row>
    <row r="238" spans="1:16">
      <c r="A238" s="242"/>
      <c r="B238" s="242"/>
      <c r="C238" s="242"/>
      <c r="D238" s="242"/>
      <c r="E238" s="242"/>
      <c r="F238" s="620"/>
      <c r="G238" s="242"/>
      <c r="H238" s="242"/>
      <c r="I238" s="242"/>
      <c r="J238" s="242"/>
      <c r="K238" s="242"/>
      <c r="L238" s="242"/>
      <c r="M238" s="242"/>
      <c r="N238" s="242"/>
      <c r="O238" s="242"/>
      <c r="P238" s="242"/>
    </row>
    <row r="239" spans="1:16">
      <c r="A239" s="242"/>
      <c r="B239" s="242"/>
      <c r="C239" s="242"/>
      <c r="D239" s="242"/>
      <c r="E239" s="242"/>
      <c r="F239" s="620"/>
      <c r="G239" s="242"/>
      <c r="H239" s="242"/>
      <c r="I239" s="242"/>
      <c r="J239" s="242"/>
      <c r="K239" s="242"/>
      <c r="L239" s="242"/>
      <c r="M239" s="242"/>
      <c r="N239" s="242"/>
      <c r="O239" s="242"/>
      <c r="P239" s="242"/>
    </row>
    <row r="240" spans="1:16">
      <c r="A240" s="242"/>
      <c r="B240" s="242"/>
      <c r="C240" s="242"/>
      <c r="D240" s="242"/>
      <c r="E240" s="242"/>
      <c r="F240" s="620"/>
      <c r="G240" s="242"/>
      <c r="H240" s="242"/>
      <c r="I240" s="242"/>
      <c r="J240" s="242"/>
      <c r="K240" s="242"/>
      <c r="L240" s="242"/>
      <c r="M240" s="242"/>
      <c r="N240" s="242"/>
      <c r="O240" s="242"/>
      <c r="P240" s="242"/>
    </row>
    <row r="241" spans="1:16">
      <c r="A241" s="242"/>
      <c r="B241" s="242"/>
      <c r="C241" s="242"/>
      <c r="D241" s="242"/>
      <c r="E241" s="242"/>
      <c r="F241" s="620"/>
      <c r="G241" s="242"/>
      <c r="H241" s="242"/>
      <c r="I241" s="242"/>
      <c r="J241" s="242"/>
      <c r="K241" s="242"/>
      <c r="L241" s="242"/>
      <c r="M241" s="242"/>
      <c r="N241" s="242"/>
      <c r="O241" s="242"/>
      <c r="P241" s="242"/>
    </row>
    <row r="242" spans="1:16">
      <c r="A242" s="242"/>
      <c r="B242" s="242"/>
      <c r="C242" s="242"/>
      <c r="D242" s="242"/>
      <c r="E242" s="242"/>
      <c r="F242" s="620"/>
      <c r="G242" s="242"/>
      <c r="H242" s="242"/>
      <c r="I242" s="242"/>
      <c r="J242" s="242"/>
      <c r="K242" s="242"/>
      <c r="L242" s="242"/>
      <c r="M242" s="242"/>
      <c r="N242" s="242"/>
      <c r="O242" s="242"/>
      <c r="P242" s="242"/>
    </row>
    <row r="243" spans="1:16">
      <c r="A243" s="242"/>
      <c r="B243" s="242"/>
      <c r="C243" s="242"/>
      <c r="D243" s="242"/>
      <c r="E243" s="242"/>
      <c r="F243" s="620"/>
      <c r="G243" s="242"/>
      <c r="H243" s="242"/>
      <c r="I243" s="242"/>
      <c r="J243" s="242"/>
      <c r="K243" s="242"/>
      <c r="L243" s="242"/>
      <c r="M243" s="242"/>
      <c r="N243" s="242"/>
      <c r="O243" s="242"/>
      <c r="P243" s="242"/>
    </row>
    <row r="244" spans="1:16">
      <c r="A244" s="242"/>
      <c r="B244" s="242"/>
      <c r="C244" s="242"/>
      <c r="D244" s="242"/>
      <c r="E244" s="242"/>
      <c r="F244" s="620"/>
      <c r="G244" s="242"/>
      <c r="H244" s="242"/>
      <c r="I244" s="242"/>
      <c r="J244" s="242"/>
      <c r="K244" s="242"/>
      <c r="L244" s="242"/>
      <c r="M244" s="242"/>
      <c r="N244" s="242"/>
      <c r="O244" s="242"/>
      <c r="P244" s="242"/>
    </row>
    <row r="245" spans="1:16">
      <c r="A245" s="242"/>
      <c r="B245" s="242"/>
      <c r="C245" s="242"/>
      <c r="D245" s="242"/>
      <c r="E245" s="242"/>
      <c r="F245" s="620"/>
      <c r="G245" s="242"/>
      <c r="H245" s="242"/>
      <c r="I245" s="242"/>
      <c r="J245" s="242"/>
      <c r="K245" s="242"/>
      <c r="L245" s="242"/>
      <c r="M245" s="242"/>
      <c r="N245" s="242"/>
      <c r="O245" s="242"/>
      <c r="P245" s="242"/>
    </row>
    <row r="246" spans="1:16">
      <c r="A246" s="242"/>
      <c r="B246" s="242"/>
      <c r="C246" s="242"/>
      <c r="D246" s="242"/>
      <c r="E246" s="242"/>
      <c r="F246" s="620"/>
      <c r="G246" s="242"/>
      <c r="H246" s="242"/>
      <c r="I246" s="242"/>
      <c r="J246" s="242"/>
      <c r="K246" s="242"/>
      <c r="L246" s="242"/>
      <c r="M246" s="242"/>
      <c r="N246" s="242"/>
      <c r="O246" s="242"/>
      <c r="P246" s="242"/>
    </row>
    <row r="247" spans="1:16">
      <c r="A247" s="242"/>
      <c r="B247" s="242"/>
      <c r="C247" s="242"/>
      <c r="D247" s="242"/>
      <c r="E247" s="242"/>
      <c r="F247" s="620"/>
      <c r="G247" s="242"/>
      <c r="H247" s="242"/>
      <c r="I247" s="242"/>
      <c r="J247" s="242"/>
      <c r="K247" s="242"/>
      <c r="L247" s="242"/>
      <c r="M247" s="242"/>
      <c r="N247" s="242"/>
      <c r="O247" s="242"/>
      <c r="P247" s="242"/>
    </row>
    <row r="248" spans="1:16">
      <c r="A248" s="242"/>
      <c r="B248" s="242"/>
      <c r="C248" s="242"/>
      <c r="D248" s="242"/>
      <c r="E248" s="242"/>
      <c r="F248" s="620"/>
      <c r="G248" s="242"/>
      <c r="H248" s="242"/>
      <c r="I248" s="242"/>
      <c r="J248" s="242"/>
      <c r="K248" s="242"/>
      <c r="L248" s="242"/>
      <c r="M248" s="242"/>
      <c r="N248" s="242"/>
      <c r="O248" s="242"/>
      <c r="P248" s="242"/>
    </row>
    <row r="249" spans="1:16">
      <c r="A249" s="242"/>
      <c r="B249" s="242"/>
      <c r="C249" s="242"/>
      <c r="D249" s="242"/>
      <c r="E249" s="242"/>
      <c r="F249" s="620"/>
      <c r="G249" s="242"/>
      <c r="H249" s="242"/>
      <c r="I249" s="242"/>
      <c r="J249" s="242"/>
      <c r="K249" s="242"/>
      <c r="L249" s="242"/>
      <c r="M249" s="242"/>
      <c r="N249" s="242"/>
      <c r="O249" s="242"/>
      <c r="P249" s="242"/>
    </row>
    <row r="250" spans="1:16">
      <c r="A250" s="242"/>
      <c r="B250" s="242"/>
      <c r="C250" s="242"/>
      <c r="D250" s="242"/>
      <c r="E250" s="242"/>
      <c r="F250" s="620"/>
      <c r="G250" s="242"/>
      <c r="H250" s="242"/>
      <c r="I250" s="242"/>
      <c r="J250" s="242"/>
      <c r="K250" s="242"/>
      <c r="L250" s="242"/>
      <c r="M250" s="242"/>
      <c r="N250" s="242"/>
      <c r="O250" s="242"/>
      <c r="P250" s="242"/>
    </row>
    <row r="251" spans="1:16">
      <c r="A251" s="242"/>
      <c r="B251" s="242"/>
      <c r="C251" s="242"/>
      <c r="D251" s="242"/>
      <c r="E251" s="242"/>
      <c r="F251" s="620"/>
      <c r="G251" s="242"/>
      <c r="H251" s="242"/>
      <c r="I251" s="242"/>
      <c r="J251" s="242"/>
      <c r="K251" s="242"/>
      <c r="L251" s="242"/>
      <c r="M251" s="242"/>
      <c r="N251" s="242"/>
      <c r="O251" s="242"/>
      <c r="P251" s="242"/>
    </row>
    <row r="252" spans="1:16">
      <c r="A252" s="242"/>
      <c r="B252" s="242"/>
      <c r="C252" s="242"/>
      <c r="D252" s="242"/>
      <c r="E252" s="242"/>
      <c r="F252" s="620"/>
      <c r="G252" s="242"/>
      <c r="H252" s="242"/>
      <c r="I252" s="242"/>
      <c r="J252" s="242"/>
      <c r="K252" s="242"/>
      <c r="L252" s="242"/>
      <c r="M252" s="242"/>
      <c r="N252" s="242"/>
      <c r="O252" s="242"/>
      <c r="P252" s="242"/>
    </row>
    <row r="253" spans="1:16">
      <c r="A253" s="242"/>
      <c r="B253" s="242"/>
      <c r="C253" s="242"/>
      <c r="D253" s="242"/>
      <c r="E253" s="242"/>
      <c r="F253" s="620"/>
      <c r="G253" s="242"/>
      <c r="H253" s="242"/>
      <c r="I253" s="242"/>
      <c r="J253" s="242"/>
      <c r="K253" s="242"/>
      <c r="L253" s="242"/>
      <c r="M253" s="242"/>
      <c r="N253" s="242"/>
      <c r="O253" s="242"/>
      <c r="P253" s="242"/>
    </row>
    <row r="254" spans="1:16">
      <c r="A254" s="242"/>
      <c r="B254" s="242"/>
      <c r="C254" s="242"/>
      <c r="D254" s="242"/>
      <c r="E254" s="242"/>
      <c r="F254" s="620"/>
      <c r="G254" s="242"/>
      <c r="H254" s="242"/>
      <c r="I254" s="242"/>
      <c r="J254" s="242"/>
      <c r="K254" s="242"/>
      <c r="L254" s="242"/>
      <c r="M254" s="242"/>
      <c r="N254" s="242"/>
      <c r="O254" s="242"/>
      <c r="P254" s="242"/>
    </row>
    <row r="255" spans="1:16">
      <c r="A255" s="242"/>
      <c r="B255" s="242"/>
      <c r="C255" s="242"/>
      <c r="D255" s="242"/>
      <c r="E255" s="242"/>
      <c r="F255" s="620"/>
      <c r="G255" s="242"/>
      <c r="H255" s="242"/>
      <c r="I255" s="242"/>
      <c r="J255" s="242"/>
      <c r="K255" s="242"/>
      <c r="L255" s="242"/>
      <c r="M255" s="242"/>
      <c r="N255" s="242"/>
      <c r="O255" s="242"/>
      <c r="P255" s="242"/>
    </row>
    <row r="256" spans="1:16">
      <c r="A256" s="242"/>
      <c r="B256" s="242"/>
      <c r="C256" s="242"/>
      <c r="D256" s="242"/>
      <c r="E256" s="242"/>
      <c r="F256" s="620"/>
      <c r="G256" s="242"/>
      <c r="H256" s="242"/>
      <c r="I256" s="242"/>
      <c r="J256" s="242"/>
      <c r="K256" s="242"/>
      <c r="L256" s="242"/>
      <c r="M256" s="242"/>
      <c r="N256" s="242"/>
      <c r="O256" s="242"/>
      <c r="P256" s="242"/>
    </row>
    <row r="257" spans="1:16">
      <c r="A257" s="242"/>
      <c r="B257" s="242"/>
      <c r="C257" s="242"/>
      <c r="D257" s="242"/>
      <c r="E257" s="242"/>
      <c r="F257" s="620"/>
      <c r="G257" s="242"/>
      <c r="H257" s="242"/>
      <c r="I257" s="242"/>
      <c r="J257" s="242"/>
      <c r="K257" s="242"/>
      <c r="L257" s="242"/>
      <c r="M257" s="242"/>
      <c r="N257" s="242"/>
      <c r="O257" s="242"/>
      <c r="P257" s="242"/>
    </row>
    <row r="258" spans="1:16">
      <c r="A258" s="242"/>
      <c r="B258" s="242"/>
      <c r="C258" s="242"/>
      <c r="D258" s="242"/>
      <c r="E258" s="242"/>
      <c r="F258" s="620"/>
      <c r="G258" s="242"/>
      <c r="H258" s="242"/>
      <c r="I258" s="242"/>
      <c r="J258" s="242"/>
      <c r="K258" s="242"/>
      <c r="L258" s="242"/>
      <c r="M258" s="242"/>
      <c r="N258" s="242"/>
      <c r="O258" s="242"/>
      <c r="P258" s="242"/>
    </row>
    <row r="259" spans="1:16">
      <c r="A259" s="242"/>
      <c r="B259" s="242"/>
      <c r="C259" s="242"/>
      <c r="D259" s="242"/>
      <c r="E259" s="242"/>
      <c r="F259" s="620"/>
      <c r="G259" s="242"/>
      <c r="H259" s="242"/>
      <c r="I259" s="242"/>
      <c r="J259" s="242"/>
      <c r="K259" s="242"/>
      <c r="L259" s="242"/>
      <c r="M259" s="242"/>
      <c r="N259" s="242"/>
      <c r="O259" s="242"/>
      <c r="P259" s="242"/>
    </row>
    <row r="260" spans="1:16">
      <c r="A260" s="242"/>
      <c r="B260" s="242"/>
      <c r="C260" s="242"/>
      <c r="D260" s="242"/>
      <c r="E260" s="242"/>
      <c r="F260" s="620"/>
      <c r="G260" s="242"/>
      <c r="H260" s="242"/>
      <c r="I260" s="242"/>
      <c r="J260" s="242"/>
      <c r="K260" s="242"/>
      <c r="L260" s="242"/>
      <c r="M260" s="242"/>
      <c r="N260" s="242"/>
      <c r="O260" s="242"/>
      <c r="P260" s="242"/>
    </row>
    <row r="261" spans="1:16">
      <c r="A261" s="242"/>
      <c r="B261" s="242"/>
      <c r="C261" s="242"/>
      <c r="D261" s="242"/>
      <c r="E261" s="242"/>
      <c r="F261" s="620"/>
      <c r="G261" s="242"/>
      <c r="H261" s="242"/>
      <c r="I261" s="242"/>
      <c r="J261" s="242"/>
      <c r="K261" s="242"/>
      <c r="L261" s="242"/>
      <c r="M261" s="242"/>
      <c r="N261" s="242"/>
      <c r="O261" s="242"/>
      <c r="P261" s="242"/>
    </row>
    <row r="262" spans="1:16">
      <c r="A262" s="242"/>
      <c r="B262" s="242"/>
      <c r="C262" s="242"/>
      <c r="D262" s="242"/>
      <c r="E262" s="242"/>
      <c r="F262" s="620"/>
      <c r="G262" s="242"/>
      <c r="H262" s="242"/>
      <c r="I262" s="242"/>
      <c r="J262" s="242"/>
      <c r="K262" s="242"/>
      <c r="L262" s="242"/>
      <c r="M262" s="242"/>
      <c r="N262" s="242"/>
      <c r="O262" s="242"/>
      <c r="P262" s="242"/>
    </row>
    <row r="263" spans="1:16">
      <c r="A263" s="242"/>
      <c r="B263" s="242"/>
      <c r="C263" s="242"/>
      <c r="D263" s="242"/>
      <c r="E263" s="242"/>
      <c r="F263" s="620"/>
      <c r="G263" s="242"/>
      <c r="H263" s="242"/>
      <c r="I263" s="242"/>
      <c r="J263" s="242"/>
      <c r="K263" s="242"/>
      <c r="L263" s="242"/>
      <c r="M263" s="242"/>
      <c r="N263" s="242"/>
      <c r="O263" s="242"/>
      <c r="P263" s="242"/>
    </row>
    <row r="264" spans="1:16">
      <c r="A264" s="242"/>
      <c r="B264" s="242"/>
      <c r="C264" s="242"/>
      <c r="D264" s="242"/>
      <c r="E264" s="242"/>
      <c r="F264" s="620"/>
      <c r="G264" s="242"/>
      <c r="H264" s="242"/>
      <c r="I264" s="242"/>
      <c r="J264" s="242"/>
      <c r="K264" s="242"/>
      <c r="L264" s="242"/>
      <c r="M264" s="242"/>
      <c r="N264" s="242"/>
      <c r="O264" s="242"/>
      <c r="P264" s="242"/>
    </row>
    <row r="265" spans="1:16">
      <c r="A265" s="242"/>
      <c r="B265" s="242"/>
      <c r="C265" s="242"/>
      <c r="D265" s="242"/>
      <c r="E265" s="242"/>
      <c r="F265" s="620"/>
      <c r="G265" s="242"/>
      <c r="H265" s="242"/>
      <c r="I265" s="242"/>
      <c r="J265" s="242"/>
      <c r="K265" s="242"/>
      <c r="L265" s="242"/>
      <c r="M265" s="242"/>
      <c r="N265" s="242"/>
      <c r="O265" s="242"/>
      <c r="P265" s="242"/>
    </row>
    <row r="266" spans="1:16">
      <c r="A266" s="242"/>
      <c r="B266" s="242"/>
      <c r="C266" s="242"/>
      <c r="D266" s="242"/>
      <c r="E266" s="242"/>
      <c r="F266" s="620"/>
      <c r="G266" s="242"/>
      <c r="H266" s="242"/>
      <c r="I266" s="242"/>
      <c r="J266" s="242"/>
      <c r="K266" s="242"/>
      <c r="L266" s="242"/>
      <c r="M266" s="242"/>
      <c r="N266" s="242"/>
      <c r="O266" s="242"/>
      <c r="P266" s="242"/>
    </row>
    <row r="267" spans="1:16">
      <c r="A267" s="242"/>
      <c r="B267" s="242"/>
      <c r="C267" s="242"/>
      <c r="D267" s="242"/>
      <c r="E267" s="242"/>
      <c r="F267" s="620"/>
      <c r="G267" s="242"/>
      <c r="H267" s="242"/>
      <c r="I267" s="242"/>
      <c r="J267" s="242"/>
      <c r="K267" s="242"/>
      <c r="L267" s="242"/>
      <c r="M267" s="242"/>
      <c r="N267" s="242"/>
      <c r="O267" s="242"/>
      <c r="P267" s="242"/>
    </row>
    <row r="268" spans="1:16">
      <c r="A268" s="242"/>
      <c r="B268" s="242"/>
      <c r="C268" s="242"/>
      <c r="D268" s="242"/>
      <c r="E268" s="242"/>
      <c r="F268" s="620"/>
      <c r="G268" s="242"/>
      <c r="H268" s="242"/>
      <c r="I268" s="242"/>
      <c r="J268" s="242"/>
      <c r="K268" s="242"/>
      <c r="L268" s="242"/>
      <c r="M268" s="242"/>
      <c r="N268" s="242"/>
      <c r="O268" s="242"/>
      <c r="P268" s="242"/>
    </row>
    <row r="269" spans="1:16">
      <c r="A269" s="242"/>
      <c r="B269" s="242"/>
      <c r="C269" s="242"/>
      <c r="D269" s="242"/>
      <c r="E269" s="242"/>
      <c r="F269" s="620"/>
      <c r="G269" s="242"/>
      <c r="H269" s="242"/>
      <c r="I269" s="242"/>
      <c r="J269" s="242"/>
      <c r="K269" s="242"/>
      <c r="L269" s="242"/>
      <c r="M269" s="242"/>
      <c r="N269" s="242"/>
      <c r="O269" s="242"/>
      <c r="P269" s="242"/>
    </row>
    <row r="270" spans="1:16">
      <c r="A270" s="242"/>
      <c r="B270" s="242"/>
      <c r="C270" s="242"/>
      <c r="D270" s="242"/>
      <c r="E270" s="242"/>
      <c r="F270" s="620"/>
      <c r="G270" s="242"/>
      <c r="H270" s="242"/>
      <c r="I270" s="242"/>
      <c r="J270" s="242"/>
      <c r="K270" s="242"/>
      <c r="L270" s="242"/>
      <c r="M270" s="242"/>
      <c r="N270" s="242"/>
      <c r="O270" s="242"/>
      <c r="P270" s="242"/>
    </row>
    <row r="271" spans="1:16">
      <c r="A271" s="242"/>
      <c r="B271" s="242"/>
      <c r="C271" s="242"/>
      <c r="D271" s="242"/>
      <c r="E271" s="242"/>
      <c r="F271" s="620"/>
      <c r="G271" s="242"/>
      <c r="H271" s="242"/>
      <c r="I271" s="242"/>
      <c r="J271" s="242"/>
      <c r="K271" s="242"/>
      <c r="L271" s="242"/>
      <c r="M271" s="242"/>
      <c r="N271" s="242"/>
      <c r="O271" s="242"/>
      <c r="P271" s="242"/>
    </row>
    <row r="272" spans="1:16">
      <c r="A272" s="242"/>
      <c r="B272" s="242"/>
      <c r="C272" s="242"/>
      <c r="D272" s="242"/>
      <c r="E272" s="242"/>
      <c r="F272" s="620"/>
      <c r="G272" s="242"/>
      <c r="H272" s="242"/>
      <c r="I272" s="242"/>
      <c r="J272" s="242"/>
      <c r="K272" s="242"/>
      <c r="L272" s="242"/>
      <c r="M272" s="242"/>
      <c r="N272" s="242"/>
      <c r="O272" s="242"/>
      <c r="P272" s="242"/>
    </row>
    <row r="273" spans="1:16">
      <c r="A273" s="242"/>
      <c r="B273" s="242"/>
      <c r="C273" s="242"/>
      <c r="D273" s="242"/>
      <c r="E273" s="242"/>
      <c r="F273" s="620"/>
      <c r="G273" s="242"/>
      <c r="H273" s="242"/>
      <c r="I273" s="242"/>
      <c r="J273" s="242"/>
      <c r="K273" s="242"/>
      <c r="L273" s="242"/>
      <c r="M273" s="242"/>
      <c r="N273" s="242"/>
      <c r="O273" s="242"/>
      <c r="P273" s="242"/>
    </row>
    <row r="274" spans="1:16">
      <c r="A274" s="242"/>
      <c r="B274" s="242"/>
      <c r="C274" s="242"/>
      <c r="D274" s="242"/>
      <c r="E274" s="242"/>
      <c r="F274" s="620"/>
      <c r="G274" s="242"/>
      <c r="H274" s="242"/>
      <c r="I274" s="242"/>
      <c r="J274" s="242"/>
      <c r="K274" s="242"/>
      <c r="L274" s="242"/>
      <c r="M274" s="242"/>
      <c r="N274" s="242"/>
      <c r="O274" s="242"/>
      <c r="P274" s="242"/>
    </row>
    <row r="275" spans="1:16">
      <c r="A275" s="242"/>
      <c r="B275" s="242"/>
      <c r="C275" s="242"/>
      <c r="D275" s="242"/>
      <c r="E275" s="242"/>
      <c r="F275" s="620"/>
      <c r="G275" s="242"/>
      <c r="H275" s="242"/>
      <c r="I275" s="242"/>
      <c r="J275" s="242"/>
      <c r="K275" s="242"/>
      <c r="L275" s="242"/>
      <c r="M275" s="242"/>
      <c r="N275" s="242"/>
      <c r="O275" s="242"/>
      <c r="P275" s="242"/>
    </row>
    <row r="276" spans="1:16">
      <c r="A276" s="242"/>
      <c r="B276" s="242"/>
      <c r="C276" s="242"/>
      <c r="D276" s="242"/>
      <c r="E276" s="242"/>
      <c r="F276" s="620"/>
      <c r="G276" s="242"/>
      <c r="H276" s="242"/>
      <c r="I276" s="242"/>
      <c r="J276" s="242"/>
      <c r="K276" s="242"/>
      <c r="L276" s="242"/>
      <c r="M276" s="242"/>
      <c r="N276" s="242"/>
      <c r="O276" s="242"/>
      <c r="P276" s="242"/>
    </row>
    <row r="277" spans="1:16">
      <c r="A277" s="242"/>
      <c r="B277" s="242"/>
      <c r="C277" s="242"/>
      <c r="D277" s="242"/>
      <c r="E277" s="242"/>
      <c r="F277" s="620"/>
      <c r="G277" s="242"/>
      <c r="H277" s="242"/>
      <c r="I277" s="242"/>
      <c r="J277" s="242"/>
      <c r="K277" s="242"/>
      <c r="L277" s="242"/>
      <c r="M277" s="242"/>
      <c r="N277" s="242"/>
      <c r="O277" s="242"/>
      <c r="P277" s="242"/>
    </row>
    <row r="278" spans="1:16">
      <c r="A278" s="242"/>
      <c r="B278" s="242"/>
      <c r="C278" s="242"/>
      <c r="D278" s="242"/>
      <c r="E278" s="242"/>
      <c r="F278" s="620"/>
      <c r="G278" s="242"/>
      <c r="H278" s="242"/>
      <c r="I278" s="242"/>
      <c r="J278" s="242"/>
      <c r="K278" s="242"/>
      <c r="L278" s="242"/>
      <c r="M278" s="242"/>
      <c r="N278" s="242"/>
      <c r="O278" s="242"/>
      <c r="P278" s="242"/>
    </row>
    <row r="279" spans="1:16">
      <c r="A279" s="242"/>
      <c r="B279" s="242"/>
      <c r="C279" s="242"/>
      <c r="D279" s="242"/>
      <c r="E279" s="242"/>
      <c r="F279" s="620"/>
      <c r="G279" s="242"/>
      <c r="H279" s="242"/>
      <c r="I279" s="242"/>
      <c r="J279" s="242"/>
      <c r="K279" s="242"/>
      <c r="L279" s="242"/>
      <c r="M279" s="242"/>
      <c r="N279" s="242"/>
      <c r="O279" s="242"/>
      <c r="P279" s="242"/>
    </row>
    <row r="280" spans="1:16">
      <c r="A280" s="242"/>
      <c r="B280" s="242"/>
      <c r="C280" s="242"/>
      <c r="D280" s="242"/>
      <c r="E280" s="242"/>
      <c r="F280" s="620"/>
      <c r="G280" s="242"/>
      <c r="H280" s="242"/>
      <c r="I280" s="242"/>
      <c r="J280" s="242"/>
      <c r="K280" s="242"/>
      <c r="L280" s="242"/>
      <c r="M280" s="242"/>
      <c r="N280" s="242"/>
      <c r="O280" s="242"/>
      <c r="P280" s="242"/>
    </row>
    <row r="281" spans="1:16">
      <c r="A281" s="242"/>
      <c r="B281" s="242"/>
      <c r="C281" s="242"/>
      <c r="D281" s="242"/>
      <c r="E281" s="242"/>
      <c r="F281" s="620"/>
      <c r="G281" s="242"/>
      <c r="H281" s="242"/>
      <c r="I281" s="242"/>
      <c r="J281" s="242"/>
      <c r="K281" s="242"/>
      <c r="L281" s="242"/>
      <c r="M281" s="242"/>
      <c r="N281" s="242"/>
      <c r="O281" s="242"/>
      <c r="P281" s="242"/>
    </row>
    <row r="282" spans="1:16">
      <c r="A282" s="242"/>
      <c r="B282" s="242"/>
      <c r="C282" s="242"/>
      <c r="D282" s="242"/>
      <c r="E282" s="242"/>
      <c r="F282" s="620"/>
      <c r="G282" s="242"/>
      <c r="H282" s="242"/>
      <c r="I282" s="242"/>
      <c r="J282" s="242"/>
      <c r="K282" s="242"/>
      <c r="L282" s="242"/>
      <c r="M282" s="242"/>
      <c r="N282" s="242"/>
      <c r="O282" s="242"/>
      <c r="P282" s="242"/>
    </row>
    <row r="283" spans="1:16">
      <c r="A283" s="242"/>
      <c r="B283" s="242"/>
      <c r="C283" s="242"/>
      <c r="D283" s="242"/>
      <c r="E283" s="242"/>
      <c r="F283" s="620"/>
      <c r="G283" s="242"/>
      <c r="H283" s="242"/>
      <c r="I283" s="242"/>
      <c r="J283" s="242"/>
      <c r="K283" s="242"/>
      <c r="L283" s="242"/>
      <c r="M283" s="242"/>
      <c r="N283" s="242"/>
      <c r="O283" s="242"/>
      <c r="P283" s="242"/>
    </row>
    <row r="284" spans="1:16">
      <c r="A284" s="242"/>
      <c r="B284" s="242"/>
      <c r="C284" s="242"/>
      <c r="D284" s="242"/>
      <c r="E284" s="242"/>
      <c r="F284" s="620"/>
      <c r="G284" s="242"/>
      <c r="H284" s="242"/>
      <c r="I284" s="242"/>
      <c r="J284" s="242"/>
      <c r="K284" s="242"/>
      <c r="L284" s="242"/>
      <c r="M284" s="242"/>
      <c r="N284" s="242"/>
      <c r="O284" s="242"/>
      <c r="P284" s="242"/>
    </row>
    <row r="285" spans="1:16">
      <c r="A285" s="242"/>
      <c r="B285" s="242"/>
      <c r="C285" s="242"/>
      <c r="D285" s="242"/>
      <c r="E285" s="242"/>
      <c r="F285" s="620"/>
      <c r="G285" s="242"/>
      <c r="H285" s="242"/>
      <c r="I285" s="242"/>
      <c r="J285" s="242"/>
      <c r="K285" s="242"/>
      <c r="L285" s="242"/>
      <c r="M285" s="242"/>
      <c r="N285" s="242"/>
      <c r="O285" s="242"/>
      <c r="P285" s="242"/>
    </row>
    <row r="286" spans="1:16">
      <c r="A286" s="242"/>
      <c r="B286" s="242"/>
      <c r="C286" s="242"/>
      <c r="D286" s="242"/>
      <c r="E286" s="242"/>
      <c r="F286" s="620"/>
      <c r="G286" s="242"/>
      <c r="H286" s="242"/>
      <c r="I286" s="242"/>
      <c r="J286" s="242"/>
      <c r="K286" s="242"/>
      <c r="L286" s="242"/>
      <c r="M286" s="242"/>
      <c r="N286" s="242"/>
      <c r="O286" s="242"/>
      <c r="P286" s="242"/>
    </row>
    <row r="287" spans="1:16">
      <c r="A287" s="242"/>
      <c r="B287" s="242"/>
      <c r="C287" s="242"/>
      <c r="D287" s="242"/>
      <c r="E287" s="242"/>
      <c r="F287" s="620"/>
      <c r="G287" s="242"/>
      <c r="H287" s="242"/>
      <c r="I287" s="242"/>
      <c r="J287" s="242"/>
      <c r="K287" s="242"/>
      <c r="L287" s="242"/>
      <c r="M287" s="242"/>
      <c r="N287" s="242"/>
      <c r="O287" s="242"/>
      <c r="P287" s="242"/>
    </row>
    <row r="288" spans="1:16">
      <c r="A288" s="242"/>
      <c r="B288" s="242"/>
      <c r="C288" s="242"/>
      <c r="D288" s="242"/>
      <c r="E288" s="242"/>
      <c r="F288" s="620"/>
      <c r="G288" s="242"/>
      <c r="H288" s="242"/>
      <c r="I288" s="242"/>
      <c r="J288" s="242"/>
      <c r="K288" s="242"/>
      <c r="L288" s="242"/>
      <c r="M288" s="242"/>
      <c r="N288" s="242"/>
      <c r="O288" s="242"/>
      <c r="P288" s="242"/>
    </row>
    <row r="289" spans="1:16">
      <c r="A289" s="242"/>
      <c r="B289" s="242"/>
      <c r="C289" s="242"/>
      <c r="D289" s="242"/>
      <c r="E289" s="242"/>
      <c r="F289" s="620"/>
      <c r="G289" s="242"/>
      <c r="H289" s="242"/>
      <c r="I289" s="242"/>
      <c r="J289" s="242"/>
      <c r="K289" s="242"/>
      <c r="L289" s="242"/>
      <c r="M289" s="242"/>
      <c r="N289" s="242"/>
      <c r="O289" s="242"/>
      <c r="P289" s="242"/>
    </row>
    <row r="290" spans="1:16">
      <c r="A290" s="242"/>
      <c r="B290" s="242"/>
      <c r="C290" s="242"/>
      <c r="D290" s="242"/>
      <c r="E290" s="242"/>
      <c r="F290" s="620"/>
      <c r="G290" s="242"/>
      <c r="H290" s="242"/>
      <c r="I290" s="242"/>
      <c r="J290" s="242"/>
      <c r="K290" s="242"/>
      <c r="L290" s="242"/>
      <c r="M290" s="242"/>
      <c r="N290" s="242"/>
      <c r="O290" s="242"/>
      <c r="P290" s="242"/>
    </row>
    <row r="291" spans="1:16">
      <c r="A291" s="242"/>
      <c r="B291" s="242"/>
      <c r="C291" s="242"/>
      <c r="D291" s="242"/>
      <c r="E291" s="242"/>
      <c r="F291" s="620"/>
      <c r="G291" s="242"/>
      <c r="H291" s="242"/>
      <c r="I291" s="242"/>
      <c r="J291" s="242"/>
      <c r="K291" s="242"/>
      <c r="L291" s="242"/>
      <c r="M291" s="242"/>
      <c r="N291" s="242"/>
      <c r="O291" s="242"/>
      <c r="P291" s="242"/>
    </row>
    <row r="292" spans="1:16">
      <c r="A292" s="242"/>
      <c r="B292" s="242"/>
      <c r="C292" s="242"/>
      <c r="D292" s="242"/>
      <c r="E292" s="242"/>
      <c r="F292" s="620"/>
      <c r="G292" s="242"/>
      <c r="H292" s="242"/>
      <c r="I292" s="242"/>
      <c r="J292" s="242"/>
      <c r="K292" s="242"/>
      <c r="L292" s="242"/>
      <c r="M292" s="242"/>
      <c r="N292" s="242"/>
      <c r="O292" s="242"/>
      <c r="P292" s="242"/>
    </row>
    <row r="293" spans="1:16">
      <c r="A293" s="242"/>
      <c r="B293" s="242"/>
      <c r="C293" s="242"/>
      <c r="D293" s="242"/>
      <c r="E293" s="242"/>
      <c r="F293" s="620"/>
      <c r="G293" s="242"/>
      <c r="H293" s="242"/>
      <c r="I293" s="242"/>
      <c r="J293" s="242"/>
      <c r="K293" s="242"/>
      <c r="L293" s="242"/>
      <c r="M293" s="242"/>
      <c r="N293" s="242"/>
      <c r="O293" s="242"/>
      <c r="P293" s="242"/>
    </row>
    <row r="294" spans="1:16">
      <c r="A294" s="242"/>
      <c r="B294" s="242"/>
      <c r="C294" s="242"/>
      <c r="D294" s="242"/>
      <c r="E294" s="242"/>
      <c r="F294" s="620"/>
      <c r="G294" s="242"/>
      <c r="H294" s="242"/>
      <c r="I294" s="242"/>
      <c r="J294" s="242"/>
      <c r="K294" s="242"/>
      <c r="L294" s="242"/>
      <c r="M294" s="242"/>
      <c r="N294" s="242"/>
      <c r="O294" s="242"/>
      <c r="P294" s="242"/>
    </row>
    <row r="295" spans="1:16">
      <c r="A295" s="242"/>
      <c r="B295" s="242"/>
      <c r="C295" s="242"/>
      <c r="D295" s="242"/>
      <c r="E295" s="242"/>
      <c r="F295" s="620"/>
      <c r="G295" s="242"/>
      <c r="H295" s="242"/>
      <c r="I295" s="242"/>
      <c r="J295" s="242"/>
      <c r="K295" s="242"/>
      <c r="L295" s="242"/>
      <c r="M295" s="242"/>
      <c r="N295" s="242"/>
      <c r="O295" s="242"/>
      <c r="P295" s="242"/>
    </row>
    <row r="296" spans="1:16">
      <c r="A296" s="242"/>
      <c r="B296" s="242"/>
      <c r="C296" s="242"/>
      <c r="D296" s="242"/>
      <c r="E296" s="242"/>
      <c r="F296" s="620"/>
      <c r="G296" s="242"/>
      <c r="H296" s="242"/>
      <c r="I296" s="242"/>
      <c r="J296" s="242"/>
      <c r="K296" s="242"/>
      <c r="L296" s="242"/>
      <c r="M296" s="242"/>
      <c r="N296" s="242"/>
      <c r="O296" s="242"/>
      <c r="P296" s="242"/>
    </row>
    <row r="297" spans="1:16">
      <c r="A297" s="242"/>
      <c r="B297" s="242"/>
      <c r="C297" s="242"/>
      <c r="D297" s="242"/>
      <c r="E297" s="242"/>
      <c r="F297" s="620"/>
      <c r="G297" s="242"/>
      <c r="H297" s="242"/>
      <c r="I297" s="242"/>
      <c r="J297" s="242"/>
      <c r="K297" s="242"/>
      <c r="L297" s="242"/>
      <c r="M297" s="242"/>
      <c r="N297" s="242"/>
      <c r="O297" s="242"/>
      <c r="P297" s="242"/>
    </row>
    <row r="298" spans="1:16">
      <c r="A298" s="242"/>
      <c r="B298" s="242"/>
      <c r="C298" s="242"/>
      <c r="D298" s="242"/>
      <c r="E298" s="242"/>
      <c r="F298" s="620"/>
      <c r="G298" s="242"/>
      <c r="H298" s="242"/>
      <c r="I298" s="242"/>
      <c r="J298" s="242"/>
      <c r="K298" s="242"/>
      <c r="L298" s="242"/>
      <c r="M298" s="242"/>
      <c r="N298" s="242"/>
      <c r="O298" s="242"/>
      <c r="P298" s="242"/>
    </row>
    <row r="299" spans="1:16">
      <c r="A299" s="242"/>
      <c r="B299" s="242"/>
      <c r="C299" s="242"/>
      <c r="D299" s="242"/>
      <c r="E299" s="242"/>
      <c r="F299" s="620"/>
      <c r="G299" s="242"/>
      <c r="H299" s="242"/>
      <c r="I299" s="242"/>
      <c r="J299" s="242"/>
      <c r="K299" s="242"/>
      <c r="L299" s="242"/>
      <c r="M299" s="242"/>
      <c r="N299" s="242"/>
      <c r="O299" s="242"/>
      <c r="P299" s="242"/>
    </row>
    <row r="300" spans="1:16">
      <c r="A300" s="242"/>
      <c r="B300" s="242"/>
      <c r="C300" s="242"/>
      <c r="D300" s="242"/>
      <c r="E300" s="242"/>
      <c r="F300" s="620"/>
      <c r="G300" s="242"/>
      <c r="H300" s="242"/>
      <c r="I300" s="242"/>
      <c r="J300" s="242"/>
      <c r="K300" s="242"/>
      <c r="L300" s="242"/>
      <c r="M300" s="242"/>
      <c r="N300" s="242"/>
      <c r="O300" s="242"/>
      <c r="P300" s="242"/>
    </row>
    <row r="301" spans="1:16">
      <c r="A301" s="242"/>
      <c r="B301" s="242"/>
      <c r="C301" s="242"/>
      <c r="D301" s="242"/>
      <c r="E301" s="242"/>
      <c r="F301" s="620"/>
      <c r="G301" s="242"/>
      <c r="H301" s="242"/>
      <c r="I301" s="242"/>
      <c r="J301" s="242"/>
      <c r="K301" s="242"/>
      <c r="L301" s="242"/>
      <c r="M301" s="242"/>
      <c r="N301" s="242"/>
      <c r="O301" s="242"/>
      <c r="P301" s="242"/>
    </row>
    <row r="302" spans="1:16">
      <c r="A302" s="242"/>
      <c r="B302" s="242"/>
      <c r="C302" s="242"/>
      <c r="D302" s="242"/>
      <c r="E302" s="242"/>
      <c r="F302" s="620"/>
      <c r="G302" s="242"/>
      <c r="H302" s="242"/>
      <c r="I302" s="242"/>
      <c r="J302" s="242"/>
      <c r="K302" s="242"/>
      <c r="L302" s="242"/>
      <c r="M302" s="242"/>
      <c r="N302" s="242"/>
      <c r="O302" s="242"/>
      <c r="P302" s="242"/>
    </row>
    <row r="303" spans="1:16">
      <c r="A303" s="242"/>
      <c r="B303" s="242"/>
      <c r="C303" s="242"/>
      <c r="D303" s="242"/>
      <c r="E303" s="242"/>
      <c r="F303" s="620"/>
      <c r="G303" s="242"/>
      <c r="H303" s="242"/>
      <c r="I303" s="242"/>
      <c r="J303" s="242"/>
      <c r="K303" s="242"/>
      <c r="L303" s="242"/>
      <c r="M303" s="242"/>
      <c r="N303" s="242"/>
      <c r="O303" s="242"/>
      <c r="P303" s="242"/>
    </row>
    <row r="304" spans="1:16">
      <c r="A304" s="242"/>
      <c r="B304" s="242"/>
      <c r="C304" s="242"/>
      <c r="D304" s="242"/>
      <c r="E304" s="242"/>
      <c r="F304" s="620"/>
      <c r="G304" s="242"/>
      <c r="H304" s="242"/>
      <c r="I304" s="242"/>
      <c r="J304" s="242"/>
      <c r="K304" s="242"/>
      <c r="L304" s="242"/>
      <c r="M304" s="242"/>
      <c r="N304" s="242"/>
      <c r="O304" s="242"/>
      <c r="P304" s="242"/>
    </row>
    <row r="305" spans="1:16">
      <c r="A305" s="242"/>
      <c r="B305" s="242"/>
      <c r="C305" s="242"/>
      <c r="D305" s="242"/>
      <c r="E305" s="242"/>
      <c r="F305" s="620"/>
      <c r="G305" s="242"/>
      <c r="H305" s="242"/>
      <c r="I305" s="242"/>
      <c r="J305" s="242"/>
      <c r="K305" s="242"/>
      <c r="L305" s="242"/>
      <c r="M305" s="242"/>
      <c r="N305" s="242"/>
      <c r="O305" s="242"/>
      <c r="P305" s="242"/>
    </row>
    <row r="306" spans="1:16">
      <c r="A306" s="242"/>
      <c r="B306" s="242"/>
      <c r="C306" s="242"/>
      <c r="D306" s="242"/>
      <c r="E306" s="242"/>
      <c r="F306" s="620"/>
      <c r="G306" s="242"/>
      <c r="H306" s="242"/>
      <c r="I306" s="242"/>
      <c r="J306" s="242"/>
      <c r="K306" s="242"/>
      <c r="L306" s="242"/>
      <c r="M306" s="242"/>
      <c r="N306" s="242"/>
      <c r="O306" s="242"/>
      <c r="P306" s="242"/>
    </row>
    <row r="307" spans="1:16">
      <c r="A307" s="242"/>
      <c r="B307" s="242"/>
      <c r="C307" s="242"/>
      <c r="D307" s="242"/>
      <c r="E307" s="242"/>
      <c r="F307" s="620"/>
      <c r="G307" s="242"/>
      <c r="H307" s="242"/>
      <c r="I307" s="242"/>
      <c r="J307" s="242"/>
      <c r="K307" s="242"/>
      <c r="L307" s="242"/>
      <c r="M307" s="242"/>
      <c r="N307" s="242"/>
      <c r="O307" s="242"/>
      <c r="P307" s="242"/>
    </row>
    <row r="308" spans="1:16">
      <c r="A308" s="242"/>
      <c r="B308" s="242"/>
      <c r="C308" s="242"/>
      <c r="D308" s="242"/>
      <c r="E308" s="242"/>
      <c r="F308" s="620"/>
      <c r="G308" s="242"/>
      <c r="H308" s="242"/>
      <c r="I308" s="242"/>
      <c r="J308" s="242"/>
      <c r="K308" s="242"/>
      <c r="L308" s="242"/>
      <c r="M308" s="242"/>
      <c r="N308" s="242"/>
      <c r="O308" s="242"/>
      <c r="P308" s="242"/>
    </row>
    <row r="309" spans="1:16">
      <c r="A309" s="242"/>
      <c r="B309" s="242"/>
      <c r="C309" s="242"/>
      <c r="D309" s="242"/>
      <c r="E309" s="242"/>
      <c r="F309" s="620"/>
      <c r="G309" s="242"/>
      <c r="H309" s="242"/>
      <c r="I309" s="242"/>
      <c r="J309" s="242"/>
      <c r="K309" s="242"/>
      <c r="L309" s="242"/>
      <c r="M309" s="242"/>
      <c r="N309" s="242"/>
      <c r="O309" s="242"/>
      <c r="P309" s="242"/>
    </row>
    <row r="310" spans="1:16">
      <c r="A310" s="242"/>
      <c r="B310" s="242"/>
      <c r="C310" s="242"/>
      <c r="D310" s="242"/>
      <c r="E310" s="242"/>
      <c r="F310" s="620"/>
      <c r="G310" s="242"/>
      <c r="H310" s="242"/>
      <c r="I310" s="242"/>
      <c r="J310" s="242"/>
      <c r="K310" s="242"/>
      <c r="L310" s="242"/>
      <c r="M310" s="242"/>
      <c r="N310" s="242"/>
      <c r="O310" s="242"/>
      <c r="P310" s="242"/>
    </row>
    <row r="311" spans="1:16">
      <c r="A311" s="242"/>
      <c r="B311" s="242"/>
      <c r="C311" s="242"/>
      <c r="D311" s="242"/>
      <c r="E311" s="242"/>
      <c r="F311" s="620"/>
      <c r="G311" s="242"/>
      <c r="H311" s="242"/>
      <c r="I311" s="242"/>
      <c r="J311" s="242"/>
      <c r="K311" s="242"/>
      <c r="L311" s="242"/>
      <c r="M311" s="242"/>
      <c r="N311" s="242"/>
      <c r="O311" s="242"/>
      <c r="P311" s="242"/>
    </row>
    <row r="312" spans="1:16">
      <c r="A312" s="242"/>
      <c r="B312" s="242"/>
      <c r="C312" s="242"/>
      <c r="D312" s="242"/>
      <c r="E312" s="242"/>
      <c r="F312" s="620"/>
      <c r="G312" s="242"/>
      <c r="H312" s="242"/>
      <c r="I312" s="242"/>
      <c r="J312" s="242"/>
      <c r="K312" s="242"/>
      <c r="L312" s="242"/>
      <c r="M312" s="242"/>
      <c r="N312" s="242"/>
      <c r="O312" s="242"/>
      <c r="P312" s="242"/>
    </row>
    <row r="313" spans="1:16">
      <c r="A313" s="242"/>
      <c r="B313" s="242"/>
      <c r="C313" s="242"/>
      <c r="D313" s="242"/>
      <c r="E313" s="242"/>
      <c r="F313" s="620"/>
      <c r="G313" s="242"/>
      <c r="H313" s="242"/>
      <c r="I313" s="242"/>
      <c r="J313" s="242"/>
      <c r="K313" s="242"/>
      <c r="L313" s="242"/>
      <c r="M313" s="242"/>
      <c r="N313" s="242"/>
      <c r="O313" s="242"/>
      <c r="P313" s="242"/>
    </row>
    <row r="314" spans="1:16">
      <c r="A314" s="242"/>
      <c r="B314" s="242"/>
      <c r="C314" s="242"/>
      <c r="D314" s="242"/>
      <c r="E314" s="242"/>
      <c r="F314" s="620"/>
      <c r="G314" s="242"/>
      <c r="H314" s="242"/>
      <c r="I314" s="242"/>
      <c r="J314" s="242"/>
      <c r="K314" s="242"/>
      <c r="L314" s="242"/>
      <c r="M314" s="242"/>
      <c r="N314" s="242"/>
      <c r="O314" s="242"/>
      <c r="P314" s="242"/>
    </row>
    <row r="315" spans="1:16">
      <c r="A315" s="242"/>
      <c r="B315" s="242"/>
      <c r="C315" s="242"/>
      <c r="D315" s="242"/>
      <c r="E315" s="242"/>
      <c r="F315" s="620"/>
      <c r="G315" s="242"/>
      <c r="H315" s="242"/>
      <c r="I315" s="242"/>
      <c r="J315" s="242"/>
      <c r="K315" s="242"/>
      <c r="L315" s="242"/>
      <c r="M315" s="242"/>
      <c r="N315" s="242"/>
      <c r="O315" s="242"/>
      <c r="P315" s="242"/>
    </row>
    <row r="316" spans="1:16">
      <c r="A316" s="242"/>
      <c r="B316" s="242"/>
      <c r="C316" s="242"/>
      <c r="D316" s="242"/>
      <c r="E316" s="242"/>
      <c r="F316" s="620"/>
      <c r="G316" s="242"/>
      <c r="H316" s="242"/>
      <c r="I316" s="242"/>
      <c r="J316" s="242"/>
      <c r="K316" s="242"/>
      <c r="L316" s="242"/>
      <c r="M316" s="242"/>
      <c r="N316" s="242"/>
      <c r="O316" s="242"/>
      <c r="P316" s="242"/>
    </row>
    <row r="317" spans="1:16">
      <c r="A317" s="242"/>
      <c r="B317" s="242"/>
      <c r="C317" s="242"/>
      <c r="D317" s="242"/>
      <c r="E317" s="242"/>
      <c r="F317" s="620"/>
      <c r="G317" s="242"/>
      <c r="H317" s="242"/>
      <c r="I317" s="242"/>
      <c r="J317" s="242"/>
      <c r="K317" s="242"/>
      <c r="L317" s="242"/>
      <c r="M317" s="242"/>
      <c r="N317" s="242"/>
      <c r="O317" s="242"/>
      <c r="P317" s="242"/>
    </row>
    <row r="318" spans="1:16">
      <c r="A318" s="242"/>
      <c r="B318" s="242"/>
      <c r="C318" s="242"/>
      <c r="D318" s="242"/>
      <c r="E318" s="242"/>
      <c r="F318" s="620"/>
      <c r="G318" s="242"/>
      <c r="H318" s="242"/>
      <c r="I318" s="242"/>
      <c r="J318" s="242"/>
      <c r="K318" s="242"/>
      <c r="L318" s="242"/>
      <c r="M318" s="242"/>
      <c r="N318" s="242"/>
      <c r="O318" s="242"/>
      <c r="P318" s="242"/>
    </row>
    <row r="319" spans="1:16">
      <c r="A319" s="242"/>
      <c r="B319" s="242"/>
      <c r="C319" s="242"/>
      <c r="D319" s="242"/>
      <c r="E319" s="242"/>
      <c r="F319" s="620"/>
      <c r="G319" s="242"/>
      <c r="H319" s="242"/>
      <c r="I319" s="242"/>
      <c r="J319" s="242"/>
      <c r="K319" s="242"/>
      <c r="L319" s="242"/>
      <c r="M319" s="242"/>
      <c r="N319" s="242"/>
      <c r="O319" s="242"/>
      <c r="P319" s="242"/>
    </row>
    <row r="320" spans="1:16">
      <c r="A320" s="242"/>
      <c r="B320" s="242"/>
      <c r="C320" s="242"/>
      <c r="D320" s="242"/>
      <c r="E320" s="242"/>
      <c r="F320" s="620"/>
      <c r="G320" s="242"/>
      <c r="H320" s="242"/>
      <c r="I320" s="242"/>
      <c r="J320" s="242"/>
      <c r="K320" s="242"/>
      <c r="L320" s="242"/>
      <c r="M320" s="242"/>
      <c r="N320" s="242"/>
      <c r="O320" s="242"/>
      <c r="P320" s="242"/>
    </row>
    <row r="321" spans="1:16">
      <c r="A321" s="242"/>
      <c r="B321" s="242"/>
      <c r="C321" s="242"/>
      <c r="D321" s="242"/>
      <c r="E321" s="242"/>
      <c r="F321" s="620"/>
      <c r="G321" s="242"/>
      <c r="H321" s="242"/>
      <c r="I321" s="242"/>
      <c r="J321" s="242"/>
      <c r="K321" s="242"/>
      <c r="L321" s="242"/>
      <c r="M321" s="242"/>
      <c r="N321" s="242"/>
      <c r="O321" s="242"/>
      <c r="P321" s="242"/>
    </row>
    <row r="322" spans="1:16">
      <c r="A322" s="242"/>
      <c r="B322" s="242"/>
      <c r="C322" s="242"/>
      <c r="D322" s="242"/>
      <c r="E322" s="242"/>
      <c r="F322" s="620"/>
      <c r="G322" s="242"/>
      <c r="H322" s="242"/>
      <c r="I322" s="242"/>
      <c r="J322" s="242"/>
      <c r="K322" s="242"/>
      <c r="L322" s="242"/>
      <c r="M322" s="242"/>
      <c r="N322" s="242"/>
      <c r="O322" s="242"/>
      <c r="P322" s="242"/>
    </row>
    <row r="323" spans="1:16">
      <c r="A323" s="242"/>
      <c r="B323" s="242"/>
      <c r="C323" s="242"/>
      <c r="D323" s="242"/>
      <c r="E323" s="242"/>
      <c r="F323" s="620"/>
      <c r="G323" s="242"/>
      <c r="H323" s="242"/>
      <c r="I323" s="242"/>
      <c r="J323" s="242"/>
      <c r="K323" s="242"/>
      <c r="L323" s="242"/>
      <c r="M323" s="242"/>
      <c r="N323" s="242"/>
      <c r="O323" s="242"/>
      <c r="P323" s="242"/>
    </row>
    <row r="324" spans="1:16">
      <c r="A324" s="242"/>
      <c r="B324" s="242"/>
      <c r="C324" s="242"/>
      <c r="D324" s="242"/>
      <c r="E324" s="242"/>
      <c r="F324" s="620"/>
      <c r="G324" s="242"/>
      <c r="H324" s="242"/>
      <c r="I324" s="242"/>
      <c r="J324" s="242"/>
      <c r="K324" s="242"/>
      <c r="L324" s="242"/>
      <c r="M324" s="242"/>
      <c r="N324" s="242"/>
      <c r="O324" s="242"/>
      <c r="P324" s="242"/>
    </row>
    <row r="325" spans="1:16">
      <c r="A325" s="242"/>
      <c r="B325" s="242"/>
      <c r="C325" s="242"/>
      <c r="D325" s="242"/>
      <c r="E325" s="242"/>
      <c r="F325" s="620"/>
      <c r="G325" s="242"/>
      <c r="H325" s="242"/>
      <c r="I325" s="242"/>
      <c r="J325" s="242"/>
      <c r="K325" s="242"/>
      <c r="L325" s="242"/>
      <c r="M325" s="242"/>
      <c r="N325" s="242"/>
      <c r="O325" s="242"/>
      <c r="P325" s="242"/>
    </row>
    <row r="326" spans="1:16">
      <c r="A326" s="242"/>
      <c r="B326" s="242"/>
      <c r="C326" s="242"/>
      <c r="D326" s="242"/>
      <c r="E326" s="242"/>
      <c r="F326" s="620"/>
      <c r="G326" s="242"/>
      <c r="H326" s="242"/>
      <c r="I326" s="242"/>
      <c r="J326" s="242"/>
      <c r="K326" s="242"/>
      <c r="L326" s="242"/>
      <c r="M326" s="242"/>
      <c r="N326" s="242"/>
      <c r="O326" s="242"/>
      <c r="P326" s="242"/>
    </row>
    <row r="327" spans="1:16">
      <c r="A327" s="242"/>
      <c r="B327" s="242"/>
      <c r="C327" s="242"/>
      <c r="D327" s="242"/>
      <c r="E327" s="242"/>
      <c r="F327" s="620"/>
      <c r="G327" s="242"/>
      <c r="H327" s="242"/>
      <c r="I327" s="242"/>
      <c r="J327" s="242"/>
      <c r="K327" s="242"/>
      <c r="L327" s="242"/>
      <c r="M327" s="242"/>
      <c r="N327" s="242"/>
      <c r="O327" s="242"/>
      <c r="P327" s="242"/>
    </row>
    <row r="328" spans="1:16">
      <c r="A328" s="242"/>
      <c r="B328" s="242"/>
      <c r="C328" s="242"/>
      <c r="D328" s="242"/>
      <c r="E328" s="242"/>
      <c r="F328" s="620"/>
      <c r="G328" s="242"/>
      <c r="H328" s="242"/>
      <c r="I328" s="242"/>
      <c r="J328" s="242"/>
      <c r="K328" s="242"/>
      <c r="L328" s="242"/>
      <c r="M328" s="242"/>
      <c r="N328" s="242"/>
      <c r="O328" s="242"/>
      <c r="P328" s="242"/>
    </row>
    <row r="329" spans="1:16">
      <c r="A329" s="242"/>
      <c r="B329" s="242"/>
      <c r="C329" s="242"/>
      <c r="D329" s="242"/>
      <c r="E329" s="242"/>
      <c r="F329" s="620"/>
      <c r="G329" s="242"/>
      <c r="H329" s="242"/>
      <c r="I329" s="242"/>
      <c r="J329" s="242"/>
      <c r="K329" s="242"/>
      <c r="L329" s="242"/>
      <c r="M329" s="242"/>
      <c r="N329" s="242"/>
      <c r="O329" s="242"/>
      <c r="P329" s="242"/>
    </row>
    <row r="330" spans="1:16">
      <c r="A330" s="242"/>
      <c r="B330" s="242"/>
      <c r="C330" s="242"/>
      <c r="D330" s="242"/>
      <c r="E330" s="242"/>
      <c r="F330" s="620"/>
      <c r="G330" s="242"/>
      <c r="H330" s="242"/>
      <c r="I330" s="242"/>
      <c r="J330" s="242"/>
      <c r="K330" s="242"/>
      <c r="L330" s="242"/>
      <c r="M330" s="242"/>
      <c r="N330" s="242"/>
      <c r="O330" s="242"/>
      <c r="P330" s="242"/>
    </row>
    <row r="331" spans="1:16">
      <c r="A331" s="242"/>
      <c r="B331" s="242"/>
      <c r="C331" s="242"/>
      <c r="D331" s="242"/>
      <c r="E331" s="242"/>
      <c r="F331" s="620"/>
      <c r="G331" s="242"/>
      <c r="H331" s="242"/>
      <c r="I331" s="242"/>
      <c r="J331" s="242"/>
      <c r="K331" s="242"/>
      <c r="L331" s="242"/>
      <c r="M331" s="242"/>
      <c r="N331" s="242"/>
      <c r="O331" s="242"/>
      <c r="P331" s="242"/>
    </row>
    <row r="332" spans="1:16">
      <c r="A332" s="242"/>
      <c r="B332" s="242"/>
      <c r="C332" s="242"/>
      <c r="D332" s="242"/>
      <c r="E332" s="242"/>
      <c r="F332" s="620"/>
      <c r="G332" s="242"/>
      <c r="H332" s="242"/>
      <c r="I332" s="242"/>
      <c r="J332" s="242"/>
      <c r="K332" s="242"/>
      <c r="L332" s="242"/>
      <c r="M332" s="242"/>
      <c r="N332" s="242"/>
      <c r="O332" s="242"/>
      <c r="P332" s="242"/>
    </row>
    <row r="333" spans="1:16">
      <c r="A333" s="242"/>
      <c r="B333" s="242"/>
      <c r="C333" s="242"/>
      <c r="D333" s="242"/>
      <c r="E333" s="242"/>
      <c r="F333" s="620"/>
      <c r="G333" s="242"/>
      <c r="H333" s="242"/>
      <c r="I333" s="242"/>
      <c r="J333" s="242"/>
      <c r="K333" s="242"/>
      <c r="L333" s="242"/>
      <c r="M333" s="242"/>
      <c r="N333" s="242"/>
      <c r="O333" s="242"/>
      <c r="P333" s="242"/>
    </row>
    <row r="334" spans="1:16">
      <c r="A334" s="242"/>
      <c r="B334" s="242"/>
      <c r="C334" s="242"/>
      <c r="D334" s="242"/>
      <c r="E334" s="242"/>
      <c r="F334" s="620"/>
      <c r="G334" s="242"/>
      <c r="H334" s="242"/>
      <c r="I334" s="242"/>
      <c r="J334" s="242"/>
      <c r="K334" s="242"/>
      <c r="L334" s="242"/>
      <c r="M334" s="242"/>
      <c r="N334" s="242"/>
      <c r="O334" s="242"/>
      <c r="P334" s="242"/>
    </row>
    <row r="335" spans="1:16">
      <c r="A335" s="242"/>
      <c r="B335" s="242"/>
      <c r="C335" s="242"/>
      <c r="D335" s="242"/>
      <c r="E335" s="242"/>
      <c r="F335" s="620"/>
      <c r="G335" s="242"/>
      <c r="H335" s="242"/>
      <c r="I335" s="242"/>
      <c r="J335" s="242"/>
      <c r="K335" s="242"/>
      <c r="L335" s="242"/>
      <c r="M335" s="242"/>
      <c r="N335" s="242"/>
      <c r="O335" s="242"/>
      <c r="P335" s="242"/>
    </row>
    <row r="336" spans="1:16">
      <c r="A336" s="242"/>
      <c r="B336" s="242"/>
      <c r="C336" s="242"/>
      <c r="D336" s="242"/>
      <c r="E336" s="242"/>
      <c r="F336" s="620"/>
      <c r="G336" s="242"/>
      <c r="H336" s="242"/>
      <c r="I336" s="242"/>
      <c r="J336" s="242"/>
      <c r="K336" s="242"/>
      <c r="L336" s="242"/>
      <c r="M336" s="242"/>
      <c r="N336" s="242"/>
      <c r="O336" s="242"/>
      <c r="P336" s="242"/>
    </row>
    <row r="337" spans="1:16">
      <c r="A337" s="242"/>
      <c r="B337" s="242"/>
      <c r="C337" s="242"/>
      <c r="D337" s="242"/>
      <c r="E337" s="242"/>
      <c r="F337" s="620"/>
      <c r="G337" s="242"/>
      <c r="H337" s="242"/>
      <c r="I337" s="242"/>
      <c r="J337" s="242"/>
      <c r="K337" s="242"/>
      <c r="L337" s="242"/>
      <c r="M337" s="242"/>
      <c r="N337" s="242"/>
      <c r="O337" s="242"/>
      <c r="P337" s="242"/>
    </row>
    <row r="338" spans="1:16">
      <c r="A338" s="242"/>
      <c r="B338" s="242"/>
      <c r="C338" s="242"/>
      <c r="D338" s="242"/>
      <c r="E338" s="242"/>
      <c r="F338" s="620"/>
      <c r="G338" s="242"/>
      <c r="H338" s="242"/>
      <c r="I338" s="242"/>
      <c r="J338" s="242"/>
      <c r="K338" s="242"/>
      <c r="L338" s="242"/>
      <c r="M338" s="242"/>
      <c r="N338" s="242"/>
      <c r="O338" s="242"/>
      <c r="P338" s="242"/>
    </row>
    <row r="339" spans="1:16">
      <c r="A339" s="242"/>
      <c r="B339" s="242"/>
      <c r="C339" s="242"/>
      <c r="D339" s="242"/>
      <c r="E339" s="242"/>
      <c r="F339" s="620"/>
      <c r="G339" s="242"/>
      <c r="H339" s="242"/>
      <c r="I339" s="242"/>
      <c r="J339" s="242"/>
      <c r="K339" s="242"/>
      <c r="L339" s="242"/>
      <c r="M339" s="242"/>
      <c r="N339" s="242"/>
      <c r="O339" s="242"/>
      <c r="P339" s="242"/>
    </row>
    <row r="340" spans="1:16">
      <c r="A340" s="242"/>
      <c r="B340" s="242"/>
      <c r="C340" s="242"/>
      <c r="D340" s="242"/>
      <c r="E340" s="242"/>
      <c r="F340" s="620"/>
      <c r="G340" s="242"/>
      <c r="H340" s="242"/>
      <c r="I340" s="242"/>
      <c r="J340" s="242"/>
      <c r="K340" s="242"/>
      <c r="L340" s="242"/>
      <c r="M340" s="242"/>
      <c r="N340" s="242"/>
      <c r="O340" s="242"/>
      <c r="P340" s="242"/>
    </row>
    <row r="341" spans="1:16">
      <c r="A341" s="242"/>
      <c r="B341" s="242"/>
      <c r="C341" s="242"/>
      <c r="D341" s="242"/>
      <c r="E341" s="242"/>
      <c r="F341" s="620"/>
      <c r="G341" s="242"/>
      <c r="H341" s="242"/>
      <c r="I341" s="242"/>
      <c r="J341" s="242"/>
      <c r="K341" s="242"/>
      <c r="L341" s="242"/>
      <c r="M341" s="242"/>
      <c r="N341" s="242"/>
      <c r="O341" s="242"/>
      <c r="P341" s="242"/>
    </row>
    <row r="342" spans="1:16">
      <c r="A342" s="242"/>
      <c r="B342" s="242"/>
      <c r="C342" s="242"/>
      <c r="D342" s="242"/>
      <c r="E342" s="242"/>
      <c r="F342" s="620"/>
      <c r="G342" s="242"/>
      <c r="H342" s="242"/>
      <c r="I342" s="242"/>
      <c r="J342" s="242"/>
      <c r="K342" s="242"/>
      <c r="L342" s="242"/>
      <c r="M342" s="242"/>
      <c r="N342" s="242"/>
      <c r="O342" s="242"/>
      <c r="P342" s="242"/>
    </row>
    <row r="343" spans="1:16">
      <c r="A343" s="242"/>
      <c r="B343" s="242"/>
      <c r="C343" s="242"/>
      <c r="D343" s="242"/>
      <c r="E343" s="242"/>
      <c r="F343" s="620"/>
      <c r="G343" s="242"/>
      <c r="H343" s="242"/>
      <c r="I343" s="242"/>
      <c r="J343" s="242"/>
      <c r="K343" s="242"/>
      <c r="L343" s="242"/>
      <c r="M343" s="242"/>
      <c r="N343" s="242"/>
      <c r="O343" s="242"/>
      <c r="P343" s="242"/>
    </row>
    <row r="344" spans="1:16">
      <c r="A344" s="242"/>
      <c r="B344" s="242"/>
      <c r="C344" s="242"/>
      <c r="D344" s="242"/>
      <c r="E344" s="242"/>
      <c r="F344" s="620"/>
      <c r="G344" s="242"/>
      <c r="H344" s="242"/>
      <c r="I344" s="242"/>
      <c r="J344" s="242"/>
      <c r="K344" s="242"/>
      <c r="L344" s="242"/>
      <c r="M344" s="242"/>
      <c r="N344" s="242"/>
      <c r="O344" s="242"/>
      <c r="P344" s="242"/>
    </row>
    <row r="345" spans="1:16">
      <c r="A345" s="242"/>
      <c r="B345" s="242"/>
      <c r="C345" s="242"/>
      <c r="D345" s="242"/>
      <c r="E345" s="242"/>
      <c r="F345" s="620"/>
      <c r="G345" s="242"/>
      <c r="H345" s="242"/>
      <c r="I345" s="242"/>
      <c r="J345" s="242"/>
      <c r="K345" s="242"/>
      <c r="L345" s="242"/>
      <c r="M345" s="242"/>
      <c r="N345" s="242"/>
      <c r="O345" s="242"/>
      <c r="P345" s="242"/>
    </row>
    <row r="346" spans="1:16">
      <c r="A346" s="242"/>
      <c r="B346" s="242"/>
      <c r="C346" s="242"/>
      <c r="D346" s="242"/>
      <c r="E346" s="242"/>
      <c r="F346" s="620"/>
      <c r="G346" s="242"/>
      <c r="H346" s="242"/>
      <c r="I346" s="242"/>
      <c r="J346" s="242"/>
      <c r="K346" s="242"/>
      <c r="L346" s="242"/>
      <c r="M346" s="242"/>
      <c r="N346" s="242"/>
      <c r="O346" s="242"/>
      <c r="P346" s="242"/>
    </row>
    <row r="347" spans="1:16">
      <c r="A347" s="242"/>
      <c r="B347" s="242"/>
      <c r="C347" s="242"/>
      <c r="D347" s="242"/>
      <c r="E347" s="242"/>
      <c r="F347" s="620"/>
      <c r="G347" s="242"/>
      <c r="H347" s="242"/>
      <c r="I347" s="242"/>
      <c r="J347" s="242"/>
      <c r="K347" s="242"/>
      <c r="L347" s="242"/>
      <c r="M347" s="242"/>
      <c r="N347" s="242"/>
      <c r="O347" s="242"/>
      <c r="P347" s="242"/>
    </row>
    <row r="348" spans="1:16">
      <c r="A348" s="242"/>
      <c r="B348" s="242"/>
      <c r="C348" s="242"/>
      <c r="D348" s="242"/>
      <c r="E348" s="242"/>
      <c r="F348" s="620"/>
      <c r="G348" s="242"/>
      <c r="H348" s="242"/>
      <c r="I348" s="242"/>
      <c r="J348" s="242"/>
      <c r="K348" s="242"/>
      <c r="L348" s="242"/>
      <c r="M348" s="242"/>
      <c r="N348" s="242"/>
      <c r="O348" s="242"/>
      <c r="P348" s="242"/>
    </row>
    <row r="349" spans="1:16">
      <c r="A349" s="242"/>
      <c r="B349" s="242"/>
      <c r="C349" s="242"/>
      <c r="D349" s="242"/>
      <c r="E349" s="242"/>
      <c r="F349" s="620"/>
      <c r="G349" s="242"/>
      <c r="H349" s="242"/>
      <c r="I349" s="242"/>
      <c r="J349" s="242"/>
      <c r="K349" s="242"/>
      <c r="L349" s="242"/>
      <c r="M349" s="242"/>
      <c r="N349" s="242"/>
      <c r="O349" s="242"/>
      <c r="P349" s="242"/>
    </row>
    <row r="350" spans="1:16">
      <c r="A350" s="242"/>
      <c r="B350" s="242"/>
      <c r="C350" s="242"/>
      <c r="D350" s="242"/>
      <c r="E350" s="242"/>
      <c r="F350" s="620"/>
      <c r="G350" s="242"/>
      <c r="H350" s="242"/>
      <c r="I350" s="242"/>
      <c r="J350" s="242"/>
      <c r="K350" s="242"/>
      <c r="L350" s="242"/>
      <c r="M350" s="242"/>
      <c r="N350" s="242"/>
      <c r="O350" s="242"/>
      <c r="P350" s="242"/>
    </row>
    <row r="351" spans="1:16">
      <c r="A351" s="242"/>
      <c r="B351" s="242"/>
      <c r="C351" s="242"/>
      <c r="D351" s="242"/>
      <c r="E351" s="242"/>
      <c r="F351" s="620"/>
      <c r="G351" s="242"/>
      <c r="H351" s="242"/>
      <c r="I351" s="242"/>
      <c r="J351" s="242"/>
      <c r="K351" s="242"/>
      <c r="L351" s="242"/>
      <c r="M351" s="242"/>
      <c r="N351" s="242"/>
      <c r="O351" s="242"/>
      <c r="P351" s="242"/>
    </row>
    <row r="352" spans="1:16">
      <c r="A352" s="242"/>
      <c r="B352" s="242"/>
      <c r="C352" s="242"/>
      <c r="D352" s="242"/>
      <c r="E352" s="242"/>
      <c r="F352" s="620"/>
      <c r="G352" s="242"/>
      <c r="H352" s="242"/>
      <c r="I352" s="242"/>
      <c r="J352" s="242"/>
      <c r="K352" s="242"/>
      <c r="L352" s="242"/>
      <c r="M352" s="242"/>
      <c r="N352" s="242"/>
      <c r="O352" s="242"/>
      <c r="P352" s="242"/>
    </row>
    <row r="353" spans="1:16">
      <c r="A353" s="242"/>
      <c r="B353" s="242"/>
      <c r="C353" s="242"/>
      <c r="D353" s="242"/>
      <c r="E353" s="242"/>
      <c r="F353" s="620"/>
      <c r="G353" s="242"/>
      <c r="H353" s="242"/>
      <c r="I353" s="242"/>
      <c r="J353" s="242"/>
      <c r="K353" s="242"/>
      <c r="L353" s="242"/>
      <c r="M353" s="242"/>
      <c r="N353" s="242"/>
      <c r="O353" s="242"/>
      <c r="P353" s="242"/>
    </row>
    <row r="354" spans="1:16">
      <c r="A354" s="242"/>
      <c r="B354" s="242"/>
      <c r="C354" s="242"/>
      <c r="D354" s="242"/>
      <c r="E354" s="242"/>
      <c r="F354" s="620"/>
      <c r="G354" s="242"/>
      <c r="H354" s="242"/>
      <c r="I354" s="242"/>
      <c r="J354" s="242"/>
      <c r="K354" s="242"/>
      <c r="L354" s="242"/>
      <c r="M354" s="242"/>
      <c r="N354" s="242"/>
      <c r="O354" s="242"/>
      <c r="P354" s="242"/>
    </row>
    <row r="355" spans="1:16">
      <c r="A355" s="242"/>
      <c r="B355" s="242"/>
      <c r="C355" s="242"/>
      <c r="D355" s="242"/>
      <c r="E355" s="242"/>
      <c r="F355" s="620"/>
      <c r="G355" s="242"/>
      <c r="H355" s="242"/>
      <c r="I355" s="242"/>
      <c r="J355" s="242"/>
      <c r="K355" s="242"/>
      <c r="L355" s="242"/>
      <c r="M355" s="242"/>
      <c r="N355" s="242"/>
      <c r="O355" s="242"/>
      <c r="P355" s="242"/>
    </row>
    <row r="356" spans="1:16">
      <c r="A356" s="242"/>
      <c r="B356" s="242"/>
      <c r="C356" s="242"/>
      <c r="D356" s="242"/>
      <c r="E356" s="242"/>
      <c r="F356" s="620"/>
      <c r="G356" s="242"/>
      <c r="H356" s="242"/>
      <c r="I356" s="242"/>
      <c r="J356" s="242"/>
      <c r="K356" s="242"/>
      <c r="L356" s="242"/>
      <c r="M356" s="242"/>
      <c r="N356" s="242"/>
      <c r="O356" s="242"/>
      <c r="P356" s="242"/>
    </row>
    <row r="357" spans="1:16">
      <c r="A357" s="242"/>
      <c r="B357" s="242"/>
      <c r="C357" s="242"/>
      <c r="D357" s="242"/>
      <c r="E357" s="242"/>
      <c r="F357" s="620"/>
      <c r="G357" s="242"/>
      <c r="H357" s="242"/>
      <c r="I357" s="242"/>
      <c r="J357" s="242"/>
      <c r="K357" s="242"/>
      <c r="L357" s="242"/>
      <c r="M357" s="242"/>
      <c r="N357" s="242"/>
      <c r="O357" s="242"/>
      <c r="P357" s="242"/>
    </row>
    <row r="358" spans="1:16">
      <c r="A358" s="242"/>
      <c r="B358" s="242"/>
      <c r="C358" s="242"/>
      <c r="D358" s="242"/>
      <c r="E358" s="242"/>
      <c r="F358" s="620"/>
      <c r="G358" s="242"/>
      <c r="H358" s="242"/>
      <c r="I358" s="242"/>
      <c r="J358" s="242"/>
      <c r="K358" s="242"/>
      <c r="L358" s="242"/>
      <c r="M358" s="242"/>
      <c r="N358" s="242"/>
      <c r="O358" s="242"/>
      <c r="P358" s="242"/>
    </row>
    <row r="359" spans="1:16">
      <c r="A359" s="242"/>
      <c r="B359" s="242"/>
      <c r="C359" s="242"/>
      <c r="D359" s="242"/>
      <c r="E359" s="242"/>
      <c r="F359" s="620"/>
      <c r="G359" s="242"/>
      <c r="H359" s="242"/>
      <c r="I359" s="242"/>
      <c r="J359" s="242"/>
      <c r="K359" s="242"/>
      <c r="L359" s="242"/>
      <c r="M359" s="242"/>
      <c r="N359" s="242"/>
      <c r="O359" s="242"/>
      <c r="P359" s="242"/>
    </row>
    <row r="360" spans="1:16">
      <c r="A360" s="242"/>
      <c r="B360" s="242"/>
      <c r="C360" s="242"/>
      <c r="D360" s="242"/>
      <c r="E360" s="242"/>
      <c r="F360" s="620"/>
      <c r="G360" s="242"/>
      <c r="H360" s="242"/>
      <c r="I360" s="242"/>
      <c r="J360" s="242"/>
      <c r="K360" s="242"/>
      <c r="L360" s="242"/>
      <c r="M360" s="242"/>
      <c r="N360" s="242"/>
      <c r="O360" s="242"/>
      <c r="P360" s="242"/>
    </row>
    <row r="361" spans="1:16">
      <c r="A361" s="242"/>
      <c r="B361" s="242"/>
      <c r="C361" s="242"/>
      <c r="D361" s="242"/>
      <c r="E361" s="242"/>
      <c r="F361" s="620"/>
      <c r="G361" s="242"/>
      <c r="H361" s="242"/>
      <c r="I361" s="242"/>
      <c r="J361" s="242"/>
      <c r="K361" s="242"/>
      <c r="L361" s="242"/>
      <c r="M361" s="242"/>
      <c r="N361" s="242"/>
      <c r="O361" s="242"/>
      <c r="P361" s="242"/>
    </row>
    <row r="362" spans="1:16">
      <c r="A362" s="242"/>
      <c r="B362" s="242"/>
      <c r="C362" s="242"/>
      <c r="D362" s="242"/>
      <c r="E362" s="242"/>
      <c r="F362" s="620"/>
      <c r="G362" s="242"/>
      <c r="H362" s="242"/>
      <c r="I362" s="242"/>
      <c r="J362" s="242"/>
      <c r="K362" s="242"/>
      <c r="L362" s="242"/>
      <c r="M362" s="242"/>
      <c r="N362" s="242"/>
      <c r="O362" s="242"/>
      <c r="P362" s="242"/>
    </row>
    <row r="363" spans="1:16">
      <c r="A363" s="242"/>
      <c r="B363" s="242"/>
      <c r="C363" s="242"/>
      <c r="D363" s="242"/>
      <c r="E363" s="242"/>
      <c r="F363" s="620"/>
      <c r="G363" s="242"/>
      <c r="H363" s="242"/>
      <c r="I363" s="242"/>
      <c r="J363" s="242"/>
      <c r="K363" s="242"/>
      <c r="L363" s="242"/>
      <c r="M363" s="242"/>
      <c r="N363" s="242"/>
      <c r="O363" s="242"/>
      <c r="P363" s="242"/>
    </row>
    <row r="364" spans="1:16">
      <c r="A364" s="242"/>
      <c r="B364" s="242"/>
      <c r="C364" s="242"/>
      <c r="D364" s="242"/>
      <c r="E364" s="242"/>
      <c r="F364" s="620"/>
      <c r="G364" s="242"/>
      <c r="H364" s="242"/>
      <c r="I364" s="242"/>
      <c r="J364" s="242"/>
      <c r="K364" s="242"/>
      <c r="L364" s="242"/>
      <c r="M364" s="242"/>
      <c r="N364" s="242"/>
      <c r="O364" s="242"/>
      <c r="P364" s="242"/>
    </row>
    <row r="365" spans="1:16">
      <c r="A365" s="242"/>
      <c r="B365" s="242"/>
      <c r="C365" s="242"/>
      <c r="D365" s="242"/>
      <c r="E365" s="242"/>
      <c r="F365" s="620"/>
      <c r="G365" s="242"/>
      <c r="H365" s="242"/>
      <c r="I365" s="242"/>
      <c r="J365" s="242"/>
      <c r="K365" s="242"/>
      <c r="L365" s="242"/>
      <c r="M365" s="242"/>
      <c r="N365" s="242"/>
      <c r="O365" s="242"/>
      <c r="P365" s="242"/>
    </row>
    <row r="366" spans="1:16">
      <c r="A366" s="242"/>
      <c r="B366" s="242"/>
      <c r="C366" s="242"/>
      <c r="D366" s="242"/>
      <c r="E366" s="242"/>
      <c r="F366" s="620"/>
      <c r="G366" s="242"/>
      <c r="H366" s="242"/>
      <c r="I366" s="242"/>
      <c r="J366" s="242"/>
      <c r="K366" s="242"/>
      <c r="L366" s="242"/>
      <c r="M366" s="242"/>
      <c r="N366" s="242"/>
      <c r="O366" s="242"/>
      <c r="P366" s="242"/>
    </row>
    <row r="367" spans="1:16">
      <c r="A367" s="242"/>
      <c r="B367" s="242"/>
      <c r="C367" s="242"/>
      <c r="D367" s="242"/>
      <c r="E367" s="242"/>
      <c r="F367" s="620"/>
      <c r="G367" s="242"/>
      <c r="H367" s="242"/>
      <c r="I367" s="242"/>
      <c r="J367" s="242"/>
      <c r="K367" s="242"/>
      <c r="L367" s="242"/>
      <c r="M367" s="242"/>
      <c r="N367" s="242"/>
      <c r="O367" s="242"/>
      <c r="P367" s="242"/>
    </row>
    <row r="368" spans="1:16">
      <c r="A368" s="242"/>
      <c r="B368" s="242"/>
      <c r="C368" s="242"/>
      <c r="D368" s="242"/>
      <c r="E368" s="242"/>
      <c r="F368" s="620"/>
      <c r="G368" s="242"/>
      <c r="H368" s="242"/>
      <c r="I368" s="242"/>
      <c r="J368" s="242"/>
      <c r="K368" s="242"/>
      <c r="L368" s="242"/>
      <c r="M368" s="242"/>
      <c r="N368" s="242"/>
      <c r="O368" s="242"/>
      <c r="P368" s="242"/>
    </row>
    <row r="369" spans="1:16">
      <c r="A369" s="242"/>
      <c r="B369" s="242"/>
      <c r="C369" s="242"/>
      <c r="D369" s="242"/>
      <c r="E369" s="242"/>
      <c r="F369" s="620"/>
      <c r="G369" s="242"/>
      <c r="H369" s="242"/>
      <c r="I369" s="242"/>
      <c r="J369" s="242"/>
      <c r="K369" s="242"/>
      <c r="L369" s="242"/>
      <c r="M369" s="242"/>
      <c r="N369" s="242"/>
      <c r="O369" s="242"/>
      <c r="P369" s="242"/>
    </row>
    <row r="370" spans="1:16">
      <c r="A370" s="242"/>
      <c r="B370" s="242"/>
      <c r="C370" s="242"/>
      <c r="D370" s="242"/>
      <c r="E370" s="242"/>
      <c r="F370" s="620"/>
      <c r="G370" s="242"/>
      <c r="H370" s="242"/>
      <c r="I370" s="242"/>
      <c r="J370" s="242"/>
      <c r="K370" s="242"/>
      <c r="L370" s="242"/>
      <c r="M370" s="242"/>
      <c r="N370" s="242"/>
      <c r="O370" s="242"/>
      <c r="P370" s="242"/>
    </row>
    <row r="371" spans="1:16">
      <c r="A371" s="242"/>
      <c r="B371" s="242"/>
      <c r="C371" s="242"/>
      <c r="D371" s="242"/>
      <c r="E371" s="242"/>
      <c r="F371" s="620"/>
      <c r="G371" s="242"/>
      <c r="H371" s="242"/>
      <c r="I371" s="242"/>
      <c r="J371" s="242"/>
      <c r="K371" s="242"/>
      <c r="L371" s="242"/>
      <c r="M371" s="242"/>
      <c r="N371" s="242"/>
      <c r="O371" s="242"/>
      <c r="P371" s="242"/>
    </row>
    <row r="372" spans="1:16">
      <c r="A372" s="242"/>
      <c r="B372" s="242"/>
      <c r="C372" s="242"/>
      <c r="D372" s="242"/>
      <c r="E372" s="242"/>
      <c r="F372" s="620"/>
      <c r="G372" s="242"/>
      <c r="H372" s="242"/>
      <c r="I372" s="242"/>
      <c r="J372" s="242"/>
      <c r="K372" s="242"/>
      <c r="L372" s="242"/>
      <c r="M372" s="242"/>
      <c r="N372" s="242"/>
      <c r="O372" s="242"/>
      <c r="P372" s="242"/>
    </row>
    <row r="373" spans="1:16">
      <c r="A373" s="242"/>
      <c r="B373" s="242"/>
      <c r="C373" s="242"/>
      <c r="D373" s="242"/>
      <c r="E373" s="242"/>
      <c r="F373" s="620"/>
      <c r="G373" s="242"/>
      <c r="H373" s="242"/>
      <c r="I373" s="242"/>
      <c r="J373" s="242"/>
      <c r="K373" s="242"/>
      <c r="L373" s="242"/>
      <c r="M373" s="242"/>
      <c r="N373" s="242"/>
      <c r="O373" s="242"/>
      <c r="P373" s="242"/>
    </row>
    <row r="374" spans="1:16">
      <c r="A374" s="242"/>
      <c r="B374" s="242"/>
      <c r="C374" s="242"/>
      <c r="D374" s="242"/>
      <c r="E374" s="242"/>
      <c r="F374" s="620"/>
      <c r="G374" s="242"/>
      <c r="H374" s="242"/>
      <c r="I374" s="242"/>
      <c r="J374" s="242"/>
      <c r="K374" s="242"/>
      <c r="L374" s="242"/>
      <c r="M374" s="242"/>
      <c r="N374" s="242"/>
      <c r="O374" s="242"/>
      <c r="P374" s="242"/>
    </row>
    <row r="375" spans="1:16">
      <c r="A375" s="242"/>
      <c r="B375" s="242"/>
      <c r="C375" s="242"/>
      <c r="D375" s="242"/>
      <c r="E375" s="242"/>
      <c r="F375" s="620"/>
      <c r="G375" s="242"/>
      <c r="H375" s="242"/>
      <c r="I375" s="242"/>
      <c r="J375" s="242"/>
      <c r="K375" s="242"/>
      <c r="L375" s="242"/>
      <c r="M375" s="242"/>
      <c r="N375" s="242"/>
      <c r="O375" s="242"/>
      <c r="P375" s="242"/>
    </row>
    <row r="376" spans="1:16">
      <c r="A376" s="242"/>
      <c r="B376" s="242"/>
      <c r="C376" s="242"/>
      <c r="D376" s="242"/>
      <c r="E376" s="242"/>
      <c r="F376" s="620"/>
      <c r="G376" s="242"/>
      <c r="H376" s="242"/>
      <c r="I376" s="242"/>
      <c r="J376" s="242"/>
      <c r="K376" s="242"/>
      <c r="L376" s="242"/>
      <c r="M376" s="242"/>
      <c r="N376" s="242"/>
      <c r="O376" s="242"/>
      <c r="P376" s="242"/>
    </row>
    <row r="377" spans="1:16">
      <c r="A377" s="242"/>
      <c r="B377" s="242"/>
      <c r="C377" s="242"/>
      <c r="D377" s="242"/>
      <c r="E377" s="242"/>
      <c r="F377" s="620"/>
      <c r="G377" s="242"/>
      <c r="H377" s="242"/>
      <c r="I377" s="242"/>
      <c r="J377" s="242"/>
      <c r="K377" s="242"/>
      <c r="L377" s="242"/>
      <c r="M377" s="242"/>
      <c r="N377" s="242"/>
      <c r="O377" s="242"/>
      <c r="P377" s="242"/>
    </row>
    <row r="378" spans="1:16">
      <c r="A378" s="242"/>
      <c r="B378" s="242"/>
      <c r="C378" s="242"/>
      <c r="D378" s="242"/>
      <c r="E378" s="242"/>
      <c r="F378" s="620"/>
      <c r="G378" s="242"/>
      <c r="H378" s="242"/>
      <c r="I378" s="242"/>
      <c r="J378" s="242"/>
      <c r="K378" s="242"/>
      <c r="L378" s="242"/>
      <c r="M378" s="242"/>
      <c r="N378" s="242"/>
      <c r="O378" s="242"/>
      <c r="P378" s="242"/>
    </row>
    <row r="379" spans="1:16">
      <c r="A379" s="242"/>
      <c r="B379" s="242"/>
      <c r="C379" s="242"/>
      <c r="D379" s="242"/>
      <c r="E379" s="242"/>
      <c r="F379" s="620"/>
      <c r="G379" s="242"/>
      <c r="H379" s="242"/>
      <c r="I379" s="242"/>
      <c r="J379" s="242"/>
      <c r="K379" s="242"/>
      <c r="L379" s="242"/>
      <c r="M379" s="242"/>
      <c r="N379" s="242"/>
      <c r="O379" s="242"/>
      <c r="P379" s="242"/>
    </row>
    <row r="380" spans="1:16">
      <c r="A380" s="242"/>
      <c r="B380" s="242"/>
      <c r="C380" s="242"/>
      <c r="D380" s="242"/>
      <c r="E380" s="242"/>
      <c r="F380" s="620"/>
      <c r="G380" s="242"/>
      <c r="H380" s="242"/>
      <c r="I380" s="242"/>
      <c r="J380" s="242"/>
      <c r="K380" s="242"/>
      <c r="L380" s="242"/>
      <c r="M380" s="242"/>
      <c r="N380" s="242"/>
      <c r="O380" s="242"/>
      <c r="P380" s="242"/>
    </row>
    <row r="381" spans="1:16">
      <c r="A381" s="242"/>
      <c r="B381" s="242"/>
      <c r="C381" s="242"/>
      <c r="D381" s="242"/>
      <c r="E381" s="242"/>
      <c r="F381" s="620"/>
      <c r="G381" s="242"/>
      <c r="H381" s="242"/>
      <c r="I381" s="242"/>
      <c r="J381" s="242"/>
      <c r="K381" s="242"/>
      <c r="L381" s="242"/>
      <c r="M381" s="242"/>
      <c r="N381" s="242"/>
      <c r="O381" s="242"/>
      <c r="P381" s="242"/>
    </row>
    <row r="382" spans="1:16">
      <c r="A382" s="242"/>
      <c r="B382" s="242"/>
      <c r="C382" s="242"/>
      <c r="D382" s="242"/>
      <c r="E382" s="242"/>
      <c r="F382" s="620"/>
      <c r="G382" s="242"/>
      <c r="H382" s="242"/>
      <c r="I382" s="242"/>
      <c r="J382" s="242"/>
      <c r="K382" s="242"/>
      <c r="L382" s="242"/>
      <c r="M382" s="242"/>
      <c r="N382" s="242"/>
      <c r="O382" s="242"/>
      <c r="P382" s="242"/>
    </row>
    <row r="383" spans="1:16">
      <c r="A383" s="242"/>
      <c r="B383" s="242"/>
      <c r="C383" s="242"/>
      <c r="D383" s="242"/>
      <c r="E383" s="242"/>
      <c r="F383" s="620"/>
      <c r="G383" s="242"/>
      <c r="H383" s="242"/>
      <c r="I383" s="242"/>
      <c r="J383" s="242"/>
      <c r="K383" s="242"/>
      <c r="L383" s="242"/>
      <c r="M383" s="242"/>
      <c r="N383" s="242"/>
      <c r="O383" s="242"/>
      <c r="P383" s="242"/>
    </row>
    <row r="384" spans="1:16">
      <c r="A384" s="242"/>
      <c r="B384" s="242"/>
      <c r="C384" s="242"/>
      <c r="D384" s="242"/>
      <c r="E384" s="242"/>
      <c r="F384" s="620"/>
      <c r="G384" s="242"/>
      <c r="H384" s="242"/>
      <c r="I384" s="242"/>
      <c r="J384" s="242"/>
      <c r="K384" s="242"/>
      <c r="L384" s="242"/>
      <c r="M384" s="242"/>
      <c r="N384" s="242"/>
      <c r="O384" s="242"/>
      <c r="P384" s="242"/>
    </row>
    <row r="385" spans="1:16">
      <c r="A385" s="242"/>
      <c r="B385" s="242"/>
      <c r="C385" s="242"/>
      <c r="D385" s="242"/>
      <c r="E385" s="242"/>
      <c r="F385" s="620"/>
      <c r="G385" s="242"/>
      <c r="H385" s="242"/>
      <c r="I385" s="242"/>
      <c r="J385" s="242"/>
      <c r="K385" s="242"/>
      <c r="L385" s="242"/>
      <c r="M385" s="242"/>
      <c r="N385" s="242"/>
      <c r="O385" s="242"/>
      <c r="P385" s="242"/>
    </row>
    <row r="386" spans="1:16">
      <c r="A386" s="242"/>
      <c r="B386" s="242"/>
      <c r="C386" s="242"/>
      <c r="D386" s="242"/>
      <c r="E386" s="242"/>
      <c r="F386" s="620"/>
      <c r="G386" s="242"/>
      <c r="H386" s="242"/>
      <c r="I386" s="242"/>
      <c r="J386" s="242"/>
      <c r="K386" s="242"/>
      <c r="L386" s="242"/>
      <c r="M386" s="242"/>
      <c r="N386" s="242"/>
      <c r="O386" s="242"/>
      <c r="P386" s="242"/>
    </row>
  </sheetData>
  <mergeCells count="43">
    <mergeCell ref="D36:F36"/>
    <mergeCell ref="A31:F31"/>
    <mergeCell ref="A32:F32"/>
    <mergeCell ref="B33:G33"/>
    <mergeCell ref="C26:D26"/>
    <mergeCell ref="E26:F26"/>
    <mergeCell ref="C27:D27"/>
    <mergeCell ref="E27:F27"/>
    <mergeCell ref="A28:H28"/>
    <mergeCell ref="A29:F29"/>
    <mergeCell ref="B19:C19"/>
    <mergeCell ref="A21:F21"/>
    <mergeCell ref="A22:H22"/>
    <mergeCell ref="A23:B27"/>
    <mergeCell ref="C23:D24"/>
    <mergeCell ref="E23:F23"/>
    <mergeCell ref="E24:F24"/>
    <mergeCell ref="C25:D25"/>
    <mergeCell ref="E25:F25"/>
    <mergeCell ref="A13:A18"/>
    <mergeCell ref="B13:C13"/>
    <mergeCell ref="D13:D15"/>
    <mergeCell ref="E13:E15"/>
    <mergeCell ref="B14:C15"/>
    <mergeCell ref="B16:C18"/>
    <mergeCell ref="D16:D18"/>
    <mergeCell ref="E16:E18"/>
    <mergeCell ref="A7:A12"/>
    <mergeCell ref="B7:C7"/>
    <mergeCell ref="D7:D9"/>
    <mergeCell ref="E7:E9"/>
    <mergeCell ref="B8:C9"/>
    <mergeCell ref="B10:C12"/>
    <mergeCell ref="D10:D12"/>
    <mergeCell ref="E10:E12"/>
    <mergeCell ref="I5:I6"/>
    <mergeCell ref="B3:E3"/>
    <mergeCell ref="A5:C6"/>
    <mergeCell ref="D5:D6"/>
    <mergeCell ref="E5:E6"/>
    <mergeCell ref="F5:F6"/>
    <mergeCell ref="G5:G6"/>
    <mergeCell ref="H5:H6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37" orientation="landscape" useFirstPageNumber="1" r:id="rId1"/>
  <headerFooter>
    <oddFooter>&amp;L&amp;P&amp;R&amp;G</oddFooter>
  </headerFooter>
  <colBreaks count="1" manualBreakCount="1">
    <brk id="16" min="1" max="74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19">
    <tabColor rgb="FF92D050"/>
  </sheetPr>
  <dimension ref="A1:AR43"/>
  <sheetViews>
    <sheetView view="pageBreakPreview" zoomScale="80" zoomScaleNormal="70" zoomScaleSheetLayoutView="80" zoomScalePageLayoutView="70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B1" sqref="B1"/>
    </sheetView>
  </sheetViews>
  <sheetFormatPr defaultColWidth="4.7109375" defaultRowHeight="15"/>
  <cols>
    <col min="1" max="1" width="5.7109375" style="21" customWidth="1"/>
    <col min="2" max="2" width="11.7109375" style="21" customWidth="1"/>
    <col min="3" max="3" width="11.7109375" style="589" customWidth="1"/>
    <col min="4" max="5" width="11.7109375" style="21" customWidth="1"/>
    <col min="6" max="6" width="11.7109375" style="2" customWidth="1"/>
    <col min="7" max="10" width="30.7109375" style="21" customWidth="1"/>
    <col min="11" max="16384" width="4.7109375" style="21"/>
  </cols>
  <sheetData>
    <row r="1" spans="1:44" s="170" customFormat="1" ht="18" customHeight="1">
      <c r="A1" s="2280"/>
      <c r="B1" s="2279" t="s">
        <v>490</v>
      </c>
      <c r="C1" s="2279"/>
      <c r="D1" s="2280"/>
      <c r="E1" s="2280"/>
      <c r="F1" s="2281"/>
      <c r="G1" s="2280"/>
      <c r="H1" s="2280"/>
    </row>
    <row r="3" spans="1:44" s="470" customFormat="1" ht="90" customHeight="1">
      <c r="A3" s="7"/>
      <c r="B3" s="4442" t="s">
        <v>308</v>
      </c>
      <c r="C3" s="4198"/>
      <c r="D3" s="4443"/>
      <c r="E3" s="4444"/>
      <c r="F3" s="517"/>
      <c r="G3" s="439"/>
      <c r="H3" s="439"/>
      <c r="I3" s="25"/>
    </row>
    <row r="4" spans="1:44">
      <c r="A4" s="138"/>
      <c r="B4" s="19" t="s">
        <v>59</v>
      </c>
      <c r="C4" s="19"/>
      <c r="D4" s="138"/>
      <c r="E4" s="138"/>
      <c r="F4" s="515"/>
      <c r="G4" s="15"/>
      <c r="H4" s="15"/>
      <c r="I4" s="25"/>
    </row>
    <row r="5" spans="1:44">
      <c r="A5" s="4221" t="s">
        <v>2</v>
      </c>
      <c r="B5" s="4221"/>
      <c r="C5" s="4221"/>
      <c r="D5" s="4222" t="s">
        <v>42</v>
      </c>
      <c r="E5" s="4201" t="s">
        <v>41</v>
      </c>
      <c r="F5" s="4201" t="s">
        <v>8</v>
      </c>
      <c r="G5" s="4292" t="s">
        <v>1368</v>
      </c>
      <c r="H5" s="4292" t="s">
        <v>1369</v>
      </c>
      <c r="I5" s="4292" t="s">
        <v>1370</v>
      </c>
      <c r="J5" s="4446" t="s">
        <v>2942</v>
      </c>
    </row>
    <row r="6" spans="1:44" s="589" customFormat="1">
      <c r="A6" s="4224"/>
      <c r="B6" s="4224"/>
      <c r="C6" s="4224"/>
      <c r="D6" s="4225"/>
      <c r="E6" s="4412"/>
      <c r="F6" s="4412"/>
      <c r="G6" s="4293"/>
      <c r="H6" s="4293"/>
      <c r="I6" s="4293"/>
      <c r="J6" s="4396"/>
    </row>
    <row r="7" spans="1:44" s="23" customFormat="1" ht="30" customHeight="1">
      <c r="A7" s="4407" t="s">
        <v>30</v>
      </c>
      <c r="B7" s="4209" t="s">
        <v>284</v>
      </c>
      <c r="C7" s="4210"/>
      <c r="D7" s="4203" t="s">
        <v>35</v>
      </c>
      <c r="E7" s="4203" t="s">
        <v>43</v>
      </c>
      <c r="F7" s="2390" t="s">
        <v>0</v>
      </c>
      <c r="G7" s="1191">
        <f>CEILING('Полотна база'!L54*(1+скидки_наценки!$B$30)*скидки_наценки!$D$13*скидки_наценки!$F$13/скидки_наценки!$B$4, 50)</f>
        <v>21750</v>
      </c>
      <c r="H7" s="1191">
        <f>CEILING('Полотна база'!L54*(1+скидки_наценки!$B$30)*скидки_наценки!$D$13*скидки_наценки!$F$13/скидки_наценки!$B$4, 50)</f>
        <v>21750</v>
      </c>
      <c r="I7" s="1191">
        <f>CEILING('Полотна база'!M54*(1+скидки_наценки!$B$30)*скидки_наценки!$D$13*скидки_наценки!$F$13/скидки_наценки!$B$4, 50)</f>
        <v>25300</v>
      </c>
      <c r="J7" s="1191">
        <f>CEILING('Полотна база'!M54*(1+скидки_наценки!$B$30)*скидки_наценки!$D$13*скидки_наценки!$F$13/скидки_наценки!$B$4, 50)</f>
        <v>25300</v>
      </c>
    </row>
    <row r="8" spans="1:44" s="305" customFormat="1" ht="15" customHeight="1">
      <c r="A8" s="4408"/>
      <c r="B8" s="4226"/>
      <c r="C8" s="4227"/>
      <c r="D8" s="4204"/>
      <c r="E8" s="4204"/>
      <c r="F8" s="2339" t="s">
        <v>306</v>
      </c>
      <c r="G8" s="2331">
        <f>IF(G7=0,0,(Погонаж!$C$13*2.5+Погонаж!$E$13*5))</f>
        <v>12375</v>
      </c>
      <c r="H8" s="2331">
        <f>IF(H7=0,0,(Погонаж!$C$13*2.5+Погонаж!$E$13*5))</f>
        <v>12375</v>
      </c>
      <c r="I8" s="2331">
        <f>IF(I7=0,0,(Погонаж!$C$13*2.5+Погонаж!$E$13*5))</f>
        <v>12375</v>
      </c>
      <c r="J8" s="2331">
        <f>IF(J7=0,0,(Погонаж!$C$13*2.5+Погонаж!$E$13*5))</f>
        <v>12375</v>
      </c>
    </row>
    <row r="9" spans="1:44" s="23" customFormat="1" ht="30" customHeight="1">
      <c r="A9" s="4408"/>
      <c r="B9" s="4228"/>
      <c r="C9" s="4229"/>
      <c r="D9" s="4445"/>
      <c r="E9" s="4445"/>
      <c r="F9" s="1010" t="s">
        <v>1</v>
      </c>
      <c r="G9" s="379">
        <f>G7+G8</f>
        <v>34125</v>
      </c>
      <c r="H9" s="379">
        <f>H7+H8</f>
        <v>34125</v>
      </c>
      <c r="I9" s="379">
        <f>I7+I8</f>
        <v>37675</v>
      </c>
      <c r="J9" s="379">
        <f>J7+J8</f>
        <v>37675</v>
      </c>
    </row>
    <row r="10" spans="1:44" s="700" customFormat="1" ht="30" customHeight="1">
      <c r="A10" s="4408"/>
      <c r="B10" s="4401" t="s">
        <v>2797</v>
      </c>
      <c r="C10" s="4402"/>
      <c r="D10" s="4213" t="s">
        <v>35</v>
      </c>
      <c r="E10" s="4213" t="s">
        <v>43</v>
      </c>
      <c r="F10" s="1103" t="s">
        <v>0</v>
      </c>
      <c r="G10" s="691">
        <f>CEILING('Полотна база'!L58*(1+скидки_наценки!$B$29)*скидки_наценки!$D$13*скидки_наценки!$F$13/скидки_наценки!$B$4, 50)</f>
        <v>26600</v>
      </c>
      <c r="H10" s="691">
        <f>CEILING('Полотна база'!L58*(1+скидки_наценки!$B$29)*скидки_наценки!$D$13*скидки_наценки!$F$13/скидки_наценки!$B$4, 50)</f>
        <v>26600</v>
      </c>
      <c r="I10" s="691">
        <f>CEILING('Полотна база'!M58*(1+скидки_наценки!$B$29)*скидки_наценки!$D$13*скидки_наценки!$F$13/скидки_наценки!$B$4, 50)</f>
        <v>29950</v>
      </c>
      <c r="J10" s="691"/>
    </row>
    <row r="11" spans="1:44" s="700" customFormat="1" ht="15" customHeight="1">
      <c r="A11" s="4408"/>
      <c r="B11" s="4403"/>
      <c r="C11" s="4404"/>
      <c r="D11" s="4214"/>
      <c r="E11" s="4214"/>
      <c r="F11" s="2343" t="s">
        <v>306</v>
      </c>
      <c r="G11" s="373">
        <f>IF(G10=0,0,(Погонаж!$C$13*2.5+Погонаж!$E$13*5))</f>
        <v>12375</v>
      </c>
      <c r="H11" s="373">
        <f>G11</f>
        <v>12375</v>
      </c>
      <c r="I11" s="3292">
        <f>H11</f>
        <v>12375</v>
      </c>
      <c r="J11" s="373"/>
    </row>
    <row r="12" spans="1:44" s="700" customFormat="1" ht="30" customHeight="1">
      <c r="A12" s="4409"/>
      <c r="B12" s="4405"/>
      <c r="C12" s="4406"/>
      <c r="D12" s="4441"/>
      <c r="E12" s="4441"/>
      <c r="F12" s="1011" t="s">
        <v>1</v>
      </c>
      <c r="G12" s="598">
        <f>G10+G11</f>
        <v>38975</v>
      </c>
      <c r="H12" s="598">
        <f>H10+H11</f>
        <v>38975</v>
      </c>
      <c r="I12" s="598">
        <f>I10+I11</f>
        <v>42325</v>
      </c>
      <c r="J12" s="598"/>
    </row>
    <row r="13" spans="1:44" s="11" customFormat="1" ht="18" hidden="1" customHeight="1">
      <c r="B13" s="60" t="s">
        <v>20</v>
      </c>
      <c r="C13" s="60"/>
      <c r="H13" s="61"/>
      <c r="I13" s="61"/>
      <c r="J13" s="62"/>
      <c r="K13" s="589"/>
      <c r="L13" s="589"/>
      <c r="M13" s="589"/>
      <c r="N13" s="242"/>
      <c r="O13" s="387"/>
      <c r="P13" s="387"/>
      <c r="Q13" s="387"/>
      <c r="R13" s="387"/>
      <c r="S13" s="387"/>
      <c r="T13" s="387"/>
      <c r="U13" s="387"/>
      <c r="V13" s="387"/>
      <c r="W13" s="387"/>
      <c r="X13" s="387"/>
      <c r="Y13" s="387"/>
      <c r="Z13" s="387"/>
      <c r="AA13" s="387"/>
      <c r="AB13" s="387"/>
      <c r="AC13" s="387"/>
      <c r="AD13" s="387"/>
      <c r="AE13" s="387"/>
      <c r="AF13" s="387"/>
      <c r="AG13" s="387"/>
      <c r="AH13" s="387"/>
      <c r="AI13" s="387"/>
      <c r="AJ13" s="387"/>
      <c r="AK13" s="387"/>
      <c r="AL13" s="387"/>
      <c r="AM13" s="387"/>
      <c r="AN13" s="387"/>
      <c r="AO13" s="387"/>
      <c r="AP13" s="387"/>
      <c r="AQ13" s="387"/>
      <c r="AR13" s="387"/>
    </row>
    <row r="14" spans="1:44" s="11" customFormat="1" ht="18" hidden="1" customHeight="1">
      <c r="A14" s="4220" t="s">
        <v>3</v>
      </c>
      <c r="B14" s="4221"/>
      <c r="C14" s="4221"/>
      <c r="D14" s="4221"/>
      <c r="E14" s="4221"/>
      <c r="F14" s="4222"/>
      <c r="G14" s="2386" t="str">
        <f>G5</f>
        <v>серия Linea</v>
      </c>
      <c r="H14" s="2386" t="str">
        <f>H5</f>
        <v>серия Twist</v>
      </c>
      <c r="I14" s="2386" t="str">
        <f>I5</f>
        <v xml:space="preserve">серия Lingo </v>
      </c>
      <c r="J14" s="2386" t="str">
        <f>J5</f>
        <v xml:space="preserve">серия Mezzo </v>
      </c>
      <c r="K14" s="589"/>
      <c r="L14" s="589"/>
      <c r="M14" s="589"/>
      <c r="N14" s="387"/>
      <c r="O14" s="387"/>
      <c r="P14" s="387"/>
      <c r="Q14" s="387"/>
      <c r="R14" s="387"/>
      <c r="S14" s="387"/>
      <c r="T14" s="387"/>
      <c r="U14" s="387"/>
      <c r="V14" s="387"/>
      <c r="W14" s="387"/>
      <c r="X14" s="387"/>
      <c r="Y14" s="387"/>
      <c r="Z14" s="387"/>
      <c r="AA14" s="387"/>
      <c r="AB14" s="387"/>
      <c r="AC14" s="387"/>
      <c r="AD14" s="387"/>
      <c r="AE14" s="387"/>
      <c r="AF14" s="387"/>
      <c r="AG14" s="387"/>
      <c r="AH14" s="387"/>
      <c r="AI14" s="387"/>
      <c r="AJ14" s="387"/>
      <c r="AK14" s="387"/>
      <c r="AL14" s="387"/>
      <c r="AM14" s="387"/>
      <c r="AN14" s="387"/>
    </row>
    <row r="15" spans="1:44" s="63" customFormat="1" ht="18" hidden="1" customHeight="1">
      <c r="A15" s="3035" t="s">
        <v>2433</v>
      </c>
      <c r="B15" s="3036"/>
      <c r="C15" s="3037"/>
      <c r="D15" s="3036"/>
      <c r="E15" s="3036"/>
      <c r="F15" s="3036"/>
      <c r="G15" s="3036"/>
      <c r="H15" s="3036"/>
      <c r="I15" s="3036"/>
      <c r="J15" s="3036"/>
      <c r="K15" s="589"/>
      <c r="L15" s="589"/>
      <c r="M15" s="387"/>
      <c r="N15" s="387"/>
      <c r="O15" s="387"/>
      <c r="P15" s="387"/>
      <c r="Q15" s="387"/>
      <c r="R15" s="387"/>
      <c r="S15" s="387"/>
      <c r="T15" s="387"/>
      <c r="U15" s="387"/>
      <c r="V15" s="387"/>
      <c r="W15" s="387"/>
      <c r="X15" s="387"/>
      <c r="Y15" s="387"/>
      <c r="Z15" s="387"/>
      <c r="AA15" s="387"/>
      <c r="AB15" s="387"/>
      <c r="AC15" s="387"/>
      <c r="AD15" s="387"/>
      <c r="AE15" s="387"/>
      <c r="AF15" s="387"/>
      <c r="AG15" s="387"/>
      <c r="AH15" s="387"/>
      <c r="AI15" s="387"/>
      <c r="AJ15" s="387"/>
      <c r="AK15" s="387"/>
      <c r="AL15" s="387"/>
      <c r="AM15" s="387"/>
      <c r="AN15" s="387"/>
    </row>
    <row r="16" spans="1:44" s="64" customFormat="1" ht="18" hidden="1" customHeight="1">
      <c r="A16" s="4353" t="s">
        <v>2429</v>
      </c>
      <c r="B16" s="4354"/>
      <c r="C16" s="4354"/>
      <c r="D16" s="4354"/>
      <c r="E16" s="4354"/>
      <c r="F16" s="4355"/>
      <c r="G16" s="3038">
        <v>0.15</v>
      </c>
      <c r="H16" s="3038">
        <f>G16</f>
        <v>0.15</v>
      </c>
      <c r="I16" s="3038">
        <f>H16</f>
        <v>0.15</v>
      </c>
      <c r="J16" s="3038">
        <f>I16</f>
        <v>0.15</v>
      </c>
      <c r="K16" s="589"/>
      <c r="L16" s="589"/>
      <c r="M16" s="242"/>
      <c r="N16" s="242"/>
      <c r="O16" s="242"/>
      <c r="P16" s="242"/>
      <c r="Q16" s="242"/>
      <c r="R16" s="242"/>
      <c r="S16" s="242"/>
      <c r="T16" s="242"/>
      <c r="U16" s="242"/>
      <c r="V16" s="242"/>
      <c r="W16" s="242"/>
      <c r="X16" s="242"/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42"/>
    </row>
    <row r="17" spans="1:40" s="64" customFormat="1" ht="18" hidden="1" customHeight="1">
      <c r="A17" s="4370" t="s">
        <v>2430</v>
      </c>
      <c r="B17" s="4371"/>
      <c r="C17" s="4371"/>
      <c r="D17" s="4371"/>
      <c r="E17" s="4371"/>
      <c r="F17" s="4372"/>
      <c r="G17" s="3041">
        <v>0.2</v>
      </c>
      <c r="H17" s="3041">
        <f t="shared" ref="H17:J18" si="0">G17</f>
        <v>0.2</v>
      </c>
      <c r="I17" s="3041">
        <f t="shared" si="0"/>
        <v>0.2</v>
      </c>
      <c r="J17" s="3041">
        <f t="shared" si="0"/>
        <v>0.2</v>
      </c>
      <c r="K17" s="589"/>
      <c r="L17" s="589"/>
      <c r="M17" s="242"/>
      <c r="N17" s="242"/>
      <c r="O17" s="242"/>
      <c r="P17" s="242"/>
      <c r="Q17" s="242"/>
      <c r="R17" s="242"/>
      <c r="S17" s="242"/>
      <c r="T17" s="242"/>
      <c r="U17" s="242"/>
      <c r="V17" s="242"/>
      <c r="W17" s="242"/>
      <c r="X17" s="242"/>
      <c r="Y17" s="242"/>
      <c r="Z17" s="242"/>
      <c r="AA17" s="242"/>
      <c r="AB17" s="242"/>
      <c r="AC17" s="242"/>
      <c r="AD17" s="242"/>
      <c r="AE17" s="242"/>
      <c r="AF17" s="242"/>
      <c r="AG17" s="242"/>
      <c r="AH17" s="242"/>
      <c r="AI17" s="242"/>
      <c r="AJ17" s="242"/>
      <c r="AK17" s="242"/>
      <c r="AL17" s="242"/>
      <c r="AM17" s="242"/>
      <c r="AN17" s="242"/>
    </row>
    <row r="18" spans="1:40" s="64" customFormat="1" ht="18" hidden="1" customHeight="1">
      <c r="A18" s="4282" t="s">
        <v>2431</v>
      </c>
      <c r="B18" s="4283"/>
      <c r="C18" s="4283"/>
      <c r="D18" s="4283"/>
      <c r="E18" s="4283"/>
      <c r="F18" s="4284"/>
      <c r="G18" s="3040">
        <v>0.3</v>
      </c>
      <c r="H18" s="3040">
        <f t="shared" si="0"/>
        <v>0.3</v>
      </c>
      <c r="I18" s="3040">
        <f t="shared" si="0"/>
        <v>0.3</v>
      </c>
      <c r="J18" s="3040">
        <f t="shared" si="0"/>
        <v>0.3</v>
      </c>
      <c r="K18" s="589"/>
      <c r="L18" s="589"/>
      <c r="M18" s="242"/>
      <c r="N18" s="242"/>
      <c r="O18" s="242"/>
      <c r="P18" s="242"/>
      <c r="Q18" s="242"/>
      <c r="R18" s="242"/>
      <c r="S18" s="242"/>
      <c r="T18" s="242"/>
      <c r="U18" s="242"/>
      <c r="V18" s="242"/>
      <c r="W18" s="242"/>
      <c r="X18" s="242"/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</row>
    <row r="19" spans="1:40" s="210" customFormat="1" ht="15.75">
      <c r="A19" s="1078"/>
      <c r="B19" s="4362" t="s">
        <v>29</v>
      </c>
      <c r="C19" s="4362"/>
      <c r="D19" s="1078"/>
      <c r="E19" s="1078"/>
      <c r="F19" s="1079"/>
      <c r="G19" s="1079"/>
      <c r="H19" s="1079"/>
      <c r="I19" s="1079"/>
      <c r="J19" s="289"/>
      <c r="K19" s="589"/>
      <c r="L19" s="589"/>
      <c r="M19" s="1032"/>
      <c r="N19" s="1032"/>
      <c r="O19" s="1032"/>
      <c r="P19" s="1032"/>
      <c r="Q19" s="1032"/>
      <c r="R19" s="1032"/>
      <c r="S19" s="1032"/>
      <c r="T19" s="1032"/>
      <c r="U19" s="1032"/>
      <c r="V19" s="1032"/>
      <c r="W19" s="1032"/>
      <c r="X19" s="1032"/>
      <c r="Y19" s="1032"/>
      <c r="Z19" s="1032"/>
      <c r="AA19" s="1032"/>
      <c r="AB19" s="1032"/>
      <c r="AC19" s="1032"/>
      <c r="AD19" s="1032"/>
      <c r="AE19" s="1032"/>
      <c r="AF19" s="1032"/>
      <c r="AG19" s="1032"/>
      <c r="AH19" s="1032"/>
    </row>
    <row r="20" spans="1:40" s="210" customFormat="1" ht="15.75">
      <c r="A20" s="1078"/>
      <c r="B20" s="4410" t="s">
        <v>2810</v>
      </c>
      <c r="C20" s="4410"/>
      <c r="D20" s="4410"/>
      <c r="E20" s="4410"/>
      <c r="F20" s="4410"/>
      <c r="G20" s="4410"/>
      <c r="H20" s="4410"/>
      <c r="I20" s="4410"/>
      <c r="J20" s="4410"/>
      <c r="K20" s="4410"/>
      <c r="L20" s="4410"/>
      <c r="M20" s="1032"/>
      <c r="N20" s="1032"/>
      <c r="O20" s="1032"/>
      <c r="P20" s="1032"/>
      <c r="Q20" s="1032"/>
      <c r="R20" s="1032"/>
      <c r="S20" s="1032"/>
      <c r="T20" s="1032"/>
      <c r="U20" s="1032"/>
      <c r="V20" s="1032"/>
      <c r="W20" s="1032"/>
      <c r="X20" s="1032"/>
      <c r="Y20" s="1032"/>
      <c r="Z20" s="1032"/>
      <c r="AA20" s="1032"/>
      <c r="AB20" s="1032"/>
      <c r="AC20" s="1032"/>
      <c r="AD20" s="1032"/>
      <c r="AE20" s="1032"/>
      <c r="AF20" s="1032"/>
      <c r="AG20" s="1032"/>
      <c r="AH20" s="1032"/>
    </row>
    <row r="21" spans="1:40" s="210" customFormat="1" ht="18.75" customHeight="1">
      <c r="A21" s="1078"/>
      <c r="B21" s="1078"/>
      <c r="C21" s="1078"/>
      <c r="D21" s="1078"/>
      <c r="E21" s="1078"/>
      <c r="F21" s="1079"/>
      <c r="G21" s="1079"/>
      <c r="H21" s="1079"/>
      <c r="I21" s="1079"/>
      <c r="J21" s="289"/>
      <c r="K21" s="1032"/>
      <c r="L21" s="1032"/>
      <c r="M21" s="1032"/>
      <c r="N21" s="1032"/>
      <c r="O21" s="1032"/>
      <c r="P21" s="1032"/>
      <c r="Q21" s="1032"/>
      <c r="R21" s="1032"/>
      <c r="S21" s="1032"/>
      <c r="T21" s="1032"/>
      <c r="U21" s="1032"/>
      <c r="V21" s="1032"/>
      <c r="W21" s="1032"/>
      <c r="X21" s="1032"/>
      <c r="Y21" s="1032"/>
      <c r="Z21" s="1032"/>
      <c r="AA21" s="1032"/>
      <c r="AB21" s="1032"/>
      <c r="AC21" s="1032"/>
      <c r="AD21" s="1032"/>
      <c r="AE21" s="1032"/>
      <c r="AF21" s="1032"/>
      <c r="AG21" s="1032"/>
      <c r="AH21" s="1032"/>
    </row>
    <row r="22" spans="1:40" s="210" customFormat="1" ht="15.75" customHeight="1">
      <c r="A22" s="3272"/>
      <c r="B22" s="3273"/>
      <c r="C22" s="3273"/>
      <c r="D22" s="54" t="s">
        <v>2869</v>
      </c>
      <c r="E22" s="3253"/>
      <c r="F22" s="3274"/>
      <c r="G22" s="3274"/>
      <c r="H22" s="3274"/>
      <c r="I22" s="3273"/>
      <c r="J22" s="290"/>
      <c r="K22" s="1032"/>
      <c r="L22" s="1032"/>
      <c r="M22" s="1032"/>
      <c r="N22" s="1032"/>
      <c r="O22" s="1032"/>
      <c r="P22" s="1032"/>
      <c r="Q22" s="1032"/>
      <c r="R22" s="1032"/>
      <c r="S22" s="1032"/>
      <c r="T22" s="1032"/>
      <c r="U22" s="1032"/>
      <c r="V22" s="1032"/>
      <c r="W22" s="1032"/>
      <c r="X22" s="1032"/>
      <c r="Y22" s="1032"/>
      <c r="Z22" s="1032"/>
      <c r="AA22" s="1032"/>
      <c r="AB22" s="1032"/>
      <c r="AC22" s="1032"/>
      <c r="AD22" s="1032"/>
      <c r="AE22" s="1032"/>
      <c r="AF22" s="1032"/>
      <c r="AG22" s="1032"/>
      <c r="AH22" s="1032"/>
    </row>
    <row r="23" spans="1:40">
      <c r="A23" s="64"/>
      <c r="B23" s="64"/>
      <c r="C23" s="64"/>
      <c r="D23" s="3253"/>
      <c r="E23" s="3254"/>
      <c r="F23" s="4413" t="s">
        <v>2870</v>
      </c>
      <c r="G23" s="4413"/>
      <c r="H23" s="4413"/>
      <c r="I23" s="3264" t="s">
        <v>2874</v>
      </c>
      <c r="J23" s="64"/>
    </row>
    <row r="24" spans="1:40">
      <c r="A24" s="64"/>
      <c r="B24" s="64"/>
      <c r="C24" s="64"/>
      <c r="D24" s="3253"/>
      <c r="E24" s="3254"/>
      <c r="F24" s="3263"/>
      <c r="G24" s="64"/>
      <c r="H24" s="64"/>
      <c r="I24" s="64"/>
      <c r="J24" s="64"/>
    </row>
    <row r="25" spans="1:40">
      <c r="A25" s="64"/>
      <c r="B25" s="64"/>
      <c r="C25" s="64"/>
      <c r="D25" s="64"/>
      <c r="E25" s="64"/>
      <c r="F25" s="3263"/>
      <c r="G25" s="64"/>
      <c r="H25" s="64"/>
      <c r="I25" s="64"/>
      <c r="J25" s="64"/>
    </row>
    <row r="26" spans="1:40">
      <c r="A26" s="64"/>
      <c r="B26" s="64"/>
      <c r="C26" s="64"/>
      <c r="D26" s="64"/>
      <c r="E26" s="64"/>
      <c r="F26" s="3263"/>
      <c r="G26" s="64"/>
      <c r="H26" s="64"/>
      <c r="I26" s="64"/>
      <c r="J26" s="64"/>
    </row>
    <row r="27" spans="1:40">
      <c r="A27" s="64"/>
      <c r="B27" s="64"/>
      <c r="C27" s="64"/>
      <c r="D27" s="64"/>
      <c r="E27" s="64"/>
      <c r="F27" s="3263"/>
      <c r="G27" s="64"/>
      <c r="H27" s="64"/>
      <c r="I27" s="64"/>
      <c r="J27" s="64"/>
    </row>
    <row r="28" spans="1:40">
      <c r="A28" s="64"/>
      <c r="B28" s="64"/>
      <c r="C28" s="64"/>
      <c r="D28" s="64"/>
      <c r="E28" s="64"/>
      <c r="F28" s="3263"/>
      <c r="G28" s="64"/>
      <c r="H28" s="64"/>
      <c r="I28" s="64"/>
      <c r="J28" s="64"/>
    </row>
    <row r="29" spans="1:40">
      <c r="A29" s="64"/>
      <c r="B29" s="64"/>
      <c r="C29" s="64"/>
      <c r="D29" s="64"/>
      <c r="E29" s="64"/>
      <c r="F29" s="3263"/>
      <c r="G29" s="64"/>
      <c r="H29" s="64"/>
      <c r="I29" s="64"/>
      <c r="J29" s="64"/>
    </row>
    <row r="30" spans="1:40">
      <c r="A30" s="64"/>
      <c r="B30" s="64"/>
      <c r="C30" s="64"/>
      <c r="D30" s="64"/>
      <c r="E30" s="64"/>
      <c r="F30" s="3263"/>
      <c r="G30" s="64"/>
      <c r="H30" s="64"/>
      <c r="I30" s="64"/>
      <c r="J30" s="64"/>
    </row>
    <row r="31" spans="1:40">
      <c r="A31" s="64"/>
      <c r="B31" s="64"/>
      <c r="C31" s="64"/>
      <c r="D31" s="64"/>
      <c r="E31" s="64"/>
      <c r="F31" s="3263"/>
      <c r="G31" s="64"/>
      <c r="H31" s="64"/>
      <c r="I31" s="64"/>
      <c r="J31" s="64"/>
    </row>
    <row r="32" spans="1:40">
      <c r="A32" s="64"/>
      <c r="B32" s="64"/>
      <c r="C32" s="64"/>
      <c r="D32" s="64"/>
      <c r="E32" s="64"/>
      <c r="F32" s="3263"/>
      <c r="G32" s="64"/>
      <c r="H32" s="64"/>
      <c r="I32" s="64"/>
      <c r="J32" s="64"/>
    </row>
    <row r="33" spans="1:10">
      <c r="A33" s="64"/>
      <c r="B33" s="64"/>
      <c r="C33" s="64"/>
      <c r="D33" s="64"/>
      <c r="E33" s="64"/>
      <c r="F33" s="3265" t="s">
        <v>2875</v>
      </c>
      <c r="G33" s="64"/>
      <c r="H33" s="64"/>
      <c r="I33" s="3264" t="s">
        <v>2958</v>
      </c>
      <c r="J33" s="64"/>
    </row>
    <row r="34" spans="1:10">
      <c r="A34" s="64"/>
      <c r="B34" s="64"/>
      <c r="C34" s="64"/>
      <c r="D34" s="64"/>
      <c r="E34" s="64"/>
      <c r="F34" s="3263"/>
      <c r="G34" s="64"/>
      <c r="H34" s="64"/>
      <c r="J34" s="64"/>
    </row>
    <row r="35" spans="1:10">
      <c r="A35" s="64"/>
      <c r="B35" s="64"/>
      <c r="C35" s="64"/>
      <c r="D35" s="64"/>
      <c r="E35" s="64"/>
      <c r="F35" s="3263"/>
      <c r="G35" s="64"/>
      <c r="H35" s="64"/>
      <c r="I35" s="64"/>
      <c r="J35" s="64"/>
    </row>
    <row r="36" spans="1:10">
      <c r="A36" s="64"/>
      <c r="B36" s="64"/>
      <c r="C36" s="64"/>
      <c r="D36" s="64"/>
      <c r="E36" s="64"/>
      <c r="F36" s="3263"/>
      <c r="G36" s="64"/>
      <c r="H36" s="64"/>
      <c r="I36" s="64"/>
      <c r="J36" s="64"/>
    </row>
    <row r="37" spans="1:10">
      <c r="A37" s="64"/>
      <c r="B37" s="64"/>
      <c r="C37" s="64"/>
      <c r="D37" s="64"/>
      <c r="E37" s="64"/>
      <c r="F37" s="3263"/>
      <c r="G37" s="64"/>
      <c r="H37" s="64"/>
      <c r="I37" s="64"/>
      <c r="J37" s="64"/>
    </row>
    <row r="38" spans="1:10">
      <c r="A38" s="64"/>
      <c r="B38" s="64"/>
      <c r="C38" s="64"/>
      <c r="D38" s="64"/>
      <c r="E38" s="64"/>
      <c r="F38" s="3263"/>
      <c r="G38" s="64"/>
      <c r="H38" s="64"/>
      <c r="I38" s="64"/>
      <c r="J38" s="64"/>
    </row>
    <row r="39" spans="1:10">
      <c r="A39" s="64"/>
      <c r="B39" s="64"/>
      <c r="C39" s="64"/>
      <c r="D39" s="64"/>
      <c r="E39" s="64"/>
      <c r="F39" s="3263"/>
      <c r="G39" s="64"/>
      <c r="H39" s="64"/>
      <c r="I39" s="64"/>
      <c r="J39" s="64"/>
    </row>
    <row r="40" spans="1:10">
      <c r="A40" s="64"/>
      <c r="B40" s="64"/>
      <c r="C40" s="64"/>
      <c r="D40" s="64"/>
      <c r="E40" s="64"/>
      <c r="F40" s="3263"/>
      <c r="G40" s="64"/>
      <c r="H40" s="64"/>
      <c r="I40" s="64"/>
      <c r="J40" s="64"/>
    </row>
    <row r="41" spans="1:10">
      <c r="A41" s="64"/>
      <c r="B41" s="64"/>
      <c r="C41" s="64"/>
      <c r="D41" s="64"/>
      <c r="E41" s="64"/>
      <c r="F41" s="3263"/>
      <c r="G41" s="64"/>
      <c r="H41" s="64"/>
      <c r="I41" s="64"/>
      <c r="J41" s="64"/>
    </row>
    <row r="42" spans="1:10">
      <c r="A42" s="64"/>
      <c r="B42" s="64"/>
      <c r="C42" s="64"/>
      <c r="D42" s="64"/>
      <c r="E42" s="64"/>
      <c r="F42" s="3263"/>
      <c r="G42" s="64"/>
      <c r="H42" s="64"/>
      <c r="I42" s="64"/>
      <c r="J42" s="64"/>
    </row>
    <row r="43" spans="1:10">
      <c r="A43" s="64"/>
      <c r="B43" s="64"/>
      <c r="C43" s="64"/>
      <c r="D43" s="64"/>
      <c r="E43" s="64"/>
      <c r="F43" s="3263"/>
      <c r="G43" s="64"/>
      <c r="H43" s="64"/>
      <c r="I43" s="64"/>
      <c r="J43" s="64"/>
    </row>
  </sheetData>
  <mergeCells count="24">
    <mergeCell ref="B3:E3"/>
    <mergeCell ref="D7:D9"/>
    <mergeCell ref="E7:E9"/>
    <mergeCell ref="F23:H23"/>
    <mergeCell ref="B20:L20"/>
    <mergeCell ref="H5:H6"/>
    <mergeCell ref="I5:I6"/>
    <mergeCell ref="J5:J6"/>
    <mergeCell ref="A5:C6"/>
    <mergeCell ref="D5:D6"/>
    <mergeCell ref="E5:E6"/>
    <mergeCell ref="F5:F6"/>
    <mergeCell ref="G5:G6"/>
    <mergeCell ref="A16:F16"/>
    <mergeCell ref="A17:F17"/>
    <mergeCell ref="A18:F18"/>
    <mergeCell ref="A7:A12"/>
    <mergeCell ref="D10:D12"/>
    <mergeCell ref="E10:E12"/>
    <mergeCell ref="B10:C12"/>
    <mergeCell ref="B19:C19"/>
    <mergeCell ref="A14:F14"/>
    <mergeCell ref="B7:C7"/>
    <mergeCell ref="B8:C9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23622047244094491" bottom="0.31496062992125984" header="0.59055118110236227" footer="0.31496062992125984"/>
  <pageSetup paperSize="9" scale="60" firstPageNumber="36" orientation="landscape" useFirstPageNumber="1" r:id="rId1"/>
  <headerFooter>
    <oddFooter>&amp;L&amp;P&amp;R&amp;G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10">
    <tabColor rgb="FFFFC000"/>
  </sheetPr>
  <dimension ref="A1:BM160"/>
  <sheetViews>
    <sheetView zoomScale="80" zoomScaleNormal="80" workbookViewId="0">
      <pane xSplit="5" topLeftCell="AE1" activePane="topRight" state="frozen"/>
      <selection pane="topRight" activeCell="AY55" sqref="AY55"/>
    </sheetView>
  </sheetViews>
  <sheetFormatPr defaultColWidth="9.140625" defaultRowHeight="15" outlineLevelRow="3" outlineLevelCol="3"/>
  <cols>
    <col min="1" max="1" width="3.5703125" style="589" customWidth="1"/>
    <col min="2" max="2" width="9.140625" style="589" hidden="1" customWidth="1" outlineLevel="1"/>
    <col min="3" max="3" width="36" style="589" hidden="1" customWidth="1" outlineLevel="1"/>
    <col min="4" max="4" width="10" style="356" hidden="1" customWidth="1" outlineLevel="1"/>
    <col min="5" max="5" width="8.28515625" style="356" hidden="1" customWidth="1" outlineLevel="1"/>
    <col min="6" max="6" width="9" style="356" hidden="1" customWidth="1" outlineLevel="1"/>
    <col min="7" max="7" width="11" style="69" hidden="1" customWidth="1" outlineLevel="1"/>
    <col min="8" max="8" width="14.85546875" style="69" hidden="1" customWidth="1" outlineLevel="1"/>
    <col min="9" max="10" width="11" style="69" hidden="1" customWidth="1" outlineLevel="1"/>
    <col min="11" max="11" width="13.5703125" style="69" hidden="1" customWidth="1" outlineLevel="1"/>
    <col min="12" max="12" width="10.28515625" style="69" hidden="1" customWidth="1" outlineLevel="1"/>
    <col min="13" max="21" width="11" style="69" hidden="1" customWidth="1" outlineLevel="1"/>
    <col min="22" max="22" width="11.5703125" style="69" hidden="1" customWidth="1" outlineLevel="1"/>
    <col min="23" max="26" width="11" style="69" hidden="1" customWidth="1" outlineLevel="1"/>
    <col min="27" max="27" width="11.85546875" style="69" hidden="1" customWidth="1" outlineLevel="1"/>
    <col min="28" max="31" width="11" style="69" hidden="1" customWidth="1" outlineLevel="1"/>
    <col min="32" max="32" width="11" style="69" hidden="1" customWidth="1" outlineLevel="2"/>
    <col min="33" max="33" width="11" style="69" hidden="1" customWidth="1" outlineLevel="3"/>
    <col min="34" max="34" width="13.5703125" style="69" hidden="1" customWidth="1" outlineLevel="3"/>
    <col min="35" max="35" width="11" style="69" hidden="1" customWidth="1" outlineLevel="2"/>
    <col min="36" max="39" width="11" style="69" hidden="1" customWidth="1" outlineLevel="3"/>
    <col min="40" max="40" width="11" style="69" hidden="1" customWidth="1" outlineLevel="2"/>
    <col min="41" max="41" width="14.85546875" style="69" hidden="1" customWidth="1" outlineLevel="2"/>
    <col min="42" max="43" width="11" style="69" hidden="1" customWidth="1" outlineLevel="2"/>
    <col min="44" max="44" width="13" style="69" hidden="1" customWidth="1" outlineLevel="3"/>
    <col min="45" max="45" width="11" style="69" hidden="1" customWidth="1" outlineLevel="2"/>
    <col min="46" max="46" width="11" style="69" hidden="1" customWidth="1" outlineLevel="3"/>
    <col min="47" max="49" width="11" style="69" hidden="1" customWidth="1" outlineLevel="2"/>
    <col min="50" max="50" width="13.28515625" style="69" hidden="1" customWidth="1" outlineLevel="2"/>
    <col min="51" max="51" width="11.140625" style="546" hidden="1" customWidth="1" outlineLevel="2"/>
    <col min="52" max="52" width="11" style="69" hidden="1" customWidth="1" outlineLevel="3"/>
    <col min="53" max="53" width="11" style="69" hidden="1" customWidth="1" outlineLevel="2"/>
    <col min="54" max="54" width="13.85546875" style="546" hidden="1" customWidth="1" outlineLevel="2"/>
    <col min="55" max="55" width="12.5703125" style="546" hidden="1" customWidth="1" outlineLevel="2"/>
    <col min="56" max="63" width="9.140625" style="546" hidden="1" customWidth="1" outlineLevel="2"/>
    <col min="64" max="64" width="9.140625" style="546" hidden="1" customWidth="1" outlineLevel="1"/>
    <col min="65" max="65" width="9.140625" style="546" collapsed="1"/>
    <col min="66" max="16384" width="9.140625" style="546"/>
  </cols>
  <sheetData>
    <row r="1" spans="1:55" s="589" customFormat="1">
      <c r="D1" s="356"/>
      <c r="E1" s="356"/>
      <c r="F1" s="356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69"/>
      <c r="R1" s="547"/>
      <c r="S1" s="547"/>
      <c r="T1" s="547"/>
      <c r="U1" s="547"/>
      <c r="V1" s="69"/>
      <c r="W1" s="69"/>
      <c r="X1" s="547"/>
      <c r="Y1" s="547"/>
      <c r="Z1" s="547"/>
      <c r="AA1" s="547"/>
      <c r="AB1" s="547"/>
      <c r="AC1" s="547"/>
      <c r="AD1" s="547"/>
      <c r="AE1" s="547"/>
      <c r="AF1" s="69"/>
      <c r="AG1" s="69"/>
      <c r="AH1" s="69"/>
      <c r="AI1" s="69"/>
      <c r="AJ1" s="69"/>
      <c r="AK1" s="69"/>
      <c r="AL1" s="69"/>
      <c r="AM1" s="69"/>
      <c r="AN1" s="547"/>
      <c r="AO1" s="69"/>
      <c r="AP1" s="69"/>
      <c r="AQ1" s="547"/>
      <c r="AR1" s="69"/>
      <c r="AS1" s="547"/>
      <c r="AT1" s="547"/>
      <c r="AU1" s="547"/>
      <c r="AV1" s="547"/>
      <c r="AW1" s="547"/>
      <c r="AX1" s="547"/>
      <c r="AZ1" s="547"/>
      <c r="BA1" s="547"/>
    </row>
    <row r="2" spans="1:55" s="69" customFormat="1" hidden="1" outlineLevel="1">
      <c r="C2" s="750" t="s">
        <v>2574</v>
      </c>
      <c r="D2" s="743"/>
      <c r="E2" s="743"/>
      <c r="F2" s="744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  <c r="R2" s="547"/>
      <c r="S2" s="547"/>
      <c r="T2" s="547"/>
      <c r="U2" s="547"/>
      <c r="V2" s="547"/>
      <c r="W2" s="547"/>
      <c r="X2" s="547"/>
      <c r="Y2" s="547"/>
      <c r="Z2" s="547"/>
      <c r="AA2" s="547"/>
      <c r="AB2" s="547"/>
      <c r="AC2" s="547"/>
      <c r="AD2" s="547"/>
      <c r="AE2" s="547"/>
      <c r="AF2" s="547"/>
      <c r="AG2" s="547"/>
      <c r="AH2" s="547"/>
      <c r="AI2" s="547"/>
      <c r="AJ2" s="547"/>
      <c r="AK2" s="547"/>
      <c r="AL2" s="547"/>
      <c r="AM2" s="547"/>
      <c r="AN2" s="547"/>
      <c r="AO2" s="547"/>
      <c r="AP2" s="547"/>
      <c r="AQ2" s="547"/>
      <c r="AR2" s="547"/>
      <c r="AS2" s="547"/>
      <c r="AT2" s="547"/>
      <c r="AU2" s="547"/>
      <c r="AV2" s="547"/>
      <c r="AW2" s="547"/>
      <c r="AX2" s="547"/>
      <c r="AY2" s="547"/>
      <c r="AZ2" s="547"/>
      <c r="BA2" s="547"/>
    </row>
    <row r="3" spans="1:55" s="69" customFormat="1" ht="21" hidden="1" outlineLevel="2">
      <c r="C3" s="1188" t="s">
        <v>1741</v>
      </c>
      <c r="D3" s="1189"/>
      <c r="E3" s="2563"/>
      <c r="F3" s="744"/>
      <c r="G3" s="547"/>
      <c r="H3" s="547"/>
      <c r="I3" s="547"/>
      <c r="J3" s="547"/>
      <c r="K3" s="547"/>
      <c r="L3" s="547"/>
      <c r="M3" s="547"/>
      <c r="N3" s="547"/>
      <c r="O3" s="547"/>
      <c r="P3" s="547"/>
      <c r="Q3" s="547"/>
      <c r="R3" s="547"/>
      <c r="S3" s="547"/>
      <c r="T3" s="547"/>
      <c r="U3" s="547"/>
      <c r="V3" s="547"/>
      <c r="W3" s="547"/>
      <c r="X3" s="547"/>
      <c r="Y3" s="547"/>
      <c r="Z3" s="547"/>
      <c r="AA3" s="547"/>
      <c r="AB3" s="547"/>
      <c r="AC3" s="547"/>
      <c r="AD3" s="547"/>
      <c r="AE3" s="547"/>
      <c r="AF3" s="547"/>
      <c r="AG3" s="547"/>
      <c r="AH3" s="547"/>
      <c r="AI3" s="547"/>
      <c r="AJ3" s="547"/>
      <c r="AK3" s="547"/>
      <c r="AL3" s="547"/>
      <c r="AM3" s="547"/>
      <c r="AN3" s="547"/>
      <c r="AO3" s="547"/>
      <c r="AP3" s="547"/>
      <c r="AQ3" s="547"/>
      <c r="AR3" s="547"/>
      <c r="AS3" s="547"/>
      <c r="AT3" s="547"/>
      <c r="AU3" s="547"/>
      <c r="AV3" s="547"/>
      <c r="AW3" s="547"/>
      <c r="AX3" s="547"/>
      <c r="AY3" s="547"/>
      <c r="AZ3" s="547"/>
      <c r="BA3" s="547"/>
    </row>
    <row r="4" spans="1:55" s="69" customFormat="1" ht="21" hidden="1" outlineLevel="2">
      <c r="C4" s="1188" t="s">
        <v>1425</v>
      </c>
      <c r="D4" s="1189"/>
      <c r="E4" s="2563"/>
      <c r="F4" s="744"/>
      <c r="G4" s="547"/>
      <c r="H4" s="547"/>
      <c r="I4" s="547"/>
      <c r="J4" s="547"/>
      <c r="K4" s="547"/>
      <c r="L4" s="547"/>
      <c r="M4" s="547"/>
      <c r="N4" s="547"/>
      <c r="O4" s="547"/>
      <c r="P4" s="547"/>
      <c r="Q4" s="547"/>
      <c r="R4" s="547"/>
      <c r="S4" s="547"/>
      <c r="T4" s="547"/>
      <c r="U4" s="547"/>
      <c r="V4" s="547"/>
      <c r="W4" s="547"/>
      <c r="X4" s="547"/>
      <c r="Y4" s="547"/>
      <c r="Z4" s="547"/>
      <c r="AA4" s="547"/>
      <c r="AB4" s="547"/>
      <c r="AC4" s="547"/>
      <c r="AD4" s="547"/>
      <c r="AE4" s="547"/>
      <c r="AF4" s="547"/>
      <c r="AG4" s="547"/>
      <c r="AH4" s="547"/>
      <c r="AI4" s="547"/>
      <c r="AJ4" s="547"/>
      <c r="AK4" s="547"/>
      <c r="AL4" s="547"/>
      <c r="AM4" s="547"/>
      <c r="AN4" s="547"/>
      <c r="AO4" s="547"/>
      <c r="AP4" s="547"/>
      <c r="AQ4" s="547"/>
      <c r="AR4" s="547"/>
      <c r="AS4" s="547"/>
      <c r="AT4" s="547"/>
      <c r="AU4" s="547"/>
      <c r="AV4" s="547"/>
      <c r="AW4" s="547"/>
      <c r="AX4" s="547"/>
      <c r="AY4" s="547"/>
      <c r="AZ4" s="547"/>
      <c r="BA4" s="547"/>
    </row>
    <row r="5" spans="1:55" s="69" customFormat="1" ht="21" hidden="1" outlineLevel="2">
      <c r="C5" s="1188" t="s">
        <v>736</v>
      </c>
      <c r="D5" s="1189"/>
      <c r="E5" s="2563"/>
      <c r="F5" s="744"/>
      <c r="G5" s="547"/>
      <c r="H5" s="547"/>
      <c r="I5" s="547"/>
      <c r="J5" s="547"/>
      <c r="K5" s="547"/>
      <c r="L5" s="547"/>
      <c r="M5" s="547"/>
      <c r="N5" s="547"/>
      <c r="O5" s="547"/>
      <c r="P5" s="547"/>
      <c r="Q5" s="547"/>
      <c r="R5" s="547"/>
      <c r="S5" s="547"/>
      <c r="T5" s="547"/>
      <c r="U5" s="547"/>
      <c r="V5" s="547"/>
      <c r="W5" s="547"/>
      <c r="X5" s="547"/>
      <c r="Y5" s="547"/>
      <c r="Z5" s="547"/>
      <c r="AA5" s="547"/>
      <c r="AB5" s="547"/>
      <c r="AC5" s="547"/>
      <c r="AD5" s="547"/>
      <c r="AE5" s="547"/>
      <c r="AF5" s="547"/>
      <c r="AG5" s="547"/>
      <c r="AH5" s="547"/>
      <c r="AI5" s="547"/>
      <c r="AJ5" s="547"/>
      <c r="AK5" s="547"/>
      <c r="AL5" s="547"/>
      <c r="AM5" s="547"/>
      <c r="AN5" s="547"/>
      <c r="AO5" s="547"/>
      <c r="AP5" s="547"/>
      <c r="AQ5" s="547"/>
      <c r="AR5" s="547"/>
      <c r="AS5" s="547"/>
      <c r="AT5" s="547"/>
      <c r="AU5" s="547"/>
      <c r="AV5" s="547"/>
      <c r="AW5" s="547"/>
      <c r="AX5" s="547"/>
      <c r="AY5" s="547"/>
      <c r="AZ5" s="547"/>
      <c r="BA5" s="547"/>
    </row>
    <row r="6" spans="1:55" s="69" customFormat="1" ht="21" hidden="1" outlineLevel="2">
      <c r="C6" s="1188" t="s">
        <v>205</v>
      </c>
      <c r="D6" s="1189"/>
      <c r="E6" s="2563"/>
      <c r="F6" s="744"/>
      <c r="G6" s="547"/>
      <c r="H6" s="547"/>
      <c r="I6" s="547"/>
      <c r="J6" s="547"/>
      <c r="K6" s="547"/>
      <c r="L6" s="547"/>
      <c r="M6" s="547"/>
      <c r="N6" s="547"/>
      <c r="O6" s="547"/>
      <c r="P6" s="547"/>
      <c r="Q6" s="547"/>
      <c r="R6" s="547"/>
      <c r="S6" s="547"/>
      <c r="T6" s="547"/>
      <c r="U6" s="547"/>
      <c r="V6" s="547"/>
      <c r="W6" s="547"/>
      <c r="X6" s="547"/>
      <c r="Y6" s="547"/>
      <c r="Z6" s="547"/>
      <c r="AA6" s="547"/>
      <c r="AB6" s="547"/>
      <c r="AC6" s="547"/>
      <c r="AD6" s="547"/>
      <c r="AE6" s="547"/>
      <c r="AF6" s="547"/>
      <c r="AG6" s="547"/>
      <c r="AH6" s="547"/>
      <c r="AI6" s="547"/>
      <c r="AJ6" s="547"/>
      <c r="AK6" s="547"/>
      <c r="AL6" s="547"/>
      <c r="AM6" s="547"/>
      <c r="AN6" s="547"/>
      <c r="AO6" s="547"/>
      <c r="AP6" s="547"/>
      <c r="AQ6" s="547"/>
      <c r="AR6" s="547"/>
      <c r="AS6" s="547"/>
      <c r="AT6" s="547"/>
      <c r="AU6" s="547"/>
      <c r="AV6" s="547"/>
      <c r="AW6" s="547"/>
      <c r="AX6" s="547"/>
      <c r="AY6" s="547"/>
      <c r="AZ6" s="547"/>
      <c r="BA6" s="547"/>
    </row>
    <row r="7" spans="1:55" s="69" customFormat="1" ht="21" hidden="1" outlineLevel="1" collapsed="1">
      <c r="C7" s="2573"/>
      <c r="D7" s="2563"/>
      <c r="E7" s="2563"/>
      <c r="F7" s="744"/>
      <c r="G7" s="547"/>
      <c r="H7" s="547"/>
      <c r="I7" s="706"/>
      <c r="J7" s="547"/>
      <c r="K7" s="547"/>
      <c r="L7" s="547"/>
      <c r="M7" s="547"/>
      <c r="N7" s="547"/>
      <c r="O7" s="547"/>
      <c r="P7" s="547"/>
      <c r="Q7" s="547"/>
      <c r="R7" s="547"/>
      <c r="S7" s="547"/>
      <c r="T7" s="547"/>
      <c r="U7" s="547"/>
      <c r="V7" s="547"/>
      <c r="W7" s="547"/>
      <c r="X7" s="547"/>
      <c r="Y7" s="547"/>
      <c r="Z7" s="547"/>
      <c r="AA7" s="547"/>
      <c r="AB7" s="547"/>
      <c r="AC7" s="547"/>
      <c r="AD7" s="547"/>
      <c r="AE7" s="547"/>
      <c r="AF7" s="547"/>
      <c r="AG7" s="547"/>
      <c r="AH7" s="547"/>
      <c r="AI7" s="547"/>
      <c r="AJ7" s="547"/>
      <c r="AK7" s="547"/>
      <c r="AL7" s="547"/>
      <c r="AM7" s="547"/>
      <c r="AN7" s="547"/>
      <c r="AO7" s="547"/>
      <c r="AP7" s="547"/>
      <c r="AQ7" s="547"/>
      <c r="AR7" s="547"/>
      <c r="AS7" s="547"/>
      <c r="AT7" s="547"/>
      <c r="AU7" s="547"/>
      <c r="AV7" s="547"/>
      <c r="AW7" s="547"/>
      <c r="AX7" s="547"/>
      <c r="AY7" s="547"/>
      <c r="AZ7" s="547"/>
      <c r="BA7" s="547"/>
    </row>
    <row r="8" spans="1:55" s="69" customFormat="1" ht="21" hidden="1" outlineLevel="1">
      <c r="B8" s="750" t="s">
        <v>2181</v>
      </c>
      <c r="C8" s="2573"/>
      <c r="D8" s="547"/>
      <c r="E8" s="547"/>
      <c r="F8" s="547"/>
      <c r="G8" s="547"/>
      <c r="H8" s="547"/>
      <c r="I8" s="547"/>
      <c r="J8" s="547"/>
      <c r="K8" s="547"/>
      <c r="L8" s="547"/>
      <c r="M8" s="547"/>
      <c r="N8" s="547"/>
      <c r="O8" s="547"/>
      <c r="P8" s="547"/>
      <c r="Q8" s="547"/>
      <c r="R8" s="547"/>
      <c r="S8" s="547"/>
      <c r="T8" s="547"/>
      <c r="U8" s="547"/>
      <c r="V8" s="547"/>
      <c r="W8" s="547"/>
      <c r="X8" s="547"/>
      <c r="Y8" s="547"/>
      <c r="Z8" s="547"/>
      <c r="AA8" s="547"/>
      <c r="AB8" s="547"/>
      <c r="AC8" s="547"/>
      <c r="AD8" s="547"/>
      <c r="AE8" s="547"/>
      <c r="AF8" s="547"/>
      <c r="AG8" s="547"/>
      <c r="AH8" s="547"/>
      <c r="AI8" s="547"/>
      <c r="AJ8" s="547"/>
      <c r="AK8" s="547"/>
      <c r="AL8" s="547"/>
      <c r="AM8" s="547"/>
      <c r="AN8" s="547"/>
      <c r="AO8" s="547"/>
      <c r="AP8" s="547"/>
      <c r="AQ8" s="547"/>
      <c r="AR8" s="547"/>
      <c r="AS8" s="547"/>
      <c r="AT8" s="547"/>
      <c r="AU8" s="547"/>
      <c r="AV8" s="547"/>
      <c r="AW8" s="547"/>
      <c r="AX8" s="547"/>
      <c r="AY8" s="547"/>
      <c r="AZ8" s="547"/>
      <c r="BA8" s="547"/>
    </row>
    <row r="9" spans="1:55" s="1840" customFormat="1" ht="36" hidden="1" outlineLevel="2" collapsed="1">
      <c r="D9" s="1841"/>
      <c r="E9" s="2564"/>
      <c r="F9" s="4449"/>
      <c r="G9" s="917" t="s">
        <v>1136</v>
      </c>
      <c r="H9" s="917" t="s">
        <v>2534</v>
      </c>
      <c r="I9" s="917" t="s">
        <v>2538</v>
      </c>
      <c r="J9" s="917" t="s">
        <v>2539</v>
      </c>
      <c r="K9" s="917" t="s">
        <v>2555</v>
      </c>
      <c r="L9" s="917" t="s">
        <v>2540</v>
      </c>
      <c r="M9" s="917" t="s">
        <v>2541</v>
      </c>
      <c r="N9" s="2523" t="s">
        <v>2535</v>
      </c>
      <c r="O9" s="917" t="s">
        <v>2531</v>
      </c>
      <c r="P9" s="2523" t="s">
        <v>2536</v>
      </c>
      <c r="Q9" s="917" t="s">
        <v>2530</v>
      </c>
      <c r="R9" s="2523" t="s">
        <v>2537</v>
      </c>
      <c r="S9" s="917" t="s">
        <v>1672</v>
      </c>
      <c r="T9" s="917" t="s">
        <v>2546</v>
      </c>
      <c r="U9" s="1843" t="s">
        <v>2547</v>
      </c>
      <c r="V9" s="917" t="s">
        <v>2529</v>
      </c>
      <c r="W9" s="917" t="s">
        <v>2528</v>
      </c>
      <c r="X9" s="2522" t="s">
        <v>2568</v>
      </c>
      <c r="Y9" s="917" t="s">
        <v>1078</v>
      </c>
      <c r="Z9" s="917" t="s">
        <v>1117</v>
      </c>
      <c r="AA9" s="1842" t="s">
        <v>1122</v>
      </c>
      <c r="AB9" s="917" t="s">
        <v>1421</v>
      </c>
      <c r="AC9" s="917" t="s">
        <v>1125</v>
      </c>
      <c r="AD9" s="917" t="s">
        <v>1126</v>
      </c>
      <c r="AE9" s="917" t="s">
        <v>2532</v>
      </c>
      <c r="AF9" s="917" t="s">
        <v>1099</v>
      </c>
      <c r="AG9" s="917" t="s">
        <v>1098</v>
      </c>
      <c r="AH9" s="917" t="s">
        <v>1100</v>
      </c>
      <c r="AI9" s="917" t="s">
        <v>1103</v>
      </c>
      <c r="AJ9" s="917" t="s">
        <v>1104</v>
      </c>
      <c r="AK9" s="917" t="s">
        <v>1105</v>
      </c>
      <c r="AL9" s="2523"/>
      <c r="AM9" s="2523"/>
      <c r="AN9" s="917" t="s">
        <v>2314</v>
      </c>
      <c r="AO9" s="917" t="s">
        <v>2542</v>
      </c>
      <c r="AP9" s="917" t="s">
        <v>2543</v>
      </c>
      <c r="AQ9" s="2523" t="s">
        <v>2545</v>
      </c>
      <c r="AR9" s="917" t="s">
        <v>2544</v>
      </c>
      <c r="AS9" s="917" t="s">
        <v>1145</v>
      </c>
      <c r="AT9" s="917" t="s">
        <v>1150</v>
      </c>
      <c r="AU9" s="917" t="s">
        <v>345</v>
      </c>
      <c r="AV9" s="2523"/>
      <c r="AW9" s="2523" t="s">
        <v>2549</v>
      </c>
      <c r="AX9" s="917" t="s">
        <v>2548</v>
      </c>
      <c r="AY9" s="917" t="s">
        <v>743</v>
      </c>
      <c r="AZ9" s="917" t="s">
        <v>1376</v>
      </c>
      <c r="BA9" s="917" t="s">
        <v>441</v>
      </c>
    </row>
    <row r="10" spans="1:55" s="1844" customFormat="1" ht="36" hidden="1" customHeight="1" outlineLevel="2">
      <c r="B10" s="1845"/>
      <c r="C10" s="1845"/>
      <c r="D10" s="1841"/>
      <c r="E10" s="2565"/>
      <c r="F10" s="4450"/>
      <c r="G10" s="1851"/>
      <c r="H10" s="1849"/>
      <c r="I10" s="1848"/>
      <c r="J10" s="1848"/>
      <c r="K10" s="1848"/>
      <c r="L10" s="1854"/>
      <c r="M10" s="1848"/>
      <c r="N10" s="2524"/>
      <c r="O10" s="1849"/>
      <c r="P10" s="2531"/>
      <c r="Q10" s="1849"/>
      <c r="R10" s="2531"/>
      <c r="S10" s="1851"/>
      <c r="T10" s="1855"/>
      <c r="U10" s="1855"/>
      <c r="V10" s="917"/>
      <c r="W10" s="1850"/>
      <c r="Y10" s="1849"/>
      <c r="Z10" s="1847"/>
      <c r="AA10" s="1852"/>
      <c r="AB10" s="1853"/>
      <c r="AC10" s="1849"/>
      <c r="AD10" s="1848"/>
      <c r="AE10" s="1848"/>
      <c r="AF10" s="1842"/>
      <c r="AG10" s="917"/>
      <c r="AH10" s="1846"/>
      <c r="AI10" s="1847"/>
      <c r="AJ10" s="1847"/>
      <c r="AK10" s="1847"/>
      <c r="AL10" s="2562"/>
      <c r="AM10" s="2562"/>
      <c r="AN10" s="1848"/>
      <c r="AO10" s="1842"/>
      <c r="AP10" s="1848"/>
      <c r="AQ10" s="2524"/>
      <c r="AR10" s="1849"/>
      <c r="AS10" s="1848"/>
      <c r="AT10" s="1848"/>
      <c r="AU10" s="1854"/>
      <c r="AV10" s="2540"/>
      <c r="AW10" s="2540"/>
      <c r="AX10" s="1854"/>
      <c r="AY10" s="1845"/>
      <c r="AZ10" s="1848"/>
      <c r="BA10" s="1848"/>
    </row>
    <row r="11" spans="1:55" s="1856" customFormat="1" ht="15" hidden="1" customHeight="1" outlineLevel="2">
      <c r="A11" s="1856">
        <v>1</v>
      </c>
      <c r="B11" s="1857" t="s">
        <v>360</v>
      </c>
      <c r="C11" s="1858" t="str">
        <f>B11</f>
        <v>Грунт</v>
      </c>
      <c r="D11" s="1859"/>
      <c r="E11" s="2566"/>
      <c r="F11" s="1860"/>
      <c r="G11" s="1863" t="e">
        <f>#REF!*(1-$F$9)</f>
        <v>#REF!</v>
      </c>
      <c r="H11" s="1862">
        <f t="shared" ref="H11:M12" si="0">H51*(1-$F$9)</f>
        <v>0</v>
      </c>
      <c r="I11" s="1862">
        <f t="shared" si="0"/>
        <v>0</v>
      </c>
      <c r="J11" s="1862">
        <f t="shared" si="0"/>
        <v>0</v>
      </c>
      <c r="K11" s="1862">
        <f t="shared" si="0"/>
        <v>0</v>
      </c>
      <c r="L11" s="1862">
        <f t="shared" si="0"/>
        <v>0</v>
      </c>
      <c r="M11" s="1862">
        <f t="shared" si="0"/>
        <v>0</v>
      </c>
      <c r="N11" s="2525"/>
      <c r="O11" s="1862">
        <f>O51*(1-$F$9)</f>
        <v>0</v>
      </c>
      <c r="P11" s="2525"/>
      <c r="Q11" s="1862">
        <f>Q51*(1-$F$9)</f>
        <v>0</v>
      </c>
      <c r="R11" s="2525"/>
      <c r="S11" s="1862">
        <f t="shared" ref="S11:AK11" si="1">S51*(1-$F$9)</f>
        <v>0</v>
      </c>
      <c r="T11" s="1862">
        <f t="shared" si="1"/>
        <v>0</v>
      </c>
      <c r="U11" s="1862">
        <f t="shared" si="1"/>
        <v>0</v>
      </c>
      <c r="V11" s="1862">
        <f t="shared" si="1"/>
        <v>0</v>
      </c>
      <c r="W11" s="1862">
        <f t="shared" si="1"/>
        <v>0</v>
      </c>
      <c r="X11" s="1862">
        <f t="shared" si="1"/>
        <v>0</v>
      </c>
      <c r="Y11" s="1862">
        <f t="shared" si="1"/>
        <v>0</v>
      </c>
      <c r="Z11" s="1862">
        <f t="shared" si="1"/>
        <v>0</v>
      </c>
      <c r="AA11" s="1862">
        <f t="shared" si="1"/>
        <v>0</v>
      </c>
      <c r="AB11" s="1862">
        <f t="shared" si="1"/>
        <v>0</v>
      </c>
      <c r="AC11" s="1862">
        <f t="shared" si="1"/>
        <v>0</v>
      </c>
      <c r="AD11" s="1862">
        <f t="shared" si="1"/>
        <v>0</v>
      </c>
      <c r="AE11" s="1862">
        <f t="shared" si="1"/>
        <v>0</v>
      </c>
      <c r="AF11" s="1861">
        <f t="shared" si="1"/>
        <v>0</v>
      </c>
      <c r="AG11" s="1862">
        <f t="shared" si="1"/>
        <v>0</v>
      </c>
      <c r="AH11" s="1862">
        <f t="shared" si="1"/>
        <v>0</v>
      </c>
      <c r="AI11" s="1862">
        <f t="shared" si="1"/>
        <v>0</v>
      </c>
      <c r="AJ11" s="1862">
        <f t="shared" si="1"/>
        <v>0</v>
      </c>
      <c r="AK11" s="1862">
        <f t="shared" si="1"/>
        <v>0</v>
      </c>
      <c r="AL11" s="2525"/>
      <c r="AM11" s="2525"/>
      <c r="AN11" s="1862">
        <f t="shared" ref="AN11:AP12" si="2">AN51*(1-$F$9)</f>
        <v>0</v>
      </c>
      <c r="AO11" s="1862">
        <f t="shared" si="2"/>
        <v>0</v>
      </c>
      <c r="AP11" s="1862">
        <f t="shared" si="2"/>
        <v>0</v>
      </c>
      <c r="AQ11" s="2525"/>
      <c r="AR11" s="1862">
        <f t="shared" ref="AR11:AU12" si="3">AR51*(1-$F$9)</f>
        <v>0</v>
      </c>
      <c r="AS11" s="1862">
        <f t="shared" si="3"/>
        <v>0</v>
      </c>
      <c r="AT11" s="1862">
        <f t="shared" si="3"/>
        <v>0</v>
      </c>
      <c r="AU11" s="1862">
        <f t="shared" si="3"/>
        <v>0</v>
      </c>
      <c r="AV11" s="2525"/>
      <c r="AW11" s="2525"/>
      <c r="AX11" s="1862">
        <f t="shared" ref="AX11:BA12" si="4">AX51*(1-$F$9)</f>
        <v>0</v>
      </c>
      <c r="AY11" s="1862">
        <f t="shared" si="4"/>
        <v>0</v>
      </c>
      <c r="AZ11" s="1862">
        <f t="shared" si="4"/>
        <v>0</v>
      </c>
      <c r="BA11" s="1862">
        <f t="shared" si="4"/>
        <v>0</v>
      </c>
    </row>
    <row r="12" spans="1:55" s="1867" customFormat="1" hidden="1" outlineLevel="2">
      <c r="A12" s="1856">
        <v>2</v>
      </c>
      <c r="B12" s="1857" t="s">
        <v>1425</v>
      </c>
      <c r="C12" s="1864" t="s">
        <v>2418</v>
      </c>
      <c r="D12" s="1865">
        <v>0.85</v>
      </c>
      <c r="E12" s="2567"/>
      <c r="F12" s="1860"/>
      <c r="G12" s="1863">
        <f>G52*(1-$F$9)</f>
        <v>13750</v>
      </c>
      <c r="H12" s="1862">
        <f t="shared" si="0"/>
        <v>14750</v>
      </c>
      <c r="I12" s="1862">
        <f t="shared" si="0"/>
        <v>18050</v>
      </c>
      <c r="J12" s="1862">
        <f t="shared" si="0"/>
        <v>17550</v>
      </c>
      <c r="K12" s="1862">
        <f t="shared" si="0"/>
        <v>19250</v>
      </c>
      <c r="L12" s="1862">
        <f t="shared" si="0"/>
        <v>0</v>
      </c>
      <c r="M12" s="1862">
        <f t="shared" si="0"/>
        <v>0</v>
      </c>
      <c r="N12" s="2525"/>
      <c r="O12" s="1863">
        <f>O52*(1-$F$9)</f>
        <v>0</v>
      </c>
      <c r="P12" s="2532"/>
      <c r="Q12" s="1866">
        <f>Q52*(1-$F$9)</f>
        <v>0</v>
      </c>
      <c r="R12" s="2532"/>
      <c r="S12" s="1866">
        <f t="shared" ref="S12:AK12" si="5">S52*(1-$F$9)</f>
        <v>0</v>
      </c>
      <c r="T12" s="1866">
        <f t="shared" si="5"/>
        <v>0</v>
      </c>
      <c r="U12" s="1866">
        <f t="shared" si="5"/>
        <v>0</v>
      </c>
      <c r="V12" s="1866">
        <f t="shared" si="5"/>
        <v>0</v>
      </c>
      <c r="W12" s="1866">
        <f t="shared" si="5"/>
        <v>0</v>
      </c>
      <c r="X12" s="1862">
        <f t="shared" si="5"/>
        <v>0</v>
      </c>
      <c r="Y12" s="1866">
        <f t="shared" si="5"/>
        <v>0</v>
      </c>
      <c r="Z12" s="1862">
        <f t="shared" si="5"/>
        <v>0</v>
      </c>
      <c r="AA12" s="1863">
        <f t="shared" si="5"/>
        <v>0</v>
      </c>
      <c r="AB12" s="1863">
        <f t="shared" si="5"/>
        <v>0</v>
      </c>
      <c r="AC12" s="1862">
        <f t="shared" si="5"/>
        <v>0</v>
      </c>
      <c r="AD12" s="1863">
        <f t="shared" si="5"/>
        <v>0</v>
      </c>
      <c r="AE12" s="1866">
        <f t="shared" si="5"/>
        <v>0</v>
      </c>
      <c r="AF12" s="1861">
        <f t="shared" si="5"/>
        <v>0</v>
      </c>
      <c r="AG12" s="1866">
        <f t="shared" si="5"/>
        <v>0</v>
      </c>
      <c r="AH12" s="1866">
        <f t="shared" si="5"/>
        <v>0</v>
      </c>
      <c r="AI12" s="1866">
        <f t="shared" si="5"/>
        <v>0</v>
      </c>
      <c r="AJ12" s="1866">
        <f t="shared" si="5"/>
        <v>0</v>
      </c>
      <c r="AK12" s="1866">
        <f t="shared" si="5"/>
        <v>0</v>
      </c>
      <c r="AL12" s="2533"/>
      <c r="AM12" s="2533"/>
      <c r="AN12" s="1866">
        <f t="shared" si="2"/>
        <v>0</v>
      </c>
      <c r="AO12" s="1866">
        <f t="shared" si="2"/>
        <v>0</v>
      </c>
      <c r="AP12" s="1866">
        <f t="shared" si="2"/>
        <v>0</v>
      </c>
      <c r="AQ12" s="2533"/>
      <c r="AR12" s="1866">
        <f t="shared" si="3"/>
        <v>0</v>
      </c>
      <c r="AS12" s="1866">
        <f t="shared" si="3"/>
        <v>0</v>
      </c>
      <c r="AT12" s="1866">
        <f t="shared" si="3"/>
        <v>0</v>
      </c>
      <c r="AU12" s="1866">
        <f t="shared" si="3"/>
        <v>0</v>
      </c>
      <c r="AV12" s="2533"/>
      <c r="AW12" s="2533"/>
      <c r="AX12" s="1866">
        <f t="shared" si="4"/>
        <v>0</v>
      </c>
      <c r="AY12" s="1866">
        <f t="shared" si="4"/>
        <v>0</v>
      </c>
      <c r="AZ12" s="1862">
        <f t="shared" si="4"/>
        <v>27450</v>
      </c>
      <c r="BA12" s="1866">
        <f t="shared" si="4"/>
        <v>0</v>
      </c>
    </row>
    <row r="13" spans="1:55" s="1867" customFormat="1" hidden="1" outlineLevel="2">
      <c r="A13" s="1856"/>
      <c r="B13" s="2542" t="s">
        <v>1425</v>
      </c>
      <c r="C13" s="2543" t="s">
        <v>2419</v>
      </c>
      <c r="D13" s="2544"/>
      <c r="E13" s="2544"/>
      <c r="F13" s="2527"/>
      <c r="G13" s="2532"/>
      <c r="H13" s="2525"/>
      <c r="I13" s="2525"/>
      <c r="J13" s="2525"/>
      <c r="K13" s="2525"/>
      <c r="L13" s="2525"/>
      <c r="M13" s="2525"/>
      <c r="N13" s="2525"/>
      <c r="O13" s="2532"/>
      <c r="P13" s="2532"/>
      <c r="Q13" s="2533"/>
      <c r="R13" s="2532"/>
      <c r="S13" s="2533"/>
      <c r="T13" s="2533"/>
      <c r="U13" s="2533"/>
      <c r="V13" s="2533"/>
      <c r="W13" s="2533"/>
      <c r="X13" s="2525"/>
      <c r="Y13" s="2533"/>
      <c r="Z13" s="2525"/>
      <c r="AA13" s="2532"/>
      <c r="AB13" s="2532"/>
      <c r="AC13" s="2525"/>
      <c r="AD13" s="2532"/>
      <c r="AE13" s="2533"/>
      <c r="AF13" s="2545"/>
      <c r="AG13" s="2533"/>
      <c r="AH13" s="2533"/>
      <c r="AI13" s="2533"/>
      <c r="AJ13" s="2533"/>
      <c r="AK13" s="2533"/>
      <c r="AL13" s="2533"/>
      <c r="AM13" s="2533"/>
      <c r="AN13" s="2533"/>
      <c r="AO13" s="2533"/>
      <c r="AP13" s="2533"/>
      <c r="AQ13" s="2533"/>
      <c r="AR13" s="2533"/>
      <c r="AS13" s="2533"/>
      <c r="AT13" s="2533"/>
      <c r="AU13" s="2533"/>
      <c r="AV13" s="2533"/>
      <c r="AW13" s="2533"/>
      <c r="AX13" s="2533"/>
      <c r="AY13" s="2533"/>
      <c r="AZ13" s="2525"/>
      <c r="BA13" s="2533"/>
    </row>
    <row r="14" spans="1:55" s="1867" customFormat="1" hidden="1" outlineLevel="2">
      <c r="A14" s="1856">
        <v>6</v>
      </c>
      <c r="B14" s="1857" t="s">
        <v>30</v>
      </c>
      <c r="C14" s="1864" t="s">
        <v>284</v>
      </c>
      <c r="D14" s="1871">
        <v>1.631578947368421</v>
      </c>
      <c r="E14" s="2568"/>
      <c r="F14" s="1860"/>
      <c r="G14" s="1863">
        <f t="shared" ref="G14:M16" si="6">G54*(1-$F$9)</f>
        <v>21100</v>
      </c>
      <c r="H14" s="1862">
        <f t="shared" si="6"/>
        <v>22100</v>
      </c>
      <c r="I14" s="1862">
        <f t="shared" si="6"/>
        <v>24700</v>
      </c>
      <c r="J14" s="1862">
        <f t="shared" si="6"/>
        <v>25950</v>
      </c>
      <c r="K14" s="1862">
        <f t="shared" si="6"/>
        <v>26600</v>
      </c>
      <c r="L14" s="1862">
        <f t="shared" si="6"/>
        <v>21750</v>
      </c>
      <c r="M14" s="1862">
        <f t="shared" si="6"/>
        <v>25300</v>
      </c>
      <c r="N14" s="2525"/>
      <c r="O14" s="1863">
        <f>O54*(1-$F$9)</f>
        <v>23750</v>
      </c>
      <c r="P14" s="2532"/>
      <c r="Q14" s="1863">
        <f>Q54*(1-$F$9)</f>
        <v>27100</v>
      </c>
      <c r="R14" s="2532"/>
      <c r="S14" s="1862">
        <f t="shared" ref="S14:AK14" si="7">S54*(1-$F$9)</f>
        <v>31900</v>
      </c>
      <c r="T14" s="1863">
        <f t="shared" si="7"/>
        <v>31900</v>
      </c>
      <c r="U14" s="1862">
        <f t="shared" si="7"/>
        <v>34900</v>
      </c>
      <c r="V14" s="1863">
        <f t="shared" si="7"/>
        <v>33700</v>
      </c>
      <c r="W14" s="1863">
        <f t="shared" si="7"/>
        <v>38450</v>
      </c>
      <c r="X14" s="1862">
        <f t="shared" si="7"/>
        <v>20900</v>
      </c>
      <c r="Y14" s="1862">
        <f t="shared" si="7"/>
        <v>0</v>
      </c>
      <c r="Z14" s="1862">
        <f t="shared" si="7"/>
        <v>24050</v>
      </c>
      <c r="AA14" s="1863">
        <f t="shared" si="7"/>
        <v>23550</v>
      </c>
      <c r="AB14" s="1863">
        <f t="shared" si="7"/>
        <v>26050</v>
      </c>
      <c r="AC14" s="1862">
        <f t="shared" si="7"/>
        <v>0</v>
      </c>
      <c r="AD14" s="1862">
        <f t="shared" si="7"/>
        <v>0</v>
      </c>
      <c r="AE14" s="1863">
        <f t="shared" si="7"/>
        <v>30100</v>
      </c>
      <c r="AF14" s="1861">
        <f t="shared" si="7"/>
        <v>0</v>
      </c>
      <c r="AG14" s="1862">
        <f t="shared" si="7"/>
        <v>0</v>
      </c>
      <c r="AH14" s="1862">
        <f t="shared" si="7"/>
        <v>0</v>
      </c>
      <c r="AI14" s="1862">
        <f t="shared" si="7"/>
        <v>0</v>
      </c>
      <c r="AJ14" s="1862">
        <f t="shared" si="7"/>
        <v>0</v>
      </c>
      <c r="AK14" s="1862">
        <f t="shared" si="7"/>
        <v>0</v>
      </c>
      <c r="AL14" s="2525"/>
      <c r="AM14" s="2525"/>
      <c r="AN14" s="1866">
        <f t="shared" ref="AN14:AP16" si="8">AN54*(1-$F$9)</f>
        <v>36600</v>
      </c>
      <c r="AO14" s="1863">
        <f t="shared" si="8"/>
        <v>43150</v>
      </c>
      <c r="AP14" s="1863">
        <f t="shared" si="8"/>
        <v>47350</v>
      </c>
      <c r="AQ14" s="2533"/>
      <c r="AR14" s="1862">
        <f t="shared" ref="AR14:AU16" si="9">AR54*(1-$F$9)</f>
        <v>53950</v>
      </c>
      <c r="AS14" s="1863">
        <f t="shared" si="9"/>
        <v>59300</v>
      </c>
      <c r="AT14" s="1862">
        <f t="shared" si="9"/>
        <v>59300</v>
      </c>
      <c r="AU14" s="1862">
        <f t="shared" si="9"/>
        <v>0</v>
      </c>
      <c r="AV14" s="2525"/>
      <c r="AW14" s="2525"/>
      <c r="AX14" s="1862">
        <f t="shared" ref="AX14:BA16" si="10">AX54*(1-$F$9)</f>
        <v>28600</v>
      </c>
      <c r="AY14" s="1863">
        <f t="shared" si="10"/>
        <v>35450</v>
      </c>
      <c r="AZ14" s="1862">
        <f t="shared" si="10"/>
        <v>39000</v>
      </c>
      <c r="BA14" s="1866">
        <f t="shared" si="10"/>
        <v>53300</v>
      </c>
      <c r="BC14" s="1870"/>
    </row>
    <row r="15" spans="1:55" s="1867" customFormat="1" hidden="1" outlineLevel="2">
      <c r="A15" s="1856">
        <v>3</v>
      </c>
      <c r="B15" s="1857" t="s">
        <v>1019</v>
      </c>
      <c r="C15" s="1858" t="s">
        <v>2569</v>
      </c>
      <c r="D15" s="1868">
        <v>1</v>
      </c>
      <c r="E15" s="2569"/>
      <c r="F15" s="1860"/>
      <c r="G15" s="1863">
        <f t="shared" si="6"/>
        <v>22200</v>
      </c>
      <c r="H15" s="1862">
        <f t="shared" si="6"/>
        <v>23200</v>
      </c>
      <c r="I15" s="1862">
        <f t="shared" si="6"/>
        <v>26500</v>
      </c>
      <c r="J15" s="1862">
        <f t="shared" si="6"/>
        <v>26000</v>
      </c>
      <c r="K15" s="1862">
        <f t="shared" si="6"/>
        <v>27700</v>
      </c>
      <c r="L15" s="1862">
        <f t="shared" si="6"/>
        <v>0</v>
      </c>
      <c r="M15" s="1862">
        <f t="shared" si="6"/>
        <v>0</v>
      </c>
      <c r="N15" s="2525"/>
      <c r="O15" s="1866">
        <f>O55*(1-$F$9)</f>
        <v>0</v>
      </c>
      <c r="P15" s="2533"/>
      <c r="Q15" s="1866">
        <f>Q55*(1-$F$9)</f>
        <v>0</v>
      </c>
      <c r="R15" s="2533"/>
      <c r="S15" s="1866">
        <f t="shared" ref="S15:AK15" si="11">S55*(1-$F$9)</f>
        <v>0</v>
      </c>
      <c r="T15" s="1866">
        <f t="shared" si="11"/>
        <v>0</v>
      </c>
      <c r="U15" s="1866">
        <f t="shared" si="11"/>
        <v>0</v>
      </c>
      <c r="V15" s="1866">
        <f t="shared" si="11"/>
        <v>0</v>
      </c>
      <c r="W15" s="1866">
        <f t="shared" si="11"/>
        <v>0</v>
      </c>
      <c r="X15" s="1862">
        <f t="shared" si="11"/>
        <v>22000</v>
      </c>
      <c r="Y15" s="1862">
        <f t="shared" si="11"/>
        <v>27200</v>
      </c>
      <c r="Z15" s="1862">
        <f t="shared" si="11"/>
        <v>19900</v>
      </c>
      <c r="AA15" s="1863">
        <f t="shared" si="11"/>
        <v>25100</v>
      </c>
      <c r="AB15" s="1863">
        <f t="shared" si="11"/>
        <v>26650</v>
      </c>
      <c r="AC15" s="1862">
        <f t="shared" si="11"/>
        <v>23500</v>
      </c>
      <c r="AD15" s="1863">
        <f t="shared" si="11"/>
        <v>23000</v>
      </c>
      <c r="AE15" s="1866">
        <f t="shared" si="11"/>
        <v>0</v>
      </c>
      <c r="AF15" s="1861">
        <f t="shared" si="11"/>
        <v>29950</v>
      </c>
      <c r="AG15" s="1869">
        <f t="shared" si="11"/>
        <v>30550</v>
      </c>
      <c r="AH15" s="1869">
        <f t="shared" si="11"/>
        <v>31050</v>
      </c>
      <c r="AI15" s="1863">
        <f t="shared" si="11"/>
        <v>33350</v>
      </c>
      <c r="AJ15" s="1866">
        <f t="shared" si="11"/>
        <v>39550</v>
      </c>
      <c r="AK15" s="1866">
        <f t="shared" si="11"/>
        <v>39550</v>
      </c>
      <c r="AL15" s="2533"/>
      <c r="AM15" s="2533"/>
      <c r="AN15" s="1866">
        <f t="shared" si="8"/>
        <v>0</v>
      </c>
      <c r="AO15" s="1866">
        <f t="shared" si="8"/>
        <v>0</v>
      </c>
      <c r="AP15" s="1866">
        <f t="shared" si="8"/>
        <v>0</v>
      </c>
      <c r="AQ15" s="2533"/>
      <c r="AR15" s="1866">
        <f t="shared" si="9"/>
        <v>0</v>
      </c>
      <c r="AS15" s="1866">
        <f t="shared" si="9"/>
        <v>0</v>
      </c>
      <c r="AT15" s="1866">
        <f t="shared" si="9"/>
        <v>0</v>
      </c>
      <c r="AU15" s="1866">
        <f t="shared" si="9"/>
        <v>0</v>
      </c>
      <c r="AV15" s="2533"/>
      <c r="AW15" s="2533"/>
      <c r="AX15" s="1862">
        <f t="shared" si="10"/>
        <v>0</v>
      </c>
      <c r="AY15" s="1866">
        <f t="shared" si="10"/>
        <v>0</v>
      </c>
      <c r="AZ15" s="1862">
        <f t="shared" si="10"/>
        <v>35900</v>
      </c>
      <c r="BA15" s="1866">
        <f t="shared" si="10"/>
        <v>0</v>
      </c>
      <c r="BC15" s="1870"/>
    </row>
    <row r="16" spans="1:55" s="1856" customFormat="1" hidden="1" outlineLevel="2">
      <c r="A16" s="1856">
        <v>5</v>
      </c>
      <c r="B16" s="1857" t="s">
        <v>1019</v>
      </c>
      <c r="C16" s="1858" t="s">
        <v>2570</v>
      </c>
      <c r="D16" s="1868">
        <v>1.05</v>
      </c>
      <c r="E16" s="2569"/>
      <c r="F16" s="1860"/>
      <c r="G16" s="1863">
        <f t="shared" si="6"/>
        <v>23850</v>
      </c>
      <c r="H16" s="1862">
        <f t="shared" si="6"/>
        <v>24850</v>
      </c>
      <c r="I16" s="1862">
        <f t="shared" si="6"/>
        <v>28150</v>
      </c>
      <c r="J16" s="1862">
        <f t="shared" si="6"/>
        <v>27650</v>
      </c>
      <c r="K16" s="1862">
        <f t="shared" si="6"/>
        <v>29350</v>
      </c>
      <c r="L16" s="1862">
        <f t="shared" si="6"/>
        <v>0</v>
      </c>
      <c r="M16" s="1862">
        <f t="shared" si="6"/>
        <v>0</v>
      </c>
      <c r="N16" s="2525"/>
      <c r="O16" s="1866">
        <f>O56*(1-$F$9)</f>
        <v>0</v>
      </c>
      <c r="P16" s="2533"/>
      <c r="Q16" s="1866">
        <f>Q56*(1-$F$9)</f>
        <v>0</v>
      </c>
      <c r="R16" s="2533"/>
      <c r="S16" s="1866">
        <f t="shared" ref="S16:AK16" si="12">S56*(1-$F$9)</f>
        <v>0</v>
      </c>
      <c r="T16" s="1866">
        <f t="shared" si="12"/>
        <v>0</v>
      </c>
      <c r="U16" s="1866">
        <f t="shared" si="12"/>
        <v>0</v>
      </c>
      <c r="V16" s="1866">
        <f t="shared" si="12"/>
        <v>0</v>
      </c>
      <c r="W16" s="1866">
        <f t="shared" si="12"/>
        <v>0</v>
      </c>
      <c r="X16" s="1862">
        <f t="shared" si="12"/>
        <v>24200</v>
      </c>
      <c r="Y16" s="1862">
        <f t="shared" si="12"/>
        <v>29400</v>
      </c>
      <c r="Z16" s="1862">
        <f t="shared" si="12"/>
        <v>27850</v>
      </c>
      <c r="AA16" s="1863">
        <f t="shared" si="12"/>
        <v>33050</v>
      </c>
      <c r="AB16" s="1863">
        <f t="shared" si="12"/>
        <v>35050</v>
      </c>
      <c r="AC16" s="1862">
        <f t="shared" si="12"/>
        <v>25700</v>
      </c>
      <c r="AD16" s="1863">
        <f t="shared" si="12"/>
        <v>25200</v>
      </c>
      <c r="AE16" s="1866">
        <f t="shared" si="12"/>
        <v>0</v>
      </c>
      <c r="AF16" s="1861">
        <f t="shared" si="12"/>
        <v>32950</v>
      </c>
      <c r="AG16" s="1869">
        <f t="shared" si="12"/>
        <v>33650</v>
      </c>
      <c r="AH16" s="1869">
        <f t="shared" si="12"/>
        <v>34200</v>
      </c>
      <c r="AI16" s="1863">
        <f t="shared" si="12"/>
        <v>36700</v>
      </c>
      <c r="AJ16" s="1866">
        <f t="shared" si="12"/>
        <v>43550</v>
      </c>
      <c r="AK16" s="1866">
        <f t="shared" si="12"/>
        <v>43550</v>
      </c>
      <c r="AL16" s="2533"/>
      <c r="AM16" s="2533"/>
      <c r="AN16" s="1866">
        <f t="shared" si="8"/>
        <v>0</v>
      </c>
      <c r="AO16" s="1866">
        <f t="shared" si="8"/>
        <v>0</v>
      </c>
      <c r="AP16" s="1866">
        <f t="shared" si="8"/>
        <v>0</v>
      </c>
      <c r="AQ16" s="2533"/>
      <c r="AR16" s="1866">
        <f t="shared" si="9"/>
        <v>0</v>
      </c>
      <c r="AS16" s="1866">
        <f t="shared" si="9"/>
        <v>0</v>
      </c>
      <c r="AT16" s="1866">
        <f t="shared" si="9"/>
        <v>0</v>
      </c>
      <c r="AU16" s="1863">
        <f t="shared" si="9"/>
        <v>33850</v>
      </c>
      <c r="AV16" s="2532"/>
      <c r="AW16" s="2532"/>
      <c r="AX16" s="1863">
        <f t="shared" si="10"/>
        <v>32350</v>
      </c>
      <c r="AY16" s="1866">
        <f t="shared" si="10"/>
        <v>0</v>
      </c>
      <c r="AZ16" s="1862">
        <f t="shared" si="10"/>
        <v>37550</v>
      </c>
      <c r="BA16" s="1866">
        <f t="shared" si="10"/>
        <v>0</v>
      </c>
      <c r="BC16" s="1870"/>
    </row>
    <row r="17" spans="1:54" s="1856" customFormat="1" hidden="1" outlineLevel="2">
      <c r="A17" s="1856">
        <v>7</v>
      </c>
      <c r="B17" s="1857" t="s">
        <v>30</v>
      </c>
      <c r="C17" s="1858" t="s">
        <v>2571</v>
      </c>
      <c r="D17" s="1849">
        <v>1.25</v>
      </c>
      <c r="E17" s="2531"/>
      <c r="F17" s="1860"/>
      <c r="G17" s="1866">
        <f t="shared" ref="G17:M17" si="13">G58*(1-$F$9)</f>
        <v>26000</v>
      </c>
      <c r="H17" s="1866">
        <f t="shared" si="13"/>
        <v>27000</v>
      </c>
      <c r="I17" s="1866">
        <f t="shared" si="13"/>
        <v>30300</v>
      </c>
      <c r="J17" s="1866">
        <f t="shared" si="13"/>
        <v>29800</v>
      </c>
      <c r="K17" s="1866">
        <f t="shared" si="13"/>
        <v>31500</v>
      </c>
      <c r="L17" s="1862">
        <f t="shared" si="13"/>
        <v>26600</v>
      </c>
      <c r="M17" s="1862">
        <f t="shared" si="13"/>
        <v>29950</v>
      </c>
      <c r="N17" s="2525"/>
      <c r="O17" s="1863">
        <f>O58*(1-$F$9)</f>
        <v>28600</v>
      </c>
      <c r="P17" s="2532"/>
      <c r="Q17" s="1866">
        <f>Q58*(1-$F$9)</f>
        <v>0</v>
      </c>
      <c r="R17" s="2532"/>
      <c r="S17" s="1866">
        <f t="shared" ref="S17:AK17" si="14">S58*(1-$F$9)</f>
        <v>0</v>
      </c>
      <c r="T17" s="1866">
        <f t="shared" si="14"/>
        <v>0</v>
      </c>
      <c r="U17" s="1866">
        <f t="shared" si="14"/>
        <v>0</v>
      </c>
      <c r="V17" s="1866">
        <f t="shared" si="14"/>
        <v>0</v>
      </c>
      <c r="W17" s="1866">
        <f t="shared" si="14"/>
        <v>0</v>
      </c>
      <c r="X17" s="1866">
        <f t="shared" si="14"/>
        <v>26400</v>
      </c>
      <c r="Y17" s="1866">
        <f t="shared" si="14"/>
        <v>31600</v>
      </c>
      <c r="Z17" s="1866">
        <f t="shared" si="14"/>
        <v>30400</v>
      </c>
      <c r="AA17" s="1866">
        <f t="shared" si="14"/>
        <v>35600</v>
      </c>
      <c r="AB17" s="1862">
        <f t="shared" si="14"/>
        <v>37750</v>
      </c>
      <c r="AC17" s="1866">
        <f t="shared" si="14"/>
        <v>27900</v>
      </c>
      <c r="AD17" s="1866">
        <f t="shared" si="14"/>
        <v>27400</v>
      </c>
      <c r="AE17" s="1866">
        <f t="shared" si="14"/>
        <v>0</v>
      </c>
      <c r="AF17" s="1861">
        <f t="shared" si="14"/>
        <v>35950</v>
      </c>
      <c r="AG17" s="1866">
        <f t="shared" si="14"/>
        <v>36700</v>
      </c>
      <c r="AH17" s="1866">
        <f t="shared" si="14"/>
        <v>37300</v>
      </c>
      <c r="AI17" s="1866">
        <f t="shared" si="14"/>
        <v>40050</v>
      </c>
      <c r="AJ17" s="1866">
        <f t="shared" si="14"/>
        <v>47500</v>
      </c>
      <c r="AK17" s="1866">
        <f t="shared" si="14"/>
        <v>47500</v>
      </c>
      <c r="AL17" s="2533"/>
      <c r="AM17" s="2533"/>
      <c r="AN17" s="1866">
        <f>AN58*(1-$F$9)</f>
        <v>0</v>
      </c>
      <c r="AO17" s="1866">
        <f>AO58*(1-$F$9)</f>
        <v>0</v>
      </c>
      <c r="AP17" s="1866">
        <f>AP58*(1-$F$9)</f>
        <v>0</v>
      </c>
      <c r="AQ17" s="2533"/>
      <c r="AR17" s="1866">
        <f>AR58*(1-$F$9)</f>
        <v>0</v>
      </c>
      <c r="AS17" s="1866">
        <f>AS58*(1-$F$9)</f>
        <v>0</v>
      </c>
      <c r="AT17" s="1866">
        <f>AT58*(1-$F$9)</f>
        <v>0</v>
      </c>
      <c r="AU17" s="1866">
        <f>AU58*(1-$F$9)</f>
        <v>36000</v>
      </c>
      <c r="AV17" s="2533"/>
      <c r="AW17" s="2533"/>
      <c r="AX17" s="1863">
        <f>AX58*(1-$F$9)</f>
        <v>0</v>
      </c>
      <c r="AY17" s="1866">
        <f>AY58*(1-$F$9)</f>
        <v>0</v>
      </c>
      <c r="AZ17" s="1866">
        <f>AZ58*(1-$F$9)</f>
        <v>39700</v>
      </c>
      <c r="BA17" s="1862">
        <f>BA58*(1-$F$9)</f>
        <v>0</v>
      </c>
    </row>
    <row r="18" spans="1:54" s="242" customFormat="1" hidden="1" outlineLevel="2">
      <c r="D18" s="745"/>
      <c r="E18" s="745"/>
      <c r="F18" s="745"/>
      <c r="G18" s="707"/>
      <c r="H18" s="694"/>
      <c r="I18" s="694"/>
      <c r="J18" s="694"/>
      <c r="K18" s="694"/>
      <c r="S18" s="693"/>
      <c r="T18" s="693"/>
      <c r="U18" s="693"/>
      <c r="V18" s="693"/>
      <c r="W18" s="693"/>
      <c r="X18" s="707"/>
      <c r="Z18" s="694"/>
      <c r="AA18" s="694"/>
      <c r="AB18" s="694"/>
      <c r="AC18" s="694"/>
      <c r="AD18" s="694"/>
      <c r="AG18" s="605"/>
      <c r="AH18" s="605"/>
      <c r="AI18" s="605"/>
      <c r="AJ18" s="605"/>
      <c r="AK18" s="605"/>
      <c r="AL18" s="605"/>
      <c r="AM18" s="605"/>
      <c r="AN18" s="693"/>
      <c r="AO18" s="693"/>
      <c r="AP18" s="693"/>
      <c r="AQ18" s="693"/>
      <c r="AR18" s="693"/>
      <c r="AS18" s="693"/>
      <c r="AT18" s="693"/>
      <c r="AU18" s="693"/>
      <c r="AV18" s="693"/>
      <c r="AW18" s="693"/>
      <c r="AX18" s="693"/>
      <c r="AZ18" s="694"/>
    </row>
    <row r="19" spans="1:54" s="242" customFormat="1" hidden="1" outlineLevel="2">
      <c r="D19" s="745"/>
      <c r="E19" s="745"/>
      <c r="F19" s="745"/>
      <c r="G19" s="1118"/>
      <c r="H19" s="1118"/>
      <c r="I19" s="1118"/>
      <c r="J19" s="1118"/>
      <c r="K19" s="1118"/>
      <c r="L19" s="1118"/>
      <c r="M19" s="1118"/>
      <c r="N19" s="1118"/>
      <c r="O19" s="1118"/>
      <c r="P19" s="1118"/>
      <c r="Q19" s="1118"/>
      <c r="R19" s="1118"/>
      <c r="S19" s="1118"/>
      <c r="T19" s="1118"/>
      <c r="U19" s="1118"/>
      <c r="V19" s="1118"/>
      <c r="W19" s="1118"/>
      <c r="X19" s="1118"/>
      <c r="Y19" s="1118"/>
      <c r="Z19" s="1118"/>
      <c r="AA19" s="1118"/>
      <c r="AB19" s="1118"/>
      <c r="AC19" s="1118"/>
      <c r="AD19" s="1118"/>
      <c r="AE19" s="1118"/>
      <c r="AF19" s="1118"/>
      <c r="AG19" s="1118"/>
      <c r="AH19" s="1118"/>
      <c r="AI19" s="1118"/>
      <c r="AJ19" s="1118"/>
      <c r="AK19" s="1118"/>
      <c r="AL19" s="1118"/>
      <c r="AM19" s="1118"/>
      <c r="AN19" s="1118"/>
      <c r="AO19" s="1118"/>
      <c r="AP19" s="1118"/>
      <c r="AQ19" s="1118"/>
      <c r="AR19" s="1118"/>
      <c r="AS19" s="1118"/>
      <c r="AT19" s="1118"/>
      <c r="AU19" s="1118"/>
      <c r="AV19" s="1118"/>
      <c r="AW19" s="1118"/>
      <c r="AX19" s="1118"/>
      <c r="AY19" s="1118"/>
      <c r="AZ19" s="1118"/>
      <c r="BA19" s="1118"/>
    </row>
    <row r="20" spans="1:54" s="69" customFormat="1" hidden="1" outlineLevel="1" collapsed="1">
      <c r="B20" s="750" t="s">
        <v>2572</v>
      </c>
      <c r="C20" s="242"/>
      <c r="D20" s="3772" t="s">
        <v>3338</v>
      </c>
      <c r="F20" s="69">
        <v>1.05</v>
      </c>
      <c r="G20" s="706"/>
      <c r="H20" s="706"/>
      <c r="I20" s="706"/>
      <c r="J20" s="706"/>
      <c r="K20" s="706"/>
      <c r="L20" s="3862"/>
      <c r="N20" s="706"/>
      <c r="O20" s="547"/>
      <c r="P20" s="547"/>
      <c r="R20" s="547"/>
      <c r="W20" s="547"/>
      <c r="AZ20" s="706"/>
      <c r="BB20" s="69" t="s">
        <v>2865</v>
      </c>
    </row>
    <row r="21" spans="1:54" s="69" customFormat="1" ht="15" hidden="1" customHeight="1" outlineLevel="2">
      <c r="C21" s="4447" t="s">
        <v>909</v>
      </c>
      <c r="D21" s="2726">
        <f>Погонаж!C11*2.5+Погонаж!E11*5</f>
        <v>8125</v>
      </c>
      <c r="E21" s="3756" t="s">
        <v>3240</v>
      </c>
      <c r="F21" s="1839"/>
      <c r="G21" s="1838">
        <f>$D$21+G52</f>
        <v>21875</v>
      </c>
      <c r="H21" s="1838">
        <f t="shared" ref="H21:BA21" si="15">$D$21+H52</f>
        <v>22875</v>
      </c>
      <c r="I21" s="1838">
        <f t="shared" si="15"/>
        <v>26175</v>
      </c>
      <c r="J21" s="1838">
        <f t="shared" si="15"/>
        <v>25675</v>
      </c>
      <c r="K21" s="1838">
        <f t="shared" si="15"/>
        <v>27375</v>
      </c>
      <c r="L21" s="1838">
        <f t="shared" si="15"/>
        <v>8125</v>
      </c>
      <c r="M21" s="1838">
        <f t="shared" si="15"/>
        <v>8125</v>
      </c>
      <c r="N21" s="1838">
        <f t="shared" si="15"/>
        <v>8125</v>
      </c>
      <c r="O21" s="1838">
        <f t="shared" si="15"/>
        <v>8125</v>
      </c>
      <c r="P21" s="1838">
        <f t="shared" si="15"/>
        <v>8125</v>
      </c>
      <c r="Q21" s="1838">
        <f t="shared" si="15"/>
        <v>8125</v>
      </c>
      <c r="R21" s="1838">
        <f t="shared" si="15"/>
        <v>8125</v>
      </c>
      <c r="S21" s="1838">
        <f t="shared" si="15"/>
        <v>8125</v>
      </c>
      <c r="T21" s="1838">
        <f t="shared" si="15"/>
        <v>8125</v>
      </c>
      <c r="U21" s="1838">
        <f t="shared" si="15"/>
        <v>8125</v>
      </c>
      <c r="V21" s="1838">
        <f t="shared" si="15"/>
        <v>8125</v>
      </c>
      <c r="W21" s="1838">
        <f t="shared" si="15"/>
        <v>8125</v>
      </c>
      <c r="X21" s="1838">
        <f t="shared" si="15"/>
        <v>8125</v>
      </c>
      <c r="Y21" s="1838">
        <f t="shared" si="15"/>
        <v>8125</v>
      </c>
      <c r="Z21" s="1838">
        <f t="shared" si="15"/>
        <v>8125</v>
      </c>
      <c r="AA21" s="1838">
        <f t="shared" si="15"/>
        <v>8125</v>
      </c>
      <c r="AB21" s="1838">
        <f t="shared" si="15"/>
        <v>8125</v>
      </c>
      <c r="AC21" s="1838">
        <f t="shared" si="15"/>
        <v>8125</v>
      </c>
      <c r="AD21" s="1838">
        <f t="shared" si="15"/>
        <v>8125</v>
      </c>
      <c r="AE21" s="1838">
        <f t="shared" si="15"/>
        <v>8125</v>
      </c>
      <c r="AF21" s="1838">
        <f t="shared" si="15"/>
        <v>8125</v>
      </c>
      <c r="AG21" s="1838">
        <f t="shared" si="15"/>
        <v>8125</v>
      </c>
      <c r="AH21" s="1838">
        <f t="shared" si="15"/>
        <v>8125</v>
      </c>
      <c r="AI21" s="1838">
        <f t="shared" si="15"/>
        <v>8125</v>
      </c>
      <c r="AJ21" s="1838">
        <f t="shared" si="15"/>
        <v>8125</v>
      </c>
      <c r="AK21" s="1838">
        <f t="shared" si="15"/>
        <v>8125</v>
      </c>
      <c r="AL21" s="1838">
        <f t="shared" si="15"/>
        <v>8125</v>
      </c>
      <c r="AM21" s="1838">
        <f t="shared" si="15"/>
        <v>8125</v>
      </c>
      <c r="AN21" s="1838">
        <f t="shared" si="15"/>
        <v>8125</v>
      </c>
      <c r="AO21" s="1838">
        <f t="shared" si="15"/>
        <v>8125</v>
      </c>
      <c r="AP21" s="1838">
        <f t="shared" si="15"/>
        <v>8125</v>
      </c>
      <c r="AQ21" s="1838">
        <f t="shared" si="15"/>
        <v>8125</v>
      </c>
      <c r="AR21" s="1838">
        <f t="shared" si="15"/>
        <v>8125</v>
      </c>
      <c r="AS21" s="1838">
        <f t="shared" si="15"/>
        <v>8125</v>
      </c>
      <c r="AT21" s="1838">
        <f t="shared" si="15"/>
        <v>8125</v>
      </c>
      <c r="AU21" s="1838">
        <f t="shared" si="15"/>
        <v>8125</v>
      </c>
      <c r="AV21" s="1838">
        <f t="shared" si="15"/>
        <v>8125</v>
      </c>
      <c r="AW21" s="1838">
        <f t="shared" si="15"/>
        <v>8125</v>
      </c>
      <c r="AX21" s="1838">
        <f t="shared" si="15"/>
        <v>8125</v>
      </c>
      <c r="AY21" s="1838">
        <f t="shared" si="15"/>
        <v>8125</v>
      </c>
      <c r="AZ21" s="1838">
        <f t="shared" si="15"/>
        <v>35575</v>
      </c>
      <c r="BA21" s="1838">
        <f t="shared" si="15"/>
        <v>8125</v>
      </c>
    </row>
    <row r="22" spans="1:54" s="69" customFormat="1" ht="24" hidden="1" outlineLevel="2">
      <c r="C22" s="4447"/>
      <c r="D22" s="2726">
        <f>Погонаж!C12*2.5+Погонаж!E12*5</f>
        <v>9875</v>
      </c>
      <c r="E22" s="2541" t="s">
        <v>3241</v>
      </c>
      <c r="F22" s="1839"/>
      <c r="G22" s="1838"/>
      <c r="H22" s="1838"/>
      <c r="I22" s="1838"/>
      <c r="J22" s="1838"/>
      <c r="K22" s="1838"/>
      <c r="L22" s="1838"/>
      <c r="M22" s="1838"/>
      <c r="N22" s="1838"/>
      <c r="O22" s="1838"/>
      <c r="P22" s="1838"/>
      <c r="Q22" s="1838"/>
      <c r="R22" s="1838"/>
      <c r="S22" s="1838"/>
      <c r="T22" s="1838"/>
      <c r="V22" s="1838"/>
      <c r="W22" s="1838"/>
      <c r="X22" s="1838"/>
      <c r="Y22" s="1838"/>
      <c r="Z22" s="1838"/>
      <c r="AA22" s="1838"/>
      <c r="AB22" s="1838"/>
      <c r="AC22" s="1838"/>
      <c r="AD22" s="1838"/>
      <c r="AE22" s="1838"/>
      <c r="AF22" s="1838"/>
      <c r="AG22" s="1838"/>
      <c r="AH22" s="1838"/>
      <c r="AI22" s="1838"/>
      <c r="AJ22" s="1838"/>
      <c r="AK22" s="1838"/>
      <c r="AL22" s="1838"/>
      <c r="AM22" s="1838"/>
      <c r="AN22" s="1838"/>
      <c r="AO22" s="1838"/>
      <c r="AP22" s="1838"/>
      <c r="AQ22" s="1838"/>
      <c r="AR22" s="1838"/>
      <c r="AS22" s="1838"/>
      <c r="AT22" s="1838"/>
      <c r="AU22" s="1838"/>
      <c r="AV22" s="1838"/>
      <c r="AW22" s="1838"/>
      <c r="AX22" s="1838"/>
      <c r="AY22" s="1838"/>
      <c r="AZ22" s="1838"/>
      <c r="BA22" s="1838"/>
    </row>
    <row r="23" spans="1:54" s="69" customFormat="1" hidden="1" outlineLevel="2">
      <c r="C23" s="4447"/>
      <c r="D23" s="2726">
        <f>Погонаж!C13*2.5+Погонаж!E13*5</f>
        <v>12375</v>
      </c>
      <c r="E23" s="3646" t="s">
        <v>30</v>
      </c>
      <c r="F23" s="1839"/>
      <c r="G23" s="1838">
        <f>G54+$D$23</f>
        <v>33475</v>
      </c>
      <c r="H23" s="1838">
        <f t="shared" ref="H23:BA23" si="16">H54+$D$23</f>
        <v>34475</v>
      </c>
      <c r="I23" s="1838">
        <f t="shared" si="16"/>
        <v>37075</v>
      </c>
      <c r="J23" s="1838">
        <f t="shared" si="16"/>
        <v>38325</v>
      </c>
      <c r="K23" s="1838">
        <f t="shared" si="16"/>
        <v>38975</v>
      </c>
      <c r="L23" s="1838">
        <f t="shared" si="16"/>
        <v>34125</v>
      </c>
      <c r="M23" s="1838">
        <f t="shared" si="16"/>
        <v>37675</v>
      </c>
      <c r="N23" s="1838">
        <f t="shared" si="16"/>
        <v>35125</v>
      </c>
      <c r="O23" s="1838">
        <f t="shared" si="16"/>
        <v>36125</v>
      </c>
      <c r="P23" s="1838">
        <f t="shared" si="16"/>
        <v>36525</v>
      </c>
      <c r="Q23" s="1838">
        <f t="shared" si="16"/>
        <v>39475</v>
      </c>
      <c r="R23" s="1838">
        <f t="shared" si="16"/>
        <v>40075</v>
      </c>
      <c r="S23" s="1838">
        <f t="shared" si="16"/>
        <v>44275</v>
      </c>
      <c r="T23" s="1838">
        <f t="shared" si="16"/>
        <v>44275</v>
      </c>
      <c r="U23" s="1838">
        <f t="shared" si="16"/>
        <v>47275</v>
      </c>
      <c r="V23" s="1838">
        <f t="shared" si="16"/>
        <v>46075</v>
      </c>
      <c r="W23" s="1838">
        <f>W54+$D$23</f>
        <v>50825</v>
      </c>
      <c r="X23" s="1838"/>
      <c r="Y23" s="1838"/>
      <c r="Z23" s="1838"/>
      <c r="AA23" s="1838">
        <f t="shared" si="16"/>
        <v>35925</v>
      </c>
      <c r="AB23" s="1838">
        <f t="shared" si="16"/>
        <v>38425</v>
      </c>
      <c r="AC23" s="1838"/>
      <c r="AD23" s="1838"/>
      <c r="AE23" s="1838">
        <f t="shared" si="16"/>
        <v>42475</v>
      </c>
      <c r="AF23" s="1838"/>
      <c r="AG23" s="1838"/>
      <c r="AH23" s="1838"/>
      <c r="AI23" s="1838"/>
      <c r="AJ23" s="1838"/>
      <c r="AK23" s="1838"/>
      <c r="AL23" s="1838"/>
      <c r="AM23" s="1838"/>
      <c r="AN23" s="1838">
        <f t="shared" si="16"/>
        <v>48975</v>
      </c>
      <c r="AO23" s="1838">
        <f t="shared" si="16"/>
        <v>55525</v>
      </c>
      <c r="AP23" s="1838">
        <f t="shared" si="16"/>
        <v>59725</v>
      </c>
      <c r="AQ23" s="1838">
        <f t="shared" si="16"/>
        <v>57075</v>
      </c>
      <c r="AR23" s="1838">
        <f t="shared" si="16"/>
        <v>66325</v>
      </c>
      <c r="AS23" s="1838">
        <f t="shared" si="16"/>
        <v>71675</v>
      </c>
      <c r="AT23" s="1838">
        <f t="shared" si="16"/>
        <v>71675</v>
      </c>
      <c r="AU23" s="1838"/>
      <c r="AV23" s="1838"/>
      <c r="AW23" s="1838"/>
      <c r="AX23" s="1838">
        <f t="shared" si="16"/>
        <v>40975</v>
      </c>
      <c r="AY23" s="1838">
        <f t="shared" si="16"/>
        <v>47825</v>
      </c>
      <c r="AZ23" s="1838">
        <f t="shared" si="16"/>
        <v>51375</v>
      </c>
      <c r="BA23" s="1838">
        <f t="shared" si="16"/>
        <v>65675</v>
      </c>
    </row>
    <row r="24" spans="1:54" s="69" customFormat="1" hidden="1" outlineLevel="2">
      <c r="C24" s="4447"/>
      <c r="D24" s="2726">
        <f>Погонаж!C14*2.5+Погонаж!E14*5</f>
        <v>13250</v>
      </c>
      <c r="E24" s="2550" t="s">
        <v>2569</v>
      </c>
      <c r="F24" s="1839"/>
      <c r="G24" s="1838">
        <f t="shared" ref="G24:AZ24" si="17">G55+$D$24</f>
        <v>35450</v>
      </c>
      <c r="H24" s="1838">
        <f t="shared" si="17"/>
        <v>36450</v>
      </c>
      <c r="I24" s="1838">
        <f t="shared" si="17"/>
        <v>39750</v>
      </c>
      <c r="J24" s="1838">
        <f t="shared" si="17"/>
        <v>39250</v>
      </c>
      <c r="K24" s="1838">
        <f t="shared" si="17"/>
        <v>40950</v>
      </c>
      <c r="L24" s="1838">
        <f t="shared" si="17"/>
        <v>13250</v>
      </c>
      <c r="M24" s="1838">
        <f t="shared" si="17"/>
        <v>13250</v>
      </c>
      <c r="N24" s="1838">
        <f t="shared" si="17"/>
        <v>13250</v>
      </c>
      <c r="O24" s="1838">
        <f t="shared" si="17"/>
        <v>13250</v>
      </c>
      <c r="P24" s="1838">
        <f t="shared" si="17"/>
        <v>13250</v>
      </c>
      <c r="Q24" s="1838">
        <f t="shared" si="17"/>
        <v>13250</v>
      </c>
      <c r="R24" s="1838">
        <f t="shared" si="17"/>
        <v>13250</v>
      </c>
      <c r="S24" s="1838">
        <f t="shared" si="17"/>
        <v>13250</v>
      </c>
      <c r="T24" s="1838">
        <f t="shared" si="17"/>
        <v>13250</v>
      </c>
      <c r="U24" s="1838">
        <f t="shared" si="17"/>
        <v>13250</v>
      </c>
      <c r="V24" s="1838">
        <f t="shared" si="17"/>
        <v>13250</v>
      </c>
      <c r="W24" s="1838">
        <f t="shared" si="17"/>
        <v>13250</v>
      </c>
      <c r="X24" s="1838">
        <f t="shared" si="17"/>
        <v>35250</v>
      </c>
      <c r="Y24" s="1838">
        <f t="shared" si="17"/>
        <v>40450</v>
      </c>
      <c r="Z24" s="1838">
        <f t="shared" si="17"/>
        <v>33150</v>
      </c>
      <c r="AA24" s="1838">
        <f t="shared" si="17"/>
        <v>38350</v>
      </c>
      <c r="AB24" s="1838">
        <f t="shared" si="17"/>
        <v>39900</v>
      </c>
      <c r="AC24" s="1838">
        <f t="shared" si="17"/>
        <v>36750</v>
      </c>
      <c r="AD24" s="1838">
        <f t="shared" si="17"/>
        <v>36250</v>
      </c>
      <c r="AE24" s="1838"/>
      <c r="AF24" s="1838">
        <f t="shared" si="17"/>
        <v>43200</v>
      </c>
      <c r="AG24" s="1838">
        <f t="shared" si="17"/>
        <v>43800</v>
      </c>
      <c r="AH24" s="1838">
        <f t="shared" si="17"/>
        <v>44300</v>
      </c>
      <c r="AI24" s="1838">
        <f t="shared" si="17"/>
        <v>46600</v>
      </c>
      <c r="AJ24" s="1838">
        <f t="shared" si="17"/>
        <v>52800</v>
      </c>
      <c r="AK24" s="1838">
        <f t="shared" si="17"/>
        <v>52800</v>
      </c>
      <c r="AL24" s="1838">
        <f t="shared" si="17"/>
        <v>59300</v>
      </c>
      <c r="AM24" s="1838">
        <f t="shared" si="17"/>
        <v>61300</v>
      </c>
      <c r="AN24" s="1838"/>
      <c r="AO24" s="1838"/>
      <c r="AP24" s="1838"/>
      <c r="AQ24" s="1838"/>
      <c r="AR24" s="1838"/>
      <c r="AS24" s="1838"/>
      <c r="AT24" s="1838"/>
      <c r="AU24" s="1838"/>
      <c r="AV24" s="1838"/>
      <c r="AW24" s="1838"/>
      <c r="AX24" s="1838"/>
      <c r="AY24" s="1838"/>
      <c r="AZ24" s="1838">
        <f t="shared" si="17"/>
        <v>49150</v>
      </c>
      <c r="BA24" s="1838"/>
    </row>
    <row r="25" spans="1:54" s="69" customFormat="1" hidden="1" outlineLevel="2">
      <c r="C25" s="4447"/>
      <c r="D25" s="2726">
        <f>Погонаж!C15*2.5+Погонаж!E15*5</f>
        <v>14375</v>
      </c>
      <c r="E25" s="2550" t="s">
        <v>2570</v>
      </c>
      <c r="F25" s="1839"/>
      <c r="G25" s="1838">
        <f>G56+$D$25</f>
        <v>38225</v>
      </c>
      <c r="H25" s="1838">
        <f>H56+$D$25</f>
        <v>39225</v>
      </c>
      <c r="I25" s="1838">
        <f>I56+$D$25</f>
        <v>42525</v>
      </c>
      <c r="J25" s="1838">
        <f>J56+$D$25</f>
        <v>42025</v>
      </c>
      <c r="K25" s="1838">
        <f>K56+$D$25</f>
        <v>43725</v>
      </c>
      <c r="L25" s="1838"/>
      <c r="M25" s="1838"/>
      <c r="N25" s="1838"/>
      <c r="O25" s="1838"/>
      <c r="P25" s="1838"/>
      <c r="Q25" s="1838"/>
      <c r="R25" s="1838"/>
      <c r="S25" s="1838"/>
      <c r="T25" s="1838"/>
      <c r="V25" s="1838"/>
      <c r="W25" s="1838"/>
      <c r="X25" s="1838">
        <f t="shared" ref="X25:AZ25" si="18">X56+$D$25</f>
        <v>38575</v>
      </c>
      <c r="Y25" s="1838">
        <f t="shared" si="18"/>
        <v>43775</v>
      </c>
      <c r="Z25" s="1838">
        <f t="shared" si="18"/>
        <v>42225</v>
      </c>
      <c r="AA25" s="1838">
        <f t="shared" si="18"/>
        <v>47425</v>
      </c>
      <c r="AB25" s="1838">
        <f t="shared" si="18"/>
        <v>49425</v>
      </c>
      <c r="AC25" s="1838">
        <f t="shared" si="18"/>
        <v>40075</v>
      </c>
      <c r="AD25" s="1838">
        <f t="shared" si="18"/>
        <v>39575</v>
      </c>
      <c r="AE25" s="1838"/>
      <c r="AF25" s="1838">
        <f t="shared" si="18"/>
        <v>47325</v>
      </c>
      <c r="AG25" s="1838">
        <f t="shared" si="18"/>
        <v>48025</v>
      </c>
      <c r="AH25" s="1838">
        <f t="shared" si="18"/>
        <v>48575</v>
      </c>
      <c r="AI25" s="1838">
        <f t="shared" si="18"/>
        <v>51075</v>
      </c>
      <c r="AJ25" s="1838">
        <f t="shared" si="18"/>
        <v>57925</v>
      </c>
      <c r="AK25" s="1838">
        <f t="shared" si="18"/>
        <v>57925</v>
      </c>
      <c r="AL25" s="1838">
        <f t="shared" si="18"/>
        <v>64425</v>
      </c>
      <c r="AM25" s="1838">
        <f t="shared" si="18"/>
        <v>66425</v>
      </c>
      <c r="AN25" s="1838"/>
      <c r="AO25" s="1838"/>
      <c r="AP25" s="1838"/>
      <c r="AQ25" s="1838"/>
      <c r="AR25" s="1838"/>
      <c r="AS25" s="1838"/>
      <c r="AT25" s="1838"/>
      <c r="AU25" s="1838">
        <f t="shared" si="18"/>
        <v>48225</v>
      </c>
      <c r="AV25" s="1838">
        <f t="shared" si="18"/>
        <v>50425</v>
      </c>
      <c r="AW25" s="1838">
        <f t="shared" si="18"/>
        <v>55725</v>
      </c>
      <c r="AX25" s="1838">
        <f t="shared" si="18"/>
        <v>46725</v>
      </c>
      <c r="AY25" s="1838"/>
      <c r="AZ25" s="1838">
        <f t="shared" si="18"/>
        <v>51925</v>
      </c>
      <c r="BA25" s="1838"/>
    </row>
    <row r="26" spans="1:54" s="69" customFormat="1" ht="21" hidden="1" customHeight="1" outlineLevel="2">
      <c r="C26" s="4448"/>
      <c r="D26" s="2726">
        <f>Погонаж!C17*2.5+Погонаж!E17*5</f>
        <v>15250</v>
      </c>
      <c r="E26" s="2550" t="s">
        <v>2571</v>
      </c>
      <c r="F26" s="1839"/>
      <c r="G26" s="1838">
        <f>G58+$D$26</f>
        <v>41250</v>
      </c>
      <c r="H26" s="1838">
        <f t="shared" ref="H26:AZ26" si="19">H58+$D$26</f>
        <v>42250</v>
      </c>
      <c r="I26" s="1838">
        <f t="shared" si="19"/>
        <v>45550</v>
      </c>
      <c r="J26" s="1838">
        <f t="shared" si="19"/>
        <v>45050</v>
      </c>
      <c r="K26" s="1838">
        <f t="shared" si="19"/>
        <v>46750</v>
      </c>
      <c r="L26" s="1838">
        <f t="shared" si="19"/>
        <v>41850</v>
      </c>
      <c r="M26" s="1838">
        <f t="shared" si="19"/>
        <v>45200</v>
      </c>
      <c r="N26" s="1838">
        <f t="shared" si="19"/>
        <v>42850</v>
      </c>
      <c r="O26" s="1838">
        <f t="shared" si="19"/>
        <v>43850</v>
      </c>
      <c r="P26" s="1838"/>
      <c r="Q26" s="1838"/>
      <c r="R26" s="1838"/>
      <c r="S26" s="1838"/>
      <c r="T26" s="1838"/>
      <c r="U26" s="1838"/>
      <c r="V26" s="1838"/>
      <c r="W26" s="1838"/>
      <c r="X26" s="1838">
        <f t="shared" si="19"/>
        <v>41650</v>
      </c>
      <c r="Y26" s="1838">
        <f t="shared" si="19"/>
        <v>46850</v>
      </c>
      <c r="Z26" s="1838">
        <f t="shared" si="19"/>
        <v>45650</v>
      </c>
      <c r="AA26" s="1838">
        <f t="shared" si="19"/>
        <v>50850</v>
      </c>
      <c r="AB26" s="1838">
        <f t="shared" si="19"/>
        <v>53000</v>
      </c>
      <c r="AC26" s="1838">
        <f t="shared" si="19"/>
        <v>43150</v>
      </c>
      <c r="AD26" s="1838">
        <f t="shared" si="19"/>
        <v>42650</v>
      </c>
      <c r="AE26" s="1838"/>
      <c r="AF26" s="1838">
        <f t="shared" si="19"/>
        <v>51200</v>
      </c>
      <c r="AG26" s="1838">
        <f t="shared" si="19"/>
        <v>51950</v>
      </c>
      <c r="AH26" s="1838">
        <f t="shared" si="19"/>
        <v>52550</v>
      </c>
      <c r="AI26" s="1838">
        <f t="shared" si="19"/>
        <v>55300</v>
      </c>
      <c r="AJ26" s="1838">
        <f t="shared" si="19"/>
        <v>62750</v>
      </c>
      <c r="AK26" s="1838">
        <f t="shared" si="19"/>
        <v>62750</v>
      </c>
      <c r="AL26" s="1838">
        <f t="shared" si="19"/>
        <v>69250</v>
      </c>
      <c r="AM26" s="1838">
        <f t="shared" si="19"/>
        <v>71250</v>
      </c>
      <c r="AN26" s="1838"/>
      <c r="AO26" s="1838"/>
      <c r="AP26" s="1838"/>
      <c r="AQ26" s="1838"/>
      <c r="AR26" s="1838"/>
      <c r="AS26" s="1838"/>
      <c r="AT26" s="1838"/>
      <c r="AU26" s="1838">
        <f t="shared" si="19"/>
        <v>51250</v>
      </c>
      <c r="AV26" s="1838">
        <f t="shared" si="19"/>
        <v>53450</v>
      </c>
      <c r="AW26" s="1838">
        <f t="shared" si="19"/>
        <v>58750</v>
      </c>
      <c r="AX26" s="1838"/>
      <c r="AY26" s="1838"/>
      <c r="AZ26" s="1838">
        <f t="shared" si="19"/>
        <v>54950</v>
      </c>
      <c r="BA26" s="1838"/>
    </row>
    <row r="27" spans="1:54" s="69" customFormat="1" ht="21" hidden="1" customHeight="1" outlineLevel="2">
      <c r="C27" s="3769"/>
      <c r="D27" s="3770"/>
      <c r="E27" s="3427"/>
      <c r="F27" s="745"/>
      <c r="G27" s="605"/>
      <c r="H27" s="605"/>
      <c r="I27" s="605"/>
      <c r="J27" s="605"/>
      <c r="K27" s="605"/>
      <c r="L27" s="605"/>
      <c r="M27" s="605"/>
      <c r="N27" s="605"/>
      <c r="O27" s="605"/>
      <c r="P27" s="605"/>
      <c r="Q27" s="605"/>
      <c r="R27" s="605"/>
      <c r="S27" s="605"/>
      <c r="T27" s="605"/>
      <c r="U27" s="605"/>
      <c r="V27" s="605"/>
      <c r="W27" s="605"/>
      <c r="X27" s="605"/>
      <c r="Y27" s="605"/>
      <c r="Z27" s="605"/>
      <c r="AA27" s="605"/>
      <c r="AB27" s="605"/>
      <c r="AC27" s="605"/>
      <c r="AD27" s="605"/>
      <c r="AE27" s="605"/>
      <c r="AF27" s="605"/>
      <c r="AG27" s="605"/>
      <c r="AH27" s="605"/>
      <c r="AI27" s="605"/>
      <c r="AJ27" s="605"/>
      <c r="AK27" s="605"/>
      <c r="AL27" s="605"/>
      <c r="AM27" s="605"/>
      <c r="AN27" s="605"/>
      <c r="AO27" s="605"/>
      <c r="AP27" s="605"/>
      <c r="AQ27" s="605"/>
      <c r="AR27" s="605"/>
      <c r="AS27" s="605"/>
      <c r="AT27" s="605"/>
      <c r="AU27" s="605"/>
      <c r="AV27" s="605"/>
      <c r="AW27" s="605"/>
      <c r="AX27" s="605"/>
      <c r="AY27" s="605"/>
      <c r="AZ27" s="605"/>
      <c r="BA27" s="605"/>
    </row>
    <row r="28" spans="1:54" s="69" customFormat="1" ht="21" hidden="1" customHeight="1" outlineLevel="2">
      <c r="C28" s="3769"/>
      <c r="D28" s="3771" t="s">
        <v>3337</v>
      </c>
      <c r="E28" s="3427"/>
      <c r="F28" s="745"/>
      <c r="G28" s="605"/>
      <c r="H28" s="605"/>
      <c r="I28" s="605"/>
      <c r="J28" s="605"/>
      <c r="K28" s="605"/>
      <c r="L28" s="605"/>
      <c r="M28" s="605"/>
      <c r="N28" s="605"/>
      <c r="O28" s="605"/>
      <c r="P28" s="605"/>
      <c r="Q28" s="605"/>
      <c r="R28" s="605"/>
      <c r="S28" s="605"/>
      <c r="T28" s="605"/>
      <c r="U28" s="605"/>
      <c r="V28" s="605"/>
      <c r="W28" s="605"/>
      <c r="X28" s="605"/>
      <c r="Y28" s="605"/>
      <c r="Z28" s="605"/>
      <c r="AA28" s="605"/>
      <c r="AB28" s="605"/>
      <c r="AC28" s="605"/>
      <c r="AD28" s="605"/>
      <c r="AE28" s="605"/>
      <c r="AF28" s="605"/>
      <c r="AG28" s="605"/>
      <c r="AH28" s="605"/>
      <c r="AI28" s="605"/>
      <c r="AJ28" s="605"/>
      <c r="AK28" s="605"/>
      <c r="AL28" s="605"/>
      <c r="AM28" s="605"/>
      <c r="AN28" s="605"/>
      <c r="AO28" s="605"/>
      <c r="AP28" s="605"/>
      <c r="AQ28" s="605"/>
      <c r="AR28" s="605"/>
      <c r="AS28" s="605"/>
      <c r="AT28" s="605"/>
      <c r="AU28" s="605"/>
      <c r="AV28" s="605"/>
      <c r="AW28" s="605"/>
      <c r="AX28" s="605"/>
      <c r="AY28" s="605"/>
      <c r="AZ28" s="605"/>
      <c r="BA28" s="605"/>
    </row>
    <row r="29" spans="1:54" s="69" customFormat="1" ht="21" hidden="1" customHeight="1" outlineLevel="2">
      <c r="C29" s="4447" t="s">
        <v>909</v>
      </c>
      <c r="D29" s="3773">
        <v>7250</v>
      </c>
      <c r="E29" s="3756" t="s">
        <v>3240</v>
      </c>
      <c r="F29" s="1839"/>
      <c r="G29" s="3774">
        <v>19600</v>
      </c>
      <c r="H29" s="3774">
        <v>20600</v>
      </c>
      <c r="I29" s="3774">
        <v>23600</v>
      </c>
      <c r="J29" s="3774">
        <v>23100</v>
      </c>
      <c r="K29" s="3774">
        <v>24600</v>
      </c>
      <c r="L29" s="3774">
        <v>7250</v>
      </c>
      <c r="M29" s="3774">
        <v>7250</v>
      </c>
      <c r="N29" s="3774">
        <v>7250</v>
      </c>
      <c r="O29" s="3774">
        <v>7250</v>
      </c>
      <c r="P29" s="3774">
        <v>7250</v>
      </c>
      <c r="Q29" s="3774">
        <v>7250</v>
      </c>
      <c r="R29" s="3774">
        <v>7250</v>
      </c>
      <c r="S29" s="3774">
        <v>7250</v>
      </c>
      <c r="T29" s="3774">
        <v>7250</v>
      </c>
      <c r="U29" s="3774">
        <v>7250</v>
      </c>
      <c r="V29" s="3774">
        <v>7250</v>
      </c>
      <c r="W29" s="3774">
        <v>7250</v>
      </c>
      <c r="X29" s="3774">
        <v>7250</v>
      </c>
      <c r="Y29" s="3774">
        <v>7250</v>
      </c>
      <c r="Z29" s="3774">
        <v>7250</v>
      </c>
      <c r="AA29" s="3774">
        <v>7250</v>
      </c>
      <c r="AB29" s="3774">
        <v>7250</v>
      </c>
      <c r="AC29" s="3774">
        <v>7250</v>
      </c>
      <c r="AD29" s="3774">
        <v>7250</v>
      </c>
      <c r="AE29" s="3774">
        <v>7250</v>
      </c>
      <c r="AF29" s="3774">
        <v>7250</v>
      </c>
      <c r="AG29" s="3774">
        <v>7250</v>
      </c>
      <c r="AH29" s="3774">
        <v>7250</v>
      </c>
      <c r="AI29" s="3774">
        <v>7250</v>
      </c>
      <c r="AJ29" s="3774">
        <v>7250</v>
      </c>
      <c r="AK29" s="3774">
        <v>7250</v>
      </c>
      <c r="AL29" s="3774">
        <v>7250</v>
      </c>
      <c r="AM29" s="3774">
        <v>7250</v>
      </c>
      <c r="AN29" s="3774">
        <v>7250</v>
      </c>
      <c r="AO29" s="3774">
        <v>7250</v>
      </c>
      <c r="AP29" s="3774">
        <v>7250</v>
      </c>
      <c r="AQ29" s="3774">
        <v>7250</v>
      </c>
      <c r="AR29" s="3774">
        <v>7250</v>
      </c>
      <c r="AS29" s="3774">
        <v>7250</v>
      </c>
      <c r="AT29" s="3774">
        <v>7250</v>
      </c>
      <c r="AU29" s="3774">
        <v>7250</v>
      </c>
      <c r="AV29" s="3774">
        <v>7250</v>
      </c>
      <c r="AW29" s="3774">
        <v>7250</v>
      </c>
      <c r="AX29" s="3774">
        <v>7250</v>
      </c>
      <c r="AY29" s="3774">
        <v>7250</v>
      </c>
      <c r="AZ29" s="3774">
        <v>32100</v>
      </c>
      <c r="BA29" s="3774">
        <v>7250</v>
      </c>
    </row>
    <row r="30" spans="1:54" s="69" customFormat="1" ht="21" hidden="1" customHeight="1" outlineLevel="2">
      <c r="C30" s="4447"/>
      <c r="D30" s="3773">
        <v>8625</v>
      </c>
      <c r="E30" s="2541" t="s">
        <v>3241</v>
      </c>
      <c r="F30" s="1839"/>
      <c r="G30" s="3774"/>
      <c r="H30" s="3774"/>
      <c r="I30" s="3774"/>
      <c r="J30" s="3774"/>
      <c r="K30" s="3774"/>
      <c r="L30" s="3774"/>
      <c r="M30" s="3774"/>
      <c r="N30" s="3774"/>
      <c r="O30" s="3774"/>
      <c r="P30" s="3774"/>
      <c r="Q30" s="3774"/>
      <c r="R30" s="3774"/>
      <c r="S30" s="3774"/>
      <c r="T30" s="3774"/>
      <c r="U30" s="294"/>
      <c r="V30" s="3774"/>
      <c r="W30" s="3774"/>
      <c r="X30" s="3774"/>
      <c r="Y30" s="3774"/>
      <c r="Z30" s="3774"/>
      <c r="AA30" s="3774"/>
      <c r="AB30" s="3774"/>
      <c r="AC30" s="3774"/>
      <c r="AD30" s="3774"/>
      <c r="AE30" s="3774"/>
      <c r="AF30" s="3774"/>
      <c r="AG30" s="3774"/>
      <c r="AH30" s="3774"/>
      <c r="AI30" s="3774"/>
      <c r="AJ30" s="3774"/>
      <c r="AK30" s="3774"/>
      <c r="AL30" s="3774"/>
      <c r="AM30" s="3774"/>
      <c r="AN30" s="3774"/>
      <c r="AO30" s="3774"/>
      <c r="AP30" s="3774"/>
      <c r="AQ30" s="3774"/>
      <c r="AR30" s="3774"/>
      <c r="AS30" s="3774"/>
      <c r="AT30" s="3774"/>
      <c r="AU30" s="3774"/>
      <c r="AV30" s="3774"/>
      <c r="AW30" s="3774"/>
      <c r="AX30" s="3774"/>
      <c r="AY30" s="3774"/>
      <c r="AZ30" s="3774"/>
      <c r="BA30" s="3774"/>
    </row>
    <row r="31" spans="1:54" s="69" customFormat="1" ht="21" hidden="1" customHeight="1" outlineLevel="2">
      <c r="C31" s="4447"/>
      <c r="D31" s="3773">
        <v>11000</v>
      </c>
      <c r="E31" s="3646" t="s">
        <v>30</v>
      </c>
      <c r="F31" s="1839"/>
      <c r="G31" s="3774">
        <v>29939</v>
      </c>
      <c r="H31" s="3774">
        <v>31009</v>
      </c>
      <c r="I31" s="3774">
        <v>33149</v>
      </c>
      <c r="J31" s="3774">
        <v>34219</v>
      </c>
      <c r="K31" s="3774">
        <v>34968</v>
      </c>
      <c r="L31" s="3774">
        <v>30474</v>
      </c>
      <c r="M31" s="3774">
        <v>33684</v>
      </c>
      <c r="N31" s="3774">
        <v>31009</v>
      </c>
      <c r="O31" s="3774">
        <v>32079</v>
      </c>
      <c r="P31" s="3774">
        <v>32614</v>
      </c>
      <c r="Q31" s="3774">
        <v>35289</v>
      </c>
      <c r="R31" s="3774">
        <v>35824</v>
      </c>
      <c r="S31" s="3774">
        <v>39569</v>
      </c>
      <c r="T31" s="3774">
        <v>39569</v>
      </c>
      <c r="U31" s="3774">
        <v>42569</v>
      </c>
      <c r="V31" s="3774">
        <v>41174</v>
      </c>
      <c r="W31" s="3774">
        <v>45454</v>
      </c>
      <c r="X31" s="3774"/>
      <c r="Y31" s="3774"/>
      <c r="Z31" s="3774"/>
      <c r="AA31" s="3774">
        <v>32079</v>
      </c>
      <c r="AB31" s="3774">
        <v>35289</v>
      </c>
      <c r="AC31" s="3774"/>
      <c r="AD31" s="3774"/>
      <c r="AE31" s="3774">
        <v>37964</v>
      </c>
      <c r="AF31" s="3774"/>
      <c r="AG31" s="3774"/>
      <c r="AH31" s="3774"/>
      <c r="AI31" s="3774"/>
      <c r="AJ31" s="3774"/>
      <c r="AK31" s="3774"/>
      <c r="AL31" s="3774"/>
      <c r="AM31" s="3774"/>
      <c r="AN31" s="3774">
        <v>43849</v>
      </c>
      <c r="AO31" s="3774">
        <v>49734</v>
      </c>
      <c r="AP31" s="3774">
        <v>53479</v>
      </c>
      <c r="AQ31" s="3774">
        <v>51071.5</v>
      </c>
      <c r="AR31" s="3774">
        <v>59364</v>
      </c>
      <c r="AS31" s="3774">
        <v>64179</v>
      </c>
      <c r="AT31" s="3774">
        <v>64179</v>
      </c>
      <c r="AU31" s="3774"/>
      <c r="AV31" s="3774"/>
      <c r="AW31" s="3774"/>
      <c r="AX31" s="3774">
        <v>36626.5</v>
      </c>
      <c r="AY31" s="3774">
        <v>42779</v>
      </c>
      <c r="AZ31" s="3774">
        <v>45989</v>
      </c>
      <c r="BA31" s="3774">
        <v>58829</v>
      </c>
    </row>
    <row r="32" spans="1:54" s="69" customFormat="1" ht="21" hidden="1" customHeight="1" outlineLevel="2">
      <c r="C32" s="4447"/>
      <c r="D32" s="3773">
        <v>11875</v>
      </c>
      <c r="E32" s="2550" t="s">
        <v>2569</v>
      </c>
      <c r="F32" s="1839"/>
      <c r="G32" s="3774">
        <v>31775</v>
      </c>
      <c r="H32" s="3774">
        <v>32775</v>
      </c>
      <c r="I32" s="3774">
        <v>35775</v>
      </c>
      <c r="J32" s="3774">
        <v>35275</v>
      </c>
      <c r="K32" s="3774">
        <v>36775</v>
      </c>
      <c r="L32" s="3774">
        <v>11875</v>
      </c>
      <c r="M32" s="3774">
        <v>11875</v>
      </c>
      <c r="N32" s="3774">
        <v>11875</v>
      </c>
      <c r="O32" s="3774">
        <v>11875</v>
      </c>
      <c r="P32" s="3774">
        <v>11875</v>
      </c>
      <c r="Q32" s="3774">
        <v>11875</v>
      </c>
      <c r="R32" s="3774">
        <v>11875</v>
      </c>
      <c r="S32" s="3774">
        <v>11875</v>
      </c>
      <c r="T32" s="3774">
        <v>11875</v>
      </c>
      <c r="U32" s="3774">
        <v>11875</v>
      </c>
      <c r="V32" s="3774">
        <v>11875</v>
      </c>
      <c r="W32" s="3774">
        <v>11875</v>
      </c>
      <c r="X32" s="3774">
        <v>31616.5</v>
      </c>
      <c r="Y32" s="3774">
        <v>36431.5</v>
      </c>
      <c r="Z32" s="3774">
        <v>29690.5</v>
      </c>
      <c r="AA32" s="3774">
        <v>34690.5</v>
      </c>
      <c r="AB32" s="3774">
        <v>35875</v>
      </c>
      <c r="AC32" s="3774">
        <v>33756.5</v>
      </c>
      <c r="AD32" s="3774">
        <v>33221.5</v>
      </c>
      <c r="AE32" s="3774"/>
      <c r="AF32" s="3774">
        <v>38732</v>
      </c>
      <c r="AG32" s="3774">
        <v>39374</v>
      </c>
      <c r="AH32" s="3774">
        <v>39824</v>
      </c>
      <c r="AI32" s="3774">
        <v>41824</v>
      </c>
      <c r="AJ32" s="3774">
        <v>47324</v>
      </c>
      <c r="AK32" s="3774">
        <v>47324</v>
      </c>
      <c r="AL32" s="3774">
        <v>53324</v>
      </c>
      <c r="AM32" s="3774">
        <v>55324</v>
      </c>
      <c r="AN32" s="3774"/>
      <c r="AO32" s="3774"/>
      <c r="AP32" s="3774"/>
      <c r="AQ32" s="3774"/>
      <c r="AR32" s="3774"/>
      <c r="AS32" s="3774"/>
      <c r="AT32" s="3774"/>
      <c r="AU32" s="3774"/>
      <c r="AV32" s="3774"/>
      <c r="AW32" s="3774"/>
      <c r="AX32" s="3774"/>
      <c r="AY32" s="3774"/>
      <c r="AZ32" s="3774">
        <v>44275</v>
      </c>
      <c r="BA32" s="3774"/>
    </row>
    <row r="33" spans="2:55" s="69" customFormat="1" ht="21" hidden="1" customHeight="1" outlineLevel="2">
      <c r="C33" s="4447"/>
      <c r="D33" s="3773">
        <v>12500</v>
      </c>
      <c r="E33" s="2550" t="s">
        <v>2570</v>
      </c>
      <c r="F33" s="1839"/>
      <c r="G33" s="3774">
        <v>33950</v>
      </c>
      <c r="H33" s="3774">
        <v>34950</v>
      </c>
      <c r="I33" s="3774">
        <v>37950</v>
      </c>
      <c r="J33" s="3774">
        <v>37450</v>
      </c>
      <c r="K33" s="3774">
        <v>38950</v>
      </c>
      <c r="L33" s="3774"/>
      <c r="M33" s="3774"/>
      <c r="N33" s="3774"/>
      <c r="O33" s="3774"/>
      <c r="P33" s="3774"/>
      <c r="Q33" s="3774"/>
      <c r="R33" s="3774"/>
      <c r="S33" s="3774"/>
      <c r="T33" s="3774"/>
      <c r="U33" s="294"/>
      <c r="V33" s="3774"/>
      <c r="W33" s="3774"/>
      <c r="X33" s="3774">
        <v>34250</v>
      </c>
      <c r="Y33" s="3774">
        <v>39550</v>
      </c>
      <c r="Z33" s="3774">
        <v>37550</v>
      </c>
      <c r="AA33" s="3774">
        <v>42550</v>
      </c>
      <c r="AB33" s="3774">
        <v>44100</v>
      </c>
      <c r="AC33" s="3774">
        <v>35250</v>
      </c>
      <c r="AD33" s="3774">
        <v>34750</v>
      </c>
      <c r="AE33" s="3774"/>
      <c r="AF33" s="3774">
        <v>42050</v>
      </c>
      <c r="AG33" s="3774">
        <v>42750</v>
      </c>
      <c r="AH33" s="3774">
        <v>43250</v>
      </c>
      <c r="AI33" s="3774">
        <v>45450</v>
      </c>
      <c r="AJ33" s="3774">
        <v>51500</v>
      </c>
      <c r="AK33" s="3774">
        <v>51500</v>
      </c>
      <c r="AL33" s="3774">
        <v>57500</v>
      </c>
      <c r="AM33" s="3774">
        <v>59500</v>
      </c>
      <c r="AN33" s="3774"/>
      <c r="AO33" s="3774"/>
      <c r="AP33" s="3774"/>
      <c r="AQ33" s="3774"/>
      <c r="AR33" s="3774"/>
      <c r="AS33" s="3774"/>
      <c r="AT33" s="3774"/>
      <c r="AU33" s="3774">
        <v>42950</v>
      </c>
      <c r="AV33" s="3774">
        <v>44950</v>
      </c>
      <c r="AW33" s="3774">
        <v>49950</v>
      </c>
      <c r="AX33" s="3774">
        <v>41500</v>
      </c>
      <c r="AY33" s="3774"/>
      <c r="AZ33" s="3774">
        <v>46450</v>
      </c>
      <c r="BA33" s="3774"/>
    </row>
    <row r="34" spans="2:55" s="69" customFormat="1" ht="21" hidden="1" customHeight="1" outlineLevel="2">
      <c r="C34" s="4448"/>
      <c r="D34" s="3773">
        <v>13750</v>
      </c>
      <c r="E34" s="2550" t="s">
        <v>2571</v>
      </c>
      <c r="F34" s="1839"/>
      <c r="G34" s="3774">
        <v>37050</v>
      </c>
      <c r="H34" s="3774">
        <v>38050</v>
      </c>
      <c r="I34" s="3774">
        <v>41050</v>
      </c>
      <c r="J34" s="3774">
        <v>40550</v>
      </c>
      <c r="K34" s="3774">
        <v>42050</v>
      </c>
      <c r="L34" s="3774">
        <v>37550</v>
      </c>
      <c r="M34" s="3774">
        <v>13750</v>
      </c>
      <c r="N34" s="3774">
        <v>38550</v>
      </c>
      <c r="O34" s="3774">
        <v>39550</v>
      </c>
      <c r="P34" s="3774"/>
      <c r="Q34" s="3774"/>
      <c r="R34" s="3774"/>
      <c r="S34" s="3774"/>
      <c r="T34" s="3774"/>
      <c r="U34" s="3774"/>
      <c r="V34" s="3774"/>
      <c r="W34" s="3774"/>
      <c r="X34" s="3774">
        <v>37450</v>
      </c>
      <c r="Y34" s="3774">
        <v>43250</v>
      </c>
      <c r="Z34" s="3774">
        <v>41050</v>
      </c>
      <c r="AA34" s="3774">
        <v>46050</v>
      </c>
      <c r="AB34" s="3774">
        <v>47700</v>
      </c>
      <c r="AC34" s="3774">
        <v>38450</v>
      </c>
      <c r="AD34" s="3774">
        <v>37950</v>
      </c>
      <c r="AE34" s="3774"/>
      <c r="AF34" s="3774">
        <v>46000</v>
      </c>
      <c r="AG34" s="3774">
        <v>46750</v>
      </c>
      <c r="AH34" s="3774">
        <v>47300</v>
      </c>
      <c r="AI34" s="3774">
        <v>49700</v>
      </c>
      <c r="AJ34" s="3774">
        <v>56300</v>
      </c>
      <c r="AK34" s="3774">
        <v>56300</v>
      </c>
      <c r="AL34" s="3774">
        <v>62300</v>
      </c>
      <c r="AM34" s="3774">
        <v>64300</v>
      </c>
      <c r="AN34" s="3774"/>
      <c r="AO34" s="3774"/>
      <c r="AP34" s="3774"/>
      <c r="AQ34" s="3774"/>
      <c r="AR34" s="3774"/>
      <c r="AS34" s="3774"/>
      <c r="AT34" s="3774"/>
      <c r="AU34" s="3774">
        <v>46050</v>
      </c>
      <c r="AV34" s="3774">
        <v>48050</v>
      </c>
      <c r="AW34" s="3774">
        <v>53050</v>
      </c>
      <c r="AX34" s="3774"/>
      <c r="AY34" s="3774"/>
      <c r="AZ34" s="3774">
        <v>49550</v>
      </c>
      <c r="BA34" s="3774"/>
    </row>
    <row r="35" spans="2:55" s="69" customFormat="1" ht="21" hidden="1" customHeight="1" outlineLevel="2">
      <c r="C35" s="3922"/>
      <c r="D35" s="3771"/>
      <c r="E35" s="3427"/>
      <c r="F35" s="745"/>
      <c r="G35" s="3790"/>
      <c r="H35" s="3790"/>
      <c r="I35" s="3790"/>
      <c r="J35" s="3790"/>
      <c r="K35" s="3790"/>
      <c r="L35" s="3790"/>
      <c r="M35" s="3790"/>
      <c r="N35" s="3790"/>
      <c r="O35" s="3790"/>
      <c r="P35" s="3790"/>
      <c r="Q35" s="3790"/>
      <c r="R35" s="3790"/>
      <c r="S35" s="3790"/>
      <c r="T35" s="3790"/>
      <c r="U35" s="3790"/>
      <c r="V35" s="3790"/>
      <c r="W35" s="3790"/>
      <c r="X35" s="3790"/>
      <c r="Y35" s="3790"/>
      <c r="Z35" s="3790"/>
      <c r="AA35" s="3790"/>
      <c r="AB35" s="3790"/>
      <c r="AC35" s="3790"/>
      <c r="AD35" s="3790"/>
      <c r="AE35" s="3790"/>
      <c r="AF35" s="3790"/>
      <c r="AG35" s="3790"/>
      <c r="AH35" s="3790"/>
      <c r="AI35" s="3790"/>
      <c r="AJ35" s="3790"/>
      <c r="AK35" s="3790"/>
      <c r="AL35" s="3790"/>
      <c r="AM35" s="3790"/>
      <c r="AN35" s="3790"/>
      <c r="AO35" s="3790"/>
      <c r="AP35" s="3790"/>
      <c r="AQ35" s="3790"/>
      <c r="AR35" s="3790"/>
      <c r="AS35" s="3790"/>
      <c r="AT35" s="3790"/>
      <c r="AU35" s="3790"/>
      <c r="AV35" s="3790"/>
      <c r="AW35" s="3790"/>
      <c r="AX35" s="3790"/>
      <c r="AY35" s="3790"/>
      <c r="AZ35" s="3790"/>
      <c r="BA35" s="3790"/>
    </row>
    <row r="36" spans="2:55" s="69" customFormat="1" ht="21" hidden="1" customHeight="1" outlineLevel="2">
      <c r="C36" s="3769"/>
      <c r="D36" s="3771"/>
      <c r="E36" s="3427"/>
      <c r="F36" s="745"/>
      <c r="G36" s="3790"/>
      <c r="H36" s="3790"/>
      <c r="I36" s="3790"/>
      <c r="J36" s="3790"/>
      <c r="K36" s="3790"/>
      <c r="L36" s="3790"/>
      <c r="M36" s="3790"/>
      <c r="N36" s="3790"/>
      <c r="O36" s="3790"/>
      <c r="P36" s="3790"/>
      <c r="Q36" s="3790"/>
      <c r="R36" s="3790"/>
      <c r="S36" s="3790"/>
      <c r="T36" s="3790"/>
      <c r="U36" s="3790"/>
      <c r="V36" s="3790"/>
      <c r="W36" s="3790"/>
      <c r="X36" s="3790"/>
      <c r="Y36" s="3790"/>
      <c r="Z36" s="3790"/>
      <c r="AA36" s="3790"/>
      <c r="AB36" s="3790"/>
      <c r="AC36" s="3790"/>
      <c r="AD36" s="3790"/>
      <c r="AE36" s="3790"/>
      <c r="AF36" s="3790"/>
      <c r="AG36" s="3790"/>
      <c r="AH36" s="3790"/>
      <c r="AI36" s="3790"/>
      <c r="AJ36" s="3790"/>
      <c r="AK36" s="3790"/>
      <c r="AL36" s="3790"/>
      <c r="AM36" s="3790"/>
      <c r="AN36" s="3790"/>
      <c r="AO36" s="3790"/>
      <c r="AP36" s="3790"/>
      <c r="AQ36" s="3790"/>
      <c r="AR36" s="3790"/>
      <c r="AS36" s="3790"/>
      <c r="AT36" s="3790"/>
      <c r="AU36" s="3790"/>
      <c r="AV36" s="3790"/>
      <c r="AW36" s="3790"/>
      <c r="AX36" s="3790"/>
      <c r="AY36" s="3790"/>
      <c r="AZ36" s="3790"/>
      <c r="BA36" s="3790"/>
    </row>
    <row r="37" spans="2:55" s="69" customFormat="1" ht="21" hidden="1" customHeight="1" outlineLevel="2">
      <c r="C37" s="3769"/>
      <c r="D37" s="3771"/>
      <c r="E37" s="3427"/>
      <c r="F37" s="745"/>
      <c r="G37" s="3790"/>
      <c r="H37" s="3790"/>
      <c r="I37" s="3790"/>
      <c r="J37" s="3790"/>
      <c r="K37" s="3790"/>
      <c r="L37" s="3790"/>
      <c r="M37" s="3790"/>
      <c r="N37" s="3790"/>
      <c r="O37" s="3790"/>
      <c r="P37" s="3790"/>
      <c r="Q37" s="3790"/>
      <c r="R37" s="3790"/>
      <c r="S37" s="3790"/>
      <c r="T37" s="3790"/>
      <c r="U37" s="3790"/>
      <c r="V37" s="3790"/>
      <c r="W37" s="3790"/>
      <c r="X37" s="3790"/>
      <c r="Y37" s="3790"/>
      <c r="Z37" s="3790"/>
      <c r="AA37" s="3790"/>
      <c r="AB37" s="3790"/>
      <c r="AC37" s="3790"/>
      <c r="AD37" s="3790"/>
      <c r="AE37" s="3790"/>
      <c r="AF37" s="3790"/>
      <c r="AG37" s="3790"/>
      <c r="AH37" s="3790"/>
      <c r="AI37" s="3790"/>
      <c r="AJ37" s="3790"/>
      <c r="AK37" s="3790"/>
      <c r="AL37" s="3790"/>
      <c r="AM37" s="3790"/>
      <c r="AN37" s="3790"/>
      <c r="AO37" s="3790"/>
      <c r="AP37" s="3790"/>
      <c r="AQ37" s="3790"/>
      <c r="AR37" s="3790"/>
      <c r="AS37" s="3790"/>
      <c r="AT37" s="3790"/>
      <c r="AU37" s="3790"/>
      <c r="AV37" s="3790"/>
      <c r="AW37" s="3790"/>
      <c r="AX37" s="3790"/>
      <c r="AY37" s="3790"/>
      <c r="AZ37" s="3790"/>
      <c r="BA37" s="3790"/>
    </row>
    <row r="38" spans="2:55" s="69" customFormat="1" ht="21" hidden="1" customHeight="1" outlineLevel="2">
      <c r="C38" s="3769"/>
      <c r="D38" s="3771"/>
      <c r="E38" s="3427"/>
      <c r="F38" s="745"/>
      <c r="G38" s="3790"/>
      <c r="H38" s="3790"/>
      <c r="I38" s="3790"/>
      <c r="J38" s="3790"/>
      <c r="K38" s="3790"/>
      <c r="L38" s="3790"/>
      <c r="M38" s="3790"/>
      <c r="N38" s="3790"/>
      <c r="O38" s="3790"/>
      <c r="P38" s="3790"/>
      <c r="Q38" s="3790"/>
      <c r="R38" s="3790"/>
      <c r="S38" s="3790"/>
      <c r="T38" s="3790"/>
      <c r="U38" s="3790"/>
      <c r="V38" s="3790"/>
      <c r="W38" s="3790"/>
      <c r="X38" s="3790"/>
      <c r="Y38" s="3790"/>
      <c r="Z38" s="3790"/>
      <c r="AA38" s="3790"/>
      <c r="AB38" s="3790"/>
      <c r="AC38" s="3790"/>
      <c r="AD38" s="3790"/>
      <c r="AE38" s="3790"/>
      <c r="AF38" s="3790"/>
      <c r="AG38" s="3790"/>
      <c r="AH38" s="3790"/>
      <c r="AI38" s="3790"/>
      <c r="AJ38" s="3790"/>
      <c r="AK38" s="3790"/>
      <c r="AL38" s="3790"/>
      <c r="AM38" s="3790"/>
      <c r="AN38" s="3790"/>
      <c r="AO38" s="3790"/>
      <c r="AP38" s="3790"/>
      <c r="AQ38" s="3790"/>
      <c r="AR38" s="3790"/>
      <c r="AS38" s="3790"/>
      <c r="AT38" s="3790"/>
      <c r="AU38" s="3790"/>
      <c r="AV38" s="3790"/>
      <c r="AW38" s="3790"/>
      <c r="AX38" s="3790"/>
      <c r="AY38" s="3790"/>
      <c r="AZ38" s="3790"/>
      <c r="BA38" s="3790"/>
    </row>
    <row r="39" spans="2:55" s="69" customFormat="1" ht="21" hidden="1" customHeight="1" outlineLevel="2">
      <c r="C39" s="3769"/>
      <c r="D39" s="3771"/>
      <c r="E39" s="3427"/>
      <c r="F39" s="745"/>
      <c r="G39" s="3790"/>
      <c r="H39" s="3790"/>
      <c r="I39" s="3790"/>
      <c r="J39" s="3790"/>
      <c r="K39" s="3790"/>
      <c r="L39" s="3790"/>
      <c r="M39" s="3790"/>
      <c r="N39" s="3790"/>
      <c r="O39" s="3790"/>
      <c r="P39" s="3790"/>
      <c r="Q39" s="3790"/>
      <c r="R39" s="3790"/>
      <c r="S39" s="3790"/>
      <c r="T39" s="3790"/>
      <c r="U39" s="3790"/>
      <c r="V39" s="3790"/>
      <c r="W39" s="3790"/>
      <c r="X39" s="3790"/>
      <c r="Y39" s="3790"/>
      <c r="Z39" s="3790"/>
      <c r="AA39" s="3790"/>
      <c r="AB39" s="3790"/>
      <c r="AC39" s="3790"/>
      <c r="AD39" s="3790"/>
      <c r="AE39" s="3790"/>
      <c r="AF39" s="3790"/>
      <c r="AG39" s="3790"/>
      <c r="AH39" s="3790"/>
      <c r="AI39" s="3790"/>
      <c r="AJ39" s="3790"/>
      <c r="AK39" s="3790"/>
      <c r="AL39" s="3790"/>
      <c r="AM39" s="3790"/>
      <c r="AN39" s="3790"/>
      <c r="AO39" s="3790"/>
      <c r="AP39" s="3790"/>
      <c r="AQ39" s="3790"/>
      <c r="AR39" s="3790"/>
      <c r="AS39" s="3790"/>
      <c r="AT39" s="3790"/>
      <c r="AU39" s="3790"/>
      <c r="AV39" s="3790"/>
      <c r="AW39" s="3790"/>
      <c r="AX39" s="3790"/>
      <c r="AY39" s="3790"/>
      <c r="AZ39" s="3790"/>
      <c r="BA39" s="3790"/>
    </row>
    <row r="40" spans="2:55" s="69" customFormat="1" ht="21" hidden="1" customHeight="1" outlineLevel="2">
      <c r="C40" s="3769"/>
      <c r="D40" s="3771"/>
      <c r="E40" s="3427"/>
      <c r="F40" s="745"/>
      <c r="G40" s="3790"/>
      <c r="H40" s="3790"/>
      <c r="I40" s="3790"/>
      <c r="J40" s="3790"/>
      <c r="K40" s="3790"/>
      <c r="L40" s="3790"/>
      <c r="M40" s="3790"/>
      <c r="N40" s="3790"/>
      <c r="O40" s="3790"/>
      <c r="P40" s="3790"/>
      <c r="Q40" s="3790"/>
      <c r="R40" s="3790"/>
      <c r="S40" s="3790"/>
      <c r="T40" s="3790"/>
      <c r="U40" s="3790"/>
      <c r="V40" s="3790"/>
      <c r="W40" s="3790"/>
      <c r="X40" s="3790"/>
      <c r="Y40" s="3790"/>
      <c r="Z40" s="3790"/>
      <c r="AA40" s="3790"/>
      <c r="AB40" s="3790"/>
      <c r="AC40" s="3790"/>
      <c r="AD40" s="3790"/>
      <c r="AE40" s="3790"/>
      <c r="AF40" s="3790"/>
      <c r="AG40" s="3790"/>
      <c r="AH40" s="3790"/>
      <c r="AI40" s="3790"/>
      <c r="AJ40" s="3790"/>
      <c r="AK40" s="3790"/>
      <c r="AL40" s="3790"/>
      <c r="AM40" s="3790"/>
      <c r="AN40" s="3790"/>
      <c r="AO40" s="3790"/>
      <c r="AP40" s="3790"/>
      <c r="AQ40" s="3790"/>
      <c r="AR40" s="3790"/>
      <c r="AS40" s="3790"/>
      <c r="AT40" s="3790"/>
      <c r="AU40" s="3790"/>
      <c r="AV40" s="3790"/>
      <c r="AW40" s="3790"/>
      <c r="AX40" s="3790"/>
      <c r="AY40" s="3790"/>
      <c r="AZ40" s="3790"/>
      <c r="BA40" s="3790"/>
    </row>
    <row r="41" spans="2:55" s="69" customFormat="1" ht="21" hidden="1" customHeight="1" outlineLevel="2">
      <c r="C41" s="3769"/>
      <c r="D41" s="3771"/>
      <c r="E41" s="3427"/>
      <c r="F41" s="745"/>
      <c r="G41" s="3790"/>
      <c r="H41" s="3790"/>
      <c r="I41" s="3790"/>
      <c r="J41" s="3790"/>
      <c r="K41" s="3790"/>
      <c r="L41" s="3790"/>
      <c r="M41" s="3790"/>
      <c r="N41" s="3790"/>
      <c r="O41" s="3790"/>
      <c r="P41" s="3790"/>
      <c r="Q41" s="3790"/>
      <c r="R41" s="3790"/>
      <c r="S41" s="3790"/>
      <c r="T41" s="3790"/>
      <c r="U41" s="3790"/>
      <c r="V41" s="3790"/>
      <c r="W41" s="3790"/>
      <c r="X41" s="3790"/>
      <c r="Y41" s="3790"/>
      <c r="Z41" s="3790"/>
      <c r="AA41" s="3790"/>
      <c r="AB41" s="3790"/>
      <c r="AC41" s="3790"/>
      <c r="AD41" s="3790"/>
      <c r="AE41" s="3790"/>
      <c r="AF41" s="3790"/>
      <c r="AG41" s="3790"/>
      <c r="AH41" s="3790"/>
      <c r="AI41" s="3790"/>
      <c r="AJ41" s="3790"/>
      <c r="AK41" s="3790"/>
      <c r="AL41" s="3790"/>
      <c r="AM41" s="3790"/>
      <c r="AN41" s="3790"/>
      <c r="AO41" s="3790"/>
      <c r="AP41" s="3790"/>
      <c r="AQ41" s="3790"/>
      <c r="AR41" s="3790"/>
      <c r="AS41" s="3790"/>
      <c r="AT41" s="3790"/>
      <c r="AU41" s="3790"/>
      <c r="AV41" s="3790"/>
      <c r="AW41" s="3790"/>
      <c r="AX41" s="3790"/>
      <c r="AY41" s="3790"/>
      <c r="AZ41" s="3790"/>
      <c r="BA41" s="3790"/>
    </row>
    <row r="42" spans="2:55" s="69" customFormat="1" ht="21" hidden="1" customHeight="1" outlineLevel="2">
      <c r="C42" s="3769"/>
      <c r="D42" s="3771"/>
      <c r="E42" s="3427"/>
      <c r="F42" s="745"/>
      <c r="G42" s="3790"/>
      <c r="H42" s="3790"/>
      <c r="I42" s="3790"/>
      <c r="J42" s="3790"/>
      <c r="K42" s="3790"/>
      <c r="L42" s="3790"/>
      <c r="M42" s="3790"/>
      <c r="N42" s="3790"/>
      <c r="O42" s="3790"/>
      <c r="P42" s="3790"/>
      <c r="Q42" s="3790"/>
      <c r="R42" s="3790"/>
      <c r="S42" s="3790"/>
      <c r="T42" s="3790"/>
      <c r="U42" s="3790"/>
      <c r="V42" s="3790"/>
      <c r="W42" s="3790"/>
      <c r="X42" s="3790"/>
      <c r="Y42" s="3790"/>
      <c r="Z42" s="3790"/>
      <c r="AA42" s="3790"/>
      <c r="AB42" s="3790"/>
      <c r="AC42" s="3790"/>
      <c r="AD42" s="3790"/>
      <c r="AE42" s="3790"/>
      <c r="AF42" s="3790"/>
      <c r="AG42" s="3790"/>
      <c r="AH42" s="3790"/>
      <c r="AI42" s="3790"/>
      <c r="AJ42" s="3790"/>
      <c r="AK42" s="3790"/>
      <c r="AL42" s="3790"/>
      <c r="AM42" s="3790"/>
      <c r="AN42" s="3790"/>
      <c r="AO42" s="3790"/>
      <c r="AP42" s="3790"/>
      <c r="AQ42" s="3790"/>
      <c r="AR42" s="3790"/>
      <c r="AS42" s="3790"/>
      <c r="AT42" s="3790"/>
      <c r="AU42" s="3790"/>
      <c r="AV42" s="3790"/>
      <c r="AW42" s="3790"/>
      <c r="AX42" s="3790"/>
      <c r="AY42" s="3790"/>
      <c r="AZ42" s="3790"/>
      <c r="BA42" s="3790"/>
    </row>
    <row r="43" spans="2:55" s="69" customFormat="1" ht="21" hidden="1" customHeight="1" outlineLevel="2">
      <c r="C43" s="3769"/>
      <c r="D43" s="3771"/>
      <c r="E43" s="3427"/>
      <c r="F43" s="745"/>
      <c r="G43" s="3790"/>
      <c r="H43" s="3790"/>
      <c r="I43" s="3790"/>
      <c r="J43" s="3790"/>
      <c r="K43" s="3790"/>
      <c r="L43" s="3790"/>
      <c r="M43" s="3790"/>
      <c r="N43" s="3790"/>
      <c r="O43" s="3790"/>
      <c r="P43" s="3790"/>
      <c r="Q43" s="3790"/>
      <c r="R43" s="3790"/>
      <c r="S43" s="3790"/>
      <c r="T43" s="3790"/>
      <c r="U43" s="3790"/>
      <c r="V43" s="3790"/>
      <c r="W43" s="3790"/>
      <c r="X43" s="3790"/>
      <c r="Y43" s="3790"/>
      <c r="Z43" s="3790"/>
      <c r="AA43" s="3790"/>
      <c r="AB43" s="3790"/>
      <c r="AC43" s="3790"/>
      <c r="AD43" s="3790"/>
      <c r="AE43" s="3790"/>
      <c r="AF43" s="3790"/>
      <c r="AG43" s="3790"/>
      <c r="AH43" s="3790"/>
      <c r="AI43" s="3790"/>
      <c r="AJ43" s="3790"/>
      <c r="AK43" s="3790"/>
      <c r="AL43" s="3790"/>
      <c r="AM43" s="3790"/>
      <c r="AN43" s="3790"/>
      <c r="AO43" s="3790"/>
      <c r="AP43" s="3790"/>
      <c r="AQ43" s="3790"/>
      <c r="AR43" s="3790"/>
      <c r="AS43" s="3790"/>
      <c r="AT43" s="3790"/>
      <c r="AU43" s="3790"/>
      <c r="AV43" s="3790"/>
      <c r="AW43" s="3790"/>
      <c r="AX43" s="3790"/>
      <c r="AY43" s="3790"/>
      <c r="AZ43" s="3790"/>
      <c r="BA43" s="3790"/>
    </row>
    <row r="44" spans="2:55" s="69" customFormat="1" ht="21" hidden="1" customHeight="1" outlineLevel="2">
      <c r="C44" s="3769"/>
      <c r="D44" s="3770"/>
      <c r="E44" s="3427"/>
      <c r="F44" s="745"/>
      <c r="G44" s="605"/>
      <c r="H44" s="605"/>
      <c r="I44" s="605"/>
      <c r="J44" s="605"/>
      <c r="K44" s="605"/>
      <c r="L44" s="605"/>
      <c r="M44" s="605"/>
      <c r="N44" s="605"/>
      <c r="O44" s="605"/>
      <c r="P44" s="605"/>
      <c r="Q44" s="605"/>
      <c r="R44" s="605"/>
      <c r="S44" s="605"/>
      <c r="T44" s="605"/>
      <c r="U44" s="605"/>
      <c r="V44" s="605"/>
      <c r="W44" s="605"/>
      <c r="X44" s="605"/>
      <c r="Y44" s="605"/>
      <c r="Z44" s="605"/>
      <c r="AA44" s="605"/>
      <c r="AB44" s="605"/>
      <c r="AC44" s="605"/>
      <c r="AD44" s="605"/>
      <c r="AE44" s="605"/>
      <c r="AF44" s="605"/>
      <c r="AG44" s="605"/>
      <c r="AH44" s="605"/>
      <c r="AI44" s="605"/>
      <c r="AJ44" s="605"/>
      <c r="AK44" s="605"/>
      <c r="AL44" s="605"/>
      <c r="AM44" s="605"/>
      <c r="AN44" s="605"/>
      <c r="AO44" s="605"/>
      <c r="AP44" s="605"/>
      <c r="AQ44" s="605"/>
      <c r="AR44" s="605"/>
      <c r="AS44" s="605"/>
      <c r="AT44" s="605"/>
      <c r="AU44" s="605"/>
      <c r="AV44" s="605"/>
      <c r="AW44" s="605"/>
      <c r="AX44" s="605"/>
      <c r="AY44" s="605"/>
      <c r="AZ44" s="605"/>
      <c r="BA44" s="605"/>
    </row>
    <row r="45" spans="2:55" s="69" customFormat="1" hidden="1" outlineLevel="2">
      <c r="B45" s="605"/>
      <c r="C45" s="605"/>
      <c r="D45" s="605"/>
      <c r="E45" s="605"/>
      <c r="F45" s="745"/>
      <c r="G45" s="605"/>
      <c r="H45" s="605"/>
      <c r="I45" s="605"/>
      <c r="J45" s="605"/>
      <c r="K45" s="605"/>
      <c r="L45" s="605"/>
      <c r="M45" s="605"/>
      <c r="N45" s="605"/>
      <c r="O45" s="605"/>
      <c r="P45" s="605"/>
      <c r="Q45" s="605"/>
      <c r="R45" s="605"/>
      <c r="S45" s="605"/>
      <c r="T45" s="605"/>
      <c r="U45" s="547"/>
      <c r="V45" s="605"/>
      <c r="W45" s="605"/>
      <c r="X45" s="605"/>
      <c r="Y45" s="605"/>
      <c r="Z45" s="605"/>
      <c r="AA45" s="605"/>
      <c r="AB45" s="605"/>
      <c r="AC45" s="605"/>
      <c r="AD45" s="605"/>
      <c r="AE45" s="605"/>
      <c r="AF45" s="605"/>
      <c r="AG45" s="605"/>
      <c r="AH45" s="605"/>
      <c r="AI45" s="605"/>
      <c r="AJ45" s="605"/>
      <c r="AK45" s="605"/>
      <c r="AL45" s="605"/>
      <c r="AM45" s="605"/>
      <c r="AN45" s="605"/>
      <c r="AO45" s="605"/>
      <c r="AP45" s="605"/>
      <c r="AQ45" s="605"/>
      <c r="AR45" s="605"/>
      <c r="AS45" s="605"/>
      <c r="AT45" s="605"/>
      <c r="AU45" s="605"/>
      <c r="AV45" s="605"/>
      <c r="AW45" s="605"/>
      <c r="AX45" s="605"/>
      <c r="AY45" s="605"/>
      <c r="AZ45" s="605"/>
      <c r="BA45" s="605"/>
    </row>
    <row r="46" spans="2:55" s="69" customFormat="1" hidden="1" outlineLevel="1" collapsed="1">
      <c r="B46" s="605"/>
      <c r="C46" s="605"/>
      <c r="D46" s="605"/>
      <c r="E46" s="605"/>
      <c r="F46" s="605"/>
      <c r="G46" s="605"/>
      <c r="H46" s="605"/>
      <c r="I46" s="605"/>
      <c r="J46" s="605"/>
      <c r="K46" s="605"/>
      <c r="L46" s="605"/>
      <c r="M46" s="605"/>
      <c r="N46" s="605"/>
      <c r="O46" s="605"/>
      <c r="P46" s="605"/>
      <c r="Q46" s="605"/>
      <c r="R46" s="605"/>
      <c r="S46" s="605"/>
      <c r="T46" s="605"/>
      <c r="U46" s="547"/>
      <c r="V46" s="605"/>
      <c r="W46" s="605"/>
      <c r="X46" s="605"/>
      <c r="Y46" s="605"/>
      <c r="Z46" s="605"/>
      <c r="AA46" s="605"/>
      <c r="AB46" s="605"/>
      <c r="AC46" s="605"/>
      <c r="AD46" s="605"/>
      <c r="AE46" s="605"/>
      <c r="AF46" s="605"/>
      <c r="AG46" s="605"/>
      <c r="AH46" s="605"/>
      <c r="AI46" s="605"/>
      <c r="AJ46" s="605"/>
      <c r="AK46" s="605"/>
      <c r="AL46" s="605"/>
      <c r="AM46" s="605"/>
      <c r="AN46" s="605"/>
      <c r="AO46" s="605"/>
      <c r="AP46" s="605"/>
      <c r="AQ46" s="605"/>
      <c r="AR46" s="605"/>
      <c r="AS46" s="605"/>
      <c r="AT46" s="605"/>
      <c r="AU46" s="605"/>
      <c r="AV46" s="605"/>
      <c r="AW46" s="605"/>
      <c r="AX46" s="605"/>
      <c r="AY46" s="605"/>
      <c r="AZ46" s="605"/>
      <c r="BA46" s="605"/>
      <c r="BB46" s="69" t="s">
        <v>2864</v>
      </c>
    </row>
    <row r="47" spans="2:55" s="69" customFormat="1" hidden="1" outlineLevel="1">
      <c r="B47" s="3428" t="s">
        <v>3403</v>
      </c>
      <c r="C47" s="3429"/>
      <c r="D47" s="743"/>
      <c r="E47" s="743"/>
      <c r="F47" s="3775">
        <v>1.05</v>
      </c>
      <c r="G47" s="2986" t="s">
        <v>860</v>
      </c>
      <c r="H47" s="2986" t="s">
        <v>860</v>
      </c>
      <c r="I47" s="2986" t="s">
        <v>860</v>
      </c>
      <c r="J47" s="2986" t="s">
        <v>860</v>
      </c>
      <c r="K47" s="2986" t="s">
        <v>860</v>
      </c>
      <c r="L47" s="2986" t="s">
        <v>969</v>
      </c>
      <c r="M47" s="2986" t="s">
        <v>969</v>
      </c>
      <c r="N47" s="2986" t="s">
        <v>863</v>
      </c>
      <c r="O47" s="2986" t="s">
        <v>863</v>
      </c>
      <c r="P47" s="2987" t="s">
        <v>2578</v>
      </c>
      <c r="Q47" s="2986" t="s">
        <v>840</v>
      </c>
      <c r="R47" s="2987" t="s">
        <v>2578</v>
      </c>
      <c r="S47" s="2986" t="s">
        <v>3062</v>
      </c>
      <c r="T47" s="2986" t="s">
        <v>3062</v>
      </c>
      <c r="U47" s="2986" t="s">
        <v>3062</v>
      </c>
      <c r="V47" s="2986" t="s">
        <v>2773</v>
      </c>
      <c r="W47" s="2987"/>
      <c r="X47" s="2557" t="s">
        <v>2286</v>
      </c>
      <c r="Y47" s="2557" t="s">
        <v>2286</v>
      </c>
      <c r="Z47" s="2557"/>
      <c r="AA47" s="2557"/>
      <c r="AC47" s="2557"/>
      <c r="AD47" s="2557"/>
      <c r="AE47" s="2557"/>
      <c r="AF47" s="2987"/>
      <c r="AG47" s="2557"/>
      <c r="AH47" s="2557"/>
      <c r="AI47" s="2557"/>
      <c r="AJ47" s="2557"/>
      <c r="AK47" s="2557"/>
      <c r="AL47" s="2557"/>
      <c r="AM47" s="2557"/>
      <c r="AN47" s="2557"/>
      <c r="AO47" s="2557"/>
      <c r="AP47" s="2557"/>
      <c r="AQ47" s="2557"/>
      <c r="AR47" s="2557"/>
      <c r="AS47" s="2557"/>
      <c r="AT47" s="2557"/>
      <c r="AU47" s="2557"/>
      <c r="AV47" s="2557"/>
      <c r="AW47" s="2557"/>
      <c r="AX47" s="2557"/>
      <c r="AY47" s="2557"/>
      <c r="AZ47" s="2986" t="s">
        <v>3063</v>
      </c>
      <c r="BA47" s="2557"/>
      <c r="BB47" s="2557" t="s">
        <v>860</v>
      </c>
      <c r="BC47" s="69" t="s">
        <v>3303</v>
      </c>
    </row>
    <row r="48" spans="2:55" s="813" customFormat="1" ht="36" hidden="1" outlineLevel="3" collapsed="1">
      <c r="C48" s="750"/>
      <c r="D48" s="818"/>
      <c r="E48" s="2570"/>
      <c r="F48" s="2520" t="s">
        <v>1401</v>
      </c>
      <c r="G48" s="814" t="s">
        <v>1136</v>
      </c>
      <c r="H48" s="814" t="s">
        <v>2533</v>
      </c>
      <c r="I48" s="988" t="s">
        <v>2538</v>
      </c>
      <c r="J48" s="814" t="s">
        <v>2539</v>
      </c>
      <c r="K48" s="814" t="s">
        <v>2555</v>
      </c>
      <c r="L48" s="807" t="s">
        <v>2540</v>
      </c>
      <c r="M48" s="807" t="s">
        <v>2541</v>
      </c>
      <c r="N48" s="2534" t="s">
        <v>2535</v>
      </c>
      <c r="O48" s="807" t="s">
        <v>2531</v>
      </c>
      <c r="P48" s="2534" t="s">
        <v>2536</v>
      </c>
      <c r="Q48" s="817" t="s">
        <v>2530</v>
      </c>
      <c r="R48" s="2534" t="s">
        <v>2537</v>
      </c>
      <c r="S48" s="807" t="s">
        <v>1672</v>
      </c>
      <c r="T48" s="807" t="s">
        <v>2546</v>
      </c>
      <c r="U48" s="815" t="s">
        <v>2547</v>
      </c>
      <c r="V48" s="814" t="s">
        <v>2529</v>
      </c>
      <c r="W48" s="816" t="s">
        <v>2528</v>
      </c>
      <c r="X48" s="814" t="s">
        <v>2577</v>
      </c>
      <c r="Y48" s="807" t="s">
        <v>1078</v>
      </c>
      <c r="Z48" s="814" t="s">
        <v>1117</v>
      </c>
      <c r="AA48" s="2519" t="s">
        <v>1122</v>
      </c>
      <c r="AB48" s="807" t="s">
        <v>1130</v>
      </c>
      <c r="AC48" s="814" t="s">
        <v>1125</v>
      </c>
      <c r="AD48" s="814" t="s">
        <v>1126</v>
      </c>
      <c r="AE48" s="814" t="s">
        <v>2532</v>
      </c>
      <c r="AF48" s="824" t="s">
        <v>1099</v>
      </c>
      <c r="AG48" s="824" t="s">
        <v>1098</v>
      </c>
      <c r="AH48" s="824" t="s">
        <v>1100</v>
      </c>
      <c r="AI48" s="824" t="s">
        <v>1103</v>
      </c>
      <c r="AJ48" s="824" t="s">
        <v>1698</v>
      </c>
      <c r="AK48" s="824" t="s">
        <v>1701</v>
      </c>
      <c r="AL48" s="824" t="s">
        <v>2566</v>
      </c>
      <c r="AM48" s="824" t="s">
        <v>2567</v>
      </c>
      <c r="AN48" s="814" t="s">
        <v>2314</v>
      </c>
      <c r="AO48" s="807" t="s">
        <v>2542</v>
      </c>
      <c r="AP48" s="807" t="s">
        <v>3064</v>
      </c>
      <c r="AQ48" s="2519" t="s">
        <v>2545</v>
      </c>
      <c r="AR48" s="817" t="s">
        <v>2544</v>
      </c>
      <c r="AS48" s="2519" t="s">
        <v>1145</v>
      </c>
      <c r="AT48" s="814" t="s">
        <v>1150</v>
      </c>
      <c r="AU48" s="814" t="s">
        <v>2560</v>
      </c>
      <c r="AV48" s="2519" t="s">
        <v>2558</v>
      </c>
      <c r="AW48" s="2519" t="s">
        <v>2549</v>
      </c>
      <c r="AX48" s="2906" t="s">
        <v>2779</v>
      </c>
      <c r="AY48" s="814" t="s">
        <v>743</v>
      </c>
      <c r="AZ48" s="883" t="s">
        <v>1376</v>
      </c>
      <c r="BA48" s="807" t="s">
        <v>441</v>
      </c>
      <c r="BB48" s="3236" t="s">
        <v>3061</v>
      </c>
      <c r="BC48" s="3710" t="s">
        <v>3302</v>
      </c>
    </row>
    <row r="49" spans="1:56" s="813" customFormat="1" ht="36" hidden="1" outlineLevel="3">
      <c r="C49" s="750"/>
      <c r="D49" s="2529"/>
      <c r="E49" s="2570"/>
      <c r="F49" s="2528"/>
      <c r="G49" s="2536"/>
      <c r="H49" s="807" t="s">
        <v>2550</v>
      </c>
      <c r="I49" s="807" t="s">
        <v>2551</v>
      </c>
      <c r="J49" s="807" t="s">
        <v>2554</v>
      </c>
      <c r="K49" s="807" t="s">
        <v>2554</v>
      </c>
      <c r="L49" s="807" t="s">
        <v>2552</v>
      </c>
      <c r="M49" s="807" t="s">
        <v>3392</v>
      </c>
      <c r="N49" s="807" t="s">
        <v>2778</v>
      </c>
      <c r="O49" s="807" t="s">
        <v>2553</v>
      </c>
      <c r="P49" s="807"/>
      <c r="Q49" s="2537"/>
      <c r="R49" s="2535"/>
      <c r="S49" s="2526"/>
      <c r="T49" s="2526"/>
      <c r="U49" s="2558"/>
      <c r="V49" s="2536"/>
      <c r="W49" s="2538"/>
      <c r="X49" s="2536"/>
      <c r="Y49" s="2526" t="s">
        <v>2780</v>
      </c>
      <c r="Z49" s="807" t="s">
        <v>2562</v>
      </c>
      <c r="AA49" s="807" t="s">
        <v>2563</v>
      </c>
      <c r="AB49" s="807" t="s">
        <v>2564</v>
      </c>
      <c r="AC49" s="807" t="s">
        <v>2565</v>
      </c>
      <c r="AD49" s="807" t="s">
        <v>2565</v>
      </c>
      <c r="AE49" s="2536"/>
      <c r="AF49" s="2560"/>
      <c r="AG49" s="2560"/>
      <c r="AH49" s="2560"/>
      <c r="AI49" s="2560"/>
      <c r="AJ49" s="2560"/>
      <c r="AK49" s="2560"/>
      <c r="AL49" s="2560"/>
      <c r="AM49" s="2560"/>
      <c r="AN49" s="2536"/>
      <c r="AO49" s="2526"/>
      <c r="AP49" s="2526"/>
      <c r="AQ49" s="2536">
        <v>6750</v>
      </c>
      <c r="AR49" s="2537"/>
      <c r="AS49" s="2536">
        <v>10000</v>
      </c>
      <c r="AT49" s="2536"/>
      <c r="AU49" s="807" t="s">
        <v>2557</v>
      </c>
      <c r="AV49" s="807" t="s">
        <v>2559</v>
      </c>
      <c r="AW49" s="807" t="s">
        <v>2561</v>
      </c>
      <c r="AX49" s="807" t="s">
        <v>2556</v>
      </c>
      <c r="AY49" s="807"/>
      <c r="AZ49" s="807" t="s">
        <v>2554</v>
      </c>
      <c r="BA49" s="3234"/>
      <c r="BB49" s="2536">
        <v>2800</v>
      </c>
      <c r="BC49" s="3710" t="s">
        <v>3304</v>
      </c>
    </row>
    <row r="50" spans="1:56" s="813" customFormat="1" hidden="1" outlineLevel="3">
      <c r="C50" s="750"/>
      <c r="E50" s="2570"/>
      <c r="F50" s="2528"/>
      <c r="H50" s="2536">
        <v>1000</v>
      </c>
      <c r="I50" s="2536">
        <v>4300</v>
      </c>
      <c r="J50" s="2536">
        <v>3800</v>
      </c>
      <c r="K50" s="2536">
        <v>5500</v>
      </c>
      <c r="L50" s="2526">
        <v>600</v>
      </c>
      <c r="M50" s="2526">
        <v>3950</v>
      </c>
      <c r="N50" s="2526">
        <v>1000</v>
      </c>
      <c r="O50" s="2526">
        <v>1000</v>
      </c>
      <c r="P50" s="2535"/>
      <c r="Q50" s="2537"/>
      <c r="R50" s="2535"/>
      <c r="S50" s="2526"/>
      <c r="T50" s="2526"/>
      <c r="U50" s="2558">
        <v>3000</v>
      </c>
      <c r="V50" s="2536"/>
      <c r="W50" s="2538"/>
      <c r="X50" s="2536"/>
      <c r="Y50" s="2526">
        <v>5200</v>
      </c>
      <c r="Z50" s="2561">
        <v>-0.15</v>
      </c>
      <c r="AA50" s="2559">
        <v>5200</v>
      </c>
      <c r="AB50" s="2561">
        <v>0.06</v>
      </c>
      <c r="AC50" s="2536">
        <v>1500</v>
      </c>
      <c r="AD50" s="2536">
        <v>1000</v>
      </c>
      <c r="AE50" s="2536"/>
      <c r="AF50" s="2560"/>
      <c r="AG50" s="2536">
        <v>600</v>
      </c>
      <c r="AH50" s="2536">
        <v>500</v>
      </c>
      <c r="AI50" s="2536">
        <v>2800</v>
      </c>
      <c r="AJ50" s="2536">
        <v>6200</v>
      </c>
      <c r="AK50" s="2536"/>
      <c r="AL50" s="2536">
        <v>6500</v>
      </c>
      <c r="AM50" s="2536">
        <v>8500</v>
      </c>
      <c r="AN50" s="2536"/>
      <c r="AO50" s="2526"/>
      <c r="AP50" s="2526"/>
      <c r="AQ50" s="2536"/>
      <c r="AR50" s="2537"/>
      <c r="AS50" s="2536"/>
      <c r="AT50" s="2536"/>
      <c r="AU50" s="2536">
        <v>10000</v>
      </c>
      <c r="AV50" s="2536">
        <v>2200</v>
      </c>
      <c r="AW50" s="2536">
        <v>7500</v>
      </c>
      <c r="AX50" s="2536">
        <v>7500</v>
      </c>
      <c r="AY50" s="2536"/>
      <c r="AZ50" s="2536">
        <v>13700</v>
      </c>
      <c r="BA50" s="3234"/>
      <c r="BB50" s="3238"/>
      <c r="BC50" s="3710"/>
    </row>
    <row r="51" spans="1:56" s="68" customFormat="1" ht="15" hidden="1" customHeight="1" outlineLevel="3">
      <c r="A51" s="68">
        <v>1</v>
      </c>
      <c r="B51" s="823" t="s">
        <v>360</v>
      </c>
      <c r="C51" s="2550" t="str">
        <f>B51</f>
        <v>Грунт</v>
      </c>
      <c r="D51" s="3520">
        <v>0.64</v>
      </c>
      <c r="E51" s="3239"/>
      <c r="F51" s="3239"/>
      <c r="G51" s="548">
        <f>CEILING(D51*G54,50)</f>
        <v>13550</v>
      </c>
      <c r="H51" s="592"/>
      <c r="I51" s="592"/>
      <c r="J51" s="592"/>
      <c r="K51" s="592"/>
      <c r="L51" s="592"/>
      <c r="M51" s="592"/>
      <c r="N51" s="2549"/>
      <c r="O51" s="592"/>
      <c r="P51" s="2549"/>
      <c r="Q51" s="592"/>
      <c r="R51" s="2549"/>
      <c r="S51" s="592"/>
      <c r="T51" s="592"/>
      <c r="U51" s="592"/>
      <c r="V51" s="592"/>
      <c r="W51" s="592"/>
      <c r="X51" s="592"/>
      <c r="Y51" s="592"/>
      <c r="Z51" s="592"/>
      <c r="AA51" s="592"/>
      <c r="AB51" s="592"/>
      <c r="AC51" s="592"/>
      <c r="AD51" s="592"/>
      <c r="AE51" s="592"/>
      <c r="AF51" s="548"/>
      <c r="AG51" s="592"/>
      <c r="AH51" s="592"/>
      <c r="AI51" s="592"/>
      <c r="AJ51" s="592"/>
      <c r="AK51" s="592"/>
      <c r="AL51" s="2549"/>
      <c r="AM51" s="2549"/>
      <c r="AN51" s="592"/>
      <c r="AO51" s="592"/>
      <c r="AP51" s="592"/>
      <c r="AQ51" s="2549"/>
      <c r="AR51" s="592"/>
      <c r="AS51" s="592"/>
      <c r="AT51" s="592"/>
      <c r="AU51" s="592"/>
      <c r="AV51" s="2549"/>
      <c r="AW51" s="2549"/>
      <c r="AX51" s="592"/>
      <c r="AY51" s="592"/>
      <c r="AZ51" s="592"/>
      <c r="BA51" s="3235"/>
      <c r="BB51" s="3239"/>
      <c r="BC51" s="2963">
        <v>21850</v>
      </c>
    </row>
    <row r="52" spans="1:56" s="68" customFormat="1" hidden="1" outlineLevel="3">
      <c r="A52" s="68">
        <v>2</v>
      </c>
      <c r="B52" s="823" t="s">
        <v>1425</v>
      </c>
      <c r="C52" s="2518" t="s">
        <v>2418</v>
      </c>
      <c r="D52" s="3521">
        <v>0.65</v>
      </c>
      <c r="E52" s="2530"/>
      <c r="F52" s="2551"/>
      <c r="G52" s="548">
        <f>CEILING(G54*$D$52, 50)</f>
        <v>13750</v>
      </c>
      <c r="H52" s="2556">
        <f>CEILING((G54*D52)+$H$50, 50)</f>
        <v>14750</v>
      </c>
      <c r="I52" s="2556">
        <f>CEILING(G52+$I$50, 50)</f>
        <v>18050</v>
      </c>
      <c r="J52" s="2556">
        <f>CEILING(G52+$J$50, 50)</f>
        <v>17550</v>
      </c>
      <c r="K52" s="2556">
        <f>CEILING(G52+$K$50, 50)</f>
        <v>19250</v>
      </c>
      <c r="L52" s="2556"/>
      <c r="M52" s="548"/>
      <c r="N52" s="2556"/>
      <c r="O52" s="2622"/>
      <c r="P52" s="2552"/>
      <c r="Q52" s="592"/>
      <c r="R52" s="2552"/>
      <c r="S52" s="592"/>
      <c r="T52" s="592"/>
      <c r="U52" s="592"/>
      <c r="V52" s="592"/>
      <c r="W52" s="592"/>
      <c r="X52" s="592"/>
      <c r="Y52" s="592"/>
      <c r="Z52" s="592"/>
      <c r="AA52" s="548"/>
      <c r="AB52" s="548"/>
      <c r="AC52" s="592"/>
      <c r="AD52" s="548"/>
      <c r="AE52" s="592"/>
      <c r="AF52" s="548"/>
      <c r="AG52" s="592"/>
      <c r="AH52" s="592"/>
      <c r="AI52" s="592"/>
      <c r="AJ52" s="592"/>
      <c r="AK52" s="592"/>
      <c r="AL52" s="2549"/>
      <c r="AM52" s="2549"/>
      <c r="AN52" s="592"/>
      <c r="AO52" s="592"/>
      <c r="AP52" s="592"/>
      <c r="AQ52" s="2549"/>
      <c r="AR52" s="592"/>
      <c r="AS52" s="592"/>
      <c r="AT52" s="592"/>
      <c r="AU52" s="592"/>
      <c r="AV52" s="2549"/>
      <c r="AW52" s="2549"/>
      <c r="AX52" s="592"/>
      <c r="AY52" s="592"/>
      <c r="AZ52" s="2556">
        <f>G52+$AZ$50</f>
        <v>27450</v>
      </c>
      <c r="BA52" s="3235"/>
      <c r="BB52" s="3239">
        <f t="shared" ref="BB52:BB57" si="20">CEILING(G52+$BB$49, 50)</f>
        <v>16550</v>
      </c>
      <c r="BC52" s="2963"/>
    </row>
    <row r="53" spans="1:56" s="68" customFormat="1" hidden="1" outlineLevel="3">
      <c r="A53" s="68">
        <v>3</v>
      </c>
      <c r="B53" s="823" t="s">
        <v>1425</v>
      </c>
      <c r="C53" s="2541" t="s">
        <v>2419</v>
      </c>
      <c r="D53" s="2553">
        <v>0.77</v>
      </c>
      <c r="E53" s="2553"/>
      <c r="F53" s="2554"/>
      <c r="G53" s="548">
        <f>CEILING(G54*$D$53, 50)</f>
        <v>16250</v>
      </c>
      <c r="H53" s="2556">
        <f>CEILING((G54*D53)+$H$50, 50)</f>
        <v>17250</v>
      </c>
      <c r="I53" s="2556">
        <f>CEILING(G53+$I$50, 50)</f>
        <v>20550</v>
      </c>
      <c r="J53" s="2556">
        <f>CEILING(G53+$J$50, 50)</f>
        <v>20050</v>
      </c>
      <c r="K53" s="2556">
        <f>CEILING(G53+$K$50, 50)</f>
        <v>21750</v>
      </c>
      <c r="L53" s="2556"/>
      <c r="M53" s="2549">
        <v>14300</v>
      </c>
      <c r="N53" s="2556"/>
      <c r="O53" s="2552"/>
      <c r="P53" s="2552"/>
      <c r="Q53" s="2549"/>
      <c r="R53" s="2552"/>
      <c r="S53" s="2549"/>
      <c r="T53" s="2549"/>
      <c r="U53" s="2549"/>
      <c r="V53" s="2549"/>
      <c r="W53" s="2549"/>
      <c r="X53" s="2549"/>
      <c r="Y53" s="2549"/>
      <c r="Z53" s="2549"/>
      <c r="AA53" s="2552"/>
      <c r="AB53" s="2552"/>
      <c r="AC53" s="2549"/>
      <c r="AD53" s="2552"/>
      <c r="AE53" s="2549"/>
      <c r="AF53" s="2552"/>
      <c r="AG53" s="2549"/>
      <c r="AH53" s="2549"/>
      <c r="AI53" s="2549"/>
      <c r="AJ53" s="2549"/>
      <c r="AK53" s="2549"/>
      <c r="AL53" s="2549"/>
      <c r="AM53" s="2549"/>
      <c r="AN53" s="2549"/>
      <c r="AO53" s="2549"/>
      <c r="AP53" s="2549"/>
      <c r="AQ53" s="2549"/>
      <c r="AR53" s="2549"/>
      <c r="AS53" s="2549"/>
      <c r="AT53" s="2549"/>
      <c r="AU53" s="2549"/>
      <c r="AV53" s="2549"/>
      <c r="AW53" s="2549"/>
      <c r="AX53" s="2549"/>
      <c r="AY53" s="2549"/>
      <c r="AZ53" s="2556">
        <f>G53+$AZ$50</f>
        <v>29950</v>
      </c>
      <c r="BA53" s="3235"/>
      <c r="BB53" s="3239">
        <f t="shared" si="20"/>
        <v>19050</v>
      </c>
      <c r="BC53" s="2963"/>
      <c r="BD53" s="441"/>
    </row>
    <row r="54" spans="1:56" s="68" customFormat="1" hidden="1" outlineLevel="3">
      <c r="A54" s="68">
        <v>4</v>
      </c>
      <c r="B54" s="823" t="s">
        <v>30</v>
      </c>
      <c r="C54" s="2518" t="s">
        <v>284</v>
      </c>
      <c r="D54" s="794">
        <v>1</v>
      </c>
      <c r="E54" s="2571"/>
      <c r="F54" s="2551"/>
      <c r="G54" s="2546">
        <f>G66</f>
        <v>21100</v>
      </c>
      <c r="H54" s="2622">
        <f>O66</f>
        <v>22100</v>
      </c>
      <c r="I54" s="2622">
        <f>Q66</f>
        <v>24700</v>
      </c>
      <c r="J54" s="2622">
        <f>R66</f>
        <v>25950</v>
      </c>
      <c r="K54" s="2622">
        <f>S66</f>
        <v>26600</v>
      </c>
      <c r="L54" s="2622">
        <f>U66</f>
        <v>21750</v>
      </c>
      <c r="M54" s="2546">
        <f>V66</f>
        <v>25300</v>
      </c>
      <c r="N54" s="2548">
        <f>CEILING(L54+N50,50)</f>
        <v>22750</v>
      </c>
      <c r="O54" s="2546">
        <f>N54+O50</f>
        <v>23750</v>
      </c>
      <c r="P54" s="2548">
        <f>Y66</f>
        <v>24150</v>
      </c>
      <c r="Q54" s="2546">
        <f>Z66</f>
        <v>27100</v>
      </c>
      <c r="R54" s="2548">
        <f>AA66</f>
        <v>27700</v>
      </c>
      <c r="S54" s="2546">
        <f>T54</f>
        <v>31900</v>
      </c>
      <c r="T54" s="2546">
        <f>AI66</f>
        <v>31900</v>
      </c>
      <c r="U54" s="2547">
        <f>T54+U50</f>
        <v>34900</v>
      </c>
      <c r="V54" s="2546">
        <f>AB66</f>
        <v>33700</v>
      </c>
      <c r="W54" s="2546">
        <f>AC66</f>
        <v>38450</v>
      </c>
      <c r="X54" s="3442">
        <f>CEILING(X55*0.95,50)</f>
        <v>20900</v>
      </c>
      <c r="Y54" s="592"/>
      <c r="Z54" s="3442">
        <f>CEILING(X54*(1-$Z$50), 50)</f>
        <v>24050</v>
      </c>
      <c r="AA54" s="548">
        <f>AS66</f>
        <v>23550</v>
      </c>
      <c r="AB54" s="592">
        <f>AT66</f>
        <v>26050</v>
      </c>
      <c r="AC54" s="592"/>
      <c r="AD54" s="592"/>
      <c r="AE54" s="548">
        <f>AD66</f>
        <v>30100</v>
      </c>
      <c r="AF54" s="592"/>
      <c r="AG54" s="592"/>
      <c r="AH54" s="592"/>
      <c r="AI54" s="592"/>
      <c r="AJ54" s="592"/>
      <c r="AK54" s="592"/>
      <c r="AL54" s="2549"/>
      <c r="AM54" s="2549"/>
      <c r="AN54" s="548">
        <f>AF66</f>
        <v>36600</v>
      </c>
      <c r="AO54" s="548">
        <f>AE66</f>
        <v>43150</v>
      </c>
      <c r="AP54" s="548">
        <f>AG66</f>
        <v>47350</v>
      </c>
      <c r="AQ54" s="2552">
        <f>AJ66</f>
        <v>44700</v>
      </c>
      <c r="AR54" s="548">
        <f>AH66</f>
        <v>53950</v>
      </c>
      <c r="AS54" s="548">
        <f>AK66</f>
        <v>59300</v>
      </c>
      <c r="AT54" s="592">
        <f>AS54</f>
        <v>59300</v>
      </c>
      <c r="AU54" s="592"/>
      <c r="AV54" s="2549"/>
      <c r="AW54" s="2988">
        <f>AY54</f>
        <v>35450</v>
      </c>
      <c r="AX54" s="2546">
        <f>G54+AX50</f>
        <v>28600</v>
      </c>
      <c r="AY54" s="2546">
        <f>AL66</f>
        <v>35450</v>
      </c>
      <c r="AZ54" s="2546">
        <f>T66</f>
        <v>39000</v>
      </c>
      <c r="BA54" s="3443">
        <f>AM66</f>
        <v>53300</v>
      </c>
      <c r="BB54" s="3796">
        <f t="shared" si="20"/>
        <v>23900</v>
      </c>
      <c r="BC54" s="3711"/>
    </row>
    <row r="55" spans="1:56" s="68" customFormat="1" hidden="1" outlineLevel="3">
      <c r="A55" s="68">
        <v>5</v>
      </c>
      <c r="B55" s="823" t="s">
        <v>1019</v>
      </c>
      <c r="C55" s="2550" t="s">
        <v>2569</v>
      </c>
      <c r="D55" s="795">
        <v>1.05</v>
      </c>
      <c r="E55" s="2572">
        <v>1</v>
      </c>
      <c r="F55" s="2551">
        <v>0.03</v>
      </c>
      <c r="G55" s="548">
        <f>CEILING(G54*$D$55, 50)</f>
        <v>22200</v>
      </c>
      <c r="H55" s="2556">
        <f>CEILING((G54*D55)+$H$50, 50)</f>
        <v>23200</v>
      </c>
      <c r="I55" s="2556">
        <f>CEILING(G55+$I$50, 50)</f>
        <v>26500</v>
      </c>
      <c r="J55" s="2556">
        <f>CEILING(G55+$J$50, 50)</f>
        <v>26000</v>
      </c>
      <c r="K55" s="2556">
        <f>CEILING(G55+$K$50, 50)</f>
        <v>27700</v>
      </c>
      <c r="L55" s="548"/>
      <c r="M55" s="548"/>
      <c r="N55" s="548"/>
      <c r="O55" s="548"/>
      <c r="P55" s="548"/>
      <c r="Q55" s="548"/>
      <c r="R55" s="548"/>
      <c r="S55" s="548"/>
      <c r="T55" s="548"/>
      <c r="U55" s="548"/>
      <c r="V55" s="548"/>
      <c r="W55" s="548"/>
      <c r="X55" s="548">
        <f>AN67</f>
        <v>22000</v>
      </c>
      <c r="Y55" s="548">
        <f>AO67</f>
        <v>27200</v>
      </c>
      <c r="Z55" s="592">
        <f>AR67</f>
        <v>19900</v>
      </c>
      <c r="AA55" s="548">
        <f>Z55+$AA$50</f>
        <v>25100</v>
      </c>
      <c r="AB55" s="592">
        <f>CEILING(AA55*(1+$AB$50), 50)</f>
        <v>26650</v>
      </c>
      <c r="AC55" s="592">
        <f>AP67</f>
        <v>23500</v>
      </c>
      <c r="AD55" s="592">
        <f>AQ67</f>
        <v>23000</v>
      </c>
      <c r="AE55" s="548"/>
      <c r="AF55" s="548">
        <f>AU67</f>
        <v>29950</v>
      </c>
      <c r="AG55" s="2556">
        <f>AF55+AG50</f>
        <v>30550</v>
      </c>
      <c r="AH55" s="2556">
        <f>AG55+AH50</f>
        <v>31050</v>
      </c>
      <c r="AI55" s="2556">
        <f>AG55+AI50</f>
        <v>33350</v>
      </c>
      <c r="AJ55" s="2556">
        <f>AI55+AJ50</f>
        <v>39550</v>
      </c>
      <c r="AK55" s="2556">
        <f>AJ55+AK50</f>
        <v>39550</v>
      </c>
      <c r="AL55" s="2549">
        <f>AJ55+$AL$50</f>
        <v>46050</v>
      </c>
      <c r="AM55" s="2549">
        <f>AK55+$AM$50</f>
        <v>48050</v>
      </c>
      <c r="AN55" s="592"/>
      <c r="AO55" s="592"/>
      <c r="AP55" s="592"/>
      <c r="AQ55" s="2549"/>
      <c r="AR55" s="592"/>
      <c r="AS55" s="592"/>
      <c r="AT55" s="592"/>
      <c r="AU55" s="592"/>
      <c r="AV55" s="2549"/>
      <c r="AW55" s="2549"/>
      <c r="AX55" s="548"/>
      <c r="AY55" s="548"/>
      <c r="AZ55" s="2556">
        <f>G55+$AZ$50</f>
        <v>35900</v>
      </c>
      <c r="BA55" s="3235"/>
      <c r="BB55" s="3239">
        <f t="shared" si="20"/>
        <v>25000</v>
      </c>
      <c r="BC55" s="3711"/>
      <c r="BD55" s="3237"/>
    </row>
    <row r="56" spans="1:56" s="68" customFormat="1" hidden="1" outlineLevel="3">
      <c r="A56" s="68">
        <v>7</v>
      </c>
      <c r="B56" s="823" t="s">
        <v>1019</v>
      </c>
      <c r="C56" s="2550" t="s">
        <v>2570</v>
      </c>
      <c r="D56" s="795">
        <v>1.1299999999999999</v>
      </c>
      <c r="E56" s="2572">
        <v>1.1000000000000001</v>
      </c>
      <c r="F56" s="2551">
        <v>0.03</v>
      </c>
      <c r="G56" s="548">
        <f>CEILING(G54*$D$56, 50)</f>
        <v>23850</v>
      </c>
      <c r="H56" s="2556">
        <f>CEILING((G54*D56)+$H$50, 50)</f>
        <v>24850</v>
      </c>
      <c r="I56" s="2556">
        <f>CEILING(G56+$I$50, 50)</f>
        <v>28150</v>
      </c>
      <c r="J56" s="2556">
        <f>CEILING(G56+$J$50, 50)</f>
        <v>27650</v>
      </c>
      <c r="K56" s="2556">
        <f>CEILING(G56+$K$50, 50)</f>
        <v>29350</v>
      </c>
      <c r="L56" s="548"/>
      <c r="M56" s="548"/>
      <c r="N56" s="548"/>
      <c r="O56" s="548"/>
      <c r="P56" s="548"/>
      <c r="Q56" s="548"/>
      <c r="R56" s="548"/>
      <c r="S56" s="548"/>
      <c r="T56" s="548"/>
      <c r="U56" s="548"/>
      <c r="V56" s="548"/>
      <c r="W56" s="548"/>
      <c r="X56" s="2556">
        <f>CEILING(X55*$E$56, 50)</f>
        <v>24200</v>
      </c>
      <c r="Y56" s="2556">
        <f>CEILING(X56+$Y$50, 50)</f>
        <v>29400</v>
      </c>
      <c r="Z56" s="592">
        <f>CEILING(X56*(1-$Z$50), 50)</f>
        <v>27850</v>
      </c>
      <c r="AA56" s="548">
        <f>Z56+$AA$50</f>
        <v>33050</v>
      </c>
      <c r="AB56" s="592">
        <f>CEILING(AA56*(1+$AB$50), 50)</f>
        <v>35050</v>
      </c>
      <c r="AC56" s="592">
        <f>X56+$AC$50</f>
        <v>25700</v>
      </c>
      <c r="AD56" s="592">
        <f>X56+$AD$50</f>
        <v>25200</v>
      </c>
      <c r="AE56" s="548"/>
      <c r="AF56" s="2556">
        <f t="shared" ref="AF56:AK56" si="21">CEILING(AF55*$E$56, 50)</f>
        <v>32950</v>
      </c>
      <c r="AG56" s="2556">
        <f t="shared" si="21"/>
        <v>33650</v>
      </c>
      <c r="AH56" s="2556">
        <f t="shared" si="21"/>
        <v>34200</v>
      </c>
      <c r="AI56" s="2556">
        <f t="shared" si="21"/>
        <v>36700</v>
      </c>
      <c r="AJ56" s="2556">
        <f t="shared" si="21"/>
        <v>43550</v>
      </c>
      <c r="AK56" s="2556">
        <f t="shared" si="21"/>
        <v>43550</v>
      </c>
      <c r="AL56" s="2549">
        <f>AJ56+$AL$50</f>
        <v>50050</v>
      </c>
      <c r="AM56" s="2549">
        <f>AK56+$AM$50</f>
        <v>52050</v>
      </c>
      <c r="AN56" s="592"/>
      <c r="AO56" s="592"/>
      <c r="AP56" s="592"/>
      <c r="AQ56" s="2549"/>
      <c r="AR56" s="592"/>
      <c r="AS56" s="592"/>
      <c r="AT56" s="592"/>
      <c r="AU56" s="2556">
        <f>G56+$AU$50</f>
        <v>33850</v>
      </c>
      <c r="AV56" s="2556">
        <f>AU56+$AV$50</f>
        <v>36050</v>
      </c>
      <c r="AW56" s="2556">
        <f>AU56+$AW$50</f>
        <v>41350</v>
      </c>
      <c r="AX56" s="2556">
        <f>CEILING(AX54*D56, 50)</f>
        <v>32350</v>
      </c>
      <c r="AY56" s="592"/>
      <c r="AZ56" s="2556">
        <f>G56+$AZ$50</f>
        <v>37550</v>
      </c>
      <c r="BA56" s="3235"/>
      <c r="BB56" s="3239">
        <f t="shared" si="20"/>
        <v>26650</v>
      </c>
      <c r="BC56" s="3711"/>
    </row>
    <row r="57" spans="1:56" s="3772" customFormat="1" hidden="1" outlineLevel="3">
      <c r="B57" s="3923" t="s">
        <v>3381</v>
      </c>
      <c r="C57" s="3924" t="s">
        <v>3382</v>
      </c>
      <c r="D57" s="3925">
        <v>1.18</v>
      </c>
      <c r="E57" s="3925"/>
      <c r="F57" s="3926"/>
      <c r="G57" s="3854">
        <f>CEILING(G54*D57, 50)</f>
        <v>24900</v>
      </c>
      <c r="H57" s="2556">
        <f>CEILING((G54*D57)+$H$50, 50)</f>
        <v>25900</v>
      </c>
      <c r="I57" s="2556">
        <f>CEILING(G57+$I$50, 50)</f>
        <v>29200</v>
      </c>
      <c r="J57" s="2556">
        <f>CEILING(G57+$J$50, 50)</f>
        <v>28700</v>
      </c>
      <c r="K57" s="2556">
        <f>CEILING(G57+$K$50, 50)</f>
        <v>30400</v>
      </c>
      <c r="L57" s="3927"/>
      <c r="M57" s="3927"/>
      <c r="N57" s="3927"/>
      <c r="O57" s="3927"/>
      <c r="P57" s="3927"/>
      <c r="Q57" s="3927"/>
      <c r="R57" s="3927"/>
      <c r="S57" s="3927"/>
      <c r="T57" s="3927"/>
      <c r="U57" s="3927"/>
      <c r="V57" s="3927"/>
      <c r="W57" s="3927"/>
      <c r="X57" s="3927"/>
      <c r="Y57" s="3927"/>
      <c r="Z57" s="3927"/>
      <c r="AA57" s="3927"/>
      <c r="AB57" s="3927"/>
      <c r="AC57" s="3927"/>
      <c r="AD57" s="3927"/>
      <c r="AE57" s="3927"/>
      <c r="AF57" s="3927"/>
      <c r="AG57" s="3927"/>
      <c r="AH57" s="3927"/>
      <c r="AI57" s="3927"/>
      <c r="AJ57" s="3927"/>
      <c r="AK57" s="3927"/>
      <c r="AL57" s="3927"/>
      <c r="AM57" s="3927"/>
      <c r="AN57" s="3927"/>
      <c r="AO57" s="3927"/>
      <c r="AP57" s="3927"/>
      <c r="AQ57" s="3927"/>
      <c r="AR57" s="3927"/>
      <c r="AS57" s="3927"/>
      <c r="AT57" s="3927"/>
      <c r="AU57" s="2556">
        <f>G57+$AU$50</f>
        <v>34900</v>
      </c>
      <c r="AV57" s="2556">
        <f>AU57+$AV$50</f>
        <v>37100</v>
      </c>
      <c r="AW57" s="3927"/>
      <c r="AX57" s="3927"/>
      <c r="AY57" s="3927"/>
      <c r="AZ57" s="2556">
        <f>G57+$AZ$50</f>
        <v>38600</v>
      </c>
      <c r="BA57" s="3928"/>
      <c r="BB57" s="3239">
        <f t="shared" si="20"/>
        <v>27700</v>
      </c>
      <c r="BC57" s="3929"/>
    </row>
    <row r="58" spans="1:56" s="68" customFormat="1" hidden="1" outlineLevel="3">
      <c r="A58" s="68">
        <v>8</v>
      </c>
      <c r="B58" s="823" t="s">
        <v>1019</v>
      </c>
      <c r="C58" s="2550" t="s">
        <v>2571</v>
      </c>
      <c r="D58" s="820">
        <v>1.23</v>
      </c>
      <c r="E58" s="2539">
        <v>1.2</v>
      </c>
      <c r="F58" s="2551"/>
      <c r="G58" s="548">
        <f>CEILING(G54*$D$58, 50)</f>
        <v>26000</v>
      </c>
      <c r="H58" s="2556">
        <f>CEILING((G54*D58)+$H$50, 50)</f>
        <v>27000</v>
      </c>
      <c r="I58" s="2556">
        <f>CEILING(G58+$I$50, 50)</f>
        <v>30300</v>
      </c>
      <c r="J58" s="2556">
        <f>CEILING(G58+$J$50, 50)</f>
        <v>29800</v>
      </c>
      <c r="K58" s="2556">
        <f>CEILING(G58+$K$50, 50)</f>
        <v>31500</v>
      </c>
      <c r="L58" s="2556">
        <f>G58+$L$50</f>
        <v>26600</v>
      </c>
      <c r="M58" s="548">
        <f>CEILING(G58+M50,50)</f>
        <v>29950</v>
      </c>
      <c r="N58" s="548">
        <f>CEILING(L58+N50,50)</f>
        <v>27600</v>
      </c>
      <c r="O58" s="548">
        <f>N58+$O$50</f>
        <v>28600</v>
      </c>
      <c r="P58" s="548"/>
      <c r="Q58" s="548"/>
      <c r="R58" s="548"/>
      <c r="S58" s="548"/>
      <c r="T58" s="548"/>
      <c r="U58" s="548"/>
      <c r="V58" s="548"/>
      <c r="W58" s="548"/>
      <c r="X58" s="2556">
        <f>CEILING(X55*$E$58, 50)</f>
        <v>26400</v>
      </c>
      <c r="Y58" s="2556">
        <f>CEILING(X58+$Y$50, 50)</f>
        <v>31600</v>
      </c>
      <c r="Z58" s="592">
        <f>CEILING(X58*(1-$Z$50), 50)</f>
        <v>30400</v>
      </c>
      <c r="AA58" s="548">
        <f>Z58+$AA$50</f>
        <v>35600</v>
      </c>
      <c r="AB58" s="592">
        <f>CEILING(AA58*(1+$AB$50), 50)</f>
        <v>37750</v>
      </c>
      <c r="AC58" s="592">
        <f>X58+$AC$50</f>
        <v>27900</v>
      </c>
      <c r="AD58" s="592">
        <f>X58+$AD$50</f>
        <v>27400</v>
      </c>
      <c r="AE58" s="548"/>
      <c r="AF58" s="2556">
        <f t="shared" ref="AF58:AK58" si="22">CEILING(AF55*$E$58, 50)</f>
        <v>35950</v>
      </c>
      <c r="AG58" s="2556">
        <f t="shared" si="22"/>
        <v>36700</v>
      </c>
      <c r="AH58" s="2556">
        <f t="shared" si="22"/>
        <v>37300</v>
      </c>
      <c r="AI58" s="2556">
        <f t="shared" si="22"/>
        <v>40050</v>
      </c>
      <c r="AJ58" s="2556">
        <f t="shared" si="22"/>
        <v>47500</v>
      </c>
      <c r="AK58" s="2556">
        <f t="shared" si="22"/>
        <v>47500</v>
      </c>
      <c r="AL58" s="2549">
        <f>AJ58+$AL$50</f>
        <v>54000</v>
      </c>
      <c r="AM58" s="2549">
        <f>AK58+$AM$50</f>
        <v>56000</v>
      </c>
      <c r="AN58" s="592"/>
      <c r="AO58" s="592"/>
      <c r="AP58" s="592"/>
      <c r="AQ58" s="2549"/>
      <c r="AR58" s="592"/>
      <c r="AS58" s="592"/>
      <c r="AT58" s="592"/>
      <c r="AU58" s="2556">
        <f>G58+$AU$50</f>
        <v>36000</v>
      </c>
      <c r="AV58" s="2556">
        <f>AU58+$AV$50</f>
        <v>38200</v>
      </c>
      <c r="AW58" s="2556">
        <f>AU58+$AW$50</f>
        <v>43500</v>
      </c>
      <c r="AX58" s="548"/>
      <c r="AY58" s="592"/>
      <c r="AZ58" s="2556">
        <f>G58+$AZ$50</f>
        <v>39700</v>
      </c>
      <c r="BA58" s="3235"/>
      <c r="BB58" s="3239">
        <f>CEILING(G58+$BB$49, 50)</f>
        <v>28800</v>
      </c>
      <c r="BC58" s="2963"/>
    </row>
    <row r="59" spans="1:56" s="242" customFormat="1" hidden="1" outlineLevel="3">
      <c r="B59" s="823" t="s">
        <v>30</v>
      </c>
      <c r="C59" s="2784" t="s">
        <v>2694</v>
      </c>
      <c r="D59" s="745"/>
      <c r="E59" s="745"/>
      <c r="F59" s="745"/>
      <c r="G59" s="3529"/>
      <c r="H59" s="3530"/>
      <c r="I59" s="3530"/>
      <c r="J59" s="3531"/>
      <c r="K59" s="3532"/>
      <c r="L59" s="3531"/>
      <c r="M59" s="3531"/>
      <c r="N59" s="3531"/>
      <c r="O59" s="3531"/>
      <c r="P59" s="3531"/>
      <c r="Q59" s="3531"/>
      <c r="R59" s="3531"/>
      <c r="S59" s="3533"/>
      <c r="T59" s="3533"/>
      <c r="U59" s="693"/>
      <c r="V59" s="3533"/>
      <c r="W59" s="3533"/>
      <c r="X59" s="3529"/>
      <c r="Z59" s="3530"/>
      <c r="AA59" s="3530"/>
      <c r="AB59" s="3530"/>
      <c r="AC59" s="3530"/>
      <c r="AD59" s="3530"/>
      <c r="AE59" s="3531"/>
      <c r="AF59" s="3531"/>
      <c r="AG59" s="605"/>
      <c r="AH59" s="605"/>
      <c r="AI59" s="899"/>
      <c r="AJ59" s="605"/>
      <c r="AK59" s="605"/>
      <c r="AL59" s="605"/>
      <c r="AM59" s="605"/>
      <c r="AN59" s="3533"/>
      <c r="AO59" s="3533"/>
      <c r="AP59" s="3533"/>
      <c r="AQ59" s="3533"/>
      <c r="AR59" s="3533"/>
      <c r="AS59" s="3533"/>
      <c r="AT59" s="693"/>
      <c r="AU59" s="2271"/>
      <c r="AV59" s="2271"/>
      <c r="AW59" s="2271"/>
      <c r="AX59" s="2271"/>
      <c r="AY59" s="3531"/>
      <c r="AZ59" s="3530"/>
      <c r="BA59" s="3531"/>
      <c r="BB59" s="3531"/>
    </row>
    <row r="60" spans="1:56" s="242" customFormat="1" hidden="1" outlineLevel="2">
      <c r="B60" s="3426"/>
      <c r="C60" s="3427"/>
      <c r="D60" s="745"/>
      <c r="E60" s="745"/>
      <c r="F60" s="745"/>
      <c r="G60" s="707"/>
      <c r="H60" s="707">
        <f>H58/H56</f>
        <v>1.0865191146881288</v>
      </c>
      <c r="I60" s="694"/>
      <c r="J60" s="694" t="s">
        <v>3242</v>
      </c>
      <c r="K60" s="742"/>
      <c r="S60" s="693"/>
      <c r="T60" s="693"/>
      <c r="U60" s="693"/>
      <c r="V60" s="693"/>
      <c r="W60" s="693"/>
      <c r="X60" s="707"/>
      <c r="Y60" s="605"/>
      <c r="Z60" s="3792"/>
      <c r="AA60" s="694"/>
      <c r="AB60" s="3792"/>
      <c r="AC60" s="694"/>
      <c r="AD60" s="694"/>
      <c r="AG60" s="605"/>
      <c r="AH60" s="605"/>
      <c r="AI60" s="899"/>
      <c r="AJ60" s="605"/>
      <c r="AK60" s="605"/>
      <c r="AL60" s="605"/>
      <c r="AM60" s="605"/>
      <c r="AN60" s="693"/>
      <c r="AO60" s="693"/>
      <c r="AP60" s="693"/>
      <c r="AQ60" s="693"/>
      <c r="AR60" s="693"/>
      <c r="AS60" s="693"/>
      <c r="AT60" s="693"/>
      <c r="AU60" s="2271"/>
      <c r="AV60" s="2271"/>
      <c r="AW60" s="2271"/>
      <c r="AX60" s="2271"/>
      <c r="AZ60" s="694"/>
    </row>
    <row r="61" spans="1:56" s="242" customFormat="1" hidden="1" outlineLevel="2">
      <c r="B61" s="3426"/>
      <c r="C61" s="3427"/>
      <c r="D61" s="745"/>
      <c r="E61" s="745"/>
      <c r="F61" s="745"/>
      <c r="G61" s="707"/>
      <c r="H61" s="694"/>
      <c r="I61" s="694"/>
      <c r="J61" s="694"/>
      <c r="K61" s="742"/>
      <c r="L61" s="605"/>
      <c r="M61" s="605"/>
      <c r="S61" s="693"/>
      <c r="T61" s="693"/>
      <c r="U61" s="693"/>
      <c r="V61" s="693"/>
      <c r="W61" s="693"/>
      <c r="X61" s="707"/>
      <c r="Y61" s="605"/>
      <c r="Z61" s="694"/>
      <c r="AA61" s="694"/>
      <c r="AB61" s="694"/>
      <c r="AC61" s="694"/>
      <c r="AD61" s="694"/>
      <c r="AG61" s="605"/>
      <c r="AH61" s="605"/>
      <c r="AI61" s="899"/>
      <c r="AJ61" s="605"/>
      <c r="AK61" s="605"/>
      <c r="AL61" s="605"/>
      <c r="AM61" s="605"/>
      <c r="AN61" s="693"/>
      <c r="AO61" s="693"/>
      <c r="AP61" s="693"/>
      <c r="AQ61" s="693"/>
      <c r="AR61" s="693"/>
      <c r="AS61" s="693"/>
      <c r="AT61" s="693"/>
      <c r="AU61" s="2271"/>
      <c r="AV61" s="2271"/>
      <c r="AW61" s="2271"/>
      <c r="AX61" s="2271"/>
      <c r="AZ61" s="694"/>
    </row>
    <row r="62" spans="1:56" s="242" customFormat="1" ht="19.5" hidden="1" outlineLevel="2" thickBot="1">
      <c r="B62" s="3426"/>
      <c r="C62" s="3427"/>
      <c r="D62" s="745"/>
      <c r="E62" s="745"/>
      <c r="F62" s="745"/>
      <c r="G62" s="3766" t="s">
        <v>3394</v>
      </c>
      <c r="H62" s="694"/>
      <c r="I62" s="3767" t="s">
        <v>3336</v>
      </c>
      <c r="J62" s="3768">
        <v>1.06</v>
      </c>
      <c r="K62" s="742"/>
      <c r="S62" s="693"/>
      <c r="T62" s="693"/>
      <c r="U62" s="693"/>
      <c r="V62" s="693"/>
      <c r="W62" s="693"/>
      <c r="X62" s="2546"/>
      <c r="Y62" s="2546"/>
      <c r="Z62" s="2546"/>
      <c r="AA62" s="694"/>
      <c r="AB62" s="694"/>
      <c r="AC62" s="2546"/>
      <c r="AD62" s="2546"/>
      <c r="AF62" s="2546"/>
      <c r="AG62" s="2546"/>
      <c r="AH62" s="2546"/>
      <c r="AI62" s="2546"/>
      <c r="AJ62" s="2546"/>
      <c r="AK62" s="2546"/>
      <c r="AL62" s="2546"/>
      <c r="AM62" s="2546"/>
      <c r="AN62" s="693"/>
      <c r="AO62" s="693"/>
      <c r="AP62" s="693"/>
      <c r="AQ62" s="693"/>
      <c r="AR62" s="693"/>
      <c r="AS62" s="693"/>
      <c r="AT62" s="693"/>
      <c r="AU62" s="2546"/>
      <c r="AV62" s="2271"/>
      <c r="AW62" s="2271"/>
      <c r="AX62" s="2271"/>
      <c r="AZ62" s="694"/>
    </row>
    <row r="63" spans="1:56" s="242" customFormat="1" ht="45" hidden="1" outlineLevel="2">
      <c r="B63" s="3426"/>
      <c r="C63" s="3427"/>
      <c r="D63" s="745"/>
      <c r="E63" s="745"/>
      <c r="F63" s="589"/>
      <c r="G63" s="3793" t="s">
        <v>2336</v>
      </c>
      <c r="H63" s="3793" t="s">
        <v>3342</v>
      </c>
      <c r="I63" s="3793" t="s">
        <v>3039</v>
      </c>
      <c r="J63" s="3793" t="s">
        <v>3040</v>
      </c>
      <c r="K63" s="3793" t="s">
        <v>2351</v>
      </c>
      <c r="L63" s="3793" t="s">
        <v>3041</v>
      </c>
      <c r="M63" s="3793" t="s">
        <v>3042</v>
      </c>
      <c r="N63" s="3794" t="s">
        <v>3043</v>
      </c>
      <c r="O63" s="3793" t="s">
        <v>3044</v>
      </c>
      <c r="P63" s="3793" t="s">
        <v>3045</v>
      </c>
      <c r="Q63" s="3794" t="s">
        <v>3046</v>
      </c>
      <c r="R63" s="3793" t="s">
        <v>3047</v>
      </c>
      <c r="S63" s="3793" t="s">
        <v>3048</v>
      </c>
      <c r="T63" s="3794" t="s">
        <v>3343</v>
      </c>
      <c r="U63" s="3793" t="s">
        <v>969</v>
      </c>
      <c r="V63" s="3793" t="s">
        <v>1671</v>
      </c>
      <c r="W63" s="3793" t="s">
        <v>3050</v>
      </c>
      <c r="X63" s="3793" t="s">
        <v>3344</v>
      </c>
      <c r="Y63" s="2196" t="s">
        <v>2291</v>
      </c>
      <c r="Z63" s="2196" t="s">
        <v>1627</v>
      </c>
      <c r="AA63" s="2196" t="s">
        <v>3052</v>
      </c>
      <c r="AB63" s="2196" t="s">
        <v>2299</v>
      </c>
      <c r="AC63" s="2196" t="s">
        <v>365</v>
      </c>
      <c r="AD63" s="2196" t="s">
        <v>2310</v>
      </c>
      <c r="AE63" s="2196" t="s">
        <v>2312</v>
      </c>
      <c r="AF63" s="2196" t="s">
        <v>2314</v>
      </c>
      <c r="AG63" s="2196" t="s">
        <v>2316</v>
      </c>
      <c r="AH63" s="2196" t="s">
        <v>1623</v>
      </c>
      <c r="AI63" s="2196" t="s">
        <v>2319</v>
      </c>
      <c r="AJ63" s="2196" t="s">
        <v>2321</v>
      </c>
      <c r="AK63" s="2196" t="s">
        <v>2323</v>
      </c>
      <c r="AL63" s="2196" t="s">
        <v>743</v>
      </c>
      <c r="AM63" s="2196" t="s">
        <v>2328</v>
      </c>
      <c r="AN63" s="3793" t="s">
        <v>1632</v>
      </c>
      <c r="AO63" s="3793" t="s">
        <v>3053</v>
      </c>
      <c r="AP63" s="3793" t="s">
        <v>3054</v>
      </c>
      <c r="AQ63" s="3793" t="s">
        <v>3055</v>
      </c>
      <c r="AR63" s="3793" t="s">
        <v>2341</v>
      </c>
      <c r="AS63" s="3793" t="s">
        <v>2304</v>
      </c>
      <c r="AT63" s="3793" t="s">
        <v>3056</v>
      </c>
      <c r="AU63" s="3793" t="s">
        <v>1696</v>
      </c>
      <c r="AV63" s="3793" t="s">
        <v>1692</v>
      </c>
      <c r="AW63" s="3793" t="s">
        <v>1694</v>
      </c>
      <c r="AX63" s="3793" t="s">
        <v>3057</v>
      </c>
      <c r="AY63" s="3793" t="s">
        <v>3058</v>
      </c>
      <c r="AZ63" s="3793" t="s">
        <v>2349</v>
      </c>
      <c r="BA63" s="3793" t="s">
        <v>3059</v>
      </c>
      <c r="BB63" s="3793" t="s">
        <v>3060</v>
      </c>
    </row>
    <row r="64" spans="1:56" s="242" customFormat="1" hidden="1" outlineLevel="2">
      <c r="B64" s="3426"/>
      <c r="C64" s="3427"/>
      <c r="D64" s="745"/>
      <c r="E64" s="745"/>
      <c r="F64" s="2834" t="s">
        <v>3345</v>
      </c>
      <c r="G64" s="2785">
        <v>13750</v>
      </c>
      <c r="H64" s="2785"/>
      <c r="I64" s="2785"/>
      <c r="J64" s="2785"/>
      <c r="K64" s="2785"/>
      <c r="L64" s="2785"/>
      <c r="M64" s="2785"/>
      <c r="N64" s="2785"/>
      <c r="O64" s="2785">
        <v>14750</v>
      </c>
      <c r="P64" s="2785">
        <v>16550</v>
      </c>
      <c r="Q64" s="2785">
        <v>18050</v>
      </c>
      <c r="R64" s="2785">
        <v>17550</v>
      </c>
      <c r="S64" s="2785">
        <v>19250</v>
      </c>
      <c r="T64" s="2785">
        <v>27450</v>
      </c>
      <c r="U64" s="2785"/>
      <c r="V64" s="2785"/>
      <c r="W64" s="2785"/>
      <c r="X64" s="2785"/>
      <c r="Y64" s="2785"/>
      <c r="Z64" s="2785"/>
      <c r="AA64" s="2785"/>
      <c r="AB64" s="2785"/>
      <c r="AC64" s="2785"/>
      <c r="AD64" s="2785"/>
      <c r="AE64" s="2785"/>
      <c r="AF64" s="2785"/>
      <c r="AG64" s="2785"/>
      <c r="AH64" s="2785"/>
      <c r="AI64" s="2785"/>
      <c r="AJ64" s="2785"/>
      <c r="AK64" s="2785"/>
      <c r="AL64" s="2785"/>
      <c r="AM64" s="2785"/>
      <c r="AN64" s="2785"/>
      <c r="AO64" s="2785"/>
      <c r="AP64" s="2785"/>
      <c r="AQ64" s="2785"/>
      <c r="AR64" s="2785"/>
      <c r="AS64" s="2785"/>
      <c r="AT64" s="2785"/>
      <c r="AU64" s="2785"/>
      <c r="AV64" s="2785"/>
      <c r="AW64" s="2785"/>
      <c r="AX64" s="2785"/>
      <c r="AY64" s="2785"/>
      <c r="AZ64" s="2785"/>
      <c r="BA64" s="2785"/>
      <c r="BB64" s="2785"/>
    </row>
    <row r="65" spans="2:56" s="242" customFormat="1" hidden="1" outlineLevel="2">
      <c r="B65" s="3426"/>
      <c r="C65" s="3427"/>
      <c r="D65" s="745"/>
      <c r="E65" s="745"/>
      <c r="F65" s="2834" t="s">
        <v>3346</v>
      </c>
      <c r="G65" s="2785">
        <v>16250</v>
      </c>
      <c r="H65" s="2785"/>
      <c r="I65" s="2785"/>
      <c r="J65" s="2785"/>
      <c r="K65" s="2785"/>
      <c r="L65" s="2785"/>
      <c r="M65" s="2785"/>
      <c r="N65" s="2785"/>
      <c r="O65" s="2785">
        <v>17250</v>
      </c>
      <c r="P65" s="2785">
        <v>19050</v>
      </c>
      <c r="Q65" s="2785">
        <v>20550</v>
      </c>
      <c r="R65" s="2785">
        <v>20050</v>
      </c>
      <c r="S65" s="2785">
        <v>21750</v>
      </c>
      <c r="T65" s="2785">
        <v>29950</v>
      </c>
      <c r="U65" s="2785"/>
      <c r="V65" s="2785"/>
      <c r="W65" s="2785"/>
      <c r="X65" s="2785"/>
      <c r="Y65" s="2785"/>
      <c r="Z65" s="2785"/>
      <c r="AA65" s="2785"/>
      <c r="AB65" s="2785"/>
      <c r="AC65" s="2785"/>
      <c r="AD65" s="2785"/>
      <c r="AE65" s="2785"/>
      <c r="AF65" s="2785"/>
      <c r="AG65" s="2785"/>
      <c r="AH65" s="2785"/>
      <c r="AI65" s="2785"/>
      <c r="AJ65" s="2785"/>
      <c r="AK65" s="2785"/>
      <c r="AL65" s="2785"/>
      <c r="AM65" s="2785"/>
      <c r="AN65" s="2785"/>
      <c r="AO65" s="2785"/>
      <c r="AP65" s="2785"/>
      <c r="AQ65" s="2785"/>
      <c r="AR65" s="2785"/>
      <c r="AS65" s="2785"/>
      <c r="AT65" s="2785"/>
      <c r="AU65" s="2785"/>
      <c r="AV65" s="2785"/>
      <c r="AW65" s="2785"/>
      <c r="AX65" s="2785"/>
      <c r="AY65" s="2785"/>
      <c r="AZ65" s="2785"/>
      <c r="BA65" s="2785"/>
      <c r="BB65" s="2785"/>
    </row>
    <row r="66" spans="2:56" s="242" customFormat="1" ht="15.75" hidden="1" outlineLevel="2">
      <c r="B66" s="3426"/>
      <c r="C66" s="3427"/>
      <c r="D66" s="745"/>
      <c r="E66" s="745"/>
      <c r="F66" s="3795" t="s">
        <v>205</v>
      </c>
      <c r="G66" s="3892">
        <v>21100</v>
      </c>
      <c r="H66" s="3892">
        <v>26100</v>
      </c>
      <c r="I66" s="3892"/>
      <c r="J66" s="3892"/>
      <c r="K66" s="3892"/>
      <c r="L66" s="3892"/>
      <c r="M66" s="3892">
        <v>35450</v>
      </c>
      <c r="N66" s="3892">
        <v>28600</v>
      </c>
      <c r="O66" s="3892">
        <v>22100</v>
      </c>
      <c r="P66" s="3892">
        <v>23900</v>
      </c>
      <c r="Q66" s="3892">
        <v>24700</v>
      </c>
      <c r="R66" s="3892">
        <v>25950</v>
      </c>
      <c r="S66" s="3892">
        <v>26600</v>
      </c>
      <c r="T66" s="3892">
        <v>39000</v>
      </c>
      <c r="U66" s="3892">
        <v>21750</v>
      </c>
      <c r="V66" s="3892">
        <v>25300</v>
      </c>
      <c r="W66" s="3892">
        <v>22750</v>
      </c>
      <c r="X66" s="3892">
        <v>23750</v>
      </c>
      <c r="Y66" s="3892">
        <v>24150</v>
      </c>
      <c r="Z66" s="3892">
        <v>27100</v>
      </c>
      <c r="AA66" s="3892">
        <v>27700</v>
      </c>
      <c r="AB66" s="3892">
        <v>33700</v>
      </c>
      <c r="AC66" s="3892">
        <v>38450</v>
      </c>
      <c r="AD66" s="3892">
        <v>30100</v>
      </c>
      <c r="AE66" s="3892">
        <v>43150</v>
      </c>
      <c r="AF66" s="3892">
        <v>36600</v>
      </c>
      <c r="AG66" s="3892">
        <v>47350</v>
      </c>
      <c r="AH66" s="3892">
        <v>53950</v>
      </c>
      <c r="AI66" s="3892">
        <v>31900</v>
      </c>
      <c r="AJ66" s="3892">
        <v>44700</v>
      </c>
      <c r="AK66" s="3892">
        <v>59300</v>
      </c>
      <c r="AL66" s="3892">
        <v>35450</v>
      </c>
      <c r="AM66" s="3892">
        <v>53300</v>
      </c>
      <c r="AN66" s="3892"/>
      <c r="AO66" s="3892"/>
      <c r="AP66" s="3892"/>
      <c r="AQ66" s="3892"/>
      <c r="AR66" s="3892"/>
      <c r="AS66" s="3892">
        <v>23550</v>
      </c>
      <c r="AT66" s="3892">
        <v>26050</v>
      </c>
      <c r="AU66" s="3892"/>
      <c r="AV66" s="3892"/>
      <c r="AW66" s="3892"/>
      <c r="AX66" s="3892"/>
      <c r="AY66" s="3892"/>
      <c r="AZ66" s="3892"/>
      <c r="BA66" s="3892"/>
      <c r="BB66" s="3892"/>
    </row>
    <row r="67" spans="2:56" s="242" customFormat="1" hidden="1" outlineLevel="2">
      <c r="B67" s="3426"/>
      <c r="C67" s="3427"/>
      <c r="D67" s="745"/>
      <c r="E67" s="745"/>
      <c r="F67" s="2785" t="s">
        <v>1972</v>
      </c>
      <c r="G67" s="2785">
        <v>22200</v>
      </c>
      <c r="H67" s="2785">
        <v>27200</v>
      </c>
      <c r="I67" s="2785">
        <v>22200</v>
      </c>
      <c r="J67" s="2785">
        <v>27750</v>
      </c>
      <c r="K67" s="2785"/>
      <c r="L67" s="2785"/>
      <c r="M67" s="2785"/>
      <c r="N67" s="2785"/>
      <c r="O67" s="2785">
        <v>23200</v>
      </c>
      <c r="P67" s="2785">
        <v>25000</v>
      </c>
      <c r="Q67" s="2785">
        <v>26500</v>
      </c>
      <c r="R67" s="2785">
        <v>26000</v>
      </c>
      <c r="S67" s="2785">
        <v>27700</v>
      </c>
      <c r="T67" s="2785">
        <v>35900</v>
      </c>
      <c r="U67" s="2785"/>
      <c r="V67" s="2785"/>
      <c r="W67" s="2785"/>
      <c r="X67" s="2785"/>
      <c r="Y67" s="2785"/>
      <c r="Z67" s="2785"/>
      <c r="AA67" s="2785"/>
      <c r="AB67" s="2785"/>
      <c r="AC67" s="2785"/>
      <c r="AD67" s="2785"/>
      <c r="AE67" s="2785"/>
      <c r="AF67" s="2785"/>
      <c r="AG67" s="2785"/>
      <c r="AH67" s="2785"/>
      <c r="AI67" s="2785"/>
      <c r="AJ67" s="2785"/>
      <c r="AK67" s="2785"/>
      <c r="AL67" s="2785"/>
      <c r="AM67" s="2785"/>
      <c r="AN67" s="2785">
        <v>22000</v>
      </c>
      <c r="AO67" s="2785">
        <v>27200</v>
      </c>
      <c r="AP67" s="2785">
        <v>23500</v>
      </c>
      <c r="AQ67" s="2785">
        <v>23000</v>
      </c>
      <c r="AR67" s="2785">
        <v>19900</v>
      </c>
      <c r="AS67" s="2785">
        <v>25100</v>
      </c>
      <c r="AT67" s="2785">
        <v>26650</v>
      </c>
      <c r="AU67" s="2785">
        <v>29950</v>
      </c>
      <c r="AV67" s="2785">
        <v>30550</v>
      </c>
      <c r="AW67" s="2785">
        <v>31050</v>
      </c>
      <c r="AX67" s="2785">
        <v>33350</v>
      </c>
      <c r="AY67" s="2785">
        <v>39550</v>
      </c>
      <c r="AZ67" s="2785">
        <v>39550</v>
      </c>
      <c r="BA67" s="2785">
        <v>46050</v>
      </c>
      <c r="BB67" s="2785">
        <v>48050</v>
      </c>
    </row>
    <row r="68" spans="2:56" s="242" customFormat="1" hidden="1" outlineLevel="2">
      <c r="B68" s="3426"/>
      <c r="C68" s="3427"/>
      <c r="D68" s="745"/>
      <c r="E68" s="745"/>
      <c r="F68" s="2785" t="s">
        <v>3347</v>
      </c>
      <c r="G68" s="2785">
        <v>23850</v>
      </c>
      <c r="H68" s="2785">
        <v>28850</v>
      </c>
      <c r="I68" s="2785">
        <v>23850</v>
      </c>
      <c r="J68" s="2785">
        <v>29850</v>
      </c>
      <c r="K68" s="2785">
        <v>33850</v>
      </c>
      <c r="L68" s="2785">
        <v>36050</v>
      </c>
      <c r="M68" s="2785">
        <v>41350</v>
      </c>
      <c r="N68" s="2785">
        <v>32350</v>
      </c>
      <c r="O68" s="2785">
        <v>24850</v>
      </c>
      <c r="P68" s="2785">
        <v>26650</v>
      </c>
      <c r="Q68" s="2785">
        <v>28150</v>
      </c>
      <c r="R68" s="2785">
        <v>27650</v>
      </c>
      <c r="S68" s="2785">
        <v>29350</v>
      </c>
      <c r="T68" s="2785">
        <v>37550</v>
      </c>
      <c r="U68" s="2785"/>
      <c r="V68" s="2785"/>
      <c r="W68" s="2785"/>
      <c r="X68" s="2785"/>
      <c r="Y68" s="2785"/>
      <c r="Z68" s="2785"/>
      <c r="AA68" s="2785"/>
      <c r="AB68" s="2785"/>
      <c r="AC68" s="2785"/>
      <c r="AD68" s="2785"/>
      <c r="AE68" s="2785"/>
      <c r="AF68" s="2785"/>
      <c r="AG68" s="2785"/>
      <c r="AH68" s="2785"/>
      <c r="AI68" s="2785"/>
      <c r="AJ68" s="2785"/>
      <c r="AK68" s="2785"/>
      <c r="AL68" s="2785"/>
      <c r="AM68" s="2785"/>
      <c r="AN68" s="2785">
        <v>24200</v>
      </c>
      <c r="AO68" s="2785">
        <v>29400</v>
      </c>
      <c r="AP68" s="2785">
        <v>25700</v>
      </c>
      <c r="AQ68" s="2785">
        <v>25200</v>
      </c>
      <c r="AR68" s="2785">
        <v>27850</v>
      </c>
      <c r="AS68" s="2785">
        <v>33050</v>
      </c>
      <c r="AT68" s="2785">
        <v>35050</v>
      </c>
      <c r="AU68" s="2785">
        <v>32950</v>
      </c>
      <c r="AV68" s="2785">
        <v>33650</v>
      </c>
      <c r="AW68" s="2785">
        <v>34200</v>
      </c>
      <c r="AX68" s="2785">
        <v>36700</v>
      </c>
      <c r="AY68" s="2785">
        <v>43550</v>
      </c>
      <c r="AZ68" s="2785">
        <v>43550</v>
      </c>
      <c r="BA68" s="2785">
        <v>50050</v>
      </c>
      <c r="BB68" s="2785">
        <v>52050</v>
      </c>
    </row>
    <row r="69" spans="2:56" s="242" customFormat="1" hidden="1" outlineLevel="2">
      <c r="B69" s="3426"/>
      <c r="C69" s="3427"/>
      <c r="D69" s="745"/>
      <c r="E69" s="745"/>
      <c r="F69" s="2785" t="s">
        <v>3340</v>
      </c>
      <c r="G69" s="2785">
        <v>26000</v>
      </c>
      <c r="H69" s="2785">
        <v>31000</v>
      </c>
      <c r="I69" s="2785">
        <v>26000</v>
      </c>
      <c r="J69" s="2785">
        <v>32500</v>
      </c>
      <c r="K69" s="2785">
        <v>36000</v>
      </c>
      <c r="L69" s="2785">
        <v>38200</v>
      </c>
      <c r="M69" s="2785"/>
      <c r="N69" s="2785"/>
      <c r="O69" s="2785">
        <v>27000</v>
      </c>
      <c r="P69" s="2785">
        <v>28800</v>
      </c>
      <c r="Q69" s="2785">
        <v>30300</v>
      </c>
      <c r="R69" s="2785">
        <v>29800</v>
      </c>
      <c r="S69" s="2785">
        <v>31500</v>
      </c>
      <c r="T69" s="2785">
        <v>39700</v>
      </c>
      <c r="U69" s="2785">
        <v>26600</v>
      </c>
      <c r="V69" s="2785"/>
      <c r="W69" s="2785">
        <v>27600</v>
      </c>
      <c r="X69" s="2785">
        <v>28600</v>
      </c>
      <c r="Y69" s="2785"/>
      <c r="Z69" s="2785"/>
      <c r="AA69" s="2785"/>
      <c r="AB69" s="2785"/>
      <c r="AC69" s="2785"/>
      <c r="AD69" s="2785"/>
      <c r="AE69" s="2785"/>
      <c r="AF69" s="2785"/>
      <c r="AG69" s="2785"/>
      <c r="AH69" s="2785"/>
      <c r="AI69" s="2785"/>
      <c r="AJ69" s="2785"/>
      <c r="AK69" s="2785"/>
      <c r="AL69" s="2785"/>
      <c r="AM69" s="2785"/>
      <c r="AN69" s="2785">
        <v>26400</v>
      </c>
      <c r="AO69" s="2785">
        <v>31600</v>
      </c>
      <c r="AP69" s="2785">
        <v>27900</v>
      </c>
      <c r="AQ69" s="2785">
        <v>27400</v>
      </c>
      <c r="AR69" s="2785">
        <v>30400</v>
      </c>
      <c r="AS69" s="2785">
        <v>35600</v>
      </c>
      <c r="AT69" s="2785">
        <v>37750</v>
      </c>
      <c r="AU69" s="2785">
        <v>35950</v>
      </c>
      <c r="AV69" s="2785">
        <v>36700</v>
      </c>
      <c r="AW69" s="2785">
        <v>37300</v>
      </c>
      <c r="AX69" s="2785">
        <v>40050</v>
      </c>
      <c r="AY69" s="2785">
        <v>47500</v>
      </c>
      <c r="AZ69" s="2785">
        <v>47500</v>
      </c>
      <c r="BA69" s="2785">
        <v>54000</v>
      </c>
      <c r="BB69" s="2785">
        <v>56000</v>
      </c>
    </row>
    <row r="70" spans="2:56" s="242" customFormat="1" hidden="1" outlineLevel="2">
      <c r="B70" s="3426"/>
      <c r="C70" s="3427"/>
      <c r="D70" s="745"/>
      <c r="E70" s="745"/>
      <c r="F70" s="745"/>
      <c r="G70" s="707"/>
      <c r="H70" s="694"/>
      <c r="I70" s="694"/>
      <c r="J70" s="694"/>
      <c r="K70" s="742"/>
      <c r="S70" s="693"/>
      <c r="T70" s="693"/>
      <c r="U70" s="693"/>
      <c r="V70" s="693"/>
      <c r="W70" s="693"/>
      <c r="X70" s="707"/>
      <c r="Y70" s="605"/>
      <c r="Z70" s="694"/>
      <c r="AA70" s="694"/>
      <c r="AB70" s="694"/>
      <c r="AC70" s="694"/>
      <c r="AD70" s="694"/>
      <c r="AG70" s="605"/>
      <c r="AH70" s="605"/>
      <c r="AI70" s="899"/>
      <c r="AJ70" s="605"/>
      <c r="AK70" s="605"/>
      <c r="AL70" s="605"/>
      <c r="AM70" s="605"/>
      <c r="AN70" s="693"/>
      <c r="AO70" s="693"/>
      <c r="AP70" s="693"/>
      <c r="AQ70" s="693"/>
      <c r="AR70" s="693"/>
      <c r="AS70" s="693"/>
      <c r="AT70" s="693"/>
      <c r="AU70" s="2271"/>
      <c r="AV70" s="2271"/>
      <c r="AW70" s="2271"/>
      <c r="AX70" s="2271"/>
      <c r="AZ70" s="694"/>
    </row>
    <row r="71" spans="2:56" s="242" customFormat="1" hidden="1" outlineLevel="2">
      <c r="B71" s="3426"/>
      <c r="C71" s="3427"/>
      <c r="D71" s="745"/>
      <c r="E71" s="745"/>
      <c r="F71" s="745"/>
      <c r="G71" s="3763" t="s">
        <v>3393</v>
      </c>
      <c r="H71" s="694"/>
      <c r="I71" s="694"/>
      <c r="J71" s="694"/>
      <c r="K71" s="742"/>
      <c r="S71" s="693"/>
      <c r="T71" s="693"/>
      <c r="U71" s="693"/>
      <c r="V71" s="693"/>
      <c r="W71" s="693"/>
      <c r="X71" s="707"/>
      <c r="Y71" s="605"/>
      <c r="Z71" s="694"/>
      <c r="AA71" s="694"/>
      <c r="AB71" s="694"/>
      <c r="AC71" s="694"/>
      <c r="AD71" s="694"/>
      <c r="AG71" s="605"/>
      <c r="AH71" s="605"/>
      <c r="AI71" s="899"/>
      <c r="AJ71" s="605"/>
      <c r="AK71" s="605"/>
      <c r="AL71" s="605"/>
      <c r="AM71" s="605"/>
      <c r="AN71" s="693"/>
      <c r="AO71" s="693"/>
      <c r="AP71" s="693"/>
      <c r="AQ71" s="693"/>
      <c r="AR71" s="693"/>
      <c r="AS71" s="693"/>
      <c r="AT71" s="693"/>
      <c r="AU71" s="2271"/>
      <c r="AV71" s="2271"/>
      <c r="AW71" s="2271"/>
      <c r="AX71" s="2271"/>
      <c r="AZ71" s="694"/>
    </row>
    <row r="72" spans="2:56" s="242" customFormat="1" hidden="1" outlineLevel="2">
      <c r="B72" s="3426"/>
      <c r="C72" s="3427"/>
      <c r="D72" s="745"/>
      <c r="E72" s="745"/>
      <c r="F72" s="745"/>
      <c r="G72" s="3871" t="s">
        <v>860</v>
      </c>
      <c r="H72" s="3872" t="s">
        <v>860</v>
      </c>
      <c r="I72" s="3872" t="s">
        <v>860</v>
      </c>
      <c r="J72" s="3872" t="s">
        <v>860</v>
      </c>
      <c r="K72" s="3873" t="s">
        <v>860</v>
      </c>
      <c r="L72" s="2834" t="s">
        <v>969</v>
      </c>
      <c r="M72" s="2834" t="s">
        <v>969</v>
      </c>
      <c r="N72" s="2834" t="s">
        <v>863</v>
      </c>
      <c r="O72" s="2834" t="s">
        <v>863</v>
      </c>
      <c r="P72" s="2834" t="s">
        <v>2578</v>
      </c>
      <c r="Q72" s="2834" t="s">
        <v>840</v>
      </c>
      <c r="R72" s="2834" t="s">
        <v>2578</v>
      </c>
      <c r="S72" s="3854" t="s">
        <v>3062</v>
      </c>
      <c r="T72" s="3854" t="s">
        <v>3062</v>
      </c>
      <c r="U72" s="3854" t="s">
        <v>3062</v>
      </c>
      <c r="V72" s="3854" t="s">
        <v>2773</v>
      </c>
      <c r="W72" s="3854"/>
      <c r="X72" s="3871" t="s">
        <v>2286</v>
      </c>
      <c r="Y72" s="3874" t="s">
        <v>2286</v>
      </c>
      <c r="Z72" s="3872"/>
      <c r="AA72" s="3872"/>
      <c r="AB72" s="3872"/>
      <c r="AC72" s="3872"/>
      <c r="AD72" s="3872"/>
      <c r="AE72" s="2834"/>
      <c r="AF72" s="2834"/>
      <c r="AG72" s="3874"/>
      <c r="AH72" s="3874"/>
      <c r="AI72" s="3875"/>
      <c r="AJ72" s="3874"/>
      <c r="AK72" s="3874"/>
      <c r="AL72" s="3874"/>
      <c r="AM72" s="3874"/>
      <c r="AN72" s="3854"/>
      <c r="AO72" s="3854"/>
      <c r="AP72" s="3854"/>
      <c r="AQ72" s="3854"/>
      <c r="AR72" s="3854"/>
      <c r="AS72" s="3854"/>
      <c r="AT72" s="3854"/>
      <c r="AU72" s="3876"/>
      <c r="AV72" s="3876"/>
      <c r="AW72" s="3876"/>
      <c r="AX72" s="3876"/>
      <c r="AY72" s="2834"/>
      <c r="AZ72" s="3872" t="s">
        <v>3063</v>
      </c>
      <c r="BA72" s="2834"/>
      <c r="BB72" s="2834" t="s">
        <v>860</v>
      </c>
      <c r="BC72" s="2834" t="s">
        <v>3303</v>
      </c>
    </row>
    <row r="73" spans="2:56" s="242" customFormat="1" ht="45" hidden="1" customHeight="1" outlineLevel="2">
      <c r="B73" s="3426"/>
      <c r="C73" s="3427"/>
      <c r="D73" s="745"/>
      <c r="E73" s="745"/>
      <c r="F73" s="745"/>
      <c r="G73" s="3884" t="s">
        <v>1136</v>
      </c>
      <c r="H73" s="3885" t="s">
        <v>2533</v>
      </c>
      <c r="I73" s="3885" t="s">
        <v>2538</v>
      </c>
      <c r="J73" s="3885" t="s">
        <v>2539</v>
      </c>
      <c r="K73" s="3886" t="s">
        <v>2555</v>
      </c>
      <c r="L73" s="3887" t="s">
        <v>2540</v>
      </c>
      <c r="M73" s="3887" t="s">
        <v>2541</v>
      </c>
      <c r="N73" s="3887" t="s">
        <v>2535</v>
      </c>
      <c r="O73" s="3887" t="s">
        <v>2531</v>
      </c>
      <c r="P73" s="3887" t="s">
        <v>2536</v>
      </c>
      <c r="Q73" s="3887" t="s">
        <v>2530</v>
      </c>
      <c r="R73" s="3887" t="s">
        <v>2537</v>
      </c>
      <c r="S73" s="3888" t="s">
        <v>1672</v>
      </c>
      <c r="T73" s="3888" t="s">
        <v>2546</v>
      </c>
      <c r="U73" s="3888" t="s">
        <v>2547</v>
      </c>
      <c r="V73" s="3888" t="s">
        <v>2529</v>
      </c>
      <c r="W73" s="3888" t="s">
        <v>2528</v>
      </c>
      <c r="X73" s="3884" t="s">
        <v>2577</v>
      </c>
      <c r="Y73" s="3889" t="s">
        <v>1078</v>
      </c>
      <c r="Z73" s="3885" t="s">
        <v>1117</v>
      </c>
      <c r="AA73" s="3885" t="s">
        <v>1122</v>
      </c>
      <c r="AB73" s="3885" t="s">
        <v>1421</v>
      </c>
      <c r="AC73" s="3885" t="s">
        <v>1125</v>
      </c>
      <c r="AD73" s="3885" t="s">
        <v>1126</v>
      </c>
      <c r="AE73" s="3887" t="s">
        <v>2532</v>
      </c>
      <c r="AF73" s="3887" t="s">
        <v>1099</v>
      </c>
      <c r="AG73" s="3889" t="s">
        <v>1098</v>
      </c>
      <c r="AH73" s="3889" t="s">
        <v>1100</v>
      </c>
      <c r="AI73" s="3890" t="s">
        <v>1103</v>
      </c>
      <c r="AJ73" s="3889" t="s">
        <v>1698</v>
      </c>
      <c r="AK73" s="3889" t="s">
        <v>1701</v>
      </c>
      <c r="AL73" s="3889" t="s">
        <v>2566</v>
      </c>
      <c r="AM73" s="3889" t="s">
        <v>2567</v>
      </c>
      <c r="AN73" s="3888" t="s">
        <v>2314</v>
      </c>
      <c r="AO73" s="3888" t="s">
        <v>2542</v>
      </c>
      <c r="AP73" s="3888" t="s">
        <v>3064</v>
      </c>
      <c r="AQ73" s="3888" t="s">
        <v>2545</v>
      </c>
      <c r="AR73" s="3888" t="s">
        <v>2544</v>
      </c>
      <c r="AS73" s="3888" t="s">
        <v>1145</v>
      </c>
      <c r="AT73" s="3888" t="s">
        <v>1150</v>
      </c>
      <c r="AU73" s="3891" t="s">
        <v>2560</v>
      </c>
      <c r="AV73" s="3891" t="s">
        <v>2558</v>
      </c>
      <c r="AW73" s="3891" t="s">
        <v>2549</v>
      </c>
      <c r="AX73" s="3891" t="s">
        <v>2779</v>
      </c>
      <c r="AY73" s="3887" t="s">
        <v>743</v>
      </c>
      <c r="AZ73" s="3885" t="s">
        <v>1376</v>
      </c>
      <c r="BA73" s="3887" t="s">
        <v>441</v>
      </c>
      <c r="BB73" s="3887" t="s">
        <v>3061</v>
      </c>
      <c r="BC73" s="3887" t="s">
        <v>3302</v>
      </c>
    </row>
    <row r="74" spans="2:56" s="242" customFormat="1" ht="67.5" hidden="1" customHeight="1" outlineLevel="2">
      <c r="B74" s="3426"/>
      <c r="C74" s="3427"/>
      <c r="D74" s="745"/>
      <c r="E74" s="745"/>
      <c r="F74" s="745"/>
      <c r="G74" s="3884"/>
      <c r="H74" s="3885" t="s">
        <v>2550</v>
      </c>
      <c r="I74" s="3885" t="s">
        <v>2551</v>
      </c>
      <c r="J74" s="3885" t="s">
        <v>2554</v>
      </c>
      <c r="K74" s="3886" t="s">
        <v>2554</v>
      </c>
      <c r="L74" s="3887" t="s">
        <v>2552</v>
      </c>
      <c r="M74" s="3887" t="s">
        <v>3392</v>
      </c>
      <c r="N74" s="3887" t="s">
        <v>2778</v>
      </c>
      <c r="O74" s="3887" t="s">
        <v>2553</v>
      </c>
      <c r="P74" s="3887"/>
      <c r="Q74" s="3887"/>
      <c r="R74" s="3887"/>
      <c r="S74" s="3888"/>
      <c r="T74" s="3888"/>
      <c r="U74" s="3888"/>
      <c r="V74" s="3888"/>
      <c r="W74" s="3888"/>
      <c r="X74" s="3884"/>
      <c r="Y74" s="3889" t="s">
        <v>2780</v>
      </c>
      <c r="Z74" s="3885" t="s">
        <v>2562</v>
      </c>
      <c r="AA74" s="3885" t="s">
        <v>2563</v>
      </c>
      <c r="AB74" s="3885" t="s">
        <v>2564</v>
      </c>
      <c r="AC74" s="3885" t="s">
        <v>2565</v>
      </c>
      <c r="AD74" s="3885" t="s">
        <v>2565</v>
      </c>
      <c r="AE74" s="3887"/>
      <c r="AF74" s="3887"/>
      <c r="AG74" s="3889"/>
      <c r="AH74" s="3889"/>
      <c r="AI74" s="3890"/>
      <c r="AJ74" s="3889"/>
      <c r="AK74" s="3889"/>
      <c r="AL74" s="3889"/>
      <c r="AM74" s="3889"/>
      <c r="AN74" s="3888"/>
      <c r="AO74" s="3888"/>
      <c r="AP74" s="3888"/>
      <c r="AQ74" s="3888">
        <v>6000</v>
      </c>
      <c r="AR74" s="3888"/>
      <c r="AS74" s="3888">
        <v>10000</v>
      </c>
      <c r="AT74" s="3888"/>
      <c r="AU74" s="3891" t="s">
        <v>2557</v>
      </c>
      <c r="AV74" s="3891" t="s">
        <v>2559</v>
      </c>
      <c r="AW74" s="3891" t="s">
        <v>2561</v>
      </c>
      <c r="AX74" s="3891" t="s">
        <v>2556</v>
      </c>
      <c r="AY74" s="3887"/>
      <c r="AZ74" s="3885" t="s">
        <v>2554</v>
      </c>
      <c r="BA74" s="3887"/>
      <c r="BB74" s="3887">
        <v>2700</v>
      </c>
      <c r="BC74" s="3887" t="s">
        <v>3304</v>
      </c>
    </row>
    <row r="75" spans="2:56" s="242" customFormat="1" hidden="1" outlineLevel="2">
      <c r="B75" s="3426"/>
      <c r="C75" s="3427"/>
      <c r="D75" s="745"/>
      <c r="E75" s="745"/>
      <c r="F75" s="745"/>
      <c r="G75" s="3871"/>
      <c r="H75" s="3872">
        <v>1000</v>
      </c>
      <c r="I75" s="3872">
        <v>4100</v>
      </c>
      <c r="J75" s="3872">
        <v>3600</v>
      </c>
      <c r="K75" s="3877">
        <v>5200</v>
      </c>
      <c r="L75" s="2834">
        <v>600</v>
      </c>
      <c r="M75" s="2834">
        <v>3950</v>
      </c>
      <c r="N75" s="2834">
        <v>1000</v>
      </c>
      <c r="O75" s="2834">
        <v>1000</v>
      </c>
      <c r="P75" s="2834"/>
      <c r="Q75" s="2834"/>
      <c r="R75" s="2834"/>
      <c r="S75" s="3854"/>
      <c r="T75" s="3854"/>
      <c r="U75" s="3854">
        <v>3000</v>
      </c>
      <c r="V75" s="3854"/>
      <c r="W75" s="3854"/>
      <c r="X75" s="3878"/>
      <c r="Y75" s="3879">
        <v>5000</v>
      </c>
      <c r="Z75" s="3880">
        <v>0.15</v>
      </c>
      <c r="AA75" s="3881">
        <v>5000</v>
      </c>
      <c r="AB75" s="3880">
        <v>0.06</v>
      </c>
      <c r="AC75" s="3881">
        <v>1500</v>
      </c>
      <c r="AD75" s="3881">
        <v>1000</v>
      </c>
      <c r="AE75" s="3879"/>
      <c r="AF75" s="3879"/>
      <c r="AG75" s="3879">
        <v>600</v>
      </c>
      <c r="AH75" s="3879">
        <v>500</v>
      </c>
      <c r="AI75" s="3879">
        <v>2500</v>
      </c>
      <c r="AJ75" s="3879">
        <v>6000</v>
      </c>
      <c r="AK75" s="3879"/>
      <c r="AL75" s="3879">
        <v>6000</v>
      </c>
      <c r="AM75" s="3879">
        <v>8000</v>
      </c>
      <c r="AN75" s="3882"/>
      <c r="AO75" s="3882"/>
      <c r="AP75" s="3882"/>
      <c r="AQ75" s="3882"/>
      <c r="AR75" s="3882"/>
      <c r="AS75" s="3882"/>
      <c r="AT75" s="3882"/>
      <c r="AU75" s="3883">
        <v>9500</v>
      </c>
      <c r="AV75" s="3883">
        <v>2000</v>
      </c>
      <c r="AW75" s="3883">
        <v>7000</v>
      </c>
      <c r="AX75" s="3883">
        <v>7000</v>
      </c>
      <c r="AY75" s="3879"/>
      <c r="AZ75" s="3881">
        <v>13000</v>
      </c>
      <c r="BA75" s="3879"/>
      <c r="BB75" s="3879"/>
      <c r="BC75" s="3879"/>
      <c r="BD75" s="3867"/>
    </row>
    <row r="76" spans="2:56" s="242" customFormat="1" hidden="1" outlineLevel="2">
      <c r="B76" s="3426"/>
      <c r="C76" s="3427"/>
      <c r="D76" s="745"/>
      <c r="E76" s="745"/>
      <c r="F76" s="2550" t="s">
        <v>1741</v>
      </c>
      <c r="G76" s="3878">
        <v>12750</v>
      </c>
      <c r="H76" s="3872"/>
      <c r="I76" s="3872"/>
      <c r="J76" s="3872"/>
      <c r="K76" s="3877"/>
      <c r="L76" s="2834"/>
      <c r="M76" s="2834"/>
      <c r="N76" s="2834"/>
      <c r="O76" s="2834"/>
      <c r="P76" s="2834"/>
      <c r="Q76" s="2834"/>
      <c r="R76" s="2834"/>
      <c r="S76" s="3854"/>
      <c r="T76" s="3854"/>
      <c r="U76" s="3854"/>
      <c r="V76" s="3854"/>
      <c r="W76" s="3854"/>
      <c r="X76" s="3878"/>
      <c r="Y76" s="3879"/>
      <c r="Z76" s="3881"/>
      <c r="AA76" s="3881"/>
      <c r="AB76" s="3881"/>
      <c r="AC76" s="3881"/>
      <c r="AD76" s="3881"/>
      <c r="AE76" s="3879"/>
      <c r="AF76" s="3879"/>
      <c r="AG76" s="3879"/>
      <c r="AH76" s="3879"/>
      <c r="AI76" s="3879"/>
      <c r="AJ76" s="3879"/>
      <c r="AK76" s="3879"/>
      <c r="AL76" s="3879"/>
      <c r="AM76" s="3879"/>
      <c r="AN76" s="3882"/>
      <c r="AO76" s="3882"/>
      <c r="AP76" s="3882"/>
      <c r="AQ76" s="3882"/>
      <c r="AR76" s="3882"/>
      <c r="AS76" s="3882"/>
      <c r="AT76" s="3882"/>
      <c r="AU76" s="3883"/>
      <c r="AV76" s="3883"/>
      <c r="AW76" s="3883"/>
      <c r="AX76" s="3883"/>
      <c r="AY76" s="3879"/>
      <c r="AZ76" s="3881"/>
      <c r="BA76" s="3879"/>
      <c r="BB76" s="3879"/>
      <c r="BC76" s="3879">
        <v>20600</v>
      </c>
      <c r="BD76" s="3867"/>
    </row>
    <row r="77" spans="2:56" s="242" customFormat="1" hidden="1" outlineLevel="2">
      <c r="B77" s="3426"/>
      <c r="C77" s="3427"/>
      <c r="D77" s="745"/>
      <c r="E77" s="745"/>
      <c r="F77" s="3859" t="s">
        <v>3240</v>
      </c>
      <c r="G77" s="3878">
        <v>12950</v>
      </c>
      <c r="H77" s="3872">
        <v>13950</v>
      </c>
      <c r="I77" s="3872">
        <v>17050</v>
      </c>
      <c r="J77" s="3872">
        <v>16550</v>
      </c>
      <c r="K77" s="3877">
        <v>18150</v>
      </c>
      <c r="L77" s="2834"/>
      <c r="M77" s="2834"/>
      <c r="N77" s="2834"/>
      <c r="O77" s="2834"/>
      <c r="P77" s="2834"/>
      <c r="Q77" s="2834"/>
      <c r="R77" s="2834"/>
      <c r="S77" s="3854"/>
      <c r="T77" s="3854"/>
      <c r="U77" s="3854"/>
      <c r="V77" s="3854"/>
      <c r="W77" s="3854"/>
      <c r="X77" s="3878"/>
      <c r="Y77" s="3879"/>
      <c r="Z77" s="3881"/>
      <c r="AA77" s="3881"/>
      <c r="AB77" s="3881"/>
      <c r="AC77" s="3881"/>
      <c r="AD77" s="3881"/>
      <c r="AE77" s="3879"/>
      <c r="AF77" s="3879"/>
      <c r="AG77" s="3879"/>
      <c r="AH77" s="3879"/>
      <c r="AI77" s="3879"/>
      <c r="AJ77" s="3879"/>
      <c r="AK77" s="3879"/>
      <c r="AL77" s="3879"/>
      <c r="AM77" s="3879"/>
      <c r="AN77" s="3882"/>
      <c r="AO77" s="3882"/>
      <c r="AP77" s="3882"/>
      <c r="AQ77" s="3882"/>
      <c r="AR77" s="3882"/>
      <c r="AS77" s="3882"/>
      <c r="AT77" s="3882"/>
      <c r="AU77" s="3883"/>
      <c r="AV77" s="3883"/>
      <c r="AW77" s="3883"/>
      <c r="AX77" s="3883"/>
      <c r="AY77" s="3879"/>
      <c r="AZ77" s="3881">
        <v>25950</v>
      </c>
      <c r="BA77" s="3879"/>
      <c r="BB77" s="3879">
        <v>15650</v>
      </c>
      <c r="BC77" s="3879"/>
      <c r="BD77" s="3867"/>
    </row>
    <row r="78" spans="2:56" s="242" customFormat="1" hidden="1" outlineLevel="2">
      <c r="B78" s="3426"/>
      <c r="C78" s="3427"/>
      <c r="D78" s="745"/>
      <c r="E78" s="745"/>
      <c r="F78" s="2541" t="s">
        <v>3241</v>
      </c>
      <c r="G78" s="3878">
        <v>15350</v>
      </c>
      <c r="H78" s="3872">
        <v>16350</v>
      </c>
      <c r="I78" s="3872">
        <v>19450</v>
      </c>
      <c r="J78" s="3872">
        <v>18950</v>
      </c>
      <c r="K78" s="3877">
        <v>20550</v>
      </c>
      <c r="L78" s="2834"/>
      <c r="M78" s="2834"/>
      <c r="N78" s="2834"/>
      <c r="O78" s="2834"/>
      <c r="P78" s="2834"/>
      <c r="Q78" s="2834"/>
      <c r="R78" s="2834"/>
      <c r="S78" s="3854"/>
      <c r="T78" s="3854"/>
      <c r="U78" s="3854"/>
      <c r="V78" s="3854"/>
      <c r="W78" s="3854"/>
      <c r="X78" s="3878"/>
      <c r="Y78" s="3879"/>
      <c r="Z78" s="3881"/>
      <c r="AA78" s="3881"/>
      <c r="AB78" s="3881"/>
      <c r="AC78" s="3881"/>
      <c r="AD78" s="3881"/>
      <c r="AE78" s="3879"/>
      <c r="AF78" s="3879"/>
      <c r="AG78" s="3879"/>
      <c r="AH78" s="3879"/>
      <c r="AI78" s="3879"/>
      <c r="AJ78" s="3879"/>
      <c r="AK78" s="3879"/>
      <c r="AL78" s="3879"/>
      <c r="AM78" s="3879"/>
      <c r="AN78" s="3882"/>
      <c r="AO78" s="3882"/>
      <c r="AP78" s="3882"/>
      <c r="AQ78" s="3882"/>
      <c r="AR78" s="3882"/>
      <c r="AS78" s="3882"/>
      <c r="AT78" s="3882"/>
      <c r="AU78" s="3883"/>
      <c r="AV78" s="3883"/>
      <c r="AW78" s="3883"/>
      <c r="AX78" s="3883"/>
      <c r="AY78" s="3879"/>
      <c r="AZ78" s="3881">
        <v>28350</v>
      </c>
      <c r="BA78" s="3879"/>
      <c r="BB78" s="3879">
        <v>18050</v>
      </c>
      <c r="BC78" s="3879"/>
      <c r="BD78" s="3867"/>
    </row>
    <row r="79" spans="2:56" s="242" customFormat="1" hidden="1" outlineLevel="2">
      <c r="B79" s="3426"/>
      <c r="C79" s="3427"/>
      <c r="D79" s="745"/>
      <c r="E79" s="745"/>
      <c r="F79" s="3646" t="s">
        <v>30</v>
      </c>
      <c r="G79" s="3878">
        <v>19900</v>
      </c>
      <c r="H79" s="3872">
        <v>20900</v>
      </c>
      <c r="I79" s="3872">
        <v>23300</v>
      </c>
      <c r="J79" s="3872">
        <v>24450</v>
      </c>
      <c r="K79" s="3877">
        <v>25100</v>
      </c>
      <c r="L79" s="2834">
        <v>20500</v>
      </c>
      <c r="M79" s="2834">
        <v>23850</v>
      </c>
      <c r="N79" s="2834">
        <v>21500</v>
      </c>
      <c r="O79" s="2834">
        <v>22500</v>
      </c>
      <c r="P79" s="2834">
        <v>22750</v>
      </c>
      <c r="Q79" s="2834">
        <v>25550</v>
      </c>
      <c r="R79" s="2834">
        <v>26100</v>
      </c>
      <c r="S79" s="3854">
        <v>30050</v>
      </c>
      <c r="T79" s="3854">
        <v>30050</v>
      </c>
      <c r="U79" s="3854">
        <v>33050</v>
      </c>
      <c r="V79" s="3854">
        <v>31750</v>
      </c>
      <c r="W79" s="3854">
        <v>36250</v>
      </c>
      <c r="X79" s="3878">
        <v>19750</v>
      </c>
      <c r="Y79" s="3879"/>
      <c r="Z79" s="3881">
        <v>22750</v>
      </c>
      <c r="AA79" s="3881">
        <v>22200</v>
      </c>
      <c r="AB79" s="3881">
        <v>24550</v>
      </c>
      <c r="AC79" s="3881"/>
      <c r="AD79" s="3881"/>
      <c r="AE79" s="3879">
        <v>28350</v>
      </c>
      <c r="AF79" s="3879"/>
      <c r="AG79" s="3879"/>
      <c r="AH79" s="3879"/>
      <c r="AI79" s="3879"/>
      <c r="AJ79" s="3879"/>
      <c r="AK79" s="3879"/>
      <c r="AL79" s="3879"/>
      <c r="AM79" s="3879"/>
      <c r="AN79" s="3882">
        <v>34500</v>
      </c>
      <c r="AO79" s="3882">
        <v>40700</v>
      </c>
      <c r="AP79" s="3882">
        <v>44650</v>
      </c>
      <c r="AQ79" s="3882">
        <v>42150</v>
      </c>
      <c r="AR79" s="3882">
        <v>50850</v>
      </c>
      <c r="AS79" s="3882">
        <v>55900</v>
      </c>
      <c r="AT79" s="3882">
        <v>55900</v>
      </c>
      <c r="AU79" s="3883"/>
      <c r="AV79" s="3883"/>
      <c r="AW79" s="3883">
        <v>33400</v>
      </c>
      <c r="AX79" s="3883">
        <v>26900</v>
      </c>
      <c r="AY79" s="3879">
        <v>33400</v>
      </c>
      <c r="AZ79" s="3881">
        <v>36750</v>
      </c>
      <c r="BA79" s="3879">
        <v>50250</v>
      </c>
      <c r="BB79" s="3879">
        <v>22600</v>
      </c>
      <c r="BC79" s="3879"/>
      <c r="BD79" s="3867"/>
    </row>
    <row r="80" spans="2:56" s="242" customFormat="1" hidden="1" outlineLevel="2">
      <c r="B80" s="3426"/>
      <c r="C80" s="3427"/>
      <c r="D80" s="745"/>
      <c r="E80" s="745"/>
      <c r="F80" s="2550" t="s">
        <v>2569</v>
      </c>
      <c r="G80" s="3878">
        <v>20900</v>
      </c>
      <c r="H80" s="3872">
        <v>21900</v>
      </c>
      <c r="I80" s="3872">
        <v>25000</v>
      </c>
      <c r="J80" s="3872">
        <v>24500</v>
      </c>
      <c r="K80" s="3877">
        <v>26100</v>
      </c>
      <c r="L80" s="2834"/>
      <c r="M80" s="2834"/>
      <c r="N80" s="2834"/>
      <c r="O80" s="2834"/>
      <c r="P80" s="2834"/>
      <c r="Q80" s="2834"/>
      <c r="R80" s="2834"/>
      <c r="S80" s="3854"/>
      <c r="T80" s="3854"/>
      <c r="U80" s="3854"/>
      <c r="V80" s="3854"/>
      <c r="W80" s="3854"/>
      <c r="X80" s="3878">
        <v>20750</v>
      </c>
      <c r="Y80" s="3879">
        <v>25750</v>
      </c>
      <c r="Z80" s="3881">
        <v>18750</v>
      </c>
      <c r="AA80" s="3881">
        <v>23750</v>
      </c>
      <c r="AB80" s="3881">
        <v>25200</v>
      </c>
      <c r="AC80" s="3881">
        <v>22250</v>
      </c>
      <c r="AD80" s="3881">
        <v>21750</v>
      </c>
      <c r="AE80" s="3879"/>
      <c r="AF80" s="3879">
        <v>28250</v>
      </c>
      <c r="AG80" s="3879">
        <v>28850</v>
      </c>
      <c r="AH80" s="3879">
        <v>29350</v>
      </c>
      <c r="AI80" s="3879">
        <v>31350</v>
      </c>
      <c r="AJ80" s="3879">
        <v>37350</v>
      </c>
      <c r="AK80" s="3879">
        <v>37350</v>
      </c>
      <c r="AL80" s="3879">
        <v>43350</v>
      </c>
      <c r="AM80" s="3879">
        <v>45350</v>
      </c>
      <c r="AN80" s="3882"/>
      <c r="AO80" s="3882"/>
      <c r="AP80" s="3882"/>
      <c r="AQ80" s="3882"/>
      <c r="AR80" s="3882"/>
      <c r="AS80" s="3882"/>
      <c r="AT80" s="3882"/>
      <c r="AU80" s="3883"/>
      <c r="AV80" s="3883"/>
      <c r="AW80" s="3883"/>
      <c r="AX80" s="3883"/>
      <c r="AY80" s="3879"/>
      <c r="AZ80" s="3881">
        <v>33900</v>
      </c>
      <c r="BA80" s="3879"/>
      <c r="BB80" s="3879">
        <v>23600</v>
      </c>
      <c r="BC80" s="3879"/>
      <c r="BD80" s="3867"/>
    </row>
    <row r="81" spans="2:56" s="242" customFormat="1" hidden="1" outlineLevel="2">
      <c r="B81" s="3426"/>
      <c r="C81" s="3427"/>
      <c r="D81" s="745"/>
      <c r="E81" s="745"/>
      <c r="F81" s="2550" t="s">
        <v>2570</v>
      </c>
      <c r="G81" s="3878">
        <v>22500</v>
      </c>
      <c r="H81" s="3872">
        <v>23500</v>
      </c>
      <c r="I81" s="3872">
        <v>26600</v>
      </c>
      <c r="J81" s="3872">
        <v>26100</v>
      </c>
      <c r="K81" s="3877">
        <v>27700</v>
      </c>
      <c r="L81" s="2834"/>
      <c r="M81" s="2834"/>
      <c r="N81" s="2834"/>
      <c r="O81" s="2834"/>
      <c r="P81" s="2834"/>
      <c r="Q81" s="2834"/>
      <c r="R81" s="2834"/>
      <c r="S81" s="3854"/>
      <c r="T81" s="3854"/>
      <c r="U81" s="3854"/>
      <c r="V81" s="3854"/>
      <c r="W81" s="3854"/>
      <c r="X81" s="3878">
        <v>22850</v>
      </c>
      <c r="Y81" s="3879">
        <v>27850</v>
      </c>
      <c r="Z81" s="3881">
        <v>26300</v>
      </c>
      <c r="AA81" s="3881">
        <v>31300</v>
      </c>
      <c r="AB81" s="3881">
        <v>33200</v>
      </c>
      <c r="AC81" s="3881">
        <v>24350</v>
      </c>
      <c r="AD81" s="3881">
        <v>23850</v>
      </c>
      <c r="AE81" s="3879"/>
      <c r="AF81" s="3879">
        <v>31100</v>
      </c>
      <c r="AG81" s="3879">
        <v>31750</v>
      </c>
      <c r="AH81" s="3879">
        <v>32300</v>
      </c>
      <c r="AI81" s="3879">
        <v>34500</v>
      </c>
      <c r="AJ81" s="3879">
        <v>41100</v>
      </c>
      <c r="AK81" s="3879">
        <v>41100</v>
      </c>
      <c r="AL81" s="3879">
        <v>47100</v>
      </c>
      <c r="AM81" s="3879">
        <v>49100</v>
      </c>
      <c r="AN81" s="3882"/>
      <c r="AO81" s="3882"/>
      <c r="AP81" s="3882"/>
      <c r="AQ81" s="3882"/>
      <c r="AR81" s="3882"/>
      <c r="AS81" s="3882"/>
      <c r="AT81" s="3882"/>
      <c r="AU81" s="3883">
        <v>32000</v>
      </c>
      <c r="AV81" s="3883">
        <v>34000</v>
      </c>
      <c r="AW81" s="3883">
        <v>39000</v>
      </c>
      <c r="AX81" s="3883">
        <v>30400</v>
      </c>
      <c r="AY81" s="3879"/>
      <c r="AZ81" s="3881">
        <v>35500</v>
      </c>
      <c r="BA81" s="3879"/>
      <c r="BB81" s="3879">
        <v>25200</v>
      </c>
      <c r="BC81" s="3879"/>
      <c r="BD81" s="3867"/>
    </row>
    <row r="82" spans="2:56" s="242" customFormat="1" ht="24" hidden="1" outlineLevel="2">
      <c r="B82" s="3426"/>
      <c r="C82" s="3427"/>
      <c r="D82" s="745"/>
      <c r="E82" s="745"/>
      <c r="F82" s="2550" t="s">
        <v>2571</v>
      </c>
      <c r="G82" s="3878"/>
      <c r="H82" s="3872"/>
      <c r="I82" s="3872"/>
      <c r="J82" s="3872"/>
      <c r="K82" s="3877"/>
      <c r="L82" s="2834"/>
      <c r="M82" s="2834"/>
      <c r="N82" s="2834"/>
      <c r="O82" s="2834"/>
      <c r="P82" s="2834"/>
      <c r="Q82" s="2834"/>
      <c r="R82" s="2834"/>
      <c r="S82" s="3854"/>
      <c r="T82" s="3854"/>
      <c r="U82" s="3854"/>
      <c r="V82" s="3854"/>
      <c r="W82" s="3854"/>
      <c r="X82" s="3878"/>
      <c r="Y82" s="3879"/>
      <c r="Z82" s="3881"/>
      <c r="AA82" s="3881"/>
      <c r="AB82" s="3881"/>
      <c r="AC82" s="3881"/>
      <c r="AD82" s="3881"/>
      <c r="AE82" s="3879"/>
      <c r="AF82" s="3879"/>
      <c r="AG82" s="3879"/>
      <c r="AH82" s="3879"/>
      <c r="AI82" s="3879"/>
      <c r="AJ82" s="3879"/>
      <c r="AK82" s="3879"/>
      <c r="AL82" s="3879"/>
      <c r="AM82" s="3879"/>
      <c r="AN82" s="3882"/>
      <c r="AO82" s="3882"/>
      <c r="AP82" s="3882"/>
      <c r="AQ82" s="3882"/>
      <c r="AR82" s="3882"/>
      <c r="AS82" s="3882"/>
      <c r="AT82" s="3882"/>
      <c r="AU82" s="3883"/>
      <c r="AV82" s="3883"/>
      <c r="AW82" s="3883"/>
      <c r="AX82" s="3883"/>
      <c r="AY82" s="3879"/>
      <c r="AZ82" s="3881"/>
      <c r="BA82" s="3879"/>
      <c r="BB82" s="3879"/>
      <c r="BC82" s="3879"/>
      <c r="BD82" s="3867"/>
    </row>
    <row r="83" spans="2:56" s="242" customFormat="1" hidden="1" outlineLevel="2">
      <c r="B83" s="3426"/>
      <c r="C83" s="3427"/>
      <c r="D83" s="745"/>
      <c r="E83" s="745"/>
      <c r="F83" s="745"/>
      <c r="G83" s="3878">
        <v>24500</v>
      </c>
      <c r="H83" s="3872">
        <v>25500</v>
      </c>
      <c r="I83" s="3872">
        <v>28600</v>
      </c>
      <c r="J83" s="3872">
        <v>28100</v>
      </c>
      <c r="K83" s="3877">
        <v>29700</v>
      </c>
      <c r="L83" s="2834">
        <v>25100</v>
      </c>
      <c r="M83" s="2834">
        <v>28450</v>
      </c>
      <c r="N83" s="2834">
        <v>26100</v>
      </c>
      <c r="O83" s="2834">
        <v>27100</v>
      </c>
      <c r="P83" s="2834"/>
      <c r="Q83" s="2834"/>
      <c r="R83" s="2834"/>
      <c r="S83" s="3854"/>
      <c r="T83" s="3854"/>
      <c r="U83" s="3854"/>
      <c r="V83" s="3854"/>
      <c r="W83" s="3854"/>
      <c r="X83" s="3878">
        <v>24900</v>
      </c>
      <c r="Y83" s="3879">
        <v>29900</v>
      </c>
      <c r="Z83" s="3881">
        <v>28650</v>
      </c>
      <c r="AA83" s="3881">
        <v>33650</v>
      </c>
      <c r="AB83" s="3881">
        <v>35700</v>
      </c>
      <c r="AC83" s="3881">
        <v>26400</v>
      </c>
      <c r="AD83" s="3881">
        <v>25900</v>
      </c>
      <c r="AE83" s="3879"/>
      <c r="AF83" s="3879">
        <v>33900</v>
      </c>
      <c r="AG83" s="3879">
        <v>34650</v>
      </c>
      <c r="AH83" s="3879">
        <v>35250</v>
      </c>
      <c r="AI83" s="3879">
        <v>37650</v>
      </c>
      <c r="AJ83" s="3879">
        <v>44850</v>
      </c>
      <c r="AK83" s="3879">
        <v>44850</v>
      </c>
      <c r="AL83" s="3879">
        <v>50850</v>
      </c>
      <c r="AM83" s="3879">
        <v>52850</v>
      </c>
      <c r="AN83" s="3882"/>
      <c r="AO83" s="3882"/>
      <c r="AP83" s="3882"/>
      <c r="AQ83" s="3882"/>
      <c r="AR83" s="3882"/>
      <c r="AS83" s="3882"/>
      <c r="AT83" s="3882"/>
      <c r="AU83" s="3883">
        <v>34000</v>
      </c>
      <c r="AV83" s="3883">
        <v>36000</v>
      </c>
      <c r="AW83" s="3883">
        <v>41000</v>
      </c>
      <c r="AX83" s="3883"/>
      <c r="AY83" s="3879"/>
      <c r="AZ83" s="3881">
        <v>37500</v>
      </c>
      <c r="BA83" s="3879"/>
      <c r="BB83" s="3879">
        <v>27200</v>
      </c>
      <c r="BC83" s="3879"/>
      <c r="BD83" s="3867"/>
    </row>
    <row r="84" spans="2:56" s="242" customFormat="1" hidden="1" outlineLevel="2">
      <c r="B84" s="3426"/>
      <c r="C84" s="3427"/>
      <c r="D84" s="745"/>
      <c r="E84" s="745"/>
      <c r="F84" s="745"/>
      <c r="G84" s="3871"/>
      <c r="H84" s="3872"/>
      <c r="I84" s="3872"/>
      <c r="J84" s="3872"/>
      <c r="K84" s="3873"/>
      <c r="L84" s="2834"/>
      <c r="M84" s="2834"/>
      <c r="N84" s="2834"/>
      <c r="O84" s="2834"/>
      <c r="P84" s="2834"/>
      <c r="Q84" s="2834"/>
      <c r="R84" s="2834"/>
      <c r="S84" s="3854"/>
      <c r="T84" s="3854"/>
      <c r="U84" s="3854"/>
      <c r="V84" s="3854"/>
      <c r="W84" s="3854"/>
      <c r="X84" s="3878"/>
      <c r="Y84" s="3879"/>
      <c r="Z84" s="3881"/>
      <c r="AA84" s="3881"/>
      <c r="AB84" s="3881"/>
      <c r="AC84" s="3881"/>
      <c r="AD84" s="3881"/>
      <c r="AE84" s="3879"/>
      <c r="AF84" s="3879"/>
      <c r="AG84" s="3879"/>
      <c r="AH84" s="3879"/>
      <c r="AI84" s="3879"/>
      <c r="AJ84" s="3879"/>
      <c r="AK84" s="3879"/>
      <c r="AL84" s="3879"/>
      <c r="AM84" s="3879"/>
      <c r="AN84" s="3882"/>
      <c r="AO84" s="3882"/>
      <c r="AP84" s="3882"/>
      <c r="AQ84" s="3882"/>
      <c r="AR84" s="3882"/>
      <c r="AS84" s="3882"/>
      <c r="AT84" s="3882"/>
      <c r="AU84" s="3883"/>
      <c r="AV84" s="3883"/>
      <c r="AW84" s="3883"/>
      <c r="AX84" s="3883"/>
      <c r="AY84" s="3879"/>
      <c r="AZ84" s="3881"/>
      <c r="BA84" s="3879"/>
      <c r="BB84" s="3879"/>
      <c r="BC84" s="3879"/>
      <c r="BD84" s="3867"/>
    </row>
    <row r="85" spans="2:56" s="242" customFormat="1" hidden="1" outlineLevel="2">
      <c r="B85" s="3426"/>
      <c r="C85" s="3427"/>
      <c r="D85" s="745"/>
      <c r="E85" s="745"/>
      <c r="F85" s="745"/>
      <c r="G85" s="707"/>
      <c r="H85" s="694"/>
      <c r="I85" s="694"/>
      <c r="J85" s="694"/>
      <c r="K85" s="742"/>
      <c r="S85" s="693"/>
      <c r="T85" s="693"/>
      <c r="U85" s="693"/>
      <c r="V85" s="693"/>
      <c r="W85" s="693"/>
      <c r="X85" s="3866"/>
      <c r="Y85" s="3867"/>
      <c r="Z85" s="3868"/>
      <c r="AA85" s="3868"/>
      <c r="AB85" s="3868"/>
      <c r="AC85" s="3868"/>
      <c r="AD85" s="3868"/>
      <c r="AE85" s="3867"/>
      <c r="AF85" s="3867"/>
      <c r="AG85" s="3867"/>
      <c r="AH85" s="3867"/>
      <c r="AI85" s="3867"/>
      <c r="AJ85" s="3867"/>
      <c r="AK85" s="3867"/>
      <c r="AL85" s="3867"/>
      <c r="AM85" s="3867"/>
      <c r="AN85" s="3869"/>
      <c r="AO85" s="3869"/>
      <c r="AP85" s="3869"/>
      <c r="AQ85" s="3869"/>
      <c r="AR85" s="3869"/>
      <c r="AS85" s="3869"/>
      <c r="AT85" s="3869"/>
      <c r="AU85" s="3870"/>
      <c r="AV85" s="3870"/>
      <c r="AW85" s="3870"/>
      <c r="AX85" s="3870"/>
      <c r="AY85" s="3867"/>
      <c r="AZ85" s="3868"/>
      <c r="BA85" s="3867"/>
      <c r="BB85" s="3867"/>
      <c r="BC85" s="3867"/>
      <c r="BD85" s="3867"/>
    </row>
    <row r="86" spans="2:56" s="242" customFormat="1" hidden="1" outlineLevel="2">
      <c r="B86" s="3426"/>
      <c r="C86" s="3427"/>
      <c r="D86" s="745"/>
      <c r="E86" s="745"/>
      <c r="F86" s="3427"/>
      <c r="G86" s="750" t="s">
        <v>1040</v>
      </c>
      <c r="H86" s="3433"/>
      <c r="I86" s="3433"/>
      <c r="J86" s="3433"/>
      <c r="K86" s="3433"/>
      <c r="L86" s="3433"/>
      <c r="M86" s="3432"/>
      <c r="N86" s="3432"/>
      <c r="O86" s="3432"/>
      <c r="P86" s="3432"/>
      <c r="Q86" s="3432"/>
      <c r="R86" s="3432"/>
      <c r="S86" s="3432"/>
      <c r="T86" s="3432"/>
      <c r="U86" s="3432"/>
      <c r="V86" s="3432"/>
      <c r="W86" s="3432"/>
      <c r="X86" s="3433"/>
      <c r="Y86" s="3433"/>
      <c r="Z86" s="693"/>
      <c r="AA86" s="3432"/>
      <c r="AB86" s="693"/>
      <c r="AC86" s="693"/>
      <c r="AD86" s="693"/>
      <c r="AE86" s="3432"/>
      <c r="AF86" s="3433"/>
      <c r="AG86" s="3433"/>
      <c r="AH86" s="3433"/>
      <c r="AI86" s="3433"/>
      <c r="AJ86" s="3433"/>
      <c r="AK86" s="3433"/>
      <c r="AL86" s="693"/>
      <c r="AM86" s="693"/>
      <c r="AN86" s="693"/>
      <c r="AO86" s="693"/>
      <c r="AP86" s="693"/>
      <c r="AQ86" s="693"/>
      <c r="AR86" s="693"/>
      <c r="AS86" s="693"/>
      <c r="AT86" s="693"/>
      <c r="AU86" s="3433"/>
      <c r="AV86" s="3433"/>
      <c r="AW86" s="3433"/>
      <c r="AX86" s="3432"/>
      <c r="AY86" s="693"/>
      <c r="AZ86" s="3433"/>
      <c r="BA86" s="693"/>
      <c r="BB86" s="441"/>
      <c r="BC86" s="441"/>
    </row>
    <row r="87" spans="2:56" s="242" customFormat="1" ht="60" hidden="1" outlineLevel="2">
      <c r="B87" s="3426"/>
      <c r="C87" s="3427"/>
      <c r="D87" s="745"/>
      <c r="E87" s="745"/>
      <c r="F87" s="3427"/>
      <c r="G87" s="3858" t="s">
        <v>1136</v>
      </c>
      <c r="H87" s="3858" t="s">
        <v>2533</v>
      </c>
      <c r="I87" s="988" t="s">
        <v>2538</v>
      </c>
      <c r="J87" s="3858" t="s">
        <v>2539</v>
      </c>
      <c r="K87" s="3858" t="s">
        <v>2555</v>
      </c>
      <c r="L87" s="807" t="s">
        <v>2540</v>
      </c>
      <c r="M87" s="807" t="s">
        <v>2541</v>
      </c>
      <c r="N87" s="2534" t="s">
        <v>2535</v>
      </c>
      <c r="O87" s="807" t="s">
        <v>2531</v>
      </c>
      <c r="P87" s="2534" t="s">
        <v>2536</v>
      </c>
      <c r="Q87" s="817" t="s">
        <v>2530</v>
      </c>
      <c r="R87" s="2534" t="s">
        <v>2537</v>
      </c>
      <c r="S87" s="807" t="s">
        <v>1672</v>
      </c>
      <c r="T87" s="807" t="s">
        <v>2546</v>
      </c>
      <c r="U87" s="815" t="s">
        <v>2547</v>
      </c>
      <c r="V87" s="3858" t="s">
        <v>2529</v>
      </c>
      <c r="W87" s="816" t="s">
        <v>2528</v>
      </c>
      <c r="X87" s="3858" t="s">
        <v>2577</v>
      </c>
      <c r="Y87" s="807" t="s">
        <v>1078</v>
      </c>
      <c r="Z87" s="3858" t="s">
        <v>1117</v>
      </c>
      <c r="AA87" s="3858" t="s">
        <v>1122</v>
      </c>
      <c r="AB87" s="807" t="s">
        <v>1130</v>
      </c>
      <c r="AC87" s="3858" t="s">
        <v>1125</v>
      </c>
      <c r="AD87" s="3858" t="s">
        <v>1126</v>
      </c>
      <c r="AE87" s="3858" t="s">
        <v>2532</v>
      </c>
      <c r="AF87" s="824" t="s">
        <v>1099</v>
      </c>
      <c r="AG87" s="824" t="s">
        <v>1098</v>
      </c>
      <c r="AH87" s="824" t="s">
        <v>1100</v>
      </c>
      <c r="AI87" s="824" t="s">
        <v>1103</v>
      </c>
      <c r="AJ87" s="824" t="s">
        <v>1698</v>
      </c>
      <c r="AK87" s="824" t="s">
        <v>1701</v>
      </c>
      <c r="AL87" s="824" t="s">
        <v>2566</v>
      </c>
      <c r="AM87" s="824" t="s">
        <v>2567</v>
      </c>
      <c r="AN87" s="3858" t="s">
        <v>2314</v>
      </c>
      <c r="AO87" s="807" t="s">
        <v>2542</v>
      </c>
      <c r="AP87" s="807" t="s">
        <v>2582</v>
      </c>
      <c r="AQ87" s="3858" t="s">
        <v>2545</v>
      </c>
      <c r="AR87" s="817" t="s">
        <v>2544</v>
      </c>
      <c r="AS87" s="3858" t="s">
        <v>1145</v>
      </c>
      <c r="AT87" s="3858" t="s">
        <v>1150</v>
      </c>
      <c r="AU87" s="3858" t="s">
        <v>2560</v>
      </c>
      <c r="AV87" s="3858" t="s">
        <v>2558</v>
      </c>
      <c r="AW87" s="3858" t="s">
        <v>2549</v>
      </c>
      <c r="AX87" s="3858" t="s">
        <v>2779</v>
      </c>
      <c r="AY87" s="3858" t="s">
        <v>743</v>
      </c>
      <c r="AZ87" s="3858" t="s">
        <v>1376</v>
      </c>
      <c r="BA87" s="807" t="s">
        <v>441</v>
      </c>
      <c r="BB87" s="3236" t="s">
        <v>2863</v>
      </c>
      <c r="BC87" s="441"/>
    </row>
    <row r="88" spans="2:56" s="242" customFormat="1" ht="36" hidden="1" outlineLevel="2">
      <c r="B88" s="3426"/>
      <c r="C88" s="3427"/>
      <c r="D88" s="745"/>
      <c r="E88" s="745"/>
      <c r="F88" s="3427"/>
      <c r="G88" s="2536"/>
      <c r="H88" s="807" t="s">
        <v>2550</v>
      </c>
      <c r="I88" s="807" t="s">
        <v>2551</v>
      </c>
      <c r="J88" s="807" t="s">
        <v>2554</v>
      </c>
      <c r="K88" s="807" t="s">
        <v>2554</v>
      </c>
      <c r="L88" s="807" t="s">
        <v>2552</v>
      </c>
      <c r="M88" s="807"/>
      <c r="N88" s="807" t="s">
        <v>2778</v>
      </c>
      <c r="O88" s="807" t="s">
        <v>2553</v>
      </c>
      <c r="P88" s="807"/>
      <c r="Q88" s="2537"/>
      <c r="R88" s="2535"/>
      <c r="S88" s="2526"/>
      <c r="T88" s="2526"/>
      <c r="U88" s="2558"/>
      <c r="V88" s="2536"/>
      <c r="W88" s="2538"/>
      <c r="X88" s="2536"/>
      <c r="Y88" s="2526" t="s">
        <v>2780</v>
      </c>
      <c r="Z88" s="807" t="s">
        <v>2562</v>
      </c>
      <c r="AA88" s="807" t="s">
        <v>2563</v>
      </c>
      <c r="AB88" s="807" t="s">
        <v>2564</v>
      </c>
      <c r="AC88" s="807" t="s">
        <v>2565</v>
      </c>
      <c r="AD88" s="807" t="s">
        <v>2565</v>
      </c>
      <c r="AE88" s="2536"/>
      <c r="AF88" s="2560"/>
      <c r="AG88" s="2560"/>
      <c r="AH88" s="2560"/>
      <c r="AI88" s="2560"/>
      <c r="AJ88" s="2560"/>
      <c r="AK88" s="2560"/>
      <c r="AL88" s="2560"/>
      <c r="AM88" s="2560"/>
      <c r="AN88" s="2536"/>
      <c r="AO88" s="2526"/>
      <c r="AP88" s="2526"/>
      <c r="AQ88" s="2536"/>
      <c r="AR88" s="2537"/>
      <c r="AS88" s="2536"/>
      <c r="AT88" s="2536"/>
      <c r="AU88" s="807" t="s">
        <v>2557</v>
      </c>
      <c r="AV88" s="807" t="s">
        <v>2559</v>
      </c>
      <c r="AW88" s="807" t="s">
        <v>2561</v>
      </c>
      <c r="AX88" s="807" t="s">
        <v>2556</v>
      </c>
      <c r="AY88" s="807"/>
      <c r="AZ88" s="807" t="s">
        <v>2554</v>
      </c>
      <c r="BA88" s="3234"/>
      <c r="BB88" s="3238">
        <v>2500</v>
      </c>
      <c r="BC88" s="441"/>
    </row>
    <row r="89" spans="2:56" s="242" customFormat="1" hidden="1" outlineLevel="2">
      <c r="B89" s="3426"/>
      <c r="C89" s="3427"/>
      <c r="D89" s="745"/>
      <c r="E89" s="745"/>
      <c r="F89" s="3427"/>
      <c r="G89" s="813"/>
      <c r="H89" s="2536">
        <v>1000</v>
      </c>
      <c r="I89" s="2536">
        <v>4000</v>
      </c>
      <c r="J89" s="2536">
        <v>3500</v>
      </c>
      <c r="K89" s="2536">
        <v>5000</v>
      </c>
      <c r="L89" s="2526">
        <v>500</v>
      </c>
      <c r="M89" s="2526"/>
      <c r="N89" s="2526">
        <v>1000</v>
      </c>
      <c r="O89" s="2526">
        <v>1000</v>
      </c>
      <c r="P89" s="2535"/>
      <c r="Q89" s="2537"/>
      <c r="R89" s="2535"/>
      <c r="S89" s="2526"/>
      <c r="T89" s="2526"/>
      <c r="U89" s="2558"/>
      <c r="V89" s="2536"/>
      <c r="W89" s="2538"/>
      <c r="X89" s="2536"/>
      <c r="Y89" s="2526">
        <v>3000</v>
      </c>
      <c r="Z89" s="2561">
        <v>-0.15</v>
      </c>
      <c r="AA89" s="2559">
        <v>5000</v>
      </c>
      <c r="AB89" s="2561">
        <v>0.05</v>
      </c>
      <c r="AC89" s="2536">
        <v>1000</v>
      </c>
      <c r="AD89" s="2536">
        <v>500</v>
      </c>
      <c r="AE89" s="2536"/>
      <c r="AF89" s="2560"/>
      <c r="AG89" s="2536">
        <v>550</v>
      </c>
      <c r="AH89" s="2536">
        <v>450</v>
      </c>
      <c r="AI89" s="2536">
        <v>2450</v>
      </c>
      <c r="AJ89" s="2536">
        <v>5500</v>
      </c>
      <c r="AK89" s="2536"/>
      <c r="AL89" s="2536">
        <v>6000</v>
      </c>
      <c r="AM89" s="2536">
        <v>8000</v>
      </c>
      <c r="AN89" s="2536"/>
      <c r="AO89" s="2526"/>
      <c r="AP89" s="2526"/>
      <c r="AQ89" s="2536"/>
      <c r="AR89" s="2537"/>
      <c r="AS89" s="2536"/>
      <c r="AT89" s="2536"/>
      <c r="AU89" s="2536">
        <v>9000</v>
      </c>
      <c r="AV89" s="2536">
        <v>2000</v>
      </c>
      <c r="AW89" s="2536">
        <v>7000</v>
      </c>
      <c r="AX89" s="2536">
        <v>5000</v>
      </c>
      <c r="AY89" s="2536"/>
      <c r="AZ89" s="2536">
        <v>12500</v>
      </c>
      <c r="BA89" s="3234"/>
      <c r="BB89" s="3238"/>
      <c r="BC89" s="441"/>
    </row>
    <row r="90" spans="2:56" s="242" customFormat="1" hidden="1" outlineLevel="2">
      <c r="B90" s="3426"/>
      <c r="C90" s="3427"/>
      <c r="D90" s="745"/>
      <c r="E90" s="745"/>
      <c r="F90" s="2550" t="s">
        <v>1741</v>
      </c>
      <c r="G90" s="3647"/>
      <c r="H90" s="3434"/>
      <c r="I90" s="3434"/>
      <c r="J90" s="3434"/>
      <c r="K90" s="3434"/>
      <c r="L90" s="3434"/>
      <c r="M90" s="3434"/>
      <c r="N90" s="3434"/>
      <c r="O90" s="3434"/>
      <c r="P90" s="3434"/>
      <c r="Q90" s="3434"/>
      <c r="R90" s="3434"/>
      <c r="S90" s="3434"/>
      <c r="T90" s="3434"/>
      <c r="U90" s="3434"/>
      <c r="V90" s="3434"/>
      <c r="W90" s="3434"/>
      <c r="X90" s="3434"/>
      <c r="Y90" s="3434"/>
      <c r="Z90" s="3434"/>
      <c r="AA90" s="3434"/>
      <c r="AB90" s="3434"/>
      <c r="AC90" s="3434"/>
      <c r="AD90" s="3434"/>
      <c r="AE90" s="3434"/>
      <c r="AF90" s="3434"/>
      <c r="AG90" s="3434"/>
      <c r="AH90" s="3434"/>
      <c r="AI90" s="3434"/>
      <c r="AJ90" s="3434"/>
      <c r="AK90" s="3434"/>
      <c r="AL90" s="3434"/>
      <c r="AM90" s="3434"/>
      <c r="AN90" s="3434"/>
      <c r="AO90" s="3434"/>
      <c r="AP90" s="3434"/>
      <c r="AQ90" s="3434"/>
      <c r="AR90" s="3434"/>
      <c r="AS90" s="3434"/>
      <c r="AT90" s="3434"/>
      <c r="AU90" s="3434"/>
      <c r="AV90" s="3434"/>
      <c r="AW90" s="3434"/>
      <c r="AX90" s="3434"/>
      <c r="AY90" s="3434"/>
      <c r="AZ90" s="3434"/>
      <c r="BA90" s="3434"/>
      <c r="BB90" s="3434"/>
      <c r="BC90" s="441"/>
    </row>
    <row r="91" spans="2:56" s="242" customFormat="1" hidden="1" outlineLevel="2">
      <c r="B91" s="3426"/>
      <c r="C91" s="3427"/>
      <c r="D91" s="745"/>
      <c r="E91" s="745"/>
      <c r="F91" s="3859" t="s">
        <v>3240</v>
      </c>
      <c r="G91" s="3434">
        <f t="shared" ref="G91:G96" si="23">G51/G76-1</f>
        <v>6.2745098039215685E-2</v>
      </c>
      <c r="H91" s="3434" t="s">
        <v>5</v>
      </c>
      <c r="I91" s="3434" t="s">
        <v>5</v>
      </c>
      <c r="J91" s="3434"/>
      <c r="K91" s="3434"/>
      <c r="L91" s="3434"/>
      <c r="M91" s="3434"/>
      <c r="N91" s="3434"/>
      <c r="O91" s="3434"/>
      <c r="P91" s="3434"/>
      <c r="Q91" s="3434"/>
      <c r="R91" s="3434"/>
      <c r="S91" s="3434"/>
      <c r="T91" s="3434"/>
      <c r="U91" s="3434"/>
      <c r="V91" s="3434"/>
      <c r="W91" s="3434"/>
      <c r="X91" s="3434"/>
      <c r="Y91" s="3434"/>
      <c r="Z91" s="3434"/>
      <c r="AA91" s="3434"/>
      <c r="AB91" s="3434"/>
      <c r="AC91" s="3434"/>
      <c r="AD91" s="3434"/>
      <c r="AE91" s="3434"/>
      <c r="AF91" s="3434"/>
      <c r="AG91" s="3434"/>
      <c r="AH91" s="3434"/>
      <c r="AI91" s="3434"/>
      <c r="AJ91" s="3434"/>
      <c r="AK91" s="3434"/>
      <c r="AL91" s="3434"/>
      <c r="AM91" s="3434"/>
      <c r="AN91" s="3434"/>
      <c r="AO91" s="3434"/>
      <c r="AP91" s="3434"/>
      <c r="AQ91" s="3434"/>
      <c r="AR91" s="3434"/>
      <c r="AS91" s="3434"/>
      <c r="AT91" s="3434"/>
      <c r="AU91" s="3434" t="s">
        <v>5</v>
      </c>
      <c r="AV91" s="3434" t="s">
        <v>5</v>
      </c>
      <c r="AW91" s="3434" t="s">
        <v>5</v>
      </c>
      <c r="AX91" s="3434" t="s">
        <v>5</v>
      </c>
      <c r="AY91" s="3434" t="s">
        <v>5</v>
      </c>
      <c r="AZ91" s="3434" t="s">
        <v>5</v>
      </c>
      <c r="BA91" s="3434" t="s">
        <v>5</v>
      </c>
      <c r="BB91" s="3434" t="s">
        <v>5</v>
      </c>
      <c r="BC91" s="441"/>
    </row>
    <row r="92" spans="2:56" s="242" customFormat="1" hidden="1" outlineLevel="2">
      <c r="B92" s="3426"/>
      <c r="C92" s="3427"/>
      <c r="D92" s="745"/>
      <c r="E92" s="745"/>
      <c r="F92" s="2541" t="s">
        <v>3241</v>
      </c>
      <c r="G92" s="3434">
        <f t="shared" si="23"/>
        <v>6.1776061776061875E-2</v>
      </c>
      <c r="H92" s="3434">
        <f t="shared" ref="H92:K96" si="24">H52/H77-1</f>
        <v>5.7347670250896154E-2</v>
      </c>
      <c r="I92" s="3434">
        <f t="shared" si="24"/>
        <v>5.8651026392961825E-2</v>
      </c>
      <c r="J92" s="3434">
        <f t="shared" si="24"/>
        <v>6.042296072507547E-2</v>
      </c>
      <c r="K92" s="3434">
        <f t="shared" si="24"/>
        <v>6.0606060606060552E-2</v>
      </c>
      <c r="L92" s="3434"/>
      <c r="M92" s="3434"/>
      <c r="N92" s="3434"/>
      <c r="O92" s="3434"/>
      <c r="P92" s="3434"/>
      <c r="Q92" s="3434"/>
      <c r="R92" s="3434"/>
      <c r="S92" s="3434"/>
      <c r="T92" s="3434"/>
      <c r="U92" s="3434"/>
      <c r="V92" s="3434"/>
      <c r="W92" s="3434"/>
      <c r="X92" s="3434"/>
      <c r="Y92" s="3434"/>
      <c r="Z92" s="3434"/>
      <c r="AA92" s="3434"/>
      <c r="AB92" s="3434"/>
      <c r="AC92" s="3434"/>
      <c r="AD92" s="3434"/>
      <c r="AE92" s="3434"/>
      <c r="AF92" s="3434"/>
      <c r="AG92" s="3434"/>
      <c r="AH92" s="3434"/>
      <c r="AI92" s="3434"/>
      <c r="AJ92" s="3434"/>
      <c r="AK92" s="3434"/>
      <c r="AL92" s="3434"/>
      <c r="AM92" s="3434"/>
      <c r="AN92" s="3434"/>
      <c r="AO92" s="3434"/>
      <c r="AP92" s="3434"/>
      <c r="AQ92" s="3434"/>
      <c r="AR92" s="3434"/>
      <c r="AS92" s="3434"/>
      <c r="AT92" s="3434"/>
      <c r="AU92" s="3434" t="s">
        <v>5</v>
      </c>
      <c r="AV92" s="3434" t="s">
        <v>5</v>
      </c>
      <c r="AW92" s="3434" t="s">
        <v>5</v>
      </c>
      <c r="AX92" s="3434" t="s">
        <v>5</v>
      </c>
      <c r="AY92" s="3434" t="s">
        <v>5</v>
      </c>
      <c r="AZ92" s="3434">
        <f>AZ52/AZ77-1</f>
        <v>5.7803468208092568E-2</v>
      </c>
      <c r="BA92" s="3434" t="s">
        <v>5</v>
      </c>
      <c r="BB92" s="3434">
        <f>BB52/BB77-1</f>
        <v>5.7507987220447365E-2</v>
      </c>
      <c r="BC92" s="441"/>
    </row>
    <row r="93" spans="2:56" s="242" customFormat="1" hidden="1" outlineLevel="2">
      <c r="B93" s="3426"/>
      <c r="C93" s="3427"/>
      <c r="D93" s="745"/>
      <c r="E93" s="745"/>
      <c r="F93" s="3646" t="s">
        <v>30</v>
      </c>
      <c r="G93" s="3434">
        <f t="shared" si="23"/>
        <v>5.8631921824104261E-2</v>
      </c>
      <c r="H93" s="3434">
        <f t="shared" si="24"/>
        <v>5.504587155963292E-2</v>
      </c>
      <c r="I93" s="3434">
        <f t="shared" si="24"/>
        <v>5.655526992287907E-2</v>
      </c>
      <c r="J93" s="3434">
        <f t="shared" si="24"/>
        <v>5.8047493403693862E-2</v>
      </c>
      <c r="K93" s="3434">
        <f t="shared" si="24"/>
        <v>5.8394160583941535E-2</v>
      </c>
      <c r="L93" s="3434"/>
      <c r="M93" s="3434"/>
      <c r="N93" s="3434"/>
      <c r="O93" s="3434"/>
      <c r="P93" s="3434"/>
      <c r="Q93" s="3434"/>
      <c r="R93" s="3434"/>
      <c r="S93" s="3434"/>
      <c r="T93" s="3434"/>
      <c r="U93" s="3434"/>
      <c r="V93" s="3434"/>
      <c r="W93" s="3434"/>
      <c r="X93" s="3434"/>
      <c r="Y93" s="3434"/>
      <c r="Z93" s="3434"/>
      <c r="AA93" s="3434"/>
      <c r="AB93" s="3434"/>
      <c r="AC93" s="3434"/>
      <c r="AD93" s="3434"/>
      <c r="AE93" s="3434"/>
      <c r="AF93" s="3434"/>
      <c r="AG93" s="3434"/>
      <c r="AH93" s="3434"/>
      <c r="AI93" s="3434"/>
      <c r="AJ93" s="3434"/>
      <c r="AK93" s="3434"/>
      <c r="AL93" s="3434"/>
      <c r="AM93" s="3434"/>
      <c r="AN93" s="3434"/>
      <c r="AO93" s="3434"/>
      <c r="AP93" s="3434"/>
      <c r="AQ93" s="3434"/>
      <c r="AR93" s="3434"/>
      <c r="AS93" s="3434"/>
      <c r="AT93" s="3434"/>
      <c r="AU93" s="3434"/>
      <c r="AV93" s="3434" t="s">
        <v>5</v>
      </c>
      <c r="AW93" s="3434" t="s">
        <v>5</v>
      </c>
      <c r="AX93" s="3434" t="s">
        <v>5</v>
      </c>
      <c r="AY93" s="3434" t="s">
        <v>5</v>
      </c>
      <c r="AZ93" s="3434">
        <f>AZ53/AZ78-1</f>
        <v>5.6437389770723101E-2</v>
      </c>
      <c r="BA93" s="3434" t="s">
        <v>5</v>
      </c>
      <c r="BB93" s="3434">
        <f>BB53/BB78-1</f>
        <v>5.5401662049861411E-2</v>
      </c>
      <c r="BC93" s="441"/>
    </row>
    <row r="94" spans="2:56" s="242" customFormat="1" hidden="1" outlineLevel="2">
      <c r="B94" s="3426"/>
      <c r="C94" s="3427"/>
      <c r="D94" s="745"/>
      <c r="E94" s="745"/>
      <c r="F94" s="2550" t="s">
        <v>2569</v>
      </c>
      <c r="G94" s="3434">
        <f t="shared" si="23"/>
        <v>6.0301507537688481E-2</v>
      </c>
      <c r="H94" s="3434">
        <f t="shared" si="24"/>
        <v>5.741626794258381E-2</v>
      </c>
      <c r="I94" s="3434">
        <f t="shared" si="24"/>
        <v>6.0085836909871349E-2</v>
      </c>
      <c r="J94" s="3434">
        <f t="shared" si="24"/>
        <v>6.1349693251533832E-2</v>
      </c>
      <c r="K94" s="3434">
        <f t="shared" si="24"/>
        <v>5.9760956175298752E-2</v>
      </c>
      <c r="L94" s="3434">
        <f t="shared" ref="L94:X94" si="25">L54/L79-1</f>
        <v>6.0975609756097615E-2</v>
      </c>
      <c r="M94" s="3434">
        <f t="shared" si="25"/>
        <v>6.079664570230614E-2</v>
      </c>
      <c r="N94" s="3434">
        <f t="shared" si="25"/>
        <v>5.8139534883721034E-2</v>
      </c>
      <c r="O94" s="3434">
        <f t="shared" si="25"/>
        <v>5.555555555555558E-2</v>
      </c>
      <c r="P94" s="3434">
        <f t="shared" si="25"/>
        <v>6.1538461538461542E-2</v>
      </c>
      <c r="Q94" s="3434">
        <f t="shared" si="25"/>
        <v>6.0665362035225101E-2</v>
      </c>
      <c r="R94" s="3434">
        <f t="shared" si="25"/>
        <v>6.1302681992337238E-2</v>
      </c>
      <c r="S94" s="3434">
        <f t="shared" si="25"/>
        <v>6.1564059900166335E-2</v>
      </c>
      <c r="T94" s="3434">
        <f t="shared" si="25"/>
        <v>6.1564059900166335E-2</v>
      </c>
      <c r="U94" s="3434">
        <f t="shared" si="25"/>
        <v>5.5975794251134747E-2</v>
      </c>
      <c r="V94" s="3434">
        <f t="shared" si="25"/>
        <v>6.1417322834645738E-2</v>
      </c>
      <c r="W94" s="3434">
        <f t="shared" si="25"/>
        <v>6.068965517241387E-2</v>
      </c>
      <c r="X94" s="3434">
        <f t="shared" si="25"/>
        <v>5.8227848101265911E-2</v>
      </c>
      <c r="Y94" s="3434" t="s">
        <v>5</v>
      </c>
      <c r="Z94" s="3434">
        <f t="shared" ref="Z94:AB96" si="26">Z54/Z79-1</f>
        <v>5.7142857142857162E-2</v>
      </c>
      <c r="AA94" s="3434">
        <f t="shared" si="26"/>
        <v>6.0810810810810745E-2</v>
      </c>
      <c r="AB94" s="3434">
        <f t="shared" si="26"/>
        <v>6.1099796334012302E-2</v>
      </c>
      <c r="AC94" s="3434" t="s">
        <v>5</v>
      </c>
      <c r="AD94" s="3434" t="s">
        <v>5</v>
      </c>
      <c r="AE94" s="3434">
        <f>AE54/AE79-1</f>
        <v>6.1728395061728447E-2</v>
      </c>
      <c r="AF94" s="3434"/>
      <c r="AG94" s="3434"/>
      <c r="AH94" s="3434"/>
      <c r="AI94" s="3434"/>
      <c r="AJ94" s="3434"/>
      <c r="AK94" s="3434"/>
      <c r="AL94" s="3434"/>
      <c r="AM94" s="3434"/>
      <c r="AN94" s="3434">
        <f t="shared" ref="AN94:AT94" si="27">AN54/AN79-1</f>
        <v>6.0869565217391397E-2</v>
      </c>
      <c r="AO94" s="3434">
        <f t="shared" si="27"/>
        <v>6.0196560196560167E-2</v>
      </c>
      <c r="AP94" s="3434">
        <f t="shared" si="27"/>
        <v>6.0470324748040261E-2</v>
      </c>
      <c r="AQ94" s="3434">
        <f t="shared" si="27"/>
        <v>6.0498220640569311E-2</v>
      </c>
      <c r="AR94" s="3434">
        <f t="shared" si="27"/>
        <v>6.0963618485742277E-2</v>
      </c>
      <c r="AS94" s="3434">
        <f t="shared" si="27"/>
        <v>6.0822898032200312E-2</v>
      </c>
      <c r="AT94" s="3434">
        <f t="shared" si="27"/>
        <v>6.0822898032200312E-2</v>
      </c>
      <c r="AU94" s="3434"/>
      <c r="AV94" s="3434" t="s">
        <v>5</v>
      </c>
      <c r="AW94" s="3434">
        <f>AW54/AW79-1</f>
        <v>6.1377245508982048E-2</v>
      </c>
      <c r="AX94" s="3434">
        <f>AX54/AX79-1</f>
        <v>6.3197026022304925E-2</v>
      </c>
      <c r="AY94" s="3434">
        <f>AY54/AY79-1</f>
        <v>6.1377245508982048E-2</v>
      </c>
      <c r="AZ94" s="3434">
        <f>AZ54/AZ79-1</f>
        <v>6.1224489795918435E-2</v>
      </c>
      <c r="BA94" s="3434">
        <f>BA54/BA79-1</f>
        <v>6.0696517412935247E-2</v>
      </c>
      <c r="BB94" s="3434">
        <f>BB54/BB79-1</f>
        <v>5.7522123893805288E-2</v>
      </c>
      <c r="BC94" s="441"/>
    </row>
    <row r="95" spans="2:56" s="242" customFormat="1" hidden="1" outlineLevel="2">
      <c r="B95" s="3426"/>
      <c r="C95" s="3427"/>
      <c r="D95" s="745"/>
      <c r="E95" s="745"/>
      <c r="F95" s="2550" t="s">
        <v>2570</v>
      </c>
      <c r="G95" s="3434">
        <f t="shared" si="23"/>
        <v>6.2200956937799035E-2</v>
      </c>
      <c r="H95" s="3434">
        <f t="shared" si="24"/>
        <v>5.9360730593607247E-2</v>
      </c>
      <c r="I95" s="3434">
        <f t="shared" si="24"/>
        <v>6.0000000000000053E-2</v>
      </c>
      <c r="J95" s="3434">
        <f t="shared" si="24"/>
        <v>6.1224489795918435E-2</v>
      </c>
      <c r="K95" s="3434">
        <f t="shared" si="24"/>
        <v>6.1302681992337238E-2</v>
      </c>
      <c r="L95" s="3434"/>
      <c r="M95" s="3434"/>
      <c r="N95" s="3434"/>
      <c r="O95" s="3434"/>
      <c r="P95" s="3434"/>
      <c r="Q95" s="3434"/>
      <c r="R95" s="3434"/>
      <c r="S95" s="3434"/>
      <c r="T95" s="3434"/>
      <c r="U95" s="3434"/>
      <c r="V95" s="3434"/>
      <c r="W95" s="3434"/>
      <c r="X95" s="3434">
        <f>X55/X80-1</f>
        <v>6.024096385542177E-2</v>
      </c>
      <c r="Y95" s="3434">
        <f>Y55/Y80-1</f>
        <v>5.6310679611650594E-2</v>
      </c>
      <c r="Z95" s="3434">
        <f t="shared" si="26"/>
        <v>6.133333333333324E-2</v>
      </c>
      <c r="AA95" s="3434">
        <f t="shared" si="26"/>
        <v>5.6842105263157805E-2</v>
      </c>
      <c r="AB95" s="3434">
        <f t="shared" si="26"/>
        <v>5.7539682539682557E-2</v>
      </c>
      <c r="AC95" s="3434">
        <f>AC55/AC80-1</f>
        <v>5.6179775280898792E-2</v>
      </c>
      <c r="AD95" s="3434">
        <f>AD55/AD80-1</f>
        <v>5.7471264367816133E-2</v>
      </c>
      <c r="AE95" s="3434" t="s">
        <v>5</v>
      </c>
      <c r="AF95" s="3434">
        <f t="shared" ref="AF95:AM96" si="28">AF55/AF80-1</f>
        <v>6.0176991150442394E-2</v>
      </c>
      <c r="AG95" s="3434">
        <f t="shared" si="28"/>
        <v>5.8925476603119531E-2</v>
      </c>
      <c r="AH95" s="3434">
        <f t="shared" si="28"/>
        <v>5.7921635434412311E-2</v>
      </c>
      <c r="AI95" s="3434">
        <f t="shared" si="28"/>
        <v>6.3795853269537517E-2</v>
      </c>
      <c r="AJ95" s="3434">
        <f t="shared" si="28"/>
        <v>5.8902275769745716E-2</v>
      </c>
      <c r="AK95" s="3434">
        <f t="shared" si="28"/>
        <v>5.8902275769745716E-2</v>
      </c>
      <c r="AL95" s="3434">
        <f t="shared" si="28"/>
        <v>6.2283737024221519E-2</v>
      </c>
      <c r="AM95" s="3434">
        <f t="shared" si="28"/>
        <v>5.9536934950385811E-2</v>
      </c>
      <c r="AN95" s="3434"/>
      <c r="AO95" s="3434"/>
      <c r="AP95" s="3434"/>
      <c r="AQ95" s="3434"/>
      <c r="AR95" s="3434"/>
      <c r="AS95" s="3434"/>
      <c r="AT95" s="3434"/>
      <c r="AU95" s="3434"/>
      <c r="AV95" s="3434" t="s">
        <v>5</v>
      </c>
      <c r="AW95" s="3434" t="s">
        <v>5</v>
      </c>
      <c r="AX95" s="3434" t="s">
        <v>5</v>
      </c>
      <c r="AY95" s="3434" t="s">
        <v>5</v>
      </c>
      <c r="AZ95" s="3434">
        <f>AZ55/AZ80-1</f>
        <v>5.8997050147492569E-2</v>
      </c>
      <c r="BA95" s="3434" t="s">
        <v>5</v>
      </c>
      <c r="BB95" s="3434">
        <f>BB55/BB80-1</f>
        <v>5.9322033898305149E-2</v>
      </c>
      <c r="BC95" s="441"/>
    </row>
    <row r="96" spans="2:56" s="242" customFormat="1" ht="24" hidden="1" outlineLevel="2">
      <c r="B96" s="3426"/>
      <c r="C96" s="3427"/>
      <c r="D96" s="745"/>
      <c r="E96" s="745"/>
      <c r="F96" s="2550" t="s">
        <v>2571</v>
      </c>
      <c r="G96" s="3434">
        <f t="shared" si="23"/>
        <v>6.0000000000000053E-2</v>
      </c>
      <c r="H96" s="3434">
        <f t="shared" si="24"/>
        <v>5.7446808510638325E-2</v>
      </c>
      <c r="I96" s="3434">
        <f t="shared" si="24"/>
        <v>5.8270676691729362E-2</v>
      </c>
      <c r="J96" s="3434">
        <f t="shared" si="24"/>
        <v>5.9386973180076685E-2</v>
      </c>
      <c r="K96" s="3434">
        <f t="shared" si="24"/>
        <v>5.9566787003610067E-2</v>
      </c>
      <c r="L96" s="3434"/>
      <c r="M96" s="3434"/>
      <c r="N96" s="3434"/>
      <c r="O96" s="3434"/>
      <c r="P96" s="3434"/>
      <c r="Q96" s="3434"/>
      <c r="R96" s="3434"/>
      <c r="S96" s="3434"/>
      <c r="T96" s="3434"/>
      <c r="U96" s="3434"/>
      <c r="V96" s="3434"/>
      <c r="W96" s="3434"/>
      <c r="X96" s="3434">
        <f>X56/X81-1</f>
        <v>5.908096280087527E-2</v>
      </c>
      <c r="Y96" s="3434">
        <f>Y56/Y81-1</f>
        <v>5.5655296229802476E-2</v>
      </c>
      <c r="Z96" s="3434">
        <f t="shared" si="26"/>
        <v>5.8935361216730042E-2</v>
      </c>
      <c r="AA96" s="3434">
        <f t="shared" si="26"/>
        <v>5.5910543130990309E-2</v>
      </c>
      <c r="AB96" s="3434">
        <f t="shared" si="26"/>
        <v>5.5722891566265087E-2</v>
      </c>
      <c r="AC96" s="3434">
        <f>AC56/AC81-1</f>
        <v>5.544147843942504E-2</v>
      </c>
      <c r="AD96" s="3434">
        <f>AD56/AD81-1</f>
        <v>5.6603773584905648E-2</v>
      </c>
      <c r="AE96" s="3434" t="s">
        <v>5</v>
      </c>
      <c r="AF96" s="3434">
        <f t="shared" si="28"/>
        <v>5.9485530546623755E-2</v>
      </c>
      <c r="AG96" s="3434">
        <f t="shared" si="28"/>
        <v>5.9842519685039397E-2</v>
      </c>
      <c r="AH96" s="3434">
        <f t="shared" si="28"/>
        <v>5.8823529411764719E-2</v>
      </c>
      <c r="AI96" s="3434">
        <f t="shared" si="28"/>
        <v>6.3768115942028913E-2</v>
      </c>
      <c r="AJ96" s="3434">
        <f t="shared" si="28"/>
        <v>5.9610705596107039E-2</v>
      </c>
      <c r="AK96" s="3434">
        <f t="shared" si="28"/>
        <v>5.9610705596107039E-2</v>
      </c>
      <c r="AL96" s="3434">
        <f t="shared" si="28"/>
        <v>6.2632696390658271E-2</v>
      </c>
      <c r="AM96" s="3434">
        <f t="shared" si="28"/>
        <v>6.0081466395111915E-2</v>
      </c>
      <c r="AN96" s="3434"/>
      <c r="AO96" s="3434"/>
      <c r="AP96" s="3434"/>
      <c r="AQ96" s="3434"/>
      <c r="AR96" s="3434"/>
      <c r="AS96" s="3434"/>
      <c r="AT96" s="3434"/>
      <c r="AU96" s="3434">
        <f t="shared" ref="AU96:BB96" si="29">AU56/AU81-1</f>
        <v>5.7812500000000044E-2</v>
      </c>
      <c r="AV96" s="3434">
        <f t="shared" si="29"/>
        <v>6.0294117647058831E-2</v>
      </c>
      <c r="AW96" s="3434">
        <f t="shared" si="29"/>
        <v>6.0256410256410264E-2</v>
      </c>
      <c r="AX96" s="3434">
        <f t="shared" si="29"/>
        <v>6.414473684210531E-2</v>
      </c>
      <c r="AY96" s="3434" t="s">
        <v>5</v>
      </c>
      <c r="AZ96" s="3434">
        <f t="shared" si="29"/>
        <v>5.774647887323936E-2</v>
      </c>
      <c r="BA96" s="3434" t="s">
        <v>5</v>
      </c>
      <c r="BB96" s="3434">
        <f t="shared" si="29"/>
        <v>5.7539682539682557E-2</v>
      </c>
    </row>
    <row r="97" spans="2:56" s="242" customFormat="1" hidden="1" outlineLevel="2">
      <c r="B97" s="3426"/>
      <c r="C97" s="3427"/>
      <c r="D97" s="745"/>
      <c r="E97" s="745"/>
      <c r="F97" s="745"/>
      <c r="G97" s="707"/>
      <c r="H97" s="694"/>
      <c r="I97" s="694"/>
      <c r="J97" s="694"/>
      <c r="K97" s="742"/>
      <c r="S97" s="693"/>
      <c r="T97" s="693"/>
      <c r="U97" s="693"/>
      <c r="V97" s="693"/>
      <c r="W97" s="693"/>
      <c r="X97" s="3866"/>
      <c r="Y97" s="3867"/>
      <c r="Z97" s="3868"/>
      <c r="AA97" s="3868"/>
      <c r="AB97" s="3868"/>
      <c r="AC97" s="3868"/>
      <c r="AD97" s="3868"/>
      <c r="AE97" s="3867"/>
      <c r="AF97" s="3867"/>
      <c r="AG97" s="3867"/>
      <c r="AH97" s="3867"/>
      <c r="AI97" s="3867"/>
      <c r="AJ97" s="3867"/>
      <c r="AK97" s="3867"/>
      <c r="AL97" s="3867"/>
      <c r="AM97" s="3867"/>
      <c r="AN97" s="3869"/>
      <c r="AO97" s="3869"/>
      <c r="AP97" s="3869"/>
      <c r="AQ97" s="3869"/>
      <c r="AR97" s="3869"/>
      <c r="AS97" s="3869"/>
      <c r="AT97" s="3869"/>
      <c r="AU97" s="3870"/>
      <c r="AV97" s="3870"/>
      <c r="AW97" s="3870"/>
      <c r="AX97" s="3870"/>
      <c r="AY97" s="3867"/>
      <c r="AZ97" s="3868"/>
      <c r="BA97" s="3867"/>
      <c r="BB97" s="3867"/>
      <c r="BC97" s="3867"/>
      <c r="BD97" s="3867"/>
    </row>
    <row r="98" spans="2:56" s="242" customFormat="1" hidden="1" outlineLevel="2">
      <c r="B98" s="3426"/>
      <c r="C98" s="3427"/>
      <c r="D98" s="745"/>
      <c r="E98" s="745"/>
      <c r="F98" s="745"/>
      <c r="G98" s="707"/>
      <c r="H98" s="694"/>
      <c r="I98" s="694"/>
      <c r="J98" s="694"/>
      <c r="K98" s="742"/>
      <c r="S98" s="693"/>
      <c r="T98" s="693"/>
      <c r="U98" s="693"/>
      <c r="V98" s="693"/>
      <c r="W98" s="693"/>
      <c r="X98" s="707"/>
      <c r="Y98" s="605"/>
      <c r="Z98" s="694"/>
      <c r="AA98" s="694"/>
      <c r="AB98" s="694"/>
      <c r="AC98" s="694"/>
      <c r="AD98" s="694"/>
      <c r="AG98" s="605"/>
      <c r="AH98" s="605"/>
      <c r="AI98" s="899"/>
      <c r="AJ98" s="605"/>
      <c r="AK98" s="605"/>
      <c r="AL98" s="605"/>
      <c r="AM98" s="605"/>
      <c r="AN98" s="693"/>
      <c r="AO98" s="693"/>
      <c r="AP98" s="693"/>
      <c r="AQ98" s="693"/>
      <c r="AR98" s="693"/>
      <c r="AS98" s="693"/>
      <c r="AT98" s="693"/>
      <c r="AU98" s="2271"/>
      <c r="AV98" s="2271"/>
      <c r="AW98" s="2271"/>
      <c r="AX98" s="2271"/>
      <c r="AZ98" s="694"/>
    </row>
    <row r="99" spans="2:56" s="242" customFormat="1" hidden="1" outlineLevel="2">
      <c r="B99" s="3426"/>
      <c r="C99" s="3427"/>
      <c r="D99" s="745"/>
      <c r="E99" s="745"/>
      <c r="F99" s="745"/>
      <c r="G99" s="3763" t="s">
        <v>3334</v>
      </c>
      <c r="H99" s="3764"/>
      <c r="I99" s="694"/>
      <c r="J99" s="694"/>
      <c r="K99" s="742"/>
      <c r="S99" s="693"/>
      <c r="T99" s="693"/>
      <c r="U99" s="693"/>
      <c r="V99" s="693"/>
      <c r="W99" s="693"/>
      <c r="X99" s="707"/>
      <c r="Y99" s="605"/>
      <c r="Z99" s="694"/>
      <c r="AA99" s="694"/>
      <c r="AB99" s="694"/>
      <c r="AC99" s="694"/>
      <c r="AD99" s="694"/>
      <c r="AG99" s="605"/>
      <c r="AH99" s="605"/>
      <c r="AI99" s="899"/>
      <c r="AJ99" s="605"/>
      <c r="AK99" s="605"/>
      <c r="AL99" s="605"/>
      <c r="AM99" s="605"/>
      <c r="AN99" s="693"/>
      <c r="AO99" s="693"/>
      <c r="AP99" s="693"/>
      <c r="AQ99" s="693"/>
      <c r="AR99" s="693"/>
      <c r="AS99" s="693"/>
      <c r="AT99" s="693"/>
      <c r="AU99" s="2271"/>
      <c r="AV99" s="2271"/>
      <c r="AW99" s="2271"/>
      <c r="AX99" s="2271"/>
      <c r="AZ99" s="694"/>
    </row>
    <row r="100" spans="2:56" s="242" customFormat="1" hidden="1" outlineLevel="2">
      <c r="B100" s="3426"/>
      <c r="C100" s="3427"/>
      <c r="D100" s="745"/>
      <c r="E100" s="745"/>
      <c r="F100" s="745"/>
      <c r="G100" s="2986" t="s">
        <v>860</v>
      </c>
      <c r="H100" s="2986" t="s">
        <v>860</v>
      </c>
      <c r="I100" s="2986" t="s">
        <v>860</v>
      </c>
      <c r="J100" s="2986" t="s">
        <v>860</v>
      </c>
      <c r="K100" s="2986" t="s">
        <v>860</v>
      </c>
      <c r="L100" s="2986" t="s">
        <v>969</v>
      </c>
      <c r="M100" s="2986" t="s">
        <v>969</v>
      </c>
      <c r="N100" s="2986" t="s">
        <v>863</v>
      </c>
      <c r="O100" s="2986" t="s">
        <v>863</v>
      </c>
      <c r="P100" s="2987" t="s">
        <v>2578</v>
      </c>
      <c r="Q100" s="2986" t="s">
        <v>840</v>
      </c>
      <c r="R100" s="2987" t="s">
        <v>2578</v>
      </c>
      <c r="S100" s="2986" t="s">
        <v>3062</v>
      </c>
      <c r="T100" s="2986" t="s">
        <v>3062</v>
      </c>
      <c r="U100" s="2986" t="s">
        <v>3062</v>
      </c>
      <c r="V100" s="2986" t="s">
        <v>2773</v>
      </c>
      <c r="W100" s="2987"/>
      <c r="X100" s="2557" t="s">
        <v>2286</v>
      </c>
      <c r="Y100" s="2557" t="s">
        <v>2286</v>
      </c>
      <c r="Z100" s="2557"/>
      <c r="AA100" s="2557"/>
      <c r="AB100" s="69"/>
      <c r="AC100" s="2557"/>
      <c r="AD100" s="2557"/>
      <c r="AE100" s="2557"/>
      <c r="AF100" s="2987"/>
      <c r="AG100" s="2557"/>
      <c r="AH100" s="2557"/>
      <c r="AI100" s="2557"/>
      <c r="AJ100" s="2557"/>
      <c r="AK100" s="2557"/>
      <c r="AL100" s="2557"/>
      <c r="AM100" s="2557"/>
      <c r="AN100" s="2557"/>
      <c r="AO100" s="2557"/>
      <c r="AP100" s="2557"/>
      <c r="AQ100" s="2557"/>
      <c r="AR100" s="2557"/>
      <c r="AS100" s="2557"/>
      <c r="AT100" s="2557"/>
      <c r="AU100" s="2557"/>
      <c r="AV100" s="2557"/>
      <c r="AW100" s="2557"/>
      <c r="AX100" s="2557"/>
      <c r="AY100" s="2557"/>
      <c r="AZ100" s="2986" t="s">
        <v>3063</v>
      </c>
      <c r="BA100" s="2557"/>
      <c r="BB100" s="2557" t="s">
        <v>860</v>
      </c>
      <c r="BC100" s="69" t="s">
        <v>3303</v>
      </c>
    </row>
    <row r="101" spans="2:56" s="242" customFormat="1" ht="36" hidden="1" outlineLevel="2">
      <c r="B101" s="3426"/>
      <c r="C101" s="3427"/>
      <c r="D101" s="745"/>
      <c r="E101" s="745"/>
      <c r="F101" s="745"/>
      <c r="G101" s="3757" t="s">
        <v>1136</v>
      </c>
      <c r="H101" s="3757" t="s">
        <v>2533</v>
      </c>
      <c r="I101" s="988" t="s">
        <v>2538</v>
      </c>
      <c r="J101" s="3757" t="s">
        <v>2539</v>
      </c>
      <c r="K101" s="3757" t="s">
        <v>2555</v>
      </c>
      <c r="L101" s="807" t="s">
        <v>2540</v>
      </c>
      <c r="M101" s="807" t="s">
        <v>2541</v>
      </c>
      <c r="N101" s="2534" t="s">
        <v>2535</v>
      </c>
      <c r="O101" s="807" t="s">
        <v>2531</v>
      </c>
      <c r="P101" s="2534" t="s">
        <v>2536</v>
      </c>
      <c r="Q101" s="817" t="s">
        <v>2530</v>
      </c>
      <c r="R101" s="2534" t="s">
        <v>2537</v>
      </c>
      <c r="S101" s="807" t="s">
        <v>1672</v>
      </c>
      <c r="T101" s="807" t="s">
        <v>2546</v>
      </c>
      <c r="U101" s="815" t="s">
        <v>2547</v>
      </c>
      <c r="V101" s="3757" t="s">
        <v>2529</v>
      </c>
      <c r="W101" s="816" t="s">
        <v>2528</v>
      </c>
      <c r="X101" s="3757" t="s">
        <v>2577</v>
      </c>
      <c r="Y101" s="807" t="s">
        <v>1078</v>
      </c>
      <c r="Z101" s="3757" t="s">
        <v>1117</v>
      </c>
      <c r="AA101" s="3757" t="s">
        <v>1122</v>
      </c>
      <c r="AB101" s="807" t="s">
        <v>1421</v>
      </c>
      <c r="AC101" s="3757" t="s">
        <v>1125</v>
      </c>
      <c r="AD101" s="3757" t="s">
        <v>1126</v>
      </c>
      <c r="AE101" s="3757" t="s">
        <v>2532</v>
      </c>
      <c r="AF101" s="824" t="s">
        <v>1099</v>
      </c>
      <c r="AG101" s="824" t="s">
        <v>1098</v>
      </c>
      <c r="AH101" s="824" t="s">
        <v>1100</v>
      </c>
      <c r="AI101" s="824" t="s">
        <v>1103</v>
      </c>
      <c r="AJ101" s="824" t="s">
        <v>1698</v>
      </c>
      <c r="AK101" s="824" t="s">
        <v>1701</v>
      </c>
      <c r="AL101" s="824" t="s">
        <v>2566</v>
      </c>
      <c r="AM101" s="824" t="s">
        <v>2567</v>
      </c>
      <c r="AN101" s="3757" t="s">
        <v>2314</v>
      </c>
      <c r="AO101" s="807" t="s">
        <v>2542</v>
      </c>
      <c r="AP101" s="807" t="s">
        <v>3064</v>
      </c>
      <c r="AQ101" s="3757" t="s">
        <v>2545</v>
      </c>
      <c r="AR101" s="817" t="s">
        <v>2544</v>
      </c>
      <c r="AS101" s="3757" t="s">
        <v>1145</v>
      </c>
      <c r="AT101" s="3757" t="s">
        <v>1150</v>
      </c>
      <c r="AU101" s="3757" t="s">
        <v>2560</v>
      </c>
      <c r="AV101" s="3757" t="s">
        <v>2558</v>
      </c>
      <c r="AW101" s="3757" t="s">
        <v>2549</v>
      </c>
      <c r="AX101" s="3757" t="s">
        <v>2779</v>
      </c>
      <c r="AY101" s="3757" t="s">
        <v>743</v>
      </c>
      <c r="AZ101" s="3757" t="s">
        <v>1376</v>
      </c>
      <c r="BA101" s="807" t="s">
        <v>441</v>
      </c>
      <c r="BB101" s="3236" t="s">
        <v>3061</v>
      </c>
      <c r="BC101" s="3710" t="s">
        <v>3302</v>
      </c>
    </row>
    <row r="102" spans="2:56" s="242" customFormat="1" ht="36" hidden="1" outlineLevel="2">
      <c r="B102" s="3426"/>
      <c r="C102" s="3427"/>
      <c r="D102" s="745"/>
      <c r="E102" s="745"/>
      <c r="F102" s="745"/>
      <c r="G102" s="2536"/>
      <c r="H102" s="807" t="s">
        <v>2550</v>
      </c>
      <c r="I102" s="807" t="s">
        <v>2551</v>
      </c>
      <c r="J102" s="807" t="s">
        <v>2554</v>
      </c>
      <c r="K102" s="807" t="s">
        <v>2554</v>
      </c>
      <c r="L102" s="807" t="s">
        <v>2552</v>
      </c>
      <c r="M102" s="807"/>
      <c r="N102" s="807" t="s">
        <v>2778</v>
      </c>
      <c r="O102" s="807" t="s">
        <v>2553</v>
      </c>
      <c r="P102" s="807"/>
      <c r="Q102" s="2537"/>
      <c r="R102" s="2535"/>
      <c r="S102" s="2526"/>
      <c r="T102" s="2526"/>
      <c r="U102" s="2558"/>
      <c r="V102" s="2536"/>
      <c r="W102" s="2538"/>
      <c r="X102" s="2536"/>
      <c r="Y102" s="2526" t="s">
        <v>2780</v>
      </c>
      <c r="Z102" s="807" t="s">
        <v>2562</v>
      </c>
      <c r="AA102" s="807" t="s">
        <v>2563</v>
      </c>
      <c r="AB102" s="807" t="s">
        <v>2564</v>
      </c>
      <c r="AC102" s="807" t="s">
        <v>2565</v>
      </c>
      <c r="AD102" s="807" t="s">
        <v>2565</v>
      </c>
      <c r="AE102" s="2536"/>
      <c r="AF102" s="2560"/>
      <c r="AG102" s="2560"/>
      <c r="AH102" s="2560"/>
      <c r="AI102" s="2560"/>
      <c r="AJ102" s="2560"/>
      <c r="AK102" s="2560"/>
      <c r="AL102" s="2560"/>
      <c r="AM102" s="2560"/>
      <c r="AN102" s="2536"/>
      <c r="AO102" s="2526"/>
      <c r="AP102" s="2526"/>
      <c r="AQ102" s="2536">
        <v>6000</v>
      </c>
      <c r="AR102" s="2537"/>
      <c r="AS102" s="2536">
        <v>10000</v>
      </c>
      <c r="AT102" s="2536"/>
      <c r="AU102" s="807" t="s">
        <v>2557</v>
      </c>
      <c r="AV102" s="807" t="s">
        <v>2559</v>
      </c>
      <c r="AW102" s="807" t="s">
        <v>2561</v>
      </c>
      <c r="AX102" s="807" t="s">
        <v>2556</v>
      </c>
      <c r="AY102" s="807"/>
      <c r="AZ102" s="807" t="s">
        <v>2554</v>
      </c>
      <c r="BA102" s="3234"/>
      <c r="BB102" s="2536">
        <v>2500</v>
      </c>
      <c r="BC102" s="3710" t="s">
        <v>3304</v>
      </c>
    </row>
    <row r="103" spans="2:56" s="242" customFormat="1" hidden="1" outlineLevel="2">
      <c r="B103" s="3426"/>
      <c r="C103" s="3427"/>
      <c r="D103" s="745"/>
      <c r="E103" s="745"/>
      <c r="G103" s="813"/>
      <c r="H103" s="2536">
        <v>1000</v>
      </c>
      <c r="I103" s="2536">
        <v>4000</v>
      </c>
      <c r="J103" s="2536">
        <v>3500</v>
      </c>
      <c r="K103" s="2536">
        <v>5000</v>
      </c>
      <c r="L103" s="2526">
        <v>500</v>
      </c>
      <c r="M103" s="2526"/>
      <c r="N103" s="2526">
        <v>1000</v>
      </c>
      <c r="O103" s="2526">
        <v>1000</v>
      </c>
      <c r="P103" s="2535"/>
      <c r="Q103" s="2537"/>
      <c r="R103" s="2535"/>
      <c r="S103" s="2526"/>
      <c r="T103" s="2526"/>
      <c r="U103" s="2558">
        <v>3000</v>
      </c>
      <c r="V103" s="2536"/>
      <c r="W103" s="2538"/>
      <c r="X103" s="2536"/>
      <c r="Y103" s="2526">
        <v>3000</v>
      </c>
      <c r="Z103" s="2561">
        <v>-0.15</v>
      </c>
      <c r="AA103" s="2559">
        <v>5000</v>
      </c>
      <c r="AB103" s="2561">
        <v>0.05</v>
      </c>
      <c r="AC103" s="2536">
        <v>1000</v>
      </c>
      <c r="AD103" s="2536">
        <v>500</v>
      </c>
      <c r="AE103" s="2536"/>
      <c r="AF103" s="2560"/>
      <c r="AG103" s="2536">
        <v>550</v>
      </c>
      <c r="AH103" s="2536">
        <v>450</v>
      </c>
      <c r="AI103" s="2536">
        <v>2450</v>
      </c>
      <c r="AJ103" s="2536">
        <v>5500</v>
      </c>
      <c r="AK103" s="2536"/>
      <c r="AL103" s="2536">
        <v>6000</v>
      </c>
      <c r="AM103" s="2536">
        <v>8000</v>
      </c>
      <c r="AN103" s="2536"/>
      <c r="AO103" s="2526"/>
      <c r="AP103" s="2526"/>
      <c r="AQ103" s="2536"/>
      <c r="AR103" s="2537"/>
      <c r="AS103" s="2536"/>
      <c r="AT103" s="2536"/>
      <c r="AU103" s="2536">
        <v>9000</v>
      </c>
      <c r="AV103" s="2536">
        <v>2000</v>
      </c>
      <c r="AW103" s="2536">
        <v>7000</v>
      </c>
      <c r="AX103" s="2536">
        <v>5000</v>
      </c>
      <c r="AY103" s="2536"/>
      <c r="AZ103" s="2536">
        <v>12500</v>
      </c>
      <c r="BA103" s="3234"/>
      <c r="BB103" s="3238"/>
      <c r="BC103" s="3710"/>
    </row>
    <row r="104" spans="2:56" s="242" customFormat="1" hidden="1" outlineLevel="2">
      <c r="B104" s="3426"/>
      <c r="C104" s="3427"/>
      <c r="D104" s="3791"/>
      <c r="E104" s="745"/>
      <c r="F104" s="2550" t="s">
        <v>1741</v>
      </c>
      <c r="G104" s="548">
        <v>12150</v>
      </c>
      <c r="H104" s="592"/>
      <c r="I104" s="592"/>
      <c r="J104" s="592"/>
      <c r="K104" s="592"/>
      <c r="L104" s="592"/>
      <c r="M104" s="592"/>
      <c r="N104" s="2549"/>
      <c r="O104" s="592"/>
      <c r="P104" s="2549"/>
      <c r="Q104" s="592"/>
      <c r="R104" s="2549"/>
      <c r="S104" s="592"/>
      <c r="T104" s="592"/>
      <c r="U104" s="592"/>
      <c r="V104" s="592"/>
      <c r="W104" s="592"/>
      <c r="X104" s="592"/>
      <c r="Y104" s="592"/>
      <c r="Z104" s="592"/>
      <c r="AA104" s="592"/>
      <c r="AB104" s="592"/>
      <c r="AC104" s="592"/>
      <c r="AD104" s="592"/>
      <c r="AE104" s="592"/>
      <c r="AF104" s="548"/>
      <c r="AG104" s="592"/>
      <c r="AH104" s="592"/>
      <c r="AI104" s="592"/>
      <c r="AJ104" s="592"/>
      <c r="AK104" s="592"/>
      <c r="AL104" s="2549"/>
      <c r="AM104" s="2549"/>
      <c r="AN104" s="592"/>
      <c r="AO104" s="592"/>
      <c r="AP104" s="592"/>
      <c r="AQ104" s="2549"/>
      <c r="AR104" s="592"/>
      <c r="AS104" s="592"/>
      <c r="AT104" s="592"/>
      <c r="AU104" s="592"/>
      <c r="AV104" s="2549"/>
      <c r="AW104" s="2549"/>
      <c r="AX104" s="592"/>
      <c r="AY104" s="592"/>
      <c r="AZ104" s="592"/>
      <c r="BA104" s="3235"/>
      <c r="BB104" s="3239"/>
      <c r="BC104" s="2963">
        <v>20600</v>
      </c>
    </row>
    <row r="105" spans="2:56" s="242" customFormat="1" hidden="1" outlineLevel="2">
      <c r="B105" s="3426"/>
      <c r="C105" s="3427"/>
      <c r="D105" s="3791"/>
      <c r="E105" s="745"/>
      <c r="F105" s="3756" t="s">
        <v>3240</v>
      </c>
      <c r="G105" s="548">
        <v>12350</v>
      </c>
      <c r="H105" s="2556">
        <v>13350</v>
      </c>
      <c r="I105" s="2556">
        <v>16350</v>
      </c>
      <c r="J105" s="2556">
        <v>15850</v>
      </c>
      <c r="K105" s="2556">
        <v>17350</v>
      </c>
      <c r="L105" s="2556"/>
      <c r="M105" s="548"/>
      <c r="N105" s="2556"/>
      <c r="O105" s="2622"/>
      <c r="P105" s="2552"/>
      <c r="Q105" s="592"/>
      <c r="R105" s="2552"/>
      <c r="S105" s="592"/>
      <c r="T105" s="592"/>
      <c r="U105" s="592"/>
      <c r="V105" s="592"/>
      <c r="W105" s="592"/>
      <c r="X105" s="592"/>
      <c r="Y105" s="592"/>
      <c r="Z105" s="592"/>
      <c r="AA105" s="548"/>
      <c r="AB105" s="548"/>
      <c r="AC105" s="592"/>
      <c r="AD105" s="548"/>
      <c r="AE105" s="592"/>
      <c r="AF105" s="548"/>
      <c r="AG105" s="592"/>
      <c r="AH105" s="592"/>
      <c r="AI105" s="592"/>
      <c r="AJ105" s="592"/>
      <c r="AK105" s="592"/>
      <c r="AL105" s="2549"/>
      <c r="AM105" s="2549"/>
      <c r="AN105" s="592"/>
      <c r="AO105" s="592"/>
      <c r="AP105" s="592"/>
      <c r="AQ105" s="2549"/>
      <c r="AR105" s="592"/>
      <c r="AS105" s="592"/>
      <c r="AT105" s="592"/>
      <c r="AU105" s="592"/>
      <c r="AV105" s="2549"/>
      <c r="AW105" s="2549"/>
      <c r="AX105" s="592"/>
      <c r="AY105" s="592"/>
      <c r="AZ105" s="2556">
        <v>24850</v>
      </c>
      <c r="BA105" s="3235"/>
      <c r="BB105" s="3239">
        <v>14850</v>
      </c>
      <c r="BC105" s="2963"/>
    </row>
    <row r="106" spans="2:56" s="242" customFormat="1" hidden="1" outlineLevel="2">
      <c r="B106" s="3426"/>
      <c r="C106" s="3427"/>
      <c r="D106" s="3791"/>
      <c r="E106" s="745"/>
      <c r="F106" s="2541" t="s">
        <v>3241</v>
      </c>
      <c r="G106" s="548">
        <v>14600</v>
      </c>
      <c r="H106" s="2556">
        <v>15600</v>
      </c>
      <c r="I106" s="2556">
        <v>18600</v>
      </c>
      <c r="J106" s="2556">
        <v>18100</v>
      </c>
      <c r="K106" s="2556">
        <v>19600</v>
      </c>
      <c r="L106" s="2556"/>
      <c r="M106" s="2549"/>
      <c r="N106" s="2556"/>
      <c r="O106" s="2552"/>
      <c r="P106" s="2552"/>
      <c r="Q106" s="2549"/>
      <c r="R106" s="2552"/>
      <c r="S106" s="2549"/>
      <c r="T106" s="2549"/>
      <c r="U106" s="2549"/>
      <c r="V106" s="2549"/>
      <c r="W106" s="2549"/>
      <c r="X106" s="2549"/>
      <c r="Y106" s="2549"/>
      <c r="Z106" s="2549"/>
      <c r="AA106" s="2552"/>
      <c r="AB106" s="2552"/>
      <c r="AC106" s="2549"/>
      <c r="AD106" s="2552"/>
      <c r="AE106" s="2549"/>
      <c r="AF106" s="2552"/>
      <c r="AG106" s="2549"/>
      <c r="AH106" s="2549"/>
      <c r="AI106" s="2549"/>
      <c r="AJ106" s="2549"/>
      <c r="AK106" s="2549"/>
      <c r="AL106" s="2549"/>
      <c r="AM106" s="2549"/>
      <c r="AN106" s="2549"/>
      <c r="AO106" s="2549"/>
      <c r="AP106" s="2549"/>
      <c r="AQ106" s="2549"/>
      <c r="AR106" s="2549"/>
      <c r="AS106" s="2549"/>
      <c r="AT106" s="2549"/>
      <c r="AU106" s="2549"/>
      <c r="AV106" s="2549"/>
      <c r="AW106" s="2549"/>
      <c r="AX106" s="2549"/>
      <c r="AY106" s="2549"/>
      <c r="AZ106" s="2556">
        <v>27100</v>
      </c>
      <c r="BA106" s="3235"/>
      <c r="BB106" s="3239">
        <v>17100</v>
      </c>
      <c r="BC106" s="2963"/>
    </row>
    <row r="107" spans="2:56" s="242" customFormat="1" hidden="1" outlineLevel="2">
      <c r="B107" s="3426"/>
      <c r="C107" s="3427"/>
      <c r="D107" s="3791"/>
      <c r="E107" s="745"/>
      <c r="F107" s="3646" t="s">
        <v>30</v>
      </c>
      <c r="G107" s="2546">
        <v>18939</v>
      </c>
      <c r="H107" s="2622">
        <v>20009</v>
      </c>
      <c r="I107" s="2622">
        <v>22149</v>
      </c>
      <c r="J107" s="2622">
        <v>23219</v>
      </c>
      <c r="K107" s="2546">
        <v>23968</v>
      </c>
      <c r="L107" s="2622">
        <v>19474</v>
      </c>
      <c r="M107" s="2546">
        <v>22684</v>
      </c>
      <c r="N107" s="2548">
        <v>20009</v>
      </c>
      <c r="O107" s="2546">
        <v>21079</v>
      </c>
      <c r="P107" s="2548">
        <v>21614</v>
      </c>
      <c r="Q107" s="2546">
        <v>24289</v>
      </c>
      <c r="R107" s="2548">
        <v>24824</v>
      </c>
      <c r="S107" s="2546">
        <v>28569</v>
      </c>
      <c r="T107" s="2546">
        <v>28569</v>
      </c>
      <c r="U107" s="2547">
        <v>31569</v>
      </c>
      <c r="V107" s="2546">
        <v>30174</v>
      </c>
      <c r="W107" s="2546">
        <v>34454</v>
      </c>
      <c r="X107" s="3442">
        <v>18800</v>
      </c>
      <c r="Y107" s="592"/>
      <c r="Z107" s="3442">
        <v>21650</v>
      </c>
      <c r="AA107" s="548">
        <v>21079</v>
      </c>
      <c r="AB107" s="592">
        <v>24289</v>
      </c>
      <c r="AC107" s="592"/>
      <c r="AD107" s="592"/>
      <c r="AE107" s="548">
        <v>26964</v>
      </c>
      <c r="AF107" s="592"/>
      <c r="AG107" s="592"/>
      <c r="AH107" s="592"/>
      <c r="AI107" s="592"/>
      <c r="AJ107" s="592"/>
      <c r="AK107" s="592"/>
      <c r="AL107" s="2549"/>
      <c r="AM107" s="2549"/>
      <c r="AN107" s="548">
        <v>32849</v>
      </c>
      <c r="AO107" s="548">
        <v>38734</v>
      </c>
      <c r="AP107" s="548">
        <v>42479</v>
      </c>
      <c r="AQ107" s="2552">
        <v>40071.5</v>
      </c>
      <c r="AR107" s="548">
        <v>48364</v>
      </c>
      <c r="AS107" s="548">
        <v>53179</v>
      </c>
      <c r="AT107" s="592">
        <v>53179</v>
      </c>
      <c r="AU107" s="592"/>
      <c r="AV107" s="2549"/>
      <c r="AW107" s="2988">
        <v>31779.000000000004</v>
      </c>
      <c r="AX107" s="2546">
        <v>25626.5</v>
      </c>
      <c r="AY107" s="2546">
        <v>31779.000000000004</v>
      </c>
      <c r="AZ107" s="2546">
        <v>34989</v>
      </c>
      <c r="BA107" s="3443">
        <v>47829</v>
      </c>
      <c r="BB107" s="3441">
        <v>22149</v>
      </c>
      <c r="BC107" s="3711"/>
    </row>
    <row r="108" spans="2:56" s="242" customFormat="1" hidden="1" outlineLevel="2">
      <c r="B108" s="3426"/>
      <c r="C108" s="3427"/>
      <c r="D108" s="3791"/>
      <c r="E108" s="745"/>
      <c r="F108" s="2550" t="s">
        <v>2569</v>
      </c>
      <c r="G108" s="548">
        <v>19900</v>
      </c>
      <c r="H108" s="2556">
        <v>20900</v>
      </c>
      <c r="I108" s="2556">
        <v>23900</v>
      </c>
      <c r="J108" s="2556">
        <v>23400</v>
      </c>
      <c r="K108" s="2556">
        <v>24900</v>
      </c>
      <c r="L108" s="548"/>
      <c r="M108" s="548"/>
      <c r="N108" s="548"/>
      <c r="O108" s="548"/>
      <c r="P108" s="548"/>
      <c r="Q108" s="548"/>
      <c r="R108" s="548"/>
      <c r="S108" s="548"/>
      <c r="T108" s="548"/>
      <c r="U108" s="548"/>
      <c r="V108" s="548"/>
      <c r="W108" s="548"/>
      <c r="X108" s="548">
        <v>19741.5</v>
      </c>
      <c r="Y108" s="548">
        <v>24556.5</v>
      </c>
      <c r="Z108" s="592">
        <v>17815.5</v>
      </c>
      <c r="AA108" s="548">
        <v>22815.5</v>
      </c>
      <c r="AB108" s="592">
        <v>24000</v>
      </c>
      <c r="AC108" s="592">
        <v>21881.5</v>
      </c>
      <c r="AD108" s="592">
        <v>21346.5</v>
      </c>
      <c r="AE108" s="548"/>
      <c r="AF108" s="548">
        <v>26857</v>
      </c>
      <c r="AG108" s="2556">
        <v>27499</v>
      </c>
      <c r="AH108" s="2556">
        <v>27949</v>
      </c>
      <c r="AI108" s="2556">
        <v>29949</v>
      </c>
      <c r="AJ108" s="2556">
        <v>35449</v>
      </c>
      <c r="AK108" s="2556">
        <v>35449</v>
      </c>
      <c r="AL108" s="2549">
        <v>41449</v>
      </c>
      <c r="AM108" s="2549">
        <v>43449</v>
      </c>
      <c r="AN108" s="592"/>
      <c r="AO108" s="592"/>
      <c r="AP108" s="592"/>
      <c r="AQ108" s="2549"/>
      <c r="AR108" s="592"/>
      <c r="AS108" s="592"/>
      <c r="AT108" s="592"/>
      <c r="AU108" s="592"/>
      <c r="AV108" s="2549"/>
      <c r="AW108" s="2549"/>
      <c r="AX108" s="548"/>
      <c r="AY108" s="548"/>
      <c r="AZ108" s="2556">
        <v>32400</v>
      </c>
      <c r="BA108" s="3235"/>
      <c r="BB108" s="3239">
        <v>22400</v>
      </c>
      <c r="BC108" s="3711"/>
    </row>
    <row r="109" spans="2:56" s="242" customFormat="1" hidden="1" outlineLevel="2">
      <c r="B109" s="3426"/>
      <c r="C109" s="3427"/>
      <c r="D109" s="3791"/>
      <c r="E109" s="745"/>
      <c r="F109" s="2550" t="s">
        <v>2570</v>
      </c>
      <c r="G109" s="548">
        <v>21450</v>
      </c>
      <c r="H109" s="2556">
        <v>22450</v>
      </c>
      <c r="I109" s="2556">
        <v>25450</v>
      </c>
      <c r="J109" s="2556">
        <v>24950</v>
      </c>
      <c r="K109" s="2556">
        <v>26450</v>
      </c>
      <c r="L109" s="548"/>
      <c r="M109" s="548"/>
      <c r="N109" s="548"/>
      <c r="O109" s="548"/>
      <c r="P109" s="548"/>
      <c r="Q109" s="548"/>
      <c r="R109" s="548"/>
      <c r="S109" s="548"/>
      <c r="T109" s="548"/>
      <c r="U109" s="548"/>
      <c r="V109" s="548"/>
      <c r="W109" s="548"/>
      <c r="X109" s="2556">
        <v>21750</v>
      </c>
      <c r="Y109" s="2556">
        <v>27050</v>
      </c>
      <c r="Z109" s="592">
        <v>25050</v>
      </c>
      <c r="AA109" s="548">
        <v>30050</v>
      </c>
      <c r="AB109" s="592">
        <v>31600</v>
      </c>
      <c r="AC109" s="592">
        <v>22750</v>
      </c>
      <c r="AD109" s="592">
        <v>22250</v>
      </c>
      <c r="AE109" s="548"/>
      <c r="AF109" s="2556">
        <v>29550</v>
      </c>
      <c r="AG109" s="2556">
        <v>30250</v>
      </c>
      <c r="AH109" s="2556">
        <v>30750</v>
      </c>
      <c r="AI109" s="2556">
        <v>32950</v>
      </c>
      <c r="AJ109" s="2556">
        <v>39000</v>
      </c>
      <c r="AK109" s="2556">
        <v>39000</v>
      </c>
      <c r="AL109" s="2549">
        <v>45000</v>
      </c>
      <c r="AM109" s="2549">
        <v>47000</v>
      </c>
      <c r="AN109" s="592"/>
      <c r="AO109" s="592"/>
      <c r="AP109" s="592"/>
      <c r="AQ109" s="2549"/>
      <c r="AR109" s="592"/>
      <c r="AS109" s="592"/>
      <c r="AT109" s="592"/>
      <c r="AU109" s="2556">
        <v>30450</v>
      </c>
      <c r="AV109" s="2556">
        <v>32450</v>
      </c>
      <c r="AW109" s="2556">
        <v>37450</v>
      </c>
      <c r="AX109" s="2556">
        <v>29000</v>
      </c>
      <c r="AY109" s="592"/>
      <c r="AZ109" s="2556">
        <v>33950</v>
      </c>
      <c r="BA109" s="3235"/>
      <c r="BB109" s="3239">
        <v>23950</v>
      </c>
      <c r="BC109" s="3711"/>
    </row>
    <row r="110" spans="2:56" s="242" customFormat="1" ht="24" hidden="1" outlineLevel="2">
      <c r="B110" s="3426"/>
      <c r="C110" s="3427"/>
      <c r="D110" s="3791"/>
      <c r="E110" s="745"/>
      <c r="F110" s="2550" t="s">
        <v>2571</v>
      </c>
      <c r="G110" s="548">
        <v>23300</v>
      </c>
      <c r="H110" s="2556">
        <v>24300</v>
      </c>
      <c r="I110" s="2556">
        <v>27300</v>
      </c>
      <c r="J110" s="2556">
        <v>26800</v>
      </c>
      <c r="K110" s="2556">
        <v>28300</v>
      </c>
      <c r="L110" s="2556">
        <v>23800</v>
      </c>
      <c r="M110" s="548"/>
      <c r="N110" s="548">
        <v>24800</v>
      </c>
      <c r="O110" s="548">
        <v>25800</v>
      </c>
      <c r="P110" s="548"/>
      <c r="Q110" s="548"/>
      <c r="R110" s="548"/>
      <c r="S110" s="548"/>
      <c r="T110" s="548"/>
      <c r="U110" s="548"/>
      <c r="V110" s="548"/>
      <c r="W110" s="548"/>
      <c r="X110" s="2556">
        <v>23700</v>
      </c>
      <c r="Y110" s="2556">
        <v>29500</v>
      </c>
      <c r="Z110" s="592">
        <v>27300</v>
      </c>
      <c r="AA110" s="548">
        <v>32300</v>
      </c>
      <c r="AB110" s="592">
        <v>33950</v>
      </c>
      <c r="AC110" s="592">
        <v>24700</v>
      </c>
      <c r="AD110" s="592">
        <v>24200</v>
      </c>
      <c r="AE110" s="548"/>
      <c r="AF110" s="2556">
        <v>32250</v>
      </c>
      <c r="AG110" s="2556">
        <v>33000</v>
      </c>
      <c r="AH110" s="2556">
        <v>33550</v>
      </c>
      <c r="AI110" s="2556">
        <v>35950</v>
      </c>
      <c r="AJ110" s="2556">
        <v>42550</v>
      </c>
      <c r="AK110" s="2556">
        <v>42550</v>
      </c>
      <c r="AL110" s="2549">
        <v>48550</v>
      </c>
      <c r="AM110" s="2549">
        <v>50550</v>
      </c>
      <c r="AN110" s="592"/>
      <c r="AO110" s="592"/>
      <c r="AP110" s="592"/>
      <c r="AQ110" s="2549"/>
      <c r="AR110" s="592"/>
      <c r="AS110" s="592"/>
      <c r="AT110" s="592"/>
      <c r="AU110" s="2556">
        <v>32300</v>
      </c>
      <c r="AV110" s="2556">
        <v>34300</v>
      </c>
      <c r="AW110" s="2556">
        <v>39300</v>
      </c>
      <c r="AX110" s="548"/>
      <c r="AY110" s="592"/>
      <c r="AZ110" s="2556">
        <v>35800</v>
      </c>
      <c r="BA110" s="3235"/>
      <c r="BB110" s="3239">
        <v>25800</v>
      </c>
      <c r="BC110" s="2963"/>
    </row>
    <row r="111" spans="2:56" s="242" customFormat="1" hidden="1" outlineLevel="2">
      <c r="B111" s="3426"/>
      <c r="C111" s="3427"/>
      <c r="D111" s="745"/>
      <c r="E111" s="745"/>
      <c r="F111" s="3427"/>
      <c r="G111" s="3432"/>
      <c r="H111" s="3433"/>
      <c r="I111" s="3433"/>
      <c r="J111" s="3433"/>
      <c r="K111" s="3433"/>
      <c r="L111" s="3433"/>
      <c r="M111" s="3432"/>
      <c r="N111" s="3432"/>
      <c r="O111" s="3432"/>
      <c r="P111" s="3432"/>
      <c r="Q111" s="3432"/>
      <c r="R111" s="3432"/>
      <c r="S111" s="3432"/>
      <c r="T111" s="3432"/>
      <c r="U111" s="3432"/>
      <c r="V111" s="3432"/>
      <c r="W111" s="3432"/>
      <c r="X111" s="3433"/>
      <c r="Y111" s="3433"/>
      <c r="Z111" s="693"/>
      <c r="AA111" s="3432"/>
      <c r="AB111" s="693"/>
      <c r="AC111" s="693"/>
      <c r="AD111" s="693"/>
      <c r="AE111" s="3432"/>
      <c r="AF111" s="3433"/>
      <c r="AG111" s="3433"/>
      <c r="AH111" s="3433"/>
      <c r="AI111" s="3433"/>
      <c r="AJ111" s="3433"/>
      <c r="AK111" s="3433"/>
      <c r="AL111" s="693"/>
      <c r="AM111" s="693"/>
      <c r="AN111" s="693"/>
      <c r="AO111" s="693"/>
      <c r="AP111" s="693"/>
      <c r="AQ111" s="693"/>
      <c r="AR111" s="693"/>
      <c r="AS111" s="693"/>
      <c r="AT111" s="693"/>
      <c r="AU111" s="3433"/>
      <c r="AV111" s="3433"/>
      <c r="AW111" s="3433"/>
      <c r="AX111" s="3432"/>
      <c r="AY111" s="693"/>
      <c r="AZ111" s="3433"/>
      <c r="BA111" s="693"/>
      <c r="BB111" s="441"/>
      <c r="BC111" s="441"/>
    </row>
    <row r="112" spans="2:56" s="242" customFormat="1" hidden="1" outlineLevel="2">
      <c r="B112" s="3426"/>
      <c r="C112" s="3427"/>
      <c r="D112" s="745"/>
      <c r="E112" s="745"/>
      <c r="F112" s="3427"/>
      <c r="G112" s="750" t="s">
        <v>1040</v>
      </c>
      <c r="H112" s="3433"/>
      <c r="I112" s="3433"/>
      <c r="J112" s="3433"/>
      <c r="K112" s="3433"/>
      <c r="L112" s="3433"/>
      <c r="M112" s="3432"/>
      <c r="N112" s="3432"/>
      <c r="O112" s="3432"/>
      <c r="P112" s="3432"/>
      <c r="Q112" s="3432"/>
      <c r="R112" s="3432"/>
      <c r="S112" s="3432"/>
      <c r="T112" s="3432"/>
      <c r="U112" s="3432"/>
      <c r="V112" s="3432"/>
      <c r="W112" s="3432"/>
      <c r="X112" s="3433"/>
      <c r="Y112" s="3433"/>
      <c r="Z112" s="693"/>
      <c r="AA112" s="3432"/>
      <c r="AB112" s="693"/>
      <c r="AC112" s="693"/>
      <c r="AD112" s="693"/>
      <c r="AE112" s="3432"/>
      <c r="AF112" s="3433"/>
      <c r="AG112" s="3433"/>
      <c r="AH112" s="3433"/>
      <c r="AI112" s="3433"/>
      <c r="AJ112" s="3433"/>
      <c r="AK112" s="3433"/>
      <c r="AL112" s="693"/>
      <c r="AM112" s="693"/>
      <c r="AN112" s="693"/>
      <c r="AO112" s="693"/>
      <c r="AP112" s="693"/>
      <c r="AQ112" s="693"/>
      <c r="AR112" s="693"/>
      <c r="AS112" s="693"/>
      <c r="AT112" s="693"/>
      <c r="AU112" s="3433"/>
      <c r="AV112" s="3433"/>
      <c r="AW112" s="3433"/>
      <c r="AX112" s="3432"/>
      <c r="AY112" s="693"/>
      <c r="AZ112" s="3433"/>
      <c r="BA112" s="693"/>
      <c r="BB112" s="441"/>
      <c r="BC112" s="441"/>
    </row>
    <row r="113" spans="2:55" s="242" customFormat="1" ht="60" hidden="1" outlineLevel="2">
      <c r="B113" s="3426"/>
      <c r="C113" s="3427"/>
      <c r="D113" s="745"/>
      <c r="E113" s="745"/>
      <c r="F113" s="3427"/>
      <c r="G113" s="3757" t="s">
        <v>1136</v>
      </c>
      <c r="H113" s="3757" t="s">
        <v>2533</v>
      </c>
      <c r="I113" s="988" t="s">
        <v>2538</v>
      </c>
      <c r="J113" s="3757" t="s">
        <v>2539</v>
      </c>
      <c r="K113" s="3757" t="s">
        <v>2555</v>
      </c>
      <c r="L113" s="807" t="s">
        <v>2540</v>
      </c>
      <c r="M113" s="807" t="s">
        <v>2541</v>
      </c>
      <c r="N113" s="2534" t="s">
        <v>2535</v>
      </c>
      <c r="O113" s="807" t="s">
        <v>2531</v>
      </c>
      <c r="P113" s="2534" t="s">
        <v>2536</v>
      </c>
      <c r="Q113" s="817" t="s">
        <v>2530</v>
      </c>
      <c r="R113" s="2534" t="s">
        <v>2537</v>
      </c>
      <c r="S113" s="807" t="s">
        <v>1672</v>
      </c>
      <c r="T113" s="807" t="s">
        <v>2546</v>
      </c>
      <c r="U113" s="815" t="s">
        <v>2547</v>
      </c>
      <c r="V113" s="3757" t="s">
        <v>2529</v>
      </c>
      <c r="W113" s="816" t="s">
        <v>2528</v>
      </c>
      <c r="X113" s="3757" t="s">
        <v>2577</v>
      </c>
      <c r="Y113" s="807" t="s">
        <v>1078</v>
      </c>
      <c r="Z113" s="3757" t="s">
        <v>1117</v>
      </c>
      <c r="AA113" s="3757" t="s">
        <v>1122</v>
      </c>
      <c r="AB113" s="807" t="s">
        <v>1130</v>
      </c>
      <c r="AC113" s="3757" t="s">
        <v>1125</v>
      </c>
      <c r="AD113" s="3757" t="s">
        <v>1126</v>
      </c>
      <c r="AE113" s="3757" t="s">
        <v>2532</v>
      </c>
      <c r="AF113" s="824" t="s">
        <v>1099</v>
      </c>
      <c r="AG113" s="824" t="s">
        <v>1098</v>
      </c>
      <c r="AH113" s="824" t="s">
        <v>1100</v>
      </c>
      <c r="AI113" s="824" t="s">
        <v>1103</v>
      </c>
      <c r="AJ113" s="824" t="s">
        <v>1698</v>
      </c>
      <c r="AK113" s="824" t="s">
        <v>1701</v>
      </c>
      <c r="AL113" s="824" t="s">
        <v>2566</v>
      </c>
      <c r="AM113" s="824" t="s">
        <v>2567</v>
      </c>
      <c r="AN113" s="3757" t="s">
        <v>2314</v>
      </c>
      <c r="AO113" s="807" t="s">
        <v>2542</v>
      </c>
      <c r="AP113" s="807" t="s">
        <v>2582</v>
      </c>
      <c r="AQ113" s="3757" t="s">
        <v>2545</v>
      </c>
      <c r="AR113" s="817" t="s">
        <v>2544</v>
      </c>
      <c r="AS113" s="3757" t="s">
        <v>1145</v>
      </c>
      <c r="AT113" s="3757" t="s">
        <v>1150</v>
      </c>
      <c r="AU113" s="3757" t="s">
        <v>2560</v>
      </c>
      <c r="AV113" s="3757" t="s">
        <v>2558</v>
      </c>
      <c r="AW113" s="3757" t="s">
        <v>2549</v>
      </c>
      <c r="AX113" s="3757" t="s">
        <v>2779</v>
      </c>
      <c r="AY113" s="3757" t="s">
        <v>743</v>
      </c>
      <c r="AZ113" s="3757" t="s">
        <v>1376</v>
      </c>
      <c r="BA113" s="807" t="s">
        <v>441</v>
      </c>
      <c r="BB113" s="3236" t="s">
        <v>2863</v>
      </c>
      <c r="BC113" s="441"/>
    </row>
    <row r="114" spans="2:55" s="242" customFormat="1" ht="36" hidden="1" outlineLevel="2">
      <c r="B114" s="3426"/>
      <c r="C114" s="3427"/>
      <c r="D114" s="745"/>
      <c r="E114" s="745"/>
      <c r="F114" s="3427"/>
      <c r="G114" s="2536"/>
      <c r="H114" s="807" t="s">
        <v>2550</v>
      </c>
      <c r="I114" s="807" t="s">
        <v>2551</v>
      </c>
      <c r="J114" s="807" t="s">
        <v>2554</v>
      </c>
      <c r="K114" s="807" t="s">
        <v>2554</v>
      </c>
      <c r="L114" s="807" t="s">
        <v>2552</v>
      </c>
      <c r="M114" s="807"/>
      <c r="N114" s="807" t="s">
        <v>2778</v>
      </c>
      <c r="O114" s="807" t="s">
        <v>2553</v>
      </c>
      <c r="P114" s="807"/>
      <c r="Q114" s="2537"/>
      <c r="R114" s="2535"/>
      <c r="S114" s="2526"/>
      <c r="T114" s="2526"/>
      <c r="U114" s="2558"/>
      <c r="V114" s="2536"/>
      <c r="W114" s="2538"/>
      <c r="X114" s="2536"/>
      <c r="Y114" s="2526" t="s">
        <v>2780</v>
      </c>
      <c r="Z114" s="807" t="s">
        <v>2562</v>
      </c>
      <c r="AA114" s="807" t="s">
        <v>2563</v>
      </c>
      <c r="AB114" s="807" t="s">
        <v>2564</v>
      </c>
      <c r="AC114" s="807" t="s">
        <v>2565</v>
      </c>
      <c r="AD114" s="807" t="s">
        <v>2565</v>
      </c>
      <c r="AE114" s="2536"/>
      <c r="AF114" s="2560"/>
      <c r="AG114" s="2560"/>
      <c r="AH114" s="2560"/>
      <c r="AI114" s="2560"/>
      <c r="AJ114" s="2560"/>
      <c r="AK114" s="2560"/>
      <c r="AL114" s="2560"/>
      <c r="AM114" s="2560"/>
      <c r="AN114" s="2536"/>
      <c r="AO114" s="2526"/>
      <c r="AP114" s="2526"/>
      <c r="AQ114" s="2536"/>
      <c r="AR114" s="2537"/>
      <c r="AS114" s="2536"/>
      <c r="AT114" s="2536"/>
      <c r="AU114" s="807" t="s">
        <v>2557</v>
      </c>
      <c r="AV114" s="807" t="s">
        <v>2559</v>
      </c>
      <c r="AW114" s="807" t="s">
        <v>2561</v>
      </c>
      <c r="AX114" s="807" t="s">
        <v>2556</v>
      </c>
      <c r="AY114" s="807"/>
      <c r="AZ114" s="807" t="s">
        <v>2554</v>
      </c>
      <c r="BA114" s="3234"/>
      <c r="BB114" s="3238">
        <v>2500</v>
      </c>
      <c r="BC114" s="441"/>
    </row>
    <row r="115" spans="2:55" s="242" customFormat="1" hidden="1" outlineLevel="2">
      <c r="B115" s="3426"/>
      <c r="C115" s="3427"/>
      <c r="D115" s="745"/>
      <c r="E115" s="745"/>
      <c r="F115" s="3427"/>
      <c r="G115" s="813"/>
      <c r="H115" s="2536">
        <v>1000</v>
      </c>
      <c r="I115" s="2536">
        <v>4000</v>
      </c>
      <c r="J115" s="2536">
        <v>3500</v>
      </c>
      <c r="K115" s="2536">
        <v>5000</v>
      </c>
      <c r="L115" s="2526">
        <v>500</v>
      </c>
      <c r="M115" s="2526"/>
      <c r="N115" s="2526">
        <v>1000</v>
      </c>
      <c r="O115" s="2526">
        <v>1000</v>
      </c>
      <c r="P115" s="2535"/>
      <c r="Q115" s="2537"/>
      <c r="R115" s="2535"/>
      <c r="S115" s="2526"/>
      <c r="T115" s="2526"/>
      <c r="U115" s="2558"/>
      <c r="V115" s="2536"/>
      <c r="W115" s="2538"/>
      <c r="X115" s="2536"/>
      <c r="Y115" s="2526">
        <v>3000</v>
      </c>
      <c r="Z115" s="2561">
        <v>-0.15</v>
      </c>
      <c r="AA115" s="2559">
        <v>5000</v>
      </c>
      <c r="AB115" s="2561">
        <v>0.05</v>
      </c>
      <c r="AC115" s="2536">
        <v>1000</v>
      </c>
      <c r="AD115" s="2536">
        <v>500</v>
      </c>
      <c r="AE115" s="2536"/>
      <c r="AF115" s="2560"/>
      <c r="AG115" s="2536">
        <v>550</v>
      </c>
      <c r="AH115" s="2536">
        <v>450</v>
      </c>
      <c r="AI115" s="2536">
        <v>2450</v>
      </c>
      <c r="AJ115" s="2536">
        <v>5500</v>
      </c>
      <c r="AK115" s="2536"/>
      <c r="AL115" s="2536">
        <v>6000</v>
      </c>
      <c r="AM115" s="2536">
        <v>8000</v>
      </c>
      <c r="AN115" s="2536"/>
      <c r="AO115" s="2526"/>
      <c r="AP115" s="2526"/>
      <c r="AQ115" s="2536"/>
      <c r="AR115" s="2537"/>
      <c r="AS115" s="2536"/>
      <c r="AT115" s="2536"/>
      <c r="AU115" s="2536">
        <v>9000</v>
      </c>
      <c r="AV115" s="2536">
        <v>2000</v>
      </c>
      <c r="AW115" s="2536">
        <v>7000</v>
      </c>
      <c r="AX115" s="2536">
        <v>5000</v>
      </c>
      <c r="AY115" s="2536"/>
      <c r="AZ115" s="2536">
        <v>12500</v>
      </c>
      <c r="BA115" s="3234"/>
      <c r="BB115" s="3238"/>
      <c r="BC115" s="441"/>
    </row>
    <row r="116" spans="2:55" s="242" customFormat="1" hidden="1" outlineLevel="2">
      <c r="B116" s="3426"/>
      <c r="C116" s="3427"/>
      <c r="D116" s="745"/>
      <c r="E116" s="745"/>
      <c r="F116" s="2550" t="s">
        <v>1741</v>
      </c>
      <c r="G116" s="3647"/>
      <c r="H116" s="3434"/>
      <c r="I116" s="3434"/>
      <c r="J116" s="3434"/>
      <c r="K116" s="3434"/>
      <c r="L116" s="3434"/>
      <c r="M116" s="3434"/>
      <c r="N116" s="3434"/>
      <c r="O116" s="3434"/>
      <c r="P116" s="3434"/>
      <c r="Q116" s="3434"/>
      <c r="R116" s="3434"/>
      <c r="S116" s="3434"/>
      <c r="T116" s="3434"/>
      <c r="U116" s="3434"/>
      <c r="V116" s="3434"/>
      <c r="W116" s="3434"/>
      <c r="X116" s="3434"/>
      <c r="Y116" s="3434"/>
      <c r="Z116" s="3434"/>
      <c r="AA116" s="3434"/>
      <c r="AB116" s="3434"/>
      <c r="AC116" s="3434"/>
      <c r="AD116" s="3434"/>
      <c r="AE116" s="3434"/>
      <c r="AF116" s="3434"/>
      <c r="AG116" s="3434"/>
      <c r="AH116" s="3434"/>
      <c r="AI116" s="3434"/>
      <c r="AJ116" s="3434"/>
      <c r="AK116" s="3434"/>
      <c r="AL116" s="3434"/>
      <c r="AM116" s="3434"/>
      <c r="AN116" s="3434"/>
      <c r="AO116" s="3434"/>
      <c r="AP116" s="3434"/>
      <c r="AQ116" s="3434"/>
      <c r="AR116" s="3434"/>
      <c r="AS116" s="3434"/>
      <c r="AT116" s="3434"/>
      <c r="AU116" s="3434"/>
      <c r="AV116" s="3434"/>
      <c r="AW116" s="3434"/>
      <c r="AX116" s="3434"/>
      <c r="AY116" s="3434"/>
      <c r="AZ116" s="3434"/>
      <c r="BA116" s="3434"/>
      <c r="BB116" s="3434"/>
      <c r="BC116" s="441"/>
    </row>
    <row r="117" spans="2:55" s="242" customFormat="1" hidden="1" outlineLevel="2">
      <c r="B117" s="3426"/>
      <c r="C117" s="3427"/>
      <c r="D117" s="745"/>
      <c r="E117" s="745"/>
      <c r="F117" s="3756" t="s">
        <v>3240</v>
      </c>
      <c r="G117" s="3434">
        <f t="shared" ref="G117:K121" si="30">G52/G105-1</f>
        <v>0.11336032388663964</v>
      </c>
      <c r="H117" s="3434">
        <f t="shared" si="30"/>
        <v>0.10486891385767794</v>
      </c>
      <c r="I117" s="3434">
        <f t="shared" si="30"/>
        <v>0.10397553516819569</v>
      </c>
      <c r="J117" s="3434">
        <f t="shared" si="30"/>
        <v>0.10725552050473186</v>
      </c>
      <c r="K117" s="3434">
        <f t="shared" si="30"/>
        <v>0.10951008645533133</v>
      </c>
      <c r="L117" s="3434"/>
      <c r="M117" s="3434"/>
      <c r="N117" s="3434"/>
      <c r="O117" s="3434"/>
      <c r="P117" s="3434"/>
      <c r="Q117" s="3434"/>
      <c r="R117" s="3434"/>
      <c r="S117" s="3434"/>
      <c r="T117" s="3434"/>
      <c r="U117" s="3434"/>
      <c r="V117" s="3434"/>
      <c r="W117" s="3434"/>
      <c r="X117" s="3434"/>
      <c r="Y117" s="3434"/>
      <c r="Z117" s="3434"/>
      <c r="AA117" s="3434"/>
      <c r="AB117" s="3434"/>
      <c r="AC117" s="3434"/>
      <c r="AD117" s="3434"/>
      <c r="AE117" s="3434"/>
      <c r="AF117" s="3434"/>
      <c r="AG117" s="3434"/>
      <c r="AH117" s="3434"/>
      <c r="AI117" s="3434"/>
      <c r="AJ117" s="3434"/>
      <c r="AK117" s="3434"/>
      <c r="AL117" s="3434"/>
      <c r="AM117" s="3434"/>
      <c r="AN117" s="3434"/>
      <c r="AO117" s="3434"/>
      <c r="AP117" s="3434"/>
      <c r="AQ117" s="3434"/>
      <c r="AR117" s="3434"/>
      <c r="AS117" s="3434"/>
      <c r="AT117" s="3434"/>
      <c r="AU117" s="3434"/>
      <c r="AV117" s="3434"/>
      <c r="AW117" s="3434"/>
      <c r="AX117" s="3434"/>
      <c r="AY117" s="3434"/>
      <c r="AZ117" s="3434">
        <f>AZ52/AZ105-1</f>
        <v>0.1046277665995976</v>
      </c>
      <c r="BA117" s="3434"/>
      <c r="BB117" s="3434">
        <f>BB52/BB105-1</f>
        <v>0.1144781144781144</v>
      </c>
      <c r="BC117" s="441"/>
    </row>
    <row r="118" spans="2:55" s="242" customFormat="1" hidden="1" outlineLevel="2">
      <c r="B118" s="3426"/>
      <c r="C118" s="3427"/>
      <c r="D118" s="745"/>
      <c r="E118" s="745"/>
      <c r="F118" s="2541" t="s">
        <v>3241</v>
      </c>
      <c r="G118" s="3434">
        <f t="shared" si="30"/>
        <v>0.11301369863013688</v>
      </c>
      <c r="H118" s="3434">
        <f t="shared" si="30"/>
        <v>0.10576923076923084</v>
      </c>
      <c r="I118" s="3434">
        <f t="shared" si="30"/>
        <v>0.10483870967741926</v>
      </c>
      <c r="J118" s="3434">
        <f t="shared" si="30"/>
        <v>0.10773480662983426</v>
      </c>
      <c r="K118" s="3434">
        <f t="shared" si="30"/>
        <v>0.10969387755102034</v>
      </c>
      <c r="L118" s="3434"/>
      <c r="M118" s="3434"/>
      <c r="N118" s="3434"/>
      <c r="O118" s="3434"/>
      <c r="P118" s="3434"/>
      <c r="Q118" s="3434"/>
      <c r="R118" s="3434"/>
      <c r="S118" s="3434"/>
      <c r="T118" s="3434"/>
      <c r="U118" s="3434"/>
      <c r="V118" s="3434"/>
      <c r="W118" s="3434"/>
      <c r="X118" s="3434"/>
      <c r="Y118" s="3434"/>
      <c r="Z118" s="3434"/>
      <c r="AA118" s="3434"/>
      <c r="AB118" s="3434"/>
      <c r="AC118" s="3434"/>
      <c r="AD118" s="3434"/>
      <c r="AE118" s="3434"/>
      <c r="AF118" s="3434"/>
      <c r="AG118" s="3434"/>
      <c r="AH118" s="3434"/>
      <c r="AI118" s="3434"/>
      <c r="AJ118" s="3434"/>
      <c r="AK118" s="3434"/>
      <c r="AL118" s="3434"/>
      <c r="AM118" s="3434"/>
      <c r="AN118" s="3434"/>
      <c r="AO118" s="3434"/>
      <c r="AP118" s="3434"/>
      <c r="AQ118" s="3434"/>
      <c r="AR118" s="3434"/>
      <c r="AS118" s="3434"/>
      <c r="AT118" s="3434"/>
      <c r="AU118" s="3434"/>
      <c r="AV118" s="3434"/>
      <c r="AW118" s="3434"/>
      <c r="AX118" s="3434"/>
      <c r="AY118" s="3434"/>
      <c r="AZ118" s="3434">
        <f>AZ53/AZ106-1</f>
        <v>0.10516605166051662</v>
      </c>
      <c r="BA118" s="3434"/>
      <c r="BB118" s="3434">
        <f>BB53/BB106-1</f>
        <v>0.11403508771929816</v>
      </c>
      <c r="BC118" s="441"/>
    </row>
    <row r="119" spans="2:55" s="242" customFormat="1" hidden="1" outlineLevel="2">
      <c r="B119" s="3426"/>
      <c r="C119" s="3427"/>
      <c r="D119" s="745"/>
      <c r="E119" s="745"/>
      <c r="F119" s="3646" t="s">
        <v>30</v>
      </c>
      <c r="G119" s="3434">
        <f t="shared" si="30"/>
        <v>0.11410317334600562</v>
      </c>
      <c r="H119" s="3434">
        <f t="shared" si="30"/>
        <v>0.10450297366185213</v>
      </c>
      <c r="I119" s="3434">
        <f t="shared" si="30"/>
        <v>0.11517449997742557</v>
      </c>
      <c r="J119" s="3434">
        <f t="shared" si="30"/>
        <v>0.11761919117963737</v>
      </c>
      <c r="K119" s="3434">
        <f t="shared" si="30"/>
        <v>0.10981308411214963</v>
      </c>
      <c r="L119" s="3434">
        <f t="shared" ref="L119:X119" si="31">L54/L107-1</f>
        <v>0.11687378042518226</v>
      </c>
      <c r="M119" s="3434">
        <f t="shared" si="31"/>
        <v>0.11532357608887311</v>
      </c>
      <c r="N119" s="3434">
        <f t="shared" si="31"/>
        <v>0.13698835524014186</v>
      </c>
      <c r="O119" s="3434">
        <f t="shared" si="31"/>
        <v>0.12671379097680147</v>
      </c>
      <c r="P119" s="3434">
        <f t="shared" si="31"/>
        <v>0.11733135930415473</v>
      </c>
      <c r="Q119" s="3434">
        <f t="shared" si="31"/>
        <v>0.11573140104574087</v>
      </c>
      <c r="R119" s="3434">
        <f t="shared" si="31"/>
        <v>0.11585562359007406</v>
      </c>
      <c r="S119" s="3434">
        <f t="shared" si="31"/>
        <v>0.11659491056739824</v>
      </c>
      <c r="T119" s="3434">
        <f t="shared" si="31"/>
        <v>0.11659491056739824</v>
      </c>
      <c r="U119" s="3434">
        <f t="shared" si="31"/>
        <v>0.10551490386138296</v>
      </c>
      <c r="V119" s="3434">
        <f t="shared" si="31"/>
        <v>0.1168555710214092</v>
      </c>
      <c r="W119" s="3434">
        <f t="shared" si="31"/>
        <v>0.11598072792709124</v>
      </c>
      <c r="X119" s="3434">
        <f t="shared" si="31"/>
        <v>0.11170212765957444</v>
      </c>
      <c r="Y119" s="3434"/>
      <c r="Z119" s="3434">
        <f t="shared" ref="Z119:AB121" si="32">Z54/Z107-1</f>
        <v>0.11085450346420322</v>
      </c>
      <c r="AA119" s="3434">
        <f t="shared" si="32"/>
        <v>0.11722567484225999</v>
      </c>
      <c r="AB119" s="3434">
        <f t="shared" si="32"/>
        <v>7.2501955617769287E-2</v>
      </c>
      <c r="AC119" s="3434"/>
      <c r="AD119" s="3434"/>
      <c r="AE119" s="3434">
        <f>AE54/AE107-1</f>
        <v>0.11630321910695751</v>
      </c>
      <c r="AF119" s="3434"/>
      <c r="AG119" s="3434"/>
      <c r="AH119" s="3434"/>
      <c r="AI119" s="3434"/>
      <c r="AJ119" s="3434"/>
      <c r="AK119" s="3434"/>
      <c r="AL119" s="3434"/>
      <c r="AM119" s="3434"/>
      <c r="AN119" s="3434">
        <f t="shared" ref="AN119:AT119" si="33">AN54/AN107-1</f>
        <v>0.11418916862004935</v>
      </c>
      <c r="AO119" s="3434">
        <f t="shared" si="33"/>
        <v>0.11400836474415232</v>
      </c>
      <c r="AP119" s="3434">
        <f t="shared" si="33"/>
        <v>0.1146684243979379</v>
      </c>
      <c r="AQ119" s="3434">
        <f t="shared" si="33"/>
        <v>0.11550603296607309</v>
      </c>
      <c r="AR119" s="3434">
        <f t="shared" si="33"/>
        <v>0.11549913158547676</v>
      </c>
      <c r="AS119" s="3434">
        <f t="shared" si="33"/>
        <v>0.11510182590872331</v>
      </c>
      <c r="AT119" s="3434">
        <f t="shared" si="33"/>
        <v>0.11510182590872331</v>
      </c>
      <c r="AU119" s="3434"/>
      <c r="AV119" s="3434"/>
      <c r="AW119" s="3434">
        <f>AW54/AW107-1</f>
        <v>0.11551653607728363</v>
      </c>
      <c r="AX119" s="3434">
        <f>AX54/AX107-1</f>
        <v>0.11603223225957504</v>
      </c>
      <c r="AY119" s="3434">
        <f>AY54/AY107-1</f>
        <v>0.11551653607728363</v>
      </c>
      <c r="AZ119" s="3434">
        <f>AZ54/AZ107-1</f>
        <v>0.11463602846608945</v>
      </c>
      <c r="BA119" s="3434">
        <f>BA54/BA107-1</f>
        <v>0.1143866691756048</v>
      </c>
      <c r="BB119" s="3434">
        <f>BB54/BB107-1</f>
        <v>7.9055487832407678E-2</v>
      </c>
      <c r="BC119" s="441"/>
    </row>
    <row r="120" spans="2:55" s="242" customFormat="1" hidden="1" outlineLevel="2">
      <c r="B120" s="3426"/>
      <c r="C120" s="3427"/>
      <c r="D120" s="745"/>
      <c r="E120" s="745"/>
      <c r="F120" s="2550" t="s">
        <v>2569</v>
      </c>
      <c r="G120" s="3434">
        <f t="shared" si="30"/>
        <v>0.11557788944723613</v>
      </c>
      <c r="H120" s="3434">
        <f t="shared" si="30"/>
        <v>0.11004784688995217</v>
      </c>
      <c r="I120" s="3434">
        <f t="shared" si="30"/>
        <v>0.10878661087866104</v>
      </c>
      <c r="J120" s="3434">
        <f t="shared" si="30"/>
        <v>0.11111111111111116</v>
      </c>
      <c r="K120" s="3434">
        <f t="shared" si="30"/>
        <v>0.11244979919678721</v>
      </c>
      <c r="L120" s="3434"/>
      <c r="M120" s="3434"/>
      <c r="N120" s="3434"/>
      <c r="O120" s="3434"/>
      <c r="P120" s="3434"/>
      <c r="Q120" s="3434"/>
      <c r="R120" s="3434"/>
      <c r="S120" s="3434"/>
      <c r="T120" s="3434"/>
      <c r="U120" s="3434"/>
      <c r="V120" s="3434"/>
      <c r="W120" s="3434"/>
      <c r="X120" s="3434">
        <f>X55/X108-1</f>
        <v>0.11440366740115993</v>
      </c>
      <c r="Y120" s="3434">
        <f>Y55/Y108-1</f>
        <v>0.107649705780547</v>
      </c>
      <c r="Z120" s="3434">
        <f t="shared" si="32"/>
        <v>0.1170048553226124</v>
      </c>
      <c r="AA120" s="3434">
        <f t="shared" si="32"/>
        <v>0.100129298064912</v>
      </c>
      <c r="AB120" s="3434">
        <f t="shared" si="32"/>
        <v>0.11041666666666661</v>
      </c>
      <c r="AC120" s="3434">
        <f>AC55/AC108-1</f>
        <v>7.396659278385842E-2</v>
      </c>
      <c r="AD120" s="3434">
        <f>AD55/AD108-1</f>
        <v>7.7460005153069611E-2</v>
      </c>
      <c r="AE120" s="3434"/>
      <c r="AF120" s="3434">
        <f t="shared" ref="AF120:AM121" si="34">AF55/AF108-1</f>
        <v>0.11516550619950117</v>
      </c>
      <c r="AG120" s="3434">
        <f t="shared" si="34"/>
        <v>0.11094948907232993</v>
      </c>
      <c r="AH120" s="3434">
        <f t="shared" si="34"/>
        <v>0.11095209130917016</v>
      </c>
      <c r="AI120" s="3434">
        <f t="shared" si="34"/>
        <v>0.11355971818758559</v>
      </c>
      <c r="AJ120" s="3434">
        <f t="shared" si="34"/>
        <v>0.11568732545346827</v>
      </c>
      <c r="AK120" s="3434">
        <f t="shared" si="34"/>
        <v>0.11568732545346827</v>
      </c>
      <c r="AL120" s="3434">
        <f t="shared" si="34"/>
        <v>0.11100388429153907</v>
      </c>
      <c r="AM120" s="3434">
        <f t="shared" si="34"/>
        <v>0.10589426684158432</v>
      </c>
      <c r="AN120" s="3434"/>
      <c r="AO120" s="3434"/>
      <c r="AP120" s="3434"/>
      <c r="AQ120" s="3434"/>
      <c r="AR120" s="3434"/>
      <c r="AS120" s="3434"/>
      <c r="AT120" s="3434"/>
      <c r="AU120" s="3434"/>
      <c r="AV120" s="3434"/>
      <c r="AW120" s="3434"/>
      <c r="AX120" s="3434"/>
      <c r="AY120" s="3434"/>
      <c r="AZ120" s="3434">
        <f>AZ55/AZ108-1</f>
        <v>0.10802469135802473</v>
      </c>
      <c r="BA120" s="3434"/>
      <c r="BB120" s="3434">
        <f>BB55/BB108-1</f>
        <v>0.1160714285714286</v>
      </c>
      <c r="BC120" s="441"/>
    </row>
    <row r="121" spans="2:55" s="242" customFormat="1" hidden="1" outlineLevel="2">
      <c r="B121" s="3426"/>
      <c r="C121" s="3427"/>
      <c r="D121" s="745"/>
      <c r="E121" s="745"/>
      <c r="F121" s="2550" t="s">
        <v>2570</v>
      </c>
      <c r="G121" s="3434">
        <f t="shared" si="30"/>
        <v>0.11188811188811187</v>
      </c>
      <c r="H121" s="3434">
        <f t="shared" si="30"/>
        <v>0.10690423162583529</v>
      </c>
      <c r="I121" s="3434">
        <f t="shared" si="30"/>
        <v>0.10609037328094306</v>
      </c>
      <c r="J121" s="3434">
        <f t="shared" si="30"/>
        <v>0.10821643286573157</v>
      </c>
      <c r="K121" s="3434">
        <f t="shared" si="30"/>
        <v>0.10964083175803396</v>
      </c>
      <c r="L121" s="3434"/>
      <c r="M121" s="3434"/>
      <c r="N121" s="3434"/>
      <c r="O121" s="3434"/>
      <c r="P121" s="3434"/>
      <c r="Q121" s="3434"/>
      <c r="R121" s="3434"/>
      <c r="S121" s="3434"/>
      <c r="T121" s="3434"/>
      <c r="U121" s="3434"/>
      <c r="V121" s="3434"/>
      <c r="W121" s="3434"/>
      <c r="X121" s="3434">
        <f>X56/X109-1</f>
        <v>0.11264367816091947</v>
      </c>
      <c r="Y121" s="3434">
        <f>Y56/Y109-1</f>
        <v>8.687615526802217E-2</v>
      </c>
      <c r="Z121" s="3434">
        <f t="shared" si="32"/>
        <v>0.11177644710578849</v>
      </c>
      <c r="AA121" s="3434">
        <f t="shared" si="32"/>
        <v>9.9833610648918381E-2</v>
      </c>
      <c r="AB121" s="3434">
        <f t="shared" si="32"/>
        <v>0.10917721518987333</v>
      </c>
      <c r="AC121" s="3434">
        <f>AC56/AC109-1</f>
        <v>0.12967032967032965</v>
      </c>
      <c r="AD121" s="3434">
        <f>AD56/AD109-1</f>
        <v>0.13258426966292136</v>
      </c>
      <c r="AE121" s="3434"/>
      <c r="AF121" s="3434">
        <f t="shared" si="34"/>
        <v>0.11505922165820648</v>
      </c>
      <c r="AG121" s="3434">
        <f t="shared" si="34"/>
        <v>0.11239669421487597</v>
      </c>
      <c r="AH121" s="3434">
        <f t="shared" si="34"/>
        <v>0.11219512195121961</v>
      </c>
      <c r="AI121" s="3434">
        <f t="shared" si="34"/>
        <v>0.11380880121396064</v>
      </c>
      <c r="AJ121" s="3434">
        <f t="shared" si="34"/>
        <v>0.1166666666666667</v>
      </c>
      <c r="AK121" s="3434">
        <f t="shared" si="34"/>
        <v>0.1166666666666667</v>
      </c>
      <c r="AL121" s="3434">
        <f t="shared" si="34"/>
        <v>0.11222222222222222</v>
      </c>
      <c r="AM121" s="3434">
        <f t="shared" si="34"/>
        <v>0.10744680851063837</v>
      </c>
      <c r="AN121" s="3434"/>
      <c r="AO121" s="3434"/>
      <c r="AP121" s="3434"/>
      <c r="AQ121" s="3434"/>
      <c r="AR121" s="3434"/>
      <c r="AS121" s="3434"/>
      <c r="AT121" s="3434"/>
      <c r="AU121" s="3434">
        <f>AU56/AU109-1</f>
        <v>0.11165845648604278</v>
      </c>
      <c r="AV121" s="3434">
        <f>AV56/AV109-1</f>
        <v>0.11093990755007699</v>
      </c>
      <c r="AW121" s="3434">
        <f>AW56/AW109-1</f>
        <v>0.10413885180240312</v>
      </c>
      <c r="AX121" s="3434">
        <f>AX56/AX109-1</f>
        <v>0.11551724137931041</v>
      </c>
      <c r="AY121" s="3434"/>
      <c r="AZ121" s="3434">
        <f>AZ56/AZ109-1</f>
        <v>0.10603829160530198</v>
      </c>
      <c r="BA121" s="3434"/>
      <c r="BB121" s="3434">
        <f>BB56/BB109-1</f>
        <v>0.11273486430062629</v>
      </c>
      <c r="BC121" s="441"/>
    </row>
    <row r="122" spans="2:55" s="242" customFormat="1" ht="24" hidden="1" outlineLevel="2">
      <c r="B122" s="3426"/>
      <c r="C122" s="3427"/>
      <c r="D122" s="745"/>
      <c r="E122" s="745"/>
      <c r="F122" s="2550" t="s">
        <v>2571</v>
      </c>
      <c r="G122" s="3434">
        <f t="shared" ref="G122:L122" si="35">G58/G110-1</f>
        <v>0.11587982832618016</v>
      </c>
      <c r="H122" s="3434">
        <f t="shared" si="35"/>
        <v>0.11111111111111116</v>
      </c>
      <c r="I122" s="3434">
        <f t="shared" si="35"/>
        <v>0.10989010989010994</v>
      </c>
      <c r="J122" s="3434">
        <f t="shared" si="35"/>
        <v>0.11194029850746268</v>
      </c>
      <c r="K122" s="3434">
        <f t="shared" si="35"/>
        <v>0.11307420494699638</v>
      </c>
      <c r="L122" s="3434">
        <f t="shared" si="35"/>
        <v>0.11764705882352944</v>
      </c>
      <c r="M122" s="3434"/>
      <c r="N122" s="3434">
        <f>N58/N110-1</f>
        <v>0.11290322580645151</v>
      </c>
      <c r="O122" s="3434">
        <f>O58/O110-1</f>
        <v>0.10852713178294571</v>
      </c>
      <c r="P122" s="3434"/>
      <c r="Q122" s="3434"/>
      <c r="R122" s="3434"/>
      <c r="S122" s="3434"/>
      <c r="T122" s="3434"/>
      <c r="U122" s="3434"/>
      <c r="V122" s="3434"/>
      <c r="W122" s="3434"/>
      <c r="X122" s="3434">
        <f t="shared" ref="X122:AD122" si="36">X58/X110-1</f>
        <v>0.11392405063291133</v>
      </c>
      <c r="Y122" s="3434">
        <f t="shared" si="36"/>
        <v>7.118644067796609E-2</v>
      </c>
      <c r="Z122" s="3434">
        <f t="shared" si="36"/>
        <v>0.11355311355311359</v>
      </c>
      <c r="AA122" s="3434">
        <f t="shared" si="36"/>
        <v>0.10216718266253877</v>
      </c>
      <c r="AB122" s="3434">
        <f t="shared" si="36"/>
        <v>0.11192930780559651</v>
      </c>
      <c r="AC122" s="3434">
        <f t="shared" si="36"/>
        <v>0.12955465587044523</v>
      </c>
      <c r="AD122" s="3434">
        <f t="shared" si="36"/>
        <v>0.13223140495867769</v>
      </c>
      <c r="AE122" s="3434"/>
      <c r="AF122" s="3434">
        <f t="shared" ref="AF122:AM122" si="37">AF58/AF110-1</f>
        <v>0.11472868217054266</v>
      </c>
      <c r="AG122" s="3434">
        <f t="shared" si="37"/>
        <v>0.11212121212121207</v>
      </c>
      <c r="AH122" s="3434">
        <f t="shared" si="37"/>
        <v>0.1117734724292101</v>
      </c>
      <c r="AI122" s="3434">
        <f t="shared" si="37"/>
        <v>0.11404728789986085</v>
      </c>
      <c r="AJ122" s="3434">
        <f t="shared" si="37"/>
        <v>0.11633372502937722</v>
      </c>
      <c r="AK122" s="3434">
        <f t="shared" si="37"/>
        <v>0.11633372502937722</v>
      </c>
      <c r="AL122" s="3434">
        <f t="shared" si="37"/>
        <v>0.11225540679711643</v>
      </c>
      <c r="AM122" s="3434">
        <f t="shared" si="37"/>
        <v>0.10781404549950535</v>
      </c>
      <c r="AN122" s="3434"/>
      <c r="AO122" s="3434"/>
      <c r="AP122" s="3434"/>
      <c r="AQ122" s="3434"/>
      <c r="AR122" s="3434"/>
      <c r="AS122" s="3434"/>
      <c r="AT122" s="3434"/>
      <c r="AU122" s="3434">
        <f>AU58/AU110-1</f>
        <v>0.11455108359133126</v>
      </c>
      <c r="AV122" s="3434">
        <f>AV58/AV110-1</f>
        <v>0.1137026239067056</v>
      </c>
      <c r="AW122" s="3434">
        <f>AW58/AW110-1</f>
        <v>0.10687022900763354</v>
      </c>
      <c r="AX122" s="3434"/>
      <c r="AY122" s="3434"/>
      <c r="AZ122" s="3434">
        <f>AZ58/AZ110-1</f>
        <v>0.1089385474860336</v>
      </c>
      <c r="BA122" s="3434"/>
      <c r="BB122" s="3434">
        <f>BB58/BB110-1</f>
        <v>0.11627906976744184</v>
      </c>
    </row>
    <row r="123" spans="2:55" s="242" customFormat="1" hidden="1" outlineLevel="2">
      <c r="B123" s="3426"/>
      <c r="C123" s="3427"/>
      <c r="D123" s="745"/>
      <c r="E123" s="745"/>
      <c r="F123" s="745"/>
      <c r="G123" s="707"/>
      <c r="H123" s="694"/>
      <c r="I123" s="694"/>
      <c r="J123" s="694"/>
      <c r="K123" s="742"/>
      <c r="S123" s="693"/>
      <c r="T123" s="693"/>
      <c r="U123" s="693"/>
      <c r="V123" s="693"/>
      <c r="W123" s="693"/>
      <c r="X123" s="707"/>
      <c r="Y123" s="605"/>
      <c r="Z123" s="694"/>
      <c r="AA123" s="694"/>
      <c r="AB123" s="694"/>
      <c r="AC123" s="694"/>
      <c r="AD123" s="694"/>
      <c r="AG123" s="605"/>
      <c r="AH123" s="605"/>
      <c r="AI123" s="899"/>
      <c r="AJ123" s="605"/>
      <c r="AK123" s="605"/>
      <c r="AL123" s="605"/>
      <c r="AM123" s="605"/>
      <c r="AN123" s="693"/>
      <c r="AO123" s="693"/>
      <c r="AP123" s="693"/>
      <c r="AQ123" s="693"/>
      <c r="AR123" s="693"/>
      <c r="AS123" s="693"/>
      <c r="AT123" s="693"/>
      <c r="AU123" s="2271"/>
      <c r="AV123" s="2271"/>
      <c r="AW123" s="2271"/>
      <c r="AX123" s="2271"/>
      <c r="AZ123" s="694"/>
    </row>
    <row r="124" spans="2:55" s="242" customFormat="1" hidden="1" outlineLevel="2">
      <c r="B124" s="3426"/>
      <c r="C124" s="3427"/>
      <c r="D124" s="745"/>
      <c r="E124" s="745"/>
      <c r="F124" s="745"/>
      <c r="G124" s="707"/>
      <c r="H124" s="694"/>
      <c r="I124" s="694"/>
      <c r="J124" s="694"/>
      <c r="K124" s="742"/>
      <c r="S124" s="693"/>
      <c r="T124" s="693"/>
      <c r="U124" s="693"/>
      <c r="V124" s="693"/>
      <c r="W124" s="693"/>
      <c r="X124" s="707"/>
      <c r="Z124" s="694"/>
      <c r="AA124" s="694"/>
      <c r="AB124" s="694"/>
      <c r="AC124" s="694"/>
      <c r="AD124" s="694"/>
      <c r="AG124" s="605"/>
      <c r="AH124" s="605"/>
      <c r="AI124" s="899"/>
      <c r="AJ124" s="605"/>
      <c r="AK124" s="605"/>
      <c r="AL124" s="605"/>
      <c r="AM124" s="605"/>
      <c r="AN124" s="693"/>
      <c r="AO124" s="693"/>
      <c r="AP124" s="693"/>
      <c r="AQ124" s="693"/>
      <c r="AR124" s="693"/>
      <c r="AS124" s="693"/>
      <c r="AT124" s="693"/>
      <c r="AU124" s="2271"/>
      <c r="AV124" s="2271"/>
      <c r="AW124" s="2271"/>
      <c r="AX124" s="2271"/>
      <c r="AZ124" s="694"/>
    </row>
    <row r="125" spans="2:55" s="242" customFormat="1" hidden="1" outlineLevel="2">
      <c r="B125" s="3426"/>
      <c r="C125" s="3427"/>
      <c r="D125" s="745"/>
      <c r="E125" s="745"/>
      <c r="F125" s="745"/>
      <c r="G125" s="707"/>
      <c r="H125" s="694"/>
      <c r="I125" s="694"/>
      <c r="J125" s="694"/>
      <c r="K125" s="742"/>
      <c r="S125" s="693"/>
      <c r="T125" s="693"/>
      <c r="U125" s="693"/>
      <c r="V125" s="693"/>
      <c r="W125" s="693"/>
      <c r="X125" s="3691"/>
      <c r="Z125" s="694"/>
      <c r="AA125" s="694"/>
      <c r="AB125" s="694"/>
      <c r="AC125" s="694"/>
      <c r="AD125" s="694"/>
      <c r="AG125" s="605"/>
      <c r="AH125" s="605"/>
      <c r="AI125" s="899"/>
      <c r="AJ125" s="605"/>
      <c r="AK125" s="605"/>
      <c r="AL125" s="605"/>
      <c r="AM125" s="605"/>
      <c r="AN125" s="693"/>
      <c r="AO125" s="693"/>
      <c r="AP125" s="693"/>
      <c r="AQ125" s="693"/>
      <c r="AR125" s="693"/>
      <c r="AS125" s="693"/>
      <c r="AT125" s="693"/>
      <c r="AU125" s="2271"/>
      <c r="AV125" s="2271"/>
      <c r="AW125" s="2271"/>
      <c r="AX125" s="2271"/>
      <c r="AZ125" s="694"/>
    </row>
    <row r="126" spans="2:55" hidden="1" outlineLevel="1">
      <c r="G126" s="3765" t="s">
        <v>3335</v>
      </c>
      <c r="X126" s="547"/>
    </row>
    <row r="127" spans="2:55" ht="45" hidden="1" outlineLevel="2">
      <c r="F127" s="546"/>
      <c r="G127" s="3436" t="s">
        <v>2336</v>
      </c>
      <c r="H127" s="3436" t="s">
        <v>3038</v>
      </c>
      <c r="I127" s="3436" t="s">
        <v>3039</v>
      </c>
      <c r="J127" s="3436" t="s">
        <v>3040</v>
      </c>
      <c r="K127" s="3436" t="s">
        <v>2351</v>
      </c>
      <c r="L127" s="3437" t="s">
        <v>3041</v>
      </c>
      <c r="M127" s="3437" t="s">
        <v>3042</v>
      </c>
      <c r="N127" s="3437" t="s">
        <v>3043</v>
      </c>
      <c r="O127" s="3437" t="s">
        <v>3044</v>
      </c>
      <c r="P127" s="3437" t="s">
        <v>3045</v>
      </c>
      <c r="Q127" s="3437" t="s">
        <v>3046</v>
      </c>
      <c r="R127" s="3437" t="s">
        <v>3047</v>
      </c>
      <c r="S127" s="3437" t="s">
        <v>3048</v>
      </c>
      <c r="T127" s="3437" t="s">
        <v>1196</v>
      </c>
      <c r="U127" s="3437" t="s">
        <v>3049</v>
      </c>
      <c r="V127" s="3437" t="s">
        <v>1671</v>
      </c>
      <c r="W127" s="3437" t="s">
        <v>3050</v>
      </c>
      <c r="X127" s="3437" t="s">
        <v>3051</v>
      </c>
      <c r="Y127" s="3438" t="s">
        <v>2291</v>
      </c>
      <c r="Z127" s="3438" t="s">
        <v>1627</v>
      </c>
      <c r="AA127" s="3438" t="s">
        <v>3052</v>
      </c>
      <c r="AB127" s="3438" t="s">
        <v>2299</v>
      </c>
      <c r="AC127" s="3438" t="s">
        <v>365</v>
      </c>
      <c r="AD127" s="3438" t="s">
        <v>2310</v>
      </c>
      <c r="AE127" s="3438" t="s">
        <v>2312</v>
      </c>
      <c r="AF127" s="3438" t="s">
        <v>2314</v>
      </c>
      <c r="AG127" s="3438" t="s">
        <v>2316</v>
      </c>
      <c r="AH127" s="3438" t="s">
        <v>1623</v>
      </c>
      <c r="AI127" s="3438" t="s">
        <v>2319</v>
      </c>
      <c r="AJ127" s="3438" t="s">
        <v>2321</v>
      </c>
      <c r="AK127" s="3438" t="s">
        <v>2323</v>
      </c>
      <c r="AL127" s="3438" t="s">
        <v>743</v>
      </c>
      <c r="AM127" s="3438" t="s">
        <v>2328</v>
      </c>
      <c r="AN127" s="3437" t="s">
        <v>1632</v>
      </c>
      <c r="AO127" s="3437" t="s">
        <v>3053</v>
      </c>
      <c r="AP127" s="3437" t="s">
        <v>3054</v>
      </c>
      <c r="AQ127" s="3437" t="s">
        <v>3055</v>
      </c>
      <c r="AR127" s="3437" t="s">
        <v>2341</v>
      </c>
      <c r="AS127" s="3437" t="s">
        <v>2304</v>
      </c>
      <c r="AT127" s="3437" t="s">
        <v>3056</v>
      </c>
      <c r="AU127" s="3437" t="s">
        <v>1696</v>
      </c>
      <c r="AV127" s="3437" t="s">
        <v>1692</v>
      </c>
      <c r="AW127" s="3437" t="s">
        <v>1694</v>
      </c>
      <c r="AX127" s="3437" t="s">
        <v>3057</v>
      </c>
      <c r="AY127" s="3437" t="s">
        <v>3058</v>
      </c>
      <c r="AZ127" s="3437" t="s">
        <v>2349</v>
      </c>
      <c r="BA127" s="3437" t="s">
        <v>3059</v>
      </c>
      <c r="BB127" s="3437" t="s">
        <v>3060</v>
      </c>
    </row>
    <row r="128" spans="2:55" hidden="1" outlineLevel="2">
      <c r="F128" s="2550" t="s">
        <v>1741</v>
      </c>
      <c r="G128" s="3439"/>
      <c r="H128" s="3439"/>
      <c r="I128" s="3439"/>
      <c r="J128" s="3439"/>
      <c r="K128" s="3439"/>
      <c r="L128" s="3439"/>
      <c r="M128" s="3439"/>
      <c r="N128" s="3439"/>
      <c r="O128" s="3439"/>
      <c r="P128" s="3439"/>
      <c r="Q128" s="3439"/>
      <c r="R128" s="3439"/>
      <c r="S128" s="3439"/>
      <c r="T128" s="3439"/>
      <c r="U128" s="3439"/>
      <c r="V128" s="3439"/>
      <c r="W128" s="3439"/>
      <c r="X128" s="3439"/>
      <c r="Y128" s="3439"/>
      <c r="Z128" s="3439"/>
      <c r="AA128" s="3439"/>
      <c r="AB128" s="3439"/>
      <c r="AC128" s="3439"/>
      <c r="AD128" s="3439"/>
      <c r="AE128" s="3439"/>
      <c r="AF128" s="3439"/>
      <c r="AG128" s="3439"/>
      <c r="AH128" s="3439"/>
      <c r="AI128" s="3439"/>
      <c r="AJ128" s="3439"/>
      <c r="AK128" s="3439"/>
      <c r="AL128" s="3439"/>
      <c r="AM128" s="3439"/>
      <c r="AN128" s="3439"/>
      <c r="AO128" s="3439"/>
      <c r="AP128" s="3439"/>
      <c r="AQ128" s="3439"/>
      <c r="AR128" s="3439"/>
      <c r="AS128" s="3439"/>
      <c r="AT128" s="3439"/>
      <c r="AU128" s="3439"/>
      <c r="AV128" s="3439"/>
      <c r="AW128" s="3439"/>
      <c r="AX128" s="3439"/>
      <c r="AY128" s="3440"/>
      <c r="AZ128" s="3439"/>
      <c r="BA128" s="3439"/>
      <c r="BB128" s="3440"/>
    </row>
    <row r="129" spans="3:54" s="589" customFormat="1" hidden="1" outlineLevel="2">
      <c r="D129" s="356"/>
      <c r="E129" s="3645">
        <f>E131</f>
        <v>7.0000000000000007E-2</v>
      </c>
      <c r="F129" s="3634" t="s">
        <v>3240</v>
      </c>
      <c r="G129" s="3758">
        <f>G140*(1+$E$129)</f>
        <v>12358.5</v>
      </c>
      <c r="H129" s="3758">
        <f t="shared" ref="H129:BB129" si="38">H140*(1+$E$129)</f>
        <v>0</v>
      </c>
      <c r="I129" s="3758">
        <f t="shared" si="38"/>
        <v>0</v>
      </c>
      <c r="J129" s="3758">
        <f t="shared" si="38"/>
        <v>0</v>
      </c>
      <c r="K129" s="3758">
        <f t="shared" si="38"/>
        <v>0</v>
      </c>
      <c r="L129" s="3758">
        <f t="shared" si="38"/>
        <v>0</v>
      </c>
      <c r="M129" s="3758">
        <f t="shared" si="38"/>
        <v>0</v>
      </c>
      <c r="N129" s="3758">
        <f t="shared" si="38"/>
        <v>0</v>
      </c>
      <c r="O129" s="3758">
        <f t="shared" si="38"/>
        <v>13535.5</v>
      </c>
      <c r="P129" s="3758">
        <f t="shared" si="38"/>
        <v>15247.5</v>
      </c>
      <c r="Q129" s="3758">
        <f t="shared" si="38"/>
        <v>16959.5</v>
      </c>
      <c r="R129" s="3758">
        <f>R140*(1+$E$129)</f>
        <v>16371.000000000002</v>
      </c>
      <c r="S129" s="3758">
        <f t="shared" si="38"/>
        <v>18083</v>
      </c>
      <c r="T129" s="3758">
        <f t="shared" si="38"/>
        <v>30548.5</v>
      </c>
      <c r="U129" s="3758">
        <f t="shared" si="38"/>
        <v>0</v>
      </c>
      <c r="V129" s="3758">
        <f t="shared" si="38"/>
        <v>0</v>
      </c>
      <c r="W129" s="3758">
        <f t="shared" si="38"/>
        <v>0</v>
      </c>
      <c r="X129" s="3758">
        <f t="shared" si="38"/>
        <v>0</v>
      </c>
      <c r="Y129" s="3758">
        <f t="shared" si="38"/>
        <v>0</v>
      </c>
      <c r="Z129" s="3758">
        <f t="shared" si="38"/>
        <v>0</v>
      </c>
      <c r="AA129" s="3758">
        <f t="shared" si="38"/>
        <v>0</v>
      </c>
      <c r="AB129" s="3758">
        <f t="shared" si="38"/>
        <v>0</v>
      </c>
      <c r="AC129" s="3758">
        <f t="shared" si="38"/>
        <v>0</v>
      </c>
      <c r="AD129" s="3758">
        <f t="shared" si="38"/>
        <v>0</v>
      </c>
      <c r="AE129" s="3758">
        <f t="shared" si="38"/>
        <v>0</v>
      </c>
      <c r="AF129" s="3758">
        <f t="shared" si="38"/>
        <v>0</v>
      </c>
      <c r="AG129" s="3758">
        <f t="shared" si="38"/>
        <v>0</v>
      </c>
      <c r="AH129" s="3758">
        <f t="shared" si="38"/>
        <v>0</v>
      </c>
      <c r="AI129" s="3758">
        <f t="shared" si="38"/>
        <v>0</v>
      </c>
      <c r="AJ129" s="3758">
        <f t="shared" si="38"/>
        <v>0</v>
      </c>
      <c r="AK129" s="3758">
        <f t="shared" si="38"/>
        <v>0</v>
      </c>
      <c r="AL129" s="3758">
        <f t="shared" si="38"/>
        <v>0</v>
      </c>
      <c r="AM129" s="3758">
        <f t="shared" si="38"/>
        <v>0</v>
      </c>
      <c r="AN129" s="3758">
        <f t="shared" si="38"/>
        <v>0</v>
      </c>
      <c r="AO129" s="3758">
        <f t="shared" si="38"/>
        <v>0</v>
      </c>
      <c r="AP129" s="3648">
        <f t="shared" si="38"/>
        <v>0</v>
      </c>
      <c r="AQ129" s="3648">
        <f t="shared" si="38"/>
        <v>0</v>
      </c>
      <c r="AR129" s="3648">
        <f t="shared" si="38"/>
        <v>0</v>
      </c>
      <c r="AS129" s="3648">
        <f t="shared" si="38"/>
        <v>0</v>
      </c>
      <c r="AT129" s="3648">
        <f t="shared" si="38"/>
        <v>0</v>
      </c>
      <c r="AU129" s="3648">
        <f t="shared" si="38"/>
        <v>0</v>
      </c>
      <c r="AV129" s="3648">
        <f t="shared" si="38"/>
        <v>0</v>
      </c>
      <c r="AW129" s="3648">
        <f t="shared" si="38"/>
        <v>0</v>
      </c>
      <c r="AX129" s="3648">
        <f t="shared" si="38"/>
        <v>0</v>
      </c>
      <c r="AY129" s="3648">
        <f t="shared" si="38"/>
        <v>0</v>
      </c>
      <c r="AZ129" s="3648">
        <f t="shared" si="38"/>
        <v>0</v>
      </c>
      <c r="BA129" s="3648">
        <f t="shared" si="38"/>
        <v>0</v>
      </c>
      <c r="BB129" s="3648">
        <f t="shared" si="38"/>
        <v>0</v>
      </c>
    </row>
    <row r="130" spans="3:54" s="589" customFormat="1" hidden="1" outlineLevel="2">
      <c r="D130" s="356"/>
      <c r="E130" s="3645">
        <f>E131</f>
        <v>7.0000000000000007E-2</v>
      </c>
      <c r="F130" s="2541" t="s">
        <v>3241</v>
      </c>
      <c r="G130" s="3758">
        <f>G141*(1+$E$130)</f>
        <v>14605.5</v>
      </c>
      <c r="H130" s="3758">
        <f t="shared" ref="H130:BB130" si="39">H141*(1+$E$130)</f>
        <v>0</v>
      </c>
      <c r="I130" s="3758">
        <f t="shared" si="39"/>
        <v>0</v>
      </c>
      <c r="J130" s="3758">
        <f t="shared" si="39"/>
        <v>0</v>
      </c>
      <c r="K130" s="3758">
        <f t="shared" si="39"/>
        <v>0</v>
      </c>
      <c r="L130" s="3758">
        <f t="shared" si="39"/>
        <v>0</v>
      </c>
      <c r="M130" s="3758">
        <f t="shared" si="39"/>
        <v>0</v>
      </c>
      <c r="N130" s="3758">
        <f t="shared" si="39"/>
        <v>0</v>
      </c>
      <c r="O130" s="3758">
        <f t="shared" si="39"/>
        <v>15782.500000000002</v>
      </c>
      <c r="P130" s="3758">
        <f t="shared" si="39"/>
        <v>17494.5</v>
      </c>
      <c r="Q130" s="3758">
        <f t="shared" si="39"/>
        <v>19206.5</v>
      </c>
      <c r="R130" s="3758">
        <f>R141*(1+$E$130)</f>
        <v>18618</v>
      </c>
      <c r="S130" s="3758">
        <f t="shared" si="39"/>
        <v>20330</v>
      </c>
      <c r="T130" s="3758">
        <f t="shared" si="39"/>
        <v>32795.5</v>
      </c>
      <c r="U130" s="3758">
        <f t="shared" si="39"/>
        <v>0</v>
      </c>
      <c r="V130" s="3758">
        <f t="shared" si="39"/>
        <v>0</v>
      </c>
      <c r="W130" s="3758">
        <f t="shared" si="39"/>
        <v>0</v>
      </c>
      <c r="X130" s="3758">
        <f t="shared" si="39"/>
        <v>0</v>
      </c>
      <c r="Y130" s="3758">
        <f t="shared" si="39"/>
        <v>0</v>
      </c>
      <c r="Z130" s="3758">
        <f t="shared" si="39"/>
        <v>0</v>
      </c>
      <c r="AA130" s="3758">
        <f t="shared" si="39"/>
        <v>0</v>
      </c>
      <c r="AB130" s="3758">
        <f t="shared" si="39"/>
        <v>0</v>
      </c>
      <c r="AC130" s="3758">
        <f t="shared" si="39"/>
        <v>0</v>
      </c>
      <c r="AD130" s="3758">
        <f t="shared" si="39"/>
        <v>0</v>
      </c>
      <c r="AE130" s="3758">
        <f t="shared" si="39"/>
        <v>0</v>
      </c>
      <c r="AF130" s="3758">
        <f t="shared" si="39"/>
        <v>0</v>
      </c>
      <c r="AG130" s="3758">
        <f t="shared" si="39"/>
        <v>0</v>
      </c>
      <c r="AH130" s="3758">
        <f t="shared" si="39"/>
        <v>0</v>
      </c>
      <c r="AI130" s="3758">
        <f t="shared" si="39"/>
        <v>0</v>
      </c>
      <c r="AJ130" s="3758">
        <f t="shared" si="39"/>
        <v>0</v>
      </c>
      <c r="AK130" s="3758">
        <f t="shared" si="39"/>
        <v>0</v>
      </c>
      <c r="AL130" s="3758">
        <f t="shared" si="39"/>
        <v>0</v>
      </c>
      <c r="AM130" s="3758">
        <f t="shared" si="39"/>
        <v>0</v>
      </c>
      <c r="AN130" s="3758">
        <f t="shared" si="39"/>
        <v>0</v>
      </c>
      <c r="AO130" s="3758">
        <f t="shared" si="39"/>
        <v>0</v>
      </c>
      <c r="AP130" s="3648">
        <f t="shared" si="39"/>
        <v>0</v>
      </c>
      <c r="AQ130" s="3648">
        <f t="shared" si="39"/>
        <v>0</v>
      </c>
      <c r="AR130" s="3648">
        <f t="shared" si="39"/>
        <v>0</v>
      </c>
      <c r="AS130" s="3648">
        <f t="shared" si="39"/>
        <v>0</v>
      </c>
      <c r="AT130" s="3648">
        <f t="shared" si="39"/>
        <v>0</v>
      </c>
      <c r="AU130" s="3648">
        <f t="shared" si="39"/>
        <v>0</v>
      </c>
      <c r="AV130" s="3648">
        <f t="shared" si="39"/>
        <v>0</v>
      </c>
      <c r="AW130" s="3648">
        <f t="shared" si="39"/>
        <v>0</v>
      </c>
      <c r="AX130" s="3648">
        <f t="shared" si="39"/>
        <v>0</v>
      </c>
      <c r="AY130" s="3648">
        <f t="shared" si="39"/>
        <v>0</v>
      </c>
      <c r="AZ130" s="3648">
        <f t="shared" si="39"/>
        <v>0</v>
      </c>
      <c r="BA130" s="3648">
        <f t="shared" si="39"/>
        <v>0</v>
      </c>
      <c r="BB130" s="3648">
        <f t="shared" si="39"/>
        <v>0</v>
      </c>
    </row>
    <row r="131" spans="3:54" s="3527" customFormat="1" ht="18.75" hidden="1" outlineLevel="2">
      <c r="C131" s="589"/>
      <c r="D131" s="3528"/>
      <c r="E131" s="3645">
        <v>7.0000000000000007E-2</v>
      </c>
      <c r="F131" s="3646" t="s">
        <v>30</v>
      </c>
      <c r="G131" s="3759">
        <f>G142*(1+$E$131)</f>
        <v>18939</v>
      </c>
      <c r="H131" s="3759">
        <f>H142*(1+$E$131)</f>
        <v>24289</v>
      </c>
      <c r="I131" s="3759">
        <f t="shared" ref="I131:BB131" si="40">I142*(1+$E$131)</f>
        <v>0</v>
      </c>
      <c r="J131" s="3759">
        <f t="shared" si="40"/>
        <v>0</v>
      </c>
      <c r="K131" s="3759">
        <f t="shared" si="40"/>
        <v>0</v>
      </c>
      <c r="L131" s="3759">
        <f t="shared" si="40"/>
        <v>0</v>
      </c>
      <c r="M131" s="3759">
        <f t="shared" si="40"/>
        <v>0</v>
      </c>
      <c r="N131" s="3759">
        <f t="shared" si="40"/>
        <v>25626.5</v>
      </c>
      <c r="O131" s="3759">
        <f t="shared" si="40"/>
        <v>20009</v>
      </c>
      <c r="P131" s="3759">
        <f t="shared" si="40"/>
        <v>22149</v>
      </c>
      <c r="Q131" s="3759">
        <f>Q142*(1+$E$131)</f>
        <v>22149</v>
      </c>
      <c r="R131" s="3759">
        <f t="shared" si="40"/>
        <v>23219</v>
      </c>
      <c r="S131" s="3759">
        <f t="shared" si="40"/>
        <v>23968</v>
      </c>
      <c r="T131" s="3759">
        <f t="shared" si="40"/>
        <v>34989</v>
      </c>
      <c r="U131" s="3759">
        <f t="shared" si="40"/>
        <v>19474</v>
      </c>
      <c r="V131" s="3759">
        <f t="shared" si="40"/>
        <v>22684</v>
      </c>
      <c r="W131" s="3759">
        <f t="shared" si="40"/>
        <v>20009</v>
      </c>
      <c r="X131" s="3759">
        <f t="shared" si="40"/>
        <v>21079</v>
      </c>
      <c r="Y131" s="3759">
        <f t="shared" si="40"/>
        <v>21614</v>
      </c>
      <c r="Z131" s="3759">
        <f t="shared" si="40"/>
        <v>24289</v>
      </c>
      <c r="AA131" s="3759">
        <f t="shared" si="40"/>
        <v>24824</v>
      </c>
      <c r="AB131" s="3759">
        <f t="shared" si="40"/>
        <v>30174</v>
      </c>
      <c r="AC131" s="3759">
        <f t="shared" si="40"/>
        <v>34454</v>
      </c>
      <c r="AD131" s="3759">
        <f t="shared" si="40"/>
        <v>26964</v>
      </c>
      <c r="AE131" s="3759">
        <f t="shared" si="40"/>
        <v>38734</v>
      </c>
      <c r="AF131" s="3759">
        <f t="shared" si="40"/>
        <v>32849</v>
      </c>
      <c r="AG131" s="3759">
        <f t="shared" si="40"/>
        <v>42479</v>
      </c>
      <c r="AH131" s="3759">
        <f t="shared" si="40"/>
        <v>48364</v>
      </c>
      <c r="AI131" s="3759">
        <f t="shared" si="40"/>
        <v>28569</v>
      </c>
      <c r="AJ131" s="3759">
        <f t="shared" si="40"/>
        <v>40071.5</v>
      </c>
      <c r="AK131" s="3759">
        <f t="shared" si="40"/>
        <v>53179</v>
      </c>
      <c r="AL131" s="3759">
        <f t="shared" si="40"/>
        <v>31779.000000000004</v>
      </c>
      <c r="AM131" s="3759">
        <f t="shared" si="40"/>
        <v>47829</v>
      </c>
      <c r="AN131" s="3759">
        <f t="shared" si="40"/>
        <v>0</v>
      </c>
      <c r="AO131" s="3759">
        <f t="shared" si="40"/>
        <v>0</v>
      </c>
      <c r="AP131" s="3649">
        <f t="shared" si="40"/>
        <v>0</v>
      </c>
      <c r="AQ131" s="3649">
        <f t="shared" si="40"/>
        <v>0</v>
      </c>
      <c r="AR131" s="3759">
        <f t="shared" si="40"/>
        <v>0</v>
      </c>
      <c r="AS131" s="3759">
        <f t="shared" si="40"/>
        <v>21079</v>
      </c>
      <c r="AT131" s="3759">
        <f t="shared" si="40"/>
        <v>24289</v>
      </c>
      <c r="AU131" s="3759">
        <f t="shared" si="40"/>
        <v>0</v>
      </c>
      <c r="AV131" s="3649">
        <f t="shared" si="40"/>
        <v>0</v>
      </c>
      <c r="AW131" s="3649">
        <f t="shared" si="40"/>
        <v>0</v>
      </c>
      <c r="AX131" s="3649">
        <f t="shared" si="40"/>
        <v>0</v>
      </c>
      <c r="AY131" s="3649">
        <f t="shared" si="40"/>
        <v>0</v>
      </c>
      <c r="AZ131" s="3649">
        <f t="shared" si="40"/>
        <v>0</v>
      </c>
      <c r="BA131" s="3649">
        <f t="shared" si="40"/>
        <v>0</v>
      </c>
      <c r="BB131" s="3649">
        <f t="shared" si="40"/>
        <v>0</v>
      </c>
    </row>
    <row r="132" spans="3:54" hidden="1" outlineLevel="2">
      <c r="E132" s="3645">
        <f>E131</f>
        <v>7.0000000000000007E-2</v>
      </c>
      <c r="F132" s="2550" t="s">
        <v>2569</v>
      </c>
      <c r="G132" s="3759">
        <f>G143*(1+$E$132)</f>
        <v>19902</v>
      </c>
      <c r="H132" s="3759">
        <f>H143*(1+$E$132)</f>
        <v>25252</v>
      </c>
      <c r="I132" s="3759">
        <f t="shared" ref="I132:BB132" si="41">I143*(1+$E$132)</f>
        <v>22898</v>
      </c>
      <c r="J132" s="3759">
        <f t="shared" si="41"/>
        <v>25894</v>
      </c>
      <c r="K132" s="3759">
        <f t="shared" si="41"/>
        <v>0</v>
      </c>
      <c r="L132" s="3759">
        <f t="shared" si="41"/>
        <v>0</v>
      </c>
      <c r="M132" s="3759">
        <f t="shared" si="41"/>
        <v>0</v>
      </c>
      <c r="N132" s="3759">
        <f t="shared" si="41"/>
        <v>0</v>
      </c>
      <c r="O132" s="3759">
        <f t="shared" si="41"/>
        <v>21079</v>
      </c>
      <c r="P132" s="3759">
        <f t="shared" si="41"/>
        <v>22791</v>
      </c>
      <c r="Q132" s="3759">
        <f>Q143*(1+$E$132)</f>
        <v>24503</v>
      </c>
      <c r="R132" s="3759">
        <f t="shared" si="41"/>
        <v>23914.5</v>
      </c>
      <c r="S132" s="3759">
        <f t="shared" si="41"/>
        <v>25626.5</v>
      </c>
      <c r="T132" s="3759">
        <f t="shared" si="41"/>
        <v>38092</v>
      </c>
      <c r="U132" s="3759">
        <f t="shared" si="41"/>
        <v>0</v>
      </c>
      <c r="V132" s="3759">
        <f t="shared" si="41"/>
        <v>0</v>
      </c>
      <c r="W132" s="3759">
        <f t="shared" si="41"/>
        <v>0</v>
      </c>
      <c r="X132" s="3759">
        <f t="shared" si="41"/>
        <v>0</v>
      </c>
      <c r="Y132" s="3759">
        <f t="shared" si="41"/>
        <v>0</v>
      </c>
      <c r="Z132" s="3759">
        <f t="shared" si="41"/>
        <v>0</v>
      </c>
      <c r="AA132" s="3759">
        <f t="shared" si="41"/>
        <v>0</v>
      </c>
      <c r="AB132" s="3759">
        <f t="shared" si="41"/>
        <v>0</v>
      </c>
      <c r="AC132" s="3759">
        <f t="shared" si="41"/>
        <v>0</v>
      </c>
      <c r="AD132" s="3759">
        <f t="shared" si="41"/>
        <v>0</v>
      </c>
      <c r="AE132" s="3759">
        <f t="shared" si="41"/>
        <v>0</v>
      </c>
      <c r="AF132" s="3759">
        <f t="shared" si="41"/>
        <v>0</v>
      </c>
      <c r="AG132" s="3759">
        <f t="shared" si="41"/>
        <v>0</v>
      </c>
      <c r="AH132" s="3759">
        <f t="shared" si="41"/>
        <v>0</v>
      </c>
      <c r="AI132" s="3759">
        <f t="shared" si="41"/>
        <v>0</v>
      </c>
      <c r="AJ132" s="3759">
        <f t="shared" si="41"/>
        <v>0</v>
      </c>
      <c r="AK132" s="3759">
        <f t="shared" si="41"/>
        <v>0</v>
      </c>
      <c r="AL132" s="3759">
        <f t="shared" si="41"/>
        <v>0</v>
      </c>
      <c r="AM132" s="3759">
        <f t="shared" si="41"/>
        <v>0</v>
      </c>
      <c r="AN132" s="3759">
        <f t="shared" si="41"/>
        <v>19741.5</v>
      </c>
      <c r="AO132" s="3759">
        <f>AO143*(1+$E$132)</f>
        <v>24556.5</v>
      </c>
      <c r="AP132" s="3650">
        <f t="shared" si="41"/>
        <v>21881.5</v>
      </c>
      <c r="AQ132" s="3650">
        <f t="shared" si="41"/>
        <v>21346.5</v>
      </c>
      <c r="AR132" s="3759">
        <f t="shared" si="41"/>
        <v>17815.5</v>
      </c>
      <c r="AS132" s="3759">
        <f t="shared" si="41"/>
        <v>23165.5</v>
      </c>
      <c r="AT132" s="3759">
        <f t="shared" si="41"/>
        <v>24342.5</v>
      </c>
      <c r="AU132" s="3759">
        <f t="shared" si="41"/>
        <v>26857</v>
      </c>
      <c r="AV132" s="3650">
        <f t="shared" si="41"/>
        <v>27499</v>
      </c>
      <c r="AW132" s="3650">
        <f t="shared" si="41"/>
        <v>28034</v>
      </c>
      <c r="AX132" s="3650">
        <f t="shared" si="41"/>
        <v>30334.5</v>
      </c>
      <c r="AY132" s="3650">
        <f t="shared" si="41"/>
        <v>36647.5</v>
      </c>
      <c r="AZ132" s="3650">
        <f t="shared" si="41"/>
        <v>36647.5</v>
      </c>
      <c r="BA132" s="3650">
        <f t="shared" si="41"/>
        <v>43067.5</v>
      </c>
      <c r="BB132" s="3650">
        <f t="shared" si="41"/>
        <v>45207.5</v>
      </c>
    </row>
    <row r="133" spans="3:54" hidden="1" outlineLevel="2">
      <c r="E133" s="3645">
        <f>E131</f>
        <v>7.0000000000000007E-2</v>
      </c>
      <c r="F133" s="2550" t="s">
        <v>2570</v>
      </c>
      <c r="G133" s="3759">
        <f>G144*(1+$E$133)</f>
        <v>21453.5</v>
      </c>
      <c r="H133" s="3759">
        <f t="shared" ref="H133:BB133" si="42">H144*(1+$E$133)</f>
        <v>26803.5</v>
      </c>
      <c r="I133" s="3759">
        <f t="shared" si="42"/>
        <v>24717</v>
      </c>
      <c r="J133" s="3759">
        <f t="shared" si="42"/>
        <v>27927</v>
      </c>
      <c r="K133" s="3759">
        <f t="shared" si="42"/>
        <v>31779.000000000004</v>
      </c>
      <c r="L133" s="3759">
        <f t="shared" si="42"/>
        <v>34079.5</v>
      </c>
      <c r="M133" s="3759">
        <f t="shared" si="42"/>
        <v>39804</v>
      </c>
      <c r="N133" s="3759">
        <f t="shared" si="42"/>
        <v>28997</v>
      </c>
      <c r="O133" s="3759">
        <f t="shared" si="42"/>
        <v>22630.5</v>
      </c>
      <c r="P133" s="3759">
        <f t="shared" si="42"/>
        <v>24342.5</v>
      </c>
      <c r="Q133" s="3759">
        <f t="shared" si="42"/>
        <v>26054.5</v>
      </c>
      <c r="R133" s="3759">
        <f t="shared" si="42"/>
        <v>25466</v>
      </c>
      <c r="S133" s="3759">
        <f t="shared" si="42"/>
        <v>27178</v>
      </c>
      <c r="T133" s="3759">
        <f t="shared" si="42"/>
        <v>39643.5</v>
      </c>
      <c r="U133" s="3759">
        <f t="shared" si="42"/>
        <v>0</v>
      </c>
      <c r="V133" s="3759">
        <f t="shared" si="42"/>
        <v>0</v>
      </c>
      <c r="W133" s="3759">
        <f t="shared" si="42"/>
        <v>0</v>
      </c>
      <c r="X133" s="3759">
        <f t="shared" si="42"/>
        <v>0</v>
      </c>
      <c r="Y133" s="3759">
        <f t="shared" si="42"/>
        <v>0</v>
      </c>
      <c r="Z133" s="3759">
        <f t="shared" si="42"/>
        <v>0</v>
      </c>
      <c r="AA133" s="3759">
        <f t="shared" si="42"/>
        <v>0</v>
      </c>
      <c r="AB133" s="3759">
        <f t="shared" si="42"/>
        <v>0</v>
      </c>
      <c r="AC133" s="3759">
        <f t="shared" si="42"/>
        <v>0</v>
      </c>
      <c r="AD133" s="3759">
        <f t="shared" si="42"/>
        <v>0</v>
      </c>
      <c r="AE133" s="3759">
        <f t="shared" si="42"/>
        <v>0</v>
      </c>
      <c r="AF133" s="3759">
        <f t="shared" si="42"/>
        <v>0</v>
      </c>
      <c r="AG133" s="3759">
        <f t="shared" si="42"/>
        <v>0</v>
      </c>
      <c r="AH133" s="3759">
        <f t="shared" si="42"/>
        <v>0</v>
      </c>
      <c r="AI133" s="3759">
        <f t="shared" si="42"/>
        <v>0</v>
      </c>
      <c r="AJ133" s="3759">
        <f t="shared" si="42"/>
        <v>0</v>
      </c>
      <c r="AK133" s="3759">
        <f t="shared" si="42"/>
        <v>0</v>
      </c>
      <c r="AL133" s="3759">
        <f t="shared" si="42"/>
        <v>0</v>
      </c>
      <c r="AM133" s="3759">
        <f t="shared" si="42"/>
        <v>0</v>
      </c>
      <c r="AN133" s="3759">
        <f t="shared" si="42"/>
        <v>21721</v>
      </c>
      <c r="AO133" s="3759">
        <f>AO144*(1+$E$133)</f>
        <v>26536</v>
      </c>
      <c r="AP133" s="3650">
        <f t="shared" si="42"/>
        <v>23861</v>
      </c>
      <c r="AQ133" s="3650">
        <f t="shared" si="42"/>
        <v>23326</v>
      </c>
      <c r="AR133" s="3759">
        <f t="shared" si="42"/>
        <v>19581</v>
      </c>
      <c r="AS133" s="3759">
        <f t="shared" si="42"/>
        <v>24931</v>
      </c>
      <c r="AT133" s="3759">
        <f t="shared" si="42"/>
        <v>26215</v>
      </c>
      <c r="AU133" s="3759">
        <f t="shared" si="42"/>
        <v>29585.5</v>
      </c>
      <c r="AV133" s="3650">
        <f t="shared" si="42"/>
        <v>30281</v>
      </c>
      <c r="AW133" s="3650">
        <f t="shared" si="42"/>
        <v>30869.5</v>
      </c>
      <c r="AX133" s="3650">
        <f t="shared" si="42"/>
        <v>33384</v>
      </c>
      <c r="AY133" s="3650">
        <f t="shared" si="42"/>
        <v>40339</v>
      </c>
      <c r="AZ133" s="3650">
        <f t="shared" si="42"/>
        <v>40339</v>
      </c>
      <c r="BA133" s="3650">
        <f t="shared" si="42"/>
        <v>46759</v>
      </c>
      <c r="BB133" s="3650">
        <f t="shared" si="42"/>
        <v>48899</v>
      </c>
    </row>
    <row r="134" spans="3:54" ht="24" hidden="1" outlineLevel="2">
      <c r="E134" s="3645">
        <f>E131</f>
        <v>7.0000000000000007E-2</v>
      </c>
      <c r="F134" s="2550" t="s">
        <v>2571</v>
      </c>
      <c r="G134" s="3758">
        <f>G145*(1+$E$134)</f>
        <v>23326</v>
      </c>
      <c r="H134" s="3758">
        <f t="shared" ref="H134:BB134" si="43">H145*(1+$E$134)</f>
        <v>28676</v>
      </c>
      <c r="I134" s="3758">
        <f t="shared" si="43"/>
        <v>26857</v>
      </c>
      <c r="J134" s="3758">
        <f t="shared" si="43"/>
        <v>30334.5</v>
      </c>
      <c r="K134" s="3758">
        <f t="shared" si="43"/>
        <v>33651.5</v>
      </c>
      <c r="L134" s="3758">
        <f t="shared" si="43"/>
        <v>35952</v>
      </c>
      <c r="M134" s="3758">
        <f t="shared" si="43"/>
        <v>41676.5</v>
      </c>
      <c r="N134" s="3758">
        <f t="shared" si="43"/>
        <v>0</v>
      </c>
      <c r="O134" s="3758">
        <f t="shared" si="43"/>
        <v>24503</v>
      </c>
      <c r="P134" s="3758">
        <f t="shared" si="43"/>
        <v>26215</v>
      </c>
      <c r="Q134" s="3758">
        <f t="shared" si="43"/>
        <v>27927</v>
      </c>
      <c r="R134" s="3758">
        <f t="shared" si="43"/>
        <v>27338.5</v>
      </c>
      <c r="S134" s="3758">
        <f t="shared" si="43"/>
        <v>29050.5</v>
      </c>
      <c r="T134" s="3758">
        <f t="shared" si="43"/>
        <v>41516</v>
      </c>
      <c r="U134" s="3758">
        <f t="shared" si="43"/>
        <v>23914.5</v>
      </c>
      <c r="V134" s="3758">
        <f t="shared" si="43"/>
        <v>0</v>
      </c>
      <c r="W134" s="3758">
        <f t="shared" si="43"/>
        <v>25091.5</v>
      </c>
      <c r="X134" s="3758">
        <f t="shared" si="43"/>
        <v>26268.5</v>
      </c>
      <c r="Y134" s="3758">
        <f t="shared" si="43"/>
        <v>0</v>
      </c>
      <c r="Z134" s="3758">
        <f t="shared" si="43"/>
        <v>0</v>
      </c>
      <c r="AA134" s="3758">
        <f t="shared" si="43"/>
        <v>0</v>
      </c>
      <c r="AB134" s="3758">
        <f t="shared" si="43"/>
        <v>0</v>
      </c>
      <c r="AC134" s="3758">
        <f t="shared" si="43"/>
        <v>0</v>
      </c>
      <c r="AD134" s="3758">
        <f t="shared" si="43"/>
        <v>0</v>
      </c>
      <c r="AE134" s="3758">
        <f t="shared" si="43"/>
        <v>0</v>
      </c>
      <c r="AF134" s="3758">
        <f t="shared" si="43"/>
        <v>0</v>
      </c>
      <c r="AG134" s="3758">
        <f t="shared" si="43"/>
        <v>0</v>
      </c>
      <c r="AH134" s="3758">
        <f t="shared" si="43"/>
        <v>0</v>
      </c>
      <c r="AI134" s="3758">
        <f t="shared" si="43"/>
        <v>0</v>
      </c>
      <c r="AJ134" s="3758">
        <f t="shared" si="43"/>
        <v>0</v>
      </c>
      <c r="AK134" s="3758">
        <f t="shared" si="43"/>
        <v>0</v>
      </c>
      <c r="AL134" s="3758">
        <f t="shared" si="43"/>
        <v>0</v>
      </c>
      <c r="AM134" s="3758">
        <f t="shared" si="43"/>
        <v>0</v>
      </c>
      <c r="AN134" s="3758">
        <f t="shared" si="43"/>
        <v>23700.5</v>
      </c>
      <c r="AO134" s="3758">
        <f>AO145*(1+$E$134)</f>
        <v>28515.5</v>
      </c>
      <c r="AP134" s="3648">
        <f t="shared" si="43"/>
        <v>25840.5</v>
      </c>
      <c r="AQ134" s="3648">
        <f t="shared" si="43"/>
        <v>25305.5</v>
      </c>
      <c r="AR134" s="3758">
        <f t="shared" si="43"/>
        <v>21346.5</v>
      </c>
      <c r="AS134" s="3758">
        <f t="shared" si="43"/>
        <v>26696.5</v>
      </c>
      <c r="AT134" s="3758">
        <f t="shared" si="43"/>
        <v>28034</v>
      </c>
      <c r="AU134" s="3758">
        <f t="shared" si="43"/>
        <v>32260.500000000004</v>
      </c>
      <c r="AV134" s="3648">
        <f t="shared" si="43"/>
        <v>33009.5</v>
      </c>
      <c r="AW134" s="3648">
        <f t="shared" si="43"/>
        <v>33651.5</v>
      </c>
      <c r="AX134" s="3648">
        <f t="shared" si="43"/>
        <v>36433.5</v>
      </c>
      <c r="AY134" s="3648">
        <f t="shared" si="43"/>
        <v>43977</v>
      </c>
      <c r="AZ134" s="3648">
        <f t="shared" si="43"/>
        <v>43977</v>
      </c>
      <c r="BA134" s="3648">
        <f t="shared" si="43"/>
        <v>50397</v>
      </c>
      <c r="BB134" s="3648">
        <f t="shared" si="43"/>
        <v>52537</v>
      </c>
    </row>
    <row r="135" spans="3:54" hidden="1" outlineLevel="2">
      <c r="AH135" s="3760"/>
      <c r="AI135" s="3760"/>
      <c r="AJ135" s="3760"/>
      <c r="AK135" s="3760"/>
      <c r="AL135" s="3760"/>
      <c r="AM135" s="3760"/>
    </row>
    <row r="136" spans="3:54" hidden="1" outlineLevel="2"/>
    <row r="137" spans="3:54" s="589" customFormat="1" hidden="1" outlineLevel="1">
      <c r="D137" s="356"/>
      <c r="E137" s="356"/>
      <c r="F137" s="356"/>
      <c r="G137" s="3428" t="s">
        <v>3239</v>
      </c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  <c r="AV137" s="69"/>
      <c r="AW137" s="69"/>
      <c r="AX137" s="69"/>
      <c r="AZ137" s="69"/>
      <c r="BA137" s="69"/>
    </row>
    <row r="138" spans="3:54" s="589" customFormat="1" ht="45" hidden="1" outlineLevel="2">
      <c r="D138" s="356"/>
      <c r="E138" s="356"/>
      <c r="F138" s="3435"/>
      <c r="G138" s="3436" t="s">
        <v>2336</v>
      </c>
      <c r="H138" s="3436" t="s">
        <v>3038</v>
      </c>
      <c r="I138" s="3436" t="s">
        <v>3039</v>
      </c>
      <c r="J138" s="3436" t="s">
        <v>3040</v>
      </c>
      <c r="K138" s="3436" t="s">
        <v>2351</v>
      </c>
      <c r="L138" s="3437" t="s">
        <v>3041</v>
      </c>
      <c r="M138" s="3437" t="s">
        <v>3042</v>
      </c>
      <c r="N138" s="3437" t="s">
        <v>3043</v>
      </c>
      <c r="O138" s="3437" t="s">
        <v>3044</v>
      </c>
      <c r="P138" s="3437" t="s">
        <v>3045</v>
      </c>
      <c r="Q138" s="3437" t="s">
        <v>3046</v>
      </c>
      <c r="R138" s="3437" t="s">
        <v>3047</v>
      </c>
      <c r="S138" s="3437" t="s">
        <v>3048</v>
      </c>
      <c r="T138" s="3437" t="s">
        <v>1196</v>
      </c>
      <c r="U138" s="3437" t="s">
        <v>3049</v>
      </c>
      <c r="V138" s="3437" t="s">
        <v>1671</v>
      </c>
      <c r="W138" s="3437" t="s">
        <v>3050</v>
      </c>
      <c r="X138" s="3437" t="s">
        <v>3051</v>
      </c>
      <c r="Y138" s="3438" t="s">
        <v>2291</v>
      </c>
      <c r="Z138" s="3438" t="s">
        <v>1627</v>
      </c>
      <c r="AA138" s="3438" t="s">
        <v>3052</v>
      </c>
      <c r="AB138" s="3438" t="s">
        <v>2299</v>
      </c>
      <c r="AC138" s="3438" t="s">
        <v>365</v>
      </c>
      <c r="AD138" s="3438" t="s">
        <v>2310</v>
      </c>
      <c r="AE138" s="3438" t="s">
        <v>2312</v>
      </c>
      <c r="AF138" s="3438" t="s">
        <v>2314</v>
      </c>
      <c r="AG138" s="3438" t="s">
        <v>2316</v>
      </c>
      <c r="AH138" s="3438" t="s">
        <v>1623</v>
      </c>
      <c r="AI138" s="3438" t="s">
        <v>2319</v>
      </c>
      <c r="AJ138" s="3438" t="s">
        <v>2321</v>
      </c>
      <c r="AK138" s="3438" t="s">
        <v>2323</v>
      </c>
      <c r="AL138" s="3438" t="s">
        <v>743</v>
      </c>
      <c r="AM138" s="3438" t="s">
        <v>2328</v>
      </c>
      <c r="AN138" s="3437" t="s">
        <v>1632</v>
      </c>
      <c r="AO138" s="3437" t="s">
        <v>3053</v>
      </c>
      <c r="AP138" s="3437" t="s">
        <v>3054</v>
      </c>
      <c r="AQ138" s="3437" t="s">
        <v>3055</v>
      </c>
      <c r="AR138" s="3437" t="s">
        <v>2341</v>
      </c>
      <c r="AS138" s="3437" t="s">
        <v>2304</v>
      </c>
      <c r="AT138" s="3437" t="s">
        <v>3056</v>
      </c>
      <c r="AU138" s="3437" t="s">
        <v>1696</v>
      </c>
      <c r="AV138" s="3437" t="s">
        <v>1692</v>
      </c>
      <c r="AW138" s="3437" t="s">
        <v>1694</v>
      </c>
      <c r="AX138" s="3437" t="s">
        <v>3057</v>
      </c>
      <c r="AY138" s="3437" t="s">
        <v>3058</v>
      </c>
      <c r="AZ138" s="3437" t="s">
        <v>2349</v>
      </c>
      <c r="BA138" s="3437" t="s">
        <v>3059</v>
      </c>
      <c r="BB138" s="3437" t="s">
        <v>3060</v>
      </c>
    </row>
    <row r="139" spans="3:54" s="589" customFormat="1" hidden="1" outlineLevel="2">
      <c r="D139" s="356"/>
      <c r="E139" s="356"/>
      <c r="F139" s="2550" t="s">
        <v>1741</v>
      </c>
      <c r="G139" s="3643"/>
      <c r="H139" s="3643"/>
      <c r="I139" s="3643"/>
      <c r="J139" s="3643"/>
      <c r="K139" s="3643"/>
      <c r="L139" s="3643"/>
      <c r="M139" s="3643"/>
      <c r="N139" s="3643"/>
      <c r="O139" s="3643"/>
      <c r="P139" s="3643"/>
      <c r="Q139" s="3643"/>
      <c r="R139" s="3643"/>
      <c r="S139" s="3643"/>
      <c r="T139" s="3761"/>
      <c r="U139" s="3761"/>
      <c r="V139" s="3761"/>
      <c r="W139" s="3761"/>
      <c r="X139" s="3761"/>
      <c r="Y139" s="3761"/>
      <c r="Z139" s="3761"/>
      <c r="AA139" s="3761"/>
      <c r="AB139" s="3761"/>
      <c r="AC139" s="3761"/>
      <c r="AD139" s="3761"/>
      <c r="AE139" s="3761"/>
      <c r="AF139" s="3761"/>
      <c r="AG139" s="3761"/>
      <c r="AH139" s="3761"/>
      <c r="AI139" s="3761"/>
      <c r="AJ139" s="3761"/>
      <c r="AK139" s="3761"/>
      <c r="AL139" s="3761"/>
      <c r="AM139" s="3761"/>
      <c r="AN139" s="3643"/>
      <c r="AO139" s="3643"/>
      <c r="AP139" s="3643"/>
      <c r="AQ139" s="3643"/>
      <c r="AR139" s="3643"/>
      <c r="AS139" s="3643"/>
      <c r="AT139" s="3643"/>
      <c r="AU139" s="3643"/>
      <c r="AV139" s="3643"/>
      <c r="AW139" s="3643"/>
      <c r="AX139" s="3643"/>
      <c r="AY139" s="1445"/>
      <c r="AZ139" s="3643"/>
      <c r="BA139" s="3643"/>
      <c r="BB139" s="1445"/>
    </row>
    <row r="140" spans="3:54" s="589" customFormat="1" hidden="1" outlineLevel="2">
      <c r="D140" s="356"/>
      <c r="E140" s="356"/>
      <c r="F140" s="3634" t="s">
        <v>3240</v>
      </c>
      <c r="G140" s="3761">
        <v>11550</v>
      </c>
      <c r="H140" s="3761"/>
      <c r="I140" s="3761"/>
      <c r="J140" s="3761"/>
      <c r="K140" s="3761"/>
      <c r="L140" s="3761"/>
      <c r="M140" s="3761"/>
      <c r="N140" s="3761"/>
      <c r="O140" s="3761">
        <v>12650</v>
      </c>
      <c r="P140" s="3761">
        <v>14250</v>
      </c>
      <c r="Q140" s="3761">
        <v>15850</v>
      </c>
      <c r="R140" s="3761">
        <v>15300</v>
      </c>
      <c r="S140" s="3761">
        <v>16900</v>
      </c>
      <c r="T140" s="3761">
        <v>28550</v>
      </c>
      <c r="U140" s="3761"/>
      <c r="V140" s="3761"/>
      <c r="W140" s="3761"/>
      <c r="X140" s="3761"/>
      <c r="Y140" s="3761"/>
      <c r="Z140" s="3761"/>
      <c r="AA140" s="3761"/>
      <c r="AB140" s="3761"/>
      <c r="AC140" s="3761"/>
      <c r="AD140" s="3761"/>
      <c r="AE140" s="3761"/>
      <c r="AF140" s="3761"/>
      <c r="AG140" s="3761"/>
      <c r="AH140" s="3761"/>
      <c r="AI140" s="3761"/>
      <c r="AJ140" s="3761"/>
      <c r="AK140" s="3761"/>
      <c r="AL140" s="3761"/>
      <c r="AM140" s="3761"/>
      <c r="AN140" s="3643"/>
      <c r="AO140" s="3643"/>
      <c r="AP140" s="3643"/>
      <c r="AQ140" s="3643"/>
      <c r="AR140" s="3643"/>
      <c r="AS140" s="3643"/>
      <c r="AT140" s="3643"/>
      <c r="AU140" s="3643"/>
      <c r="AV140" s="3643"/>
      <c r="AW140" s="3643"/>
      <c r="AX140" s="3643"/>
      <c r="AY140" s="3643"/>
      <c r="AZ140" s="3643"/>
      <c r="BA140" s="3643"/>
      <c r="BB140" s="3643"/>
    </row>
    <row r="141" spans="3:54" s="589" customFormat="1" hidden="1" outlineLevel="2">
      <c r="D141" s="356"/>
      <c r="E141" s="356"/>
      <c r="F141" s="2541" t="s">
        <v>3241</v>
      </c>
      <c r="G141" s="3761">
        <v>13650</v>
      </c>
      <c r="H141" s="3761"/>
      <c r="I141" s="3761"/>
      <c r="J141" s="3761"/>
      <c r="K141" s="3761"/>
      <c r="L141" s="3761"/>
      <c r="M141" s="3761"/>
      <c r="N141" s="3761"/>
      <c r="O141" s="3761">
        <v>14750</v>
      </c>
      <c r="P141" s="3761">
        <v>16350</v>
      </c>
      <c r="Q141" s="3761">
        <v>17950</v>
      </c>
      <c r="R141" s="3761">
        <v>17400</v>
      </c>
      <c r="S141" s="3761">
        <v>19000</v>
      </c>
      <c r="T141" s="3761">
        <v>30650</v>
      </c>
      <c r="U141" s="3761"/>
      <c r="V141" s="3761"/>
      <c r="W141" s="3761"/>
      <c r="X141" s="3761"/>
      <c r="Y141" s="3761"/>
      <c r="Z141" s="3761"/>
      <c r="AA141" s="3761"/>
      <c r="AB141" s="3761"/>
      <c r="AC141" s="3761"/>
      <c r="AD141" s="3761"/>
      <c r="AE141" s="3761"/>
      <c r="AF141" s="3761"/>
      <c r="AG141" s="3761"/>
      <c r="AH141" s="3761"/>
      <c r="AI141" s="3761"/>
      <c r="AJ141" s="3761"/>
      <c r="AK141" s="3761"/>
      <c r="AL141" s="3761"/>
      <c r="AM141" s="3761"/>
      <c r="AN141" s="3643"/>
      <c r="AO141" s="3643"/>
      <c r="AP141" s="3643"/>
      <c r="AQ141" s="3643"/>
      <c r="AR141" s="3761"/>
      <c r="AS141" s="3761"/>
      <c r="AT141" s="3761"/>
      <c r="AU141" s="3761"/>
      <c r="AV141" s="3643"/>
      <c r="AW141" s="3643"/>
      <c r="AX141" s="3643"/>
      <c r="AY141" s="3643"/>
      <c r="AZ141" s="3643"/>
      <c r="BA141" s="3643"/>
      <c r="BB141" s="3643"/>
    </row>
    <row r="142" spans="3:54" s="3527" customFormat="1" ht="18.75" hidden="1" outlineLevel="2">
      <c r="C142" s="589"/>
      <c r="D142" s="3528"/>
      <c r="E142" s="3528"/>
      <c r="F142" s="3646" t="s">
        <v>30</v>
      </c>
      <c r="G142" s="3762">
        <v>17700</v>
      </c>
      <c r="H142" s="3762">
        <v>22700</v>
      </c>
      <c r="I142" s="3762"/>
      <c r="J142" s="3762"/>
      <c r="K142" s="3762"/>
      <c r="L142" s="3762"/>
      <c r="M142" s="3762"/>
      <c r="N142" s="3762">
        <v>23950</v>
      </c>
      <c r="O142" s="3762">
        <v>18700</v>
      </c>
      <c r="P142" s="3762">
        <v>20700</v>
      </c>
      <c r="Q142" s="3762">
        <v>20700</v>
      </c>
      <c r="R142" s="3762">
        <v>21700</v>
      </c>
      <c r="S142" s="3762">
        <v>22400</v>
      </c>
      <c r="T142" s="3762">
        <v>32700</v>
      </c>
      <c r="U142" s="3762">
        <v>18200</v>
      </c>
      <c r="V142" s="3762">
        <v>21200</v>
      </c>
      <c r="W142" s="3762">
        <v>18700</v>
      </c>
      <c r="X142" s="3762">
        <v>19700</v>
      </c>
      <c r="Y142" s="3762">
        <v>20200</v>
      </c>
      <c r="Z142" s="3761">
        <v>22700</v>
      </c>
      <c r="AA142" s="3761">
        <v>23200</v>
      </c>
      <c r="AB142" s="3761">
        <v>28200</v>
      </c>
      <c r="AC142" s="3761">
        <v>32200</v>
      </c>
      <c r="AD142" s="3761">
        <v>25200</v>
      </c>
      <c r="AE142" s="3761">
        <v>36200</v>
      </c>
      <c r="AF142" s="3761">
        <v>30700</v>
      </c>
      <c r="AG142" s="3761">
        <v>39700</v>
      </c>
      <c r="AH142" s="3761">
        <v>45200</v>
      </c>
      <c r="AI142" s="3761">
        <v>26700</v>
      </c>
      <c r="AJ142" s="3761">
        <v>37450</v>
      </c>
      <c r="AK142" s="3761">
        <v>49700</v>
      </c>
      <c r="AL142" s="3761">
        <v>29700</v>
      </c>
      <c r="AM142" s="3761">
        <v>44700</v>
      </c>
      <c r="AN142" s="3644"/>
      <c r="AO142" s="3644"/>
      <c r="AP142" s="3644"/>
      <c r="AQ142" s="3644"/>
      <c r="AR142" s="3761"/>
      <c r="AS142" s="3761">
        <v>19700</v>
      </c>
      <c r="AT142" s="3761">
        <v>22700</v>
      </c>
      <c r="AU142" s="3761"/>
      <c r="AV142" s="3644"/>
      <c r="AW142" s="3644"/>
      <c r="AX142" s="3644"/>
      <c r="AY142" s="3644"/>
      <c r="AZ142" s="3644"/>
      <c r="BA142" s="3644"/>
      <c r="BB142" s="3644"/>
    </row>
    <row r="143" spans="3:54" s="589" customFormat="1" hidden="1" outlineLevel="2">
      <c r="D143" s="356"/>
      <c r="E143" s="356"/>
      <c r="F143" s="2550" t="s">
        <v>2569</v>
      </c>
      <c r="G143" s="3762">
        <v>18600</v>
      </c>
      <c r="H143" s="3761">
        <v>23600</v>
      </c>
      <c r="I143" s="3761">
        <v>21400</v>
      </c>
      <c r="J143" s="3761">
        <v>24200</v>
      </c>
      <c r="K143" s="3761"/>
      <c r="L143" s="3761"/>
      <c r="M143" s="3761"/>
      <c r="N143" s="3761"/>
      <c r="O143" s="3761">
        <v>19700</v>
      </c>
      <c r="P143" s="3761">
        <v>21300</v>
      </c>
      <c r="Q143" s="3761">
        <v>22900</v>
      </c>
      <c r="R143" s="3761">
        <v>22350</v>
      </c>
      <c r="S143" s="3761">
        <v>23950</v>
      </c>
      <c r="T143" s="3761">
        <v>35600</v>
      </c>
      <c r="U143" s="3761"/>
      <c r="V143" s="3761"/>
      <c r="W143" s="3761"/>
      <c r="X143" s="3761"/>
      <c r="Y143" s="3761"/>
      <c r="Z143" s="3761"/>
      <c r="AA143" s="3761"/>
      <c r="AB143" s="3761"/>
      <c r="AC143" s="3761"/>
      <c r="AD143" s="3761"/>
      <c r="AE143" s="3761"/>
      <c r="AF143" s="3761"/>
      <c r="AG143" s="3761"/>
      <c r="AH143" s="3761"/>
      <c r="AI143" s="3761"/>
      <c r="AJ143" s="3761"/>
      <c r="AK143" s="3761"/>
      <c r="AL143" s="3761"/>
      <c r="AM143" s="3761"/>
      <c r="AN143" s="3643">
        <v>18450</v>
      </c>
      <c r="AO143" s="3643">
        <v>22950</v>
      </c>
      <c r="AP143" s="3643">
        <v>20450</v>
      </c>
      <c r="AQ143" s="3643">
        <v>19950</v>
      </c>
      <c r="AR143" s="3761">
        <v>16650</v>
      </c>
      <c r="AS143" s="3761">
        <v>21650</v>
      </c>
      <c r="AT143" s="3761">
        <v>22750</v>
      </c>
      <c r="AU143" s="3761">
        <v>25100</v>
      </c>
      <c r="AV143" s="3643">
        <v>25700</v>
      </c>
      <c r="AW143" s="3643">
        <v>26200</v>
      </c>
      <c r="AX143" s="3643">
        <v>28350</v>
      </c>
      <c r="AY143" s="3643">
        <v>34250</v>
      </c>
      <c r="AZ143" s="3643">
        <v>34250</v>
      </c>
      <c r="BA143" s="3643">
        <v>40250</v>
      </c>
      <c r="BB143" s="3643">
        <v>42250</v>
      </c>
    </row>
    <row r="144" spans="3:54" s="589" customFormat="1" hidden="1" outlineLevel="2">
      <c r="D144" s="356"/>
      <c r="E144" s="356"/>
      <c r="F144" s="2550" t="s">
        <v>2570</v>
      </c>
      <c r="G144" s="3762">
        <v>20050</v>
      </c>
      <c r="H144" s="3761">
        <v>25050</v>
      </c>
      <c r="I144" s="3761">
        <v>23100</v>
      </c>
      <c r="J144" s="3761">
        <v>26100</v>
      </c>
      <c r="K144" s="3761">
        <v>29700</v>
      </c>
      <c r="L144" s="3761">
        <v>31850</v>
      </c>
      <c r="M144" s="3761">
        <v>37200</v>
      </c>
      <c r="N144" s="3761">
        <v>27100</v>
      </c>
      <c r="O144" s="3761">
        <v>21150</v>
      </c>
      <c r="P144" s="3761">
        <v>22750</v>
      </c>
      <c r="Q144" s="3761">
        <v>24350</v>
      </c>
      <c r="R144" s="3761">
        <v>23800</v>
      </c>
      <c r="S144" s="3761">
        <v>25400</v>
      </c>
      <c r="T144" s="3761">
        <v>37050</v>
      </c>
      <c r="U144" s="3761"/>
      <c r="V144" s="3761"/>
      <c r="W144" s="3761"/>
      <c r="X144" s="3761"/>
      <c r="Y144" s="3761"/>
      <c r="Z144" s="3761"/>
      <c r="AA144" s="3761"/>
      <c r="AB144" s="3761"/>
      <c r="AC144" s="3761"/>
      <c r="AD144" s="3761"/>
      <c r="AE144" s="3761"/>
      <c r="AF144" s="3761"/>
      <c r="AG144" s="3761"/>
      <c r="AH144" s="3761"/>
      <c r="AI144" s="3761"/>
      <c r="AJ144" s="3761"/>
      <c r="AK144" s="3761"/>
      <c r="AL144" s="3761"/>
      <c r="AM144" s="3761"/>
      <c r="AN144" s="3643">
        <v>20300</v>
      </c>
      <c r="AO144" s="3643">
        <v>24800</v>
      </c>
      <c r="AP144" s="3643">
        <v>22300</v>
      </c>
      <c r="AQ144" s="3643">
        <v>21800</v>
      </c>
      <c r="AR144" s="3761">
        <v>18300</v>
      </c>
      <c r="AS144" s="3761">
        <v>23300</v>
      </c>
      <c r="AT144" s="3761">
        <v>24500</v>
      </c>
      <c r="AU144" s="3761">
        <v>27650</v>
      </c>
      <c r="AV144" s="3643">
        <v>28300</v>
      </c>
      <c r="AW144" s="3643">
        <v>28850</v>
      </c>
      <c r="AX144" s="3643">
        <v>31200</v>
      </c>
      <c r="AY144" s="3643">
        <v>37700</v>
      </c>
      <c r="AZ144" s="3643">
        <v>37700</v>
      </c>
      <c r="BA144" s="3643">
        <v>43700</v>
      </c>
      <c r="BB144" s="3643">
        <v>45700</v>
      </c>
    </row>
    <row r="145" spans="2:54" s="589" customFormat="1" ht="24" hidden="1" outlineLevel="2">
      <c r="D145" s="356"/>
      <c r="E145" s="356"/>
      <c r="F145" s="2550" t="s">
        <v>2571</v>
      </c>
      <c r="G145" s="3761">
        <v>21800</v>
      </c>
      <c r="H145" s="3761">
        <v>26800</v>
      </c>
      <c r="I145" s="3761">
        <v>25100</v>
      </c>
      <c r="J145" s="3761">
        <v>28350</v>
      </c>
      <c r="K145" s="3761">
        <v>31450</v>
      </c>
      <c r="L145" s="3761">
        <v>33600</v>
      </c>
      <c r="M145" s="3761">
        <v>38950</v>
      </c>
      <c r="N145" s="3761"/>
      <c r="O145" s="3761">
        <v>22900</v>
      </c>
      <c r="P145" s="3761">
        <v>24500</v>
      </c>
      <c r="Q145" s="3761">
        <v>26100</v>
      </c>
      <c r="R145" s="3761">
        <v>25550</v>
      </c>
      <c r="S145" s="3761">
        <v>27150</v>
      </c>
      <c r="T145" s="3761">
        <v>38800</v>
      </c>
      <c r="U145" s="3761">
        <v>22350</v>
      </c>
      <c r="V145" s="3761"/>
      <c r="W145" s="3761">
        <v>23450</v>
      </c>
      <c r="X145" s="3761">
        <v>24550</v>
      </c>
      <c r="Y145" s="3761"/>
      <c r="Z145" s="3761"/>
      <c r="AA145" s="3761"/>
      <c r="AB145" s="3761"/>
      <c r="AC145" s="3761"/>
      <c r="AD145" s="3761"/>
      <c r="AE145" s="3761"/>
      <c r="AF145" s="3761"/>
      <c r="AG145" s="3761"/>
      <c r="AH145" s="3761"/>
      <c r="AI145" s="3761"/>
      <c r="AJ145" s="3761"/>
      <c r="AK145" s="3761"/>
      <c r="AL145" s="3761"/>
      <c r="AM145" s="3761"/>
      <c r="AN145" s="3643">
        <v>22150</v>
      </c>
      <c r="AO145" s="3643">
        <v>26650</v>
      </c>
      <c r="AP145" s="3643">
        <v>24150</v>
      </c>
      <c r="AQ145" s="3643">
        <v>23650</v>
      </c>
      <c r="AR145" s="3761">
        <v>19950</v>
      </c>
      <c r="AS145" s="3761">
        <v>24950</v>
      </c>
      <c r="AT145" s="3761">
        <v>26200</v>
      </c>
      <c r="AU145" s="3761">
        <v>30150</v>
      </c>
      <c r="AV145" s="3643">
        <v>30850</v>
      </c>
      <c r="AW145" s="3643">
        <v>31450</v>
      </c>
      <c r="AX145" s="3643">
        <v>34050</v>
      </c>
      <c r="AY145" s="3643">
        <v>41100</v>
      </c>
      <c r="AZ145" s="3643">
        <v>41100</v>
      </c>
      <c r="BA145" s="3643">
        <v>47100</v>
      </c>
      <c r="BB145" s="3643">
        <v>49100</v>
      </c>
    </row>
    <row r="146" spans="2:54" s="589" customFormat="1" hidden="1" outlineLevel="2">
      <c r="D146" s="356"/>
      <c r="E146" s="356"/>
      <c r="F146" s="356"/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  <c r="AV146" s="69"/>
      <c r="AW146" s="69"/>
      <c r="AX146" s="69"/>
      <c r="AZ146" s="69"/>
      <c r="BA146" s="69"/>
    </row>
    <row r="147" spans="2:54" collapsed="1"/>
    <row r="148" spans="2:54" s="242" customFormat="1" hidden="1" outlineLevel="2">
      <c r="B148" s="750" t="s">
        <v>1040</v>
      </c>
      <c r="C148" s="3427"/>
      <c r="D148" s="3430"/>
      <c r="E148" s="3430"/>
      <c r="F148" s="3431"/>
      <c r="G148" s="3432"/>
      <c r="H148" s="3433"/>
      <c r="I148" s="3433"/>
      <c r="J148" s="3433"/>
      <c r="K148" s="3433"/>
      <c r="L148" s="3433"/>
      <c r="M148" s="3432"/>
      <c r="N148" s="3432"/>
      <c r="O148" s="3432"/>
      <c r="P148" s="3432"/>
      <c r="Q148" s="3432"/>
      <c r="R148" s="3432"/>
      <c r="S148" s="3432"/>
      <c r="T148" s="3432"/>
      <c r="U148" s="3432"/>
      <c r="V148" s="3432"/>
      <c r="W148" s="3432"/>
      <c r="X148" s="3433"/>
      <c r="Y148" s="3433"/>
      <c r="Z148" s="693"/>
      <c r="AA148" s="3432"/>
      <c r="AB148" s="693"/>
      <c r="AC148" s="693"/>
      <c r="AD148" s="693"/>
      <c r="AE148" s="3432"/>
      <c r="AF148" s="3433"/>
      <c r="AG148" s="3433"/>
      <c r="AH148" s="3433"/>
      <c r="AI148" s="3433"/>
      <c r="AJ148" s="3433"/>
      <c r="AK148" s="3433"/>
      <c r="AL148" s="693"/>
      <c r="AM148" s="693"/>
      <c r="AN148" s="693"/>
      <c r="AO148" s="693"/>
      <c r="AP148" s="693"/>
      <c r="AQ148" s="693"/>
      <c r="AR148" s="693"/>
      <c r="AS148" s="693"/>
      <c r="AT148" s="693"/>
      <c r="AU148" s="3433"/>
      <c r="AV148" s="3433"/>
      <c r="AW148" s="3433"/>
      <c r="AX148" s="3432"/>
      <c r="AY148" s="693"/>
      <c r="AZ148" s="3433"/>
      <c r="BA148" s="693"/>
      <c r="BB148" s="441"/>
    </row>
    <row r="149" spans="2:54" s="242" customFormat="1" ht="60" hidden="1" outlineLevel="3">
      <c r="B149" s="813"/>
      <c r="C149" s="750"/>
      <c r="D149" s="818"/>
      <c r="E149" s="2570"/>
      <c r="F149" s="3633" t="s">
        <v>1401</v>
      </c>
      <c r="G149" s="3635" t="s">
        <v>1136</v>
      </c>
      <c r="H149" s="3635" t="s">
        <v>2533</v>
      </c>
      <c r="I149" s="988" t="s">
        <v>2538</v>
      </c>
      <c r="J149" s="3635" t="s">
        <v>2539</v>
      </c>
      <c r="K149" s="3635" t="s">
        <v>2555</v>
      </c>
      <c r="L149" s="807" t="s">
        <v>2540</v>
      </c>
      <c r="M149" s="807" t="s">
        <v>2541</v>
      </c>
      <c r="N149" s="2534" t="s">
        <v>2535</v>
      </c>
      <c r="O149" s="807" t="s">
        <v>2531</v>
      </c>
      <c r="P149" s="2534" t="s">
        <v>2536</v>
      </c>
      <c r="Q149" s="817" t="s">
        <v>2530</v>
      </c>
      <c r="R149" s="2534" t="s">
        <v>2537</v>
      </c>
      <c r="S149" s="807" t="s">
        <v>1672</v>
      </c>
      <c r="T149" s="807" t="s">
        <v>2546</v>
      </c>
      <c r="U149" s="815" t="s">
        <v>2547</v>
      </c>
      <c r="V149" s="3635" t="s">
        <v>2529</v>
      </c>
      <c r="W149" s="816" t="s">
        <v>2528</v>
      </c>
      <c r="X149" s="3635" t="s">
        <v>2577</v>
      </c>
      <c r="Y149" s="807" t="s">
        <v>1078</v>
      </c>
      <c r="Z149" s="3635" t="s">
        <v>1117</v>
      </c>
      <c r="AA149" s="3635" t="s">
        <v>1122</v>
      </c>
      <c r="AB149" s="807" t="s">
        <v>1130</v>
      </c>
      <c r="AC149" s="3635" t="s">
        <v>1125</v>
      </c>
      <c r="AD149" s="3635" t="s">
        <v>1126</v>
      </c>
      <c r="AE149" s="3635" t="s">
        <v>2532</v>
      </c>
      <c r="AF149" s="824" t="s">
        <v>1099</v>
      </c>
      <c r="AG149" s="824" t="s">
        <v>1098</v>
      </c>
      <c r="AH149" s="824" t="s">
        <v>1100</v>
      </c>
      <c r="AI149" s="824" t="s">
        <v>1103</v>
      </c>
      <c r="AJ149" s="824" t="s">
        <v>1698</v>
      </c>
      <c r="AK149" s="824" t="s">
        <v>1701</v>
      </c>
      <c r="AL149" s="824" t="s">
        <v>2566</v>
      </c>
      <c r="AM149" s="824" t="s">
        <v>2567</v>
      </c>
      <c r="AN149" s="3635" t="s">
        <v>2314</v>
      </c>
      <c r="AO149" s="807" t="s">
        <v>2542</v>
      </c>
      <c r="AP149" s="807" t="s">
        <v>2582</v>
      </c>
      <c r="AQ149" s="3635" t="s">
        <v>2545</v>
      </c>
      <c r="AR149" s="817" t="s">
        <v>2544</v>
      </c>
      <c r="AS149" s="3635" t="s">
        <v>1145</v>
      </c>
      <c r="AT149" s="3635" t="s">
        <v>1150</v>
      </c>
      <c r="AU149" s="3635" t="s">
        <v>2560</v>
      </c>
      <c r="AV149" s="3635" t="s">
        <v>2558</v>
      </c>
      <c r="AW149" s="3635" t="s">
        <v>2549</v>
      </c>
      <c r="AX149" s="3635" t="s">
        <v>2779</v>
      </c>
      <c r="AY149" s="3635" t="s">
        <v>743</v>
      </c>
      <c r="AZ149" s="3635" t="s">
        <v>1376</v>
      </c>
      <c r="BA149" s="807" t="s">
        <v>441</v>
      </c>
      <c r="BB149" s="3236" t="s">
        <v>2863</v>
      </c>
    </row>
    <row r="150" spans="2:54" s="242" customFormat="1" ht="36" hidden="1" outlineLevel="3">
      <c r="B150" s="813"/>
      <c r="C150" s="750"/>
      <c r="D150" s="2529"/>
      <c r="E150" s="2570"/>
      <c r="F150" s="2528"/>
      <c r="G150" s="2536"/>
      <c r="H150" s="807" t="s">
        <v>2550</v>
      </c>
      <c r="I150" s="807" t="s">
        <v>2551</v>
      </c>
      <c r="J150" s="807" t="s">
        <v>2554</v>
      </c>
      <c r="K150" s="807" t="s">
        <v>2554</v>
      </c>
      <c r="L150" s="807" t="s">
        <v>2552</v>
      </c>
      <c r="M150" s="807"/>
      <c r="N150" s="807" t="s">
        <v>2778</v>
      </c>
      <c r="O150" s="807" t="s">
        <v>2553</v>
      </c>
      <c r="P150" s="807"/>
      <c r="Q150" s="2537"/>
      <c r="R150" s="2535"/>
      <c r="S150" s="2526"/>
      <c r="T150" s="2526"/>
      <c r="U150" s="2558"/>
      <c r="V150" s="2536"/>
      <c r="W150" s="2538"/>
      <c r="X150" s="2536"/>
      <c r="Y150" s="2526" t="s">
        <v>2780</v>
      </c>
      <c r="Z150" s="807" t="s">
        <v>2562</v>
      </c>
      <c r="AA150" s="807" t="s">
        <v>2563</v>
      </c>
      <c r="AB150" s="807" t="s">
        <v>2564</v>
      </c>
      <c r="AC150" s="807" t="s">
        <v>2565</v>
      </c>
      <c r="AD150" s="807" t="s">
        <v>2565</v>
      </c>
      <c r="AE150" s="2536"/>
      <c r="AF150" s="2560"/>
      <c r="AG150" s="2560"/>
      <c r="AH150" s="2560"/>
      <c r="AI150" s="2560"/>
      <c r="AJ150" s="2560"/>
      <c r="AK150" s="2560"/>
      <c r="AL150" s="2560"/>
      <c r="AM150" s="2560"/>
      <c r="AN150" s="2536"/>
      <c r="AO150" s="2526"/>
      <c r="AP150" s="2526"/>
      <c r="AQ150" s="2536"/>
      <c r="AR150" s="2537"/>
      <c r="AS150" s="2536"/>
      <c r="AT150" s="2536"/>
      <c r="AU150" s="807" t="s">
        <v>2557</v>
      </c>
      <c r="AV150" s="807" t="s">
        <v>2559</v>
      </c>
      <c r="AW150" s="807" t="s">
        <v>2561</v>
      </c>
      <c r="AX150" s="807" t="s">
        <v>2556</v>
      </c>
      <c r="AY150" s="807"/>
      <c r="AZ150" s="807" t="s">
        <v>2554</v>
      </c>
      <c r="BA150" s="3234"/>
      <c r="BB150" s="3238">
        <v>2500</v>
      </c>
    </row>
    <row r="151" spans="2:54" s="242" customFormat="1" hidden="1" outlineLevel="3">
      <c r="B151" s="813"/>
      <c r="C151" s="750"/>
      <c r="D151" s="813"/>
      <c r="E151" s="2570"/>
      <c r="F151" s="2528"/>
      <c r="G151" s="813"/>
      <c r="H151" s="2536">
        <v>1000</v>
      </c>
      <c r="I151" s="2536">
        <v>4000</v>
      </c>
      <c r="J151" s="2536">
        <v>3500</v>
      </c>
      <c r="K151" s="2536">
        <v>5000</v>
      </c>
      <c r="L151" s="2526">
        <v>500</v>
      </c>
      <c r="M151" s="2526"/>
      <c r="N151" s="2526">
        <v>1000</v>
      </c>
      <c r="O151" s="2526">
        <v>1000</v>
      </c>
      <c r="P151" s="2535"/>
      <c r="Q151" s="2537"/>
      <c r="R151" s="2535"/>
      <c r="S151" s="2526"/>
      <c r="T151" s="2526"/>
      <c r="U151" s="2558"/>
      <c r="V151" s="2536"/>
      <c r="W151" s="2538"/>
      <c r="X151" s="2536"/>
      <c r="Y151" s="2526">
        <v>3000</v>
      </c>
      <c r="Z151" s="2561">
        <v>-0.15</v>
      </c>
      <c r="AA151" s="2559">
        <v>5000</v>
      </c>
      <c r="AB151" s="2561">
        <v>0.05</v>
      </c>
      <c r="AC151" s="2536">
        <v>1000</v>
      </c>
      <c r="AD151" s="2536">
        <v>500</v>
      </c>
      <c r="AE151" s="2536"/>
      <c r="AF151" s="2560"/>
      <c r="AG151" s="2536">
        <v>550</v>
      </c>
      <c r="AH151" s="2536">
        <v>450</v>
      </c>
      <c r="AI151" s="2536">
        <v>2450</v>
      </c>
      <c r="AJ151" s="2536">
        <v>5500</v>
      </c>
      <c r="AK151" s="2536"/>
      <c r="AL151" s="2536">
        <v>6000</v>
      </c>
      <c r="AM151" s="2536">
        <v>8000</v>
      </c>
      <c r="AN151" s="2536"/>
      <c r="AO151" s="2526"/>
      <c r="AP151" s="2526"/>
      <c r="AQ151" s="2536"/>
      <c r="AR151" s="2537"/>
      <c r="AS151" s="2536"/>
      <c r="AT151" s="2536"/>
      <c r="AU151" s="2536">
        <v>9000</v>
      </c>
      <c r="AV151" s="2536">
        <v>2000</v>
      </c>
      <c r="AW151" s="2536">
        <v>7000</v>
      </c>
      <c r="AX151" s="2536">
        <v>5000</v>
      </c>
      <c r="AY151" s="2536"/>
      <c r="AZ151" s="2536">
        <v>12500</v>
      </c>
      <c r="BA151" s="3234"/>
      <c r="BB151" s="3238"/>
    </row>
    <row r="152" spans="2:54" s="242" customFormat="1" hidden="1" outlineLevel="3">
      <c r="B152" s="823" t="s">
        <v>360</v>
      </c>
      <c r="C152" s="2550" t="str">
        <f>B152</f>
        <v>Грунт</v>
      </c>
      <c r="D152" s="2621" t="s">
        <v>2586</v>
      </c>
      <c r="E152" s="2530"/>
      <c r="F152" s="2551"/>
      <c r="G152" s="3647"/>
      <c r="H152" s="3434"/>
      <c r="I152" s="3434"/>
      <c r="J152" s="3434"/>
      <c r="K152" s="3434"/>
      <c r="L152" s="3434"/>
      <c r="M152" s="3434"/>
      <c r="N152" s="3434"/>
      <c r="O152" s="3434"/>
      <c r="P152" s="3434"/>
      <c r="Q152" s="3434"/>
      <c r="R152" s="3434"/>
      <c r="S152" s="3434"/>
      <c r="T152" s="3434"/>
      <c r="U152" s="3434"/>
      <c r="V152" s="3434"/>
      <c r="W152" s="3434"/>
      <c r="X152" s="3434"/>
      <c r="Y152" s="3434"/>
      <c r="Z152" s="3434"/>
      <c r="AA152" s="3434"/>
      <c r="AB152" s="3434"/>
      <c r="AC152" s="3434"/>
      <c r="AD152" s="3434"/>
      <c r="AE152" s="3434"/>
      <c r="AF152" s="3434"/>
      <c r="AG152" s="3434"/>
      <c r="AH152" s="3434"/>
      <c r="AI152" s="3434"/>
      <c r="AJ152" s="3434"/>
      <c r="AK152" s="3434"/>
      <c r="AL152" s="3434"/>
      <c r="AM152" s="3434"/>
      <c r="AN152" s="3434"/>
      <c r="AO152" s="3434"/>
      <c r="AP152" s="3434"/>
      <c r="AQ152" s="3434"/>
      <c r="AR152" s="3434"/>
      <c r="AS152" s="3434"/>
      <c r="AT152" s="3434"/>
      <c r="AU152" s="3434"/>
      <c r="AV152" s="3434"/>
      <c r="AW152" s="3434"/>
      <c r="AX152" s="3434"/>
      <c r="AY152" s="3434"/>
      <c r="AZ152" s="3434"/>
      <c r="BA152" s="3434"/>
      <c r="BB152" s="3434"/>
    </row>
    <row r="153" spans="2:54" s="242" customFormat="1" hidden="1" outlineLevel="3">
      <c r="B153" s="823" t="s">
        <v>1425</v>
      </c>
      <c r="C153" s="3634" t="s">
        <v>2418</v>
      </c>
      <c r="D153" s="741">
        <v>0.68</v>
      </c>
      <c r="E153" s="2530"/>
      <c r="F153" s="2551"/>
      <c r="G153" s="3434">
        <f t="shared" ref="G153:G158" si="44">G129/G140-1</f>
        <v>7.0000000000000062E-2</v>
      </c>
      <c r="H153" s="3434"/>
      <c r="I153" s="3434"/>
      <c r="J153" s="3434"/>
      <c r="K153" s="3434"/>
      <c r="L153" s="3434"/>
      <c r="M153" s="3434"/>
      <c r="N153" s="3434"/>
      <c r="O153" s="3434">
        <f t="shared" ref="O153:T158" si="45">O129/O140-1</f>
        <v>7.0000000000000062E-2</v>
      </c>
      <c r="P153" s="3434">
        <f t="shared" si="45"/>
        <v>7.0000000000000062E-2</v>
      </c>
      <c r="Q153" s="3434">
        <f t="shared" si="45"/>
        <v>7.0000000000000062E-2</v>
      </c>
      <c r="R153" s="3434">
        <f t="shared" si="45"/>
        <v>7.0000000000000062E-2</v>
      </c>
      <c r="S153" s="3434">
        <f t="shared" si="45"/>
        <v>7.0000000000000062E-2</v>
      </c>
      <c r="T153" s="3434">
        <f t="shared" si="45"/>
        <v>7.0000000000000062E-2</v>
      </c>
      <c r="U153" s="3434"/>
      <c r="V153" s="3434"/>
      <c r="W153" s="3434"/>
      <c r="X153" s="3434"/>
      <c r="Y153" s="3434"/>
      <c r="Z153" s="3434"/>
      <c r="AA153" s="3434"/>
      <c r="AB153" s="3434"/>
      <c r="AC153" s="3434"/>
      <c r="AD153" s="3434"/>
      <c r="AE153" s="3434"/>
      <c r="AF153" s="3434"/>
      <c r="AG153" s="3434"/>
      <c r="AH153" s="3434"/>
      <c r="AI153" s="3434"/>
      <c r="AJ153" s="3434"/>
      <c r="AK153" s="3434"/>
      <c r="AL153" s="3434"/>
      <c r="AM153" s="3434"/>
      <c r="AN153" s="3434"/>
      <c r="AO153" s="3434"/>
      <c r="AP153" s="3434"/>
      <c r="AQ153" s="3434"/>
      <c r="AR153" s="3434"/>
      <c r="AS153" s="3434"/>
      <c r="AT153" s="3434"/>
      <c r="AU153" s="3434"/>
      <c r="AV153" s="3434"/>
      <c r="AW153" s="3434"/>
      <c r="AX153" s="3434"/>
      <c r="AY153" s="3434"/>
      <c r="AZ153" s="3434"/>
      <c r="BA153" s="3434"/>
      <c r="BB153" s="3434"/>
    </row>
    <row r="154" spans="2:54" s="242" customFormat="1" hidden="1" outlineLevel="3">
      <c r="B154" s="823" t="s">
        <v>1425</v>
      </c>
      <c r="C154" s="2541" t="s">
        <v>2419</v>
      </c>
      <c r="D154" s="2553">
        <v>0.74</v>
      </c>
      <c r="E154" s="2553"/>
      <c r="F154" s="2554"/>
      <c r="G154" s="3434">
        <f t="shared" si="44"/>
        <v>7.0000000000000062E-2</v>
      </c>
      <c r="H154" s="3434"/>
      <c r="I154" s="3434"/>
      <c r="J154" s="3434"/>
      <c r="K154" s="3434"/>
      <c r="L154" s="3434"/>
      <c r="M154" s="3434"/>
      <c r="N154" s="3434"/>
      <c r="O154" s="3434">
        <f t="shared" si="45"/>
        <v>7.0000000000000062E-2</v>
      </c>
      <c r="P154" s="3434">
        <f t="shared" si="45"/>
        <v>7.0000000000000062E-2</v>
      </c>
      <c r="Q154" s="3434">
        <f t="shared" si="45"/>
        <v>7.0000000000000062E-2</v>
      </c>
      <c r="R154" s="3434">
        <f t="shared" si="45"/>
        <v>7.0000000000000062E-2</v>
      </c>
      <c r="S154" s="3434">
        <f t="shared" si="45"/>
        <v>7.0000000000000062E-2</v>
      </c>
      <c r="T154" s="3434">
        <f t="shared" si="45"/>
        <v>7.0000000000000062E-2</v>
      </c>
      <c r="U154" s="3434"/>
      <c r="V154" s="3434"/>
      <c r="W154" s="3434"/>
      <c r="X154" s="3434"/>
      <c r="Y154" s="3434"/>
      <c r="Z154" s="3434"/>
      <c r="AA154" s="3434"/>
      <c r="AB154" s="3434"/>
      <c r="AC154" s="3434"/>
      <c r="AD154" s="3434"/>
      <c r="AE154" s="3434"/>
      <c r="AF154" s="3434"/>
      <c r="AG154" s="3434"/>
      <c r="AH154" s="3434"/>
      <c r="AI154" s="3434"/>
      <c r="AJ154" s="3434"/>
      <c r="AK154" s="3434"/>
      <c r="AL154" s="3434"/>
      <c r="AM154" s="3434"/>
      <c r="AN154" s="3434"/>
      <c r="AO154" s="3434"/>
      <c r="AP154" s="3434"/>
      <c r="AQ154" s="3434"/>
      <c r="AR154" s="3434"/>
      <c r="AS154" s="3434"/>
      <c r="AT154" s="3434"/>
      <c r="AU154" s="3434"/>
      <c r="AV154" s="3434"/>
      <c r="AW154" s="3434"/>
      <c r="AX154" s="3434"/>
      <c r="AY154" s="3434"/>
      <c r="AZ154" s="3434"/>
      <c r="BA154" s="3434"/>
      <c r="BB154" s="3434"/>
    </row>
    <row r="155" spans="2:54" s="242" customFormat="1" hidden="1" outlineLevel="3">
      <c r="B155" s="823" t="s">
        <v>30</v>
      </c>
      <c r="C155" s="3634" t="s">
        <v>284</v>
      </c>
      <c r="D155" s="794">
        <v>1</v>
      </c>
      <c r="E155" s="2571"/>
      <c r="F155" s="2551"/>
      <c r="G155" s="3434">
        <f t="shared" si="44"/>
        <v>7.0000000000000062E-2</v>
      </c>
      <c r="H155" s="3434">
        <f>H131/H142-1</f>
        <v>7.0000000000000062E-2</v>
      </c>
      <c r="I155" s="3434"/>
      <c r="J155" s="3434"/>
      <c r="K155" s="3434"/>
      <c r="L155" s="3434"/>
      <c r="M155" s="3434"/>
      <c r="N155" s="3434">
        <f>N131/N142-1</f>
        <v>7.0000000000000062E-2</v>
      </c>
      <c r="O155" s="3434">
        <f t="shared" si="45"/>
        <v>7.0000000000000062E-2</v>
      </c>
      <c r="P155" s="3434">
        <f t="shared" si="45"/>
        <v>7.0000000000000062E-2</v>
      </c>
      <c r="Q155" s="3434">
        <f t="shared" si="45"/>
        <v>7.0000000000000062E-2</v>
      </c>
      <c r="R155" s="3434">
        <f t="shared" si="45"/>
        <v>7.0000000000000062E-2</v>
      </c>
      <c r="S155" s="3434">
        <f t="shared" si="45"/>
        <v>7.0000000000000062E-2</v>
      </c>
      <c r="T155" s="3434">
        <f t="shared" si="45"/>
        <v>7.0000000000000062E-2</v>
      </c>
      <c r="U155" s="3434">
        <f t="shared" ref="U155:AM155" si="46">U131/U142-1</f>
        <v>7.0000000000000062E-2</v>
      </c>
      <c r="V155" s="3434">
        <f t="shared" si="46"/>
        <v>7.0000000000000062E-2</v>
      </c>
      <c r="W155" s="3434">
        <f t="shared" si="46"/>
        <v>7.0000000000000062E-2</v>
      </c>
      <c r="X155" s="3434">
        <f t="shared" si="46"/>
        <v>7.0000000000000062E-2</v>
      </c>
      <c r="Y155" s="3434">
        <f t="shared" si="46"/>
        <v>7.0000000000000062E-2</v>
      </c>
      <c r="Z155" s="3434">
        <f t="shared" si="46"/>
        <v>7.0000000000000062E-2</v>
      </c>
      <c r="AA155" s="3434">
        <f t="shared" si="46"/>
        <v>7.0000000000000062E-2</v>
      </c>
      <c r="AB155" s="3434">
        <f t="shared" si="46"/>
        <v>7.0000000000000062E-2</v>
      </c>
      <c r="AC155" s="3434">
        <f t="shared" si="46"/>
        <v>7.0000000000000062E-2</v>
      </c>
      <c r="AD155" s="3434">
        <f t="shared" si="46"/>
        <v>7.0000000000000062E-2</v>
      </c>
      <c r="AE155" s="3434">
        <f t="shared" si="46"/>
        <v>7.0000000000000062E-2</v>
      </c>
      <c r="AF155" s="3434">
        <f t="shared" si="46"/>
        <v>7.0000000000000062E-2</v>
      </c>
      <c r="AG155" s="3434">
        <f t="shared" si="46"/>
        <v>7.0000000000000062E-2</v>
      </c>
      <c r="AH155" s="3434">
        <f t="shared" si="46"/>
        <v>7.0000000000000062E-2</v>
      </c>
      <c r="AI155" s="3434">
        <f t="shared" si="46"/>
        <v>7.0000000000000062E-2</v>
      </c>
      <c r="AJ155" s="3434">
        <f t="shared" si="46"/>
        <v>7.0000000000000062E-2</v>
      </c>
      <c r="AK155" s="3434">
        <f t="shared" si="46"/>
        <v>7.0000000000000062E-2</v>
      </c>
      <c r="AL155" s="3434">
        <f t="shared" si="46"/>
        <v>7.0000000000000062E-2</v>
      </c>
      <c r="AM155" s="3434">
        <f t="shared" si="46"/>
        <v>7.0000000000000062E-2</v>
      </c>
      <c r="AN155" s="3434"/>
      <c r="AO155" s="3434"/>
      <c r="AP155" s="3434"/>
      <c r="AQ155" s="3434"/>
      <c r="AR155" s="3434"/>
      <c r="AS155" s="3434">
        <f t="shared" ref="AS155:AT158" si="47">AS131/AS142-1</f>
        <v>7.0000000000000062E-2</v>
      </c>
      <c r="AT155" s="3434">
        <f t="shared" si="47"/>
        <v>7.0000000000000062E-2</v>
      </c>
      <c r="AU155" s="3434"/>
      <c r="AV155" s="3434"/>
      <c r="AW155" s="3434"/>
      <c r="AX155" s="3434"/>
      <c r="AY155" s="3434"/>
      <c r="AZ155" s="3434"/>
      <c r="BA155" s="3434"/>
      <c r="BB155" s="3434"/>
    </row>
    <row r="156" spans="2:54" s="242" customFormat="1" hidden="1" outlineLevel="3">
      <c r="B156" s="823" t="s">
        <v>1019</v>
      </c>
      <c r="C156" s="2550" t="s">
        <v>2569</v>
      </c>
      <c r="D156" s="795">
        <v>1.05</v>
      </c>
      <c r="E156" s="2572">
        <v>1</v>
      </c>
      <c r="F156" s="2551">
        <v>0.03</v>
      </c>
      <c r="G156" s="3434">
        <f t="shared" si="44"/>
        <v>7.0000000000000062E-2</v>
      </c>
      <c r="H156" s="3434">
        <f>H132/H143-1</f>
        <v>7.0000000000000062E-2</v>
      </c>
      <c r="I156" s="3434">
        <f t="shared" ref="I156:J158" si="48">I132/I143-1</f>
        <v>7.0000000000000062E-2</v>
      </c>
      <c r="J156" s="3434">
        <f t="shared" si="48"/>
        <v>7.0000000000000062E-2</v>
      </c>
      <c r="K156" s="3434"/>
      <c r="L156" s="3434"/>
      <c r="M156" s="3434"/>
      <c r="N156" s="3434"/>
      <c r="O156" s="3434">
        <f t="shared" si="45"/>
        <v>7.0000000000000062E-2</v>
      </c>
      <c r="P156" s="3434">
        <f t="shared" si="45"/>
        <v>7.0000000000000062E-2</v>
      </c>
      <c r="Q156" s="3434">
        <f t="shared" si="45"/>
        <v>7.0000000000000062E-2</v>
      </c>
      <c r="R156" s="3434">
        <f t="shared" si="45"/>
        <v>7.0000000000000062E-2</v>
      </c>
      <c r="S156" s="3434">
        <f t="shared" si="45"/>
        <v>7.0000000000000062E-2</v>
      </c>
      <c r="T156" s="3434">
        <f t="shared" si="45"/>
        <v>7.0000000000000062E-2</v>
      </c>
      <c r="U156" s="3434"/>
      <c r="V156" s="3434"/>
      <c r="W156" s="3434"/>
      <c r="X156" s="3434"/>
      <c r="Y156" s="3434"/>
      <c r="Z156" s="3434"/>
      <c r="AA156" s="3434"/>
      <c r="AB156" s="3434"/>
      <c r="AC156" s="3434"/>
      <c r="AD156" s="3434"/>
      <c r="AE156" s="3434"/>
      <c r="AF156" s="3434"/>
      <c r="AG156" s="3434"/>
      <c r="AH156" s="3434"/>
      <c r="AI156" s="3434"/>
      <c r="AJ156" s="3434"/>
      <c r="AK156" s="3434"/>
      <c r="AL156" s="3434"/>
      <c r="AM156" s="3434"/>
      <c r="AN156" s="3434">
        <f t="shared" ref="AN156:AR158" si="49">AN132/AN143-1</f>
        <v>7.0000000000000062E-2</v>
      </c>
      <c r="AO156" s="3434">
        <f t="shared" si="49"/>
        <v>7.0000000000000062E-2</v>
      </c>
      <c r="AP156" s="3434">
        <f t="shared" si="49"/>
        <v>7.0000000000000062E-2</v>
      </c>
      <c r="AQ156" s="3434">
        <f t="shared" si="49"/>
        <v>7.0000000000000062E-2</v>
      </c>
      <c r="AR156" s="3434">
        <f t="shared" si="49"/>
        <v>7.0000000000000062E-2</v>
      </c>
      <c r="AS156" s="3434">
        <f t="shared" si="47"/>
        <v>7.0000000000000062E-2</v>
      </c>
      <c r="AT156" s="3434">
        <f t="shared" si="47"/>
        <v>7.0000000000000062E-2</v>
      </c>
      <c r="AU156" s="3434">
        <f t="shared" ref="AU156:BB158" si="50">AU132/AU143-1</f>
        <v>7.0000000000000062E-2</v>
      </c>
      <c r="AV156" s="3434">
        <f t="shared" si="50"/>
        <v>7.0000000000000062E-2</v>
      </c>
      <c r="AW156" s="3434">
        <f t="shared" si="50"/>
        <v>7.0000000000000062E-2</v>
      </c>
      <c r="AX156" s="3434">
        <f t="shared" si="50"/>
        <v>7.0000000000000062E-2</v>
      </c>
      <c r="AY156" s="3434">
        <f t="shared" si="50"/>
        <v>7.0000000000000062E-2</v>
      </c>
      <c r="AZ156" s="3434">
        <f t="shared" si="50"/>
        <v>7.0000000000000062E-2</v>
      </c>
      <c r="BA156" s="3434">
        <f t="shared" si="50"/>
        <v>7.0000000000000062E-2</v>
      </c>
      <c r="BB156" s="3434">
        <f t="shared" si="50"/>
        <v>7.0000000000000062E-2</v>
      </c>
    </row>
    <row r="157" spans="2:54" s="242" customFormat="1" hidden="1" outlineLevel="3">
      <c r="B157" s="823" t="s">
        <v>1019</v>
      </c>
      <c r="C157" s="2550" t="s">
        <v>2570</v>
      </c>
      <c r="D157" s="795">
        <v>1.1499999999999999</v>
      </c>
      <c r="E157" s="2572">
        <v>1.1000000000000001</v>
      </c>
      <c r="F157" s="2551">
        <v>0.03</v>
      </c>
      <c r="G157" s="3434">
        <f t="shared" si="44"/>
        <v>7.0000000000000062E-2</v>
      </c>
      <c r="H157" s="3434">
        <f>H133/H144-1</f>
        <v>7.0000000000000062E-2</v>
      </c>
      <c r="I157" s="3434">
        <f t="shared" si="48"/>
        <v>7.0000000000000062E-2</v>
      </c>
      <c r="J157" s="3434">
        <f t="shared" si="48"/>
        <v>7.0000000000000062E-2</v>
      </c>
      <c r="K157" s="3434">
        <f>K133/K144-1</f>
        <v>7.0000000000000062E-2</v>
      </c>
      <c r="L157" s="3434">
        <f>L133/L144-1</f>
        <v>7.0000000000000062E-2</v>
      </c>
      <c r="M157" s="3434">
        <f>M133/M144-1</f>
        <v>7.0000000000000062E-2</v>
      </c>
      <c r="N157" s="3434">
        <f>N133/N144-1</f>
        <v>7.0000000000000062E-2</v>
      </c>
      <c r="O157" s="3434">
        <f t="shared" si="45"/>
        <v>7.0000000000000062E-2</v>
      </c>
      <c r="P157" s="3434">
        <f t="shared" si="45"/>
        <v>7.0000000000000062E-2</v>
      </c>
      <c r="Q157" s="3434">
        <f t="shared" si="45"/>
        <v>7.0000000000000062E-2</v>
      </c>
      <c r="R157" s="3434">
        <f t="shared" si="45"/>
        <v>7.0000000000000062E-2</v>
      </c>
      <c r="S157" s="3434">
        <f t="shared" si="45"/>
        <v>7.0000000000000062E-2</v>
      </c>
      <c r="T157" s="3434">
        <f t="shared" si="45"/>
        <v>7.0000000000000062E-2</v>
      </c>
      <c r="U157" s="3434"/>
      <c r="V157" s="3434"/>
      <c r="W157" s="3434"/>
      <c r="X157" s="3434"/>
      <c r="Y157" s="3434"/>
      <c r="Z157" s="3434"/>
      <c r="AA157" s="3434"/>
      <c r="AB157" s="3434"/>
      <c r="AC157" s="3434"/>
      <c r="AD157" s="3434"/>
      <c r="AE157" s="3434"/>
      <c r="AF157" s="3434"/>
      <c r="AG157" s="3434"/>
      <c r="AH157" s="3434"/>
      <c r="AI157" s="3434"/>
      <c r="AJ157" s="3434"/>
      <c r="AK157" s="3434"/>
      <c r="AL157" s="3434"/>
      <c r="AM157" s="3434"/>
      <c r="AN157" s="3434">
        <f t="shared" si="49"/>
        <v>7.0000000000000062E-2</v>
      </c>
      <c r="AO157" s="3434">
        <f t="shared" si="49"/>
        <v>7.0000000000000062E-2</v>
      </c>
      <c r="AP157" s="3434">
        <f t="shared" si="49"/>
        <v>7.0000000000000062E-2</v>
      </c>
      <c r="AQ157" s="3434">
        <f t="shared" si="49"/>
        <v>7.0000000000000062E-2</v>
      </c>
      <c r="AR157" s="3434">
        <f t="shared" si="49"/>
        <v>7.0000000000000062E-2</v>
      </c>
      <c r="AS157" s="3434">
        <f t="shared" si="47"/>
        <v>7.0000000000000062E-2</v>
      </c>
      <c r="AT157" s="3434">
        <f t="shared" si="47"/>
        <v>7.0000000000000062E-2</v>
      </c>
      <c r="AU157" s="3434">
        <f t="shared" si="50"/>
        <v>7.0000000000000062E-2</v>
      </c>
      <c r="AV157" s="3434">
        <f t="shared" si="50"/>
        <v>7.0000000000000062E-2</v>
      </c>
      <c r="AW157" s="3434">
        <f t="shared" si="50"/>
        <v>7.0000000000000062E-2</v>
      </c>
      <c r="AX157" s="3434">
        <f t="shared" si="50"/>
        <v>7.0000000000000062E-2</v>
      </c>
      <c r="AY157" s="3434">
        <f t="shared" si="50"/>
        <v>7.0000000000000062E-2</v>
      </c>
      <c r="AZ157" s="3434">
        <f t="shared" si="50"/>
        <v>7.0000000000000062E-2</v>
      </c>
      <c r="BA157" s="3434">
        <f t="shared" si="50"/>
        <v>7.0000000000000062E-2</v>
      </c>
      <c r="BB157" s="3434">
        <f t="shared" si="50"/>
        <v>7.0000000000000062E-2</v>
      </c>
    </row>
    <row r="158" spans="2:54" s="242" customFormat="1" hidden="1" outlineLevel="3">
      <c r="B158" s="823" t="s">
        <v>1019</v>
      </c>
      <c r="C158" s="2550" t="s">
        <v>2571</v>
      </c>
      <c r="D158" s="820">
        <v>1.25</v>
      </c>
      <c r="E158" s="2539">
        <v>1.2</v>
      </c>
      <c r="F158" s="2551"/>
      <c r="G158" s="3434">
        <f t="shared" si="44"/>
        <v>7.0000000000000062E-2</v>
      </c>
      <c r="H158" s="3434">
        <f>H134/H145-1</f>
        <v>7.0000000000000062E-2</v>
      </c>
      <c r="I158" s="3434">
        <f t="shared" si="48"/>
        <v>7.0000000000000062E-2</v>
      </c>
      <c r="J158" s="3434">
        <f t="shared" si="48"/>
        <v>7.0000000000000062E-2</v>
      </c>
      <c r="K158" s="3434">
        <f>K134/K145-1</f>
        <v>7.0000000000000062E-2</v>
      </c>
      <c r="L158" s="3434">
        <f>L134/L145-1</f>
        <v>7.0000000000000062E-2</v>
      </c>
      <c r="M158" s="3434">
        <f>M134/M145-1</f>
        <v>7.0000000000000062E-2</v>
      </c>
      <c r="N158" s="3434"/>
      <c r="O158" s="3434">
        <f t="shared" si="45"/>
        <v>7.0000000000000062E-2</v>
      </c>
      <c r="P158" s="3434">
        <f t="shared" si="45"/>
        <v>7.0000000000000062E-2</v>
      </c>
      <c r="Q158" s="3434">
        <f t="shared" si="45"/>
        <v>7.0000000000000062E-2</v>
      </c>
      <c r="R158" s="3434">
        <f t="shared" si="45"/>
        <v>7.0000000000000062E-2</v>
      </c>
      <c r="S158" s="3434">
        <f t="shared" si="45"/>
        <v>7.0000000000000062E-2</v>
      </c>
      <c r="T158" s="3434">
        <f t="shared" si="45"/>
        <v>7.0000000000000062E-2</v>
      </c>
      <c r="U158" s="3434">
        <f>U134/U145-1</f>
        <v>7.0000000000000062E-2</v>
      </c>
      <c r="V158" s="3434"/>
      <c r="W158" s="3434">
        <f>W134/W145-1</f>
        <v>7.0000000000000062E-2</v>
      </c>
      <c r="X158" s="3434">
        <f>X134/X145-1</f>
        <v>7.0000000000000062E-2</v>
      </c>
      <c r="Y158" s="3434"/>
      <c r="Z158" s="3434"/>
      <c r="AA158" s="3434"/>
      <c r="AB158" s="3434"/>
      <c r="AC158" s="3434"/>
      <c r="AD158" s="3434"/>
      <c r="AE158" s="3434"/>
      <c r="AF158" s="3434"/>
      <c r="AG158" s="3434"/>
      <c r="AH158" s="3434"/>
      <c r="AI158" s="3434"/>
      <c r="AJ158" s="3434"/>
      <c r="AK158" s="3434"/>
      <c r="AL158" s="3434"/>
      <c r="AM158" s="3434"/>
      <c r="AN158" s="3434">
        <f t="shared" si="49"/>
        <v>7.0000000000000062E-2</v>
      </c>
      <c r="AO158" s="3434">
        <f t="shared" si="49"/>
        <v>7.0000000000000062E-2</v>
      </c>
      <c r="AP158" s="3434">
        <f t="shared" si="49"/>
        <v>7.0000000000000062E-2</v>
      </c>
      <c r="AQ158" s="3434">
        <f t="shared" si="49"/>
        <v>7.0000000000000062E-2</v>
      </c>
      <c r="AR158" s="3434">
        <f t="shared" si="49"/>
        <v>7.0000000000000062E-2</v>
      </c>
      <c r="AS158" s="3434">
        <f t="shared" si="47"/>
        <v>7.0000000000000062E-2</v>
      </c>
      <c r="AT158" s="3434">
        <f t="shared" si="47"/>
        <v>7.0000000000000062E-2</v>
      </c>
      <c r="AU158" s="3434">
        <f t="shared" si="50"/>
        <v>7.0000000000000062E-2</v>
      </c>
      <c r="AV158" s="3434">
        <f t="shared" si="50"/>
        <v>7.0000000000000062E-2</v>
      </c>
      <c r="AW158" s="3434">
        <f t="shared" si="50"/>
        <v>7.0000000000000062E-2</v>
      </c>
      <c r="AX158" s="3434">
        <f t="shared" si="50"/>
        <v>7.0000000000000062E-2</v>
      </c>
      <c r="AY158" s="3434">
        <f t="shared" si="50"/>
        <v>7.0000000000000062E-2</v>
      </c>
      <c r="AZ158" s="3434">
        <f t="shared" si="50"/>
        <v>7.0000000000000062E-2</v>
      </c>
      <c r="BA158" s="3434">
        <f t="shared" si="50"/>
        <v>7.0000000000000062E-2</v>
      </c>
      <c r="BB158" s="3434">
        <f t="shared" si="50"/>
        <v>7.0000000000000062E-2</v>
      </c>
    </row>
    <row r="159" spans="2:54" s="242" customFormat="1" hidden="1" outlineLevel="2">
      <c r="B159" s="3426"/>
      <c r="C159" s="3427"/>
      <c r="D159" s="745"/>
      <c r="E159" s="745"/>
      <c r="F159" s="745"/>
      <c r="G159" s="707"/>
      <c r="H159" s="694"/>
      <c r="I159" s="694"/>
      <c r="J159" s="694"/>
      <c r="K159" s="742"/>
      <c r="S159" s="693"/>
      <c r="T159" s="693"/>
      <c r="U159" s="693"/>
      <c r="V159" s="693"/>
      <c r="W159" s="693"/>
      <c r="X159" s="707"/>
      <c r="Z159" s="694"/>
      <c r="AA159" s="694"/>
      <c r="AB159" s="694"/>
      <c r="AC159" s="694"/>
      <c r="AD159" s="694"/>
      <c r="AG159" s="605"/>
      <c r="AH159" s="605"/>
      <c r="AI159" s="899"/>
      <c r="AJ159" s="605"/>
      <c r="AK159" s="605"/>
      <c r="AL159" s="605"/>
      <c r="AM159" s="605"/>
      <c r="AN159" s="693"/>
      <c r="AO159" s="693"/>
      <c r="AP159" s="693"/>
      <c r="AQ159" s="693"/>
      <c r="AR159" s="693"/>
      <c r="AS159" s="693"/>
      <c r="AT159" s="693"/>
      <c r="AU159" s="2271"/>
      <c r="AV159" s="2271"/>
      <c r="AW159" s="2271"/>
      <c r="AX159" s="2271"/>
      <c r="AZ159" s="694"/>
    </row>
    <row r="160" spans="2:54" collapsed="1"/>
  </sheetData>
  <sheetProtection password="E910" sheet="1" objects="1" scenarios="1" formatCells="0" formatColumns="0" formatRows="0" insertColumns="0" insertRows="0" insertHyperlinks="0" deleteColumns="0" deleteRows="0" sort="0" autoFilter="0" pivotTables="0"/>
  <mergeCells count="3">
    <mergeCell ref="C21:C26"/>
    <mergeCell ref="F9:F10"/>
    <mergeCell ref="C29:C34"/>
  </mergeCells>
  <conditionalFormatting sqref="F52:F58 D48:F49 E50:F50 BC48:XFD50">
    <cfRule type="duplicateValues" dxfId="144" priority="209"/>
  </conditionalFormatting>
  <conditionalFormatting sqref="F52:F58 D48:F49 E50:F50">
    <cfRule type="duplicateValues" dxfId="143" priority="213"/>
  </conditionalFormatting>
  <conditionalFormatting sqref="BB9:XFD9 D9:F9 F11:F17">
    <cfRule type="duplicateValues" dxfId="142" priority="220"/>
  </conditionalFormatting>
  <conditionalFormatting sqref="D9:F9 F11:F17">
    <cfRule type="duplicateValues" dxfId="141" priority="224"/>
  </conditionalFormatting>
  <conditionalFormatting sqref="BB50">
    <cfRule type="duplicateValues" dxfId="140" priority="10"/>
  </conditionalFormatting>
  <conditionalFormatting sqref="F148">
    <cfRule type="duplicateValues" dxfId="139" priority="8"/>
  </conditionalFormatting>
  <conditionalFormatting sqref="F148">
    <cfRule type="duplicateValues" dxfId="138" priority="9"/>
  </conditionalFormatting>
  <conditionalFormatting sqref="D152 F152:F158 D149:F150 E151:F151 BB150:BB151">
    <cfRule type="duplicateValues" dxfId="137" priority="6"/>
  </conditionalFormatting>
  <conditionalFormatting sqref="F152:F158 D149:F150 E151:F151 D152">
    <cfRule type="duplicateValues" dxfId="136" priority="7"/>
  </conditionalFormatting>
  <conditionalFormatting sqref="BC101:BC103">
    <cfRule type="duplicateValues" dxfId="135" priority="5"/>
  </conditionalFormatting>
  <conditionalFormatting sqref="BB103">
    <cfRule type="duplicateValues" dxfId="134" priority="4"/>
  </conditionalFormatting>
  <conditionalFormatting sqref="BB114:BB115">
    <cfRule type="duplicateValues" dxfId="133" priority="3"/>
  </conditionalFormatting>
  <conditionalFormatting sqref="BB88:BB89">
    <cfRule type="duplicateValues" dxfId="132" priority="1"/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92D050"/>
  </sheetPr>
  <dimension ref="A1:FB105"/>
  <sheetViews>
    <sheetView view="pageBreakPreview" zoomScale="80" zoomScaleNormal="70" zoomScaleSheetLayoutView="80" zoomScalePageLayoutView="70" workbookViewId="0">
      <pane xSplit="6" ySplit="5" topLeftCell="G6" activePane="bottomRight" state="frozen"/>
      <selection pane="topRight" activeCell="G1" sqref="G1"/>
      <selection pane="bottomLeft" activeCell="A11" sqref="A11"/>
      <selection pane="bottomRight" activeCell="B1" sqref="B1"/>
    </sheetView>
  </sheetViews>
  <sheetFormatPr defaultColWidth="8.85546875" defaultRowHeight="15"/>
  <cols>
    <col min="1" max="1" width="4.7109375" style="589" customWidth="1"/>
    <col min="2" max="5" width="11.7109375" style="589" customWidth="1"/>
    <col min="6" max="6" width="16" style="2" customWidth="1"/>
    <col min="7" max="9" width="24.7109375" style="589" customWidth="1"/>
    <col min="10" max="10" width="22.140625" style="589" customWidth="1"/>
    <col min="11" max="12" width="15.7109375" style="589" hidden="1" customWidth="1"/>
    <col min="13" max="13" width="24.7109375" style="589" customWidth="1"/>
    <col min="14" max="14" width="20.7109375" style="589" customWidth="1"/>
    <col min="15" max="16384" width="8.85546875" style="589"/>
  </cols>
  <sheetData>
    <row r="1" spans="1:25" s="11" customFormat="1" ht="18" customHeight="1">
      <c r="B1" s="2277" t="s">
        <v>490</v>
      </c>
      <c r="C1" s="26"/>
      <c r="D1" s="26"/>
      <c r="E1" s="26"/>
      <c r="F1" s="4"/>
      <c r="G1" s="26"/>
      <c r="H1" s="26"/>
      <c r="I1" s="26"/>
      <c r="J1" s="26"/>
      <c r="K1" s="26"/>
      <c r="L1" s="1181"/>
      <c r="M1" s="26"/>
      <c r="O1" s="387"/>
      <c r="P1" s="387"/>
      <c r="Q1" s="387"/>
      <c r="R1" s="387"/>
      <c r="S1" s="387"/>
      <c r="T1" s="387"/>
      <c r="U1" s="387"/>
      <c r="V1" s="387"/>
      <c r="W1" s="387"/>
      <c r="X1" s="387"/>
      <c r="Y1" s="387"/>
    </row>
    <row r="2" spans="1:25" ht="18" customHeight="1">
      <c r="A2" s="5"/>
      <c r="B2" s="1173"/>
      <c r="C2" s="1173"/>
      <c r="D2" s="1173"/>
      <c r="E2" s="1173"/>
      <c r="F2" s="515"/>
      <c r="G2" s="15"/>
      <c r="H2" s="15"/>
      <c r="I2" s="15"/>
      <c r="J2" s="15"/>
      <c r="K2" s="15"/>
      <c r="L2" s="15"/>
      <c r="M2" s="15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242"/>
      <c r="Y2" s="242"/>
    </row>
    <row r="3" spans="1:25" ht="90" customHeight="1">
      <c r="A3" s="7"/>
      <c r="B3" s="4197" t="s">
        <v>309</v>
      </c>
      <c r="C3" s="4473"/>
      <c r="D3" s="4199"/>
      <c r="E3" s="4200"/>
      <c r="F3" s="8"/>
      <c r="G3" s="242"/>
      <c r="H3" s="242"/>
      <c r="I3" s="242"/>
      <c r="J3" s="471"/>
      <c r="K3" s="471"/>
      <c r="L3" s="897"/>
      <c r="M3" s="897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</row>
    <row r="4" spans="1:25">
      <c r="A4" s="1173"/>
      <c r="B4" s="19" t="s">
        <v>59</v>
      </c>
      <c r="C4" s="19"/>
      <c r="D4" s="1173"/>
      <c r="E4" s="1173"/>
      <c r="F4" s="6"/>
      <c r="G4" s="15"/>
      <c r="H4" s="15"/>
      <c r="I4" s="15"/>
      <c r="J4" s="15"/>
      <c r="K4" s="15"/>
      <c r="L4" s="15"/>
      <c r="M4" s="15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</row>
    <row r="5" spans="1:25" ht="30" customHeight="1">
      <c r="A5" s="4474" t="s">
        <v>2</v>
      </c>
      <c r="B5" s="4475"/>
      <c r="C5" s="4476"/>
      <c r="D5" s="2423" t="s">
        <v>42</v>
      </c>
      <c r="E5" s="2423" t="s">
        <v>41</v>
      </c>
      <c r="F5" s="2423" t="s">
        <v>37</v>
      </c>
      <c r="G5" s="2424" t="s">
        <v>3169</v>
      </c>
      <c r="H5" s="2424" t="s">
        <v>3170</v>
      </c>
      <c r="I5" s="2418" t="s">
        <v>3171</v>
      </c>
      <c r="J5" s="3502" t="s">
        <v>3172</v>
      </c>
      <c r="K5" s="3559"/>
      <c r="L5" s="3560"/>
      <c r="M5" s="897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</row>
    <row r="6" spans="1:25" s="1173" customFormat="1" ht="30" customHeight="1">
      <c r="A6" s="4407" t="s">
        <v>30</v>
      </c>
      <c r="B6" s="4209" t="s">
        <v>284</v>
      </c>
      <c r="C6" s="4210"/>
      <c r="D6" s="4203" t="s">
        <v>35</v>
      </c>
      <c r="E6" s="4203" t="s">
        <v>34</v>
      </c>
      <c r="F6" s="132" t="s">
        <v>0</v>
      </c>
      <c r="G6" s="1191">
        <f>CEILING('Полотна база'!N54*(1+скидки_наценки!$B$30)*скидки_наценки!$D$11*скидки_наценки!$F$11/скидки_наценки!$B$4, 50)</f>
        <v>22750</v>
      </c>
      <c r="H6" s="1191">
        <f>CEILING('Полотна база'!N54*(1+скидки_наценки!$B$30)*скидки_наценки!$D$11*скидки_наценки!$F$11/скидки_наценки!$B$4, 50)</f>
        <v>22750</v>
      </c>
      <c r="I6" s="1191">
        <f>CEILING('Полотна база'!N54*(1+скидки_наценки!$B$30)*скидки_наценки!$D$11*скидки_наценки!$F$11/скидки_наценки!$B$4, 50)</f>
        <v>22750</v>
      </c>
      <c r="J6" s="3541">
        <f>CEILING('Полотна база'!N54*(1+скидки_наценки!$B$30)*скидки_наценки!$D$11*скидки_наценки!$F$11/скидки_наценки!$B$4, 50)</f>
        <v>22750</v>
      </c>
      <c r="K6" s="3542"/>
      <c r="L6" s="3543"/>
      <c r="M6" s="897"/>
      <c r="N6" s="441"/>
      <c r="O6" s="441"/>
      <c r="P6" s="441"/>
      <c r="Q6" s="441"/>
      <c r="R6" s="441"/>
      <c r="S6" s="441"/>
      <c r="T6" s="441"/>
      <c r="U6" s="441"/>
      <c r="V6" s="441"/>
      <c r="W6" s="441"/>
      <c r="X6" s="441"/>
      <c r="Y6" s="441"/>
    </row>
    <row r="7" spans="1:25" s="1173" customFormat="1" ht="15" customHeight="1">
      <c r="A7" s="4408"/>
      <c r="B7" s="4226"/>
      <c r="C7" s="4227"/>
      <c r="D7" s="4204"/>
      <c r="E7" s="4204"/>
      <c r="F7" s="2339" t="s">
        <v>306</v>
      </c>
      <c r="G7" s="1071">
        <f>IF(G6=0,0,(Погонаж!$C$13*2.5+Погонаж!$E$13*5))</f>
        <v>12375</v>
      </c>
      <c r="H7" s="1071">
        <f>IF(H6=0,0,(Погонаж!$C$13*2.5+Погонаж!$E$13*5))</f>
        <v>12375</v>
      </c>
      <c r="I7" s="1071">
        <f>IF(I6=0,0,(Погонаж!$C$13*2.5+Погонаж!$E$13*5))</f>
        <v>12375</v>
      </c>
      <c r="J7" s="3544">
        <f>IF(J6=0,0,(Погонаж!$C$13*2.5+Погонаж!$E$13*5))</f>
        <v>12375</v>
      </c>
      <c r="K7" s="3545"/>
      <c r="L7" s="3546"/>
      <c r="M7" s="15"/>
      <c r="N7" s="441"/>
      <c r="O7" s="441"/>
      <c r="P7" s="441"/>
      <c r="Q7" s="441"/>
      <c r="R7" s="441"/>
      <c r="S7" s="441"/>
      <c r="T7" s="441"/>
      <c r="U7" s="441"/>
      <c r="V7" s="441"/>
      <c r="W7" s="441"/>
      <c r="X7" s="441"/>
      <c r="Y7" s="441"/>
    </row>
    <row r="8" spans="1:25" s="1173" customFormat="1" ht="30" customHeight="1">
      <c r="A8" s="4408"/>
      <c r="B8" s="4228"/>
      <c r="C8" s="4229"/>
      <c r="D8" s="4205"/>
      <c r="E8" s="4205"/>
      <c r="F8" s="30" t="s">
        <v>1</v>
      </c>
      <c r="G8" s="1072">
        <f>G6+G7</f>
        <v>35125</v>
      </c>
      <c r="H8" s="1072">
        <f>H6+H7</f>
        <v>35125</v>
      </c>
      <c r="I8" s="1072">
        <f>I6+I7</f>
        <v>35125</v>
      </c>
      <c r="J8" s="3547">
        <f>J6+J7</f>
        <v>35125</v>
      </c>
      <c r="K8" s="3548"/>
      <c r="L8" s="3549"/>
      <c r="M8" s="897"/>
      <c r="N8" s="599"/>
      <c r="O8" s="441"/>
      <c r="P8" s="441"/>
      <c r="Q8" s="441"/>
      <c r="R8" s="441"/>
      <c r="S8" s="441"/>
      <c r="T8" s="441"/>
      <c r="U8" s="441"/>
      <c r="V8" s="441"/>
      <c r="W8" s="441"/>
      <c r="X8" s="441"/>
      <c r="Y8" s="441"/>
    </row>
    <row r="9" spans="1:25" s="443" customFormat="1" ht="30" customHeight="1">
      <c r="A9" s="4408"/>
      <c r="B9" s="4401" t="s">
        <v>2799</v>
      </c>
      <c r="C9" s="4402"/>
      <c r="D9" s="4213" t="s">
        <v>35</v>
      </c>
      <c r="E9" s="4213" t="s">
        <v>34</v>
      </c>
      <c r="F9" s="182" t="s">
        <v>0</v>
      </c>
      <c r="G9" s="691">
        <f>CEILING('Полотна база'!N58*(1+скидки_наценки!$B$30)*скидки_наценки!$D$11*скидки_наценки!$F$11/скидки_наценки!$B$4, 50)</f>
        <v>27600</v>
      </c>
      <c r="H9" s="691">
        <f>CEILING('Полотна база'!N58*(1+скидки_наценки!$B$30)*скидки_наценки!$D$11*скидки_наценки!$F$11/скидки_наценки!$B$4, 50)</f>
        <v>27600</v>
      </c>
      <c r="I9" s="691">
        <f>CEILING('Полотна база'!N58*(1+скидки_наценки!$B$30)*скидки_наценки!$D$11*скидки_наценки!$F$11/скидки_наценки!$B$4, 50)</f>
        <v>27600</v>
      </c>
      <c r="J9" s="3550">
        <f>CEILING('Полотна база'!N58*(1+скидки_наценки!$B$30)*скидки_наценки!$D$11*скидки_наценки!$F$11/скидки_наценки!$B$4, 50)</f>
        <v>27600</v>
      </c>
      <c r="K9" s="3551"/>
      <c r="L9" s="3552"/>
      <c r="M9" s="441"/>
      <c r="N9" s="599"/>
      <c r="O9" s="596"/>
      <c r="P9" s="596"/>
      <c r="Q9" s="596"/>
      <c r="R9" s="596"/>
      <c r="S9" s="596"/>
      <c r="T9" s="596"/>
      <c r="U9" s="596"/>
      <c r="V9" s="596"/>
      <c r="W9" s="596"/>
      <c r="X9" s="596"/>
      <c r="Y9" s="596"/>
    </row>
    <row r="10" spans="1:25" s="443" customFormat="1" ht="15" customHeight="1">
      <c r="A10" s="4408"/>
      <c r="B10" s="4403"/>
      <c r="C10" s="4404"/>
      <c r="D10" s="4214"/>
      <c r="E10" s="4214"/>
      <c r="F10" s="183" t="s">
        <v>306</v>
      </c>
      <c r="G10" s="1050">
        <f>IF(G9=0,0,(Погонаж!$C$13*2.5+Погонаж!$E$13*5))</f>
        <v>12375</v>
      </c>
      <c r="H10" s="1050">
        <f>IF(H9=0,0,(Погонаж!$C$13*2.5+Погонаж!$E$13*5))</f>
        <v>12375</v>
      </c>
      <c r="I10" s="1050">
        <f>IF(I9=0,0,(Погонаж!$C$13*2.5+Погонаж!$E$13*5))</f>
        <v>12375</v>
      </c>
      <c r="J10" s="3553">
        <f>IF(J9=0,0,(Погонаж!$C$13*2.5+Погонаж!$E$13*5))</f>
        <v>12375</v>
      </c>
      <c r="K10" s="3554"/>
      <c r="L10" s="3555"/>
      <c r="M10" s="242"/>
      <c r="N10" s="600"/>
      <c r="O10" s="596"/>
      <c r="P10" s="596"/>
      <c r="Q10" s="596"/>
      <c r="R10" s="596"/>
      <c r="S10" s="596"/>
      <c r="T10" s="596"/>
      <c r="U10" s="596"/>
      <c r="V10" s="596"/>
      <c r="W10" s="596"/>
      <c r="X10" s="596"/>
      <c r="Y10" s="596"/>
    </row>
    <row r="11" spans="1:25" s="443" customFormat="1" ht="30" customHeight="1">
      <c r="A11" s="4409"/>
      <c r="B11" s="4405"/>
      <c r="C11" s="4406"/>
      <c r="D11" s="4215"/>
      <c r="E11" s="4215"/>
      <c r="F11" s="267" t="s">
        <v>1</v>
      </c>
      <c r="G11" s="1049">
        <f>G9+G10</f>
        <v>39975</v>
      </c>
      <c r="H11" s="1049">
        <f>H9+H10</f>
        <v>39975</v>
      </c>
      <c r="I11" s="1049">
        <f>I9+I10</f>
        <v>39975</v>
      </c>
      <c r="J11" s="3556">
        <f>J9+J10</f>
        <v>39975</v>
      </c>
      <c r="K11" s="3557"/>
      <c r="L11" s="3558"/>
      <c r="M11" s="441"/>
      <c r="N11" s="599"/>
      <c r="O11" s="596"/>
      <c r="P11" s="596"/>
      <c r="Q11" s="596"/>
      <c r="R11" s="596"/>
      <c r="S11" s="596"/>
      <c r="T11" s="596"/>
      <c r="U11" s="596"/>
      <c r="V11" s="596"/>
      <c r="W11" s="596"/>
      <c r="X11" s="596"/>
      <c r="Y11" s="596"/>
    </row>
    <row r="12" spans="1:25" ht="18" customHeight="1">
      <c r="B12" s="11"/>
      <c r="C12" s="11"/>
      <c r="F12" s="897"/>
      <c r="G12" s="897"/>
      <c r="H12" s="897"/>
      <c r="I12" s="897"/>
      <c r="J12" s="897"/>
      <c r="K12" s="897"/>
      <c r="L12" s="897"/>
      <c r="M12" s="897"/>
    </row>
    <row r="13" spans="1:25" ht="90" customHeight="1">
      <c r="B13" s="11"/>
      <c r="C13" s="11"/>
      <c r="E13" s="897"/>
      <c r="F13" s="897"/>
      <c r="G13" s="897"/>
      <c r="H13" s="897"/>
      <c r="I13" s="897"/>
      <c r="J13" s="897"/>
      <c r="K13" s="420"/>
      <c r="L13" s="420"/>
      <c r="M13" s="420"/>
    </row>
    <row r="14" spans="1:25">
      <c r="A14" s="1173"/>
      <c r="B14" s="19" t="s">
        <v>25</v>
      </c>
      <c r="C14" s="19"/>
      <c r="D14" s="1173"/>
      <c r="E14" s="1173"/>
      <c r="F14" s="15"/>
      <c r="G14" s="515"/>
      <c r="H14" s="15"/>
      <c r="I14" s="15"/>
      <c r="J14" s="15"/>
      <c r="K14" s="897"/>
      <c r="L14" s="897"/>
      <c r="M14" s="897"/>
    </row>
    <row r="15" spans="1:25">
      <c r="A15" s="4220" t="s">
        <v>39</v>
      </c>
      <c r="B15" s="4222"/>
      <c r="C15" s="4220" t="s">
        <v>36</v>
      </c>
      <c r="D15" s="4222"/>
      <c r="E15" s="4201" t="s">
        <v>40</v>
      </c>
      <c r="F15" s="4201" t="s">
        <v>38</v>
      </c>
      <c r="G15" s="2420" t="str">
        <f>G5</f>
        <v xml:space="preserve">Plainе1 </v>
      </c>
      <c r="H15" s="2420" t="str">
        <f>H5</f>
        <v>Plainе2</v>
      </c>
      <c r="I15" s="2420" t="str">
        <f>I5</f>
        <v xml:space="preserve"> Plainе3</v>
      </c>
      <c r="J15" s="2420" t="str">
        <f>J5</f>
        <v xml:space="preserve"> Plainе4</v>
      </c>
      <c r="K15" s="2420" t="str">
        <f>J15</f>
        <v xml:space="preserve"> Plainе4</v>
      </c>
      <c r="L15" s="2420" t="str">
        <f>J15</f>
        <v xml:space="preserve"> Plainе4</v>
      </c>
      <c r="M15" s="420"/>
    </row>
    <row r="16" spans="1:25">
      <c r="A16" s="4477"/>
      <c r="B16" s="4478"/>
      <c r="C16" s="4477"/>
      <c r="D16" s="4478"/>
      <c r="E16" s="4472"/>
      <c r="F16" s="4472"/>
      <c r="G16" s="2421" t="s">
        <v>22</v>
      </c>
      <c r="H16" s="2421" t="s">
        <v>22</v>
      </c>
      <c r="I16" s="2421" t="s">
        <v>22</v>
      </c>
      <c r="J16" s="2421" t="s">
        <v>22</v>
      </c>
      <c r="K16" s="2421" t="s">
        <v>23</v>
      </c>
      <c r="L16" s="2421" t="s">
        <v>2041</v>
      </c>
      <c r="M16" s="897"/>
    </row>
    <row r="17" spans="1:14" s="143" customFormat="1">
      <c r="A17" s="4223"/>
      <c r="B17" s="4225"/>
      <c r="C17" s="4223"/>
      <c r="D17" s="4225"/>
      <c r="E17" s="4202"/>
      <c r="F17" s="4202"/>
      <c r="G17" s="2422" t="s">
        <v>222</v>
      </c>
      <c r="H17" s="2422" t="s">
        <v>222</v>
      </c>
      <c r="I17" s="2422" t="s">
        <v>222</v>
      </c>
      <c r="J17" s="2422" t="s">
        <v>222</v>
      </c>
      <c r="K17" s="2422" t="s">
        <v>222</v>
      </c>
      <c r="L17" s="2422" t="s">
        <v>222</v>
      </c>
      <c r="M17" s="420"/>
    </row>
    <row r="18" spans="1:14" s="359" customFormat="1" ht="15" customHeight="1">
      <c r="A18" s="4460" t="s">
        <v>33</v>
      </c>
      <c r="B18" s="4461"/>
      <c r="C18" s="4466" t="s">
        <v>32</v>
      </c>
      <c r="D18" s="4467"/>
      <c r="E18" s="132" t="s">
        <v>216</v>
      </c>
      <c r="F18" s="47" t="s">
        <v>4</v>
      </c>
      <c r="G18" s="1119">
        <f>Fusion!G19</f>
        <v>1500</v>
      </c>
      <c r="H18" s="1119">
        <f>Fusion!H19</f>
        <v>1000</v>
      </c>
      <c r="I18" s="1119">
        <f>Fusion!J19</f>
        <v>1000</v>
      </c>
      <c r="J18" s="1119">
        <f>I18</f>
        <v>1000</v>
      </c>
      <c r="K18" s="1119">
        <f>CEILING(J18*0.7, 50)</f>
        <v>700</v>
      </c>
      <c r="L18" s="1119">
        <f>CEILING(J18*0.3, 50)</f>
        <v>300</v>
      </c>
      <c r="M18" s="897"/>
      <c r="N18" s="390"/>
    </row>
    <row r="19" spans="1:14" s="359" customFormat="1" ht="24" customHeight="1">
      <c r="A19" s="4462"/>
      <c r="B19" s="4463"/>
      <c r="C19" s="4253" t="s">
        <v>210</v>
      </c>
      <c r="D19" s="4254"/>
      <c r="E19" s="191" t="s">
        <v>217</v>
      </c>
      <c r="F19" s="2411" t="s">
        <v>4</v>
      </c>
      <c r="G19" s="373">
        <f>Fusion!G20</f>
        <v>2000</v>
      </c>
      <c r="H19" s="373">
        <f>Fusion!H20</f>
        <v>1300</v>
      </c>
      <c r="I19" s="373">
        <f>Fusion!J20</f>
        <v>1300</v>
      </c>
      <c r="J19" s="373">
        <f>I19</f>
        <v>1300</v>
      </c>
      <c r="K19" s="373">
        <f>CEILING(J19*0.7, 50)</f>
        <v>950</v>
      </c>
      <c r="L19" s="373">
        <f t="shared" ref="L19:L25" si="0">CEILING(J19*0.3, 50)</f>
        <v>400</v>
      </c>
      <c r="M19" s="420"/>
      <c r="N19" s="390"/>
    </row>
    <row r="20" spans="1:14" s="359" customFormat="1" ht="24" customHeight="1">
      <c r="A20" s="4464"/>
      <c r="B20" s="4465"/>
      <c r="C20" s="4438" t="s">
        <v>211</v>
      </c>
      <c r="D20" s="4439"/>
      <c r="E20" s="1005" t="s">
        <v>217</v>
      </c>
      <c r="F20" s="1172" t="s">
        <v>4</v>
      </c>
      <c r="G20" s="327">
        <f>Fusion!G21</f>
        <v>2500</v>
      </c>
      <c r="H20" s="327">
        <f>Fusion!H21</f>
        <v>1700</v>
      </c>
      <c r="I20" s="327">
        <f>Fusion!J21</f>
        <v>1700</v>
      </c>
      <c r="J20" s="327">
        <f>I20</f>
        <v>1700</v>
      </c>
      <c r="K20" s="327">
        <f>CEILING(J20*0.7, 50)</f>
        <v>1200</v>
      </c>
      <c r="L20" s="327">
        <f t="shared" si="0"/>
        <v>550</v>
      </c>
      <c r="M20" s="897"/>
      <c r="N20" s="390"/>
    </row>
    <row r="21" spans="1:14" s="359" customFormat="1" ht="24" customHeight="1">
      <c r="A21" s="4468" t="s">
        <v>235</v>
      </c>
      <c r="B21" s="4469"/>
      <c r="C21" s="4470" t="s">
        <v>258</v>
      </c>
      <c r="D21" s="4471"/>
      <c r="E21" s="2608" t="s">
        <v>217</v>
      </c>
      <c r="F21" s="184" t="s">
        <v>4</v>
      </c>
      <c r="G21" s="372">
        <f>Fusion!G22</f>
        <v>2200</v>
      </c>
      <c r="H21" s="372">
        <f>Fusion!H22</f>
        <v>1500</v>
      </c>
      <c r="I21" s="372">
        <f>Fusion!J22</f>
        <v>1500</v>
      </c>
      <c r="J21" s="372">
        <f>I21</f>
        <v>1500</v>
      </c>
      <c r="K21" s="372">
        <f>CEILING(J21*0.7, 50)</f>
        <v>1050</v>
      </c>
      <c r="L21" s="372">
        <f t="shared" si="0"/>
        <v>450</v>
      </c>
      <c r="M21" s="420"/>
      <c r="N21" s="390"/>
    </row>
    <row r="22" spans="1:14" s="73" customFormat="1" ht="50.25" customHeight="1">
      <c r="A22" s="4452" t="s">
        <v>215</v>
      </c>
      <c r="B22" s="4453"/>
      <c r="C22" s="4454" t="s">
        <v>1335</v>
      </c>
      <c r="D22" s="4455"/>
      <c r="E22" s="1005" t="s">
        <v>217</v>
      </c>
      <c r="F22" s="430" t="s">
        <v>1326</v>
      </c>
      <c r="G22" s="371">
        <f>Fusion!G23</f>
        <v>2600</v>
      </c>
      <c r="H22" s="371">
        <f>Fusion!H23</f>
        <v>1700</v>
      </c>
      <c r="I22" s="371">
        <f>Fusion!J23</f>
        <v>1700</v>
      </c>
      <c r="J22" s="371">
        <f>I22</f>
        <v>1700</v>
      </c>
      <c r="K22" s="371">
        <f>CEILING(J22*0.7, 50)</f>
        <v>1200</v>
      </c>
      <c r="L22" s="371">
        <f t="shared" si="0"/>
        <v>550</v>
      </c>
      <c r="M22" s="897"/>
      <c r="N22" s="390"/>
    </row>
    <row r="23" spans="1:14" s="68" customFormat="1" ht="15" customHeight="1">
      <c r="A23" s="1207" t="s">
        <v>218</v>
      </c>
      <c r="B23" s="1205"/>
      <c r="C23" s="1205"/>
      <c r="D23" s="1205"/>
      <c r="E23" s="1205"/>
      <c r="F23" s="1205"/>
      <c r="G23" s="1205"/>
      <c r="H23" s="1205"/>
      <c r="I23" s="1205"/>
      <c r="J23" s="1205"/>
      <c r="K23" s="1205"/>
      <c r="L23" s="1205"/>
      <c r="M23" s="897"/>
      <c r="N23" s="390"/>
    </row>
    <row r="24" spans="1:14" s="22" customFormat="1" ht="24" customHeight="1">
      <c r="A24" s="4456" t="s">
        <v>224</v>
      </c>
      <c r="B24" s="4456"/>
      <c r="C24" s="4456" t="s">
        <v>484</v>
      </c>
      <c r="D24" s="4456"/>
      <c r="E24" s="4456"/>
      <c r="F24" s="4456"/>
      <c r="G24" s="333">
        <f>Fusion!G25</f>
        <v>700</v>
      </c>
      <c r="H24" s="333">
        <f>Fusion!H25</f>
        <v>500</v>
      </c>
      <c r="I24" s="333">
        <f>Fusion!J25</f>
        <v>500</v>
      </c>
      <c r="J24" s="333">
        <f>I24</f>
        <v>500</v>
      </c>
      <c r="K24" s="333">
        <f>CEILING(J24*0.7, 50)</f>
        <v>350</v>
      </c>
      <c r="L24" s="333">
        <f t="shared" si="0"/>
        <v>150</v>
      </c>
      <c r="M24" s="897"/>
      <c r="N24" s="390"/>
    </row>
    <row r="25" spans="1:14" s="22" customFormat="1" ht="41.25" customHeight="1">
      <c r="A25" s="4457" t="s">
        <v>363</v>
      </c>
      <c r="B25" s="4458"/>
      <c r="C25" s="4459" t="s">
        <v>485</v>
      </c>
      <c r="D25" s="4459"/>
      <c r="E25" s="4459"/>
      <c r="F25" s="4459"/>
      <c r="G25" s="353">
        <f>Fusion!G26</f>
        <v>700</v>
      </c>
      <c r="H25" s="353">
        <f>Fusion!H26</f>
        <v>500</v>
      </c>
      <c r="I25" s="353">
        <f>Fusion!J26</f>
        <v>500</v>
      </c>
      <c r="J25" s="353">
        <f>I25</f>
        <v>500</v>
      </c>
      <c r="K25" s="353">
        <f>CEILING(J25*0.7, 50)</f>
        <v>350</v>
      </c>
      <c r="L25" s="353">
        <f t="shared" si="0"/>
        <v>150</v>
      </c>
      <c r="M25" s="897"/>
      <c r="N25" s="390"/>
    </row>
    <row r="26" spans="1:14" ht="18" customHeight="1">
      <c r="F26" s="589"/>
      <c r="N26" s="390"/>
    </row>
    <row r="27" spans="1:14" ht="18" customHeight="1">
      <c r="F27" s="589"/>
      <c r="G27" s="2646"/>
      <c r="J27" s="361"/>
      <c r="L27" s="361"/>
      <c r="N27" s="390"/>
    </row>
    <row r="28" spans="1:14" ht="15" customHeight="1">
      <c r="A28" s="1173"/>
      <c r="B28" s="1"/>
      <c r="C28" s="1"/>
      <c r="D28" s="1173"/>
      <c r="E28" s="1173"/>
      <c r="F28" s="6"/>
      <c r="G28" s="1173"/>
      <c r="H28" s="1173"/>
      <c r="L28" s="1173"/>
      <c r="M28" s="1173"/>
      <c r="N28" s="390"/>
    </row>
    <row r="29" spans="1:14" ht="18" customHeight="1">
      <c r="A29" s="1173"/>
      <c r="B29" s="22"/>
      <c r="C29" s="22"/>
      <c r="D29" s="1173"/>
      <c r="E29" s="1173"/>
      <c r="F29" s="6"/>
      <c r="G29" s="1173"/>
      <c r="H29" s="1173"/>
      <c r="I29" s="1173"/>
      <c r="J29" s="1173"/>
      <c r="K29" s="1173"/>
      <c r="L29" s="1173"/>
      <c r="M29" s="1173"/>
    </row>
    <row r="30" spans="1:14" ht="18" customHeight="1">
      <c r="A30" s="1173"/>
      <c r="C30" s="49"/>
      <c r="D30" s="49"/>
      <c r="E30" s="49"/>
      <c r="F30" s="6"/>
      <c r="G30" s="1173"/>
      <c r="H30" s="1173"/>
      <c r="I30" s="1173"/>
      <c r="J30" s="1173"/>
      <c r="K30" s="1173"/>
      <c r="L30" s="1173"/>
      <c r="M30" s="1173"/>
    </row>
    <row r="31" spans="1:14" ht="18" customHeight="1">
      <c r="A31" s="1173"/>
      <c r="B31" s="49"/>
      <c r="C31" s="49"/>
      <c r="D31" s="49"/>
      <c r="E31" s="49"/>
      <c r="F31" s="6"/>
      <c r="G31" s="1173"/>
      <c r="H31" s="1173"/>
      <c r="I31" s="1173"/>
      <c r="J31" s="1173"/>
      <c r="K31" s="1173"/>
      <c r="L31" s="1173"/>
      <c r="M31" s="1173"/>
    </row>
    <row r="32" spans="1:14" ht="18" customHeight="1">
      <c r="A32" s="1173"/>
      <c r="B32" s="49"/>
      <c r="C32" s="49"/>
      <c r="D32" s="49"/>
      <c r="E32" s="49"/>
      <c r="F32" s="6"/>
      <c r="G32" s="1173"/>
      <c r="H32" s="1173"/>
      <c r="I32" s="1173"/>
      <c r="J32" s="1173"/>
      <c r="K32" s="1173"/>
      <c r="L32" s="1173"/>
      <c r="M32" s="1173"/>
    </row>
    <row r="33" spans="1:13" ht="18" customHeight="1">
      <c r="A33" s="1173"/>
      <c r="B33" s="49"/>
      <c r="C33" s="49"/>
      <c r="D33" s="49"/>
      <c r="E33" s="49"/>
      <c r="F33" s="6"/>
      <c r="G33" s="1173"/>
      <c r="H33" s="1173"/>
      <c r="I33" s="1173"/>
      <c r="J33" s="1173"/>
      <c r="K33" s="1173"/>
      <c r="L33" s="1173"/>
      <c r="M33" s="1173"/>
    </row>
    <row r="34" spans="1:13" ht="18" customHeight="1">
      <c r="A34" s="1173"/>
      <c r="B34" s="22"/>
      <c r="C34" s="22"/>
      <c r="D34" s="1173"/>
      <c r="E34" s="1173"/>
      <c r="F34" s="6"/>
      <c r="G34" s="1173"/>
      <c r="H34" s="1173"/>
      <c r="I34" s="1173"/>
      <c r="J34" s="1173"/>
      <c r="K34" s="1173"/>
      <c r="L34" s="1173"/>
      <c r="M34" s="1173"/>
    </row>
    <row r="35" spans="1:13" ht="18" customHeight="1">
      <c r="A35" s="1173"/>
      <c r="B35" s="22"/>
      <c r="C35" s="22"/>
      <c r="D35" s="1173"/>
      <c r="E35" s="1173"/>
      <c r="F35" s="6"/>
      <c r="G35" s="1173"/>
      <c r="H35" s="1173"/>
      <c r="I35" s="1173"/>
      <c r="J35" s="1173"/>
      <c r="K35" s="1173"/>
      <c r="L35" s="1173"/>
      <c r="M35" s="1173"/>
    </row>
    <row r="36" spans="1:13" ht="18" customHeight="1">
      <c r="A36" s="1173"/>
      <c r="B36" s="22"/>
      <c r="C36" s="22"/>
      <c r="D36" s="1173"/>
      <c r="E36" s="1173"/>
      <c r="F36" s="6"/>
      <c r="G36" s="1173"/>
      <c r="H36" s="1173"/>
      <c r="I36" s="1173"/>
      <c r="J36" s="1173"/>
      <c r="K36" s="1173"/>
      <c r="L36" s="1173"/>
      <c r="M36" s="1173"/>
    </row>
    <row r="37" spans="1:13" ht="18" customHeight="1">
      <c r="A37" s="1173"/>
      <c r="B37" s="22"/>
      <c r="C37" s="22"/>
      <c r="D37" s="1173"/>
      <c r="E37" s="1173"/>
      <c r="F37" s="6"/>
      <c r="G37" s="1173"/>
      <c r="H37" s="1173"/>
      <c r="I37" s="1173"/>
      <c r="J37" s="1173"/>
      <c r="K37" s="1173"/>
      <c r="L37" s="1173"/>
      <c r="M37" s="1173"/>
    </row>
    <row r="38" spans="1:13" ht="18" customHeight="1">
      <c r="A38" s="1173"/>
      <c r="B38" s="22"/>
      <c r="C38" s="22"/>
      <c r="D38" s="1173"/>
      <c r="E38" s="1173"/>
      <c r="F38" s="6"/>
      <c r="G38" s="1173"/>
      <c r="H38" s="1173"/>
      <c r="I38" s="1173"/>
      <c r="J38" s="1173"/>
      <c r="K38" s="1173"/>
      <c r="L38" s="1173"/>
      <c r="M38" s="1173"/>
    </row>
    <row r="39" spans="1:13" ht="18" customHeight="1">
      <c r="A39" s="1173"/>
      <c r="B39" s="22"/>
      <c r="C39" s="22"/>
      <c r="D39" s="1173"/>
      <c r="E39" s="1173"/>
      <c r="F39" s="6"/>
      <c r="G39" s="1173"/>
      <c r="H39" s="1173"/>
      <c r="I39" s="1173"/>
      <c r="J39" s="1173"/>
      <c r="K39" s="1173"/>
      <c r="L39" s="1173"/>
      <c r="M39" s="1173"/>
    </row>
    <row r="40" spans="1:13" ht="18" customHeight="1">
      <c r="A40" s="1173"/>
      <c r="B40" s="350"/>
      <c r="C40" s="49"/>
      <c r="D40" s="49"/>
      <c r="E40" s="1173"/>
      <c r="F40" s="6"/>
      <c r="G40" s="1173"/>
      <c r="H40" s="1173"/>
      <c r="I40" s="1173"/>
      <c r="J40" s="1173"/>
    </row>
    <row r="41" spans="1:13" ht="18" customHeight="1">
      <c r="A41" s="1173"/>
      <c r="C41" s="49"/>
      <c r="D41" s="49"/>
      <c r="E41" s="1173"/>
      <c r="F41" s="6"/>
      <c r="G41" s="1173"/>
      <c r="H41" s="1173"/>
      <c r="I41" s="1173"/>
      <c r="J41" s="1173"/>
    </row>
    <row r="42" spans="1:13" ht="18" customHeight="1">
      <c r="A42" s="1173"/>
      <c r="B42" s="4451"/>
      <c r="C42" s="4451"/>
      <c r="D42" s="4451"/>
      <c r="E42" s="1173"/>
      <c r="F42" s="6"/>
      <c r="G42" s="1173"/>
      <c r="H42" s="1173"/>
      <c r="I42" s="1173"/>
      <c r="J42" s="1173"/>
    </row>
    <row r="43" spans="1:13" ht="18" customHeight="1">
      <c r="B43" s="4451"/>
      <c r="C43" s="4451"/>
      <c r="D43" s="4451"/>
    </row>
    <row r="44" spans="1:13" ht="18" customHeight="1">
      <c r="B44" s="4451"/>
      <c r="C44" s="4451"/>
      <c r="D44" s="4451"/>
    </row>
    <row r="45" spans="1:13" ht="18" customHeight="1">
      <c r="B45" s="4451"/>
      <c r="C45" s="4451"/>
      <c r="D45" s="4451"/>
    </row>
    <row r="46" spans="1:13" ht="18" customHeight="1">
      <c r="L46" s="49"/>
      <c r="M46" s="49"/>
    </row>
    <row r="47" spans="1:13" ht="18" customHeight="1">
      <c r="L47" s="49"/>
      <c r="M47" s="49"/>
    </row>
    <row r="48" spans="1:13" ht="18" customHeight="1"/>
    <row r="49" spans="1:158" ht="18" customHeight="1">
      <c r="DZ49" s="242"/>
      <c r="EA49" s="242"/>
      <c r="EB49" s="242"/>
      <c r="EC49" s="242"/>
      <c r="ED49" s="242"/>
      <c r="EE49" s="242"/>
      <c r="EF49" s="242"/>
      <c r="EG49" s="242"/>
      <c r="EH49" s="242"/>
      <c r="EI49" s="242"/>
      <c r="EJ49" s="242"/>
      <c r="EK49" s="242"/>
      <c r="EL49" s="242"/>
      <c r="EM49" s="242"/>
      <c r="EN49" s="242"/>
      <c r="EO49" s="242"/>
      <c r="EP49" s="242"/>
      <c r="EQ49" s="242"/>
      <c r="ER49" s="242"/>
      <c r="ES49" s="242"/>
      <c r="ET49" s="242"/>
      <c r="EU49" s="242"/>
      <c r="EV49" s="242"/>
      <c r="EW49" s="242"/>
      <c r="EX49" s="242"/>
      <c r="EY49" s="242"/>
      <c r="EZ49" s="242"/>
      <c r="FA49" s="242"/>
      <c r="FB49" s="242"/>
    </row>
    <row r="50" spans="1:158" ht="18" customHeight="1">
      <c r="DZ50" s="242"/>
      <c r="EA50" s="242"/>
      <c r="EB50" s="242"/>
      <c r="EC50" s="242"/>
      <c r="ED50" s="242"/>
      <c r="EE50" s="242"/>
      <c r="EF50" s="242"/>
      <c r="EG50" s="242"/>
      <c r="EH50" s="242"/>
      <c r="EI50" s="242"/>
      <c r="EJ50" s="242"/>
      <c r="EK50" s="242"/>
      <c r="EL50" s="242"/>
      <c r="EM50" s="242"/>
      <c r="EN50" s="242"/>
      <c r="EO50" s="242"/>
      <c r="EP50" s="242"/>
      <c r="EQ50" s="242"/>
      <c r="ER50" s="242"/>
      <c r="ES50" s="242"/>
      <c r="ET50" s="242"/>
      <c r="EU50" s="242"/>
      <c r="EV50" s="242"/>
      <c r="EW50" s="242"/>
      <c r="EX50" s="242"/>
      <c r="EY50" s="242"/>
      <c r="EZ50" s="242"/>
      <c r="FA50" s="242"/>
      <c r="FB50" s="242"/>
    </row>
    <row r="51" spans="1:158" ht="18" customHeight="1">
      <c r="DZ51" s="242"/>
      <c r="EA51" s="242"/>
      <c r="EB51" s="242"/>
      <c r="EC51" s="242"/>
      <c r="ED51" s="242"/>
      <c r="EE51" s="242"/>
      <c r="EF51" s="242"/>
      <c r="EG51" s="242"/>
      <c r="EH51" s="242"/>
      <c r="EI51" s="242"/>
      <c r="EJ51" s="242"/>
      <c r="EK51" s="242"/>
      <c r="EL51" s="242"/>
      <c r="EM51" s="242"/>
      <c r="EN51" s="242"/>
      <c r="EO51" s="242"/>
      <c r="EP51" s="242"/>
      <c r="EQ51" s="242"/>
      <c r="ER51" s="242"/>
      <c r="ES51" s="242"/>
      <c r="ET51" s="242"/>
      <c r="EU51" s="242"/>
      <c r="EV51" s="242"/>
      <c r="EW51" s="242"/>
      <c r="EX51" s="242"/>
      <c r="EY51" s="242"/>
      <c r="EZ51" s="242"/>
      <c r="FA51" s="242"/>
      <c r="FB51" s="242"/>
    </row>
    <row r="52" spans="1:158" ht="18" customHeight="1">
      <c r="DZ52" s="242"/>
      <c r="EA52" s="242"/>
      <c r="EB52" s="242"/>
      <c r="EC52" s="242"/>
      <c r="ED52" s="242"/>
      <c r="EE52" s="242"/>
      <c r="EF52" s="242"/>
      <c r="EG52" s="242"/>
      <c r="EH52" s="242"/>
      <c r="EI52" s="242"/>
      <c r="EJ52" s="242"/>
      <c r="EK52" s="242"/>
      <c r="EL52" s="242"/>
      <c r="EM52" s="242"/>
      <c r="EN52" s="242"/>
      <c r="EO52" s="242"/>
      <c r="EP52" s="242"/>
      <c r="EQ52" s="242"/>
      <c r="ER52" s="242"/>
      <c r="ES52" s="242"/>
      <c r="ET52" s="242"/>
      <c r="EU52" s="242"/>
      <c r="EV52" s="242"/>
      <c r="EW52" s="242"/>
      <c r="EX52" s="242"/>
      <c r="EY52" s="242"/>
      <c r="EZ52" s="242"/>
      <c r="FA52" s="242"/>
      <c r="FB52" s="242"/>
    </row>
    <row r="53" spans="1:158">
      <c r="A53" s="1173"/>
      <c r="B53" s="19"/>
      <c r="C53" s="1173"/>
      <c r="D53" s="1173"/>
      <c r="E53" s="1173"/>
      <c r="F53" s="6"/>
      <c r="G53" s="1173"/>
      <c r="H53" s="1173"/>
      <c r="I53" s="1173"/>
      <c r="J53" s="1173"/>
      <c r="K53" s="1173"/>
      <c r="L53" s="897"/>
      <c r="M53" s="897"/>
      <c r="DZ53" s="242"/>
      <c r="EA53" s="242"/>
      <c r="EB53" s="242"/>
      <c r="EC53" s="242"/>
      <c r="ED53" s="242"/>
      <c r="EE53" s="242"/>
      <c r="EF53" s="242"/>
      <c r="EG53" s="242"/>
      <c r="EH53" s="242"/>
      <c r="EI53" s="242"/>
      <c r="EJ53" s="242"/>
      <c r="EK53" s="242"/>
      <c r="EL53" s="242"/>
      <c r="EM53" s="242"/>
      <c r="EN53" s="242"/>
      <c r="EO53" s="242"/>
      <c r="EP53" s="242"/>
      <c r="EQ53" s="242"/>
      <c r="ER53" s="242"/>
      <c r="ES53" s="242"/>
      <c r="ET53" s="242"/>
      <c r="EU53" s="242"/>
      <c r="EV53" s="242"/>
      <c r="EW53" s="242"/>
      <c r="EX53" s="242"/>
      <c r="EY53" s="242"/>
      <c r="EZ53" s="242"/>
      <c r="FA53" s="242"/>
      <c r="FB53" s="242"/>
    </row>
    <row r="54" spans="1:158" ht="18" customHeight="1">
      <c r="DZ54" s="242"/>
      <c r="EA54" s="242"/>
      <c r="EB54" s="242"/>
      <c r="EC54" s="242"/>
      <c r="ED54" s="242"/>
      <c r="EE54" s="242"/>
      <c r="EF54" s="242"/>
      <c r="EG54" s="242"/>
      <c r="EH54" s="242"/>
      <c r="EI54" s="242"/>
      <c r="EJ54" s="242"/>
      <c r="EK54" s="242"/>
      <c r="EL54" s="242"/>
      <c r="EM54" s="242"/>
      <c r="EN54" s="242"/>
      <c r="EO54" s="242"/>
      <c r="EP54" s="242"/>
      <c r="EQ54" s="242"/>
      <c r="ER54" s="242"/>
      <c r="ES54" s="242"/>
      <c r="ET54" s="242"/>
      <c r="EU54" s="242"/>
      <c r="EV54" s="242"/>
      <c r="EW54" s="242"/>
      <c r="EX54" s="242"/>
      <c r="EY54" s="242"/>
      <c r="EZ54" s="242"/>
      <c r="FA54" s="242"/>
      <c r="FB54" s="242"/>
    </row>
    <row r="55" spans="1:158" ht="18" customHeight="1">
      <c r="DZ55" s="242"/>
      <c r="EA55" s="242"/>
      <c r="EB55" s="242"/>
      <c r="EC55" s="242"/>
      <c r="ED55" s="242"/>
      <c r="EE55" s="242"/>
      <c r="EF55" s="242"/>
      <c r="EG55" s="242"/>
      <c r="EH55" s="242"/>
      <c r="EI55" s="242"/>
      <c r="EJ55" s="242"/>
      <c r="EK55" s="242"/>
      <c r="EL55" s="242"/>
      <c r="EM55" s="242"/>
      <c r="EN55" s="242"/>
      <c r="EO55" s="242"/>
      <c r="EP55" s="242"/>
      <c r="EQ55" s="242"/>
      <c r="ER55" s="242"/>
      <c r="ES55" s="242"/>
      <c r="ET55" s="242"/>
      <c r="EU55" s="242"/>
      <c r="EV55" s="242"/>
      <c r="EW55" s="242"/>
      <c r="EX55" s="242"/>
      <c r="EY55" s="242"/>
      <c r="EZ55" s="242"/>
      <c r="FA55" s="242"/>
      <c r="FB55" s="242"/>
    </row>
    <row r="56" spans="1:158" ht="18" customHeight="1">
      <c r="DZ56" s="242"/>
      <c r="EA56" s="242"/>
      <c r="EB56" s="242"/>
      <c r="EC56" s="242"/>
      <c r="ED56" s="242"/>
      <c r="EE56" s="242"/>
      <c r="EF56" s="242"/>
      <c r="EG56" s="242"/>
      <c r="EH56" s="242"/>
      <c r="EI56" s="242"/>
      <c r="EJ56" s="242"/>
      <c r="EK56" s="242"/>
      <c r="EL56" s="242"/>
      <c r="EM56" s="242"/>
      <c r="EN56" s="242"/>
      <c r="EO56" s="242"/>
      <c r="EP56" s="242"/>
      <c r="EQ56" s="242"/>
      <c r="ER56" s="242"/>
      <c r="ES56" s="242"/>
      <c r="ET56" s="242"/>
      <c r="EU56" s="242"/>
      <c r="EV56" s="242"/>
      <c r="EW56" s="242"/>
      <c r="EX56" s="242"/>
      <c r="EY56" s="242"/>
      <c r="EZ56" s="242"/>
      <c r="FA56" s="242"/>
      <c r="FB56" s="242"/>
    </row>
    <row r="57" spans="1:158" ht="18" customHeight="1">
      <c r="DZ57" s="242"/>
      <c r="EA57" s="242"/>
      <c r="EB57" s="242"/>
      <c r="EC57" s="242"/>
      <c r="ED57" s="242"/>
      <c r="EE57" s="242"/>
      <c r="EF57" s="242"/>
      <c r="EG57" s="242"/>
      <c r="EH57" s="242"/>
      <c r="EI57" s="242"/>
      <c r="EJ57" s="242"/>
      <c r="EK57" s="242"/>
      <c r="EL57" s="242"/>
      <c r="EM57" s="242"/>
      <c r="EN57" s="242"/>
      <c r="EO57" s="242"/>
      <c r="EP57" s="242"/>
      <c r="EQ57" s="242"/>
      <c r="ER57" s="242"/>
      <c r="ES57" s="242"/>
      <c r="ET57" s="242"/>
      <c r="EU57" s="242"/>
      <c r="EV57" s="242"/>
      <c r="EW57" s="242"/>
      <c r="EX57" s="242"/>
      <c r="EY57" s="242"/>
      <c r="EZ57" s="242"/>
      <c r="FA57" s="242"/>
      <c r="FB57" s="242"/>
    </row>
    <row r="58" spans="1:158" ht="18" customHeight="1">
      <c r="DZ58" s="242"/>
      <c r="EA58" s="242"/>
      <c r="EB58" s="242"/>
      <c r="EC58" s="242"/>
      <c r="ED58" s="242"/>
      <c r="EE58" s="242"/>
      <c r="EF58" s="242"/>
      <c r="EG58" s="242"/>
      <c r="EH58" s="242"/>
      <c r="EI58" s="242"/>
      <c r="EJ58" s="242"/>
      <c r="EK58" s="242"/>
      <c r="EL58" s="242"/>
      <c r="EM58" s="242"/>
      <c r="EN58" s="242"/>
      <c r="EO58" s="242"/>
      <c r="EP58" s="242"/>
      <c r="EQ58" s="242"/>
      <c r="ER58" s="242"/>
      <c r="ES58" s="242"/>
      <c r="ET58" s="242"/>
      <c r="EU58" s="242"/>
      <c r="EV58" s="242"/>
      <c r="EW58" s="242"/>
      <c r="EX58" s="242"/>
      <c r="EY58" s="242"/>
      <c r="EZ58" s="242"/>
      <c r="FA58" s="242"/>
      <c r="FB58" s="242"/>
    </row>
    <row r="59" spans="1:158" ht="18" customHeight="1">
      <c r="DZ59" s="242"/>
      <c r="EA59" s="242"/>
      <c r="EB59" s="242"/>
      <c r="EC59" s="242"/>
      <c r="ED59" s="242"/>
      <c r="EE59" s="242"/>
      <c r="EF59" s="242"/>
      <c r="EG59" s="242"/>
      <c r="EH59" s="242"/>
      <c r="EI59" s="242"/>
      <c r="EJ59" s="242"/>
      <c r="EK59" s="242"/>
      <c r="EL59" s="242"/>
      <c r="EM59" s="242"/>
      <c r="EN59" s="242"/>
      <c r="EO59" s="242"/>
      <c r="EP59" s="242"/>
      <c r="EQ59" s="242"/>
      <c r="ER59" s="242"/>
      <c r="ES59" s="242"/>
      <c r="ET59" s="242"/>
      <c r="EU59" s="242"/>
      <c r="EV59" s="242"/>
      <c r="EW59" s="242"/>
      <c r="EX59" s="242"/>
      <c r="EY59" s="242"/>
      <c r="EZ59" s="242"/>
      <c r="FA59" s="242"/>
      <c r="FB59" s="242"/>
    </row>
    <row r="60" spans="1:158" ht="18" customHeight="1">
      <c r="DZ60" s="242"/>
      <c r="EA60" s="242"/>
      <c r="EB60" s="242"/>
      <c r="EC60" s="242"/>
      <c r="ED60" s="242"/>
      <c r="EE60" s="242"/>
      <c r="EF60" s="242"/>
      <c r="EG60" s="242"/>
      <c r="EH60" s="242"/>
      <c r="EI60" s="242"/>
      <c r="EJ60" s="242"/>
      <c r="EK60" s="242"/>
      <c r="EL60" s="242"/>
      <c r="EM60" s="242"/>
      <c r="EN60" s="242"/>
      <c r="EO60" s="242"/>
      <c r="EP60" s="242"/>
      <c r="EQ60" s="242"/>
      <c r="ER60" s="242"/>
      <c r="ES60" s="242"/>
      <c r="ET60" s="242"/>
      <c r="EU60" s="242"/>
      <c r="EV60" s="242"/>
      <c r="EW60" s="242"/>
      <c r="EX60" s="242"/>
      <c r="EY60" s="242"/>
      <c r="EZ60" s="242"/>
      <c r="FA60" s="242"/>
      <c r="FB60" s="242"/>
    </row>
    <row r="61" spans="1:158" ht="18" customHeight="1">
      <c r="DZ61" s="242"/>
      <c r="EA61" s="242"/>
      <c r="EB61" s="242"/>
      <c r="EC61" s="242"/>
      <c r="ED61" s="242"/>
      <c r="EE61" s="242"/>
      <c r="EF61" s="242"/>
      <c r="EG61" s="242"/>
      <c r="EH61" s="242"/>
      <c r="EI61" s="242"/>
      <c r="EJ61" s="242"/>
      <c r="EK61" s="242"/>
      <c r="EL61" s="242"/>
      <c r="EM61" s="242"/>
      <c r="EN61" s="242"/>
      <c r="EO61" s="242"/>
      <c r="EP61" s="242"/>
      <c r="EQ61" s="242"/>
      <c r="ER61" s="242"/>
      <c r="ES61" s="242"/>
      <c r="ET61" s="242"/>
      <c r="EU61" s="242"/>
      <c r="EV61" s="242"/>
      <c r="EW61" s="242"/>
      <c r="EX61" s="242"/>
      <c r="EY61" s="242"/>
      <c r="EZ61" s="242"/>
      <c r="FA61" s="242"/>
      <c r="FB61" s="242"/>
    </row>
    <row r="62" spans="1:158" ht="18" customHeight="1">
      <c r="DZ62" s="242"/>
      <c r="EA62" s="242"/>
      <c r="EB62" s="242"/>
      <c r="EC62" s="242"/>
      <c r="ED62" s="242"/>
      <c r="EE62" s="242"/>
      <c r="EF62" s="242"/>
      <c r="EG62" s="242"/>
      <c r="EH62" s="242"/>
      <c r="EI62" s="242"/>
      <c r="EJ62" s="242"/>
      <c r="EK62" s="242"/>
      <c r="EL62" s="242"/>
      <c r="EM62" s="242"/>
      <c r="EN62" s="242"/>
      <c r="EO62" s="242"/>
      <c r="EP62" s="242"/>
      <c r="EQ62" s="242"/>
      <c r="ER62" s="242"/>
      <c r="ES62" s="242"/>
      <c r="ET62" s="242"/>
      <c r="EU62" s="242"/>
      <c r="EV62" s="242"/>
      <c r="EW62" s="242"/>
      <c r="EX62" s="242"/>
      <c r="EY62" s="242"/>
      <c r="EZ62" s="242"/>
      <c r="FA62" s="242"/>
      <c r="FB62" s="242"/>
    </row>
    <row r="63" spans="1:158" ht="18" customHeight="1">
      <c r="DZ63" s="242"/>
      <c r="EA63" s="242"/>
      <c r="EB63" s="242"/>
      <c r="EC63" s="242"/>
      <c r="ED63" s="242"/>
      <c r="EE63" s="242"/>
      <c r="EF63" s="242"/>
      <c r="EG63" s="242"/>
      <c r="EH63" s="242"/>
      <c r="EI63" s="242"/>
      <c r="EJ63" s="242"/>
      <c r="EK63" s="242"/>
      <c r="EL63" s="242"/>
      <c r="EM63" s="242"/>
      <c r="EN63" s="242"/>
      <c r="EO63" s="242"/>
      <c r="EP63" s="242"/>
      <c r="EQ63" s="242"/>
      <c r="ER63" s="242"/>
      <c r="ES63" s="242"/>
      <c r="ET63" s="242"/>
      <c r="EU63" s="242"/>
      <c r="EV63" s="242"/>
      <c r="EW63" s="242"/>
      <c r="EX63" s="242"/>
      <c r="EY63" s="242"/>
      <c r="EZ63" s="242"/>
      <c r="FA63" s="242"/>
      <c r="FB63" s="242"/>
    </row>
    <row r="64" spans="1:158" ht="18" customHeight="1">
      <c r="K64" s="58"/>
      <c r="DZ64" s="242"/>
      <c r="EA64" s="242"/>
      <c r="EB64" s="242"/>
      <c r="EC64" s="242"/>
      <c r="ED64" s="242"/>
      <c r="EE64" s="242"/>
      <c r="EF64" s="242"/>
      <c r="EG64" s="242"/>
      <c r="EH64" s="242"/>
      <c r="EI64" s="242"/>
      <c r="EJ64" s="242"/>
      <c r="EK64" s="242"/>
      <c r="EL64" s="242"/>
      <c r="EM64" s="242"/>
      <c r="EN64" s="242"/>
      <c r="EO64" s="242"/>
      <c r="EP64" s="242"/>
      <c r="EQ64" s="242"/>
      <c r="ER64" s="242"/>
      <c r="ES64" s="242"/>
      <c r="ET64" s="242"/>
      <c r="EU64" s="242"/>
      <c r="EV64" s="242"/>
      <c r="EW64" s="242"/>
      <c r="EX64" s="242"/>
      <c r="EY64" s="242"/>
      <c r="EZ64" s="242"/>
      <c r="FA64" s="242"/>
      <c r="FB64" s="242"/>
    </row>
    <row r="65" spans="130:158" ht="18" customHeight="1">
      <c r="DZ65" s="242"/>
      <c r="EA65" s="242"/>
      <c r="EB65" s="242"/>
      <c r="EC65" s="242"/>
      <c r="ED65" s="242"/>
      <c r="EE65" s="242"/>
      <c r="EF65" s="242"/>
      <c r="EG65" s="242"/>
      <c r="EH65" s="242"/>
      <c r="EI65" s="242"/>
      <c r="EJ65" s="242"/>
      <c r="EK65" s="242"/>
      <c r="EL65" s="242"/>
      <c r="EM65" s="242"/>
      <c r="EN65" s="242"/>
      <c r="EO65" s="242"/>
      <c r="EP65" s="242"/>
      <c r="EQ65" s="242"/>
      <c r="ER65" s="242"/>
      <c r="ES65" s="242"/>
      <c r="ET65" s="242"/>
      <c r="EU65" s="242"/>
      <c r="EV65" s="242"/>
      <c r="EW65" s="242"/>
      <c r="EX65" s="242"/>
      <c r="EY65" s="242"/>
      <c r="EZ65" s="242"/>
      <c r="FA65" s="242"/>
      <c r="FB65" s="242"/>
    </row>
    <row r="66" spans="130:158" ht="18" customHeight="1">
      <c r="DZ66" s="242"/>
      <c r="EA66" s="242"/>
      <c r="EB66" s="242"/>
      <c r="EC66" s="242"/>
      <c r="ED66" s="242"/>
      <c r="EE66" s="242"/>
      <c r="EF66" s="242"/>
      <c r="EG66" s="242"/>
      <c r="EH66" s="242"/>
      <c r="EI66" s="242"/>
      <c r="EJ66" s="242"/>
      <c r="EK66" s="242"/>
      <c r="EL66" s="242"/>
      <c r="EM66" s="242"/>
      <c r="EN66" s="242"/>
      <c r="EO66" s="242"/>
      <c r="EP66" s="242"/>
      <c r="EQ66" s="242"/>
      <c r="ER66" s="242"/>
      <c r="ES66" s="242"/>
      <c r="ET66" s="242"/>
      <c r="EU66" s="242"/>
      <c r="EV66" s="242"/>
      <c r="EW66" s="242"/>
      <c r="EX66" s="242"/>
      <c r="EY66" s="242"/>
      <c r="EZ66" s="242"/>
      <c r="FA66" s="242"/>
      <c r="FB66" s="242"/>
    </row>
    <row r="67" spans="130:158" ht="18" customHeight="1">
      <c r="DZ67" s="242"/>
      <c r="EA67" s="242"/>
      <c r="EB67" s="242"/>
      <c r="EC67" s="242"/>
      <c r="ED67" s="242"/>
      <c r="EE67" s="242"/>
      <c r="EF67" s="242"/>
      <c r="EG67" s="242"/>
      <c r="EH67" s="242"/>
      <c r="EI67" s="242"/>
      <c r="EJ67" s="242"/>
      <c r="EK67" s="242"/>
      <c r="EL67" s="242"/>
      <c r="EM67" s="242"/>
      <c r="EN67" s="242"/>
      <c r="EO67" s="242"/>
      <c r="EP67" s="242"/>
      <c r="EQ67" s="242"/>
      <c r="ER67" s="242"/>
      <c r="ES67" s="242"/>
      <c r="ET67" s="242"/>
      <c r="EU67" s="242"/>
      <c r="EV67" s="242"/>
      <c r="EW67" s="242"/>
      <c r="EX67" s="242"/>
      <c r="EY67" s="242"/>
      <c r="EZ67" s="242"/>
      <c r="FA67" s="242"/>
      <c r="FB67" s="242"/>
    </row>
    <row r="68" spans="130:158" ht="18" customHeight="1">
      <c r="DZ68" s="242"/>
      <c r="EA68" s="242"/>
      <c r="EB68" s="242"/>
      <c r="EC68" s="242"/>
      <c r="ED68" s="242"/>
      <c r="EE68" s="242"/>
      <c r="EF68" s="242"/>
      <c r="EG68" s="242"/>
      <c r="EH68" s="242"/>
      <c r="EI68" s="242"/>
      <c r="EJ68" s="242"/>
      <c r="EK68" s="242"/>
      <c r="EL68" s="242"/>
      <c r="EM68" s="242"/>
      <c r="EN68" s="242"/>
      <c r="EO68" s="242"/>
      <c r="EP68" s="242"/>
      <c r="EQ68" s="242"/>
      <c r="ER68" s="242"/>
      <c r="ES68" s="242"/>
      <c r="ET68" s="242"/>
      <c r="EU68" s="242"/>
      <c r="EV68" s="242"/>
      <c r="EW68" s="242"/>
      <c r="EX68" s="242"/>
      <c r="EY68" s="242"/>
      <c r="EZ68" s="242"/>
      <c r="FA68" s="242"/>
      <c r="FB68" s="242"/>
    </row>
    <row r="69" spans="130:158" ht="18" customHeight="1">
      <c r="DZ69" s="242"/>
      <c r="EA69" s="242"/>
      <c r="EB69" s="242"/>
      <c r="EC69" s="242"/>
      <c r="ED69" s="242"/>
      <c r="EE69" s="242"/>
      <c r="EF69" s="242"/>
      <c r="EG69" s="242"/>
      <c r="EH69" s="242"/>
      <c r="EI69" s="242"/>
      <c r="EJ69" s="242"/>
      <c r="EK69" s="242"/>
      <c r="EL69" s="242"/>
      <c r="EM69" s="242"/>
      <c r="EN69" s="242"/>
      <c r="EO69" s="242"/>
      <c r="EP69" s="242"/>
      <c r="EQ69" s="242"/>
      <c r="ER69" s="242"/>
      <c r="ES69" s="242"/>
      <c r="ET69" s="242"/>
      <c r="EU69" s="242"/>
      <c r="EV69" s="242"/>
      <c r="EW69" s="242"/>
      <c r="EX69" s="242"/>
      <c r="EY69" s="242"/>
      <c r="EZ69" s="242"/>
      <c r="FA69" s="242"/>
      <c r="FB69" s="242"/>
    </row>
    <row r="70" spans="130:158" ht="18" customHeight="1">
      <c r="DZ70" s="242"/>
      <c r="EA70" s="242"/>
      <c r="EB70" s="242"/>
      <c r="EC70" s="242"/>
      <c r="ED70" s="242"/>
      <c r="EE70" s="242"/>
      <c r="EF70" s="242"/>
      <c r="EG70" s="242"/>
      <c r="EH70" s="242"/>
      <c r="EI70" s="242"/>
      <c r="EJ70" s="242"/>
      <c r="EK70" s="242"/>
      <c r="EL70" s="242"/>
      <c r="EM70" s="242"/>
      <c r="EN70" s="242"/>
      <c r="EO70" s="242"/>
      <c r="EP70" s="242"/>
      <c r="EQ70" s="242"/>
      <c r="ER70" s="242"/>
      <c r="ES70" s="242"/>
      <c r="ET70" s="242"/>
      <c r="EU70" s="242"/>
      <c r="EV70" s="242"/>
      <c r="EW70" s="242"/>
      <c r="EX70" s="242"/>
      <c r="EY70" s="242"/>
      <c r="EZ70" s="242"/>
      <c r="FA70" s="242"/>
      <c r="FB70" s="242"/>
    </row>
    <row r="71" spans="130:158" ht="18" customHeight="1">
      <c r="DZ71" s="242"/>
      <c r="EA71" s="242"/>
      <c r="EB71" s="242"/>
      <c r="EC71" s="242"/>
      <c r="ED71" s="242"/>
      <c r="EE71" s="242"/>
      <c r="EF71" s="242"/>
      <c r="EG71" s="242"/>
      <c r="EH71" s="242"/>
      <c r="EI71" s="242"/>
      <c r="EJ71" s="242"/>
      <c r="EK71" s="242"/>
      <c r="EL71" s="242"/>
      <c r="EM71" s="242"/>
      <c r="EN71" s="242"/>
      <c r="EO71" s="242"/>
      <c r="EP71" s="242"/>
      <c r="EQ71" s="242"/>
      <c r="ER71" s="242"/>
      <c r="ES71" s="242"/>
      <c r="ET71" s="242"/>
      <c r="EU71" s="242"/>
      <c r="EV71" s="242"/>
      <c r="EW71" s="242"/>
      <c r="EX71" s="242"/>
      <c r="EY71" s="242"/>
      <c r="EZ71" s="242"/>
      <c r="FA71" s="242"/>
      <c r="FB71" s="242"/>
    </row>
    <row r="72" spans="130:158" ht="18" customHeight="1">
      <c r="DZ72" s="242"/>
      <c r="EA72" s="242"/>
      <c r="EB72" s="242"/>
      <c r="EC72" s="242"/>
      <c r="ED72" s="242"/>
      <c r="EE72" s="242"/>
      <c r="EF72" s="242"/>
      <c r="EG72" s="242"/>
      <c r="EH72" s="242"/>
      <c r="EI72" s="242"/>
      <c r="EJ72" s="242"/>
      <c r="EK72" s="242"/>
      <c r="EL72" s="242"/>
      <c r="EM72" s="242"/>
      <c r="EN72" s="242"/>
      <c r="EO72" s="242"/>
      <c r="EP72" s="242"/>
      <c r="EQ72" s="242"/>
      <c r="ER72" s="242"/>
      <c r="ES72" s="242"/>
      <c r="ET72" s="242"/>
      <c r="EU72" s="242"/>
      <c r="EV72" s="242"/>
      <c r="EW72" s="242"/>
      <c r="EX72" s="242"/>
      <c r="EY72" s="242"/>
      <c r="EZ72" s="242"/>
      <c r="FA72" s="242"/>
      <c r="FB72" s="242"/>
    </row>
    <row r="73" spans="130:158" ht="18" customHeight="1">
      <c r="DZ73" s="242"/>
      <c r="EA73" s="242"/>
      <c r="EB73" s="242"/>
      <c r="EC73" s="242"/>
      <c r="ED73" s="242"/>
      <c r="EE73" s="242"/>
      <c r="EF73" s="242"/>
      <c r="EG73" s="242"/>
      <c r="EH73" s="242"/>
      <c r="EI73" s="242"/>
      <c r="EJ73" s="242"/>
      <c r="EK73" s="242"/>
      <c r="EL73" s="242"/>
      <c r="EM73" s="242"/>
      <c r="EN73" s="242"/>
      <c r="EO73" s="242"/>
      <c r="EP73" s="242"/>
      <c r="EQ73" s="242"/>
      <c r="ER73" s="242"/>
      <c r="ES73" s="242"/>
      <c r="ET73" s="242"/>
      <c r="EU73" s="242"/>
      <c r="EV73" s="242"/>
      <c r="EW73" s="242"/>
      <c r="EX73" s="242"/>
      <c r="EY73" s="242"/>
      <c r="EZ73" s="242"/>
      <c r="FA73" s="242"/>
      <c r="FB73" s="242"/>
    </row>
    <row r="74" spans="130:158" ht="18" customHeight="1">
      <c r="DZ74" s="242"/>
      <c r="EA74" s="242"/>
      <c r="EB74" s="242"/>
      <c r="EC74" s="242"/>
      <c r="ED74" s="242"/>
      <c r="EE74" s="242"/>
      <c r="EF74" s="242"/>
      <c r="EG74" s="242"/>
      <c r="EH74" s="242"/>
      <c r="EI74" s="242"/>
      <c r="EJ74" s="242"/>
      <c r="EK74" s="242"/>
      <c r="EL74" s="242"/>
      <c r="EM74" s="242"/>
      <c r="EN74" s="242"/>
      <c r="EO74" s="242"/>
      <c r="EP74" s="242"/>
      <c r="EQ74" s="242"/>
      <c r="ER74" s="242"/>
      <c r="ES74" s="242"/>
      <c r="ET74" s="242"/>
      <c r="EU74" s="242"/>
      <c r="EV74" s="242"/>
      <c r="EW74" s="242"/>
      <c r="EX74" s="242"/>
      <c r="EY74" s="242"/>
      <c r="EZ74" s="242"/>
      <c r="FA74" s="242"/>
      <c r="FB74" s="242"/>
    </row>
    <row r="75" spans="130:158" ht="18" customHeight="1">
      <c r="DZ75" s="242"/>
      <c r="EA75" s="242"/>
      <c r="EB75" s="242"/>
      <c r="EC75" s="242"/>
      <c r="ED75" s="242"/>
      <c r="EE75" s="242"/>
      <c r="EF75" s="242"/>
      <c r="EG75" s="242"/>
      <c r="EH75" s="242"/>
      <c r="EI75" s="242"/>
      <c r="EJ75" s="242"/>
      <c r="EK75" s="242"/>
      <c r="EL75" s="242"/>
      <c r="EM75" s="242"/>
      <c r="EN75" s="242"/>
      <c r="EO75" s="242"/>
      <c r="EP75" s="242"/>
      <c r="EQ75" s="242"/>
      <c r="ER75" s="242"/>
      <c r="ES75" s="242"/>
      <c r="ET75" s="242"/>
      <c r="EU75" s="242"/>
      <c r="EV75" s="242"/>
      <c r="EW75" s="242"/>
      <c r="EX75" s="242"/>
      <c r="EY75" s="242"/>
      <c r="EZ75" s="242"/>
      <c r="FA75" s="242"/>
      <c r="FB75" s="242"/>
    </row>
    <row r="76" spans="130:158" ht="18" customHeight="1">
      <c r="DZ76" s="242"/>
      <c r="EA76" s="242"/>
      <c r="EB76" s="242"/>
      <c r="EC76" s="242"/>
      <c r="ED76" s="242"/>
      <c r="EE76" s="242"/>
      <c r="EF76" s="242"/>
      <c r="EG76" s="242"/>
      <c r="EH76" s="242"/>
      <c r="EI76" s="242"/>
      <c r="EJ76" s="242"/>
      <c r="EK76" s="242"/>
      <c r="EL76" s="242"/>
      <c r="EM76" s="242"/>
      <c r="EN76" s="242"/>
      <c r="EO76" s="242"/>
      <c r="EP76" s="242"/>
      <c r="EQ76" s="242"/>
      <c r="ER76" s="242"/>
      <c r="ES76" s="242"/>
      <c r="ET76" s="242"/>
      <c r="EU76" s="242"/>
      <c r="EV76" s="242"/>
      <c r="EW76" s="242"/>
      <c r="EX76" s="242"/>
      <c r="EY76" s="242"/>
      <c r="EZ76" s="242"/>
      <c r="FA76" s="242"/>
      <c r="FB76" s="242"/>
    </row>
    <row r="77" spans="130:158" ht="18" customHeight="1">
      <c r="DZ77" s="242"/>
      <c r="EA77" s="242"/>
      <c r="EB77" s="242"/>
      <c r="EC77" s="242"/>
      <c r="ED77" s="242"/>
      <c r="EE77" s="242"/>
      <c r="EF77" s="242"/>
      <c r="EG77" s="242"/>
      <c r="EH77" s="242"/>
      <c r="EI77" s="242"/>
      <c r="EJ77" s="242"/>
      <c r="EK77" s="242"/>
      <c r="EL77" s="242"/>
      <c r="EM77" s="242"/>
      <c r="EN77" s="242"/>
      <c r="EO77" s="242"/>
      <c r="EP77" s="242"/>
      <c r="EQ77" s="242"/>
      <c r="ER77" s="242"/>
      <c r="ES77" s="242"/>
      <c r="ET77" s="242"/>
      <c r="EU77" s="242"/>
      <c r="EV77" s="242"/>
      <c r="EW77" s="242"/>
      <c r="EX77" s="242"/>
      <c r="EY77" s="242"/>
      <c r="EZ77" s="242"/>
      <c r="FA77" s="242"/>
      <c r="FB77" s="242"/>
    </row>
    <row r="78" spans="130:158" ht="18" customHeight="1">
      <c r="DZ78" s="242"/>
      <c r="EA78" s="242"/>
      <c r="EB78" s="242"/>
      <c r="EC78" s="242"/>
      <c r="ED78" s="242"/>
      <c r="EE78" s="242"/>
      <c r="EF78" s="242"/>
      <c r="EG78" s="242"/>
      <c r="EH78" s="242"/>
      <c r="EI78" s="242"/>
      <c r="EJ78" s="242"/>
      <c r="EK78" s="242"/>
      <c r="EL78" s="242"/>
      <c r="EM78" s="242"/>
      <c r="EN78" s="242"/>
      <c r="EO78" s="242"/>
      <c r="EP78" s="242"/>
      <c r="EQ78" s="242"/>
      <c r="ER78" s="242"/>
      <c r="ES78" s="242"/>
      <c r="ET78" s="242"/>
      <c r="EU78" s="242"/>
      <c r="EV78" s="242"/>
      <c r="EW78" s="242"/>
      <c r="EX78" s="242"/>
      <c r="EY78" s="242"/>
      <c r="EZ78" s="242"/>
      <c r="FA78" s="242"/>
      <c r="FB78" s="242"/>
    </row>
    <row r="79" spans="130:158" ht="18" customHeight="1">
      <c r="DZ79" s="242"/>
      <c r="EA79" s="242"/>
      <c r="EB79" s="242"/>
      <c r="EC79" s="242"/>
      <c r="ED79" s="242"/>
      <c r="EE79" s="242"/>
      <c r="EF79" s="242"/>
      <c r="EG79" s="242"/>
      <c r="EH79" s="242"/>
      <c r="EI79" s="242"/>
      <c r="EJ79" s="242"/>
      <c r="EK79" s="242"/>
      <c r="EL79" s="242"/>
      <c r="EM79" s="242"/>
      <c r="EN79" s="242"/>
      <c r="EO79" s="242"/>
      <c r="EP79" s="242"/>
      <c r="EQ79" s="242"/>
      <c r="ER79" s="242"/>
      <c r="ES79" s="242"/>
      <c r="ET79" s="242"/>
      <c r="EU79" s="242"/>
      <c r="EV79" s="242"/>
      <c r="EW79" s="242"/>
      <c r="EX79" s="242"/>
      <c r="EY79" s="242"/>
      <c r="EZ79" s="242"/>
      <c r="FA79" s="242"/>
      <c r="FB79" s="242"/>
    </row>
    <row r="80" spans="130:158" ht="18" customHeight="1">
      <c r="DZ80" s="242"/>
      <c r="EA80" s="242"/>
      <c r="EB80" s="242"/>
      <c r="EC80" s="242"/>
      <c r="ED80" s="242"/>
      <c r="EE80" s="242"/>
      <c r="EF80" s="242"/>
      <c r="EG80" s="242"/>
      <c r="EH80" s="242"/>
      <c r="EI80" s="242"/>
      <c r="EJ80" s="242"/>
      <c r="EK80" s="242"/>
      <c r="EL80" s="242"/>
      <c r="EM80" s="242"/>
      <c r="EN80" s="242"/>
      <c r="EO80" s="242"/>
      <c r="EP80" s="242"/>
      <c r="EQ80" s="242"/>
      <c r="ER80" s="242"/>
      <c r="ES80" s="242"/>
      <c r="ET80" s="242"/>
      <c r="EU80" s="242"/>
      <c r="EV80" s="242"/>
      <c r="EW80" s="242"/>
      <c r="EX80" s="242"/>
      <c r="EY80" s="242"/>
      <c r="EZ80" s="242"/>
      <c r="FA80" s="242"/>
      <c r="FB80" s="242"/>
    </row>
    <row r="81" spans="130:158" ht="18" customHeight="1">
      <c r="DZ81" s="242"/>
      <c r="EA81" s="242"/>
      <c r="EB81" s="242"/>
      <c r="EC81" s="242"/>
      <c r="ED81" s="242"/>
      <c r="EE81" s="242"/>
      <c r="EF81" s="242"/>
      <c r="EG81" s="242"/>
      <c r="EH81" s="242"/>
      <c r="EI81" s="242"/>
      <c r="EJ81" s="242"/>
      <c r="EK81" s="242"/>
      <c r="EL81" s="242"/>
      <c r="EM81" s="242"/>
      <c r="EN81" s="242"/>
      <c r="EO81" s="242"/>
      <c r="EP81" s="242"/>
      <c r="EQ81" s="242"/>
      <c r="ER81" s="242"/>
      <c r="ES81" s="242"/>
      <c r="ET81" s="242"/>
      <c r="EU81" s="242"/>
      <c r="EV81" s="242"/>
      <c r="EW81" s="242"/>
      <c r="EX81" s="242"/>
      <c r="EY81" s="242"/>
      <c r="EZ81" s="242"/>
      <c r="FA81" s="242"/>
      <c r="FB81" s="242"/>
    </row>
    <row r="82" spans="130:158" ht="18" customHeight="1">
      <c r="DZ82" s="242"/>
      <c r="EA82" s="242"/>
      <c r="EB82" s="242"/>
      <c r="EC82" s="242"/>
      <c r="ED82" s="242"/>
      <c r="EE82" s="242"/>
      <c r="EF82" s="242"/>
      <c r="EG82" s="242"/>
      <c r="EH82" s="242"/>
      <c r="EI82" s="242"/>
      <c r="EJ82" s="242"/>
      <c r="EK82" s="242"/>
      <c r="EL82" s="242"/>
      <c r="EM82" s="242"/>
      <c r="EN82" s="242"/>
      <c r="EO82" s="242"/>
      <c r="EP82" s="242"/>
      <c r="EQ82" s="242"/>
      <c r="ER82" s="242"/>
      <c r="ES82" s="242"/>
      <c r="ET82" s="242"/>
      <c r="EU82" s="242"/>
      <c r="EV82" s="242"/>
      <c r="EW82" s="242"/>
      <c r="EX82" s="242"/>
      <c r="EY82" s="242"/>
      <c r="EZ82" s="242"/>
      <c r="FA82" s="242"/>
      <c r="FB82" s="242"/>
    </row>
    <row r="83" spans="130:158" ht="18" customHeight="1">
      <c r="DZ83" s="242"/>
      <c r="EA83" s="242"/>
      <c r="EB83" s="242"/>
      <c r="EC83" s="242"/>
      <c r="ED83" s="242"/>
      <c r="EE83" s="242"/>
      <c r="EF83" s="242"/>
      <c r="EG83" s="242"/>
      <c r="EH83" s="242"/>
      <c r="EI83" s="242"/>
      <c r="EJ83" s="242"/>
      <c r="EK83" s="242"/>
      <c r="EL83" s="242"/>
      <c r="EM83" s="242"/>
      <c r="EN83" s="242"/>
      <c r="EO83" s="242"/>
      <c r="EP83" s="242"/>
      <c r="EQ83" s="242"/>
      <c r="ER83" s="242"/>
      <c r="ES83" s="242"/>
      <c r="ET83" s="242"/>
      <c r="EU83" s="242"/>
      <c r="EV83" s="242"/>
      <c r="EW83" s="242"/>
      <c r="EX83" s="242"/>
      <c r="EY83" s="242"/>
      <c r="EZ83" s="242"/>
      <c r="FA83" s="242"/>
      <c r="FB83" s="242"/>
    </row>
    <row r="84" spans="130:158" ht="18" customHeight="1">
      <c r="DZ84" s="242"/>
      <c r="EA84" s="242"/>
      <c r="EB84" s="242"/>
      <c r="EC84" s="242"/>
      <c r="ED84" s="242"/>
      <c r="EE84" s="242"/>
      <c r="EF84" s="242"/>
      <c r="EG84" s="242"/>
      <c r="EH84" s="242"/>
      <c r="EI84" s="242"/>
      <c r="EJ84" s="242"/>
      <c r="EK84" s="242"/>
      <c r="EL84" s="242"/>
      <c r="EM84" s="242"/>
      <c r="EN84" s="242"/>
      <c r="EO84" s="242"/>
      <c r="EP84" s="242"/>
      <c r="EQ84" s="242"/>
      <c r="ER84" s="242"/>
      <c r="ES84" s="242"/>
      <c r="ET84" s="242"/>
      <c r="EU84" s="242"/>
      <c r="EV84" s="242"/>
      <c r="EW84" s="242"/>
      <c r="EX84" s="242"/>
      <c r="EY84" s="242"/>
      <c r="EZ84" s="242"/>
      <c r="FA84" s="242"/>
      <c r="FB84" s="242"/>
    </row>
    <row r="85" spans="130:158" ht="18" customHeight="1">
      <c r="DZ85" s="242"/>
      <c r="EA85" s="242"/>
      <c r="EB85" s="242"/>
      <c r="EC85" s="242"/>
      <c r="ED85" s="242"/>
      <c r="EE85" s="242"/>
      <c r="EF85" s="242"/>
      <c r="EG85" s="242"/>
      <c r="EH85" s="242"/>
      <c r="EI85" s="242"/>
      <c r="EJ85" s="242"/>
      <c r="EK85" s="242"/>
      <c r="EL85" s="242"/>
      <c r="EM85" s="242"/>
      <c r="EN85" s="242"/>
      <c r="EO85" s="242"/>
      <c r="EP85" s="242"/>
      <c r="EQ85" s="242"/>
      <c r="ER85" s="242"/>
      <c r="ES85" s="242"/>
      <c r="ET85" s="242"/>
      <c r="EU85" s="242"/>
      <c r="EV85" s="242"/>
      <c r="EW85" s="242"/>
      <c r="EX85" s="242"/>
      <c r="EY85" s="242"/>
      <c r="EZ85" s="242"/>
      <c r="FA85" s="242"/>
      <c r="FB85" s="242"/>
    </row>
    <row r="86" spans="130:158" ht="18" customHeight="1">
      <c r="DZ86" s="242"/>
      <c r="EA86" s="242"/>
      <c r="EB86" s="242"/>
      <c r="EC86" s="242"/>
      <c r="ED86" s="242"/>
      <c r="EE86" s="242"/>
      <c r="EF86" s="242"/>
      <c r="EG86" s="242"/>
      <c r="EH86" s="242"/>
      <c r="EI86" s="242"/>
      <c r="EJ86" s="242"/>
      <c r="EK86" s="242"/>
      <c r="EL86" s="242"/>
      <c r="EM86" s="242"/>
      <c r="EN86" s="242"/>
      <c r="EO86" s="242"/>
      <c r="EP86" s="242"/>
      <c r="EQ86" s="242"/>
      <c r="ER86" s="242"/>
      <c r="ES86" s="242"/>
      <c r="ET86" s="242"/>
      <c r="EU86" s="242"/>
      <c r="EV86" s="242"/>
      <c r="EW86" s="242"/>
      <c r="EX86" s="242"/>
      <c r="EY86" s="242"/>
      <c r="EZ86" s="242"/>
      <c r="FA86" s="242"/>
      <c r="FB86" s="242"/>
    </row>
    <row r="87" spans="130:158" ht="18" customHeight="1">
      <c r="DZ87" s="242"/>
      <c r="EA87" s="242"/>
      <c r="EB87" s="242"/>
      <c r="EC87" s="242"/>
      <c r="ED87" s="242"/>
      <c r="EE87" s="242"/>
      <c r="EF87" s="242"/>
      <c r="EG87" s="242"/>
      <c r="EH87" s="242"/>
      <c r="EI87" s="242"/>
      <c r="EJ87" s="242"/>
      <c r="EK87" s="242"/>
      <c r="EL87" s="242"/>
      <c r="EM87" s="242"/>
      <c r="EN87" s="242"/>
      <c r="EO87" s="242"/>
      <c r="EP87" s="242"/>
      <c r="EQ87" s="242"/>
      <c r="ER87" s="242"/>
      <c r="ES87" s="242"/>
      <c r="ET87" s="242"/>
      <c r="EU87" s="242"/>
      <c r="EV87" s="242"/>
      <c r="EW87" s="242"/>
      <c r="EX87" s="242"/>
      <c r="EY87" s="242"/>
      <c r="EZ87" s="242"/>
      <c r="FA87" s="242"/>
      <c r="FB87" s="242"/>
    </row>
    <row r="88" spans="130:158" ht="18" customHeight="1">
      <c r="DZ88" s="242"/>
      <c r="EA88" s="242"/>
      <c r="EB88" s="242"/>
      <c r="EC88" s="242"/>
      <c r="ED88" s="242"/>
      <c r="EE88" s="242"/>
      <c r="EF88" s="242"/>
      <c r="EG88" s="242"/>
      <c r="EH88" s="242"/>
      <c r="EI88" s="242"/>
      <c r="EJ88" s="242"/>
      <c r="EK88" s="242"/>
      <c r="EL88" s="242"/>
      <c r="EM88" s="242"/>
      <c r="EN88" s="242"/>
      <c r="EO88" s="242"/>
      <c r="EP88" s="242"/>
      <c r="EQ88" s="242"/>
      <c r="ER88" s="242"/>
      <c r="ES88" s="242"/>
      <c r="ET88" s="242"/>
      <c r="EU88" s="242"/>
      <c r="EV88" s="242"/>
      <c r="EW88" s="242"/>
      <c r="EX88" s="242"/>
      <c r="EY88" s="242"/>
      <c r="EZ88" s="242"/>
      <c r="FA88" s="242"/>
      <c r="FB88" s="242"/>
    </row>
    <row r="89" spans="130:158" ht="18" customHeight="1">
      <c r="DZ89" s="242"/>
      <c r="EA89" s="242"/>
      <c r="EB89" s="242"/>
      <c r="EC89" s="242"/>
      <c r="ED89" s="242"/>
      <c r="EE89" s="242"/>
      <c r="EF89" s="242"/>
      <c r="EG89" s="242"/>
      <c r="EH89" s="242"/>
      <c r="EI89" s="242"/>
      <c r="EJ89" s="242"/>
      <c r="EK89" s="242"/>
      <c r="EL89" s="242"/>
      <c r="EM89" s="242"/>
      <c r="EN89" s="242"/>
      <c r="EO89" s="242"/>
      <c r="EP89" s="242"/>
      <c r="EQ89" s="242"/>
      <c r="ER89" s="242"/>
      <c r="ES89" s="242"/>
      <c r="ET89" s="242"/>
      <c r="EU89" s="242"/>
      <c r="EV89" s="242"/>
      <c r="EW89" s="242"/>
      <c r="EX89" s="242"/>
      <c r="EY89" s="242"/>
      <c r="EZ89" s="242"/>
      <c r="FA89" s="242"/>
      <c r="FB89" s="242"/>
    </row>
    <row r="90" spans="130:158" ht="18" customHeight="1">
      <c r="DZ90" s="242"/>
      <c r="EA90" s="242"/>
      <c r="EB90" s="242"/>
      <c r="EC90" s="242"/>
      <c r="ED90" s="242"/>
      <c r="EE90" s="242"/>
      <c r="EF90" s="242"/>
      <c r="EG90" s="242"/>
      <c r="EH90" s="242"/>
      <c r="EI90" s="242"/>
      <c r="EJ90" s="242"/>
      <c r="EK90" s="242"/>
      <c r="EL90" s="242"/>
      <c r="EM90" s="242"/>
      <c r="EN90" s="242"/>
      <c r="EO90" s="242"/>
      <c r="EP90" s="242"/>
      <c r="EQ90" s="242"/>
      <c r="ER90" s="242"/>
      <c r="ES90" s="242"/>
      <c r="ET90" s="242"/>
      <c r="EU90" s="242"/>
      <c r="EV90" s="242"/>
      <c r="EW90" s="242"/>
      <c r="EX90" s="242"/>
      <c r="EY90" s="242"/>
      <c r="EZ90" s="242"/>
      <c r="FA90" s="242"/>
      <c r="FB90" s="242"/>
    </row>
    <row r="91" spans="130:158" ht="18" customHeight="1">
      <c r="DZ91" s="242"/>
      <c r="EA91" s="242"/>
      <c r="EB91" s="242"/>
      <c r="EC91" s="242"/>
      <c r="ED91" s="242"/>
      <c r="EE91" s="242"/>
      <c r="EF91" s="242"/>
      <c r="EG91" s="242"/>
      <c r="EH91" s="242"/>
      <c r="EI91" s="242"/>
      <c r="EJ91" s="242"/>
      <c r="EK91" s="242"/>
      <c r="EL91" s="242"/>
      <c r="EM91" s="242"/>
      <c r="EN91" s="242"/>
      <c r="EO91" s="242"/>
      <c r="EP91" s="242"/>
      <c r="EQ91" s="242"/>
      <c r="ER91" s="242"/>
      <c r="ES91" s="242"/>
      <c r="ET91" s="242"/>
      <c r="EU91" s="242"/>
      <c r="EV91" s="242"/>
      <c r="EW91" s="242"/>
      <c r="EX91" s="242"/>
      <c r="EY91" s="242"/>
      <c r="EZ91" s="242"/>
      <c r="FA91" s="242"/>
      <c r="FB91" s="242"/>
    </row>
    <row r="92" spans="130:158" ht="18" customHeight="1">
      <c r="DZ92" s="242"/>
      <c r="EA92" s="242"/>
      <c r="EB92" s="242"/>
      <c r="EC92" s="242"/>
      <c r="ED92" s="242"/>
      <c r="EE92" s="242"/>
      <c r="EF92" s="242"/>
      <c r="EG92" s="242"/>
      <c r="EH92" s="242"/>
      <c r="EI92" s="242"/>
      <c r="EJ92" s="242"/>
      <c r="EK92" s="242"/>
      <c r="EL92" s="242"/>
      <c r="EM92" s="242"/>
      <c r="EN92" s="242"/>
      <c r="EO92" s="242"/>
      <c r="EP92" s="242"/>
      <c r="EQ92" s="242"/>
      <c r="ER92" s="242"/>
      <c r="ES92" s="242"/>
      <c r="ET92" s="242"/>
      <c r="EU92" s="242"/>
      <c r="EV92" s="242"/>
      <c r="EW92" s="242"/>
      <c r="EX92" s="242"/>
      <c r="EY92" s="242"/>
      <c r="EZ92" s="242"/>
      <c r="FA92" s="242"/>
      <c r="FB92" s="242"/>
    </row>
    <row r="93" spans="130:158" ht="18" customHeight="1">
      <c r="DZ93" s="242"/>
      <c r="EA93" s="242"/>
      <c r="EB93" s="242"/>
      <c r="EC93" s="242"/>
      <c r="ED93" s="242"/>
      <c r="EE93" s="242"/>
      <c r="EF93" s="242"/>
      <c r="EG93" s="242"/>
      <c r="EH93" s="242"/>
      <c r="EI93" s="242"/>
      <c r="EJ93" s="242"/>
      <c r="EK93" s="242"/>
      <c r="EL93" s="242"/>
      <c r="EM93" s="242"/>
      <c r="EN93" s="242"/>
      <c r="EO93" s="242"/>
      <c r="EP93" s="242"/>
      <c r="EQ93" s="242"/>
      <c r="ER93" s="242"/>
      <c r="ES93" s="242"/>
      <c r="ET93" s="242"/>
      <c r="EU93" s="242"/>
      <c r="EV93" s="242"/>
      <c r="EW93" s="242"/>
      <c r="EX93" s="242"/>
      <c r="EY93" s="242"/>
      <c r="EZ93" s="242"/>
      <c r="FA93" s="242"/>
      <c r="FB93" s="242"/>
    </row>
    <row r="94" spans="130:158" ht="18" customHeight="1">
      <c r="DZ94" s="242"/>
      <c r="EA94" s="242"/>
      <c r="EB94" s="242"/>
      <c r="EC94" s="242"/>
      <c r="ED94" s="242"/>
      <c r="EE94" s="242"/>
      <c r="EF94" s="242"/>
      <c r="EG94" s="242"/>
      <c r="EH94" s="242"/>
      <c r="EI94" s="242"/>
      <c r="EJ94" s="242"/>
      <c r="EK94" s="242"/>
      <c r="EL94" s="242"/>
      <c r="EM94" s="242"/>
      <c r="EN94" s="242"/>
      <c r="EO94" s="242"/>
      <c r="EP94" s="242"/>
      <c r="EQ94" s="242"/>
      <c r="ER94" s="242"/>
      <c r="ES94" s="242"/>
      <c r="ET94" s="242"/>
      <c r="EU94" s="242"/>
      <c r="EV94" s="242"/>
      <c r="EW94" s="242"/>
      <c r="EX94" s="242"/>
      <c r="EY94" s="242"/>
      <c r="EZ94" s="242"/>
      <c r="FA94" s="242"/>
      <c r="FB94" s="242"/>
    </row>
    <row r="95" spans="130:158">
      <c r="DZ95" s="242"/>
      <c r="EA95" s="242"/>
      <c r="EB95" s="242"/>
      <c r="EC95" s="242"/>
      <c r="ED95" s="242"/>
      <c r="EE95" s="242"/>
      <c r="EF95" s="242"/>
      <c r="EG95" s="242"/>
      <c r="EH95" s="242"/>
      <c r="EI95" s="242"/>
      <c r="EJ95" s="242"/>
      <c r="EK95" s="242"/>
      <c r="EL95" s="242"/>
      <c r="EM95" s="242"/>
      <c r="EN95" s="242"/>
      <c r="EO95" s="242"/>
      <c r="EP95" s="242"/>
      <c r="EQ95" s="242"/>
      <c r="ER95" s="242"/>
      <c r="ES95" s="242"/>
      <c r="ET95" s="242"/>
      <c r="EU95" s="242"/>
      <c r="EV95" s="242"/>
      <c r="EW95" s="242"/>
      <c r="EX95" s="242"/>
      <c r="EY95" s="242"/>
      <c r="EZ95" s="242"/>
      <c r="FA95" s="242"/>
      <c r="FB95" s="242"/>
    </row>
    <row r="96" spans="130:158">
      <c r="DZ96" s="242"/>
      <c r="EA96" s="242"/>
      <c r="EB96" s="242"/>
      <c r="EC96" s="242"/>
      <c r="ED96" s="242"/>
      <c r="EE96" s="242"/>
      <c r="EF96" s="242"/>
      <c r="EG96" s="242"/>
      <c r="EH96" s="242"/>
      <c r="EI96" s="242"/>
      <c r="EJ96" s="242"/>
      <c r="EK96" s="242"/>
      <c r="EL96" s="242"/>
      <c r="EM96" s="242"/>
      <c r="EN96" s="242"/>
      <c r="EO96" s="242"/>
      <c r="EP96" s="242"/>
      <c r="EQ96" s="242"/>
      <c r="ER96" s="242"/>
      <c r="ES96" s="242"/>
      <c r="ET96" s="242"/>
      <c r="EU96" s="242"/>
      <c r="EV96" s="242"/>
      <c r="EW96" s="242"/>
      <c r="EX96" s="242"/>
      <c r="EY96" s="242"/>
      <c r="EZ96" s="242"/>
      <c r="FA96" s="242"/>
      <c r="FB96" s="242"/>
    </row>
    <row r="97" spans="130:158">
      <c r="DZ97" s="242"/>
      <c r="EA97" s="242"/>
      <c r="EB97" s="242"/>
      <c r="EC97" s="242"/>
      <c r="ED97" s="242"/>
      <c r="EE97" s="242"/>
      <c r="EF97" s="242"/>
      <c r="EG97" s="242"/>
      <c r="EH97" s="242"/>
      <c r="EI97" s="242"/>
      <c r="EJ97" s="242"/>
      <c r="EK97" s="242"/>
      <c r="EL97" s="242"/>
      <c r="EM97" s="242"/>
      <c r="EN97" s="242"/>
      <c r="EO97" s="242"/>
      <c r="EP97" s="242"/>
      <c r="EQ97" s="242"/>
      <c r="ER97" s="242"/>
      <c r="ES97" s="242"/>
      <c r="ET97" s="242"/>
      <c r="EU97" s="242"/>
      <c r="EV97" s="242"/>
      <c r="EW97" s="242"/>
      <c r="EX97" s="242"/>
      <c r="EY97" s="242"/>
      <c r="EZ97" s="242"/>
      <c r="FA97" s="242"/>
      <c r="FB97" s="242"/>
    </row>
    <row r="98" spans="130:158">
      <c r="DZ98" s="242"/>
      <c r="EA98" s="242"/>
      <c r="EB98" s="242"/>
      <c r="EC98" s="242"/>
      <c r="ED98" s="242"/>
      <c r="EE98" s="242"/>
      <c r="EF98" s="242"/>
      <c r="EG98" s="242"/>
      <c r="EH98" s="242"/>
      <c r="EI98" s="242"/>
      <c r="EJ98" s="242"/>
      <c r="EK98" s="242"/>
      <c r="EL98" s="242"/>
      <c r="EM98" s="242"/>
      <c r="EN98" s="242"/>
      <c r="EO98" s="242"/>
      <c r="EP98" s="242"/>
      <c r="EQ98" s="242"/>
      <c r="ER98" s="242"/>
      <c r="ES98" s="242"/>
      <c r="ET98" s="242"/>
      <c r="EU98" s="242"/>
      <c r="EV98" s="242"/>
      <c r="EW98" s="242"/>
      <c r="EX98" s="242"/>
      <c r="EY98" s="242"/>
      <c r="EZ98" s="242"/>
      <c r="FA98" s="242"/>
      <c r="FB98" s="242"/>
    </row>
    <row r="99" spans="130:158">
      <c r="DZ99" s="242"/>
      <c r="EA99" s="242"/>
      <c r="EB99" s="242"/>
      <c r="EC99" s="242"/>
      <c r="ED99" s="242"/>
      <c r="EE99" s="242"/>
      <c r="EF99" s="242"/>
      <c r="EG99" s="242"/>
      <c r="EH99" s="242"/>
      <c r="EI99" s="242"/>
      <c r="EJ99" s="242"/>
      <c r="EK99" s="242"/>
      <c r="EL99" s="242"/>
      <c r="EM99" s="242"/>
      <c r="EN99" s="242"/>
      <c r="EO99" s="242"/>
      <c r="EP99" s="242"/>
      <c r="EQ99" s="242"/>
      <c r="ER99" s="242"/>
      <c r="ES99" s="242"/>
      <c r="ET99" s="242"/>
      <c r="EU99" s="242"/>
      <c r="EV99" s="242"/>
      <c r="EW99" s="242"/>
      <c r="EX99" s="242"/>
      <c r="EY99" s="242"/>
      <c r="EZ99" s="242"/>
      <c r="FA99" s="242"/>
      <c r="FB99" s="242"/>
    </row>
    <row r="100" spans="130:158">
      <c r="DZ100" s="242"/>
      <c r="EA100" s="242"/>
      <c r="EB100" s="242"/>
      <c r="EC100" s="242"/>
      <c r="ED100" s="242"/>
      <c r="EE100" s="242"/>
      <c r="EF100" s="242"/>
      <c r="EG100" s="242"/>
      <c r="EH100" s="242"/>
      <c r="EI100" s="242"/>
      <c r="EJ100" s="242"/>
      <c r="EK100" s="242"/>
      <c r="EL100" s="242"/>
      <c r="EM100" s="242"/>
      <c r="EN100" s="242"/>
      <c r="EO100" s="242"/>
      <c r="EP100" s="242"/>
      <c r="EQ100" s="242"/>
      <c r="ER100" s="242"/>
      <c r="ES100" s="242"/>
      <c r="ET100" s="242"/>
      <c r="EU100" s="242"/>
      <c r="EV100" s="242"/>
      <c r="EW100" s="242"/>
      <c r="EX100" s="242"/>
      <c r="EY100" s="242"/>
      <c r="EZ100" s="242"/>
      <c r="FA100" s="242"/>
      <c r="FB100" s="242"/>
    </row>
    <row r="101" spans="130:158">
      <c r="DZ101" s="242"/>
      <c r="EA101" s="242"/>
      <c r="EB101" s="242"/>
      <c r="EC101" s="242"/>
      <c r="ED101" s="242"/>
      <c r="EE101" s="242"/>
      <c r="EF101" s="242"/>
      <c r="EG101" s="242"/>
      <c r="EH101" s="242"/>
      <c r="EI101" s="242"/>
      <c r="EJ101" s="242"/>
      <c r="EK101" s="242"/>
      <c r="EL101" s="242"/>
      <c r="EM101" s="242"/>
      <c r="EN101" s="242"/>
      <c r="EO101" s="242"/>
      <c r="EP101" s="242"/>
      <c r="EQ101" s="242"/>
      <c r="ER101" s="242"/>
      <c r="ES101" s="242"/>
      <c r="ET101" s="242"/>
      <c r="EU101" s="242"/>
      <c r="EV101" s="242"/>
      <c r="EW101" s="242"/>
      <c r="EX101" s="242"/>
      <c r="EY101" s="242"/>
      <c r="EZ101" s="242"/>
      <c r="FA101" s="242"/>
      <c r="FB101" s="242"/>
    </row>
    <row r="102" spans="130:158">
      <c r="DZ102" s="242"/>
      <c r="EA102" s="242"/>
      <c r="EB102" s="242"/>
      <c r="EC102" s="242"/>
      <c r="ED102" s="242"/>
      <c r="EE102" s="242"/>
      <c r="EF102" s="242"/>
      <c r="EG102" s="242"/>
      <c r="EH102" s="242"/>
      <c r="EI102" s="242"/>
      <c r="EJ102" s="242"/>
      <c r="EK102" s="242"/>
      <c r="EL102" s="242"/>
      <c r="EM102" s="242"/>
      <c r="EN102" s="242"/>
      <c r="EO102" s="242"/>
      <c r="EP102" s="242"/>
      <c r="EQ102" s="242"/>
      <c r="ER102" s="242"/>
      <c r="ES102" s="242"/>
      <c r="ET102" s="242"/>
      <c r="EU102" s="242"/>
      <c r="EV102" s="242"/>
      <c r="EW102" s="242"/>
      <c r="EX102" s="242"/>
      <c r="EY102" s="242"/>
      <c r="EZ102" s="242"/>
      <c r="FA102" s="242"/>
      <c r="FB102" s="242"/>
    </row>
    <row r="103" spans="130:158">
      <c r="DZ103" s="242"/>
      <c r="EA103" s="242"/>
      <c r="EB103" s="242"/>
      <c r="EC103" s="242"/>
      <c r="ED103" s="242"/>
      <c r="EE103" s="242"/>
      <c r="EF103" s="242"/>
      <c r="EG103" s="242"/>
      <c r="EH103" s="242"/>
      <c r="EI103" s="242"/>
      <c r="EJ103" s="242"/>
      <c r="EK103" s="242"/>
      <c r="EL103" s="242"/>
      <c r="EM103" s="242"/>
      <c r="EN103" s="242"/>
      <c r="EO103" s="242"/>
      <c r="EP103" s="242"/>
      <c r="EQ103" s="242"/>
      <c r="ER103" s="242"/>
      <c r="ES103" s="242"/>
      <c r="ET103" s="242"/>
      <c r="EU103" s="242"/>
      <c r="EV103" s="242"/>
      <c r="EW103" s="242"/>
      <c r="EX103" s="242"/>
      <c r="EY103" s="242"/>
      <c r="EZ103" s="242"/>
      <c r="FA103" s="242"/>
      <c r="FB103" s="242"/>
    </row>
    <row r="104" spans="130:158">
      <c r="DZ104" s="242"/>
      <c r="EA104" s="242"/>
      <c r="EB104" s="242"/>
      <c r="EC104" s="242"/>
      <c r="ED104" s="242"/>
      <c r="EE104" s="242"/>
      <c r="EF104" s="242"/>
      <c r="EG104" s="242"/>
      <c r="EH104" s="242"/>
      <c r="EI104" s="242"/>
      <c r="EJ104" s="242"/>
      <c r="EK104" s="242"/>
      <c r="EL104" s="242"/>
      <c r="EM104" s="242"/>
      <c r="EN104" s="242"/>
      <c r="EO104" s="242"/>
      <c r="EP104" s="242"/>
      <c r="EQ104" s="242"/>
      <c r="ER104" s="242"/>
      <c r="ES104" s="242"/>
      <c r="ET104" s="242"/>
      <c r="EU104" s="242"/>
      <c r="EV104" s="242"/>
      <c r="EW104" s="242"/>
      <c r="EX104" s="242"/>
      <c r="EY104" s="242"/>
      <c r="EZ104" s="242"/>
      <c r="FA104" s="242"/>
      <c r="FB104" s="242"/>
    </row>
    <row r="105" spans="130:158">
      <c r="DZ105" s="242"/>
      <c r="EA105" s="242"/>
      <c r="EB105" s="242"/>
      <c r="EC105" s="242"/>
      <c r="ED105" s="242"/>
      <c r="EE105" s="242"/>
      <c r="EF105" s="242"/>
      <c r="EG105" s="242"/>
      <c r="EH105" s="242"/>
      <c r="EI105" s="242"/>
      <c r="EJ105" s="242"/>
      <c r="EK105" s="242"/>
      <c r="EL105" s="242"/>
      <c r="EM105" s="242"/>
      <c r="EN105" s="242"/>
      <c r="EO105" s="242"/>
      <c r="EP105" s="242"/>
      <c r="EQ105" s="242"/>
      <c r="ER105" s="242"/>
      <c r="ES105" s="242"/>
      <c r="ET105" s="242"/>
      <c r="EU105" s="242"/>
      <c r="EV105" s="242"/>
      <c r="EW105" s="242"/>
      <c r="EX105" s="242"/>
      <c r="EY105" s="242"/>
      <c r="EZ105" s="242"/>
      <c r="FA105" s="242"/>
      <c r="FB105" s="242"/>
    </row>
  </sheetData>
  <mergeCells count="28">
    <mergeCell ref="B3:E3"/>
    <mergeCell ref="A5:C5"/>
    <mergeCell ref="B9:C11"/>
    <mergeCell ref="A15:B17"/>
    <mergeCell ref="C15:D17"/>
    <mergeCell ref="E15:E17"/>
    <mergeCell ref="F15:F17"/>
    <mergeCell ref="A6:A11"/>
    <mergeCell ref="D6:D8"/>
    <mergeCell ref="E6:E8"/>
    <mergeCell ref="D9:D11"/>
    <mergeCell ref="E9:E11"/>
    <mergeCell ref="B6:C6"/>
    <mergeCell ref="B7:C8"/>
    <mergeCell ref="A18:B20"/>
    <mergeCell ref="C18:D18"/>
    <mergeCell ref="C19:D19"/>
    <mergeCell ref="C20:D20"/>
    <mergeCell ref="A21:B21"/>
    <mergeCell ref="C21:D21"/>
    <mergeCell ref="B42:D43"/>
    <mergeCell ref="B44:D45"/>
    <mergeCell ref="A22:B22"/>
    <mergeCell ref="C22:D22"/>
    <mergeCell ref="A24:B24"/>
    <mergeCell ref="C24:F24"/>
    <mergeCell ref="A25:B25"/>
    <mergeCell ref="C25:F25"/>
  </mergeCells>
  <conditionalFormatting sqref="K13:M13 M15 M17 M19 M21">
    <cfRule type="cellIs" dxfId="131" priority="3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59" firstPageNumber="14" orientation="landscape" useFirstPageNumber="1" r:id="rId1"/>
  <headerFooter>
    <oddFooter>&amp;L&amp;P&amp;R&amp;G</oddFooter>
  </headerFooter>
  <rowBreaks count="1" manualBreakCount="1">
    <brk id="48" max="11" man="1"/>
  </row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14">
    <tabColor rgb="FF92D050"/>
  </sheetPr>
  <dimension ref="A1:FC82"/>
  <sheetViews>
    <sheetView view="pageBreakPreview" zoomScale="70" zoomScaleNormal="70" zoomScaleSheetLayoutView="70" zoomScalePageLayoutView="70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B1" sqref="B1"/>
    </sheetView>
  </sheetViews>
  <sheetFormatPr defaultColWidth="8.85546875" defaultRowHeight="15"/>
  <cols>
    <col min="1" max="1" width="4.7109375" style="21" customWidth="1"/>
    <col min="2" max="5" width="11.7109375" style="21" customWidth="1"/>
    <col min="6" max="6" width="11.7109375" style="2" customWidth="1"/>
    <col min="7" max="8" width="25.7109375" style="21" customWidth="1"/>
    <col min="9" max="9" width="25.7109375" style="589" customWidth="1"/>
    <col min="10" max="10" width="15.7109375" style="21" customWidth="1"/>
    <col min="11" max="12" width="15.7109375" style="589" customWidth="1"/>
    <col min="13" max="14" width="25.7109375" style="21" customWidth="1"/>
    <col min="15" max="15" width="20.7109375" style="21" customWidth="1"/>
    <col min="16" max="16384" width="8.85546875" style="21"/>
  </cols>
  <sheetData>
    <row r="1" spans="1:26" s="11" customFormat="1" ht="18" customHeight="1">
      <c r="B1" s="2277" t="s">
        <v>490</v>
      </c>
      <c r="C1" s="26"/>
      <c r="D1" s="26"/>
      <c r="E1" s="26"/>
      <c r="F1" s="4"/>
      <c r="G1" s="26"/>
      <c r="H1" s="26"/>
      <c r="I1" s="26"/>
      <c r="J1" s="26"/>
      <c r="K1" s="26"/>
      <c r="L1" s="26"/>
      <c r="M1" s="26"/>
      <c r="N1" s="1181"/>
      <c r="P1" s="387"/>
      <c r="Q1" s="387"/>
      <c r="R1" s="387"/>
      <c r="S1" s="387"/>
      <c r="T1" s="387"/>
      <c r="U1" s="387"/>
      <c r="V1" s="387"/>
      <c r="W1" s="387"/>
      <c r="X1" s="387"/>
      <c r="Y1" s="387"/>
      <c r="Z1" s="387"/>
    </row>
    <row r="2" spans="1:26" ht="18" customHeight="1">
      <c r="A2" s="5"/>
      <c r="B2" s="23"/>
      <c r="C2" s="23"/>
      <c r="D2" s="23"/>
      <c r="E2" s="23"/>
      <c r="F2" s="515"/>
      <c r="G2" s="15"/>
      <c r="H2" s="15"/>
      <c r="I2" s="15"/>
      <c r="J2" s="15"/>
      <c r="K2" s="15"/>
      <c r="L2" s="15"/>
      <c r="M2" s="15"/>
      <c r="N2" s="15"/>
      <c r="O2" s="242"/>
      <c r="P2" s="242"/>
      <c r="Q2" s="242"/>
      <c r="R2" s="242"/>
      <c r="S2" s="242"/>
      <c r="T2" s="242"/>
      <c r="U2" s="242"/>
      <c r="V2" s="242"/>
      <c r="W2" s="242"/>
      <c r="X2" s="242"/>
      <c r="Y2" s="242"/>
      <c r="Z2" s="242"/>
    </row>
    <row r="3" spans="1:26" ht="90" customHeight="1">
      <c r="A3" s="7"/>
      <c r="B3" s="4197" t="s">
        <v>309</v>
      </c>
      <c r="C3" s="4473"/>
      <c r="D3" s="4199"/>
      <c r="E3" s="4200"/>
      <c r="F3" s="8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</row>
    <row r="4" spans="1:26">
      <c r="A4" s="138"/>
      <c r="B4" s="19" t="s">
        <v>59</v>
      </c>
      <c r="C4" s="19"/>
      <c r="D4" s="138"/>
      <c r="E4" s="138"/>
      <c r="F4" s="6"/>
      <c r="G4" s="15"/>
      <c r="H4" s="15"/>
      <c r="I4" s="15"/>
      <c r="J4" s="15"/>
      <c r="K4" s="15"/>
      <c r="L4" s="15"/>
      <c r="M4" s="15"/>
      <c r="N4" s="15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</row>
    <row r="5" spans="1:26">
      <c r="A5" s="4220" t="s">
        <v>2</v>
      </c>
      <c r="B5" s="4221"/>
      <c r="C5" s="4222"/>
      <c r="D5" s="4201" t="s">
        <v>42</v>
      </c>
      <c r="E5" s="4201" t="s">
        <v>41</v>
      </c>
      <c r="F5" s="4201" t="s">
        <v>37</v>
      </c>
      <c r="G5" s="4292" t="s">
        <v>2447</v>
      </c>
      <c r="H5" s="4292" t="s">
        <v>2927</v>
      </c>
      <c r="I5" s="4292" t="s">
        <v>2446</v>
      </c>
      <c r="J5" s="4446" t="s">
        <v>1337</v>
      </c>
      <c r="K5" s="4497"/>
      <c r="L5" s="4498"/>
      <c r="M5" s="4292" t="s">
        <v>1333</v>
      </c>
      <c r="N5" s="4446" t="s">
        <v>1334</v>
      </c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</row>
    <row r="6" spans="1:26" s="589" customFormat="1">
      <c r="A6" s="4223"/>
      <c r="B6" s="4224"/>
      <c r="C6" s="4225"/>
      <c r="D6" s="4412"/>
      <c r="E6" s="4412"/>
      <c r="F6" s="4412"/>
      <c r="G6" s="4293"/>
      <c r="H6" s="4293"/>
      <c r="I6" s="4293"/>
      <c r="J6" s="4396"/>
      <c r="K6" s="4499"/>
      <c r="L6" s="4500"/>
      <c r="M6" s="4293"/>
      <c r="N6" s="4396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</row>
    <row r="7" spans="1:26" s="23" customFormat="1" ht="30" customHeight="1">
      <c r="A7" s="4407" t="s">
        <v>30</v>
      </c>
      <c r="B7" s="4209" t="s">
        <v>284</v>
      </c>
      <c r="C7" s="4210"/>
      <c r="D7" s="4203" t="s">
        <v>35</v>
      </c>
      <c r="E7" s="4203" t="s">
        <v>34</v>
      </c>
      <c r="F7" s="132" t="s">
        <v>0</v>
      </c>
      <c r="G7" s="1007">
        <f>CEILING('Полотна база'!O54*(1+скидки_наценки!$B$30)*скидки_наценки!$D$13*скидки_наценки!$F$13/скидки_наценки!$B$4, 50)</f>
        <v>23750</v>
      </c>
      <c r="H7" s="1007">
        <f>CEILING('Полотна база'!O54*(1+скидки_наценки!$B$30)*скидки_наценки!$D$13*скидки_наценки!$F$13/скидки_наценки!$B$4, 50)</f>
        <v>23750</v>
      </c>
      <c r="I7" s="1007">
        <f>CEILING('Полотна база'!O54*(1+скидки_наценки!$B$30)*скидки_наценки!$D$13*скидки_наценки!$F$13/скидки_наценки!$B$4, 50)</f>
        <v>23750</v>
      </c>
      <c r="J7" s="4488">
        <f>CEILING('Полотна база'!O54*(1+скидки_наценки!$B$30)*скидки_наценки!$D$13*скидки_наценки!$F$13/скидки_наценки!$B$4, 50)</f>
        <v>23750</v>
      </c>
      <c r="K7" s="4489"/>
      <c r="L7" s="4490"/>
      <c r="M7" s="1007">
        <f>CEILING('Полотна база'!O54*(1+скидки_наценки!$B$30)*скидки_наценки!$D$13*скидки_наценки!$F$13/скидки_наценки!$B$4, 50)</f>
        <v>23750</v>
      </c>
      <c r="N7" s="1007">
        <f>CEILING('Полотна база'!O54*(1+скидки_наценки!$B$30)*скидки_наценки!$D$13*скидки_наценки!$F$13/скидки_наценки!$B$4, 50)</f>
        <v>23750</v>
      </c>
      <c r="O7" s="441"/>
      <c r="P7" s="441"/>
      <c r="Q7" s="441"/>
      <c r="R7" s="441"/>
      <c r="S7" s="441"/>
      <c r="T7" s="441"/>
      <c r="U7" s="441"/>
      <c r="V7" s="441"/>
      <c r="W7" s="441"/>
      <c r="X7" s="441"/>
      <c r="Y7" s="441"/>
      <c r="Z7" s="441"/>
    </row>
    <row r="8" spans="1:26" s="305" customFormat="1" ht="15" customHeight="1">
      <c r="A8" s="4408"/>
      <c r="B8" s="4226"/>
      <c r="C8" s="4227"/>
      <c r="D8" s="4204"/>
      <c r="E8" s="4204"/>
      <c r="F8" s="2339" t="s">
        <v>306</v>
      </c>
      <c r="G8" s="2355">
        <f>IF(G7=0,0,(Погонаж!$C$13*2.5+Погонаж!$E$13*5))</f>
        <v>12375</v>
      </c>
      <c r="H8" s="2355">
        <f>IF(H7=0,0,(Погонаж!$C$13*2.5+Погонаж!$E$13*5))</f>
        <v>12375</v>
      </c>
      <c r="I8" s="2355">
        <f>IF(I7=0,0,(Погонаж!$C$13*2.5+Погонаж!$E$13*5))</f>
        <v>12375</v>
      </c>
      <c r="J8" s="4491">
        <f>IF(J7=0,0,(Погонаж!$C$13*2.5+Погонаж!$E$13*5))</f>
        <v>12375</v>
      </c>
      <c r="K8" s="4492"/>
      <c r="L8" s="4493"/>
      <c r="M8" s="2355">
        <f>IF(M7=0,0,(Погонаж!$C$13*2.5+Погонаж!$E$13*5))</f>
        <v>12375</v>
      </c>
      <c r="N8" s="2355">
        <f>M8</f>
        <v>12375</v>
      </c>
      <c r="O8" s="441"/>
      <c r="P8" s="441"/>
      <c r="Q8" s="441"/>
      <c r="R8" s="441"/>
      <c r="S8" s="441"/>
      <c r="T8" s="441"/>
      <c r="U8" s="441"/>
      <c r="V8" s="441"/>
      <c r="W8" s="441"/>
      <c r="X8" s="441"/>
      <c r="Y8" s="441"/>
      <c r="Z8" s="441"/>
    </row>
    <row r="9" spans="1:26" s="23" customFormat="1" ht="30" customHeight="1">
      <c r="A9" s="4408"/>
      <c r="B9" s="4228"/>
      <c r="C9" s="4229"/>
      <c r="D9" s="4205"/>
      <c r="E9" s="4205"/>
      <c r="F9" s="30" t="s">
        <v>1</v>
      </c>
      <c r="G9" s="2354">
        <f t="shared" ref="G9:M9" si="0">G7+G8</f>
        <v>36125</v>
      </c>
      <c r="H9" s="2354">
        <f t="shared" si="0"/>
        <v>36125</v>
      </c>
      <c r="I9" s="2354">
        <f>I7+I8</f>
        <v>36125</v>
      </c>
      <c r="J9" s="4494">
        <f t="shared" si="0"/>
        <v>36125</v>
      </c>
      <c r="K9" s="4495"/>
      <c r="L9" s="4496"/>
      <c r="M9" s="2354">
        <f t="shared" si="0"/>
        <v>36125</v>
      </c>
      <c r="N9" s="2354">
        <f>M9</f>
        <v>36125</v>
      </c>
      <c r="O9" s="599"/>
      <c r="P9" s="441"/>
      <c r="Q9" s="441"/>
      <c r="R9" s="441"/>
      <c r="S9" s="441"/>
      <c r="T9" s="441"/>
      <c r="U9" s="441"/>
      <c r="V9" s="441"/>
      <c r="W9" s="441"/>
      <c r="X9" s="441"/>
      <c r="Y9" s="441"/>
      <c r="Z9" s="441"/>
    </row>
    <row r="10" spans="1:26" s="443" customFormat="1" ht="30" customHeight="1">
      <c r="A10" s="4408"/>
      <c r="B10" s="4211" t="s">
        <v>392</v>
      </c>
      <c r="C10" s="4212"/>
      <c r="D10" s="4213" t="s">
        <v>35</v>
      </c>
      <c r="E10" s="4213" t="s">
        <v>34</v>
      </c>
      <c r="F10" s="182" t="s">
        <v>0</v>
      </c>
      <c r="G10" s="2425">
        <f>CEILING('Полотна база'!O58*(1+скидки_наценки!$B$29)*скидки_наценки!$D$13*скидки_наценки!$F$13/скидки_наценки!$B$4, 50)</f>
        <v>28600</v>
      </c>
      <c r="H10" s="2425">
        <f>CEILING('Полотна база'!O58*(1+скидки_наценки!$B$29)*скидки_наценки!$D$13*скидки_наценки!$F$13/скидки_наценки!$B$4, 50)</f>
        <v>28600</v>
      </c>
      <c r="I10" s="2425">
        <f>CEILING('Полотна база'!O58*(1+скидки_наценки!$B$29)*скидки_наценки!$D$13*скидки_наценки!$F$13/скидки_наценки!$B$4, 50)</f>
        <v>28600</v>
      </c>
      <c r="J10" s="4485">
        <f>CEILING('Полотна база'!O58*(1+скидки_наценки!$B$29)*скидки_наценки!$D$13*скидки_наценки!$F$13/скидки_наценки!$B$4, 50)</f>
        <v>28600</v>
      </c>
      <c r="K10" s="4486"/>
      <c r="L10" s="4487"/>
      <c r="M10" s="2425" t="s">
        <v>4</v>
      </c>
      <c r="N10" s="2426" t="s">
        <v>4</v>
      </c>
      <c r="O10" s="599"/>
      <c r="P10" s="596"/>
      <c r="Q10" s="596"/>
      <c r="R10" s="596"/>
      <c r="S10" s="596"/>
      <c r="T10" s="596"/>
      <c r="U10" s="596"/>
      <c r="V10" s="596"/>
      <c r="W10" s="596"/>
      <c r="X10" s="596"/>
      <c r="Y10" s="596"/>
      <c r="Z10" s="596"/>
    </row>
    <row r="11" spans="1:26" s="443" customFormat="1" ht="15" customHeight="1">
      <c r="A11" s="4408"/>
      <c r="B11" s="4216"/>
      <c r="C11" s="4217"/>
      <c r="D11" s="4214"/>
      <c r="E11" s="4214"/>
      <c r="F11" s="183" t="s">
        <v>306</v>
      </c>
      <c r="G11" s="2357">
        <f>IF(G10=0,0,(Погонаж!$C$13*2.5+Погонаж!$E$13*5))</f>
        <v>12375</v>
      </c>
      <c r="H11" s="2357">
        <f>IF(H10=0,0,(Погонаж!$C$13*2.5+Погонаж!$E$13*5))</f>
        <v>12375</v>
      </c>
      <c r="I11" s="2357">
        <f>IF(I10=0,0,(Погонаж!$C$13*2.5+Погонаж!$E$13*5))</f>
        <v>12375</v>
      </c>
      <c r="J11" s="4479">
        <f>IF(J10=0,0,(Погонаж!$C$13*2.5+Погонаж!$E$13*5))</f>
        <v>12375</v>
      </c>
      <c r="K11" s="4480"/>
      <c r="L11" s="4481"/>
      <c r="M11" s="2357" t="s">
        <v>4</v>
      </c>
      <c r="N11" s="2410" t="s">
        <v>4</v>
      </c>
      <c r="O11" s="600"/>
      <c r="P11" s="596"/>
      <c r="Q11" s="596"/>
      <c r="R11" s="596"/>
      <c r="S11" s="596"/>
      <c r="T11" s="596"/>
      <c r="U11" s="596"/>
      <c r="V11" s="596"/>
      <c r="W11" s="596"/>
      <c r="X11" s="596"/>
      <c r="Y11" s="596"/>
      <c r="Z11" s="596"/>
    </row>
    <row r="12" spans="1:26" s="443" customFormat="1" ht="30" customHeight="1">
      <c r="A12" s="4409"/>
      <c r="B12" s="4218"/>
      <c r="C12" s="4219"/>
      <c r="D12" s="4215"/>
      <c r="E12" s="4215"/>
      <c r="F12" s="267" t="s">
        <v>1</v>
      </c>
      <c r="G12" s="2351">
        <f>G10+G11</f>
        <v>40975</v>
      </c>
      <c r="H12" s="2351">
        <f>H10+H11</f>
        <v>40975</v>
      </c>
      <c r="I12" s="2351">
        <f>I10+I11</f>
        <v>40975</v>
      </c>
      <c r="J12" s="4482">
        <f>J10+J11</f>
        <v>40975</v>
      </c>
      <c r="K12" s="4483"/>
      <c r="L12" s="4484"/>
      <c r="M12" s="2358" t="s">
        <v>4</v>
      </c>
      <c r="N12" s="2427" t="s">
        <v>4</v>
      </c>
      <c r="O12" s="599"/>
      <c r="P12" s="596"/>
      <c r="Q12" s="596"/>
      <c r="R12" s="596"/>
      <c r="S12" s="596"/>
      <c r="T12" s="596"/>
      <c r="U12" s="596"/>
      <c r="V12" s="596"/>
      <c r="W12" s="596"/>
      <c r="X12" s="596"/>
      <c r="Y12" s="596"/>
      <c r="Z12" s="596"/>
    </row>
    <row r="13" spans="1:26" ht="18" customHeight="1">
      <c r="B13" s="11"/>
      <c r="C13" s="11"/>
      <c r="F13" s="25"/>
      <c r="G13" s="25"/>
      <c r="H13" s="25"/>
      <c r="I13" s="897"/>
      <c r="J13" s="25"/>
      <c r="K13" s="897"/>
      <c r="L13" s="897"/>
      <c r="M13" s="25"/>
      <c r="N13" s="25"/>
    </row>
    <row r="14" spans="1:26" ht="90" customHeight="1">
      <c r="B14" s="11"/>
      <c r="C14" s="11"/>
      <c r="F14" s="25"/>
      <c r="G14" s="25"/>
      <c r="H14" s="25"/>
      <c r="I14" s="897"/>
      <c r="J14" s="25"/>
      <c r="K14" s="897"/>
      <c r="L14" s="897"/>
      <c r="M14" s="25"/>
      <c r="N14" s="25"/>
    </row>
    <row r="15" spans="1:26">
      <c r="A15" s="23"/>
      <c r="B15" s="19" t="s">
        <v>25</v>
      </c>
      <c r="C15" s="19"/>
      <c r="D15" s="23"/>
      <c r="E15" s="23"/>
      <c r="F15" s="15"/>
      <c r="G15" s="515"/>
      <c r="H15" s="15"/>
      <c r="I15" s="15"/>
      <c r="J15" s="15"/>
      <c r="K15" s="15"/>
      <c r="L15" s="15"/>
      <c r="M15" s="25"/>
      <c r="N15" s="25"/>
    </row>
    <row r="16" spans="1:26">
      <c r="A16" s="4220" t="s">
        <v>39</v>
      </c>
      <c r="B16" s="4222"/>
      <c r="C16" s="4220" t="s">
        <v>36</v>
      </c>
      <c r="D16" s="4222"/>
      <c r="E16" s="4201" t="s">
        <v>40</v>
      </c>
      <c r="F16" s="4201" t="s">
        <v>38</v>
      </c>
      <c r="G16" s="2420" t="str">
        <f>G5</f>
        <v>Rino1 /Marko1</v>
      </c>
      <c r="H16" s="2420" t="str">
        <f t="shared" ref="H16:N16" si="1">H5</f>
        <v>Rino2/Dino2</v>
      </c>
      <c r="I16" s="2420" t="str">
        <f t="shared" si="1"/>
        <v>Dino3/Rino3/Marko3</v>
      </c>
      <c r="J16" s="2420" t="str">
        <f t="shared" si="1"/>
        <v xml:space="preserve">Rino4/Lina6 </v>
      </c>
      <c r="K16" s="2420" t="str">
        <f>J16</f>
        <v xml:space="preserve">Rino4/Lina6 </v>
      </c>
      <c r="L16" s="2420" t="str">
        <f>J16</f>
        <v xml:space="preserve">Rino4/Lina6 </v>
      </c>
      <c r="M16" s="2420" t="str">
        <f t="shared" si="1"/>
        <v>Paulo1/2</v>
      </c>
      <c r="N16" s="2420" t="str">
        <f t="shared" si="1"/>
        <v>Paulo3/4</v>
      </c>
    </row>
    <row r="17" spans="1:15" s="322" customFormat="1">
      <c r="A17" s="4477"/>
      <c r="B17" s="4478"/>
      <c r="C17" s="4477"/>
      <c r="D17" s="4478"/>
      <c r="E17" s="4472"/>
      <c r="F17" s="4472"/>
      <c r="G17" s="2421" t="s">
        <v>22</v>
      </c>
      <c r="H17" s="2421" t="s">
        <v>22</v>
      </c>
      <c r="I17" s="2421" t="s">
        <v>22</v>
      </c>
      <c r="J17" s="2421" t="s">
        <v>22</v>
      </c>
      <c r="K17" s="2421" t="s">
        <v>23</v>
      </c>
      <c r="L17" s="2421" t="s">
        <v>2041</v>
      </c>
      <c r="M17" s="2421" t="s">
        <v>22</v>
      </c>
      <c r="N17" s="2421" t="s">
        <v>22</v>
      </c>
    </row>
    <row r="18" spans="1:15" s="143" customFormat="1">
      <c r="A18" s="4223"/>
      <c r="B18" s="4225"/>
      <c r="C18" s="4223"/>
      <c r="D18" s="4225"/>
      <c r="E18" s="4202"/>
      <c r="F18" s="4202"/>
      <c r="G18" s="2422" t="s">
        <v>222</v>
      </c>
      <c r="H18" s="2422" t="s">
        <v>222</v>
      </c>
      <c r="I18" s="2422" t="s">
        <v>222</v>
      </c>
      <c r="J18" s="2422" t="s">
        <v>222</v>
      </c>
      <c r="K18" s="2422" t="s">
        <v>222</v>
      </c>
      <c r="L18" s="2422" t="s">
        <v>222</v>
      </c>
      <c r="M18" s="2422" t="s">
        <v>222</v>
      </c>
      <c r="N18" s="2422" t="s">
        <v>222</v>
      </c>
    </row>
    <row r="19" spans="1:15" s="57" customFormat="1" ht="15" customHeight="1">
      <c r="A19" s="4460" t="s">
        <v>33</v>
      </c>
      <c r="B19" s="4461"/>
      <c r="C19" s="4466" t="s">
        <v>32</v>
      </c>
      <c r="D19" s="4467"/>
      <c r="E19" s="132" t="s">
        <v>216</v>
      </c>
      <c r="F19" s="2650" t="s">
        <v>4</v>
      </c>
      <c r="G19" s="2648">
        <f>CEILING('стекло+зеркала_база'!C79*(1+скидки_наценки!$B$32)*скидки_наценки!$D$13*скидки_наценки!$F$13/скидки_наценки!$B$4, 50)</f>
        <v>1500</v>
      </c>
      <c r="H19" s="352">
        <f>CEILING('стекло+зеркала_база'!C80*(1+скидки_наценки!$B$32)*скидки_наценки!$D$13*скидки_наценки!$F$13/скидки_наценки!$B$4, 50)</f>
        <v>1000</v>
      </c>
      <c r="I19" s="352">
        <f>CEILING('стекло+зеркала_база'!C81*(1+скидки_наценки!$B$32)*скидки_наценки!$D$13*скидки_наценки!$F$13/скидки_наценки!$B$4, 50)</f>
        <v>1000</v>
      </c>
      <c r="J19" s="352">
        <f>CEILING('стекло+зеркала_база'!C81*(1+скидки_наценки!$B$32)*скидки_наценки!$D$13*скидки_наценки!$F$13/скидки_наценки!$B$4, 50)</f>
        <v>1000</v>
      </c>
      <c r="K19" s="352">
        <f>CEILING('стекло+зеркала_база'!C82*(1+скидки_наценки!$B$32)*скидки_наценки!$D$13*скидки_наценки!$F$13/скидки_наценки!$B$4, 50)</f>
        <v>700</v>
      </c>
      <c r="L19" s="352">
        <f>CEILING(J19*0.3, 50)</f>
        <v>300</v>
      </c>
      <c r="M19" s="352">
        <f>CEILING('Декоры база'!AY90*(1+скидки_наценки!$B$32)*скидки_наценки!$D$13*скидки_наценки!$F$13/скидки_наценки!$B$4, 50)</f>
        <v>800</v>
      </c>
      <c r="N19" s="352">
        <f>CEILING('Декоры база'!AZ90*(1+скидки_наценки!$B$32)*скидки_наценки!$D$13*скидки_наценки!$F$13/скидки_наценки!$B$4, 50)</f>
        <v>800</v>
      </c>
      <c r="O19" s="390"/>
    </row>
    <row r="20" spans="1:15" s="57" customFormat="1" ht="24" customHeight="1">
      <c r="A20" s="4462"/>
      <c r="B20" s="4463"/>
      <c r="C20" s="4253" t="s">
        <v>210</v>
      </c>
      <c r="D20" s="4254"/>
      <c r="E20" s="191" t="s">
        <v>217</v>
      </c>
      <c r="F20" s="2411" t="s">
        <v>4</v>
      </c>
      <c r="G20" s="2599">
        <f>'стекло+зеркала_база'!D79*скидки_наценки!$D$13*скидки_наценки!$F$13/скидки_наценки!$B$4</f>
        <v>2000</v>
      </c>
      <c r="H20" s="2598">
        <f>'стекло+зеркала_база'!D80*скидки_наценки!$D$13*скидки_наценки!$F$13/скидки_наценки!$B$4</f>
        <v>1300</v>
      </c>
      <c r="I20" s="2598">
        <f>'стекло+зеркала_база'!D81*скидки_наценки!$D$13*скидки_наценки!$F$13/скидки_наценки!$B$4</f>
        <v>1300</v>
      </c>
      <c r="J20" s="2598">
        <f>'стекло+зеркала_база'!D81*скидки_наценки!$D$13*скидки_наценки!$F$13/скидки_наценки!$B$4</f>
        <v>1300</v>
      </c>
      <c r="K20" s="2737">
        <f>'стекло+зеркала_база'!E82*скидки_наценки!$D$13*скидки_наценки!$F$13/скидки_наценки!$B$4</f>
        <v>1200</v>
      </c>
      <c r="L20" s="2598">
        <f>CEILING(J20*0.3, 50)</f>
        <v>400</v>
      </c>
      <c r="M20" s="2598">
        <f>(M19+'Декоры база'!BD91)*скидки_наценки!$D$13*скидки_наценки!$F$13/скидки_наценки!$B$4</f>
        <v>1150</v>
      </c>
      <c r="N20" s="2647">
        <f>(N19+'Декоры база'!BF91)*скидки_наценки!$D$13*скидки_наценки!$F$13/скидки_наценки!$B$4</f>
        <v>1150</v>
      </c>
      <c r="O20" s="390"/>
    </row>
    <row r="21" spans="1:15" s="57" customFormat="1" ht="24" customHeight="1">
      <c r="A21" s="4464"/>
      <c r="B21" s="4465"/>
      <c r="C21" s="4438" t="s">
        <v>211</v>
      </c>
      <c r="D21" s="4439"/>
      <c r="E21" s="150" t="s">
        <v>217</v>
      </c>
      <c r="F21" s="2651" t="s">
        <v>4</v>
      </c>
      <c r="G21" s="2649">
        <f>'стекло+зеркала_база'!E79*скидки_наценки!$D$13*скидки_наценки!$F$13/скидки_наценки!$B$4</f>
        <v>2500</v>
      </c>
      <c r="H21" s="327">
        <f>'стекло+зеркала_база'!E80*скидки_наценки!$D$13*скидки_наценки!$F$13/скидки_наценки!$B$4</f>
        <v>1700</v>
      </c>
      <c r="I21" s="327">
        <f>'стекло+зеркала_база'!E81*скидки_наценки!$D$13*скидки_наценки!$F$13/скидки_наценки!$B$4</f>
        <v>1700</v>
      </c>
      <c r="J21" s="327">
        <f>'стекло+зеркала_база'!E81*скидки_наценки!$D$13*скидки_наценки!$F$13/скидки_наценки!$B$4</f>
        <v>1700</v>
      </c>
      <c r="K21" s="327">
        <f>'стекло+зеркала_база'!F82*скидки_наценки!$D$13*скидки_наценки!$F$13/скидки_наценки!$B$4</f>
        <v>1100</v>
      </c>
      <c r="L21" s="327">
        <f>CEILING(J21*0.3, 50)</f>
        <v>550</v>
      </c>
      <c r="M21" s="327">
        <f>(M19+'Декоры база'!BD92)*скидки_наценки!$D$13*скидки_наценки!$F$13/скидки_наценки!$B$4</f>
        <v>1500</v>
      </c>
      <c r="N21" s="327">
        <f>(N19+'Декоры база'!BF92)*скидки_наценки!$D$13*скидки_наценки!$F$13/скидки_наценки!$B$4</f>
        <v>1500</v>
      </c>
      <c r="O21" s="390"/>
    </row>
    <row r="22" spans="1:15" s="57" customFormat="1" ht="39" customHeight="1">
      <c r="A22" s="4468" t="s">
        <v>235</v>
      </c>
      <c r="B22" s="4469"/>
      <c r="C22" s="4470" t="s">
        <v>2021</v>
      </c>
      <c r="D22" s="4471"/>
      <c r="E22" s="2428" t="s">
        <v>217</v>
      </c>
      <c r="F22" s="184" t="s">
        <v>4</v>
      </c>
      <c r="G22" s="372">
        <f>CEILING('стекло+зеркала_база'!F79*(1+скидки_наценки!$B$32)*скидки_наценки!$D$13*скидки_наценки!$F$13/скидки_наценки!$B$4, 50)</f>
        <v>2200</v>
      </c>
      <c r="H22" s="372">
        <f>CEILING('стекло+зеркала_база'!F80*(1+скидки_наценки!$B$32)*скидки_наценки!$D$13*скидки_наценки!$F$13/скидки_наценки!$B$4, 50)</f>
        <v>1500</v>
      </c>
      <c r="I22" s="372">
        <f>CEILING('стекло+зеркала_база'!F81*(1+скидки_наценки!$B$32)*скидки_наценки!$D$13*скидки_наценки!$F$13/скидки_наценки!$B$4, 50)</f>
        <v>1500</v>
      </c>
      <c r="J22" s="372">
        <f>CEILING('стекло+зеркала_база'!F81*(1+скидки_наценки!$B$32)*скидки_наценки!$D$13*скидки_наценки!$F$13/скидки_наценки!$B$4, 50)</f>
        <v>1500</v>
      </c>
      <c r="K22" s="372">
        <f>CEILING('стекло+зеркала_база'!G82*(1+скидки_наценки!$B$32)*скидки_наценки!$D$13*скидки_наценки!$F$13/скидки_наценки!$B$4, 50)</f>
        <v>1300</v>
      </c>
      <c r="L22" s="2408">
        <f>CEILING(J22*0.3, 50)</f>
        <v>450</v>
      </c>
      <c r="M22" s="372">
        <f>CEILING('Декоры база'!AY93*(1+скидки_наценки!$B$32)*скидки_наценки!$D$13*скидки_наценки!$F$13/скидки_наценки!$B$4, 50)</f>
        <v>4050</v>
      </c>
      <c r="N22" s="372">
        <f>CEILING('Декоры база'!AZ93*(1+скидки_наценки!$B$32)*скидки_наценки!$D$13*скидки_наценки!$F$13/скидки_наценки!$B$4, 50)</f>
        <v>4050</v>
      </c>
      <c r="O22" s="390"/>
    </row>
    <row r="23" spans="1:15" s="73" customFormat="1" ht="50.25" customHeight="1">
      <c r="A23" s="4452" t="s">
        <v>215</v>
      </c>
      <c r="B23" s="4453"/>
      <c r="C23" s="4454" t="s">
        <v>1335</v>
      </c>
      <c r="D23" s="4455"/>
      <c r="E23" s="150" t="s">
        <v>217</v>
      </c>
      <c r="F23" s="430" t="s">
        <v>1326</v>
      </c>
      <c r="G23" s="371">
        <f>CEILING('стекло+зеркала_база'!G79*(1+скидки_наценки!$B$32)*скидки_наценки!$D$13*скидки_наценки!$F$13/скидки_наценки!$B$4, 50)</f>
        <v>2600</v>
      </c>
      <c r="H23" s="371">
        <f>CEILING('стекло+зеркала_база'!G80*(1+скидки_наценки!$B$32)*скидки_наценки!$D$13*скидки_наценки!$F$13/скидки_наценки!$B$4, 50)</f>
        <v>1700</v>
      </c>
      <c r="I23" s="371">
        <f>CEILING('стекло+зеркала_база'!G81*(1+скидки_наценки!$B$32)*скидки_наценки!$D$13*скидки_наценки!$F$13/скидки_наценки!$B$4, 50)</f>
        <v>1700</v>
      </c>
      <c r="J23" s="371">
        <f>CEILING('стекло+зеркала_база'!G81*(1+скидки_наценки!$B$32)*скидки_наценки!$D$13*скидки_наценки!$F$13/скидки_наценки!$B$4, 50)</f>
        <v>1700</v>
      </c>
      <c r="K23" s="371">
        <f>CEILING('стекло+зеркала_база'!G82*(1+скидки_наценки!$B$32)*скидки_наценки!$D$13*скидки_наценки!$F$13/скидки_наценки!$B$4, 50)</f>
        <v>1300</v>
      </c>
      <c r="L23" s="1119">
        <f>CEILING(J23*0.3, 50)</f>
        <v>550</v>
      </c>
      <c r="M23" s="371">
        <f>CEILING('Декоры база'!AY95*(1+скидки_наценки!$B$32)*скидки_наценки!$D$13*скидки_наценки!$F$13/скидки_наценки!$B$4, 50)</f>
        <v>4500</v>
      </c>
      <c r="N23" s="371">
        <f>CEILING('Декоры база'!AZ95*(1+скидки_наценки!$B$32)*скидки_наценки!$D$13*скидки_наценки!$F$13/скидки_наценки!$B$4, 50)</f>
        <v>4500</v>
      </c>
      <c r="O23" s="390"/>
    </row>
    <row r="24" spans="1:15" s="68" customFormat="1" ht="15" customHeight="1">
      <c r="A24" s="1207" t="s">
        <v>218</v>
      </c>
      <c r="B24" s="1206"/>
      <c r="C24" s="1205"/>
      <c r="D24" s="1205"/>
      <c r="E24" s="1205"/>
      <c r="F24" s="1205"/>
      <c r="G24" s="1205"/>
      <c r="H24" s="1205"/>
      <c r="I24" s="1205"/>
      <c r="J24" s="1205"/>
      <c r="K24" s="1205"/>
      <c r="L24" s="1205"/>
      <c r="M24" s="1205"/>
      <c r="N24" s="1205"/>
      <c r="O24" s="390"/>
    </row>
    <row r="25" spans="1:15" s="22" customFormat="1" ht="24" customHeight="1">
      <c r="A25" s="4456" t="s">
        <v>224</v>
      </c>
      <c r="B25" s="4456"/>
      <c r="C25" s="4456" t="s">
        <v>484</v>
      </c>
      <c r="D25" s="4456"/>
      <c r="E25" s="4456"/>
      <c r="F25" s="4456"/>
      <c r="G25" s="333">
        <f>CEILING('стекло+зеркала_база'!N79*(1+скидки_наценки!$B$32)*скидки_наценки!$D$13*скидки_наценки!$F$13/скидки_наценки!$B$4, 50)</f>
        <v>700</v>
      </c>
      <c r="H25" s="333">
        <f>CEILING('стекло+зеркала_база'!N80*(1+скидки_наценки!$B$32)*скидки_наценки!$D$13*скидки_наценки!$F$13/скидки_наценки!$B$4, 50)</f>
        <v>500</v>
      </c>
      <c r="I25" s="333">
        <f>CEILING('стекло+зеркала_база'!N81*(1+скидки_наценки!$B$32)*скидки_наценки!$D$13*скидки_наценки!$F$13/скидки_наценки!$B$4, 50)</f>
        <v>500</v>
      </c>
      <c r="J25" s="333">
        <f>CEILING('стекло+зеркала_база'!N81*(1+скидки_наценки!$B$32)*скидки_наценки!$D$13*скидки_наценки!$F$13/скидки_наценки!$B$4, 50)</f>
        <v>500</v>
      </c>
      <c r="K25" s="333">
        <f>J25</f>
        <v>500</v>
      </c>
      <c r="L25" s="1043">
        <f>CEILING(J25*0.3, 50)</f>
        <v>150</v>
      </c>
      <c r="M25" s="333">
        <f>CEILING('Декоры база'!AY157*(1+скидки_наценки!$B$32)*скидки_наценки!$D$13*скидки_наценки!$F$13/скидки_наценки!$B$4, 50)</f>
        <v>1100</v>
      </c>
      <c r="N25" s="333">
        <f>CEILING('Декоры база'!AZ157*(1+скидки_наценки!$B$32)*скидки_наценки!$D$13*скидки_наценки!$F$13/скидки_наценки!$B$4, 50)</f>
        <v>1100</v>
      </c>
      <c r="O25" s="390"/>
    </row>
    <row r="26" spans="1:15" s="22" customFormat="1" ht="41.25" customHeight="1">
      <c r="A26" s="4457" t="s">
        <v>363</v>
      </c>
      <c r="B26" s="4458"/>
      <c r="C26" s="4459" t="s">
        <v>485</v>
      </c>
      <c r="D26" s="4459"/>
      <c r="E26" s="4459"/>
      <c r="F26" s="4459"/>
      <c r="G26" s="353">
        <f>CEILING('стекло+зеркала_база'!I79*(1+скидки_наценки!$B$32)*скидки_наценки!$D$13*скидки_наценки!$F$13/скидки_наценки!$B$4, 50)</f>
        <v>700</v>
      </c>
      <c r="H26" s="353">
        <f>CEILING('стекло+зеркала_база'!I80*(1+скидки_наценки!$B$32)*скидки_наценки!$D$13*скидки_наценки!$F$13/скидки_наценки!$B$4, 50)</f>
        <v>500</v>
      </c>
      <c r="I26" s="353">
        <f>CEILING('стекло+зеркала_база'!I81*(1+скидки_наценки!$B$32)*скидки_наценки!$D$13*скидки_наценки!$F$13/скидки_наценки!$B$4, 50)</f>
        <v>500</v>
      </c>
      <c r="J26" s="353">
        <f>CEILING('стекло+зеркала_база'!I81*(1+скидки_наценки!$B$32)*скидки_наценки!$D$13*скидки_наценки!$F$13/скидки_наценки!$B$4, 50)</f>
        <v>500</v>
      </c>
      <c r="K26" s="353">
        <f>J26</f>
        <v>500</v>
      </c>
      <c r="L26" s="1061">
        <f>CEILING(J26*0.3, 50)</f>
        <v>150</v>
      </c>
      <c r="M26" s="353">
        <f>CEILING('Декоры база'!AY166*(1+скидки_наценки!$B$32)*скидки_наценки!$D$13*скидки_наценки!$F$13/скидки_наценки!$B$4, 50)</f>
        <v>500</v>
      </c>
      <c r="N26" s="353">
        <f>CEILING('Декоры база'!AZ166*(1+скидки_наценки!$B$32)*скидки_наценки!$D$13*скидки_наценки!$F$13/скидки_наценки!$B$4, 50)</f>
        <v>500</v>
      </c>
      <c r="O26" s="390"/>
    </row>
    <row r="27" spans="1:15" ht="18" customHeight="1">
      <c r="A27" s="133"/>
      <c r="F27" s="21"/>
      <c r="O27" s="390"/>
    </row>
    <row r="28" spans="1:15" s="283" customFormat="1" ht="18" customHeight="1">
      <c r="G28" s="2646"/>
      <c r="I28" s="589"/>
      <c r="K28" s="589"/>
      <c r="L28" s="589"/>
      <c r="M28" s="357"/>
      <c r="O28" s="390"/>
    </row>
    <row r="29" spans="1:15" ht="15" customHeight="1">
      <c r="A29" s="23"/>
      <c r="B29" s="1"/>
      <c r="C29" s="1"/>
      <c r="D29" s="23"/>
      <c r="E29" s="23"/>
      <c r="F29" s="6"/>
      <c r="G29" s="23"/>
      <c r="H29" s="23"/>
      <c r="I29" s="2335"/>
      <c r="J29" s="207"/>
      <c r="M29" s="23"/>
      <c r="N29" s="23"/>
      <c r="O29" s="390"/>
    </row>
    <row r="30" spans="1:15" ht="18" customHeight="1">
      <c r="A30" s="23"/>
      <c r="B30" s="22"/>
      <c r="C30" s="22"/>
      <c r="D30" s="23"/>
      <c r="E30" s="23"/>
      <c r="F30" s="6"/>
      <c r="G30" s="23"/>
      <c r="H30" s="23"/>
      <c r="I30" s="2335"/>
      <c r="J30" s="23"/>
      <c r="K30" s="2335"/>
      <c r="L30" s="2335"/>
      <c r="M30" s="23"/>
      <c r="N30" s="23"/>
    </row>
    <row r="31" spans="1:15" ht="18" customHeight="1">
      <c r="A31" s="23"/>
      <c r="C31" s="49"/>
      <c r="D31" s="49"/>
      <c r="E31" s="49"/>
      <c r="F31" s="6"/>
      <c r="G31" s="23"/>
      <c r="H31" s="23"/>
      <c r="I31" s="2335"/>
      <c r="J31" s="23"/>
      <c r="K31" s="2335"/>
      <c r="L31" s="2335"/>
      <c r="M31" s="23"/>
      <c r="N31" s="23"/>
    </row>
    <row r="32" spans="1:15" ht="18" customHeight="1">
      <c r="A32" s="23"/>
      <c r="B32" s="49"/>
      <c r="C32" s="49"/>
      <c r="D32" s="49"/>
      <c r="E32" s="49"/>
      <c r="F32" s="6"/>
      <c r="G32" s="23"/>
      <c r="H32" s="23"/>
      <c r="I32" s="2335"/>
      <c r="J32" s="23"/>
      <c r="K32" s="2335"/>
      <c r="L32" s="2335"/>
      <c r="M32" s="23"/>
      <c r="N32" s="23"/>
    </row>
    <row r="33" spans="1:159" ht="18" customHeight="1">
      <c r="A33" s="23"/>
      <c r="B33" s="49"/>
      <c r="C33" s="49"/>
      <c r="D33" s="49"/>
      <c r="E33" s="49"/>
      <c r="F33" s="6"/>
      <c r="G33" s="23"/>
      <c r="H33" s="23"/>
      <c r="I33" s="2335"/>
      <c r="J33" s="23"/>
      <c r="K33" s="2335"/>
      <c r="L33" s="2335"/>
      <c r="M33" s="23"/>
      <c r="N33" s="23"/>
    </row>
    <row r="34" spans="1:159" ht="18" customHeight="1">
      <c r="A34" s="23"/>
      <c r="B34" s="49"/>
      <c r="C34" s="49"/>
      <c r="D34" s="49"/>
      <c r="E34" s="49"/>
      <c r="F34" s="6"/>
      <c r="G34" s="23"/>
      <c r="H34" s="23"/>
      <c r="I34" s="2335"/>
      <c r="J34" s="23"/>
      <c r="K34" s="2335"/>
      <c r="L34" s="2335"/>
      <c r="M34" s="23"/>
      <c r="N34" s="23"/>
    </row>
    <row r="35" spans="1:159" ht="18" customHeight="1">
      <c r="A35" s="23"/>
      <c r="B35" s="22"/>
      <c r="C35" s="22"/>
      <c r="D35" s="23"/>
      <c r="E35" s="23"/>
      <c r="F35" s="6"/>
      <c r="G35" s="23"/>
      <c r="H35" s="23"/>
      <c r="I35" s="2335"/>
      <c r="J35" s="23"/>
      <c r="K35" s="2335"/>
      <c r="L35" s="2335"/>
      <c r="M35" s="23"/>
      <c r="N35" s="23"/>
    </row>
    <row r="36" spans="1:159" ht="18" customHeight="1">
      <c r="A36" s="23"/>
      <c r="B36" s="22"/>
      <c r="C36" s="22"/>
      <c r="D36" s="23"/>
      <c r="E36" s="23"/>
      <c r="F36" s="6"/>
      <c r="G36" s="23"/>
      <c r="H36" s="23"/>
      <c r="I36" s="2335"/>
      <c r="J36" s="23"/>
      <c r="K36" s="2335"/>
      <c r="L36" s="2335"/>
      <c r="M36" s="23"/>
      <c r="N36" s="23"/>
    </row>
    <row r="37" spans="1:159" ht="18" customHeight="1">
      <c r="EA37" s="242"/>
      <c r="EB37" s="242"/>
      <c r="EC37" s="242"/>
      <c r="ED37" s="242"/>
      <c r="EE37" s="242"/>
      <c r="EF37" s="242"/>
      <c r="EG37" s="242"/>
      <c r="EH37" s="242"/>
      <c r="EI37" s="242"/>
      <c r="EJ37" s="242"/>
      <c r="EK37" s="242"/>
      <c r="EL37" s="242"/>
      <c r="EM37" s="242"/>
      <c r="EN37" s="242"/>
      <c r="EO37" s="242"/>
      <c r="EP37" s="242"/>
      <c r="EQ37" s="242"/>
      <c r="ER37" s="242"/>
      <c r="ES37" s="242"/>
      <c r="ET37" s="242"/>
      <c r="EU37" s="242"/>
      <c r="EV37" s="242"/>
      <c r="EW37" s="242"/>
      <c r="EX37" s="242"/>
      <c r="EY37" s="242"/>
      <c r="EZ37" s="242"/>
      <c r="FA37" s="242"/>
      <c r="FB37" s="242"/>
      <c r="FC37" s="242"/>
    </row>
    <row r="38" spans="1:159" ht="18" customHeight="1">
      <c r="EA38" s="242"/>
      <c r="EB38" s="242"/>
      <c r="EC38" s="242"/>
      <c r="ED38" s="242"/>
      <c r="EE38" s="242"/>
      <c r="EF38" s="242"/>
      <c r="EG38" s="242"/>
      <c r="EH38" s="242"/>
      <c r="EI38" s="242"/>
      <c r="EJ38" s="242"/>
      <c r="EK38" s="242"/>
      <c r="EL38" s="242"/>
      <c r="EM38" s="242"/>
      <c r="EN38" s="242"/>
      <c r="EO38" s="242"/>
      <c r="EP38" s="242"/>
      <c r="EQ38" s="242"/>
      <c r="ER38" s="242"/>
      <c r="ES38" s="242"/>
      <c r="ET38" s="242"/>
      <c r="EU38" s="242"/>
      <c r="EV38" s="242"/>
      <c r="EW38" s="242"/>
      <c r="EX38" s="242"/>
      <c r="EY38" s="242"/>
      <c r="EZ38" s="242"/>
      <c r="FA38" s="242"/>
      <c r="FB38" s="242"/>
      <c r="FC38" s="242"/>
    </row>
    <row r="39" spans="1:159" ht="18" customHeight="1">
      <c r="EA39" s="242"/>
      <c r="EB39" s="242"/>
      <c r="EC39" s="242"/>
      <c r="ED39" s="242"/>
      <c r="EE39" s="242"/>
      <c r="EF39" s="242"/>
      <c r="EG39" s="242"/>
      <c r="EH39" s="242"/>
      <c r="EI39" s="242"/>
      <c r="EJ39" s="242"/>
      <c r="EK39" s="242"/>
      <c r="EL39" s="242"/>
      <c r="EM39" s="242"/>
      <c r="EN39" s="242"/>
      <c r="EO39" s="242"/>
      <c r="EP39" s="242"/>
      <c r="EQ39" s="242"/>
      <c r="ER39" s="242"/>
      <c r="ES39" s="242"/>
      <c r="ET39" s="242"/>
      <c r="EU39" s="242"/>
      <c r="EV39" s="242"/>
      <c r="EW39" s="242"/>
      <c r="EX39" s="242"/>
      <c r="EY39" s="242"/>
      <c r="EZ39" s="242"/>
      <c r="FA39" s="242"/>
      <c r="FB39" s="242"/>
      <c r="FC39" s="242"/>
    </row>
    <row r="40" spans="1:159" ht="18" customHeight="1">
      <c r="EA40" s="242"/>
      <c r="EB40" s="242"/>
      <c r="EC40" s="242"/>
      <c r="ED40" s="242"/>
      <c r="EE40" s="242"/>
      <c r="EF40" s="242"/>
      <c r="EG40" s="242"/>
      <c r="EH40" s="242"/>
      <c r="EI40" s="242"/>
      <c r="EJ40" s="242"/>
      <c r="EK40" s="242"/>
      <c r="EL40" s="242"/>
      <c r="EM40" s="242"/>
      <c r="EN40" s="242"/>
      <c r="EO40" s="242"/>
      <c r="EP40" s="242"/>
      <c r="EQ40" s="242"/>
      <c r="ER40" s="242"/>
      <c r="ES40" s="242"/>
      <c r="ET40" s="242"/>
      <c r="EU40" s="242"/>
      <c r="EV40" s="242"/>
      <c r="EW40" s="242"/>
      <c r="EX40" s="242"/>
      <c r="EY40" s="242"/>
      <c r="EZ40" s="242"/>
      <c r="FA40" s="242"/>
      <c r="FB40" s="242"/>
      <c r="FC40" s="242"/>
    </row>
    <row r="41" spans="1:159" ht="18" customHeight="1">
      <c r="EA41" s="242"/>
      <c r="EB41" s="242"/>
      <c r="EC41" s="242"/>
      <c r="ED41" s="242"/>
      <c r="EE41" s="242"/>
      <c r="EF41" s="242"/>
      <c r="EG41" s="242"/>
      <c r="EH41" s="242"/>
      <c r="EI41" s="242"/>
      <c r="EJ41" s="242"/>
      <c r="EK41" s="242"/>
      <c r="EL41" s="242"/>
      <c r="EM41" s="242"/>
      <c r="EN41" s="242"/>
      <c r="EO41" s="242"/>
      <c r="EP41" s="242"/>
      <c r="EQ41" s="242"/>
      <c r="ER41" s="242"/>
      <c r="ES41" s="242"/>
      <c r="ET41" s="242"/>
      <c r="EU41" s="242"/>
      <c r="EV41" s="242"/>
      <c r="EW41" s="242"/>
      <c r="EX41" s="242"/>
      <c r="EY41" s="242"/>
      <c r="EZ41" s="242"/>
      <c r="FA41" s="242"/>
      <c r="FB41" s="242"/>
      <c r="FC41" s="242"/>
    </row>
    <row r="42" spans="1:159" ht="18" customHeight="1">
      <c r="EA42" s="242"/>
      <c r="EB42" s="242"/>
      <c r="EC42" s="242"/>
      <c r="ED42" s="242"/>
      <c r="EE42" s="242"/>
      <c r="EF42" s="242"/>
      <c r="EG42" s="242"/>
      <c r="EH42" s="242"/>
      <c r="EI42" s="242"/>
      <c r="EJ42" s="242"/>
      <c r="EK42" s="242"/>
      <c r="EL42" s="242"/>
      <c r="EM42" s="242"/>
      <c r="EN42" s="242"/>
      <c r="EO42" s="242"/>
      <c r="EP42" s="242"/>
      <c r="EQ42" s="242"/>
      <c r="ER42" s="242"/>
      <c r="ES42" s="242"/>
      <c r="ET42" s="242"/>
      <c r="EU42" s="242"/>
      <c r="EV42" s="242"/>
      <c r="EW42" s="242"/>
      <c r="EX42" s="242"/>
      <c r="EY42" s="242"/>
      <c r="EZ42" s="242"/>
      <c r="FA42" s="242"/>
      <c r="FB42" s="242"/>
      <c r="FC42" s="242"/>
    </row>
    <row r="43" spans="1:159" ht="18" customHeight="1">
      <c r="EA43" s="242"/>
      <c r="EB43" s="242"/>
      <c r="EC43" s="242"/>
      <c r="ED43" s="242"/>
      <c r="EE43" s="242"/>
      <c r="EF43" s="242"/>
      <c r="EG43" s="242"/>
      <c r="EH43" s="242"/>
      <c r="EI43" s="242"/>
      <c r="EJ43" s="242"/>
      <c r="EK43" s="242"/>
      <c r="EL43" s="242"/>
      <c r="EM43" s="242"/>
      <c r="EN43" s="242"/>
      <c r="EO43" s="242"/>
      <c r="EP43" s="242"/>
      <c r="EQ43" s="242"/>
      <c r="ER43" s="242"/>
      <c r="ES43" s="242"/>
      <c r="ET43" s="242"/>
      <c r="EU43" s="242"/>
      <c r="EV43" s="242"/>
      <c r="EW43" s="242"/>
      <c r="EX43" s="242"/>
      <c r="EY43" s="242"/>
      <c r="EZ43" s="242"/>
      <c r="FA43" s="242"/>
      <c r="FB43" s="242"/>
      <c r="FC43" s="242"/>
    </row>
    <row r="44" spans="1:159" ht="18" customHeight="1">
      <c r="EA44" s="242"/>
      <c r="EB44" s="242"/>
      <c r="EC44" s="242"/>
      <c r="ED44" s="242"/>
      <c r="EE44" s="242"/>
      <c r="EF44" s="242"/>
      <c r="EG44" s="242"/>
      <c r="EH44" s="242"/>
      <c r="EI44" s="242"/>
      <c r="EJ44" s="242"/>
      <c r="EK44" s="242"/>
      <c r="EL44" s="242"/>
      <c r="EM44" s="242"/>
      <c r="EN44" s="242"/>
      <c r="EO44" s="242"/>
      <c r="EP44" s="242"/>
      <c r="EQ44" s="242"/>
      <c r="ER44" s="242"/>
      <c r="ES44" s="242"/>
      <c r="ET44" s="242"/>
      <c r="EU44" s="242"/>
      <c r="EV44" s="242"/>
      <c r="EW44" s="242"/>
      <c r="EX44" s="242"/>
      <c r="EY44" s="242"/>
      <c r="EZ44" s="242"/>
      <c r="FA44" s="242"/>
      <c r="FB44" s="242"/>
      <c r="FC44" s="242"/>
    </row>
    <row r="45" spans="1:159" ht="18" customHeight="1">
      <c r="EA45" s="242"/>
      <c r="EB45" s="242"/>
      <c r="EC45" s="242"/>
      <c r="ED45" s="242"/>
      <c r="EE45" s="242"/>
      <c r="EF45" s="242"/>
      <c r="EG45" s="242"/>
      <c r="EH45" s="242"/>
      <c r="EI45" s="242"/>
      <c r="EJ45" s="242"/>
      <c r="EK45" s="242"/>
      <c r="EL45" s="242"/>
      <c r="EM45" s="242"/>
      <c r="EN45" s="242"/>
      <c r="EO45" s="242"/>
      <c r="EP45" s="242"/>
      <c r="EQ45" s="242"/>
      <c r="ER45" s="242"/>
      <c r="ES45" s="242"/>
      <c r="ET45" s="242"/>
      <c r="EU45" s="242"/>
      <c r="EV45" s="242"/>
      <c r="EW45" s="242"/>
      <c r="EX45" s="242"/>
      <c r="EY45" s="242"/>
      <c r="EZ45" s="242"/>
      <c r="FA45" s="242"/>
      <c r="FB45" s="242"/>
      <c r="FC45" s="242"/>
    </row>
    <row r="46" spans="1:159" ht="18" customHeight="1">
      <c r="EA46" s="242"/>
      <c r="EB46" s="242"/>
      <c r="EC46" s="242"/>
      <c r="ED46" s="242"/>
      <c r="EE46" s="242"/>
      <c r="EF46" s="242"/>
      <c r="EG46" s="242"/>
      <c r="EH46" s="242"/>
      <c r="EI46" s="242"/>
      <c r="EJ46" s="242"/>
      <c r="EK46" s="242"/>
      <c r="EL46" s="242"/>
      <c r="EM46" s="242"/>
      <c r="EN46" s="242"/>
      <c r="EO46" s="242"/>
      <c r="EP46" s="242"/>
      <c r="EQ46" s="242"/>
      <c r="ER46" s="242"/>
      <c r="ES46" s="242"/>
      <c r="ET46" s="242"/>
      <c r="EU46" s="242"/>
      <c r="EV46" s="242"/>
      <c r="EW46" s="242"/>
      <c r="EX46" s="242"/>
      <c r="EY46" s="242"/>
      <c r="EZ46" s="242"/>
      <c r="FA46" s="242"/>
      <c r="FB46" s="242"/>
      <c r="FC46" s="242"/>
    </row>
    <row r="47" spans="1:159" ht="18" customHeight="1">
      <c r="EA47" s="242"/>
      <c r="EB47" s="242"/>
      <c r="EC47" s="242"/>
      <c r="ED47" s="242"/>
      <c r="EE47" s="242"/>
      <c r="EF47" s="242"/>
      <c r="EG47" s="242"/>
      <c r="EH47" s="242"/>
      <c r="EI47" s="242"/>
      <c r="EJ47" s="242"/>
      <c r="EK47" s="242"/>
      <c r="EL47" s="242"/>
      <c r="EM47" s="242"/>
      <c r="EN47" s="242"/>
      <c r="EO47" s="242"/>
      <c r="EP47" s="242"/>
      <c r="EQ47" s="242"/>
      <c r="ER47" s="242"/>
      <c r="ES47" s="242"/>
      <c r="ET47" s="242"/>
      <c r="EU47" s="242"/>
      <c r="EV47" s="242"/>
      <c r="EW47" s="242"/>
      <c r="EX47" s="242"/>
      <c r="EY47" s="242"/>
      <c r="EZ47" s="242"/>
      <c r="FA47" s="242"/>
      <c r="FB47" s="242"/>
      <c r="FC47" s="242"/>
    </row>
    <row r="48" spans="1:159" ht="18" customHeight="1">
      <c r="EA48" s="242"/>
      <c r="EB48" s="242"/>
      <c r="EC48" s="242"/>
      <c r="ED48" s="242"/>
      <c r="EE48" s="242"/>
      <c r="EF48" s="242"/>
      <c r="EG48" s="242"/>
      <c r="EH48" s="242"/>
      <c r="EI48" s="242"/>
      <c r="EJ48" s="242"/>
      <c r="EK48" s="242"/>
      <c r="EL48" s="242"/>
      <c r="EM48" s="242"/>
      <c r="EN48" s="242"/>
      <c r="EO48" s="242"/>
      <c r="EP48" s="242"/>
      <c r="EQ48" s="242"/>
      <c r="ER48" s="242"/>
      <c r="ES48" s="242"/>
      <c r="ET48" s="242"/>
      <c r="EU48" s="242"/>
      <c r="EV48" s="242"/>
      <c r="EW48" s="242"/>
      <c r="EX48" s="242"/>
      <c r="EY48" s="242"/>
      <c r="EZ48" s="242"/>
      <c r="FA48" s="242"/>
      <c r="FB48" s="242"/>
      <c r="FC48" s="242"/>
    </row>
    <row r="49" spans="131:159" ht="18" customHeight="1">
      <c r="EA49" s="242"/>
      <c r="EB49" s="242"/>
      <c r="EC49" s="242"/>
      <c r="ED49" s="242"/>
      <c r="EE49" s="242"/>
      <c r="EF49" s="242"/>
      <c r="EG49" s="242"/>
      <c r="EH49" s="242"/>
      <c r="EI49" s="242"/>
      <c r="EJ49" s="242"/>
      <c r="EK49" s="242"/>
      <c r="EL49" s="242"/>
      <c r="EM49" s="242"/>
      <c r="EN49" s="242"/>
      <c r="EO49" s="242"/>
      <c r="EP49" s="242"/>
      <c r="EQ49" s="242"/>
      <c r="ER49" s="242"/>
      <c r="ES49" s="242"/>
      <c r="ET49" s="242"/>
      <c r="EU49" s="242"/>
      <c r="EV49" s="242"/>
      <c r="EW49" s="242"/>
      <c r="EX49" s="242"/>
      <c r="EY49" s="242"/>
      <c r="EZ49" s="242"/>
      <c r="FA49" s="242"/>
      <c r="FB49" s="242"/>
      <c r="FC49" s="242"/>
    </row>
    <row r="50" spans="131:159" ht="18" customHeight="1">
      <c r="EA50" s="242"/>
      <c r="EB50" s="242"/>
      <c r="EC50" s="242"/>
      <c r="ED50" s="242"/>
      <c r="EE50" s="242"/>
      <c r="EF50" s="242"/>
      <c r="EG50" s="242"/>
      <c r="EH50" s="242"/>
      <c r="EI50" s="242"/>
      <c r="EJ50" s="242"/>
      <c r="EK50" s="242"/>
      <c r="EL50" s="242"/>
      <c r="EM50" s="242"/>
      <c r="EN50" s="242"/>
      <c r="EO50" s="242"/>
      <c r="EP50" s="242"/>
      <c r="EQ50" s="242"/>
      <c r="ER50" s="242"/>
      <c r="ES50" s="242"/>
      <c r="ET50" s="242"/>
      <c r="EU50" s="242"/>
      <c r="EV50" s="242"/>
      <c r="EW50" s="242"/>
      <c r="EX50" s="242"/>
      <c r="EY50" s="242"/>
      <c r="EZ50" s="242"/>
      <c r="FA50" s="242"/>
      <c r="FB50" s="242"/>
      <c r="FC50" s="242"/>
    </row>
    <row r="51" spans="131:159" ht="18" customHeight="1">
      <c r="EA51" s="242"/>
      <c r="EB51" s="242"/>
      <c r="EC51" s="242"/>
      <c r="ED51" s="242"/>
      <c r="EE51" s="242"/>
      <c r="EF51" s="242"/>
      <c r="EG51" s="242"/>
      <c r="EH51" s="242"/>
      <c r="EI51" s="242"/>
      <c r="EJ51" s="242"/>
      <c r="EK51" s="242"/>
      <c r="EL51" s="242"/>
      <c r="EM51" s="242"/>
      <c r="EN51" s="242"/>
      <c r="EO51" s="242"/>
      <c r="EP51" s="242"/>
      <c r="EQ51" s="242"/>
      <c r="ER51" s="242"/>
      <c r="ES51" s="242"/>
      <c r="ET51" s="242"/>
      <c r="EU51" s="242"/>
      <c r="EV51" s="242"/>
      <c r="EW51" s="242"/>
      <c r="EX51" s="242"/>
      <c r="EY51" s="242"/>
      <c r="EZ51" s="242"/>
      <c r="FA51" s="242"/>
      <c r="FB51" s="242"/>
      <c r="FC51" s="242"/>
    </row>
    <row r="52" spans="131:159" ht="18" customHeight="1">
      <c r="EA52" s="242"/>
      <c r="EB52" s="242"/>
      <c r="EC52" s="242"/>
      <c r="ED52" s="242"/>
      <c r="EE52" s="242"/>
      <c r="EF52" s="242"/>
      <c r="EG52" s="242"/>
      <c r="EH52" s="242"/>
      <c r="EI52" s="242"/>
      <c r="EJ52" s="242"/>
      <c r="EK52" s="242"/>
      <c r="EL52" s="242"/>
      <c r="EM52" s="242"/>
      <c r="EN52" s="242"/>
      <c r="EO52" s="242"/>
      <c r="EP52" s="242"/>
      <c r="EQ52" s="242"/>
      <c r="ER52" s="242"/>
      <c r="ES52" s="242"/>
      <c r="ET52" s="242"/>
      <c r="EU52" s="242"/>
      <c r="EV52" s="242"/>
      <c r="EW52" s="242"/>
      <c r="EX52" s="242"/>
      <c r="EY52" s="242"/>
      <c r="EZ52" s="242"/>
      <c r="FA52" s="242"/>
      <c r="FB52" s="242"/>
      <c r="FC52" s="242"/>
    </row>
    <row r="53" spans="131:159" ht="18" customHeight="1">
      <c r="EA53" s="242"/>
      <c r="EB53" s="242"/>
      <c r="EC53" s="242"/>
      <c r="ED53" s="242"/>
      <c r="EE53" s="242"/>
      <c r="EF53" s="242"/>
      <c r="EG53" s="242"/>
      <c r="EH53" s="242"/>
      <c r="EI53" s="242"/>
      <c r="EJ53" s="242"/>
      <c r="EK53" s="242"/>
      <c r="EL53" s="242"/>
      <c r="EM53" s="242"/>
      <c r="EN53" s="242"/>
      <c r="EO53" s="242"/>
      <c r="EP53" s="242"/>
      <c r="EQ53" s="242"/>
      <c r="ER53" s="242"/>
      <c r="ES53" s="242"/>
      <c r="ET53" s="242"/>
      <c r="EU53" s="242"/>
      <c r="EV53" s="242"/>
      <c r="EW53" s="242"/>
      <c r="EX53" s="242"/>
      <c r="EY53" s="242"/>
      <c r="EZ53" s="242"/>
      <c r="FA53" s="242"/>
      <c r="FB53" s="242"/>
      <c r="FC53" s="242"/>
    </row>
    <row r="54" spans="131:159" ht="18" customHeight="1">
      <c r="EA54" s="242"/>
      <c r="EB54" s="242"/>
      <c r="EC54" s="242"/>
      <c r="ED54" s="242"/>
      <c r="EE54" s="242"/>
      <c r="EF54" s="242"/>
      <c r="EG54" s="242"/>
      <c r="EH54" s="242"/>
      <c r="EI54" s="242"/>
      <c r="EJ54" s="242"/>
      <c r="EK54" s="242"/>
      <c r="EL54" s="242"/>
      <c r="EM54" s="242"/>
      <c r="EN54" s="242"/>
      <c r="EO54" s="242"/>
      <c r="EP54" s="242"/>
      <c r="EQ54" s="242"/>
      <c r="ER54" s="242"/>
      <c r="ES54" s="242"/>
      <c r="ET54" s="242"/>
      <c r="EU54" s="242"/>
      <c r="EV54" s="242"/>
      <c r="EW54" s="242"/>
      <c r="EX54" s="242"/>
      <c r="EY54" s="242"/>
      <c r="EZ54" s="242"/>
      <c r="FA54" s="242"/>
      <c r="FB54" s="242"/>
      <c r="FC54" s="242"/>
    </row>
    <row r="55" spans="131:159" ht="18" customHeight="1">
      <c r="EA55" s="242"/>
      <c r="EB55" s="242"/>
      <c r="EC55" s="242"/>
      <c r="ED55" s="242"/>
      <c r="EE55" s="242"/>
      <c r="EF55" s="242"/>
      <c r="EG55" s="242"/>
      <c r="EH55" s="242"/>
      <c r="EI55" s="242"/>
      <c r="EJ55" s="242"/>
      <c r="EK55" s="242"/>
      <c r="EL55" s="242"/>
      <c r="EM55" s="242"/>
      <c r="EN55" s="242"/>
      <c r="EO55" s="242"/>
      <c r="EP55" s="242"/>
      <c r="EQ55" s="242"/>
      <c r="ER55" s="242"/>
      <c r="ES55" s="242"/>
      <c r="ET55" s="242"/>
      <c r="EU55" s="242"/>
      <c r="EV55" s="242"/>
      <c r="EW55" s="242"/>
      <c r="EX55" s="242"/>
      <c r="EY55" s="242"/>
      <c r="EZ55" s="242"/>
      <c r="FA55" s="242"/>
      <c r="FB55" s="242"/>
      <c r="FC55" s="242"/>
    </row>
    <row r="56" spans="131:159" ht="18" customHeight="1">
      <c r="EA56" s="242"/>
      <c r="EB56" s="242"/>
      <c r="EC56" s="242"/>
      <c r="ED56" s="242"/>
      <c r="EE56" s="242"/>
      <c r="EF56" s="242"/>
      <c r="EG56" s="242"/>
      <c r="EH56" s="242"/>
      <c r="EI56" s="242"/>
      <c r="EJ56" s="242"/>
      <c r="EK56" s="242"/>
      <c r="EL56" s="242"/>
      <c r="EM56" s="242"/>
      <c r="EN56" s="242"/>
      <c r="EO56" s="242"/>
      <c r="EP56" s="242"/>
      <c r="EQ56" s="242"/>
      <c r="ER56" s="242"/>
      <c r="ES56" s="242"/>
      <c r="ET56" s="242"/>
      <c r="EU56" s="242"/>
      <c r="EV56" s="242"/>
      <c r="EW56" s="242"/>
      <c r="EX56" s="242"/>
      <c r="EY56" s="242"/>
      <c r="EZ56" s="242"/>
      <c r="FA56" s="242"/>
      <c r="FB56" s="242"/>
      <c r="FC56" s="242"/>
    </row>
    <row r="57" spans="131:159" ht="18" customHeight="1">
      <c r="EA57" s="242"/>
      <c r="EB57" s="242"/>
      <c r="EC57" s="242"/>
      <c r="ED57" s="242"/>
      <c r="EE57" s="242"/>
      <c r="EF57" s="242"/>
      <c r="EG57" s="242"/>
      <c r="EH57" s="242"/>
      <c r="EI57" s="242"/>
      <c r="EJ57" s="242"/>
      <c r="EK57" s="242"/>
      <c r="EL57" s="242"/>
      <c r="EM57" s="242"/>
      <c r="EN57" s="242"/>
      <c r="EO57" s="242"/>
      <c r="EP57" s="242"/>
      <c r="EQ57" s="242"/>
      <c r="ER57" s="242"/>
      <c r="ES57" s="242"/>
      <c r="ET57" s="242"/>
      <c r="EU57" s="242"/>
      <c r="EV57" s="242"/>
      <c r="EW57" s="242"/>
      <c r="EX57" s="242"/>
      <c r="EY57" s="242"/>
      <c r="EZ57" s="242"/>
      <c r="FA57" s="242"/>
      <c r="FB57" s="242"/>
      <c r="FC57" s="242"/>
    </row>
    <row r="58" spans="131:159" ht="18" customHeight="1">
      <c r="EA58" s="242"/>
      <c r="EB58" s="242"/>
      <c r="EC58" s="242"/>
      <c r="ED58" s="242"/>
      <c r="EE58" s="242"/>
      <c r="EF58" s="242"/>
      <c r="EG58" s="242"/>
      <c r="EH58" s="242"/>
      <c r="EI58" s="242"/>
      <c r="EJ58" s="242"/>
      <c r="EK58" s="242"/>
      <c r="EL58" s="242"/>
      <c r="EM58" s="242"/>
      <c r="EN58" s="242"/>
      <c r="EO58" s="242"/>
      <c r="EP58" s="242"/>
      <c r="EQ58" s="242"/>
      <c r="ER58" s="242"/>
      <c r="ES58" s="242"/>
      <c r="ET58" s="242"/>
      <c r="EU58" s="242"/>
      <c r="EV58" s="242"/>
      <c r="EW58" s="242"/>
      <c r="EX58" s="242"/>
      <c r="EY58" s="242"/>
      <c r="EZ58" s="242"/>
      <c r="FA58" s="242"/>
      <c r="FB58" s="242"/>
      <c r="FC58" s="242"/>
    </row>
    <row r="59" spans="131:159" ht="18" customHeight="1">
      <c r="EA59" s="242"/>
      <c r="EB59" s="242"/>
      <c r="EC59" s="242"/>
      <c r="ED59" s="242"/>
      <c r="EE59" s="242"/>
      <c r="EF59" s="242"/>
      <c r="EG59" s="242"/>
      <c r="EH59" s="242"/>
      <c r="EI59" s="242"/>
      <c r="EJ59" s="242"/>
      <c r="EK59" s="242"/>
      <c r="EL59" s="242"/>
      <c r="EM59" s="242"/>
      <c r="EN59" s="242"/>
      <c r="EO59" s="242"/>
      <c r="EP59" s="242"/>
      <c r="EQ59" s="242"/>
      <c r="ER59" s="242"/>
      <c r="ES59" s="242"/>
      <c r="ET59" s="242"/>
      <c r="EU59" s="242"/>
      <c r="EV59" s="242"/>
      <c r="EW59" s="242"/>
      <c r="EX59" s="242"/>
      <c r="EY59" s="242"/>
      <c r="EZ59" s="242"/>
      <c r="FA59" s="242"/>
      <c r="FB59" s="242"/>
      <c r="FC59" s="242"/>
    </row>
    <row r="60" spans="131:159" ht="18" customHeight="1">
      <c r="EA60" s="242"/>
      <c r="EB60" s="242"/>
      <c r="EC60" s="242"/>
      <c r="ED60" s="242"/>
      <c r="EE60" s="242"/>
      <c r="EF60" s="242"/>
      <c r="EG60" s="242"/>
      <c r="EH60" s="242"/>
      <c r="EI60" s="242"/>
      <c r="EJ60" s="242"/>
      <c r="EK60" s="242"/>
      <c r="EL60" s="242"/>
      <c r="EM60" s="242"/>
      <c r="EN60" s="242"/>
      <c r="EO60" s="242"/>
      <c r="EP60" s="242"/>
      <c r="EQ60" s="242"/>
      <c r="ER60" s="242"/>
      <c r="ES60" s="242"/>
      <c r="ET60" s="242"/>
      <c r="EU60" s="242"/>
      <c r="EV60" s="242"/>
      <c r="EW60" s="242"/>
      <c r="EX60" s="242"/>
      <c r="EY60" s="242"/>
      <c r="EZ60" s="242"/>
      <c r="FA60" s="242"/>
      <c r="FB60" s="242"/>
      <c r="FC60" s="242"/>
    </row>
    <row r="61" spans="131:159" ht="18" customHeight="1">
      <c r="EA61" s="242"/>
      <c r="EB61" s="242"/>
      <c r="EC61" s="242"/>
      <c r="ED61" s="242"/>
      <c r="EE61" s="242"/>
      <c r="EF61" s="242"/>
      <c r="EG61" s="242"/>
      <c r="EH61" s="242"/>
      <c r="EI61" s="242"/>
      <c r="EJ61" s="242"/>
      <c r="EK61" s="242"/>
      <c r="EL61" s="242"/>
      <c r="EM61" s="242"/>
      <c r="EN61" s="242"/>
      <c r="EO61" s="242"/>
      <c r="EP61" s="242"/>
      <c r="EQ61" s="242"/>
      <c r="ER61" s="242"/>
      <c r="ES61" s="242"/>
      <c r="ET61" s="242"/>
      <c r="EU61" s="242"/>
      <c r="EV61" s="242"/>
      <c r="EW61" s="242"/>
      <c r="EX61" s="242"/>
      <c r="EY61" s="242"/>
      <c r="EZ61" s="242"/>
      <c r="FA61" s="242"/>
      <c r="FB61" s="242"/>
      <c r="FC61" s="242"/>
    </row>
    <row r="62" spans="131:159" ht="18" customHeight="1">
      <c r="EA62" s="242"/>
      <c r="EB62" s="242"/>
      <c r="EC62" s="242"/>
      <c r="ED62" s="242"/>
      <c r="EE62" s="242"/>
      <c r="EF62" s="242"/>
      <c r="EG62" s="242"/>
      <c r="EH62" s="242"/>
      <c r="EI62" s="242"/>
      <c r="EJ62" s="242"/>
      <c r="EK62" s="242"/>
      <c r="EL62" s="242"/>
      <c r="EM62" s="242"/>
      <c r="EN62" s="242"/>
      <c r="EO62" s="242"/>
      <c r="EP62" s="242"/>
      <c r="EQ62" s="242"/>
      <c r="ER62" s="242"/>
      <c r="ES62" s="242"/>
      <c r="ET62" s="242"/>
      <c r="EU62" s="242"/>
      <c r="EV62" s="242"/>
      <c r="EW62" s="242"/>
      <c r="EX62" s="242"/>
      <c r="EY62" s="242"/>
      <c r="EZ62" s="242"/>
      <c r="FA62" s="242"/>
      <c r="FB62" s="242"/>
      <c r="FC62" s="242"/>
    </row>
    <row r="63" spans="131:159" ht="18" customHeight="1">
      <c r="EA63" s="242"/>
      <c r="EB63" s="242"/>
      <c r="EC63" s="242"/>
      <c r="ED63" s="242"/>
      <c r="EE63" s="242"/>
      <c r="EF63" s="242"/>
      <c r="EG63" s="242"/>
      <c r="EH63" s="242"/>
      <c r="EI63" s="242"/>
      <c r="EJ63" s="242"/>
      <c r="EK63" s="242"/>
      <c r="EL63" s="242"/>
      <c r="EM63" s="242"/>
      <c r="EN63" s="242"/>
      <c r="EO63" s="242"/>
      <c r="EP63" s="242"/>
      <c r="EQ63" s="242"/>
      <c r="ER63" s="242"/>
      <c r="ES63" s="242"/>
      <c r="ET63" s="242"/>
      <c r="EU63" s="242"/>
      <c r="EV63" s="242"/>
      <c r="EW63" s="242"/>
      <c r="EX63" s="242"/>
      <c r="EY63" s="242"/>
      <c r="EZ63" s="242"/>
      <c r="FA63" s="242"/>
      <c r="FB63" s="242"/>
      <c r="FC63" s="242"/>
    </row>
    <row r="64" spans="131:159" ht="18" customHeight="1">
      <c r="EA64" s="242"/>
      <c r="EB64" s="242"/>
      <c r="EC64" s="242"/>
      <c r="ED64" s="242"/>
      <c r="EE64" s="242"/>
      <c r="EF64" s="242"/>
      <c r="EG64" s="242"/>
      <c r="EH64" s="242"/>
      <c r="EI64" s="242"/>
      <c r="EJ64" s="242"/>
      <c r="EK64" s="242"/>
      <c r="EL64" s="242"/>
      <c r="EM64" s="242"/>
      <c r="EN64" s="242"/>
      <c r="EO64" s="242"/>
      <c r="EP64" s="242"/>
      <c r="EQ64" s="242"/>
      <c r="ER64" s="242"/>
      <c r="ES64" s="242"/>
      <c r="ET64" s="242"/>
      <c r="EU64" s="242"/>
      <c r="EV64" s="242"/>
      <c r="EW64" s="242"/>
      <c r="EX64" s="242"/>
      <c r="EY64" s="242"/>
      <c r="EZ64" s="242"/>
      <c r="FA64" s="242"/>
      <c r="FB64" s="242"/>
      <c r="FC64" s="242"/>
    </row>
    <row r="65" spans="131:159" ht="18" customHeight="1">
      <c r="EA65" s="242"/>
      <c r="EB65" s="242"/>
      <c r="EC65" s="242"/>
      <c r="ED65" s="242"/>
      <c r="EE65" s="242"/>
      <c r="EF65" s="242"/>
      <c r="EG65" s="242"/>
      <c r="EH65" s="242"/>
      <c r="EI65" s="242"/>
      <c r="EJ65" s="242"/>
      <c r="EK65" s="242"/>
      <c r="EL65" s="242"/>
      <c r="EM65" s="242"/>
      <c r="EN65" s="242"/>
      <c r="EO65" s="242"/>
      <c r="EP65" s="242"/>
      <c r="EQ65" s="242"/>
      <c r="ER65" s="242"/>
      <c r="ES65" s="242"/>
      <c r="ET65" s="242"/>
      <c r="EU65" s="242"/>
      <c r="EV65" s="242"/>
      <c r="EW65" s="242"/>
      <c r="EX65" s="242"/>
      <c r="EY65" s="242"/>
      <c r="EZ65" s="242"/>
      <c r="FA65" s="242"/>
      <c r="FB65" s="242"/>
      <c r="FC65" s="242"/>
    </row>
    <row r="66" spans="131:159" ht="18" customHeight="1">
      <c r="EA66" s="242"/>
      <c r="EB66" s="242"/>
      <c r="EC66" s="242"/>
      <c r="ED66" s="242"/>
      <c r="EE66" s="242"/>
      <c r="EF66" s="242"/>
      <c r="EG66" s="242"/>
      <c r="EH66" s="242"/>
      <c r="EI66" s="242"/>
      <c r="EJ66" s="242"/>
      <c r="EK66" s="242"/>
      <c r="EL66" s="242"/>
      <c r="EM66" s="242"/>
      <c r="EN66" s="242"/>
      <c r="EO66" s="242"/>
      <c r="EP66" s="242"/>
      <c r="EQ66" s="242"/>
      <c r="ER66" s="242"/>
      <c r="ES66" s="242"/>
      <c r="ET66" s="242"/>
      <c r="EU66" s="242"/>
      <c r="EV66" s="242"/>
      <c r="EW66" s="242"/>
      <c r="EX66" s="242"/>
      <c r="EY66" s="242"/>
      <c r="EZ66" s="242"/>
      <c r="FA66" s="242"/>
      <c r="FB66" s="242"/>
      <c r="FC66" s="242"/>
    </row>
    <row r="67" spans="131:159" ht="18" customHeight="1">
      <c r="EA67" s="242"/>
      <c r="EB67" s="242"/>
      <c r="EC67" s="242"/>
      <c r="ED67" s="242"/>
      <c r="EE67" s="242"/>
      <c r="EF67" s="242"/>
      <c r="EG67" s="242"/>
      <c r="EH67" s="242"/>
      <c r="EI67" s="242"/>
      <c r="EJ67" s="242"/>
      <c r="EK67" s="242"/>
      <c r="EL67" s="242"/>
      <c r="EM67" s="242"/>
      <c r="EN67" s="242"/>
      <c r="EO67" s="242"/>
      <c r="EP67" s="242"/>
      <c r="EQ67" s="242"/>
      <c r="ER67" s="242"/>
      <c r="ES67" s="242"/>
      <c r="ET67" s="242"/>
      <c r="EU67" s="242"/>
      <c r="EV67" s="242"/>
      <c r="EW67" s="242"/>
      <c r="EX67" s="242"/>
      <c r="EY67" s="242"/>
      <c r="EZ67" s="242"/>
      <c r="FA67" s="242"/>
      <c r="FB67" s="242"/>
      <c r="FC67" s="242"/>
    </row>
    <row r="68" spans="131:159" ht="18" customHeight="1">
      <c r="EA68" s="242"/>
      <c r="EB68" s="242"/>
      <c r="EC68" s="242"/>
      <c r="ED68" s="242"/>
      <c r="EE68" s="242"/>
      <c r="EF68" s="242"/>
      <c r="EG68" s="242"/>
      <c r="EH68" s="242"/>
      <c r="EI68" s="242"/>
      <c r="EJ68" s="242"/>
      <c r="EK68" s="242"/>
      <c r="EL68" s="242"/>
      <c r="EM68" s="242"/>
      <c r="EN68" s="242"/>
      <c r="EO68" s="242"/>
      <c r="EP68" s="242"/>
      <c r="EQ68" s="242"/>
      <c r="ER68" s="242"/>
      <c r="ES68" s="242"/>
      <c r="ET68" s="242"/>
      <c r="EU68" s="242"/>
      <c r="EV68" s="242"/>
      <c r="EW68" s="242"/>
      <c r="EX68" s="242"/>
      <c r="EY68" s="242"/>
      <c r="EZ68" s="242"/>
      <c r="FA68" s="242"/>
      <c r="FB68" s="242"/>
      <c r="FC68" s="242"/>
    </row>
    <row r="69" spans="131:159" ht="18" customHeight="1">
      <c r="EA69" s="242"/>
      <c r="EB69" s="242"/>
      <c r="EC69" s="242"/>
      <c r="ED69" s="242"/>
      <c r="EE69" s="242"/>
      <c r="EF69" s="242"/>
      <c r="EG69" s="242"/>
      <c r="EH69" s="242"/>
      <c r="EI69" s="242"/>
      <c r="EJ69" s="242"/>
      <c r="EK69" s="242"/>
      <c r="EL69" s="242"/>
      <c r="EM69" s="242"/>
      <c r="EN69" s="242"/>
      <c r="EO69" s="242"/>
      <c r="EP69" s="242"/>
      <c r="EQ69" s="242"/>
      <c r="ER69" s="242"/>
      <c r="ES69" s="242"/>
      <c r="ET69" s="242"/>
      <c r="EU69" s="242"/>
      <c r="EV69" s="242"/>
      <c r="EW69" s="242"/>
      <c r="EX69" s="242"/>
      <c r="EY69" s="242"/>
      <c r="EZ69" s="242"/>
      <c r="FA69" s="242"/>
      <c r="FB69" s="242"/>
      <c r="FC69" s="242"/>
    </row>
    <row r="70" spans="131:159" ht="18" customHeight="1">
      <c r="EA70" s="242"/>
      <c r="EB70" s="242"/>
      <c r="EC70" s="242"/>
      <c r="ED70" s="242"/>
      <c r="EE70" s="242"/>
      <c r="EF70" s="242"/>
      <c r="EG70" s="242"/>
      <c r="EH70" s="242"/>
      <c r="EI70" s="242"/>
      <c r="EJ70" s="242"/>
      <c r="EK70" s="242"/>
      <c r="EL70" s="242"/>
      <c r="EM70" s="242"/>
      <c r="EN70" s="242"/>
      <c r="EO70" s="242"/>
      <c r="EP70" s="242"/>
      <c r="EQ70" s="242"/>
      <c r="ER70" s="242"/>
      <c r="ES70" s="242"/>
      <c r="ET70" s="242"/>
      <c r="EU70" s="242"/>
      <c r="EV70" s="242"/>
      <c r="EW70" s="242"/>
      <c r="EX70" s="242"/>
      <c r="EY70" s="242"/>
      <c r="EZ70" s="242"/>
      <c r="FA70" s="242"/>
      <c r="FB70" s="242"/>
      <c r="FC70" s="242"/>
    </row>
    <row r="71" spans="131:159" ht="18" customHeight="1">
      <c r="EA71" s="242"/>
      <c r="EB71" s="242"/>
      <c r="EC71" s="242"/>
      <c r="ED71" s="242"/>
      <c r="EE71" s="242"/>
      <c r="EF71" s="242"/>
      <c r="EG71" s="242"/>
      <c r="EH71" s="242"/>
      <c r="EI71" s="242"/>
      <c r="EJ71" s="242"/>
      <c r="EK71" s="242"/>
      <c r="EL71" s="242"/>
      <c r="EM71" s="242"/>
      <c r="EN71" s="242"/>
      <c r="EO71" s="242"/>
      <c r="EP71" s="242"/>
      <c r="EQ71" s="242"/>
      <c r="ER71" s="242"/>
      <c r="ES71" s="242"/>
      <c r="ET71" s="242"/>
      <c r="EU71" s="242"/>
      <c r="EV71" s="242"/>
      <c r="EW71" s="242"/>
      <c r="EX71" s="242"/>
      <c r="EY71" s="242"/>
      <c r="EZ71" s="242"/>
      <c r="FA71" s="242"/>
      <c r="FB71" s="242"/>
      <c r="FC71" s="242"/>
    </row>
    <row r="72" spans="131:159">
      <c r="EA72" s="242"/>
      <c r="EB72" s="242"/>
      <c r="EC72" s="242"/>
      <c r="ED72" s="242"/>
      <c r="EE72" s="242"/>
      <c r="EF72" s="242"/>
      <c r="EG72" s="242"/>
      <c r="EH72" s="242"/>
      <c r="EI72" s="242"/>
      <c r="EJ72" s="242"/>
      <c r="EK72" s="242"/>
      <c r="EL72" s="242"/>
      <c r="EM72" s="242"/>
      <c r="EN72" s="242"/>
      <c r="EO72" s="242"/>
      <c r="EP72" s="242"/>
      <c r="EQ72" s="242"/>
      <c r="ER72" s="242"/>
      <c r="ES72" s="242"/>
      <c r="ET72" s="242"/>
      <c r="EU72" s="242"/>
      <c r="EV72" s="242"/>
      <c r="EW72" s="242"/>
      <c r="EX72" s="242"/>
      <c r="EY72" s="242"/>
      <c r="EZ72" s="242"/>
      <c r="FA72" s="242"/>
      <c r="FB72" s="242"/>
      <c r="FC72" s="242"/>
    </row>
    <row r="73" spans="131:159">
      <c r="EA73" s="242"/>
      <c r="EB73" s="242"/>
      <c r="EC73" s="242"/>
      <c r="ED73" s="242"/>
      <c r="EE73" s="242"/>
      <c r="EF73" s="242"/>
      <c r="EG73" s="242"/>
      <c r="EH73" s="242"/>
      <c r="EI73" s="242"/>
      <c r="EJ73" s="242"/>
      <c r="EK73" s="242"/>
      <c r="EL73" s="242"/>
      <c r="EM73" s="242"/>
      <c r="EN73" s="242"/>
      <c r="EO73" s="242"/>
      <c r="EP73" s="242"/>
      <c r="EQ73" s="242"/>
      <c r="ER73" s="242"/>
      <c r="ES73" s="242"/>
      <c r="ET73" s="242"/>
      <c r="EU73" s="242"/>
      <c r="EV73" s="242"/>
      <c r="EW73" s="242"/>
      <c r="EX73" s="242"/>
      <c r="EY73" s="242"/>
      <c r="EZ73" s="242"/>
      <c r="FA73" s="242"/>
      <c r="FB73" s="242"/>
      <c r="FC73" s="242"/>
    </row>
    <row r="74" spans="131:159">
      <c r="EA74" s="242"/>
      <c r="EB74" s="242"/>
      <c r="EC74" s="242"/>
      <c r="ED74" s="242"/>
      <c r="EE74" s="242"/>
      <c r="EF74" s="242"/>
      <c r="EG74" s="242"/>
      <c r="EH74" s="242"/>
      <c r="EI74" s="242"/>
      <c r="EJ74" s="242"/>
      <c r="EK74" s="242"/>
      <c r="EL74" s="242"/>
      <c r="EM74" s="242"/>
      <c r="EN74" s="242"/>
      <c r="EO74" s="242"/>
      <c r="EP74" s="242"/>
      <c r="EQ74" s="242"/>
      <c r="ER74" s="242"/>
      <c r="ES74" s="242"/>
      <c r="ET74" s="242"/>
      <c r="EU74" s="242"/>
      <c r="EV74" s="242"/>
      <c r="EW74" s="242"/>
      <c r="EX74" s="242"/>
      <c r="EY74" s="242"/>
      <c r="EZ74" s="242"/>
      <c r="FA74" s="242"/>
      <c r="FB74" s="242"/>
      <c r="FC74" s="242"/>
    </row>
    <row r="75" spans="131:159">
      <c r="EA75" s="242"/>
      <c r="EB75" s="242"/>
      <c r="EC75" s="242"/>
      <c r="ED75" s="242"/>
      <c r="EE75" s="242"/>
      <c r="EF75" s="242"/>
      <c r="EG75" s="242"/>
      <c r="EH75" s="242"/>
      <c r="EI75" s="242"/>
      <c r="EJ75" s="242"/>
      <c r="EK75" s="242"/>
      <c r="EL75" s="242"/>
      <c r="EM75" s="242"/>
      <c r="EN75" s="242"/>
      <c r="EO75" s="242"/>
      <c r="EP75" s="242"/>
      <c r="EQ75" s="242"/>
      <c r="ER75" s="242"/>
      <c r="ES75" s="242"/>
      <c r="ET75" s="242"/>
      <c r="EU75" s="242"/>
      <c r="EV75" s="242"/>
      <c r="EW75" s="242"/>
      <c r="EX75" s="242"/>
      <c r="EY75" s="242"/>
      <c r="EZ75" s="242"/>
      <c r="FA75" s="242"/>
      <c r="FB75" s="242"/>
      <c r="FC75" s="242"/>
    </row>
    <row r="76" spans="131:159">
      <c r="EA76" s="242"/>
      <c r="EB76" s="242"/>
      <c r="EC76" s="242"/>
      <c r="ED76" s="242"/>
      <c r="EE76" s="242"/>
      <c r="EF76" s="242"/>
      <c r="EG76" s="242"/>
      <c r="EH76" s="242"/>
      <c r="EI76" s="242"/>
      <c r="EJ76" s="242"/>
      <c r="EK76" s="242"/>
      <c r="EL76" s="242"/>
      <c r="EM76" s="242"/>
      <c r="EN76" s="242"/>
      <c r="EO76" s="242"/>
      <c r="EP76" s="242"/>
      <c r="EQ76" s="242"/>
      <c r="ER76" s="242"/>
      <c r="ES76" s="242"/>
      <c r="ET76" s="242"/>
      <c r="EU76" s="242"/>
      <c r="EV76" s="242"/>
      <c r="EW76" s="242"/>
      <c r="EX76" s="242"/>
      <c r="EY76" s="242"/>
      <c r="EZ76" s="242"/>
      <c r="FA76" s="242"/>
      <c r="FB76" s="242"/>
      <c r="FC76" s="242"/>
    </row>
    <row r="77" spans="131:159">
      <c r="EA77" s="242"/>
      <c r="EB77" s="242"/>
      <c r="EC77" s="242"/>
      <c r="ED77" s="242"/>
      <c r="EE77" s="242"/>
      <c r="EF77" s="242"/>
      <c r="EG77" s="242"/>
      <c r="EH77" s="242"/>
      <c r="EI77" s="242"/>
      <c r="EJ77" s="242"/>
      <c r="EK77" s="242"/>
      <c r="EL77" s="242"/>
      <c r="EM77" s="242"/>
      <c r="EN77" s="242"/>
      <c r="EO77" s="242"/>
      <c r="EP77" s="242"/>
      <c r="EQ77" s="242"/>
      <c r="ER77" s="242"/>
      <c r="ES77" s="242"/>
      <c r="ET77" s="242"/>
      <c r="EU77" s="242"/>
      <c r="EV77" s="242"/>
      <c r="EW77" s="242"/>
      <c r="EX77" s="242"/>
      <c r="EY77" s="242"/>
      <c r="EZ77" s="242"/>
      <c r="FA77" s="242"/>
      <c r="FB77" s="242"/>
      <c r="FC77" s="242"/>
    </row>
    <row r="78" spans="131:159">
      <c r="EA78" s="242"/>
      <c r="EB78" s="242"/>
      <c r="EC78" s="242"/>
      <c r="ED78" s="242"/>
      <c r="EE78" s="242"/>
      <c r="EF78" s="242"/>
      <c r="EG78" s="242"/>
      <c r="EH78" s="242"/>
      <c r="EI78" s="242"/>
      <c r="EJ78" s="242"/>
      <c r="EK78" s="242"/>
      <c r="EL78" s="242"/>
      <c r="EM78" s="242"/>
      <c r="EN78" s="242"/>
      <c r="EO78" s="242"/>
      <c r="EP78" s="242"/>
      <c r="EQ78" s="242"/>
      <c r="ER78" s="242"/>
      <c r="ES78" s="242"/>
      <c r="ET78" s="242"/>
      <c r="EU78" s="242"/>
      <c r="EV78" s="242"/>
      <c r="EW78" s="242"/>
      <c r="EX78" s="242"/>
      <c r="EY78" s="242"/>
      <c r="EZ78" s="242"/>
      <c r="FA78" s="242"/>
      <c r="FB78" s="242"/>
      <c r="FC78" s="242"/>
    </row>
    <row r="79" spans="131:159">
      <c r="EA79" s="242"/>
      <c r="EB79" s="242"/>
      <c r="EC79" s="242"/>
      <c r="ED79" s="242"/>
      <c r="EE79" s="242"/>
      <c r="EF79" s="242"/>
      <c r="EG79" s="242"/>
      <c r="EH79" s="242"/>
      <c r="EI79" s="242"/>
      <c r="EJ79" s="242"/>
      <c r="EK79" s="242"/>
      <c r="EL79" s="242"/>
      <c r="EM79" s="242"/>
      <c r="EN79" s="242"/>
      <c r="EO79" s="242"/>
      <c r="EP79" s="242"/>
      <c r="EQ79" s="242"/>
      <c r="ER79" s="242"/>
      <c r="ES79" s="242"/>
      <c r="ET79" s="242"/>
      <c r="EU79" s="242"/>
      <c r="EV79" s="242"/>
      <c r="EW79" s="242"/>
      <c r="EX79" s="242"/>
      <c r="EY79" s="242"/>
      <c r="EZ79" s="242"/>
      <c r="FA79" s="242"/>
      <c r="FB79" s="242"/>
      <c r="FC79" s="242"/>
    </row>
    <row r="80" spans="131:159">
      <c r="EA80" s="242"/>
      <c r="EB80" s="242"/>
      <c r="EC80" s="242"/>
      <c r="ED80" s="242"/>
      <c r="EE80" s="242"/>
      <c r="EF80" s="242"/>
      <c r="EG80" s="242"/>
      <c r="EH80" s="242"/>
      <c r="EI80" s="242"/>
      <c r="EJ80" s="242"/>
      <c r="EK80" s="242"/>
      <c r="EL80" s="242"/>
      <c r="EM80" s="242"/>
      <c r="EN80" s="242"/>
      <c r="EO80" s="242"/>
      <c r="EP80" s="242"/>
      <c r="EQ80" s="242"/>
      <c r="ER80" s="242"/>
      <c r="ES80" s="242"/>
      <c r="ET80" s="242"/>
      <c r="EU80" s="242"/>
      <c r="EV80" s="242"/>
      <c r="EW80" s="242"/>
      <c r="EX80" s="242"/>
      <c r="EY80" s="242"/>
      <c r="EZ80" s="242"/>
      <c r="FA80" s="242"/>
      <c r="FB80" s="242"/>
      <c r="FC80" s="242"/>
    </row>
    <row r="81" spans="131:159">
      <c r="EA81" s="242"/>
      <c r="EB81" s="242"/>
      <c r="EC81" s="242"/>
      <c r="ED81" s="242"/>
      <c r="EE81" s="242"/>
      <c r="EF81" s="242"/>
      <c r="EG81" s="242"/>
      <c r="EH81" s="242"/>
      <c r="EI81" s="242"/>
      <c r="EJ81" s="242"/>
      <c r="EK81" s="242"/>
      <c r="EL81" s="242"/>
      <c r="EM81" s="242"/>
      <c r="EN81" s="242"/>
      <c r="EO81" s="242"/>
      <c r="EP81" s="242"/>
      <c r="EQ81" s="242"/>
      <c r="ER81" s="242"/>
      <c r="ES81" s="242"/>
      <c r="ET81" s="242"/>
      <c r="EU81" s="242"/>
      <c r="EV81" s="242"/>
      <c r="EW81" s="242"/>
      <c r="EX81" s="242"/>
      <c r="EY81" s="242"/>
      <c r="EZ81" s="242"/>
      <c r="FA81" s="242"/>
      <c r="FB81" s="242"/>
      <c r="FC81" s="242"/>
    </row>
    <row r="82" spans="131:159">
      <c r="EA82" s="242"/>
      <c r="EB82" s="242"/>
      <c r="EC82" s="242"/>
      <c r="ED82" s="242"/>
      <c r="EE82" s="242"/>
      <c r="EF82" s="242"/>
      <c r="EG82" s="242"/>
      <c r="EH82" s="242"/>
      <c r="EI82" s="242"/>
      <c r="EJ82" s="242"/>
      <c r="EK82" s="242"/>
      <c r="EL82" s="242"/>
      <c r="EM82" s="242"/>
      <c r="EN82" s="242"/>
      <c r="EO82" s="242"/>
      <c r="EP82" s="242"/>
      <c r="EQ82" s="242"/>
      <c r="ER82" s="242"/>
      <c r="ES82" s="242"/>
      <c r="ET82" s="242"/>
      <c r="EU82" s="242"/>
      <c r="EV82" s="242"/>
      <c r="EW82" s="242"/>
      <c r="EX82" s="242"/>
      <c r="EY82" s="242"/>
      <c r="EZ82" s="242"/>
      <c r="FA82" s="242"/>
      <c r="FB82" s="242"/>
      <c r="FC82" s="242"/>
    </row>
  </sheetData>
  <mergeCells count="42">
    <mergeCell ref="M5:M6"/>
    <mergeCell ref="N5:N6"/>
    <mergeCell ref="F5:F6"/>
    <mergeCell ref="G5:G6"/>
    <mergeCell ref="H5:H6"/>
    <mergeCell ref="I5:I6"/>
    <mergeCell ref="J5:L6"/>
    <mergeCell ref="B3:E3"/>
    <mergeCell ref="D7:D9"/>
    <mergeCell ref="E7:E9"/>
    <mergeCell ref="J11:L11"/>
    <mergeCell ref="J12:L12"/>
    <mergeCell ref="J10:L10"/>
    <mergeCell ref="J7:L7"/>
    <mergeCell ref="J8:L8"/>
    <mergeCell ref="J9:L9"/>
    <mergeCell ref="A5:C6"/>
    <mergeCell ref="D5:D6"/>
    <mergeCell ref="E5:E6"/>
    <mergeCell ref="B7:C7"/>
    <mergeCell ref="B8:C9"/>
    <mergeCell ref="C22:D22"/>
    <mergeCell ref="A22:B22"/>
    <mergeCell ref="C19:D19"/>
    <mergeCell ref="A25:B25"/>
    <mergeCell ref="A26:B26"/>
    <mergeCell ref="C25:F25"/>
    <mergeCell ref="C26:F26"/>
    <mergeCell ref="A23:B23"/>
    <mergeCell ref="C23:D23"/>
    <mergeCell ref="A19:B21"/>
    <mergeCell ref="C20:D20"/>
    <mergeCell ref="C21:D21"/>
    <mergeCell ref="F16:F18"/>
    <mergeCell ref="A7:A12"/>
    <mergeCell ref="B10:C10"/>
    <mergeCell ref="B11:C12"/>
    <mergeCell ref="E16:E18"/>
    <mergeCell ref="C16:D18"/>
    <mergeCell ref="A16:B18"/>
    <mergeCell ref="D10:D12"/>
    <mergeCell ref="E10:E12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59" firstPageNumber="17" orientation="landscape" useFirstPageNumber="1" r:id="rId1"/>
  <headerFooter>
    <oddFooter>&amp;L&amp;P&amp;R&amp;G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92D050"/>
  </sheetPr>
  <dimension ref="A1:X19"/>
  <sheetViews>
    <sheetView view="pageBreakPreview" zoomScale="85" zoomScaleNormal="100" zoomScaleSheetLayoutView="85" workbookViewId="0">
      <selection activeCell="B1" sqref="B1"/>
    </sheetView>
  </sheetViews>
  <sheetFormatPr defaultRowHeight="15"/>
  <cols>
    <col min="1" max="5" width="9.140625" style="589"/>
    <col min="6" max="6" width="12.5703125" style="589" customWidth="1"/>
    <col min="7" max="7" width="14.7109375" style="589" hidden="1" customWidth="1"/>
    <col min="8" max="8" width="16.7109375" style="589" customWidth="1"/>
    <col min="9" max="9" width="16.140625" style="589" hidden="1" customWidth="1"/>
    <col min="10" max="12" width="0" style="589" hidden="1" customWidth="1"/>
    <col min="13" max="16384" width="9.140625" style="589"/>
  </cols>
  <sheetData>
    <row r="1" spans="1:24" s="11" customFormat="1" ht="18" customHeight="1">
      <c r="B1" s="2277" t="s">
        <v>490</v>
      </c>
      <c r="C1" s="26"/>
      <c r="D1" s="26"/>
      <c r="E1" s="26"/>
      <c r="F1" s="4"/>
      <c r="G1" s="26"/>
      <c r="H1" s="26"/>
      <c r="I1" s="26"/>
      <c r="J1" s="26"/>
      <c r="K1" s="26"/>
      <c r="L1" s="26"/>
      <c r="N1" s="387"/>
      <c r="O1" s="387"/>
      <c r="P1" s="387"/>
      <c r="Q1" s="387"/>
      <c r="R1" s="387"/>
      <c r="S1" s="387"/>
      <c r="T1" s="387"/>
      <c r="U1" s="387"/>
      <c r="V1" s="387"/>
      <c r="W1" s="387"/>
      <c r="X1" s="387"/>
    </row>
    <row r="2" spans="1:24" ht="18" customHeight="1">
      <c r="A2" s="5"/>
      <c r="B2" s="3865"/>
      <c r="C2" s="3865"/>
      <c r="D2" s="3865"/>
      <c r="E2" s="3865"/>
      <c r="F2" s="515"/>
      <c r="G2" s="15"/>
      <c r="H2" s="15"/>
      <c r="I2" s="15"/>
      <c r="J2" s="15"/>
      <c r="K2" s="15"/>
      <c r="L2" s="15"/>
      <c r="M2" s="242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242"/>
    </row>
    <row r="3" spans="1:24" ht="90" customHeight="1">
      <c r="A3" s="7"/>
      <c r="B3" s="4501" t="s">
        <v>309</v>
      </c>
      <c r="C3" s="4502"/>
      <c r="D3" s="4503"/>
      <c r="E3" s="4504"/>
      <c r="F3" s="8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</row>
    <row r="4" spans="1:24">
      <c r="A4" s="3865"/>
      <c r="B4" s="19" t="s">
        <v>59</v>
      </c>
      <c r="C4" s="19"/>
      <c r="D4" s="3865"/>
      <c r="E4" s="3865"/>
      <c r="F4" s="6"/>
      <c r="G4" s="15"/>
      <c r="H4" s="15"/>
      <c r="I4" s="15"/>
      <c r="J4" s="15"/>
      <c r="K4" s="15"/>
      <c r="L4" s="15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</row>
    <row r="5" spans="1:24">
      <c r="A5" s="4505" t="s">
        <v>2</v>
      </c>
      <c r="B5" s="4221"/>
      <c r="C5" s="4506"/>
      <c r="D5" s="4507" t="s">
        <v>42</v>
      </c>
      <c r="E5" s="4507" t="s">
        <v>41</v>
      </c>
      <c r="F5" s="4507" t="s">
        <v>37</v>
      </c>
      <c r="G5" s="4508" t="s">
        <v>3404</v>
      </c>
      <c r="H5" s="4508" t="s">
        <v>3405</v>
      </c>
      <c r="I5" s="4508" t="s">
        <v>3406</v>
      </c>
      <c r="J5" s="4395" t="s">
        <v>3407</v>
      </c>
      <c r="K5" s="4497"/>
      <c r="L5" s="4509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</row>
    <row r="6" spans="1:24">
      <c r="A6" s="4223"/>
      <c r="B6" s="4224"/>
      <c r="C6" s="4225"/>
      <c r="D6" s="4412"/>
      <c r="E6" s="4412"/>
      <c r="F6" s="4412"/>
      <c r="G6" s="4293"/>
      <c r="H6" s="4293"/>
      <c r="I6" s="4293"/>
      <c r="J6" s="4396"/>
      <c r="K6" s="4499"/>
      <c r="L6" s="4500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</row>
    <row r="7" spans="1:24" ht="21">
      <c r="A7" s="4510" t="s">
        <v>1425</v>
      </c>
      <c r="B7" s="4511" t="s">
        <v>3397</v>
      </c>
      <c r="C7" s="4512"/>
      <c r="D7" s="4517" t="s">
        <v>3408</v>
      </c>
      <c r="E7" s="4517">
        <v>2000</v>
      </c>
      <c r="F7" s="3893" t="s">
        <v>0</v>
      </c>
      <c r="G7" s="3297">
        <f>CEILING('Полотна база'!M53*(1+скидки_наценки!$B$30)*скидки_наценки!$D$13*скидки_наценки!$F$13/скидки_наценки!$B$4, 50)</f>
        <v>14300</v>
      </c>
      <c r="H7" s="3297">
        <f>CEILING('Полотна база'!M53*(1+скидки_наценки!$B$30)*скидки_наценки!$D$13*скидки_наценки!$F$13/скидки_наценки!$B$4, 50)</f>
        <v>14300</v>
      </c>
      <c r="I7" s="3894">
        <f>CEILING('Полотна база'!M53*(1+скидки_наценки!$B$30)*скидки_наценки!$D$13*скидки_наценки!$F$13/скидки_наценки!$B$4, 50)</f>
        <v>14300</v>
      </c>
      <c r="J7" s="4519">
        <f>CEILING('Полотна база'!M53*(1+скидки_наценки!$B$30)*скидки_наценки!$D$13*скидки_наценки!$F$13/скидки_наценки!$B$4, 50)</f>
        <v>14300</v>
      </c>
      <c r="K7" s="4520"/>
      <c r="L7" s="4521"/>
      <c r="M7" s="242"/>
      <c r="N7" s="242"/>
      <c r="O7" s="242"/>
      <c r="P7" s="242"/>
      <c r="Q7" s="242"/>
      <c r="R7" s="242"/>
      <c r="S7" s="242"/>
      <c r="T7" s="242"/>
      <c r="U7" s="242"/>
      <c r="V7" s="242"/>
      <c r="W7" s="242"/>
      <c r="X7" s="242"/>
    </row>
    <row r="8" spans="1:24" ht="15.75">
      <c r="A8" s="4510"/>
      <c r="B8" s="4513"/>
      <c r="C8" s="4514"/>
      <c r="D8" s="4214"/>
      <c r="E8" s="4214"/>
      <c r="F8" s="2735" t="s">
        <v>306</v>
      </c>
      <c r="G8" s="3863">
        <f>IF(G7=0,0,(Погонаж!C12*2.5+Погонаж!E12*5))</f>
        <v>9875</v>
      </c>
      <c r="H8" s="3863">
        <f>IF(H7=0,0,(Погонаж!C12*2.5+Погонаж!E12*5))</f>
        <v>9875</v>
      </c>
      <c r="I8" s="3863">
        <f>IF(I7=0,0,(Погонаж!C12*2.5+Погонаж!D12*5))</f>
        <v>9875</v>
      </c>
      <c r="J8" s="4491">
        <f>IF(J7=0,0,(Погонаж!C12*2.5+Погонаж!E12*5))</f>
        <v>9875</v>
      </c>
      <c r="K8" s="4492"/>
      <c r="L8" s="4493"/>
      <c r="M8" s="242"/>
      <c r="N8" s="242"/>
      <c r="O8" s="242"/>
      <c r="P8" s="242"/>
      <c r="Q8" s="242"/>
      <c r="R8" s="242"/>
      <c r="S8" s="242"/>
      <c r="T8" s="242"/>
      <c r="U8" s="242"/>
      <c r="V8" s="242"/>
      <c r="W8" s="242"/>
      <c r="X8" s="242"/>
    </row>
    <row r="9" spans="1:24" ht="27.75" customHeight="1">
      <c r="A9" s="4510"/>
      <c r="B9" s="4515"/>
      <c r="C9" s="4516"/>
      <c r="D9" s="4518"/>
      <c r="E9" s="4518"/>
      <c r="F9" s="267" t="s">
        <v>1</v>
      </c>
      <c r="G9" s="3864">
        <f>G7+G8</f>
        <v>24175</v>
      </c>
      <c r="H9" s="3864">
        <f>H7+H8</f>
        <v>24175</v>
      </c>
      <c r="I9" s="3864">
        <f>I7+I8</f>
        <v>24175</v>
      </c>
      <c r="J9" s="4494">
        <f>J7+J8</f>
        <v>24175</v>
      </c>
      <c r="K9" s="4495"/>
      <c r="L9" s="4496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</row>
    <row r="11" spans="1:24">
      <c r="A11" s="589">
        <v>1</v>
      </c>
      <c r="B11" s="589" t="s">
        <v>3409</v>
      </c>
    </row>
    <row r="12" spans="1:24">
      <c r="A12" s="589">
        <v>2</v>
      </c>
      <c r="B12" s="589" t="s">
        <v>3410</v>
      </c>
    </row>
    <row r="13" spans="1:24">
      <c r="A13" s="589">
        <v>3</v>
      </c>
      <c r="B13" s="589" t="s">
        <v>3411</v>
      </c>
    </row>
    <row r="14" spans="1:24">
      <c r="A14" s="589">
        <v>4</v>
      </c>
      <c r="B14" s="589" t="s">
        <v>3412</v>
      </c>
    </row>
    <row r="15" spans="1:24">
      <c r="A15" s="589">
        <v>5</v>
      </c>
      <c r="B15" s="589" t="s">
        <v>3413</v>
      </c>
    </row>
    <row r="16" spans="1:24">
      <c r="A16" s="589">
        <v>6</v>
      </c>
      <c r="B16" s="589" t="s">
        <v>3414</v>
      </c>
    </row>
    <row r="17" spans="1:2">
      <c r="A17" s="589">
        <v>7</v>
      </c>
      <c r="B17" s="589" t="s">
        <v>3415</v>
      </c>
    </row>
    <row r="19" spans="1:2">
      <c r="B19"/>
    </row>
  </sheetData>
  <mergeCells count="16">
    <mergeCell ref="H5:H6"/>
    <mergeCell ref="I5:I6"/>
    <mergeCell ref="J5:L6"/>
    <mergeCell ref="A7:A9"/>
    <mergeCell ref="B7:C9"/>
    <mergeCell ref="D7:D9"/>
    <mergeCell ref="E7:E9"/>
    <mergeCell ref="J7:L7"/>
    <mergeCell ref="J8:L8"/>
    <mergeCell ref="J9:L9"/>
    <mergeCell ref="G5:G6"/>
    <mergeCell ref="B3:E3"/>
    <mergeCell ref="A5:C6"/>
    <mergeCell ref="D5:D6"/>
    <mergeCell ref="E5:E6"/>
    <mergeCell ref="F5:F6"/>
  </mergeCells>
  <hyperlinks>
    <hyperlink ref="B1" location="Содержание!A1" display="Вернуться в содержание"/>
  </hyperlink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92D050"/>
  </sheetPr>
  <dimension ref="A1:Y27"/>
  <sheetViews>
    <sheetView view="pageBreakPreview" zoomScale="70" zoomScaleNormal="70" zoomScaleSheetLayoutView="70" zoomScalePageLayoutView="70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B1" sqref="B1"/>
    </sheetView>
  </sheetViews>
  <sheetFormatPr defaultColWidth="8.85546875" defaultRowHeight="15"/>
  <cols>
    <col min="1" max="1" width="4.7109375" style="589" customWidth="1"/>
    <col min="2" max="5" width="11.7109375" style="589" customWidth="1"/>
    <col min="6" max="6" width="16" style="2" customWidth="1"/>
    <col min="7" max="9" width="24.7109375" style="589" customWidth="1"/>
    <col min="10" max="12" width="15.7109375" style="589" customWidth="1"/>
    <col min="13" max="13" width="24.7109375" style="589" customWidth="1"/>
    <col min="14" max="14" width="20.7109375" style="589" customWidth="1"/>
    <col min="15" max="16384" width="8.85546875" style="589"/>
  </cols>
  <sheetData>
    <row r="1" spans="1:25" s="11" customFormat="1" ht="18" customHeight="1">
      <c r="B1" s="2277" t="s">
        <v>490</v>
      </c>
      <c r="C1" s="26"/>
      <c r="D1" s="26"/>
      <c r="E1" s="26"/>
      <c r="F1" s="4"/>
      <c r="G1" s="26"/>
      <c r="H1" s="26"/>
      <c r="I1" s="26"/>
      <c r="J1" s="26"/>
      <c r="K1" s="26"/>
      <c r="L1" s="1181"/>
      <c r="M1" s="26"/>
      <c r="O1" s="387"/>
      <c r="P1" s="387"/>
      <c r="Q1" s="387"/>
      <c r="R1" s="387"/>
      <c r="S1" s="387"/>
      <c r="T1" s="387"/>
      <c r="U1" s="387"/>
      <c r="V1" s="387"/>
      <c r="W1" s="387"/>
      <c r="X1" s="387"/>
      <c r="Y1" s="387"/>
    </row>
    <row r="2" spans="1:25" ht="18" customHeight="1">
      <c r="A2" s="5"/>
      <c r="B2" s="2180"/>
      <c r="C2" s="2180"/>
      <c r="D2" s="2180"/>
      <c r="E2" s="2180"/>
      <c r="F2" s="515"/>
      <c r="G2" s="15"/>
      <c r="H2" s="15"/>
      <c r="I2" s="15"/>
      <c r="J2" s="15"/>
      <c r="K2" s="15"/>
      <c r="L2" s="15"/>
      <c r="M2" s="15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242"/>
      <c r="Y2" s="242"/>
    </row>
    <row r="3" spans="1:25" ht="90" customHeight="1">
      <c r="A3" s="7"/>
      <c r="B3" s="4197" t="s">
        <v>309</v>
      </c>
      <c r="C3" s="4473"/>
      <c r="D3" s="4199"/>
      <c r="E3" s="4200"/>
      <c r="F3" s="8"/>
      <c r="G3" s="242"/>
      <c r="H3" s="242"/>
      <c r="I3" s="242"/>
      <c r="J3" s="471"/>
      <c r="K3" s="471"/>
      <c r="L3" s="897"/>
      <c r="M3" s="897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</row>
    <row r="4" spans="1:25">
      <c r="A4" s="2180"/>
      <c r="B4" s="19" t="s">
        <v>59</v>
      </c>
      <c r="C4" s="19"/>
      <c r="D4" s="2180"/>
      <c r="E4" s="2180"/>
      <c r="F4" s="6"/>
      <c r="G4" s="15"/>
      <c r="H4" s="15"/>
      <c r="I4" s="15"/>
      <c r="J4" s="15"/>
      <c r="K4" s="15"/>
      <c r="L4" s="15"/>
      <c r="M4" s="15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</row>
    <row r="5" spans="1:25" ht="30" customHeight="1">
      <c r="A5" s="4220" t="s">
        <v>2</v>
      </c>
      <c r="B5" s="4221"/>
      <c r="C5" s="4222"/>
      <c r="D5" s="4201" t="s">
        <v>42</v>
      </c>
      <c r="E5" s="4201" t="s">
        <v>41</v>
      </c>
      <c r="F5" s="4201" t="s">
        <v>37</v>
      </c>
      <c r="G5" s="4292" t="s">
        <v>2331</v>
      </c>
      <c r="H5" s="4292" t="s">
        <v>2332</v>
      </c>
      <c r="I5" s="4446" t="s">
        <v>2333</v>
      </c>
      <c r="J5" s="4533" t="s">
        <v>2334</v>
      </c>
      <c r="K5" s="4534"/>
      <c r="L5" s="4535"/>
      <c r="M5" s="897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</row>
    <row r="6" spans="1:25" ht="30" customHeight="1">
      <c r="A6" s="4223"/>
      <c r="B6" s="4224"/>
      <c r="C6" s="4225"/>
      <c r="D6" s="4412"/>
      <c r="E6" s="4412"/>
      <c r="F6" s="4412"/>
      <c r="G6" s="4293"/>
      <c r="H6" s="4293"/>
      <c r="I6" s="4396"/>
      <c r="J6" s="4536"/>
      <c r="K6" s="4537"/>
      <c r="L6" s="4538"/>
      <c r="M6" s="897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</row>
    <row r="7" spans="1:25" s="2180" customFormat="1" ht="30" customHeight="1">
      <c r="A7" s="4522" t="s">
        <v>30</v>
      </c>
      <c r="B7" s="4211" t="s">
        <v>284</v>
      </c>
      <c r="C7" s="4523"/>
      <c r="D7" s="4213" t="s">
        <v>35</v>
      </c>
      <c r="E7" s="4213" t="s">
        <v>34</v>
      </c>
      <c r="F7" s="182" t="s">
        <v>0</v>
      </c>
      <c r="G7" s="1048">
        <f>CEILING('Полотна база'!P54*(1+скидки_наценки!$B$30)*скидки_наценки!$D$11*скидки_наценки!$F$11/скидки_наценки!$B$4, 50)</f>
        <v>24150</v>
      </c>
      <c r="H7" s="1048">
        <f>CEILING('Полотна база'!P54*(1+скидки_наценки!$B$30)*скидки_наценки!$D$11*скидки_наценки!$F$11/скидки_наценки!$B$4, 50)</f>
        <v>24150</v>
      </c>
      <c r="I7" s="2395">
        <f>CEILING('Полотна база'!P54*(1+скидки_наценки!$B$30)*скидки_наценки!$D$11*скидки_наценки!$F$11/скидки_наценки!$B$4, 50)</f>
        <v>24150</v>
      </c>
      <c r="J7" s="4524">
        <f>CEILING('Полотна база'!P54*(1+скидки_наценки!$B$30)*скидки_наценки!$D$11*скидки_наценки!$F$11/скидки_наценки!$B$4, 50)</f>
        <v>24150</v>
      </c>
      <c r="K7" s="4525"/>
      <c r="L7" s="4526"/>
      <c r="M7" s="897"/>
      <c r="N7" s="441"/>
      <c r="O7" s="441"/>
      <c r="P7" s="441"/>
      <c r="Q7" s="441"/>
      <c r="R7" s="441"/>
      <c r="S7" s="441"/>
      <c r="T7" s="441"/>
      <c r="U7" s="441"/>
      <c r="V7" s="441"/>
      <c r="W7" s="441"/>
      <c r="X7" s="441"/>
      <c r="Y7" s="441"/>
    </row>
    <row r="8" spans="1:25" s="2180" customFormat="1" ht="15" customHeight="1">
      <c r="A8" s="4522"/>
      <c r="B8" s="4435"/>
      <c r="C8" s="4437"/>
      <c r="D8" s="4214"/>
      <c r="E8" s="4214"/>
      <c r="F8" s="2183" t="s">
        <v>306</v>
      </c>
      <c r="G8" s="1050">
        <f>IF(G7=0,0,(Погонаж!$C$13*2.5+Погонаж!$E$13*5))</f>
        <v>12375</v>
      </c>
      <c r="H8" s="1050">
        <f>IF(H7=0,0,(Погонаж!$C$13*2.5+Погонаж!$E$13*5))</f>
        <v>12375</v>
      </c>
      <c r="I8" s="1050">
        <f>IF(I7=0,0,(Погонаж!$C$13*2.5+Погонаж!$E$13*5))</f>
        <v>12375</v>
      </c>
      <c r="J8" s="4527">
        <f>IF(J7=0,0,(Погонаж!$C$13*2.5+Погонаж!$E$13*5))</f>
        <v>12375</v>
      </c>
      <c r="K8" s="4528"/>
      <c r="L8" s="4529"/>
      <c r="M8" s="15"/>
      <c r="N8" s="441"/>
      <c r="O8" s="441"/>
      <c r="P8" s="441"/>
      <c r="Q8" s="441"/>
      <c r="R8" s="441"/>
      <c r="S8" s="441"/>
      <c r="T8" s="441"/>
      <c r="U8" s="441"/>
      <c r="V8" s="441"/>
      <c r="W8" s="441"/>
      <c r="X8" s="441"/>
      <c r="Y8" s="441"/>
    </row>
    <row r="9" spans="1:25" s="2180" customFormat="1" ht="30" customHeight="1">
      <c r="A9" s="4522"/>
      <c r="B9" s="4312"/>
      <c r="C9" s="4313"/>
      <c r="D9" s="4215"/>
      <c r="E9" s="4215"/>
      <c r="F9" s="267" t="s">
        <v>1</v>
      </c>
      <c r="G9" s="1049">
        <f>G7+G8</f>
        <v>36525</v>
      </c>
      <c r="H9" s="1049">
        <f>H7+H8</f>
        <v>36525</v>
      </c>
      <c r="I9" s="1049">
        <f>I7+I8</f>
        <v>36525</v>
      </c>
      <c r="J9" s="4530">
        <f>J7+J8</f>
        <v>36525</v>
      </c>
      <c r="K9" s="4531"/>
      <c r="L9" s="4532"/>
      <c r="M9" s="897"/>
      <c r="N9" s="599"/>
      <c r="O9" s="441"/>
      <c r="P9" s="441"/>
      <c r="Q9" s="441"/>
      <c r="R9" s="441"/>
      <c r="S9" s="441"/>
      <c r="T9" s="441"/>
      <c r="U9" s="441"/>
      <c r="V9" s="441"/>
      <c r="W9" s="441"/>
      <c r="X9" s="441"/>
      <c r="Y9" s="441"/>
    </row>
    <row r="10" spans="1:25" ht="15" customHeight="1">
      <c r="F10" s="589"/>
      <c r="N10" s="242"/>
      <c r="O10" s="242"/>
      <c r="P10" s="242"/>
      <c r="Q10" s="242"/>
      <c r="R10" s="242"/>
      <c r="S10" s="242"/>
      <c r="T10" s="242"/>
      <c r="U10" s="242"/>
      <c r="V10" s="242"/>
      <c r="W10" s="242"/>
      <c r="X10" s="242"/>
      <c r="Y10" s="242"/>
    </row>
    <row r="11" spans="1:25" ht="18" customHeight="1">
      <c r="A11" s="18"/>
      <c r="B11" s="20"/>
      <c r="C11" s="20"/>
      <c r="D11" s="17"/>
      <c r="E11" s="17"/>
      <c r="F11" s="420"/>
      <c r="G11" s="420"/>
      <c r="H11" s="420"/>
      <c r="I11" s="420"/>
      <c r="J11" s="420"/>
      <c r="K11" s="420"/>
      <c r="L11" s="420"/>
      <c r="M11" s="420"/>
    </row>
    <row r="12" spans="1:25" ht="18" customHeight="1">
      <c r="B12" s="11"/>
      <c r="C12" s="11"/>
      <c r="F12" s="897"/>
      <c r="G12" s="897"/>
      <c r="H12" s="897"/>
      <c r="I12" s="897"/>
      <c r="J12" s="897"/>
      <c r="K12" s="897"/>
      <c r="L12" s="897"/>
      <c r="M12" s="897"/>
    </row>
    <row r="13" spans="1:25" ht="90" customHeight="1">
      <c r="B13" s="11"/>
      <c r="C13" s="11"/>
      <c r="F13" s="897"/>
      <c r="G13" s="897"/>
      <c r="H13" s="897"/>
      <c r="I13" s="897"/>
      <c r="J13" s="897"/>
      <c r="K13" s="420"/>
      <c r="L13" s="420"/>
      <c r="M13" s="420"/>
    </row>
    <row r="14" spans="1:25">
      <c r="A14" s="2180"/>
      <c r="B14" s="19" t="s">
        <v>25</v>
      </c>
      <c r="C14" s="19"/>
      <c r="D14" s="2180"/>
      <c r="E14" s="2180"/>
      <c r="F14" s="15"/>
      <c r="G14" s="515"/>
      <c r="H14" s="15"/>
      <c r="I14" s="15"/>
      <c r="J14" s="15"/>
      <c r="K14" s="897"/>
      <c r="L14" s="897"/>
      <c r="M14" s="897"/>
    </row>
    <row r="15" spans="1:25">
      <c r="A15" s="4220" t="s">
        <v>39</v>
      </c>
      <c r="B15" s="4222"/>
      <c r="C15" s="4220" t="s">
        <v>36</v>
      </c>
      <c r="D15" s="4222"/>
      <c r="E15" s="4201" t="s">
        <v>40</v>
      </c>
      <c r="F15" s="4201" t="s">
        <v>38</v>
      </c>
      <c r="G15" s="2420" t="str">
        <f>G5</f>
        <v xml:space="preserve">Stripe1 </v>
      </c>
      <c r="H15" s="2420" t="str">
        <f>H5</f>
        <v>Stripe2</v>
      </c>
      <c r="I15" s="2420" t="str">
        <f>I5</f>
        <v>Stripe3</v>
      </c>
      <c r="J15" s="2420" t="str">
        <f>J5</f>
        <v>Stripe4</v>
      </c>
      <c r="K15" s="2420" t="str">
        <f>J15</f>
        <v>Stripe4</v>
      </c>
      <c r="L15" s="2420" t="str">
        <f>J15</f>
        <v>Stripe4</v>
      </c>
      <c r="M15" s="420"/>
    </row>
    <row r="16" spans="1:25">
      <c r="A16" s="4477"/>
      <c r="B16" s="4478"/>
      <c r="C16" s="4477"/>
      <c r="D16" s="4478"/>
      <c r="E16" s="4472"/>
      <c r="F16" s="4472"/>
      <c r="G16" s="2421" t="s">
        <v>22</v>
      </c>
      <c r="H16" s="2421" t="s">
        <v>22</v>
      </c>
      <c r="I16" s="2421" t="s">
        <v>22</v>
      </c>
      <c r="J16" s="2421" t="s">
        <v>22</v>
      </c>
      <c r="K16" s="2421" t="s">
        <v>23</v>
      </c>
      <c r="L16" s="2421" t="s">
        <v>2041</v>
      </c>
      <c r="M16" s="897"/>
    </row>
    <row r="17" spans="1:14" s="143" customFormat="1">
      <c r="A17" s="4223"/>
      <c r="B17" s="4225"/>
      <c r="C17" s="4223"/>
      <c r="D17" s="4225"/>
      <c r="E17" s="4202"/>
      <c r="F17" s="4202"/>
      <c r="G17" s="2422" t="s">
        <v>222</v>
      </c>
      <c r="H17" s="2422" t="s">
        <v>222</v>
      </c>
      <c r="I17" s="2422" t="s">
        <v>222</v>
      </c>
      <c r="J17" s="2422" t="s">
        <v>222</v>
      </c>
      <c r="K17" s="2422" t="s">
        <v>222</v>
      </c>
      <c r="L17" s="2422" t="s">
        <v>222</v>
      </c>
      <c r="M17" s="420"/>
    </row>
    <row r="18" spans="1:14" s="359" customFormat="1" ht="15" customHeight="1">
      <c r="A18" s="4460" t="s">
        <v>33</v>
      </c>
      <c r="B18" s="4461"/>
      <c r="C18" s="4466" t="s">
        <v>32</v>
      </c>
      <c r="D18" s="4467"/>
      <c r="E18" s="132" t="s">
        <v>216</v>
      </c>
      <c r="F18" s="47" t="s">
        <v>4</v>
      </c>
      <c r="G18" s="1119">
        <f>Fusion!G19</f>
        <v>1500</v>
      </c>
      <c r="H18" s="1119">
        <f>Fusion!H19</f>
        <v>1000</v>
      </c>
      <c r="I18" s="1119">
        <f>Fusion!J19</f>
        <v>1000</v>
      </c>
      <c r="J18" s="1119">
        <f>I18</f>
        <v>1000</v>
      </c>
      <c r="K18" s="1119">
        <f>CEILING(J18*0.7, 50)</f>
        <v>700</v>
      </c>
      <c r="L18" s="1119">
        <f>CEILING(J18*0.3, 50)</f>
        <v>300</v>
      </c>
      <c r="M18" s="897"/>
      <c r="N18" s="390"/>
    </row>
    <row r="19" spans="1:14" s="359" customFormat="1" ht="24" customHeight="1">
      <c r="A19" s="4462"/>
      <c r="B19" s="4463"/>
      <c r="C19" s="4253" t="s">
        <v>210</v>
      </c>
      <c r="D19" s="4254"/>
      <c r="E19" s="191" t="s">
        <v>217</v>
      </c>
      <c r="F19" s="2411" t="s">
        <v>4</v>
      </c>
      <c r="G19" s="373">
        <f>Fusion!G20</f>
        <v>2000</v>
      </c>
      <c r="H19" s="373">
        <f>Fusion!H20</f>
        <v>1300</v>
      </c>
      <c r="I19" s="373">
        <f>Fusion!J20</f>
        <v>1300</v>
      </c>
      <c r="J19" s="373">
        <f t="shared" ref="J19:J25" si="0">I19</f>
        <v>1300</v>
      </c>
      <c r="K19" s="373">
        <f>CEILING(J19*0.7, 50)</f>
        <v>950</v>
      </c>
      <c r="L19" s="373">
        <f t="shared" ref="L19:L25" si="1">CEILING(J19*0.3, 50)</f>
        <v>400</v>
      </c>
      <c r="M19" s="420"/>
      <c r="N19" s="390"/>
    </row>
    <row r="20" spans="1:14" s="359" customFormat="1" ht="24" customHeight="1">
      <c r="A20" s="4464"/>
      <c r="B20" s="4465"/>
      <c r="C20" s="4438" t="s">
        <v>211</v>
      </c>
      <c r="D20" s="4439"/>
      <c r="E20" s="1005" t="s">
        <v>217</v>
      </c>
      <c r="F20" s="2179" t="s">
        <v>4</v>
      </c>
      <c r="G20" s="327">
        <f>Fusion!G21</f>
        <v>2500</v>
      </c>
      <c r="H20" s="327">
        <f>Fusion!H21</f>
        <v>1700</v>
      </c>
      <c r="I20" s="327">
        <f>Fusion!J21</f>
        <v>1700</v>
      </c>
      <c r="J20" s="327">
        <f t="shared" si="0"/>
        <v>1700</v>
      </c>
      <c r="K20" s="327">
        <f>CEILING(J20*0.7, 50)</f>
        <v>1200</v>
      </c>
      <c r="L20" s="327">
        <f t="shared" si="1"/>
        <v>550</v>
      </c>
      <c r="M20" s="897"/>
      <c r="N20" s="390"/>
    </row>
    <row r="21" spans="1:14" s="359" customFormat="1" ht="24" customHeight="1">
      <c r="A21" s="4468" t="s">
        <v>235</v>
      </c>
      <c r="B21" s="4469"/>
      <c r="C21" s="4470" t="s">
        <v>258</v>
      </c>
      <c r="D21" s="4471"/>
      <c r="E21" s="2428" t="s">
        <v>217</v>
      </c>
      <c r="F21" s="184" t="s">
        <v>4</v>
      </c>
      <c r="G21" s="372">
        <f>Fusion!G22</f>
        <v>2200</v>
      </c>
      <c r="H21" s="372">
        <f>Fusion!H22</f>
        <v>1500</v>
      </c>
      <c r="I21" s="372">
        <f>Fusion!J22</f>
        <v>1500</v>
      </c>
      <c r="J21" s="372">
        <f t="shared" si="0"/>
        <v>1500</v>
      </c>
      <c r="K21" s="372">
        <f>CEILING(J21*0.7, 50)</f>
        <v>1050</v>
      </c>
      <c r="L21" s="372">
        <f t="shared" si="1"/>
        <v>450</v>
      </c>
      <c r="M21" s="420"/>
      <c r="N21" s="390"/>
    </row>
    <row r="22" spans="1:14" s="73" customFormat="1" ht="50.25" customHeight="1">
      <c r="A22" s="4452" t="s">
        <v>215</v>
      </c>
      <c r="B22" s="4453"/>
      <c r="C22" s="4454" t="s">
        <v>1335</v>
      </c>
      <c r="D22" s="4455"/>
      <c r="E22" s="1005" t="s">
        <v>217</v>
      </c>
      <c r="F22" s="430" t="s">
        <v>1326</v>
      </c>
      <c r="G22" s="371">
        <f>Fusion!G23</f>
        <v>2600</v>
      </c>
      <c r="H22" s="371">
        <f>Fusion!H23</f>
        <v>1700</v>
      </c>
      <c r="I22" s="371">
        <f>Fusion!J23</f>
        <v>1700</v>
      </c>
      <c r="J22" s="371">
        <f t="shared" si="0"/>
        <v>1700</v>
      </c>
      <c r="K22" s="371">
        <f>CEILING(J22*0.7, 50)</f>
        <v>1200</v>
      </c>
      <c r="L22" s="371">
        <f t="shared" si="1"/>
        <v>550</v>
      </c>
      <c r="M22" s="897"/>
      <c r="N22" s="390"/>
    </row>
    <row r="23" spans="1:14" s="68" customFormat="1" ht="15" customHeight="1">
      <c r="A23" s="1207" t="s">
        <v>218</v>
      </c>
      <c r="B23" s="1206"/>
      <c r="C23" s="1206"/>
      <c r="D23" s="1206"/>
      <c r="E23" s="1206"/>
      <c r="F23" s="1206"/>
      <c r="G23" s="1206"/>
      <c r="H23" s="1206"/>
      <c r="I23" s="1206"/>
      <c r="J23" s="1206"/>
      <c r="K23" s="1206"/>
      <c r="L23" s="1206"/>
      <c r="M23" s="897"/>
      <c r="N23" s="390"/>
    </row>
    <row r="24" spans="1:14" s="22" customFormat="1" ht="24" customHeight="1">
      <c r="A24" s="4456" t="s">
        <v>224</v>
      </c>
      <c r="B24" s="4456"/>
      <c r="C24" s="4456" t="s">
        <v>484</v>
      </c>
      <c r="D24" s="4456"/>
      <c r="E24" s="4456"/>
      <c r="F24" s="4456"/>
      <c r="G24" s="333">
        <f>Fusion!G25</f>
        <v>700</v>
      </c>
      <c r="H24" s="333">
        <f>Fusion!H25</f>
        <v>500</v>
      </c>
      <c r="I24" s="333">
        <f>Fusion!J25</f>
        <v>500</v>
      </c>
      <c r="J24" s="333">
        <f t="shared" si="0"/>
        <v>500</v>
      </c>
      <c r="K24" s="333">
        <f>CEILING(J24*0.7, 50)</f>
        <v>350</v>
      </c>
      <c r="L24" s="333">
        <f t="shared" si="1"/>
        <v>150</v>
      </c>
      <c r="M24" s="897"/>
      <c r="N24" s="390"/>
    </row>
    <row r="25" spans="1:14" s="22" customFormat="1" ht="41.25" customHeight="1">
      <c r="A25" s="4457" t="s">
        <v>363</v>
      </c>
      <c r="B25" s="4458"/>
      <c r="C25" s="4459" t="s">
        <v>485</v>
      </c>
      <c r="D25" s="4459"/>
      <c r="E25" s="4459"/>
      <c r="F25" s="4459"/>
      <c r="G25" s="353">
        <f>Fusion!G26</f>
        <v>700</v>
      </c>
      <c r="H25" s="353">
        <f>Fusion!H26</f>
        <v>500</v>
      </c>
      <c r="I25" s="353">
        <f>Fusion!J26</f>
        <v>500</v>
      </c>
      <c r="J25" s="353">
        <f t="shared" si="0"/>
        <v>500</v>
      </c>
      <c r="K25" s="353">
        <f>CEILING(J25*0.7, 50)</f>
        <v>350</v>
      </c>
      <c r="L25" s="353">
        <f t="shared" si="1"/>
        <v>150</v>
      </c>
      <c r="M25" s="897"/>
      <c r="N25" s="390"/>
    </row>
    <row r="26" spans="1:14" ht="18" customHeight="1">
      <c r="F26" s="589"/>
      <c r="N26" s="390"/>
    </row>
    <row r="27" spans="1:14" ht="18" customHeight="1">
      <c r="F27" s="589"/>
      <c r="J27" s="361"/>
      <c r="L27" s="361"/>
      <c r="N27" s="390"/>
    </row>
  </sheetData>
  <mergeCells count="32">
    <mergeCell ref="J7:L7"/>
    <mergeCell ref="J8:L8"/>
    <mergeCell ref="J9:L9"/>
    <mergeCell ref="F5:F6"/>
    <mergeCell ref="G5:G6"/>
    <mergeCell ref="H5:H6"/>
    <mergeCell ref="I5:I6"/>
    <mergeCell ref="J5:L6"/>
    <mergeCell ref="A25:B25"/>
    <mergeCell ref="C25:F25"/>
    <mergeCell ref="A15:B17"/>
    <mergeCell ref="C15:D17"/>
    <mergeCell ref="E15:E17"/>
    <mergeCell ref="F15:F17"/>
    <mergeCell ref="A18:B20"/>
    <mergeCell ref="C18:D18"/>
    <mergeCell ref="C19:D19"/>
    <mergeCell ref="C20:D20"/>
    <mergeCell ref="A21:B21"/>
    <mergeCell ref="C21:D21"/>
    <mergeCell ref="A22:B22"/>
    <mergeCell ref="C22:D22"/>
    <mergeCell ref="A24:B24"/>
    <mergeCell ref="C24:F24"/>
    <mergeCell ref="B3:E3"/>
    <mergeCell ref="A7:A9"/>
    <mergeCell ref="B7:C9"/>
    <mergeCell ref="D7:D9"/>
    <mergeCell ref="E7:E9"/>
    <mergeCell ref="A5:C6"/>
    <mergeCell ref="D5:D6"/>
    <mergeCell ref="E5:E6"/>
  </mergeCells>
  <conditionalFormatting sqref="K13:M13 M15 M17 M19 M21 G11:M11">
    <cfRule type="cellIs" dxfId="130" priority="2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14" orientation="landscape" useFirstPageNumber="1" r:id="rId1"/>
  <headerFooter>
    <oddFooter>&amp;L&amp;P&amp;R&amp;G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92D050"/>
  </sheetPr>
  <dimension ref="A1:DE79"/>
  <sheetViews>
    <sheetView view="pageBreakPreview" zoomScale="70" zoomScaleNormal="70" zoomScaleSheetLayoutView="70" zoomScalePageLayoutView="55" workbookViewId="0">
      <pane xSplit="6" ySplit="5" topLeftCell="G6" activePane="bottomRight" state="frozen"/>
      <selection pane="topRight" activeCell="G1" sqref="G1"/>
      <selection pane="bottomLeft" activeCell="A11" sqref="A11"/>
      <selection pane="bottomRight" activeCell="B1" sqref="B1"/>
    </sheetView>
  </sheetViews>
  <sheetFormatPr defaultColWidth="9.140625" defaultRowHeight="15"/>
  <cols>
    <col min="1" max="1" width="4.7109375" style="589" customWidth="1"/>
    <col min="2" max="2" width="9.85546875" style="589" customWidth="1"/>
    <col min="3" max="3" width="8.7109375" style="589" customWidth="1"/>
    <col min="4" max="4" width="11.85546875" style="589" customWidth="1"/>
    <col min="5" max="5" width="11.42578125" style="589" customWidth="1"/>
    <col min="6" max="6" width="12.7109375" style="2" customWidth="1"/>
    <col min="7" max="7" width="29.7109375" style="589" customWidth="1"/>
    <col min="8" max="8" width="28.5703125" style="589" customWidth="1"/>
    <col min="9" max="9" width="14.7109375" style="589" customWidth="1"/>
    <col min="10" max="10" width="10" style="589" hidden="1" customWidth="1"/>
    <col min="11" max="11" width="12.85546875" style="589" customWidth="1"/>
    <col min="12" max="12" width="16.42578125" style="589" customWidth="1"/>
    <col min="13" max="13" width="14.5703125" style="589" customWidth="1"/>
    <col min="14" max="14" width="20.7109375" style="589" customWidth="1"/>
    <col min="15" max="16384" width="9.140625" style="589"/>
  </cols>
  <sheetData>
    <row r="1" spans="1:109" s="11" customFormat="1" ht="18" customHeight="1">
      <c r="B1" s="2277" t="s">
        <v>490</v>
      </c>
      <c r="C1" s="2277"/>
      <c r="D1" s="26"/>
      <c r="E1" s="26"/>
      <c r="F1" s="4"/>
      <c r="G1" s="26"/>
      <c r="H1" s="26"/>
      <c r="I1" s="26"/>
      <c r="J1" s="26"/>
      <c r="K1" s="26"/>
      <c r="L1" s="26"/>
      <c r="M1" s="26"/>
      <c r="T1" s="2278"/>
      <c r="U1" s="2278"/>
      <c r="V1" s="2278"/>
      <c r="W1" s="2278"/>
      <c r="X1" s="2278"/>
      <c r="Y1" s="2278"/>
      <c r="Z1" s="2278"/>
      <c r="AA1" s="2278"/>
      <c r="AB1" s="2278"/>
      <c r="AC1" s="2278"/>
      <c r="AD1" s="2278"/>
      <c r="AE1" s="2278"/>
      <c r="AF1" s="2278"/>
      <c r="AG1" s="2278"/>
      <c r="AH1" s="2278"/>
      <c r="AI1" s="2278"/>
      <c r="AJ1" s="2278"/>
      <c r="AK1" s="2278"/>
      <c r="AL1" s="2278"/>
      <c r="AM1" s="2278"/>
      <c r="AN1" s="2278"/>
      <c r="AO1" s="2278"/>
      <c r="AP1" s="2278"/>
      <c r="AQ1" s="2278"/>
      <c r="AR1" s="2278"/>
      <c r="AS1" s="2278"/>
      <c r="AT1" s="2278"/>
      <c r="AU1" s="2278"/>
      <c r="AV1" s="2278"/>
      <c r="AW1" s="2278"/>
      <c r="AX1" s="2278"/>
      <c r="AY1" s="2278"/>
      <c r="AZ1" s="2278"/>
      <c r="BA1" s="2278"/>
      <c r="BB1" s="2278"/>
      <c r="BC1" s="2278"/>
      <c r="BD1" s="2278"/>
      <c r="BE1" s="2278"/>
      <c r="BF1" s="2278"/>
      <c r="BG1" s="2278"/>
      <c r="BH1" s="2278"/>
      <c r="BI1" s="2278"/>
      <c r="BJ1" s="2278"/>
      <c r="BK1" s="2278"/>
      <c r="BL1" s="2278"/>
      <c r="BM1" s="2278"/>
      <c r="BN1" s="2278"/>
      <c r="BO1" s="2278"/>
      <c r="BP1" s="2278"/>
      <c r="BQ1" s="2278"/>
      <c r="BR1" s="2278"/>
      <c r="BS1" s="2278"/>
      <c r="BT1" s="2278"/>
      <c r="BU1" s="2278"/>
      <c r="BV1" s="2278"/>
      <c r="BW1" s="2278"/>
      <c r="BX1" s="2278"/>
      <c r="BY1" s="2278"/>
      <c r="BZ1" s="2278"/>
      <c r="CA1" s="2278"/>
      <c r="CB1" s="2278"/>
      <c r="CC1" s="2278"/>
      <c r="CD1" s="2278"/>
      <c r="CE1" s="2278"/>
      <c r="CF1" s="2278"/>
      <c r="CG1" s="2278"/>
      <c r="CH1" s="2278"/>
      <c r="CI1" s="2278"/>
      <c r="CJ1" s="2278"/>
      <c r="CK1" s="2278"/>
      <c r="CL1" s="2278"/>
      <c r="CM1" s="2278"/>
      <c r="CN1" s="2278"/>
      <c r="CO1" s="2278"/>
      <c r="CP1" s="2278"/>
      <c r="CQ1" s="2278"/>
      <c r="CR1" s="2278"/>
      <c r="CS1" s="2278"/>
      <c r="CT1" s="2278"/>
      <c r="CU1" s="2278"/>
      <c r="CV1" s="2278"/>
      <c r="CW1" s="2278"/>
      <c r="CX1" s="2278"/>
      <c r="CY1" s="2278"/>
      <c r="CZ1" s="2278"/>
      <c r="DA1" s="2278"/>
      <c r="DB1" s="2278"/>
      <c r="DC1" s="2278"/>
      <c r="DD1" s="2278"/>
      <c r="DE1" s="2278"/>
    </row>
    <row r="3" spans="1:109" ht="90" customHeight="1">
      <c r="A3" s="7"/>
      <c r="B3" s="4326" t="s">
        <v>309</v>
      </c>
      <c r="C3" s="4327"/>
      <c r="D3" s="4327"/>
      <c r="E3" s="4328"/>
      <c r="F3" s="8"/>
      <c r="G3" s="7"/>
      <c r="H3" s="7"/>
      <c r="I3" s="7"/>
      <c r="J3" s="7"/>
      <c r="K3" s="7"/>
      <c r="L3" s="7"/>
      <c r="M3" s="7"/>
      <c r="T3" s="614"/>
      <c r="U3" s="614"/>
      <c r="V3" s="614"/>
      <c r="W3" s="614"/>
      <c r="X3" s="614"/>
      <c r="Y3" s="614"/>
      <c r="Z3" s="614"/>
      <c r="AA3" s="614"/>
      <c r="AB3" s="614"/>
      <c r="AC3" s="614"/>
      <c r="AD3" s="614"/>
      <c r="AE3" s="614"/>
      <c r="AF3" s="614"/>
      <c r="AG3" s="614"/>
      <c r="AH3" s="614"/>
      <c r="AI3" s="614"/>
      <c r="AJ3" s="614"/>
      <c r="AK3" s="614"/>
      <c r="AL3" s="614"/>
      <c r="AM3" s="614"/>
      <c r="AN3" s="614"/>
      <c r="AO3" s="614"/>
      <c r="AP3" s="614"/>
      <c r="AQ3" s="614"/>
      <c r="AR3" s="614"/>
      <c r="AS3" s="614"/>
      <c r="AT3" s="614"/>
      <c r="AU3" s="614"/>
      <c r="AV3" s="614"/>
      <c r="AW3" s="614"/>
      <c r="AX3" s="614"/>
      <c r="AY3" s="614"/>
      <c r="AZ3" s="614"/>
      <c r="BA3" s="614"/>
      <c r="BB3" s="614"/>
      <c r="BC3" s="614"/>
      <c r="BD3" s="614"/>
      <c r="BE3" s="614"/>
      <c r="BF3" s="614"/>
      <c r="BG3" s="614"/>
      <c r="BH3" s="614"/>
      <c r="BI3" s="614"/>
      <c r="BJ3" s="614"/>
      <c r="BK3" s="614"/>
      <c r="BL3" s="614"/>
      <c r="BM3" s="614"/>
      <c r="BN3" s="614"/>
      <c r="BO3" s="614"/>
      <c r="BP3" s="614"/>
      <c r="BQ3" s="614"/>
      <c r="BR3" s="614"/>
      <c r="BS3" s="614"/>
      <c r="BT3" s="614"/>
      <c r="BU3" s="614"/>
      <c r="BV3" s="614"/>
      <c r="BW3" s="614"/>
      <c r="BX3" s="614"/>
      <c r="BY3" s="614"/>
      <c r="BZ3" s="614"/>
      <c r="CA3" s="614"/>
      <c r="CB3" s="614"/>
      <c r="CC3" s="614"/>
      <c r="CD3" s="614"/>
      <c r="CE3" s="614"/>
      <c r="CF3" s="614"/>
      <c r="CG3" s="614"/>
      <c r="CH3" s="614"/>
      <c r="CI3" s="614"/>
      <c r="CJ3" s="614"/>
      <c r="CK3" s="614"/>
      <c r="CL3" s="614"/>
      <c r="CM3" s="614"/>
      <c r="CN3" s="614"/>
      <c r="CO3" s="614"/>
      <c r="CP3" s="614"/>
      <c r="CQ3" s="614"/>
      <c r="CR3" s="614"/>
      <c r="CS3" s="614"/>
      <c r="CT3" s="614"/>
      <c r="CU3" s="614"/>
      <c r="CV3" s="614"/>
      <c r="CW3" s="614"/>
      <c r="CX3" s="614"/>
      <c r="CY3" s="614"/>
      <c r="CZ3" s="614"/>
      <c r="DA3" s="614"/>
      <c r="DB3" s="614"/>
      <c r="DC3" s="614"/>
      <c r="DD3" s="614"/>
      <c r="DE3" s="614"/>
    </row>
    <row r="4" spans="1:109" ht="23.25" customHeight="1">
      <c r="A4" s="2580"/>
      <c r="B4" s="19" t="s">
        <v>59</v>
      </c>
      <c r="C4" s="19"/>
      <c r="D4" s="2580"/>
      <c r="E4" s="2580"/>
      <c r="F4" s="6"/>
      <c r="G4" s="2580"/>
      <c r="H4" s="2580"/>
      <c r="I4" s="2580"/>
      <c r="J4" s="2580"/>
      <c r="K4" s="2580"/>
      <c r="L4" s="2789"/>
      <c r="M4" s="2580"/>
      <c r="T4" s="614"/>
      <c r="U4" s="614"/>
      <c r="V4" s="614"/>
      <c r="W4" s="614"/>
      <c r="X4" s="614"/>
      <c r="Y4" s="614"/>
      <c r="Z4" s="614"/>
      <c r="AA4" s="614"/>
      <c r="AB4" s="614"/>
      <c r="AC4" s="614"/>
      <c r="AD4" s="614"/>
      <c r="AE4" s="614"/>
      <c r="AF4" s="614"/>
      <c r="AG4" s="614"/>
      <c r="AH4" s="614"/>
      <c r="AI4" s="614"/>
      <c r="AJ4" s="614"/>
      <c r="AK4" s="614"/>
      <c r="AL4" s="614"/>
      <c r="AM4" s="614"/>
      <c r="AN4" s="614"/>
      <c r="AO4" s="614"/>
      <c r="AP4" s="614"/>
      <c r="AQ4" s="614"/>
      <c r="AR4" s="614"/>
      <c r="AS4" s="614"/>
      <c r="AT4" s="614"/>
      <c r="AU4" s="614"/>
      <c r="AV4" s="614"/>
      <c r="AW4" s="614"/>
      <c r="AX4" s="614"/>
      <c r="AY4" s="614"/>
      <c r="AZ4" s="614"/>
      <c r="BA4" s="614"/>
      <c r="BB4" s="614"/>
      <c r="BC4" s="614"/>
      <c r="BD4" s="614"/>
      <c r="BE4" s="614"/>
      <c r="BF4" s="614"/>
      <c r="BG4" s="614"/>
      <c r="BH4" s="614"/>
      <c r="BI4" s="614"/>
      <c r="BJ4" s="614"/>
      <c r="BK4" s="614"/>
      <c r="BL4" s="614"/>
      <c r="BM4" s="614"/>
      <c r="BN4" s="614"/>
      <c r="BO4" s="614"/>
      <c r="BP4" s="614"/>
      <c r="BQ4" s="614"/>
      <c r="BR4" s="614"/>
      <c r="BS4" s="614"/>
      <c r="BT4" s="614"/>
      <c r="BU4" s="614"/>
      <c r="BV4" s="614"/>
      <c r="BW4" s="614"/>
      <c r="BX4" s="614"/>
      <c r="BY4" s="614"/>
      <c r="BZ4" s="614"/>
      <c r="CA4" s="614"/>
      <c r="CB4" s="614"/>
      <c r="CC4" s="614"/>
      <c r="CD4" s="614"/>
      <c r="CE4" s="614"/>
      <c r="CF4" s="614"/>
      <c r="CG4" s="614"/>
      <c r="CH4" s="614"/>
      <c r="CI4" s="614"/>
      <c r="CJ4" s="614"/>
      <c r="CK4" s="614"/>
      <c r="CL4" s="614"/>
      <c r="CM4" s="614"/>
      <c r="CN4" s="614"/>
      <c r="CO4" s="614"/>
      <c r="CP4" s="614"/>
      <c r="CQ4" s="614"/>
      <c r="CR4" s="614"/>
      <c r="CS4" s="614"/>
      <c r="CT4" s="614"/>
      <c r="CU4" s="614"/>
      <c r="CV4" s="614"/>
      <c r="CW4" s="614"/>
      <c r="CX4" s="614"/>
      <c r="CY4" s="614"/>
      <c r="CZ4" s="614"/>
      <c r="DA4" s="614"/>
      <c r="DB4" s="614"/>
      <c r="DC4" s="614"/>
      <c r="DD4" s="614"/>
      <c r="DE4" s="614"/>
    </row>
    <row r="5" spans="1:109" ht="27" customHeight="1">
      <c r="A5" s="4474" t="s">
        <v>2</v>
      </c>
      <c r="B5" s="4475"/>
      <c r="C5" s="4475"/>
      <c r="D5" s="2590" t="s">
        <v>42</v>
      </c>
      <c r="E5" s="2590" t="s">
        <v>41</v>
      </c>
      <c r="F5" s="2590" t="s">
        <v>8</v>
      </c>
      <c r="G5" s="2418" t="s">
        <v>3026</v>
      </c>
      <c r="H5" s="2413" t="s">
        <v>3027</v>
      </c>
      <c r="I5" s="4418" t="s">
        <v>3028</v>
      </c>
      <c r="J5" s="4418"/>
      <c r="K5" s="4418"/>
      <c r="L5" s="4539" t="s">
        <v>3029</v>
      </c>
      <c r="M5" s="4540"/>
      <c r="T5" s="614"/>
      <c r="U5" s="614"/>
      <c r="V5" s="614"/>
      <c r="W5" s="614"/>
      <c r="X5" s="614"/>
      <c r="Y5" s="614"/>
      <c r="Z5" s="614"/>
      <c r="AA5" s="614"/>
      <c r="AB5" s="614"/>
      <c r="AC5" s="614"/>
      <c r="AD5" s="614"/>
      <c r="AE5" s="614"/>
      <c r="AF5" s="614"/>
      <c r="AG5" s="614"/>
      <c r="AH5" s="614"/>
      <c r="AI5" s="614"/>
      <c r="AJ5" s="614"/>
      <c r="AK5" s="614"/>
      <c r="AL5" s="614"/>
      <c r="AM5" s="614"/>
      <c r="AN5" s="614"/>
      <c r="AO5" s="614"/>
      <c r="AP5" s="614"/>
      <c r="AQ5" s="614"/>
      <c r="AR5" s="614"/>
      <c r="AS5" s="614"/>
      <c r="AT5" s="614"/>
      <c r="AU5" s="614"/>
      <c r="AV5" s="614"/>
      <c r="AW5" s="614"/>
      <c r="AX5" s="614"/>
      <c r="AY5" s="614"/>
      <c r="AZ5" s="614"/>
      <c r="BA5" s="614"/>
      <c r="BB5" s="614"/>
      <c r="BC5" s="614"/>
      <c r="BD5" s="614"/>
      <c r="BE5" s="614"/>
      <c r="BF5" s="614"/>
      <c r="BG5" s="614"/>
      <c r="BH5" s="614"/>
      <c r="BI5" s="614"/>
      <c r="BJ5" s="614"/>
      <c r="BK5" s="614"/>
      <c r="BL5" s="614"/>
      <c r="BM5" s="614"/>
      <c r="BN5" s="614"/>
      <c r="BO5" s="614"/>
      <c r="BP5" s="614"/>
      <c r="BQ5" s="614"/>
      <c r="BR5" s="614"/>
      <c r="BS5" s="614"/>
      <c r="BT5" s="614"/>
      <c r="BU5" s="614"/>
      <c r="BV5" s="614"/>
      <c r="BW5" s="614"/>
      <c r="BX5" s="614"/>
      <c r="BY5" s="614"/>
      <c r="BZ5" s="614"/>
      <c r="CA5" s="614"/>
      <c r="CB5" s="614"/>
      <c r="CC5" s="614"/>
      <c r="CD5" s="614"/>
      <c r="CE5" s="614"/>
      <c r="CF5" s="614"/>
      <c r="CG5" s="614"/>
      <c r="CH5" s="614"/>
      <c r="CI5" s="614"/>
      <c r="CJ5" s="614"/>
      <c r="CK5" s="614"/>
      <c r="CL5" s="614"/>
      <c r="CM5" s="614"/>
      <c r="CN5" s="614"/>
      <c r="CO5" s="614"/>
      <c r="CP5" s="614"/>
      <c r="CQ5" s="614"/>
      <c r="CR5" s="614"/>
      <c r="CS5" s="614"/>
      <c r="CT5" s="614"/>
      <c r="CU5" s="614"/>
      <c r="CV5" s="614"/>
      <c r="CW5" s="614"/>
      <c r="CX5" s="614"/>
      <c r="CY5" s="614"/>
      <c r="CZ5" s="614"/>
      <c r="DA5" s="614"/>
      <c r="DB5" s="614"/>
      <c r="DC5" s="614"/>
      <c r="DD5" s="614"/>
      <c r="DE5" s="614"/>
    </row>
    <row r="6" spans="1:109" s="22" customFormat="1" ht="30" customHeight="1">
      <c r="A6" s="4589" t="s">
        <v>30</v>
      </c>
      <c r="B6" s="4211" t="s">
        <v>284</v>
      </c>
      <c r="C6" s="4212"/>
      <c r="D6" s="4213" t="s">
        <v>35</v>
      </c>
      <c r="E6" s="4213" t="s">
        <v>45</v>
      </c>
      <c r="F6" s="182" t="s">
        <v>0</v>
      </c>
      <c r="G6" s="691">
        <f>CEILING('Полотна база'!R54*(1+скидки_наценки!$B$30)*скидки_наценки!$D$13*скидки_наценки!$F$13/скидки_наценки!$B$4, 50)</f>
        <v>27700</v>
      </c>
      <c r="H6" s="691">
        <f>G6</f>
        <v>27700</v>
      </c>
      <c r="I6" s="4547">
        <f>G6</f>
        <v>27700</v>
      </c>
      <c r="J6" s="4548"/>
      <c r="K6" s="4549"/>
      <c r="L6" s="4576">
        <f>G6</f>
        <v>27700</v>
      </c>
      <c r="M6" s="4577"/>
      <c r="N6" s="2580"/>
      <c r="O6" s="2580"/>
      <c r="P6" s="2580"/>
      <c r="T6" s="614"/>
      <c r="U6" s="614"/>
      <c r="V6" s="614"/>
      <c r="W6" s="614"/>
      <c r="X6" s="614"/>
      <c r="Y6" s="614"/>
      <c r="Z6" s="614"/>
      <c r="AA6" s="614"/>
      <c r="AB6" s="614"/>
      <c r="AC6" s="614"/>
      <c r="AD6" s="614"/>
      <c r="AE6" s="614"/>
      <c r="AF6" s="614"/>
      <c r="AG6" s="614"/>
      <c r="AH6" s="614"/>
      <c r="AI6" s="614"/>
      <c r="AJ6" s="614"/>
      <c r="AK6" s="614"/>
      <c r="AL6" s="614"/>
      <c r="AM6" s="614"/>
      <c r="AN6" s="614"/>
      <c r="AO6" s="614"/>
      <c r="AP6" s="614"/>
      <c r="AQ6" s="614"/>
      <c r="AR6" s="614"/>
      <c r="AS6" s="614"/>
      <c r="AT6" s="614"/>
      <c r="AU6" s="614"/>
      <c r="AV6" s="614"/>
      <c r="AW6" s="614"/>
      <c r="AX6" s="614"/>
      <c r="AY6" s="614"/>
      <c r="AZ6" s="614"/>
      <c r="BA6" s="614"/>
      <c r="BB6" s="614"/>
      <c r="BC6" s="614"/>
      <c r="BD6" s="614"/>
      <c r="BE6" s="614"/>
      <c r="BF6" s="614"/>
      <c r="BG6" s="614"/>
      <c r="BH6" s="614"/>
      <c r="BI6" s="614"/>
      <c r="BJ6" s="614"/>
      <c r="BK6" s="614"/>
      <c r="BL6" s="614"/>
      <c r="BM6" s="614"/>
      <c r="BN6" s="614"/>
      <c r="BO6" s="614"/>
      <c r="BP6" s="614"/>
      <c r="BQ6" s="614"/>
      <c r="BR6" s="614"/>
      <c r="BS6" s="614"/>
      <c r="BT6" s="614"/>
      <c r="BU6" s="614"/>
      <c r="BV6" s="614"/>
      <c r="BW6" s="614"/>
      <c r="BX6" s="614"/>
      <c r="BY6" s="614"/>
      <c r="BZ6" s="614"/>
      <c r="CA6" s="614"/>
      <c r="CB6" s="614"/>
      <c r="CC6" s="614"/>
      <c r="CD6" s="614"/>
      <c r="CE6" s="614"/>
      <c r="CF6" s="614"/>
      <c r="CG6" s="614"/>
      <c r="CH6" s="614"/>
      <c r="CI6" s="614"/>
      <c r="CJ6" s="614"/>
      <c r="CK6" s="614"/>
      <c r="CL6" s="614"/>
      <c r="CM6" s="614"/>
      <c r="CN6" s="614"/>
      <c r="CO6" s="614"/>
      <c r="CP6" s="614"/>
      <c r="CQ6" s="614"/>
      <c r="CR6" s="614"/>
      <c r="CS6" s="614"/>
      <c r="CT6" s="614"/>
      <c r="CU6" s="614"/>
      <c r="CV6" s="614"/>
      <c r="CW6" s="614"/>
      <c r="CX6" s="614"/>
      <c r="CY6" s="614"/>
      <c r="CZ6" s="614"/>
      <c r="DA6" s="614"/>
      <c r="DB6" s="614"/>
      <c r="DC6" s="614"/>
      <c r="DD6" s="614"/>
      <c r="DE6" s="614"/>
    </row>
    <row r="7" spans="1:109" s="22" customFormat="1" ht="15" customHeight="1">
      <c r="A7" s="4590"/>
      <c r="B7" s="4216"/>
      <c r="C7" s="4217"/>
      <c r="D7" s="4214"/>
      <c r="E7" s="4214"/>
      <c r="F7" s="2735" t="s">
        <v>306</v>
      </c>
      <c r="G7" s="2736">
        <f>IF(G6=0,0,(Погонаж!$C$13*2.5+Погонаж!$E$13*5))</f>
        <v>12375</v>
      </c>
      <c r="H7" s="2736">
        <f>IF(H6=0,0,(Погонаж!$C$13*2.5+Погонаж!$E$13*5))</f>
        <v>12375</v>
      </c>
      <c r="I7" s="4550">
        <f>IF(I6=0,0,(Погонаж!$C$13*2.5+Погонаж!$E$13*5))</f>
        <v>12375</v>
      </c>
      <c r="J7" s="4551"/>
      <c r="K7" s="4552"/>
      <c r="L7" s="4550">
        <f>IF(L6=0,0,(Погонаж!$C$13*2.5+Погонаж!$E$13*5))</f>
        <v>12375</v>
      </c>
      <c r="M7" s="4552"/>
      <c r="N7" s="2580"/>
      <c r="O7" s="2580"/>
      <c r="P7" s="2580"/>
      <c r="T7" s="614"/>
      <c r="U7" s="614"/>
      <c r="V7" s="614"/>
      <c r="W7" s="614"/>
      <c r="X7" s="614"/>
      <c r="Y7" s="614"/>
      <c r="Z7" s="614"/>
      <c r="AA7" s="614"/>
      <c r="AB7" s="614"/>
      <c r="AC7" s="614"/>
      <c r="AD7" s="614"/>
      <c r="AE7" s="614"/>
      <c r="AF7" s="614"/>
      <c r="AG7" s="614"/>
      <c r="AH7" s="614"/>
      <c r="AI7" s="614"/>
      <c r="AJ7" s="614"/>
      <c r="AK7" s="614"/>
      <c r="AL7" s="614"/>
      <c r="AM7" s="614"/>
      <c r="AN7" s="614"/>
      <c r="AO7" s="614"/>
      <c r="AP7" s="614"/>
      <c r="AQ7" s="614"/>
      <c r="AR7" s="614"/>
      <c r="AS7" s="614"/>
      <c r="AT7" s="614"/>
      <c r="AU7" s="614"/>
      <c r="AV7" s="614"/>
      <c r="AW7" s="614"/>
      <c r="AX7" s="614"/>
      <c r="AY7" s="614"/>
      <c r="AZ7" s="614"/>
      <c r="BA7" s="614"/>
      <c r="BB7" s="614"/>
      <c r="BC7" s="614"/>
      <c r="BD7" s="614"/>
      <c r="BE7" s="614"/>
      <c r="BF7" s="614"/>
      <c r="BG7" s="614"/>
      <c r="BH7" s="614"/>
      <c r="BI7" s="614"/>
      <c r="BJ7" s="614"/>
      <c r="BK7" s="614"/>
      <c r="BL7" s="614"/>
      <c r="BM7" s="614"/>
      <c r="BN7" s="614"/>
      <c r="BO7" s="614"/>
      <c r="BP7" s="614"/>
      <c r="BQ7" s="614"/>
      <c r="BR7" s="614"/>
      <c r="BS7" s="614"/>
      <c r="BT7" s="614"/>
      <c r="BU7" s="614"/>
      <c r="BV7" s="614"/>
      <c r="BW7" s="614"/>
      <c r="BX7" s="614"/>
      <c r="BY7" s="614"/>
      <c r="BZ7" s="614"/>
      <c r="CA7" s="614"/>
      <c r="CB7" s="614"/>
      <c r="CC7" s="614"/>
      <c r="CD7" s="614"/>
      <c r="CE7" s="614"/>
      <c r="CF7" s="614"/>
      <c r="CG7" s="614"/>
      <c r="CH7" s="614"/>
      <c r="CI7" s="614"/>
      <c r="CJ7" s="614"/>
      <c r="CK7" s="614"/>
      <c r="CL7" s="614"/>
      <c r="CM7" s="614"/>
      <c r="CN7" s="614"/>
      <c r="CO7" s="614"/>
      <c r="CP7" s="614"/>
      <c r="CQ7" s="614"/>
      <c r="CR7" s="614"/>
      <c r="CS7" s="614"/>
      <c r="CT7" s="614"/>
      <c r="CU7" s="614"/>
      <c r="CV7" s="614"/>
      <c r="CW7" s="614"/>
      <c r="CX7" s="614"/>
      <c r="CY7" s="614"/>
      <c r="CZ7" s="614"/>
      <c r="DA7" s="614"/>
      <c r="DB7" s="614"/>
      <c r="DC7" s="614"/>
      <c r="DD7" s="614"/>
      <c r="DE7" s="614"/>
    </row>
    <row r="8" spans="1:109" ht="30" customHeight="1">
      <c r="A8" s="4591"/>
      <c r="B8" s="4218"/>
      <c r="C8" s="4219"/>
      <c r="D8" s="4215"/>
      <c r="E8" s="4215"/>
      <c r="F8" s="267" t="s">
        <v>1</v>
      </c>
      <c r="G8" s="690">
        <f>G6+G7</f>
        <v>40075</v>
      </c>
      <c r="H8" s="690">
        <f>H6+H7</f>
        <v>40075</v>
      </c>
      <c r="I8" s="4553">
        <f>I6+I7</f>
        <v>40075</v>
      </c>
      <c r="J8" s="4554"/>
      <c r="K8" s="4555"/>
      <c r="L8" s="4553">
        <f>L6+L7</f>
        <v>40075</v>
      </c>
      <c r="M8" s="4555"/>
      <c r="N8" s="2580"/>
      <c r="O8" s="2580"/>
      <c r="P8" s="2580"/>
      <c r="Q8" s="122"/>
      <c r="T8" s="614"/>
      <c r="U8" s="614"/>
      <c r="V8" s="614"/>
      <c r="W8" s="614"/>
      <c r="X8" s="614"/>
      <c r="Y8" s="614"/>
      <c r="Z8" s="614"/>
      <c r="AA8" s="614"/>
      <c r="AB8" s="614"/>
      <c r="AC8" s="614"/>
      <c r="AD8" s="614"/>
      <c r="AE8" s="614"/>
      <c r="AF8" s="614"/>
      <c r="AG8" s="614"/>
      <c r="AH8" s="614"/>
      <c r="AI8" s="614"/>
      <c r="AJ8" s="614"/>
      <c r="AK8" s="614"/>
      <c r="AL8" s="614"/>
      <c r="AM8" s="614"/>
      <c r="AN8" s="614"/>
      <c r="AO8" s="614"/>
      <c r="AP8" s="614"/>
      <c r="AQ8" s="614"/>
      <c r="AR8" s="614"/>
      <c r="AS8" s="614"/>
      <c r="AT8" s="614"/>
      <c r="AU8" s="614"/>
      <c r="AV8" s="614"/>
      <c r="AW8" s="614"/>
      <c r="AX8" s="614"/>
      <c r="AY8" s="614"/>
      <c r="AZ8" s="614"/>
      <c r="BA8" s="614"/>
      <c r="BB8" s="614"/>
      <c r="BC8" s="614"/>
      <c r="BD8" s="614"/>
      <c r="BE8" s="614"/>
      <c r="BF8" s="614"/>
      <c r="BG8" s="614"/>
      <c r="BH8" s="614"/>
      <c r="BI8" s="614"/>
      <c r="BJ8" s="614"/>
      <c r="BK8" s="614"/>
      <c r="BL8" s="614"/>
      <c r="BM8" s="614"/>
      <c r="BN8" s="614"/>
      <c r="BO8" s="614"/>
      <c r="BP8" s="614"/>
      <c r="BQ8" s="614"/>
      <c r="BR8" s="614"/>
      <c r="BS8" s="614"/>
      <c r="BT8" s="614"/>
      <c r="BU8" s="614"/>
      <c r="BV8" s="614"/>
      <c r="BW8" s="614"/>
      <c r="BX8" s="614"/>
      <c r="BY8" s="614"/>
      <c r="BZ8" s="614"/>
      <c r="CA8" s="614"/>
      <c r="CB8" s="614"/>
      <c r="CC8" s="614"/>
      <c r="CD8" s="614"/>
      <c r="CE8" s="614"/>
      <c r="CF8" s="614"/>
      <c r="CG8" s="614"/>
      <c r="CH8" s="614"/>
      <c r="CI8" s="614"/>
      <c r="CJ8" s="614"/>
      <c r="CK8" s="614"/>
      <c r="CL8" s="614"/>
      <c r="CM8" s="614"/>
      <c r="CN8" s="614"/>
      <c r="CO8" s="614"/>
      <c r="CP8" s="614"/>
      <c r="CQ8" s="614"/>
      <c r="CR8" s="614"/>
      <c r="CS8" s="614"/>
      <c r="CT8" s="614"/>
      <c r="CU8" s="614"/>
      <c r="CV8" s="614"/>
      <c r="CW8" s="614"/>
      <c r="CX8" s="614"/>
      <c r="CY8" s="614"/>
      <c r="CZ8" s="614"/>
      <c r="DA8" s="614"/>
      <c r="DB8" s="614"/>
      <c r="DC8" s="614"/>
      <c r="DD8" s="614"/>
      <c r="DE8" s="614"/>
    </row>
    <row r="9" spans="1:109" ht="21">
      <c r="A9" s="395"/>
      <c r="B9" s="3561"/>
      <c r="C9" s="3561"/>
      <c r="D9" s="3501"/>
      <c r="E9" s="3501"/>
      <c r="F9" s="3503"/>
      <c r="G9" s="3562"/>
      <c r="H9" s="3562"/>
      <c r="I9" s="3562"/>
      <c r="J9" s="3562"/>
      <c r="K9" s="3562"/>
      <c r="L9" s="3562"/>
      <c r="M9" s="3562"/>
      <c r="N9" s="3500"/>
      <c r="O9" s="3500"/>
      <c r="P9" s="3500"/>
      <c r="Q9" s="122"/>
      <c r="T9" s="614"/>
      <c r="U9" s="614"/>
      <c r="V9" s="614"/>
      <c r="W9" s="614"/>
      <c r="X9" s="614"/>
      <c r="Y9" s="614"/>
      <c r="Z9" s="614"/>
      <c r="AA9" s="614"/>
      <c r="AB9" s="614"/>
      <c r="AC9" s="614"/>
      <c r="AD9" s="614"/>
      <c r="AE9" s="614"/>
      <c r="AF9" s="614"/>
      <c r="AG9" s="614"/>
      <c r="AH9" s="614"/>
      <c r="AI9" s="614"/>
      <c r="AJ9" s="614"/>
      <c r="AK9" s="614"/>
      <c r="AL9" s="614"/>
      <c r="AM9" s="614"/>
      <c r="AN9" s="614"/>
      <c r="AO9" s="614"/>
      <c r="AP9" s="614"/>
      <c r="AQ9" s="614"/>
      <c r="AR9" s="614"/>
      <c r="AS9" s="614"/>
      <c r="AT9" s="614"/>
      <c r="AU9" s="614"/>
      <c r="AV9" s="614"/>
      <c r="AW9" s="614"/>
      <c r="AX9" s="614"/>
      <c r="AY9" s="614"/>
      <c r="AZ9" s="614"/>
      <c r="BA9" s="614"/>
      <c r="BB9" s="614"/>
      <c r="BC9" s="614"/>
      <c r="BD9" s="614"/>
      <c r="BE9" s="614"/>
      <c r="BF9" s="614"/>
      <c r="BG9" s="614"/>
      <c r="BH9" s="614"/>
      <c r="BI9" s="614"/>
      <c r="BJ9" s="614"/>
      <c r="BK9" s="614"/>
      <c r="BL9" s="614"/>
      <c r="BM9" s="614"/>
      <c r="BN9" s="614"/>
      <c r="BO9" s="614"/>
      <c r="BP9" s="614"/>
      <c r="BQ9" s="614"/>
      <c r="BR9" s="614"/>
      <c r="BS9" s="614"/>
      <c r="BT9" s="614"/>
      <c r="BU9" s="614"/>
      <c r="BV9" s="614"/>
      <c r="BW9" s="614"/>
      <c r="BX9" s="614"/>
      <c r="BY9" s="614"/>
      <c r="BZ9" s="614"/>
      <c r="CA9" s="614"/>
      <c r="CB9" s="614"/>
      <c r="CC9" s="614"/>
      <c r="CD9" s="614"/>
      <c r="CE9" s="614"/>
      <c r="CF9" s="614"/>
      <c r="CG9" s="614"/>
      <c r="CH9" s="614"/>
      <c r="CI9" s="614"/>
      <c r="CJ9" s="614"/>
      <c r="CK9" s="614"/>
      <c r="CL9" s="614"/>
      <c r="CM9" s="614"/>
      <c r="CN9" s="614"/>
      <c r="CO9" s="614"/>
      <c r="CP9" s="614"/>
      <c r="CQ9" s="614"/>
      <c r="CR9" s="614"/>
      <c r="CS9" s="614"/>
      <c r="CT9" s="614"/>
      <c r="CU9" s="614"/>
      <c r="CV9" s="614"/>
      <c r="CW9" s="614"/>
      <c r="CX9" s="614"/>
      <c r="CY9" s="614"/>
      <c r="CZ9" s="614"/>
      <c r="DA9" s="614"/>
      <c r="DB9" s="614"/>
      <c r="DC9" s="614"/>
      <c r="DD9" s="614"/>
      <c r="DE9" s="614"/>
    </row>
    <row r="10" spans="1:109" ht="18.75" customHeight="1">
      <c r="F10" s="589"/>
      <c r="T10" s="614"/>
      <c r="U10" s="614"/>
      <c r="V10" s="614"/>
      <c r="W10" s="614"/>
      <c r="X10" s="614"/>
      <c r="Y10" s="614"/>
      <c r="Z10" s="614"/>
      <c r="AA10" s="614"/>
      <c r="AB10" s="614"/>
      <c r="AC10" s="614"/>
      <c r="AD10" s="614"/>
      <c r="AE10" s="614"/>
      <c r="AF10" s="614"/>
      <c r="AG10" s="614"/>
      <c r="AH10" s="614"/>
      <c r="AI10" s="614"/>
      <c r="AJ10" s="614"/>
      <c r="AK10" s="614"/>
      <c r="AL10" s="614"/>
      <c r="AM10" s="614"/>
      <c r="AN10" s="614"/>
      <c r="AO10" s="614"/>
      <c r="AP10" s="614"/>
      <c r="AQ10" s="614"/>
      <c r="AR10" s="614"/>
      <c r="AS10" s="614"/>
      <c r="AT10" s="614"/>
      <c r="AU10" s="614"/>
      <c r="AV10" s="614"/>
      <c r="AW10" s="614"/>
      <c r="AX10" s="614"/>
      <c r="AY10" s="614"/>
      <c r="AZ10" s="614"/>
      <c r="BA10" s="614"/>
      <c r="BB10" s="614"/>
      <c r="BC10" s="614"/>
      <c r="BD10" s="614"/>
      <c r="BE10" s="614"/>
      <c r="BF10" s="614"/>
      <c r="BG10" s="614"/>
      <c r="BH10" s="614"/>
      <c r="BI10" s="614"/>
      <c r="BJ10" s="614"/>
      <c r="BK10" s="614"/>
      <c r="BL10" s="614"/>
      <c r="BM10" s="614"/>
      <c r="BN10" s="614"/>
      <c r="BO10" s="614"/>
      <c r="BP10" s="614"/>
      <c r="BQ10" s="614"/>
      <c r="BR10" s="614"/>
      <c r="BS10" s="614"/>
      <c r="BT10" s="614"/>
      <c r="BU10" s="614"/>
      <c r="BV10" s="614"/>
      <c r="BW10" s="614"/>
      <c r="BX10" s="614"/>
      <c r="BY10" s="614"/>
      <c r="BZ10" s="614"/>
      <c r="CA10" s="614"/>
      <c r="CB10" s="614"/>
      <c r="CC10" s="614"/>
      <c r="CD10" s="614"/>
      <c r="CE10" s="614"/>
      <c r="CF10" s="614"/>
      <c r="CG10" s="614"/>
      <c r="CH10" s="614"/>
      <c r="CI10" s="614"/>
      <c r="CJ10" s="614"/>
      <c r="CK10" s="614"/>
      <c r="CL10" s="614"/>
      <c r="CM10" s="614"/>
      <c r="CN10" s="614"/>
      <c r="CO10" s="614"/>
      <c r="CP10" s="614"/>
      <c r="CQ10" s="614"/>
      <c r="CR10" s="614"/>
      <c r="CS10" s="614"/>
      <c r="CT10" s="614"/>
      <c r="CU10" s="614"/>
      <c r="CV10" s="614"/>
      <c r="CW10" s="614"/>
      <c r="CX10" s="614"/>
      <c r="CY10" s="614"/>
      <c r="CZ10" s="614"/>
      <c r="DA10" s="614"/>
      <c r="DB10" s="614"/>
      <c r="DC10" s="614"/>
      <c r="DD10" s="614"/>
      <c r="DE10" s="614"/>
    </row>
    <row r="11" spans="1:109" ht="105.75" customHeight="1">
      <c r="B11" s="32"/>
      <c r="C11" s="32"/>
    </row>
    <row r="12" spans="1:109">
      <c r="A12" s="2580"/>
      <c r="B12" s="19" t="s">
        <v>25</v>
      </c>
      <c r="C12" s="391"/>
      <c r="D12" s="359"/>
      <c r="E12" s="359"/>
      <c r="F12" s="359"/>
      <c r="G12" s="359"/>
      <c r="H12" s="359"/>
      <c r="I12" s="359"/>
      <c r="J12" s="359"/>
      <c r="K12" s="359"/>
      <c r="L12" s="359"/>
      <c r="M12" s="359"/>
    </row>
    <row r="13" spans="1:109" ht="14.45" customHeight="1">
      <c r="A13" s="4220" t="s">
        <v>39</v>
      </c>
      <c r="B13" s="4222"/>
      <c r="C13" s="4333" t="s">
        <v>212</v>
      </c>
      <c r="D13" s="4335"/>
      <c r="E13" s="4582" t="s">
        <v>40</v>
      </c>
      <c r="F13" s="4582" t="s">
        <v>38</v>
      </c>
      <c r="G13" s="2892" t="str">
        <f>G5</f>
        <v xml:space="preserve">Belluno1 </v>
      </c>
      <c r="H13" s="2892" t="str">
        <f>H5</f>
        <v xml:space="preserve">Belluno2 </v>
      </c>
      <c r="I13" s="3706" t="str">
        <f>I5</f>
        <v>Belluno3/3b</v>
      </c>
      <c r="J13" s="3709"/>
      <c r="K13" s="3706" t="s">
        <v>3301</v>
      </c>
      <c r="L13" s="4541" t="str">
        <f>L5</f>
        <v>Belluno4</v>
      </c>
      <c r="M13" s="4542"/>
    </row>
    <row r="14" spans="1:109">
      <c r="A14" s="4477"/>
      <c r="B14" s="4478"/>
      <c r="C14" s="4592"/>
      <c r="D14" s="4593"/>
      <c r="E14" s="4583"/>
      <c r="F14" s="4583"/>
      <c r="G14" s="2892" t="s">
        <v>22</v>
      </c>
      <c r="H14" s="2892" t="s">
        <v>22</v>
      </c>
      <c r="I14" s="2892" t="s">
        <v>22</v>
      </c>
      <c r="J14" s="2892"/>
      <c r="K14" s="2892" t="s">
        <v>23</v>
      </c>
      <c r="L14" s="2892" t="s">
        <v>22</v>
      </c>
      <c r="M14" s="2892" t="s">
        <v>23</v>
      </c>
    </row>
    <row r="15" spans="1:109" s="20" customFormat="1" ht="15" customHeight="1">
      <c r="A15" s="4223"/>
      <c r="B15" s="4225"/>
      <c r="C15" s="4336"/>
      <c r="D15" s="4338"/>
      <c r="E15" s="4584"/>
      <c r="F15" s="4584"/>
      <c r="G15" s="2439" t="s">
        <v>2739</v>
      </c>
      <c r="H15" s="2439" t="s">
        <v>222</v>
      </c>
      <c r="I15" s="2439" t="s">
        <v>222</v>
      </c>
      <c r="J15" s="2439" t="s">
        <v>222</v>
      </c>
      <c r="K15" s="2439" t="s">
        <v>222</v>
      </c>
      <c r="L15" s="2439" t="s">
        <v>222</v>
      </c>
      <c r="M15" s="2439" t="s">
        <v>222</v>
      </c>
    </row>
    <row r="16" spans="1:109" s="2580" customFormat="1" ht="25.15" customHeight="1">
      <c r="A16" s="4460" t="s">
        <v>33</v>
      </c>
      <c r="B16" s="4461"/>
      <c r="C16" s="4556" t="s">
        <v>32</v>
      </c>
      <c r="D16" s="4557"/>
      <c r="E16" s="132" t="s">
        <v>216</v>
      </c>
      <c r="F16" s="47" t="s">
        <v>4</v>
      </c>
      <c r="G16" s="371">
        <f>Neoclassic!G24</f>
        <v>2200</v>
      </c>
      <c r="H16" s="371">
        <f>Neoclassic!H24</f>
        <v>1000</v>
      </c>
      <c r="I16" s="371">
        <f>Neoclassic!L24</f>
        <v>1000</v>
      </c>
      <c r="J16" s="371"/>
      <c r="K16" s="371">
        <f>Neoclassic!N24</f>
        <v>300</v>
      </c>
      <c r="L16" s="2886">
        <f>H16</f>
        <v>1000</v>
      </c>
      <c r="M16" s="371">
        <f>Neoclassic!M24</f>
        <v>700</v>
      </c>
      <c r="N16" s="389"/>
    </row>
    <row r="17" spans="1:17" s="2580" customFormat="1" ht="25.15" customHeight="1">
      <c r="A17" s="4462"/>
      <c r="B17" s="4463"/>
      <c r="C17" s="4558" t="s">
        <v>2421</v>
      </c>
      <c r="D17" s="4559"/>
      <c r="E17" s="191" t="s">
        <v>217</v>
      </c>
      <c r="F17" s="188" t="s">
        <v>4</v>
      </c>
      <c r="G17" s="2791">
        <f>Neoclassic!G25</f>
        <v>2700</v>
      </c>
      <c r="H17" s="2791">
        <f>Neoclassic!H25</f>
        <v>1300</v>
      </c>
      <c r="I17" s="2791">
        <f>Neoclassic!L25</f>
        <v>1300</v>
      </c>
      <c r="J17" s="2791"/>
      <c r="K17" s="2791">
        <f>Neoclassic!N25</f>
        <v>400</v>
      </c>
      <c r="L17" s="2791">
        <f>H17</f>
        <v>1300</v>
      </c>
      <c r="M17" s="2791">
        <f>Neoclassic!M25</f>
        <v>1000</v>
      </c>
      <c r="N17" s="389"/>
    </row>
    <row r="18" spans="1:17" s="2580" customFormat="1" ht="25.15" customHeight="1">
      <c r="A18" s="4464"/>
      <c r="B18" s="4465"/>
      <c r="C18" s="4560" t="s">
        <v>2422</v>
      </c>
      <c r="D18" s="4561"/>
      <c r="E18" s="1005" t="s">
        <v>217</v>
      </c>
      <c r="F18" s="2788" t="s">
        <v>4</v>
      </c>
      <c r="G18" s="327">
        <f>Neoclassic!G26</f>
        <v>3200</v>
      </c>
      <c r="H18" s="327">
        <f>Neoclassic!H26</f>
        <v>1700</v>
      </c>
      <c r="I18" s="327">
        <f>Neoclassic!L26</f>
        <v>1700</v>
      </c>
      <c r="J18" s="327"/>
      <c r="K18" s="327">
        <f>Neoclassic!N26</f>
        <v>500</v>
      </c>
      <c r="L18" s="327">
        <f>H18</f>
        <v>1700</v>
      </c>
      <c r="M18" s="327">
        <f>Neoclassic!O26</f>
        <v>1200</v>
      </c>
      <c r="N18" s="389"/>
    </row>
    <row r="19" spans="1:17" s="2580" customFormat="1" ht="39" customHeight="1">
      <c r="A19" s="4585" t="s">
        <v>2420</v>
      </c>
      <c r="B19" s="4586"/>
      <c r="C19" s="4587" t="s">
        <v>2020</v>
      </c>
      <c r="D19" s="4588"/>
      <c r="E19" s="182" t="s">
        <v>217</v>
      </c>
      <c r="F19" s="142" t="s">
        <v>4</v>
      </c>
      <c r="G19" s="372">
        <f>Neoclassic!G27</f>
        <v>2900</v>
      </c>
      <c r="H19" s="372">
        <f>Neoclassic!H27</f>
        <v>1500</v>
      </c>
      <c r="I19" s="372">
        <f>Neoclassic!L27</f>
        <v>1500</v>
      </c>
      <c r="J19" s="372"/>
      <c r="K19" s="372">
        <f>Neoclassic!N27</f>
        <v>500</v>
      </c>
      <c r="L19" s="2894">
        <f>H19</f>
        <v>1500</v>
      </c>
      <c r="M19" s="372">
        <f>Neoclassic!O27</f>
        <v>1100</v>
      </c>
      <c r="N19" s="389"/>
    </row>
    <row r="20" spans="1:17" s="22" customFormat="1" ht="25.15" customHeight="1">
      <c r="A20" s="4452" t="s">
        <v>215</v>
      </c>
      <c r="B20" s="4453"/>
      <c r="C20" s="4574" t="s">
        <v>214</v>
      </c>
      <c r="D20" s="4575"/>
      <c r="E20" s="1005" t="s">
        <v>217</v>
      </c>
      <c r="F20" s="430" t="s">
        <v>1326</v>
      </c>
      <c r="G20" s="371">
        <f>Neoclassic!G28</f>
        <v>3300</v>
      </c>
      <c r="H20" s="371">
        <f>Neoclassic!H28</f>
        <v>1700</v>
      </c>
      <c r="I20" s="371">
        <f>Neoclassic!L28</f>
        <v>1700</v>
      </c>
      <c r="J20" s="371"/>
      <c r="K20" s="371">
        <f>Neoclassic!N28</f>
        <v>600</v>
      </c>
      <c r="L20" s="2886">
        <f>H20</f>
        <v>1700</v>
      </c>
      <c r="M20" s="371">
        <f>Neoclassic!O28</f>
        <v>1300</v>
      </c>
      <c r="N20" s="389"/>
    </row>
    <row r="21" spans="1:17" s="68" customFormat="1" ht="15" customHeight="1">
      <c r="A21" s="4545" t="s">
        <v>2600</v>
      </c>
      <c r="B21" s="4546"/>
      <c r="C21" s="2369"/>
      <c r="D21" s="2369"/>
      <c r="E21" s="2369"/>
      <c r="F21" s="2369"/>
      <c r="G21" s="2369"/>
      <c r="H21" s="2369"/>
      <c r="I21" s="2369"/>
      <c r="J21" s="2369"/>
      <c r="K21" s="2369"/>
      <c r="L21" s="2369"/>
      <c r="M21" s="2369"/>
      <c r="N21" s="390"/>
    </row>
    <row r="22" spans="1:17" s="22" customFormat="1" ht="18" customHeight="1">
      <c r="A22" s="4456" t="s">
        <v>224</v>
      </c>
      <c r="B22" s="4456"/>
      <c r="C22" s="4456" t="s">
        <v>484</v>
      </c>
      <c r="D22" s="4456"/>
      <c r="E22" s="4456"/>
      <c r="F22" s="4456"/>
      <c r="G22" s="3860" t="s">
        <v>2612</v>
      </c>
      <c r="H22" s="333">
        <f>Neoclassic!H30</f>
        <v>700</v>
      </c>
      <c r="I22" s="333">
        <f>Neoclassic!L30</f>
        <v>500</v>
      </c>
      <c r="J22" s="333"/>
      <c r="K22" s="333">
        <f>Neoclassic!N30</f>
        <v>150</v>
      </c>
      <c r="L22" s="1043">
        <f>H22</f>
        <v>700</v>
      </c>
      <c r="M22" s="333">
        <f>Neoclassic!O30</f>
        <v>150</v>
      </c>
      <c r="N22" s="390"/>
    </row>
    <row r="23" spans="1:17" s="22" customFormat="1" ht="45" customHeight="1">
      <c r="A23" s="4457" t="s">
        <v>363</v>
      </c>
      <c r="B23" s="4458"/>
      <c r="C23" s="4459" t="s">
        <v>485</v>
      </c>
      <c r="D23" s="4459"/>
      <c r="E23" s="4459"/>
      <c r="F23" s="4459"/>
      <c r="G23" s="2895" t="s">
        <v>2435</v>
      </c>
      <c r="H23" s="2891">
        <f>Neoclassic!H31</f>
        <v>700</v>
      </c>
      <c r="I23" s="2891">
        <f>Neoclassic!L31</f>
        <v>500</v>
      </c>
      <c r="J23" s="2891"/>
      <c r="K23" s="2891">
        <f>Neoclassic!N31</f>
        <v>150</v>
      </c>
      <c r="L23" s="2371">
        <f>H23</f>
        <v>700</v>
      </c>
      <c r="M23" s="2891">
        <f>Neoclassic!O31</f>
        <v>150</v>
      </c>
      <c r="N23" s="450"/>
      <c r="O23" s="451"/>
      <c r="P23" s="451"/>
      <c r="Q23" s="451"/>
    </row>
    <row r="24" spans="1:17" s="22" customFormat="1" ht="15.75">
      <c r="A24" s="2372"/>
      <c r="B24" s="2372"/>
      <c r="C24" s="2372"/>
      <c r="D24" s="2372"/>
      <c r="E24" s="2372"/>
      <c r="F24" s="2372"/>
      <c r="G24" s="2370"/>
      <c r="H24" s="2370"/>
      <c r="I24" s="2370"/>
      <c r="J24" s="2370"/>
      <c r="K24" s="2370"/>
      <c r="L24" s="2370"/>
      <c r="M24" s="2370"/>
      <c r="N24" s="451"/>
      <c r="O24" s="451"/>
      <c r="P24" s="451"/>
      <c r="Q24" s="451"/>
    </row>
    <row r="25" spans="1:17">
      <c r="A25" s="2580"/>
      <c r="B25" s="19" t="s">
        <v>20</v>
      </c>
      <c r="C25" s="19"/>
      <c r="D25" s="2580"/>
      <c r="E25" s="2580"/>
      <c r="F25" s="2580"/>
      <c r="G25" s="6"/>
      <c r="H25" s="2580"/>
      <c r="I25" s="2580"/>
      <c r="J25" s="2580"/>
      <c r="K25" s="2580"/>
      <c r="L25" s="2789"/>
      <c r="M25" s="2580"/>
    </row>
    <row r="26" spans="1:17" ht="14.45" customHeight="1">
      <c r="A26" s="4578" t="s">
        <v>3</v>
      </c>
      <c r="B26" s="4579"/>
      <c r="C26" s="4579"/>
      <c r="D26" s="4579"/>
      <c r="E26" s="4579"/>
      <c r="F26" s="4580"/>
      <c r="G26" s="2893" t="str">
        <f>G13</f>
        <v xml:space="preserve">Belluno1 </v>
      </c>
      <c r="H26" s="2792" t="str">
        <f>H13</f>
        <v xml:space="preserve">Belluno2 </v>
      </c>
      <c r="I26" s="4543" t="str">
        <f>I13</f>
        <v>Belluno3/3b</v>
      </c>
      <c r="J26" s="4581"/>
      <c r="K26" s="4544"/>
      <c r="L26" s="4543" t="str">
        <f>L5</f>
        <v>Belluno4</v>
      </c>
      <c r="M26" s="4544"/>
    </row>
    <row r="27" spans="1:17" s="2580" customFormat="1" ht="15" customHeight="1">
      <c r="A27" s="4562" t="s">
        <v>1233</v>
      </c>
      <c r="B27" s="4563"/>
      <c r="C27" s="4564"/>
      <c r="D27" s="4568" t="s">
        <v>1220</v>
      </c>
      <c r="E27" s="4569"/>
      <c r="F27" s="4570"/>
      <c r="G27" s="2591">
        <f>Neoclassic!G35</f>
        <v>8000</v>
      </c>
      <c r="H27" s="2591">
        <f>Neoclassic!H35</f>
        <v>5500</v>
      </c>
      <c r="I27" s="1073" t="s">
        <v>4</v>
      </c>
      <c r="J27" s="1073" t="s">
        <v>4</v>
      </c>
      <c r="K27" s="1073" t="s">
        <v>4</v>
      </c>
      <c r="L27" s="1073" t="s">
        <v>4</v>
      </c>
      <c r="M27" s="1073" t="s">
        <v>4</v>
      </c>
    </row>
    <row r="28" spans="1:17" s="68" customFormat="1" ht="15" customHeight="1">
      <c r="A28" s="4565"/>
      <c r="B28" s="4566"/>
      <c r="C28" s="4567"/>
      <c r="D28" s="4571" t="s">
        <v>2737</v>
      </c>
      <c r="E28" s="4572"/>
      <c r="F28" s="4573"/>
      <c r="G28" s="2592">
        <f>Neoclassic!G36</f>
        <v>9000</v>
      </c>
      <c r="H28" s="2790">
        <f>Neoclassic!H36</f>
        <v>6500</v>
      </c>
      <c r="I28" s="1074" t="s">
        <v>4</v>
      </c>
      <c r="J28" s="1074" t="s">
        <v>4</v>
      </c>
      <c r="K28" s="1074" t="s">
        <v>4</v>
      </c>
      <c r="L28" s="1074" t="s">
        <v>4</v>
      </c>
      <c r="M28" s="1074" t="s">
        <v>4</v>
      </c>
    </row>
    <row r="29" spans="1:17" ht="18" customHeight="1">
      <c r="A29" s="28"/>
      <c r="B29" s="42"/>
      <c r="C29" s="42"/>
      <c r="F29" s="589"/>
      <c r="K29" s="48"/>
      <c r="L29" s="48"/>
    </row>
    <row r="30" spans="1:17" ht="18" customHeight="1">
      <c r="A30" s="28"/>
      <c r="B30" s="42"/>
      <c r="C30" s="42"/>
      <c r="F30" s="589"/>
      <c r="K30" s="48"/>
      <c r="L30" s="48"/>
    </row>
    <row r="31" spans="1:17" ht="18" customHeight="1">
      <c r="A31" s="28"/>
      <c r="B31" s="42"/>
      <c r="C31" s="42"/>
      <c r="F31" s="589"/>
      <c r="K31" s="48"/>
      <c r="L31" s="48"/>
    </row>
    <row r="32" spans="1:17" ht="18" customHeight="1">
      <c r="A32" s="28"/>
      <c r="B32" s="42"/>
      <c r="C32" s="42"/>
      <c r="F32" s="589"/>
      <c r="K32" s="48"/>
      <c r="L32" s="48"/>
    </row>
    <row r="33" spans="1:13" ht="15" customHeight="1">
      <c r="A33" s="2580"/>
      <c r="B33" s="19"/>
      <c r="C33" s="19"/>
      <c r="D33" s="2580"/>
      <c r="E33" s="2580"/>
      <c r="F33" s="6"/>
      <c r="G33" s="2580"/>
      <c r="H33" s="2580"/>
      <c r="I33" s="2580"/>
      <c r="J33" s="2580"/>
      <c r="K33" s="2580"/>
      <c r="L33" s="2789"/>
      <c r="M33" s="2580"/>
    </row>
    <row r="34" spans="1:13" ht="18" customHeight="1">
      <c r="A34" s="2580"/>
      <c r="B34" s="22"/>
      <c r="C34" s="22"/>
      <c r="D34" s="2580"/>
      <c r="E34" s="2580"/>
      <c r="F34" s="6"/>
      <c r="G34" s="2580"/>
      <c r="H34" s="2580"/>
      <c r="I34" s="2580"/>
      <c r="J34" s="2580"/>
      <c r="K34" s="2580"/>
      <c r="L34" s="2789"/>
      <c r="M34" s="2580"/>
    </row>
    <row r="35" spans="1:13" ht="18" customHeight="1">
      <c r="A35" s="2580"/>
      <c r="H35" s="2580"/>
      <c r="K35" s="2580"/>
      <c r="L35" s="2789"/>
      <c r="M35" s="2580"/>
    </row>
    <row r="36" spans="1:13" ht="18" customHeight="1">
      <c r="A36" s="2580"/>
      <c r="H36" s="2580"/>
      <c r="K36" s="2580"/>
      <c r="L36" s="2789"/>
      <c r="M36" s="2580"/>
    </row>
    <row r="37" spans="1:13" ht="18" customHeight="1">
      <c r="A37" s="2580"/>
      <c r="B37" s="49"/>
      <c r="C37" s="49"/>
      <c r="D37" s="49"/>
      <c r="E37" s="49"/>
      <c r="F37" s="6"/>
      <c r="G37" s="2580"/>
      <c r="H37" s="49"/>
      <c r="I37" s="2580"/>
      <c r="J37" s="2580"/>
      <c r="K37" s="2580"/>
      <c r="L37" s="2789"/>
    </row>
    <row r="38" spans="1:13" ht="18" customHeight="1">
      <c r="A38" s="2580"/>
      <c r="B38" s="22"/>
      <c r="C38" s="22"/>
      <c r="D38" s="2580"/>
      <c r="E38" s="2580"/>
      <c r="F38" s="6"/>
      <c r="G38" s="2580"/>
      <c r="H38" s="49"/>
      <c r="I38" s="2580"/>
      <c r="J38" s="2580"/>
      <c r="K38" s="2580"/>
      <c r="L38" s="2789"/>
      <c r="M38" s="49"/>
    </row>
    <row r="39" spans="1:13" ht="18" customHeight="1">
      <c r="A39" s="2580"/>
      <c r="B39" s="22"/>
      <c r="C39" s="22"/>
      <c r="D39" s="2580"/>
      <c r="E39" s="2580"/>
      <c r="F39" s="6"/>
      <c r="G39" s="2580"/>
      <c r="H39" s="49"/>
      <c r="I39" s="2580"/>
      <c r="J39" s="2580"/>
      <c r="K39" s="2580"/>
      <c r="L39" s="2789"/>
      <c r="M39" s="49"/>
    </row>
    <row r="40" spans="1:13" ht="18" customHeight="1">
      <c r="A40" s="2580"/>
      <c r="B40" s="22"/>
      <c r="C40" s="22"/>
      <c r="D40" s="2580"/>
      <c r="E40" s="2580"/>
      <c r="F40" s="6"/>
      <c r="G40" s="2580"/>
      <c r="H40" s="2580"/>
      <c r="I40" s="2580"/>
      <c r="J40" s="2580"/>
      <c r="K40" s="2580"/>
      <c r="L40" s="2789"/>
      <c r="M40" s="2580"/>
    </row>
    <row r="41" spans="1:13" ht="18" customHeight="1">
      <c r="A41" s="28"/>
      <c r="B41" s="28"/>
      <c r="C41" s="28"/>
      <c r="D41" s="28"/>
      <c r="E41" s="28"/>
      <c r="F41" s="28"/>
      <c r="G41" s="29"/>
      <c r="H41" s="29"/>
      <c r="I41" s="29"/>
      <c r="J41" s="29"/>
      <c r="K41" s="29"/>
      <c r="L41" s="29"/>
      <c r="M41" s="29"/>
    </row>
    <row r="42" spans="1:13" ht="18" customHeight="1">
      <c r="A42" s="28"/>
      <c r="B42" s="44"/>
      <c r="C42" s="44"/>
      <c r="D42" s="44"/>
      <c r="E42" s="44"/>
      <c r="F42" s="44"/>
      <c r="G42" s="44"/>
      <c r="H42" s="29"/>
      <c r="I42" s="29"/>
      <c r="J42" s="29"/>
      <c r="K42" s="29"/>
      <c r="L42" s="29"/>
      <c r="M42" s="29"/>
    </row>
    <row r="43" spans="1:13" ht="18" customHeight="1">
      <c r="A43" s="28"/>
      <c r="B43" s="44"/>
      <c r="C43" s="44"/>
      <c r="D43" s="44"/>
      <c r="E43" s="44"/>
      <c r="F43" s="44"/>
      <c r="G43" s="44"/>
      <c r="H43" s="29"/>
      <c r="I43" s="29"/>
      <c r="J43" s="29"/>
      <c r="K43" s="29"/>
      <c r="L43" s="29"/>
      <c r="M43" s="29"/>
    </row>
    <row r="44" spans="1:13" ht="18" customHeight="1">
      <c r="B44" s="32"/>
      <c r="C44" s="32"/>
      <c r="F44" s="589"/>
    </row>
    <row r="45" spans="1:13" ht="18" customHeight="1">
      <c r="B45" s="32"/>
      <c r="C45" s="32"/>
      <c r="F45" s="589"/>
    </row>
    <row r="46" spans="1:13" ht="18" customHeight="1">
      <c r="B46" s="16"/>
      <c r="C46" s="16"/>
      <c r="F46" s="589"/>
    </row>
    <row r="47" spans="1:13" ht="18" customHeight="1">
      <c r="B47" s="16"/>
      <c r="C47" s="16"/>
      <c r="F47" s="589"/>
    </row>
    <row r="48" spans="1:13" ht="18" customHeight="1">
      <c r="B48" s="19"/>
      <c r="C48" s="16"/>
      <c r="F48" s="589"/>
    </row>
    <row r="49" spans="1:13" ht="18" customHeight="1">
      <c r="B49" s="49"/>
      <c r="C49" s="49"/>
      <c r="D49" s="49"/>
      <c r="E49" s="49"/>
      <c r="F49" s="49"/>
      <c r="G49" s="49"/>
    </row>
    <row r="50" spans="1:13" ht="18" customHeight="1">
      <c r="B50" s="49"/>
      <c r="C50" s="49"/>
      <c r="D50" s="49"/>
      <c r="E50" s="49"/>
      <c r="F50" s="49"/>
      <c r="G50" s="49"/>
    </row>
    <row r="51" spans="1:13" ht="15" customHeight="1">
      <c r="A51" s="2580"/>
      <c r="C51" s="19"/>
      <c r="D51" s="2580"/>
      <c r="E51" s="2580"/>
      <c r="F51" s="6"/>
      <c r="G51" s="2580"/>
      <c r="H51" s="2580"/>
      <c r="I51" s="2580"/>
      <c r="J51" s="2580"/>
      <c r="K51" s="2580"/>
      <c r="L51" s="2789"/>
      <c r="M51" s="2580"/>
    </row>
    <row r="52" spans="1:13" ht="18" customHeight="1"/>
    <row r="53" spans="1:13" ht="18" customHeight="1"/>
    <row r="54" spans="1:13" ht="18" customHeight="1"/>
    <row r="55" spans="1:13" ht="18" customHeight="1"/>
    <row r="56" spans="1:13" ht="18" customHeight="1"/>
    <row r="57" spans="1:13" ht="18" customHeight="1"/>
    <row r="58" spans="1:13" ht="18" customHeight="1"/>
    <row r="59" spans="1:13" ht="18" customHeight="1"/>
    <row r="60" spans="1:13" ht="18" customHeight="1"/>
    <row r="61" spans="1:13" ht="18" customHeight="1"/>
    <row r="62" spans="1:13" ht="18" customHeight="1"/>
    <row r="63" spans="1:13" ht="18" customHeight="1"/>
    <row r="64" spans="1:13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  <row r="71" ht="18" customHeight="1"/>
    <row r="72" ht="18" customHeight="1"/>
    <row r="73" ht="18" customHeight="1"/>
    <row r="74" ht="18" customHeight="1"/>
    <row r="75" ht="18" customHeight="1"/>
    <row r="76" ht="18" customHeight="1"/>
    <row r="77" ht="18" customHeight="1"/>
    <row r="78" ht="18" customHeight="1"/>
    <row r="79" ht="18" customHeight="1"/>
  </sheetData>
  <mergeCells count="39">
    <mergeCell ref="L6:M6"/>
    <mergeCell ref="L7:M7"/>
    <mergeCell ref="L8:M8"/>
    <mergeCell ref="A26:F26"/>
    <mergeCell ref="I26:K26"/>
    <mergeCell ref="E13:E15"/>
    <mergeCell ref="F13:F15"/>
    <mergeCell ref="A19:B19"/>
    <mergeCell ref="C19:D19"/>
    <mergeCell ref="A6:A8"/>
    <mergeCell ref="B6:C6"/>
    <mergeCell ref="D6:D8"/>
    <mergeCell ref="A13:B15"/>
    <mergeCell ref="C13:D15"/>
    <mergeCell ref="A27:C28"/>
    <mergeCell ref="D27:F27"/>
    <mergeCell ref="D28:F28"/>
    <mergeCell ref="A20:B20"/>
    <mergeCell ref="C20:D20"/>
    <mergeCell ref="A22:B22"/>
    <mergeCell ref="C22:F22"/>
    <mergeCell ref="A23:B23"/>
    <mergeCell ref="C23:F23"/>
    <mergeCell ref="L5:M5"/>
    <mergeCell ref="L13:M13"/>
    <mergeCell ref="L26:M26"/>
    <mergeCell ref="B3:E3"/>
    <mergeCell ref="A5:C5"/>
    <mergeCell ref="I5:K5"/>
    <mergeCell ref="A21:B21"/>
    <mergeCell ref="E6:E8"/>
    <mergeCell ref="I6:K6"/>
    <mergeCell ref="B7:C8"/>
    <mergeCell ref="I7:K7"/>
    <mergeCell ref="I8:K8"/>
    <mergeCell ref="A16:B18"/>
    <mergeCell ref="C16:D16"/>
    <mergeCell ref="C17:D17"/>
    <mergeCell ref="C18:D18"/>
  </mergeCells>
  <conditionalFormatting sqref="G44:H48 G11:H11">
    <cfRule type="cellIs" dxfId="129" priority="1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75" firstPageNumber="20" orientation="landscape" useFirstPageNumber="1" r:id="rId1"/>
  <headerFooter>
    <oddFooter>&amp;L&amp;P&amp;R&amp;G</oddFooter>
  </headerFooter>
  <rowBreaks count="2" manualBreakCount="2">
    <brk id="28" max="11" man="1"/>
    <brk id="73" max="12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0" tint="-4.9989318521683403E-2"/>
  </sheetPr>
  <dimension ref="A1:IH270"/>
  <sheetViews>
    <sheetView zoomScale="80" zoomScaleNormal="80" zoomScalePageLayoutView="85" workbookViewId="0">
      <pane xSplit="7" ySplit="2" topLeftCell="Q3" activePane="bottomRight" state="frozen"/>
      <selection pane="topRight" activeCell="EQ1" sqref="EQ1"/>
      <selection pane="bottomLeft" activeCell="A51" sqref="A51"/>
      <selection pane="bottomRight" activeCell="A184" sqref="A1:XFD184"/>
    </sheetView>
  </sheetViews>
  <sheetFormatPr defaultColWidth="8.85546875" defaultRowHeight="15" outlineLevelRow="2" outlineLevelCol="1"/>
  <cols>
    <col min="1" max="1" width="4.140625" style="1286" customWidth="1"/>
    <col min="2" max="2" width="14.28515625" style="1286" customWidth="1"/>
    <col min="3" max="3" width="9" style="1286" hidden="1" customWidth="1" outlineLevel="1"/>
    <col min="4" max="4" width="22.42578125" style="1286" customWidth="1" collapsed="1"/>
    <col min="5" max="5" width="20.140625" style="1286" customWidth="1"/>
    <col min="6" max="6" width="22.28515625" style="1286" customWidth="1"/>
    <col min="7" max="7" width="9" style="1286" hidden="1" customWidth="1" outlineLevel="1"/>
    <col min="8" max="8" width="11.42578125" style="2029" customWidth="1" collapsed="1"/>
    <col min="9" max="9" width="11.85546875" style="2029" hidden="1" customWidth="1" outlineLevel="1"/>
    <col min="10" max="14" width="10.140625" style="2029" hidden="1" customWidth="1" outlineLevel="1"/>
    <col min="15" max="15" width="10" style="2029" hidden="1" customWidth="1" outlineLevel="1"/>
    <col min="16" max="16" width="11.140625" style="2029" hidden="1" customWidth="1" outlineLevel="1"/>
    <col min="17" max="17" width="9.7109375" style="2029" customWidth="1" collapsed="1"/>
    <col min="18" max="19" width="9.7109375" style="2029" hidden="1" customWidth="1" outlineLevel="1"/>
    <col min="20" max="20" width="9.85546875" style="2029" hidden="1" customWidth="1" outlineLevel="1"/>
    <col min="21" max="22" width="8.85546875" style="2029" hidden="1" customWidth="1" outlineLevel="1"/>
    <col min="23" max="23" width="9.28515625" style="2029" hidden="1" customWidth="1" outlineLevel="1"/>
    <col min="24" max="25" width="9.7109375" style="2029" hidden="1" customWidth="1" outlineLevel="1"/>
    <col min="26" max="26" width="9.7109375" style="2029" customWidth="1" collapsed="1"/>
    <col min="27" max="33" width="8.85546875" style="2029" hidden="1" customWidth="1" outlineLevel="1"/>
    <col min="34" max="34" width="13.140625" style="2029" bestFit="1" customWidth="1" collapsed="1"/>
    <col min="35" max="46" width="8.85546875" style="2029" hidden="1" customWidth="1" outlineLevel="1"/>
    <col min="47" max="47" width="13.140625" style="2029" bestFit="1" customWidth="1" collapsed="1"/>
    <col min="48" max="50" width="8.85546875" style="2029" hidden="1" customWidth="1" outlineLevel="1"/>
    <col min="51" max="52" width="12" style="2029" hidden="1" customWidth="1" outlineLevel="1"/>
    <col min="53" max="53" width="12" style="2029" customWidth="1" collapsed="1"/>
    <col min="54" max="60" width="12" style="2029" hidden="1" customWidth="1" outlineLevel="1"/>
    <col min="61" max="61" width="12" style="2029" customWidth="1" collapsed="1"/>
    <col min="62" max="68" width="12" style="2029" hidden="1" customWidth="1" outlineLevel="1"/>
    <col min="69" max="69" width="12" style="2029" customWidth="1" collapsed="1"/>
    <col min="70" max="70" width="10.28515625" style="2029" hidden="1" customWidth="1" outlineLevel="1"/>
    <col min="71" max="71" width="10" style="2029" hidden="1" customWidth="1" outlineLevel="1"/>
    <col min="72" max="72" width="11" style="2029" hidden="1" customWidth="1" outlineLevel="1"/>
    <col min="73" max="74" width="10" style="2029" hidden="1" customWidth="1" outlineLevel="1"/>
    <col min="75" max="75" width="11" style="2029" hidden="1" customWidth="1" outlineLevel="1"/>
    <col min="76" max="76" width="10.140625" style="2029" hidden="1" customWidth="1" outlineLevel="1"/>
    <col min="77" max="77" width="10.85546875" style="2029" hidden="1" customWidth="1" outlineLevel="1"/>
    <col min="78" max="78" width="10.140625" style="2029" hidden="1" customWidth="1" outlineLevel="1"/>
    <col min="79" max="79" width="11.7109375" style="2029" hidden="1" customWidth="1" outlineLevel="1"/>
    <col min="80" max="80" width="10.85546875" style="2029" hidden="1" customWidth="1" outlineLevel="1"/>
    <col min="81" max="82" width="10.140625" style="2029" hidden="1" customWidth="1" outlineLevel="1"/>
    <col min="83" max="83" width="10.140625" style="2029" customWidth="1" collapsed="1"/>
    <col min="84" max="84" width="10.42578125" style="2029" hidden="1" customWidth="1" outlineLevel="1"/>
    <col min="85" max="87" width="10.7109375" style="2029" hidden="1" customWidth="1" outlineLevel="1"/>
    <col min="88" max="88" width="10.42578125" style="2029" hidden="1" customWidth="1" outlineLevel="1"/>
    <col min="89" max="89" width="13.140625" style="2029" bestFit="1" customWidth="1" collapsed="1"/>
    <col min="90" max="91" width="10.42578125" style="2029" hidden="1" customWidth="1" outlineLevel="1"/>
    <col min="92" max="92" width="11.42578125" style="2029" bestFit="1" customWidth="1" collapsed="1"/>
    <col min="93" max="94" width="15" style="2029" hidden="1" customWidth="1" outlineLevel="1"/>
    <col min="95" max="96" width="16.5703125" style="2029" hidden="1" customWidth="1" outlineLevel="1"/>
    <col min="97" max="97" width="15" style="2029" hidden="1" customWidth="1" outlineLevel="1"/>
    <col min="98" max="98" width="16.5703125" style="2029" hidden="1" customWidth="1" outlineLevel="1"/>
    <col min="99" max="103" width="8.85546875" style="2029" hidden="1" customWidth="1" outlineLevel="1"/>
    <col min="104" max="104" width="10.85546875" style="2029" bestFit="1" customWidth="1" collapsed="1"/>
    <col min="105" max="105" width="13.85546875" style="2029" hidden="1" customWidth="1" outlineLevel="1" collapsed="1"/>
    <col min="106" max="111" width="8.85546875" style="2029" hidden="1" customWidth="1" outlineLevel="1"/>
    <col min="112" max="112" width="17.7109375" style="2029" bestFit="1" customWidth="1" collapsed="1"/>
    <col min="113" max="115" width="8.85546875" style="2029" hidden="1" customWidth="1" outlineLevel="1"/>
    <col min="116" max="116" width="17.7109375" style="2029" bestFit="1" customWidth="1" collapsed="1"/>
    <col min="117" max="124" width="8.85546875" style="2029" hidden="1" customWidth="1" outlineLevel="1"/>
    <col min="125" max="125" width="17.7109375" style="2029" bestFit="1" customWidth="1" collapsed="1"/>
    <col min="126" max="139" width="8.85546875" style="2029" hidden="1" customWidth="1" outlineLevel="1"/>
    <col min="140" max="140" width="13.140625" style="2029" bestFit="1" customWidth="1" collapsed="1"/>
    <col min="141" max="145" width="8.85546875" style="2029" hidden="1" customWidth="1" outlineLevel="1"/>
    <col min="146" max="146" width="13.140625" style="2029" bestFit="1" customWidth="1" collapsed="1"/>
    <col min="147" max="149" width="8.85546875" style="2029" hidden="1" customWidth="1" outlineLevel="1"/>
    <col min="150" max="150" width="13.140625" style="2029" bestFit="1" customWidth="1" collapsed="1"/>
    <col min="151" max="155" width="8.85546875" style="2029" hidden="1" customWidth="1" outlineLevel="1"/>
    <col min="156" max="156" width="13.140625" style="2029" bestFit="1" customWidth="1" collapsed="1"/>
    <col min="157" max="157" width="8.85546875" style="2029" hidden="1" customWidth="1" outlineLevel="1"/>
    <col min="158" max="158" width="13.140625" style="2029" bestFit="1" customWidth="1" collapsed="1"/>
    <col min="159" max="160" width="8.85546875" style="2029" hidden="1" customWidth="1" outlineLevel="1"/>
    <col min="161" max="161" width="8.85546875" style="2029" collapsed="1"/>
    <col min="162" max="166" width="8.85546875" style="2029"/>
    <col min="167" max="242" width="8.85546875" style="1286"/>
    <col min="243" max="16384" width="8.85546875" style="1548"/>
  </cols>
  <sheetData>
    <row r="1" spans="1:242" hidden="1" outlineLevel="1">
      <c r="FF1" s="2058"/>
      <c r="FG1" s="2058"/>
      <c r="FH1" s="2058"/>
      <c r="FI1" s="2058"/>
      <c r="FJ1" s="2058"/>
      <c r="FK1" s="1548"/>
      <c r="FL1" s="1548"/>
      <c r="FM1" s="1548"/>
      <c r="FN1" s="1548"/>
      <c r="FO1" s="1548"/>
      <c r="FP1" s="1548"/>
      <c r="FQ1" s="1548"/>
      <c r="FR1" s="1548"/>
      <c r="FS1" s="1548"/>
      <c r="FT1" s="1548"/>
      <c r="FU1" s="1548"/>
      <c r="FV1" s="1548"/>
      <c r="FW1" s="1548"/>
      <c r="FX1" s="1548"/>
      <c r="FY1" s="1548"/>
      <c r="FZ1" s="1548"/>
      <c r="GA1" s="1548"/>
      <c r="GB1" s="1548"/>
      <c r="GC1" s="1548"/>
      <c r="GD1" s="1548"/>
      <c r="GE1" s="1548"/>
      <c r="GF1" s="1548"/>
      <c r="GG1" s="1548"/>
      <c r="GH1" s="1548"/>
      <c r="GI1" s="1548"/>
      <c r="GJ1" s="1548"/>
      <c r="GK1" s="1548"/>
      <c r="GL1" s="1548"/>
      <c r="GM1" s="1548"/>
      <c r="GN1" s="1548"/>
      <c r="GO1" s="1548"/>
      <c r="GP1" s="1548"/>
      <c r="GQ1" s="1548"/>
      <c r="GR1" s="1548"/>
      <c r="GS1" s="1548"/>
      <c r="GT1" s="1548"/>
      <c r="GU1" s="1548"/>
      <c r="GV1" s="1548"/>
      <c r="GW1" s="1548"/>
      <c r="GX1" s="1548"/>
      <c r="GY1" s="1548"/>
      <c r="GZ1" s="1548"/>
      <c r="HA1" s="1548"/>
      <c r="HB1" s="1548"/>
      <c r="HC1" s="1548"/>
      <c r="HD1" s="1548"/>
      <c r="HE1" s="1548"/>
      <c r="HF1" s="1548"/>
      <c r="HG1" s="1548"/>
      <c r="HH1" s="1548"/>
      <c r="HI1" s="1548"/>
      <c r="HJ1" s="1548"/>
      <c r="HK1" s="1548"/>
      <c r="HL1" s="1548"/>
      <c r="HM1" s="1548"/>
      <c r="HN1" s="1548"/>
      <c r="HO1" s="1548"/>
      <c r="HP1" s="1548"/>
      <c r="HQ1" s="1548"/>
      <c r="HR1" s="1548"/>
      <c r="HS1" s="1548"/>
      <c r="HT1" s="1548"/>
      <c r="HU1" s="1548"/>
      <c r="HV1" s="1548"/>
      <c r="HW1" s="1548"/>
      <c r="HX1" s="1548"/>
      <c r="HY1" s="1548"/>
      <c r="HZ1" s="1548"/>
      <c r="IA1" s="1548"/>
      <c r="IB1" s="1548"/>
      <c r="IC1" s="1548"/>
      <c r="ID1" s="1548"/>
      <c r="IE1" s="1548"/>
      <c r="IF1" s="1548"/>
      <c r="IG1" s="1548"/>
      <c r="IH1" s="1548"/>
    </row>
    <row r="2" spans="1:242" s="1286" customFormat="1" ht="54" hidden="1" customHeight="1" outlineLevel="1">
      <c r="B2" s="1477" t="s">
        <v>1900</v>
      </c>
      <c r="C2" s="1477" t="s">
        <v>1901</v>
      </c>
      <c r="D2" s="1477" t="s">
        <v>1770</v>
      </c>
      <c r="E2" s="1477" t="s">
        <v>1771</v>
      </c>
      <c r="F2" s="1477" t="s">
        <v>1772</v>
      </c>
      <c r="G2" s="1477" t="s">
        <v>1902</v>
      </c>
      <c r="H2" s="1977" t="s">
        <v>1696</v>
      </c>
      <c r="I2" s="1977" t="s">
        <v>1835</v>
      </c>
      <c r="J2" s="1977" t="s">
        <v>1836</v>
      </c>
      <c r="K2" s="1977" t="s">
        <v>1837</v>
      </c>
      <c r="L2" s="1977" t="s">
        <v>1838</v>
      </c>
      <c r="M2" s="1977" t="s">
        <v>1839</v>
      </c>
      <c r="N2" s="1977" t="s">
        <v>1840</v>
      </c>
      <c r="O2" s="1977" t="s">
        <v>1903</v>
      </c>
      <c r="P2" s="1977" t="s">
        <v>1904</v>
      </c>
      <c r="Q2" s="1977" t="s">
        <v>1844</v>
      </c>
      <c r="R2" s="1977" t="s">
        <v>1845</v>
      </c>
      <c r="S2" s="1977" t="s">
        <v>1846</v>
      </c>
      <c r="T2" s="1977" t="s">
        <v>1841</v>
      </c>
      <c r="U2" s="1977" t="s">
        <v>1842</v>
      </c>
      <c r="V2" s="1977" t="s">
        <v>1905</v>
      </c>
      <c r="W2" s="1977" t="s">
        <v>1847</v>
      </c>
      <c r="X2" s="1977" t="s">
        <v>1848</v>
      </c>
      <c r="Y2" s="1977" t="s">
        <v>1906</v>
      </c>
      <c r="Z2" s="2059" t="s">
        <v>1997</v>
      </c>
      <c r="AA2" s="2059" t="s">
        <v>1998</v>
      </c>
      <c r="AB2" s="2059" t="s">
        <v>1999</v>
      </c>
      <c r="AC2" s="2059" t="s">
        <v>2000</v>
      </c>
      <c r="AD2" s="2059" t="s">
        <v>2001</v>
      </c>
      <c r="AE2" s="2059" t="s">
        <v>2002</v>
      </c>
      <c r="AF2" s="2059" t="s">
        <v>2003</v>
      </c>
      <c r="AG2" s="2059" t="s">
        <v>2004</v>
      </c>
      <c r="AH2" s="2059" t="s">
        <v>2005</v>
      </c>
      <c r="AI2" s="2059" t="s">
        <v>2006</v>
      </c>
      <c r="AJ2" s="2059" t="s">
        <v>2007</v>
      </c>
      <c r="AK2" s="2059" t="s">
        <v>2008</v>
      </c>
      <c r="AL2" s="2059" t="s">
        <v>2009</v>
      </c>
      <c r="AM2" s="2059" t="s">
        <v>2010</v>
      </c>
      <c r="AN2" s="2059" t="s">
        <v>2011</v>
      </c>
      <c r="AO2" s="2059" t="s">
        <v>2012</v>
      </c>
      <c r="AP2" s="2059" t="s">
        <v>2013</v>
      </c>
      <c r="AQ2" s="2059" t="s">
        <v>2014</v>
      </c>
      <c r="AR2" s="2059" t="s">
        <v>2015</v>
      </c>
      <c r="AS2" s="2059" t="s">
        <v>2016</v>
      </c>
      <c r="AT2" s="2059" t="s">
        <v>2017</v>
      </c>
      <c r="AU2" s="1977" t="s">
        <v>1849</v>
      </c>
      <c r="AV2" s="1977" t="s">
        <v>1850</v>
      </c>
      <c r="AW2" s="1977" t="s">
        <v>1851</v>
      </c>
      <c r="AX2" s="1977" t="s">
        <v>1852</v>
      </c>
      <c r="AY2" s="1977" t="s">
        <v>1853</v>
      </c>
      <c r="AZ2" s="1977" t="s">
        <v>1907</v>
      </c>
      <c r="BA2" s="1977" t="s">
        <v>1908</v>
      </c>
      <c r="BB2" s="1977" t="s">
        <v>1909</v>
      </c>
      <c r="BC2" s="1977" t="s">
        <v>1910</v>
      </c>
      <c r="BD2" s="1977" t="s">
        <v>1911</v>
      </c>
      <c r="BE2" s="1977" t="s">
        <v>1912</v>
      </c>
      <c r="BF2" s="1977" t="s">
        <v>1913</v>
      </c>
      <c r="BG2" s="1977" t="s">
        <v>1914</v>
      </c>
      <c r="BH2" s="1977" t="s">
        <v>1915</v>
      </c>
      <c r="BI2" s="1977" t="s">
        <v>1916</v>
      </c>
      <c r="BJ2" s="1977" t="s">
        <v>1917</v>
      </c>
      <c r="BK2" s="1977" t="s">
        <v>1918</v>
      </c>
      <c r="BL2" s="1977" t="s">
        <v>1919</v>
      </c>
      <c r="BM2" s="1977" t="s">
        <v>1920</v>
      </c>
      <c r="BN2" s="1977" t="s">
        <v>1921</v>
      </c>
      <c r="BO2" s="1977" t="s">
        <v>1922</v>
      </c>
      <c r="BP2" s="1977" t="s">
        <v>1923</v>
      </c>
      <c r="BQ2" s="1977" t="s">
        <v>1854</v>
      </c>
      <c r="BR2" s="1977" t="s">
        <v>1855</v>
      </c>
      <c r="BS2" s="1977" t="s">
        <v>1856</v>
      </c>
      <c r="BT2" s="1977" t="s">
        <v>1857</v>
      </c>
      <c r="BU2" s="1977" t="s">
        <v>1858</v>
      </c>
      <c r="BV2" s="1977" t="s">
        <v>1859</v>
      </c>
      <c r="BW2" s="1977" t="s">
        <v>1860</v>
      </c>
      <c r="BX2" s="1977" t="s">
        <v>1861</v>
      </c>
      <c r="BY2" s="1977" t="s">
        <v>1862</v>
      </c>
      <c r="BZ2" s="1977" t="s">
        <v>1863</v>
      </c>
      <c r="CA2" s="1977" t="s">
        <v>1864</v>
      </c>
      <c r="CB2" s="1977" t="s">
        <v>1865</v>
      </c>
      <c r="CC2" s="1977" t="s">
        <v>1866</v>
      </c>
      <c r="CD2" s="1977" t="s">
        <v>1867</v>
      </c>
      <c r="CE2" s="1977" t="s">
        <v>1868</v>
      </c>
      <c r="CF2" s="1977" t="s">
        <v>1869</v>
      </c>
      <c r="CG2" s="1977" t="s">
        <v>1870</v>
      </c>
      <c r="CH2" s="1977" t="s">
        <v>1871</v>
      </c>
      <c r="CI2" s="1977" t="s">
        <v>1872</v>
      </c>
      <c r="CJ2" s="1977" t="s">
        <v>1926</v>
      </c>
      <c r="CK2" s="1977" t="s">
        <v>1924</v>
      </c>
      <c r="CL2" s="1977" t="s">
        <v>1873</v>
      </c>
      <c r="CM2" s="1977" t="s">
        <v>1925</v>
      </c>
      <c r="CN2" s="1977" t="s">
        <v>1875</v>
      </c>
      <c r="CO2" s="1977" t="s">
        <v>1341</v>
      </c>
      <c r="CP2" s="1977" t="s">
        <v>1876</v>
      </c>
      <c r="CQ2" s="1977" t="s">
        <v>1929</v>
      </c>
      <c r="CR2" s="1977" t="s">
        <v>1930</v>
      </c>
      <c r="CS2" s="1977" t="s">
        <v>1879</v>
      </c>
      <c r="CT2" s="1977" t="s">
        <v>1931</v>
      </c>
      <c r="CU2" s="1977" t="s">
        <v>1880</v>
      </c>
      <c r="CV2" s="1977" t="s">
        <v>1927</v>
      </c>
      <c r="CW2" s="1977" t="s">
        <v>1877</v>
      </c>
      <c r="CX2" s="1977" t="s">
        <v>1928</v>
      </c>
      <c r="CY2" s="1977" t="s">
        <v>1878</v>
      </c>
      <c r="CZ2" s="2059" t="s">
        <v>2027</v>
      </c>
      <c r="DA2" s="1977" t="s">
        <v>1932</v>
      </c>
      <c r="DB2" s="1977" t="s">
        <v>1882</v>
      </c>
      <c r="DC2" s="1977" t="s">
        <v>1883</v>
      </c>
      <c r="DD2" s="2059" t="s">
        <v>2028</v>
      </c>
      <c r="DE2" s="1977" t="s">
        <v>1884</v>
      </c>
      <c r="DF2" s="1977" t="s">
        <v>1885</v>
      </c>
      <c r="DG2" s="1977" t="s">
        <v>1886</v>
      </c>
      <c r="DH2" s="1977" t="s">
        <v>1887</v>
      </c>
      <c r="DI2" s="1977" t="s">
        <v>1137</v>
      </c>
      <c r="DJ2" s="1977" t="s">
        <v>1888</v>
      </c>
      <c r="DK2" s="2060" t="s">
        <v>1933</v>
      </c>
      <c r="DL2" s="1977" t="s">
        <v>1889</v>
      </c>
      <c r="DM2" s="1977" t="s">
        <v>1890</v>
      </c>
      <c r="DN2" s="1977" t="s">
        <v>1891</v>
      </c>
      <c r="DO2" s="1977" t="s">
        <v>1892</v>
      </c>
      <c r="DP2" s="2060" t="s">
        <v>1896</v>
      </c>
      <c r="DQ2" s="1977" t="s">
        <v>1893</v>
      </c>
      <c r="DR2" s="1977" t="s">
        <v>1894</v>
      </c>
      <c r="DS2" s="1977" t="s">
        <v>1895</v>
      </c>
      <c r="DT2" s="2060" t="s">
        <v>1897</v>
      </c>
      <c r="DU2" s="1977" t="s">
        <v>1934</v>
      </c>
      <c r="DV2" s="1977" t="s">
        <v>1935</v>
      </c>
      <c r="DW2" s="1977" t="s">
        <v>1936</v>
      </c>
      <c r="DX2" s="1977" t="s">
        <v>1937</v>
      </c>
      <c r="DY2" s="1977" t="s">
        <v>1938</v>
      </c>
      <c r="DZ2" s="1977" t="s">
        <v>1939</v>
      </c>
      <c r="EA2" s="1977" t="s">
        <v>1940</v>
      </c>
      <c r="EB2" s="1977" t="s">
        <v>1941</v>
      </c>
      <c r="EC2" s="1977" t="s">
        <v>1942</v>
      </c>
      <c r="ED2" s="1977" t="s">
        <v>1943</v>
      </c>
      <c r="EE2" s="1977" t="s">
        <v>1944</v>
      </c>
      <c r="EF2" s="1977" t="s">
        <v>1945</v>
      </c>
      <c r="EG2" s="1977" t="s">
        <v>1946</v>
      </c>
      <c r="EH2" s="1977" t="s">
        <v>1947</v>
      </c>
      <c r="EI2" s="1977" t="s">
        <v>1948</v>
      </c>
      <c r="EJ2" s="1977" t="s">
        <v>1959</v>
      </c>
      <c r="EK2" s="1977" t="s">
        <v>1960</v>
      </c>
      <c r="EL2" s="1977" t="s">
        <v>1961</v>
      </c>
      <c r="EM2" s="1977" t="s">
        <v>1962</v>
      </c>
      <c r="EN2" s="1977" t="s">
        <v>1963</v>
      </c>
      <c r="EO2" s="1977" t="s">
        <v>1964</v>
      </c>
      <c r="EP2" s="1977" t="s">
        <v>1949</v>
      </c>
      <c r="EQ2" s="1977" t="s">
        <v>1950</v>
      </c>
      <c r="ER2" s="1977" t="s">
        <v>1951</v>
      </c>
      <c r="ES2" s="1977" t="s">
        <v>1952</v>
      </c>
      <c r="ET2" s="1977" t="s">
        <v>1953</v>
      </c>
      <c r="EU2" s="1977" t="s">
        <v>1954</v>
      </c>
      <c r="EV2" s="1977" t="s">
        <v>1955</v>
      </c>
      <c r="EW2" s="1977" t="s">
        <v>1956</v>
      </c>
      <c r="EX2" s="1977" t="s">
        <v>1957</v>
      </c>
      <c r="EY2" s="1977" t="s">
        <v>1958</v>
      </c>
      <c r="EZ2" s="1977" t="s">
        <v>1965</v>
      </c>
      <c r="FA2" s="1977" t="s">
        <v>1966</v>
      </c>
      <c r="FB2" s="1977" t="s">
        <v>357</v>
      </c>
      <c r="FC2" s="1977" t="s">
        <v>358</v>
      </c>
      <c r="FD2" s="1977" t="s">
        <v>359</v>
      </c>
      <c r="FE2" s="2061"/>
      <c r="FF2" s="2029"/>
      <c r="FG2" s="2029"/>
      <c r="FH2" s="2029"/>
      <c r="FI2" s="2029"/>
      <c r="FJ2" s="2029"/>
    </row>
    <row r="3" spans="1:242" hidden="1" outlineLevel="1"/>
    <row r="4" spans="1:242" s="1551" customFormat="1" ht="15.75" hidden="1" customHeight="1" outlineLevel="1">
      <c r="A4" s="1549">
        <v>1</v>
      </c>
      <c r="B4" s="1550" t="s">
        <v>206</v>
      </c>
      <c r="C4" s="1481" t="s">
        <v>1425</v>
      </c>
      <c r="D4" s="1550" t="s">
        <v>206</v>
      </c>
      <c r="E4" s="1481" t="s">
        <v>274</v>
      </c>
      <c r="F4" s="1481" t="str">
        <f>Покрытия_ПВХ!E4</f>
        <v>Дуб молочный</v>
      </c>
      <c r="G4" s="1481" t="s">
        <v>72</v>
      </c>
      <c r="H4" s="2062"/>
      <c r="I4" s="2062"/>
      <c r="J4" s="2062"/>
      <c r="K4" s="2062"/>
      <c r="L4" s="2063"/>
      <c r="M4" s="2063"/>
      <c r="N4" s="2063"/>
      <c r="O4" s="2062"/>
      <c r="P4" s="2062"/>
      <c r="Q4" s="2063"/>
      <c r="R4" s="2063"/>
      <c r="S4" s="2063"/>
      <c r="T4" s="2063"/>
      <c r="U4" s="2063"/>
      <c r="V4" s="2063"/>
      <c r="W4" s="2063"/>
      <c r="X4" s="2063"/>
      <c r="Y4" s="2063"/>
      <c r="Z4" s="2063"/>
      <c r="AA4" s="2063"/>
      <c r="AB4" s="2063"/>
      <c r="AC4" s="2063"/>
      <c r="AD4" s="2063"/>
      <c r="AE4" s="2063"/>
      <c r="AF4" s="2063"/>
      <c r="AG4" s="2063"/>
      <c r="AH4" s="2063"/>
      <c r="AI4" s="2063"/>
      <c r="AJ4" s="2063"/>
      <c r="AK4" s="2063"/>
      <c r="AL4" s="2063"/>
      <c r="AM4" s="2063"/>
      <c r="AN4" s="2063"/>
      <c r="AO4" s="2063"/>
      <c r="AP4" s="2063"/>
      <c r="AQ4" s="2063"/>
      <c r="AR4" s="2063"/>
      <c r="AS4" s="2063"/>
      <c r="AT4" s="2063"/>
      <c r="AU4" s="2063"/>
      <c r="AV4" s="2063"/>
      <c r="AW4" s="2063"/>
      <c r="AX4" s="2063"/>
      <c r="AY4" s="2063"/>
      <c r="AZ4" s="2063"/>
      <c r="BA4" s="2063"/>
      <c r="BB4" s="2063"/>
      <c r="BC4" s="2063"/>
      <c r="BD4" s="2063"/>
      <c r="BE4" s="2063"/>
      <c r="BF4" s="2063"/>
      <c r="BG4" s="2063"/>
      <c r="BH4" s="2063"/>
      <c r="BI4" s="2063"/>
      <c r="BJ4" s="2063"/>
      <c r="BK4" s="2063"/>
      <c r="BL4" s="2063"/>
      <c r="BM4" s="2063"/>
      <c r="BN4" s="2063"/>
      <c r="BO4" s="2063"/>
      <c r="BP4" s="2063"/>
      <c r="BQ4" s="2063" t="e">
        <f>Fusion!#REF!</f>
        <v>#REF!</v>
      </c>
      <c r="BR4" s="2063" t="e">
        <f>Fusion!#REF!</f>
        <v>#REF!</v>
      </c>
      <c r="BS4" s="2063" t="e">
        <f>Fusion!#REF!</f>
        <v>#REF!</v>
      </c>
      <c r="BT4" s="2063" t="e">
        <f>Fusion!#REF!</f>
        <v>#REF!</v>
      </c>
      <c r="BU4" s="2063" t="e">
        <f>Fusion!#REF!</f>
        <v>#REF!</v>
      </c>
      <c r="BV4" s="2063" t="e">
        <f>Fusion!#REF!</f>
        <v>#REF!</v>
      </c>
      <c r="BW4" s="2063" t="e">
        <f>Fusion!#REF!</f>
        <v>#REF!</v>
      </c>
      <c r="BX4" s="2063" t="e">
        <f>Fusion!#REF!</f>
        <v>#REF!</v>
      </c>
      <c r="BY4" s="2063" t="e">
        <f>Fusion!#REF!</f>
        <v>#REF!</v>
      </c>
      <c r="BZ4" s="2063" t="e">
        <f>Fusion!#REF!</f>
        <v>#REF!</v>
      </c>
      <c r="CA4" s="2063" t="e">
        <f>Fusion!#REF!</f>
        <v>#REF!</v>
      </c>
      <c r="CB4" s="2063" t="e">
        <f>Fusion!#REF!</f>
        <v>#REF!</v>
      </c>
      <c r="CC4" s="2063" t="e">
        <f>Fusion!#REF!</f>
        <v>#REF!</v>
      </c>
      <c r="CD4" s="2063" t="e">
        <f>Fusion!#REF!</f>
        <v>#REF!</v>
      </c>
      <c r="CE4" s="2063" t="e">
        <f>Neoclassic!#REF!</f>
        <v>#REF!</v>
      </c>
      <c r="CF4" s="2063" t="e">
        <f>Neoclassic!#REF!</f>
        <v>#REF!</v>
      </c>
      <c r="CG4" s="2063" t="e">
        <f>Neoclassic!#REF!</f>
        <v>#REF!</v>
      </c>
      <c r="CH4" s="2063" t="e">
        <f>Neoclassic!#REF!</f>
        <v>#REF!</v>
      </c>
      <c r="CI4" s="2063" t="e">
        <f>Neoclassic!#REF!</f>
        <v>#REF!</v>
      </c>
      <c r="CJ4" s="2063" t="e">
        <f>Neoclassic!#REF!</f>
        <v>#REF!</v>
      </c>
      <c r="CK4" s="2063"/>
      <c r="CL4" s="2063"/>
      <c r="CM4" s="2063"/>
      <c r="CN4" s="2063"/>
      <c r="CO4" s="2063" t="e">
        <f>Standart!#REF!</f>
        <v>#REF!</v>
      </c>
      <c r="CP4" s="2063" t="e">
        <f>Standart!#REF!</f>
        <v>#REF!</v>
      </c>
      <c r="CQ4" s="2063"/>
      <c r="CR4" s="2063"/>
      <c r="CS4" s="2063" t="e">
        <f>Standart!#REF!</f>
        <v>#REF!</v>
      </c>
      <c r="CT4" s="2063"/>
      <c r="CU4" s="2063" t="e">
        <f>Standart!#REF!</f>
        <v>#REF!</v>
      </c>
      <c r="CV4" s="2063" t="e">
        <f>'Standart Strada2'!G12</f>
        <v>#REF!</v>
      </c>
      <c r="CW4" s="2063" t="e">
        <f>'Standart Strada2'!I12</f>
        <v>#REF!</v>
      </c>
      <c r="CX4" s="2063" t="e">
        <f>'Standart Strada2'!K12</f>
        <v>#REF!</v>
      </c>
      <c r="CY4" s="2063" t="e">
        <f>'Standart Strada2'!M12</f>
        <v>#REF!</v>
      </c>
      <c r="CZ4" s="2063" t="e">
        <f>'Standart Vario'!G12</f>
        <v>#REF!</v>
      </c>
      <c r="DA4" s="2063" t="e">
        <f>'Standart Vario'!H12</f>
        <v>#REF!</v>
      </c>
      <c r="DB4" s="2063" t="e">
        <f>Standart!#REF!</f>
        <v>#REF!</v>
      </c>
      <c r="DC4" s="2063" t="e">
        <f>'Standart Vario'!J12</f>
        <v>#REF!</v>
      </c>
      <c r="DD4" s="2063" t="e">
        <f>'Standart Vario'!K12</f>
        <v>#REF!</v>
      </c>
      <c r="DE4" s="2063" t="e">
        <f>'Standart Vario'!L12</f>
        <v>#REF!</v>
      </c>
      <c r="DF4" s="2063" t="e">
        <f>'Standart Vario'!M12</f>
        <v>#REF!</v>
      </c>
      <c r="DG4" s="2063" t="e">
        <f>'Standart Vario'!N12</f>
        <v>#REF!</v>
      </c>
      <c r="DH4" s="2063">
        <f>Techno_Porte!G10</f>
        <v>13750</v>
      </c>
      <c r="DI4" s="2063" t="e">
        <f>Techno_Porte!#REF!</f>
        <v>#REF!</v>
      </c>
      <c r="DJ4" s="2063" t="e">
        <f>Techno_Porte!#REF!</f>
        <v>#REF!</v>
      </c>
      <c r="DK4" s="2063" t="e">
        <f>Techno_Porte!#REF!</f>
        <v>#REF!</v>
      </c>
      <c r="DL4" s="2063">
        <f>Techno_Vetro!G7</f>
        <v>17550</v>
      </c>
      <c r="DM4" s="2063">
        <f>Techno_Vetro!H7</f>
        <v>19250</v>
      </c>
      <c r="DN4" s="2063">
        <f>Techno_Vetro!I7</f>
        <v>17550</v>
      </c>
      <c r="DO4" s="2063">
        <f>Techno_Vetro!J7</f>
        <v>19250</v>
      </c>
      <c r="DP4" s="2063">
        <f>Techno_Vetro!L7</f>
        <v>32450</v>
      </c>
      <c r="DQ4" s="2063"/>
      <c r="DR4" s="2063"/>
      <c r="DS4" s="2063">
        <f>Techno_Vetro!K7</f>
        <v>17550</v>
      </c>
      <c r="DT4" s="2063" t="e">
        <f>Techno_Vetro!#REF!</f>
        <v>#REF!</v>
      </c>
      <c r="DU4" s="2063" t="e">
        <f>Twist!#REF!</f>
        <v>#REF!</v>
      </c>
      <c r="DV4" s="2063" t="e">
        <f>Twist!#REF!</f>
        <v>#REF!</v>
      </c>
      <c r="DW4" s="2063" t="e">
        <f>Twist!#REF!</f>
        <v>#REF!</v>
      </c>
      <c r="DX4" s="2063" t="e">
        <f>Twist!#REF!</f>
        <v>#REF!</v>
      </c>
      <c r="DY4" s="2063" t="e">
        <f>Twist!#REF!</f>
        <v>#REF!</v>
      </c>
      <c r="DZ4" s="2063" t="e">
        <f>Twist!#REF!</f>
        <v>#REF!</v>
      </c>
      <c r="EA4" s="2063" t="e">
        <f>Twist!#REF!</f>
        <v>#REF!</v>
      </c>
      <c r="EB4" s="2063" t="e">
        <f>Twist!#REF!</f>
        <v>#REF!</v>
      </c>
      <c r="EC4" s="2063" t="e">
        <f>Twist!#REF!</f>
        <v>#REF!</v>
      </c>
      <c r="ED4" s="2063" t="e">
        <f>Twist!#REF!</f>
        <v>#REF!</v>
      </c>
      <c r="EE4" s="2063" t="e">
        <f>Twist!#REF!</f>
        <v>#REF!</v>
      </c>
      <c r="EF4" s="2063" t="e">
        <f>Twist!#REF!</f>
        <v>#REF!</v>
      </c>
      <c r="EG4" s="2063"/>
      <c r="EH4" s="2063"/>
      <c r="EI4" s="2063"/>
      <c r="EJ4" s="2063"/>
      <c r="EK4" s="2063"/>
      <c r="EL4" s="2063"/>
      <c r="EM4" s="2063"/>
      <c r="EN4" s="2063"/>
      <c r="EO4" s="2063"/>
      <c r="EP4" s="2063"/>
      <c r="EQ4" s="2063"/>
      <c r="ER4" s="2063"/>
      <c r="ES4" s="2063"/>
      <c r="ET4" s="2063"/>
      <c r="EU4" s="2063"/>
      <c r="EV4" s="2063"/>
      <c r="EW4" s="2063"/>
      <c r="EX4" s="2063"/>
      <c r="EY4" s="2063"/>
      <c r="EZ4" s="2063"/>
      <c r="FA4" s="2063"/>
      <c r="FB4" s="2063"/>
      <c r="FC4" s="2063"/>
      <c r="FD4" s="2063"/>
      <c r="FE4" s="2064"/>
      <c r="FF4" s="2064"/>
      <c r="FG4" s="2064"/>
      <c r="FH4" s="2064"/>
      <c r="FI4" s="2064"/>
      <c r="FJ4" s="2064"/>
    </row>
    <row r="5" spans="1:242" s="1553" customFormat="1" ht="15.75" hidden="1" customHeight="1" outlineLevel="2">
      <c r="A5" s="1552">
        <v>2</v>
      </c>
      <c r="B5" s="1550" t="s">
        <v>206</v>
      </c>
      <c r="C5" s="1484" t="s">
        <v>1425</v>
      </c>
      <c r="D5" s="1550" t="s">
        <v>206</v>
      </c>
      <c r="E5" s="1484" t="s">
        <v>274</v>
      </c>
      <c r="F5" s="1484" t="str">
        <f>Покрытия_ПВХ!E5</f>
        <v>Акация светлая</v>
      </c>
      <c r="G5" s="1484" t="s">
        <v>73</v>
      </c>
      <c r="H5" s="2065"/>
      <c r="I5" s="2065"/>
      <c r="J5" s="2065"/>
      <c r="K5" s="2065"/>
      <c r="L5" s="2065"/>
      <c r="M5" s="2065"/>
      <c r="N5" s="2065"/>
      <c r="O5" s="2065"/>
      <c r="P5" s="2065"/>
      <c r="Q5" s="2065"/>
      <c r="R5" s="2065"/>
      <c r="S5" s="2065"/>
      <c r="T5" s="2065"/>
      <c r="U5" s="2065"/>
      <c r="V5" s="2065"/>
      <c r="W5" s="2065"/>
      <c r="X5" s="2065"/>
      <c r="Y5" s="2065"/>
      <c r="Z5" s="2065"/>
      <c r="AA5" s="2065"/>
      <c r="AB5" s="2065"/>
      <c r="AC5" s="2065"/>
      <c r="AD5" s="2065"/>
      <c r="AE5" s="2065"/>
      <c r="AF5" s="2065"/>
      <c r="AG5" s="2065"/>
      <c r="AH5" s="2065"/>
      <c r="AI5" s="2065"/>
      <c r="AJ5" s="2065"/>
      <c r="AK5" s="2065"/>
      <c r="AL5" s="2065"/>
      <c r="AM5" s="2065"/>
      <c r="AN5" s="2065"/>
      <c r="AO5" s="2065"/>
      <c r="AP5" s="2065"/>
      <c r="AQ5" s="2065"/>
      <c r="AR5" s="2065"/>
      <c r="AS5" s="2065"/>
      <c r="AT5" s="2065"/>
      <c r="AU5" s="2065"/>
      <c r="AV5" s="2065"/>
      <c r="AW5" s="2065"/>
      <c r="AX5" s="2065"/>
      <c r="AY5" s="2065"/>
      <c r="AZ5" s="2065"/>
      <c r="BA5" s="2065"/>
      <c r="BB5" s="2065"/>
      <c r="BC5" s="2065"/>
      <c r="BD5" s="2065"/>
      <c r="BE5" s="2065"/>
      <c r="BF5" s="2065"/>
      <c r="BG5" s="2065"/>
      <c r="BH5" s="2065"/>
      <c r="BI5" s="2065"/>
      <c r="BJ5" s="2065"/>
      <c r="BK5" s="2065"/>
      <c r="BL5" s="2065"/>
      <c r="BM5" s="2065"/>
      <c r="BN5" s="2065"/>
      <c r="BO5" s="2065"/>
      <c r="BP5" s="2065"/>
      <c r="BQ5" s="2065" t="e">
        <f t="shared" ref="BQ5:CE5" si="0">BQ4</f>
        <v>#REF!</v>
      </c>
      <c r="BR5" s="2065" t="e">
        <f t="shared" si="0"/>
        <v>#REF!</v>
      </c>
      <c r="BS5" s="2065" t="e">
        <f t="shared" si="0"/>
        <v>#REF!</v>
      </c>
      <c r="BT5" s="2065" t="e">
        <f t="shared" si="0"/>
        <v>#REF!</v>
      </c>
      <c r="BU5" s="2065" t="e">
        <f t="shared" si="0"/>
        <v>#REF!</v>
      </c>
      <c r="BV5" s="2065" t="e">
        <f t="shared" si="0"/>
        <v>#REF!</v>
      </c>
      <c r="BW5" s="2065" t="e">
        <f t="shared" si="0"/>
        <v>#REF!</v>
      </c>
      <c r="BX5" s="2065" t="e">
        <f t="shared" si="0"/>
        <v>#REF!</v>
      </c>
      <c r="BY5" s="2065" t="e">
        <f t="shared" si="0"/>
        <v>#REF!</v>
      </c>
      <c r="BZ5" s="2065" t="e">
        <f t="shared" si="0"/>
        <v>#REF!</v>
      </c>
      <c r="CA5" s="2065" t="e">
        <f t="shared" si="0"/>
        <v>#REF!</v>
      </c>
      <c r="CB5" s="2065" t="e">
        <f t="shared" si="0"/>
        <v>#REF!</v>
      </c>
      <c r="CC5" s="2065" t="e">
        <f t="shared" si="0"/>
        <v>#REF!</v>
      </c>
      <c r="CD5" s="2065" t="e">
        <f t="shared" si="0"/>
        <v>#REF!</v>
      </c>
      <c r="CE5" s="2065" t="e">
        <f t="shared" si="0"/>
        <v>#REF!</v>
      </c>
      <c r="CF5" s="2065" t="e">
        <f>CF4</f>
        <v>#REF!</v>
      </c>
      <c r="CG5" s="2065" t="e">
        <f>CG4</f>
        <v>#REF!</v>
      </c>
      <c r="CH5" s="2065" t="e">
        <f>CH4</f>
        <v>#REF!</v>
      </c>
      <c r="CI5" s="2065" t="e">
        <f>CI4</f>
        <v>#REF!</v>
      </c>
      <c r="CJ5" s="2065" t="e">
        <f>CJ4</f>
        <v>#REF!</v>
      </c>
      <c r="CK5" s="2065"/>
      <c r="CL5" s="2065"/>
      <c r="CM5" s="2065"/>
      <c r="CN5" s="2065"/>
      <c r="CO5" s="2065" t="e">
        <f t="shared" ref="CO5:DP5" si="1">CO4</f>
        <v>#REF!</v>
      </c>
      <c r="CP5" s="2065" t="e">
        <f t="shared" si="1"/>
        <v>#REF!</v>
      </c>
      <c r="CQ5" s="2065"/>
      <c r="CR5" s="2065"/>
      <c r="CS5" s="2065" t="e">
        <f t="shared" si="1"/>
        <v>#REF!</v>
      </c>
      <c r="CT5" s="2065"/>
      <c r="CU5" s="2065" t="e">
        <f t="shared" si="1"/>
        <v>#REF!</v>
      </c>
      <c r="CV5" s="2065" t="e">
        <f t="shared" si="1"/>
        <v>#REF!</v>
      </c>
      <c r="CW5" s="2065" t="e">
        <f t="shared" si="1"/>
        <v>#REF!</v>
      </c>
      <c r="CX5" s="2065" t="e">
        <f t="shared" si="1"/>
        <v>#REF!</v>
      </c>
      <c r="CY5" s="2065" t="e">
        <f t="shared" si="1"/>
        <v>#REF!</v>
      </c>
      <c r="CZ5" s="2065" t="e">
        <f t="shared" si="1"/>
        <v>#REF!</v>
      </c>
      <c r="DA5" s="2065" t="e">
        <f t="shared" si="1"/>
        <v>#REF!</v>
      </c>
      <c r="DB5" s="2065" t="e">
        <f t="shared" si="1"/>
        <v>#REF!</v>
      </c>
      <c r="DC5" s="2065" t="e">
        <f t="shared" si="1"/>
        <v>#REF!</v>
      </c>
      <c r="DD5" s="2065" t="e">
        <f t="shared" si="1"/>
        <v>#REF!</v>
      </c>
      <c r="DE5" s="2065" t="e">
        <f t="shared" si="1"/>
        <v>#REF!</v>
      </c>
      <c r="DF5" s="2065" t="e">
        <f t="shared" si="1"/>
        <v>#REF!</v>
      </c>
      <c r="DG5" s="2065" t="e">
        <f t="shared" si="1"/>
        <v>#REF!</v>
      </c>
      <c r="DH5" s="2065">
        <f t="shared" si="1"/>
        <v>13750</v>
      </c>
      <c r="DI5" s="2065" t="e">
        <f t="shared" si="1"/>
        <v>#REF!</v>
      </c>
      <c r="DJ5" s="2065" t="e">
        <f t="shared" si="1"/>
        <v>#REF!</v>
      </c>
      <c r="DK5" s="2065" t="e">
        <f t="shared" si="1"/>
        <v>#REF!</v>
      </c>
      <c r="DL5" s="2065">
        <f t="shared" si="1"/>
        <v>17550</v>
      </c>
      <c r="DM5" s="2065">
        <f t="shared" si="1"/>
        <v>19250</v>
      </c>
      <c r="DN5" s="2065">
        <f t="shared" si="1"/>
        <v>17550</v>
      </c>
      <c r="DO5" s="2065">
        <f t="shared" si="1"/>
        <v>19250</v>
      </c>
      <c r="DP5" s="2065">
        <f t="shared" si="1"/>
        <v>32450</v>
      </c>
      <c r="DQ5" s="2065"/>
      <c r="DR5" s="2065"/>
      <c r="DS5" s="2065">
        <f t="shared" ref="DS5:EF5" si="2">DS4</f>
        <v>17550</v>
      </c>
      <c r="DT5" s="2065" t="e">
        <f t="shared" si="2"/>
        <v>#REF!</v>
      </c>
      <c r="DU5" s="2065" t="e">
        <f t="shared" si="2"/>
        <v>#REF!</v>
      </c>
      <c r="DV5" s="2065" t="e">
        <f t="shared" si="2"/>
        <v>#REF!</v>
      </c>
      <c r="DW5" s="2065" t="e">
        <f t="shared" si="2"/>
        <v>#REF!</v>
      </c>
      <c r="DX5" s="2065" t="e">
        <f t="shared" si="2"/>
        <v>#REF!</v>
      </c>
      <c r="DY5" s="2065" t="e">
        <f t="shared" si="2"/>
        <v>#REF!</v>
      </c>
      <c r="DZ5" s="2065" t="e">
        <f t="shared" si="2"/>
        <v>#REF!</v>
      </c>
      <c r="EA5" s="2065" t="e">
        <f t="shared" si="2"/>
        <v>#REF!</v>
      </c>
      <c r="EB5" s="2065" t="e">
        <f t="shared" si="2"/>
        <v>#REF!</v>
      </c>
      <c r="EC5" s="2065" t="e">
        <f t="shared" si="2"/>
        <v>#REF!</v>
      </c>
      <c r="ED5" s="2065" t="e">
        <f t="shared" si="2"/>
        <v>#REF!</v>
      </c>
      <c r="EE5" s="2065" t="e">
        <f t="shared" si="2"/>
        <v>#REF!</v>
      </c>
      <c r="EF5" s="2065" t="e">
        <f t="shared" si="2"/>
        <v>#REF!</v>
      </c>
      <c r="EG5" s="2065"/>
      <c r="EH5" s="2065"/>
      <c r="EI5" s="2065"/>
      <c r="EJ5" s="2065"/>
      <c r="EK5" s="2065"/>
      <c r="EL5" s="2065"/>
      <c r="EM5" s="2065"/>
      <c r="EN5" s="2065"/>
      <c r="EO5" s="2065"/>
      <c r="EP5" s="2065"/>
      <c r="EQ5" s="2065"/>
      <c r="ER5" s="2065"/>
      <c r="ES5" s="2065"/>
      <c r="ET5" s="2065"/>
      <c r="EU5" s="2065"/>
      <c r="EV5" s="2065"/>
      <c r="EW5" s="2065"/>
      <c r="EX5" s="2065"/>
      <c r="EY5" s="2065"/>
      <c r="EZ5" s="2065"/>
      <c r="FA5" s="2065"/>
      <c r="FB5" s="2065"/>
      <c r="FC5" s="2065"/>
      <c r="FD5" s="2065"/>
      <c r="FE5" s="2066"/>
      <c r="FF5" s="2066"/>
      <c r="FG5" s="2066"/>
      <c r="FH5" s="2066"/>
      <c r="FI5" s="2066"/>
      <c r="FJ5" s="2066"/>
    </row>
    <row r="6" spans="1:242" s="1553" customFormat="1" ht="15.75" hidden="1" customHeight="1" outlineLevel="2">
      <c r="A6" s="1549">
        <v>3</v>
      </c>
      <c r="B6" s="1550" t="s">
        <v>206</v>
      </c>
      <c r="C6" s="1484" t="s">
        <v>1425</v>
      </c>
      <c r="D6" s="1550" t="s">
        <v>206</v>
      </c>
      <c r="E6" s="1484" t="s">
        <v>274</v>
      </c>
      <c r="F6" s="1484" t="str">
        <f>Покрытия_ПВХ!E6</f>
        <v>Карелия светлая</v>
      </c>
      <c r="G6" s="1484" t="s">
        <v>1967</v>
      </c>
      <c r="H6" s="2065"/>
      <c r="I6" s="2065"/>
      <c r="J6" s="2065"/>
      <c r="K6" s="2065"/>
      <c r="L6" s="2065"/>
      <c r="M6" s="2065"/>
      <c r="N6" s="2065"/>
      <c r="O6" s="2065"/>
      <c r="P6" s="2065"/>
      <c r="Q6" s="2065"/>
      <c r="R6" s="2065"/>
      <c r="S6" s="2065"/>
      <c r="T6" s="2065"/>
      <c r="U6" s="2065"/>
      <c r="V6" s="2065"/>
      <c r="W6" s="2065"/>
      <c r="X6" s="2065"/>
      <c r="Y6" s="2065"/>
      <c r="Z6" s="2065"/>
      <c r="AA6" s="2065"/>
      <c r="AB6" s="2065"/>
      <c r="AC6" s="2065"/>
      <c r="AD6" s="2065"/>
      <c r="AE6" s="2065"/>
      <c r="AF6" s="2065"/>
      <c r="AG6" s="2065"/>
      <c r="AH6" s="2065"/>
      <c r="AI6" s="2065"/>
      <c r="AJ6" s="2065"/>
      <c r="AK6" s="2065"/>
      <c r="AL6" s="2065"/>
      <c r="AM6" s="2065"/>
      <c r="AN6" s="2065"/>
      <c r="AO6" s="2065"/>
      <c r="AP6" s="2065"/>
      <c r="AQ6" s="2065"/>
      <c r="AR6" s="2065"/>
      <c r="AS6" s="2065"/>
      <c r="AT6" s="2065"/>
      <c r="AU6" s="2065"/>
      <c r="AV6" s="2065"/>
      <c r="AW6" s="2065"/>
      <c r="AX6" s="2065"/>
      <c r="AY6" s="2065"/>
      <c r="AZ6" s="2065"/>
      <c r="BA6" s="2065"/>
      <c r="BB6" s="2065"/>
      <c r="BC6" s="2065"/>
      <c r="BD6" s="2065"/>
      <c r="BE6" s="2065"/>
      <c r="BF6" s="2065"/>
      <c r="BG6" s="2065"/>
      <c r="BH6" s="2065"/>
      <c r="BI6" s="2065"/>
      <c r="BJ6" s="2065"/>
      <c r="BK6" s="2065"/>
      <c r="BL6" s="2065"/>
      <c r="BM6" s="2065"/>
      <c r="BN6" s="2065"/>
      <c r="BO6" s="2065"/>
      <c r="BP6" s="2065"/>
      <c r="BQ6" s="2065" t="e">
        <f t="shared" ref="BQ6:CE6" si="3">BQ4</f>
        <v>#REF!</v>
      </c>
      <c r="BR6" s="2065" t="e">
        <f t="shared" si="3"/>
        <v>#REF!</v>
      </c>
      <c r="BS6" s="2065" t="e">
        <f t="shared" si="3"/>
        <v>#REF!</v>
      </c>
      <c r="BT6" s="2065" t="e">
        <f t="shared" si="3"/>
        <v>#REF!</v>
      </c>
      <c r="BU6" s="2065" t="e">
        <f t="shared" si="3"/>
        <v>#REF!</v>
      </c>
      <c r="BV6" s="2065" t="e">
        <f t="shared" si="3"/>
        <v>#REF!</v>
      </c>
      <c r="BW6" s="2065" t="e">
        <f t="shared" si="3"/>
        <v>#REF!</v>
      </c>
      <c r="BX6" s="2065" t="e">
        <f t="shared" si="3"/>
        <v>#REF!</v>
      </c>
      <c r="BY6" s="2065" t="e">
        <f t="shared" si="3"/>
        <v>#REF!</v>
      </c>
      <c r="BZ6" s="2065" t="e">
        <f t="shared" si="3"/>
        <v>#REF!</v>
      </c>
      <c r="CA6" s="2065" t="e">
        <f t="shared" si="3"/>
        <v>#REF!</v>
      </c>
      <c r="CB6" s="2065" t="e">
        <f t="shared" si="3"/>
        <v>#REF!</v>
      </c>
      <c r="CC6" s="2065" t="e">
        <f t="shared" si="3"/>
        <v>#REF!</v>
      </c>
      <c r="CD6" s="2065" t="e">
        <f t="shared" si="3"/>
        <v>#REF!</v>
      </c>
      <c r="CE6" s="2065" t="e">
        <f t="shared" si="3"/>
        <v>#REF!</v>
      </c>
      <c r="CF6" s="2065" t="e">
        <f>CF4</f>
        <v>#REF!</v>
      </c>
      <c r="CG6" s="2065" t="e">
        <f>CG4</f>
        <v>#REF!</v>
      </c>
      <c r="CH6" s="2065" t="e">
        <f>CH4</f>
        <v>#REF!</v>
      </c>
      <c r="CI6" s="2065" t="e">
        <f>CI4</f>
        <v>#REF!</v>
      </c>
      <c r="CJ6" s="2065" t="e">
        <f t="shared" ref="CJ6:EF6" si="4">CJ4</f>
        <v>#REF!</v>
      </c>
      <c r="CK6" s="2065"/>
      <c r="CL6" s="2065"/>
      <c r="CM6" s="2065"/>
      <c r="CN6" s="2065"/>
      <c r="CO6" s="2065" t="e">
        <f t="shared" si="4"/>
        <v>#REF!</v>
      </c>
      <c r="CP6" s="2065" t="e">
        <f t="shared" si="4"/>
        <v>#REF!</v>
      </c>
      <c r="CQ6" s="2065"/>
      <c r="CR6" s="2065"/>
      <c r="CS6" s="2065" t="e">
        <f>CS4</f>
        <v>#REF!</v>
      </c>
      <c r="CT6" s="2065"/>
      <c r="CU6" s="2065" t="e">
        <f>CU4</f>
        <v>#REF!</v>
      </c>
      <c r="CV6" s="2065" t="e">
        <f t="shared" si="4"/>
        <v>#REF!</v>
      </c>
      <c r="CW6" s="2065" t="e">
        <f t="shared" si="4"/>
        <v>#REF!</v>
      </c>
      <c r="CX6" s="2065" t="e">
        <f t="shared" si="4"/>
        <v>#REF!</v>
      </c>
      <c r="CY6" s="2065" t="e">
        <f t="shared" si="4"/>
        <v>#REF!</v>
      </c>
      <c r="CZ6" s="2065" t="e">
        <f t="shared" si="4"/>
        <v>#REF!</v>
      </c>
      <c r="DA6" s="2065" t="e">
        <f>DA4</f>
        <v>#REF!</v>
      </c>
      <c r="DB6" s="2065" t="e">
        <f t="shared" si="4"/>
        <v>#REF!</v>
      </c>
      <c r="DC6" s="2065" t="e">
        <f t="shared" si="4"/>
        <v>#REF!</v>
      </c>
      <c r="DD6" s="2065" t="e">
        <f t="shared" si="4"/>
        <v>#REF!</v>
      </c>
      <c r="DE6" s="2065" t="e">
        <f t="shared" si="4"/>
        <v>#REF!</v>
      </c>
      <c r="DF6" s="2065" t="e">
        <f t="shared" si="4"/>
        <v>#REF!</v>
      </c>
      <c r="DG6" s="2065" t="e">
        <f t="shared" si="4"/>
        <v>#REF!</v>
      </c>
      <c r="DH6" s="2065">
        <f t="shared" si="4"/>
        <v>13750</v>
      </c>
      <c r="DI6" s="2065" t="e">
        <f t="shared" si="4"/>
        <v>#REF!</v>
      </c>
      <c r="DJ6" s="2065" t="e">
        <f t="shared" si="4"/>
        <v>#REF!</v>
      </c>
      <c r="DK6" s="2065" t="e">
        <f t="shared" si="4"/>
        <v>#REF!</v>
      </c>
      <c r="DL6" s="2065">
        <f t="shared" si="4"/>
        <v>17550</v>
      </c>
      <c r="DM6" s="2065">
        <f t="shared" si="4"/>
        <v>19250</v>
      </c>
      <c r="DN6" s="2065">
        <f t="shared" si="4"/>
        <v>17550</v>
      </c>
      <c r="DO6" s="2065">
        <f t="shared" si="4"/>
        <v>19250</v>
      </c>
      <c r="DP6" s="2065">
        <f>DP4</f>
        <v>32450</v>
      </c>
      <c r="DQ6" s="2065"/>
      <c r="DR6" s="2065"/>
      <c r="DS6" s="2065">
        <f t="shared" si="4"/>
        <v>17550</v>
      </c>
      <c r="DT6" s="2065" t="e">
        <f t="shared" si="4"/>
        <v>#REF!</v>
      </c>
      <c r="DU6" s="2065" t="e">
        <f t="shared" si="4"/>
        <v>#REF!</v>
      </c>
      <c r="DV6" s="2065" t="e">
        <f t="shared" si="4"/>
        <v>#REF!</v>
      </c>
      <c r="DW6" s="2065" t="e">
        <f t="shared" si="4"/>
        <v>#REF!</v>
      </c>
      <c r="DX6" s="2065" t="e">
        <f t="shared" si="4"/>
        <v>#REF!</v>
      </c>
      <c r="DY6" s="2065" t="e">
        <f t="shared" si="4"/>
        <v>#REF!</v>
      </c>
      <c r="DZ6" s="2065" t="e">
        <f t="shared" si="4"/>
        <v>#REF!</v>
      </c>
      <c r="EA6" s="2065" t="e">
        <f t="shared" si="4"/>
        <v>#REF!</v>
      </c>
      <c r="EB6" s="2065" t="e">
        <f t="shared" si="4"/>
        <v>#REF!</v>
      </c>
      <c r="EC6" s="2065" t="e">
        <f t="shared" si="4"/>
        <v>#REF!</v>
      </c>
      <c r="ED6" s="2065" t="e">
        <f t="shared" si="4"/>
        <v>#REF!</v>
      </c>
      <c r="EE6" s="2065" t="e">
        <f t="shared" si="4"/>
        <v>#REF!</v>
      </c>
      <c r="EF6" s="2065" t="e">
        <f t="shared" si="4"/>
        <v>#REF!</v>
      </c>
      <c r="EG6" s="2065"/>
      <c r="EH6" s="2065"/>
      <c r="EI6" s="2065"/>
      <c r="EJ6" s="2065"/>
      <c r="EK6" s="2065"/>
      <c r="EL6" s="2065"/>
      <c r="EM6" s="2065"/>
      <c r="EN6" s="2065"/>
      <c r="EO6" s="2065"/>
      <c r="EP6" s="2065"/>
      <c r="EQ6" s="2065"/>
      <c r="ER6" s="2065"/>
      <c r="ES6" s="2065"/>
      <c r="ET6" s="2065"/>
      <c r="EU6" s="2065"/>
      <c r="EV6" s="2065"/>
      <c r="EW6" s="2065"/>
      <c r="EX6" s="2065"/>
      <c r="EY6" s="2065"/>
      <c r="EZ6" s="2065"/>
      <c r="FA6" s="2065"/>
      <c r="FB6" s="2065"/>
      <c r="FC6" s="2065"/>
      <c r="FD6" s="2065"/>
      <c r="FE6" s="2066"/>
      <c r="FF6" s="2066"/>
      <c r="FG6" s="2066"/>
      <c r="FH6" s="2066"/>
      <c r="FI6" s="2066"/>
      <c r="FJ6" s="2066"/>
    </row>
    <row r="7" spans="1:242" s="1553" customFormat="1" ht="15.75" hidden="1" customHeight="1" outlineLevel="2">
      <c r="A7" s="1552">
        <v>4</v>
      </c>
      <c r="B7" s="1550" t="s">
        <v>206</v>
      </c>
      <c r="C7" s="1484" t="s">
        <v>1425</v>
      </c>
      <c r="D7" s="1550" t="s">
        <v>206</v>
      </c>
      <c r="E7" s="1484" t="s">
        <v>274</v>
      </c>
      <c r="F7" s="1484" t="str">
        <f>Покрытия_ПВХ!E7</f>
        <v>Акация темная</v>
      </c>
      <c r="G7" s="1484" t="s">
        <v>74</v>
      </c>
      <c r="H7" s="2065"/>
      <c r="I7" s="2065"/>
      <c r="J7" s="2065"/>
      <c r="K7" s="2065"/>
      <c r="L7" s="2065"/>
      <c r="M7" s="2065"/>
      <c r="N7" s="2065"/>
      <c r="O7" s="2065"/>
      <c r="P7" s="2065"/>
      <c r="Q7" s="2065"/>
      <c r="R7" s="2065"/>
      <c r="S7" s="2065"/>
      <c r="T7" s="2065"/>
      <c r="U7" s="2065"/>
      <c r="V7" s="2065"/>
      <c r="W7" s="2065"/>
      <c r="X7" s="2065"/>
      <c r="Y7" s="2065"/>
      <c r="Z7" s="2065"/>
      <c r="AA7" s="2065"/>
      <c r="AB7" s="2065"/>
      <c r="AC7" s="2065"/>
      <c r="AD7" s="2065"/>
      <c r="AE7" s="2065"/>
      <c r="AF7" s="2065"/>
      <c r="AG7" s="2065"/>
      <c r="AH7" s="2065"/>
      <c r="AI7" s="2065"/>
      <c r="AJ7" s="2065"/>
      <c r="AK7" s="2065"/>
      <c r="AL7" s="2065"/>
      <c r="AM7" s="2065"/>
      <c r="AN7" s="2065"/>
      <c r="AO7" s="2065"/>
      <c r="AP7" s="2065"/>
      <c r="AQ7" s="2065"/>
      <c r="AR7" s="2065"/>
      <c r="AS7" s="2065"/>
      <c r="AT7" s="2065"/>
      <c r="AU7" s="2065"/>
      <c r="AV7" s="2065"/>
      <c r="AW7" s="2065"/>
      <c r="AX7" s="2065"/>
      <c r="AY7" s="2065"/>
      <c r="AZ7" s="2065"/>
      <c r="BA7" s="2065"/>
      <c r="BB7" s="2065"/>
      <c r="BC7" s="2065"/>
      <c r="BD7" s="2065"/>
      <c r="BE7" s="2065"/>
      <c r="BF7" s="2065"/>
      <c r="BG7" s="2065"/>
      <c r="BH7" s="2065"/>
      <c r="BI7" s="2065"/>
      <c r="BJ7" s="2065"/>
      <c r="BK7" s="2065"/>
      <c r="BL7" s="2065"/>
      <c r="BM7" s="2065"/>
      <c r="BN7" s="2065"/>
      <c r="BO7" s="2065"/>
      <c r="BP7" s="2065"/>
      <c r="BQ7" s="2065" t="e">
        <f t="shared" ref="BQ7:CE7" si="5">BQ4</f>
        <v>#REF!</v>
      </c>
      <c r="BR7" s="2065" t="e">
        <f t="shared" si="5"/>
        <v>#REF!</v>
      </c>
      <c r="BS7" s="2065" t="e">
        <f t="shared" si="5"/>
        <v>#REF!</v>
      </c>
      <c r="BT7" s="2065" t="e">
        <f t="shared" si="5"/>
        <v>#REF!</v>
      </c>
      <c r="BU7" s="2065" t="e">
        <f t="shared" si="5"/>
        <v>#REF!</v>
      </c>
      <c r="BV7" s="2065" t="e">
        <f t="shared" si="5"/>
        <v>#REF!</v>
      </c>
      <c r="BW7" s="2065" t="e">
        <f t="shared" si="5"/>
        <v>#REF!</v>
      </c>
      <c r="BX7" s="2065" t="e">
        <f t="shared" si="5"/>
        <v>#REF!</v>
      </c>
      <c r="BY7" s="2065" t="e">
        <f t="shared" si="5"/>
        <v>#REF!</v>
      </c>
      <c r="BZ7" s="2065" t="e">
        <f t="shared" si="5"/>
        <v>#REF!</v>
      </c>
      <c r="CA7" s="2065" t="e">
        <f t="shared" si="5"/>
        <v>#REF!</v>
      </c>
      <c r="CB7" s="2065" t="e">
        <f t="shared" si="5"/>
        <v>#REF!</v>
      </c>
      <c r="CC7" s="2065" t="e">
        <f t="shared" si="5"/>
        <v>#REF!</v>
      </c>
      <c r="CD7" s="2065" t="e">
        <f t="shared" si="5"/>
        <v>#REF!</v>
      </c>
      <c r="CE7" s="2065" t="e">
        <f t="shared" si="5"/>
        <v>#REF!</v>
      </c>
      <c r="CF7" s="2065" t="e">
        <f>CF4</f>
        <v>#REF!</v>
      </c>
      <c r="CG7" s="2065" t="e">
        <f>CG4</f>
        <v>#REF!</v>
      </c>
      <c r="CH7" s="2065" t="e">
        <f>CH4</f>
        <v>#REF!</v>
      </c>
      <c r="CI7" s="2065" t="e">
        <f>CI4</f>
        <v>#REF!</v>
      </c>
      <c r="CJ7" s="2065" t="e">
        <f t="shared" ref="CJ7:EF7" si="6">CJ4</f>
        <v>#REF!</v>
      </c>
      <c r="CK7" s="2065"/>
      <c r="CL7" s="2065"/>
      <c r="CM7" s="2065"/>
      <c r="CN7" s="2065"/>
      <c r="CO7" s="2065" t="e">
        <f t="shared" si="6"/>
        <v>#REF!</v>
      </c>
      <c r="CP7" s="2065" t="e">
        <f t="shared" si="6"/>
        <v>#REF!</v>
      </c>
      <c r="CQ7" s="2065"/>
      <c r="CR7" s="2065"/>
      <c r="CS7" s="2065" t="e">
        <f>CS4</f>
        <v>#REF!</v>
      </c>
      <c r="CT7" s="2065"/>
      <c r="CU7" s="2065" t="e">
        <f>CU4</f>
        <v>#REF!</v>
      </c>
      <c r="CV7" s="2065" t="e">
        <f t="shared" si="6"/>
        <v>#REF!</v>
      </c>
      <c r="CW7" s="2065" t="e">
        <f t="shared" si="6"/>
        <v>#REF!</v>
      </c>
      <c r="CX7" s="2065" t="e">
        <f t="shared" si="6"/>
        <v>#REF!</v>
      </c>
      <c r="CY7" s="2065" t="e">
        <f t="shared" si="6"/>
        <v>#REF!</v>
      </c>
      <c r="CZ7" s="2065" t="e">
        <f t="shared" si="6"/>
        <v>#REF!</v>
      </c>
      <c r="DA7" s="2065" t="e">
        <f>DA4</f>
        <v>#REF!</v>
      </c>
      <c r="DB7" s="2065" t="e">
        <f t="shared" si="6"/>
        <v>#REF!</v>
      </c>
      <c r="DC7" s="2065" t="e">
        <f t="shared" si="6"/>
        <v>#REF!</v>
      </c>
      <c r="DD7" s="2065" t="e">
        <f t="shared" si="6"/>
        <v>#REF!</v>
      </c>
      <c r="DE7" s="2065" t="e">
        <f t="shared" si="6"/>
        <v>#REF!</v>
      </c>
      <c r="DF7" s="2065" t="e">
        <f t="shared" si="6"/>
        <v>#REF!</v>
      </c>
      <c r="DG7" s="2065" t="e">
        <f t="shared" si="6"/>
        <v>#REF!</v>
      </c>
      <c r="DH7" s="2065">
        <f t="shared" si="6"/>
        <v>13750</v>
      </c>
      <c r="DI7" s="2065" t="e">
        <f t="shared" si="6"/>
        <v>#REF!</v>
      </c>
      <c r="DJ7" s="2065" t="e">
        <f t="shared" si="6"/>
        <v>#REF!</v>
      </c>
      <c r="DK7" s="2065" t="e">
        <f t="shared" si="6"/>
        <v>#REF!</v>
      </c>
      <c r="DL7" s="2065">
        <f t="shared" si="6"/>
        <v>17550</v>
      </c>
      <c r="DM7" s="2065">
        <f t="shared" si="6"/>
        <v>19250</v>
      </c>
      <c r="DN7" s="2065">
        <f t="shared" si="6"/>
        <v>17550</v>
      </c>
      <c r="DO7" s="2065">
        <f t="shared" si="6"/>
        <v>19250</v>
      </c>
      <c r="DP7" s="2065">
        <f>DP4</f>
        <v>32450</v>
      </c>
      <c r="DQ7" s="2065"/>
      <c r="DR7" s="2065"/>
      <c r="DS7" s="2065">
        <f t="shared" si="6"/>
        <v>17550</v>
      </c>
      <c r="DT7" s="2065" t="e">
        <f t="shared" si="6"/>
        <v>#REF!</v>
      </c>
      <c r="DU7" s="2065" t="e">
        <f t="shared" si="6"/>
        <v>#REF!</v>
      </c>
      <c r="DV7" s="2065" t="e">
        <f t="shared" si="6"/>
        <v>#REF!</v>
      </c>
      <c r="DW7" s="2065" t="e">
        <f t="shared" si="6"/>
        <v>#REF!</v>
      </c>
      <c r="DX7" s="2065" t="e">
        <f t="shared" si="6"/>
        <v>#REF!</v>
      </c>
      <c r="DY7" s="2065" t="e">
        <f t="shared" si="6"/>
        <v>#REF!</v>
      </c>
      <c r="DZ7" s="2065" t="e">
        <f t="shared" si="6"/>
        <v>#REF!</v>
      </c>
      <c r="EA7" s="2065" t="e">
        <f t="shared" si="6"/>
        <v>#REF!</v>
      </c>
      <c r="EB7" s="2065" t="e">
        <f t="shared" si="6"/>
        <v>#REF!</v>
      </c>
      <c r="EC7" s="2065" t="e">
        <f t="shared" si="6"/>
        <v>#REF!</v>
      </c>
      <c r="ED7" s="2065" t="e">
        <f t="shared" si="6"/>
        <v>#REF!</v>
      </c>
      <c r="EE7" s="2065" t="e">
        <f t="shared" si="6"/>
        <v>#REF!</v>
      </c>
      <c r="EF7" s="2065" t="e">
        <f t="shared" si="6"/>
        <v>#REF!</v>
      </c>
      <c r="EG7" s="2065"/>
      <c r="EH7" s="2065"/>
      <c r="EI7" s="2065"/>
      <c r="EJ7" s="2065"/>
      <c r="EK7" s="2065"/>
      <c r="EL7" s="2065"/>
      <c r="EM7" s="2065"/>
      <c r="EN7" s="2065"/>
      <c r="EO7" s="2065"/>
      <c r="EP7" s="2065"/>
      <c r="EQ7" s="2065"/>
      <c r="ER7" s="2065"/>
      <c r="ES7" s="2065"/>
      <c r="ET7" s="2065"/>
      <c r="EU7" s="2065"/>
      <c r="EV7" s="2065"/>
      <c r="EW7" s="2065"/>
      <c r="EX7" s="2065"/>
      <c r="EY7" s="2065"/>
      <c r="EZ7" s="2065"/>
      <c r="FA7" s="2065"/>
      <c r="FB7" s="2065"/>
      <c r="FC7" s="2065"/>
      <c r="FD7" s="2065"/>
      <c r="FE7" s="2066"/>
      <c r="FF7" s="2066"/>
      <c r="FG7" s="2066"/>
      <c r="FH7" s="2066"/>
      <c r="FI7" s="2066"/>
      <c r="FJ7" s="2066"/>
    </row>
    <row r="8" spans="1:242" s="1553" customFormat="1" ht="15.75" hidden="1" customHeight="1" outlineLevel="2">
      <c r="A8" s="1549">
        <v>5</v>
      </c>
      <c r="B8" s="1550" t="s">
        <v>206</v>
      </c>
      <c r="C8" s="1484" t="s">
        <v>1425</v>
      </c>
      <c r="D8" s="1550" t="s">
        <v>206</v>
      </c>
      <c r="E8" s="1484" t="s">
        <v>274</v>
      </c>
      <c r="F8" s="1484" t="str">
        <f>Покрытия_ПВХ!E8</f>
        <v>Карелия темная</v>
      </c>
      <c r="G8" s="1484" t="s">
        <v>1968</v>
      </c>
      <c r="H8" s="2065"/>
      <c r="I8" s="2065"/>
      <c r="J8" s="2065"/>
      <c r="K8" s="2065"/>
      <c r="L8" s="2065"/>
      <c r="M8" s="2065"/>
      <c r="N8" s="2065"/>
      <c r="O8" s="2065"/>
      <c r="P8" s="2065"/>
      <c r="Q8" s="2065"/>
      <c r="R8" s="2065"/>
      <c r="S8" s="2065"/>
      <c r="T8" s="2065"/>
      <c r="U8" s="2065"/>
      <c r="V8" s="2065"/>
      <c r="W8" s="2065"/>
      <c r="X8" s="2065"/>
      <c r="Y8" s="2065"/>
      <c r="Z8" s="2065"/>
      <c r="AA8" s="2065"/>
      <c r="AB8" s="2065"/>
      <c r="AC8" s="2065"/>
      <c r="AD8" s="2065"/>
      <c r="AE8" s="2065"/>
      <c r="AF8" s="2065"/>
      <c r="AG8" s="2065"/>
      <c r="AH8" s="2065"/>
      <c r="AI8" s="2065"/>
      <c r="AJ8" s="2065"/>
      <c r="AK8" s="2065"/>
      <c r="AL8" s="2065"/>
      <c r="AM8" s="2065"/>
      <c r="AN8" s="2065"/>
      <c r="AO8" s="2065"/>
      <c r="AP8" s="2065"/>
      <c r="AQ8" s="2065"/>
      <c r="AR8" s="2065"/>
      <c r="AS8" s="2065"/>
      <c r="AT8" s="2065"/>
      <c r="AU8" s="2065"/>
      <c r="AV8" s="2065"/>
      <c r="AW8" s="2065"/>
      <c r="AX8" s="2065"/>
      <c r="AY8" s="2065"/>
      <c r="AZ8" s="2065"/>
      <c r="BA8" s="2065"/>
      <c r="BB8" s="2065"/>
      <c r="BC8" s="2065"/>
      <c r="BD8" s="2065"/>
      <c r="BE8" s="2065"/>
      <c r="BF8" s="2065"/>
      <c r="BG8" s="2065"/>
      <c r="BH8" s="2065"/>
      <c r="BI8" s="2065"/>
      <c r="BJ8" s="2065"/>
      <c r="BK8" s="2065"/>
      <c r="BL8" s="2065"/>
      <c r="BM8" s="2065"/>
      <c r="BN8" s="2065"/>
      <c r="BO8" s="2065"/>
      <c r="BP8" s="2065"/>
      <c r="BQ8" s="2065" t="e">
        <f t="shared" ref="BQ8:CE8" si="7">BQ4</f>
        <v>#REF!</v>
      </c>
      <c r="BR8" s="2065" t="e">
        <f t="shared" si="7"/>
        <v>#REF!</v>
      </c>
      <c r="BS8" s="2065" t="e">
        <f t="shared" si="7"/>
        <v>#REF!</v>
      </c>
      <c r="BT8" s="2065" t="e">
        <f t="shared" si="7"/>
        <v>#REF!</v>
      </c>
      <c r="BU8" s="2065" t="e">
        <f t="shared" si="7"/>
        <v>#REF!</v>
      </c>
      <c r="BV8" s="2065" t="e">
        <f t="shared" si="7"/>
        <v>#REF!</v>
      </c>
      <c r="BW8" s="2065" t="e">
        <f t="shared" si="7"/>
        <v>#REF!</v>
      </c>
      <c r="BX8" s="2065" t="e">
        <f t="shared" si="7"/>
        <v>#REF!</v>
      </c>
      <c r="BY8" s="2065" t="e">
        <f t="shared" si="7"/>
        <v>#REF!</v>
      </c>
      <c r="BZ8" s="2065" t="e">
        <f t="shared" si="7"/>
        <v>#REF!</v>
      </c>
      <c r="CA8" s="2065" t="e">
        <f t="shared" si="7"/>
        <v>#REF!</v>
      </c>
      <c r="CB8" s="2065" t="e">
        <f t="shared" si="7"/>
        <v>#REF!</v>
      </c>
      <c r="CC8" s="2065" t="e">
        <f t="shared" si="7"/>
        <v>#REF!</v>
      </c>
      <c r="CD8" s="2065" t="e">
        <f t="shared" si="7"/>
        <v>#REF!</v>
      </c>
      <c r="CE8" s="2065" t="e">
        <f t="shared" si="7"/>
        <v>#REF!</v>
      </c>
      <c r="CF8" s="2065" t="e">
        <f>CF4</f>
        <v>#REF!</v>
      </c>
      <c r="CG8" s="2065" t="e">
        <f>CG4</f>
        <v>#REF!</v>
      </c>
      <c r="CH8" s="2065" t="e">
        <f>CH4</f>
        <v>#REF!</v>
      </c>
      <c r="CI8" s="2065" t="e">
        <f>CI4</f>
        <v>#REF!</v>
      </c>
      <c r="CJ8" s="2065" t="e">
        <f t="shared" ref="CJ8:EF8" si="8">CJ4</f>
        <v>#REF!</v>
      </c>
      <c r="CK8" s="2065"/>
      <c r="CL8" s="2065"/>
      <c r="CM8" s="2065"/>
      <c r="CN8" s="2065"/>
      <c r="CO8" s="2065" t="e">
        <f t="shared" si="8"/>
        <v>#REF!</v>
      </c>
      <c r="CP8" s="2065" t="e">
        <f t="shared" si="8"/>
        <v>#REF!</v>
      </c>
      <c r="CQ8" s="2065"/>
      <c r="CR8" s="2065"/>
      <c r="CS8" s="2065" t="e">
        <f>CS4</f>
        <v>#REF!</v>
      </c>
      <c r="CT8" s="2065"/>
      <c r="CU8" s="2065" t="e">
        <f>CU4</f>
        <v>#REF!</v>
      </c>
      <c r="CV8" s="2065" t="e">
        <f t="shared" si="8"/>
        <v>#REF!</v>
      </c>
      <c r="CW8" s="2065" t="e">
        <f t="shared" si="8"/>
        <v>#REF!</v>
      </c>
      <c r="CX8" s="2065" t="e">
        <f t="shared" si="8"/>
        <v>#REF!</v>
      </c>
      <c r="CY8" s="2065" t="e">
        <f t="shared" si="8"/>
        <v>#REF!</v>
      </c>
      <c r="CZ8" s="2065" t="e">
        <f t="shared" si="8"/>
        <v>#REF!</v>
      </c>
      <c r="DA8" s="2065" t="e">
        <f>DA4</f>
        <v>#REF!</v>
      </c>
      <c r="DB8" s="2065" t="e">
        <f t="shared" si="8"/>
        <v>#REF!</v>
      </c>
      <c r="DC8" s="2065" t="e">
        <f t="shared" si="8"/>
        <v>#REF!</v>
      </c>
      <c r="DD8" s="2065" t="e">
        <f t="shared" si="8"/>
        <v>#REF!</v>
      </c>
      <c r="DE8" s="2065" t="e">
        <f t="shared" si="8"/>
        <v>#REF!</v>
      </c>
      <c r="DF8" s="2065" t="e">
        <f t="shared" si="8"/>
        <v>#REF!</v>
      </c>
      <c r="DG8" s="2065" t="e">
        <f t="shared" si="8"/>
        <v>#REF!</v>
      </c>
      <c r="DH8" s="2065">
        <f t="shared" si="8"/>
        <v>13750</v>
      </c>
      <c r="DI8" s="2065" t="e">
        <f t="shared" si="8"/>
        <v>#REF!</v>
      </c>
      <c r="DJ8" s="2065" t="e">
        <f t="shared" si="8"/>
        <v>#REF!</v>
      </c>
      <c r="DK8" s="2065" t="e">
        <f t="shared" si="8"/>
        <v>#REF!</v>
      </c>
      <c r="DL8" s="2065">
        <f t="shared" si="8"/>
        <v>17550</v>
      </c>
      <c r="DM8" s="2065">
        <f t="shared" si="8"/>
        <v>19250</v>
      </c>
      <c r="DN8" s="2065">
        <f t="shared" si="8"/>
        <v>17550</v>
      </c>
      <c r="DO8" s="2065">
        <f t="shared" si="8"/>
        <v>19250</v>
      </c>
      <c r="DP8" s="2065">
        <f>DP4</f>
        <v>32450</v>
      </c>
      <c r="DQ8" s="2065"/>
      <c r="DR8" s="2065"/>
      <c r="DS8" s="2065">
        <f t="shared" si="8"/>
        <v>17550</v>
      </c>
      <c r="DT8" s="2065" t="e">
        <f t="shared" si="8"/>
        <v>#REF!</v>
      </c>
      <c r="DU8" s="2065" t="e">
        <f t="shared" si="8"/>
        <v>#REF!</v>
      </c>
      <c r="DV8" s="2065" t="e">
        <f t="shared" si="8"/>
        <v>#REF!</v>
      </c>
      <c r="DW8" s="2065" t="e">
        <f t="shared" si="8"/>
        <v>#REF!</v>
      </c>
      <c r="DX8" s="2065" t="e">
        <f t="shared" si="8"/>
        <v>#REF!</v>
      </c>
      <c r="DY8" s="2065" t="e">
        <f t="shared" si="8"/>
        <v>#REF!</v>
      </c>
      <c r="DZ8" s="2065" t="e">
        <f t="shared" si="8"/>
        <v>#REF!</v>
      </c>
      <c r="EA8" s="2065" t="e">
        <f t="shared" si="8"/>
        <v>#REF!</v>
      </c>
      <c r="EB8" s="2065" t="e">
        <f t="shared" si="8"/>
        <v>#REF!</v>
      </c>
      <c r="EC8" s="2065" t="e">
        <f t="shared" si="8"/>
        <v>#REF!</v>
      </c>
      <c r="ED8" s="2065" t="e">
        <f t="shared" si="8"/>
        <v>#REF!</v>
      </c>
      <c r="EE8" s="2065" t="e">
        <f t="shared" si="8"/>
        <v>#REF!</v>
      </c>
      <c r="EF8" s="2065" t="e">
        <f t="shared" si="8"/>
        <v>#REF!</v>
      </c>
      <c r="EG8" s="2065"/>
      <c r="EH8" s="2065"/>
      <c r="EI8" s="2065"/>
      <c r="EJ8" s="2065"/>
      <c r="EK8" s="2065"/>
      <c r="EL8" s="2065"/>
      <c r="EM8" s="2065"/>
      <c r="EN8" s="2065"/>
      <c r="EO8" s="2065"/>
      <c r="EP8" s="2065"/>
      <c r="EQ8" s="2065"/>
      <c r="ER8" s="2065"/>
      <c r="ES8" s="2065"/>
      <c r="ET8" s="2065"/>
      <c r="EU8" s="2065"/>
      <c r="EV8" s="2065"/>
      <c r="EW8" s="2065"/>
      <c r="EX8" s="2065"/>
      <c r="EY8" s="2065"/>
      <c r="EZ8" s="2065"/>
      <c r="FA8" s="2065"/>
      <c r="FB8" s="2065"/>
      <c r="FC8" s="2065"/>
      <c r="FD8" s="2065"/>
      <c r="FE8" s="2066"/>
      <c r="FF8" s="2066"/>
      <c r="FG8" s="2066"/>
      <c r="FH8" s="2066"/>
      <c r="FI8" s="2066"/>
      <c r="FJ8" s="2066"/>
    </row>
    <row r="9" spans="1:242" s="1553" customFormat="1" ht="15.75" hidden="1" customHeight="1" outlineLevel="2">
      <c r="A9" s="1552">
        <v>6</v>
      </c>
      <c r="B9" s="1550" t="s">
        <v>206</v>
      </c>
      <c r="C9" s="1484" t="s">
        <v>1425</v>
      </c>
      <c r="D9" s="1550" t="s">
        <v>206</v>
      </c>
      <c r="E9" s="1484" t="s">
        <v>274</v>
      </c>
      <c r="F9" s="1484" t="str">
        <f>Покрытия_ПВХ!E9</f>
        <v>Венге рифленый</v>
      </c>
      <c r="G9" s="1484" t="s">
        <v>1969</v>
      </c>
      <c r="H9" s="2065"/>
      <c r="I9" s="2065"/>
      <c r="J9" s="2065"/>
      <c r="K9" s="2065"/>
      <c r="L9" s="2065"/>
      <c r="M9" s="2065"/>
      <c r="N9" s="2065"/>
      <c r="O9" s="2065"/>
      <c r="P9" s="2065"/>
      <c r="Q9" s="2065"/>
      <c r="R9" s="2065"/>
      <c r="S9" s="2065"/>
      <c r="T9" s="2065"/>
      <c r="U9" s="2065"/>
      <c r="V9" s="2065"/>
      <c r="W9" s="2065"/>
      <c r="X9" s="2065"/>
      <c r="Y9" s="2065"/>
      <c r="Z9" s="2065"/>
      <c r="AA9" s="2065"/>
      <c r="AB9" s="2065"/>
      <c r="AC9" s="2065"/>
      <c r="AD9" s="2065"/>
      <c r="AE9" s="2065"/>
      <c r="AF9" s="2065"/>
      <c r="AG9" s="2065"/>
      <c r="AH9" s="2065"/>
      <c r="AI9" s="2065"/>
      <c r="AJ9" s="2065"/>
      <c r="AK9" s="2065"/>
      <c r="AL9" s="2065"/>
      <c r="AM9" s="2065"/>
      <c r="AN9" s="2065"/>
      <c r="AO9" s="2065"/>
      <c r="AP9" s="2065"/>
      <c r="AQ9" s="2065"/>
      <c r="AR9" s="2065"/>
      <c r="AS9" s="2065"/>
      <c r="AT9" s="2065"/>
      <c r="AU9" s="2065"/>
      <c r="AV9" s="2065"/>
      <c r="AW9" s="2065"/>
      <c r="AX9" s="2065"/>
      <c r="AY9" s="2065"/>
      <c r="AZ9" s="2065"/>
      <c r="BA9" s="2065"/>
      <c r="BB9" s="2065"/>
      <c r="BC9" s="2065"/>
      <c r="BD9" s="2065"/>
      <c r="BE9" s="2065"/>
      <c r="BF9" s="2065"/>
      <c r="BG9" s="2065"/>
      <c r="BH9" s="2065"/>
      <c r="BI9" s="2065"/>
      <c r="BJ9" s="2065"/>
      <c r="BK9" s="2065"/>
      <c r="BL9" s="2065"/>
      <c r="BM9" s="2065"/>
      <c r="BN9" s="2065"/>
      <c r="BO9" s="2065"/>
      <c r="BP9" s="2065"/>
      <c r="BQ9" s="2065" t="e">
        <f t="shared" ref="BQ9:CE9" si="9">BQ4</f>
        <v>#REF!</v>
      </c>
      <c r="BR9" s="2065" t="e">
        <f t="shared" si="9"/>
        <v>#REF!</v>
      </c>
      <c r="BS9" s="2065" t="e">
        <f t="shared" si="9"/>
        <v>#REF!</v>
      </c>
      <c r="BT9" s="2065" t="e">
        <f t="shared" si="9"/>
        <v>#REF!</v>
      </c>
      <c r="BU9" s="2065" t="e">
        <f t="shared" si="9"/>
        <v>#REF!</v>
      </c>
      <c r="BV9" s="2065" t="e">
        <f t="shared" si="9"/>
        <v>#REF!</v>
      </c>
      <c r="BW9" s="2065" t="e">
        <f t="shared" si="9"/>
        <v>#REF!</v>
      </c>
      <c r="BX9" s="2065" t="e">
        <f t="shared" si="9"/>
        <v>#REF!</v>
      </c>
      <c r="BY9" s="2065" t="e">
        <f t="shared" si="9"/>
        <v>#REF!</v>
      </c>
      <c r="BZ9" s="2065" t="e">
        <f t="shared" si="9"/>
        <v>#REF!</v>
      </c>
      <c r="CA9" s="2065" t="e">
        <f t="shared" si="9"/>
        <v>#REF!</v>
      </c>
      <c r="CB9" s="2065" t="e">
        <f t="shared" si="9"/>
        <v>#REF!</v>
      </c>
      <c r="CC9" s="2065" t="e">
        <f t="shared" si="9"/>
        <v>#REF!</v>
      </c>
      <c r="CD9" s="2065" t="e">
        <f t="shared" si="9"/>
        <v>#REF!</v>
      </c>
      <c r="CE9" s="2065" t="e">
        <f t="shared" si="9"/>
        <v>#REF!</v>
      </c>
      <c r="CF9" s="2065" t="e">
        <f>CF4</f>
        <v>#REF!</v>
      </c>
      <c r="CG9" s="2065" t="e">
        <f>CG4</f>
        <v>#REF!</v>
      </c>
      <c r="CH9" s="2065" t="e">
        <f>CH4</f>
        <v>#REF!</v>
      </c>
      <c r="CI9" s="2065" t="e">
        <f>CI4</f>
        <v>#REF!</v>
      </c>
      <c r="CJ9" s="2065" t="e">
        <f t="shared" ref="CJ9:EF9" si="10">CJ4</f>
        <v>#REF!</v>
      </c>
      <c r="CK9" s="2065"/>
      <c r="CL9" s="2065"/>
      <c r="CM9" s="2065"/>
      <c r="CN9" s="2065"/>
      <c r="CO9" s="2065" t="e">
        <f t="shared" si="10"/>
        <v>#REF!</v>
      </c>
      <c r="CP9" s="2065" t="e">
        <f t="shared" si="10"/>
        <v>#REF!</v>
      </c>
      <c r="CQ9" s="2065"/>
      <c r="CR9" s="2065"/>
      <c r="CS9" s="2065" t="e">
        <f>CS4</f>
        <v>#REF!</v>
      </c>
      <c r="CT9" s="2065"/>
      <c r="CU9" s="2065" t="e">
        <f>CU4</f>
        <v>#REF!</v>
      </c>
      <c r="CV9" s="2065" t="e">
        <f t="shared" si="10"/>
        <v>#REF!</v>
      </c>
      <c r="CW9" s="2065" t="e">
        <f t="shared" si="10"/>
        <v>#REF!</v>
      </c>
      <c r="CX9" s="2065" t="e">
        <f t="shared" si="10"/>
        <v>#REF!</v>
      </c>
      <c r="CY9" s="2065" t="e">
        <f t="shared" si="10"/>
        <v>#REF!</v>
      </c>
      <c r="CZ9" s="2065" t="e">
        <f t="shared" si="10"/>
        <v>#REF!</v>
      </c>
      <c r="DA9" s="2065" t="e">
        <f>DA4</f>
        <v>#REF!</v>
      </c>
      <c r="DB9" s="2065" t="e">
        <f t="shared" si="10"/>
        <v>#REF!</v>
      </c>
      <c r="DC9" s="2065" t="e">
        <f t="shared" si="10"/>
        <v>#REF!</v>
      </c>
      <c r="DD9" s="2065" t="e">
        <f t="shared" si="10"/>
        <v>#REF!</v>
      </c>
      <c r="DE9" s="2065" t="e">
        <f t="shared" si="10"/>
        <v>#REF!</v>
      </c>
      <c r="DF9" s="2065" t="e">
        <f t="shared" si="10"/>
        <v>#REF!</v>
      </c>
      <c r="DG9" s="2065" t="e">
        <f t="shared" si="10"/>
        <v>#REF!</v>
      </c>
      <c r="DH9" s="2065">
        <f t="shared" si="10"/>
        <v>13750</v>
      </c>
      <c r="DI9" s="2065" t="e">
        <f t="shared" si="10"/>
        <v>#REF!</v>
      </c>
      <c r="DJ9" s="2065" t="e">
        <f t="shared" si="10"/>
        <v>#REF!</v>
      </c>
      <c r="DK9" s="2065" t="e">
        <f t="shared" si="10"/>
        <v>#REF!</v>
      </c>
      <c r="DL9" s="2065">
        <f t="shared" si="10"/>
        <v>17550</v>
      </c>
      <c r="DM9" s="2065">
        <f t="shared" si="10"/>
        <v>19250</v>
      </c>
      <c r="DN9" s="2065">
        <f t="shared" si="10"/>
        <v>17550</v>
      </c>
      <c r="DO9" s="2065">
        <f t="shared" si="10"/>
        <v>19250</v>
      </c>
      <c r="DP9" s="2065">
        <f>DP4</f>
        <v>32450</v>
      </c>
      <c r="DQ9" s="2065"/>
      <c r="DR9" s="2065"/>
      <c r="DS9" s="2065">
        <f t="shared" si="10"/>
        <v>17550</v>
      </c>
      <c r="DT9" s="2065" t="e">
        <f t="shared" si="10"/>
        <v>#REF!</v>
      </c>
      <c r="DU9" s="2065" t="e">
        <f t="shared" si="10"/>
        <v>#REF!</v>
      </c>
      <c r="DV9" s="2065" t="e">
        <f t="shared" si="10"/>
        <v>#REF!</v>
      </c>
      <c r="DW9" s="2065" t="e">
        <f t="shared" si="10"/>
        <v>#REF!</v>
      </c>
      <c r="DX9" s="2065" t="e">
        <f t="shared" si="10"/>
        <v>#REF!</v>
      </c>
      <c r="DY9" s="2065" t="e">
        <f t="shared" si="10"/>
        <v>#REF!</v>
      </c>
      <c r="DZ9" s="2065" t="e">
        <f t="shared" si="10"/>
        <v>#REF!</v>
      </c>
      <c r="EA9" s="2065" t="e">
        <f t="shared" si="10"/>
        <v>#REF!</v>
      </c>
      <c r="EB9" s="2065" t="e">
        <f t="shared" si="10"/>
        <v>#REF!</v>
      </c>
      <c r="EC9" s="2065" t="e">
        <f t="shared" si="10"/>
        <v>#REF!</v>
      </c>
      <c r="ED9" s="2065" t="e">
        <f t="shared" si="10"/>
        <v>#REF!</v>
      </c>
      <c r="EE9" s="2065" t="e">
        <f t="shared" si="10"/>
        <v>#REF!</v>
      </c>
      <c r="EF9" s="2065" t="e">
        <f t="shared" si="10"/>
        <v>#REF!</v>
      </c>
      <c r="EG9" s="2065"/>
      <c r="EH9" s="2065"/>
      <c r="EI9" s="2065"/>
      <c r="EJ9" s="2065"/>
      <c r="EK9" s="2065"/>
      <c r="EL9" s="2065"/>
      <c r="EM9" s="2065"/>
      <c r="EN9" s="2065"/>
      <c r="EO9" s="2065"/>
      <c r="EP9" s="2065"/>
      <c r="EQ9" s="2065"/>
      <c r="ER9" s="2065"/>
      <c r="ES9" s="2065"/>
      <c r="ET9" s="2065"/>
      <c r="EU9" s="2065"/>
      <c r="EV9" s="2065"/>
      <c r="EW9" s="2065"/>
      <c r="EX9" s="2065"/>
      <c r="EY9" s="2065"/>
      <c r="EZ9" s="2065"/>
      <c r="FA9" s="2065"/>
      <c r="FB9" s="2065"/>
      <c r="FC9" s="2065"/>
      <c r="FD9" s="2065"/>
      <c r="FE9" s="2066"/>
      <c r="FF9" s="2066"/>
      <c r="FG9" s="2066"/>
      <c r="FH9" s="2066"/>
      <c r="FI9" s="2066"/>
      <c r="FJ9" s="2066"/>
    </row>
    <row r="10" spans="1:242" s="1551" customFormat="1" ht="15.75" hidden="1" customHeight="1" outlineLevel="1" collapsed="1">
      <c r="A10" s="1549">
        <v>7</v>
      </c>
      <c r="B10" s="1554" t="s">
        <v>206</v>
      </c>
      <c r="C10" s="1487" t="s">
        <v>1425</v>
      </c>
      <c r="D10" s="1554" t="s">
        <v>206</v>
      </c>
      <c r="E10" s="1487" t="s">
        <v>276</v>
      </c>
      <c r="F10" s="1487" t="str">
        <f>Покрытия_ПВХ!E10</f>
        <v>Дуб шале снежный</v>
      </c>
      <c r="G10" s="1487" t="s">
        <v>1773</v>
      </c>
      <c r="H10" s="2067"/>
      <c r="I10" s="2067"/>
      <c r="J10" s="2067"/>
      <c r="K10" s="2067"/>
      <c r="L10" s="2067"/>
      <c r="M10" s="2067"/>
      <c r="N10" s="2067"/>
      <c r="O10" s="2067"/>
      <c r="P10" s="2067"/>
      <c r="Q10" s="2067"/>
      <c r="R10" s="2067"/>
      <c r="S10" s="2067"/>
      <c r="T10" s="2067"/>
      <c r="U10" s="2067"/>
      <c r="V10" s="2067"/>
      <c r="W10" s="2067"/>
      <c r="X10" s="2067"/>
      <c r="Y10" s="2067"/>
      <c r="Z10" s="2067"/>
      <c r="AA10" s="2067"/>
      <c r="AB10" s="2067"/>
      <c r="AC10" s="2067"/>
      <c r="AD10" s="2067"/>
      <c r="AE10" s="2067"/>
      <c r="AF10" s="2067"/>
      <c r="AG10" s="2067"/>
      <c r="AH10" s="2067"/>
      <c r="AI10" s="2067"/>
      <c r="AJ10" s="2067"/>
      <c r="AK10" s="2067"/>
      <c r="AL10" s="2067"/>
      <c r="AM10" s="2067"/>
      <c r="AN10" s="2067"/>
      <c r="AO10" s="2067"/>
      <c r="AP10" s="2067"/>
      <c r="AQ10" s="2067"/>
      <c r="AR10" s="2067"/>
      <c r="AS10" s="2067"/>
      <c r="AT10" s="2067"/>
      <c r="AU10" s="2067"/>
      <c r="AV10" s="2067"/>
      <c r="AW10" s="2067"/>
      <c r="AX10" s="2067"/>
      <c r="AY10" s="2067"/>
      <c r="AZ10" s="2067"/>
      <c r="BA10" s="2067"/>
      <c r="BB10" s="2067"/>
      <c r="BC10" s="2067"/>
      <c r="BD10" s="2067"/>
      <c r="BE10" s="2067"/>
      <c r="BF10" s="2067"/>
      <c r="BG10" s="2067"/>
      <c r="BH10" s="2067"/>
      <c r="BI10" s="2067"/>
      <c r="BJ10" s="2067"/>
      <c r="BK10" s="2067"/>
      <c r="BL10" s="2067"/>
      <c r="BM10" s="2067"/>
      <c r="BN10" s="2067"/>
      <c r="BO10" s="2067"/>
      <c r="BP10" s="2067"/>
      <c r="BQ10" s="2067" t="e">
        <f t="shared" ref="BQ10:CH10" si="11">CEILING(BQ4*1.05, 5)</f>
        <v>#REF!</v>
      </c>
      <c r="BR10" s="2067" t="e">
        <f t="shared" si="11"/>
        <v>#REF!</v>
      </c>
      <c r="BS10" s="2067" t="e">
        <f t="shared" si="11"/>
        <v>#REF!</v>
      </c>
      <c r="BT10" s="2067" t="e">
        <f t="shared" si="11"/>
        <v>#REF!</v>
      </c>
      <c r="BU10" s="2067" t="e">
        <f t="shared" si="11"/>
        <v>#REF!</v>
      </c>
      <c r="BV10" s="2067" t="e">
        <f t="shared" si="11"/>
        <v>#REF!</v>
      </c>
      <c r="BW10" s="2067" t="e">
        <f t="shared" si="11"/>
        <v>#REF!</v>
      </c>
      <c r="BX10" s="2067" t="e">
        <f t="shared" si="11"/>
        <v>#REF!</v>
      </c>
      <c r="BY10" s="2067" t="e">
        <f t="shared" si="11"/>
        <v>#REF!</v>
      </c>
      <c r="BZ10" s="2067" t="e">
        <f t="shared" si="11"/>
        <v>#REF!</v>
      </c>
      <c r="CA10" s="2067" t="e">
        <f t="shared" si="11"/>
        <v>#REF!</v>
      </c>
      <c r="CB10" s="2067" t="e">
        <f t="shared" si="11"/>
        <v>#REF!</v>
      </c>
      <c r="CC10" s="2067" t="e">
        <f t="shared" si="11"/>
        <v>#REF!</v>
      </c>
      <c r="CD10" s="2067" t="e">
        <f t="shared" si="11"/>
        <v>#REF!</v>
      </c>
      <c r="CE10" s="2067" t="e">
        <f t="shared" si="11"/>
        <v>#REF!</v>
      </c>
      <c r="CF10" s="2067" t="e">
        <f t="shared" si="11"/>
        <v>#REF!</v>
      </c>
      <c r="CG10" s="2067" t="e">
        <f t="shared" si="11"/>
        <v>#REF!</v>
      </c>
      <c r="CH10" s="2067" t="e">
        <f t="shared" si="11"/>
        <v>#REF!</v>
      </c>
      <c r="CI10" s="2067" t="e">
        <f t="shared" ref="CI10:EF10" si="12">CEILING(CI4*1.05, 5)</f>
        <v>#REF!</v>
      </c>
      <c r="CJ10" s="2067" t="e">
        <f t="shared" si="12"/>
        <v>#REF!</v>
      </c>
      <c r="CK10" s="2067"/>
      <c r="CL10" s="2067"/>
      <c r="CM10" s="2067"/>
      <c r="CN10" s="2067"/>
      <c r="CO10" s="2067" t="e">
        <f t="shared" si="12"/>
        <v>#REF!</v>
      </c>
      <c r="CP10" s="2067" t="e">
        <f t="shared" si="12"/>
        <v>#REF!</v>
      </c>
      <c r="CQ10" s="2067"/>
      <c r="CR10" s="2067"/>
      <c r="CS10" s="2067" t="e">
        <f>CEILING(CS4*1.05, 5)</f>
        <v>#REF!</v>
      </c>
      <c r="CT10" s="2067"/>
      <c r="CU10" s="2067" t="e">
        <f>CEILING(CU4*1.05, 5)</f>
        <v>#REF!</v>
      </c>
      <c r="CV10" s="2067" t="e">
        <f t="shared" si="12"/>
        <v>#REF!</v>
      </c>
      <c r="CW10" s="2067" t="e">
        <f t="shared" si="12"/>
        <v>#REF!</v>
      </c>
      <c r="CX10" s="2067" t="e">
        <f t="shared" si="12"/>
        <v>#REF!</v>
      </c>
      <c r="CY10" s="2067" t="e">
        <f t="shared" si="12"/>
        <v>#REF!</v>
      </c>
      <c r="CZ10" s="2067" t="e">
        <f t="shared" si="12"/>
        <v>#REF!</v>
      </c>
      <c r="DA10" s="2067" t="e">
        <f>CEILING(DA4*1.05, 5)</f>
        <v>#REF!</v>
      </c>
      <c r="DB10" s="2067" t="e">
        <f t="shared" si="12"/>
        <v>#REF!</v>
      </c>
      <c r="DC10" s="2067" t="e">
        <f t="shared" si="12"/>
        <v>#REF!</v>
      </c>
      <c r="DD10" s="2067" t="e">
        <f t="shared" si="12"/>
        <v>#REF!</v>
      </c>
      <c r="DE10" s="2067" t="e">
        <f t="shared" si="12"/>
        <v>#REF!</v>
      </c>
      <c r="DF10" s="2067" t="e">
        <f t="shared" si="12"/>
        <v>#REF!</v>
      </c>
      <c r="DG10" s="2067" t="e">
        <f t="shared" si="12"/>
        <v>#REF!</v>
      </c>
      <c r="DH10" s="2067">
        <f t="shared" si="12"/>
        <v>14440</v>
      </c>
      <c r="DI10" s="2067" t="e">
        <f t="shared" si="12"/>
        <v>#REF!</v>
      </c>
      <c r="DJ10" s="2067" t="e">
        <f t="shared" si="12"/>
        <v>#REF!</v>
      </c>
      <c r="DK10" s="2067" t="e">
        <f t="shared" si="12"/>
        <v>#REF!</v>
      </c>
      <c r="DL10" s="2067">
        <f t="shared" si="12"/>
        <v>18430</v>
      </c>
      <c r="DM10" s="2067">
        <f t="shared" si="12"/>
        <v>20215</v>
      </c>
      <c r="DN10" s="2067">
        <f t="shared" si="12"/>
        <v>18430</v>
      </c>
      <c r="DO10" s="2067">
        <f t="shared" si="12"/>
        <v>20215</v>
      </c>
      <c r="DP10" s="2067">
        <f>CEILING(DP4*1.05, 5)</f>
        <v>34075</v>
      </c>
      <c r="DQ10" s="2067"/>
      <c r="DR10" s="2067"/>
      <c r="DS10" s="2067">
        <f t="shared" si="12"/>
        <v>18430</v>
      </c>
      <c r="DT10" s="2067" t="e">
        <f t="shared" si="12"/>
        <v>#REF!</v>
      </c>
      <c r="DU10" s="2067" t="e">
        <f t="shared" si="12"/>
        <v>#REF!</v>
      </c>
      <c r="DV10" s="2067" t="e">
        <f t="shared" si="12"/>
        <v>#REF!</v>
      </c>
      <c r="DW10" s="2067" t="e">
        <f t="shared" si="12"/>
        <v>#REF!</v>
      </c>
      <c r="DX10" s="2067" t="e">
        <f t="shared" si="12"/>
        <v>#REF!</v>
      </c>
      <c r="DY10" s="2067" t="e">
        <f t="shared" si="12"/>
        <v>#REF!</v>
      </c>
      <c r="DZ10" s="2067" t="e">
        <f t="shared" si="12"/>
        <v>#REF!</v>
      </c>
      <c r="EA10" s="2067" t="e">
        <f t="shared" si="12"/>
        <v>#REF!</v>
      </c>
      <c r="EB10" s="2067" t="e">
        <f t="shared" si="12"/>
        <v>#REF!</v>
      </c>
      <c r="EC10" s="2067" t="e">
        <f t="shared" si="12"/>
        <v>#REF!</v>
      </c>
      <c r="ED10" s="2067" t="e">
        <f t="shared" si="12"/>
        <v>#REF!</v>
      </c>
      <c r="EE10" s="2067" t="e">
        <f t="shared" si="12"/>
        <v>#REF!</v>
      </c>
      <c r="EF10" s="2067" t="e">
        <f t="shared" si="12"/>
        <v>#REF!</v>
      </c>
      <c r="EG10" s="2067"/>
      <c r="EH10" s="2067"/>
      <c r="EI10" s="2067"/>
      <c r="EJ10" s="2067"/>
      <c r="EK10" s="2067"/>
      <c r="EL10" s="2067"/>
      <c r="EM10" s="2067"/>
      <c r="EN10" s="2067"/>
      <c r="EO10" s="2067"/>
      <c r="EP10" s="2067"/>
      <c r="EQ10" s="2067"/>
      <c r="ER10" s="2067"/>
      <c r="ES10" s="2067"/>
      <c r="ET10" s="2067"/>
      <c r="EU10" s="2067"/>
      <c r="EV10" s="2067"/>
      <c r="EW10" s="2067"/>
      <c r="EX10" s="2067"/>
      <c r="EY10" s="2067"/>
      <c r="EZ10" s="2067"/>
      <c r="FA10" s="2067"/>
      <c r="FB10" s="2067"/>
      <c r="FC10" s="2067"/>
      <c r="FD10" s="2067"/>
      <c r="FE10" s="2064"/>
      <c r="FF10" s="2064"/>
      <c r="FG10" s="2064"/>
      <c r="FH10" s="2064"/>
      <c r="FI10" s="2064"/>
      <c r="FJ10" s="2064"/>
    </row>
    <row r="11" spans="1:242" s="1553" customFormat="1" ht="15.75" hidden="1" customHeight="1" outlineLevel="2">
      <c r="A11" s="1552">
        <v>8</v>
      </c>
      <c r="B11" s="1554" t="s">
        <v>206</v>
      </c>
      <c r="C11" s="1488" t="s">
        <v>1425</v>
      </c>
      <c r="D11" s="1554" t="s">
        <v>206</v>
      </c>
      <c r="E11" s="1488" t="s">
        <v>276</v>
      </c>
      <c r="F11" s="1488" t="e">
        <f>Покрытия_ПВХ!#REF!</f>
        <v>#REF!</v>
      </c>
      <c r="G11" s="1488" t="s">
        <v>1830</v>
      </c>
      <c r="H11" s="2067"/>
      <c r="I11" s="2067"/>
      <c r="J11" s="2067"/>
      <c r="K11" s="2067"/>
      <c r="L11" s="2067"/>
      <c r="M11" s="2067"/>
      <c r="N11" s="2067"/>
      <c r="O11" s="2067"/>
      <c r="P11" s="2067"/>
      <c r="Q11" s="2067"/>
      <c r="R11" s="2067"/>
      <c r="S11" s="2067"/>
      <c r="T11" s="2067"/>
      <c r="U11" s="2067"/>
      <c r="V11" s="2067"/>
      <c r="W11" s="2067"/>
      <c r="X11" s="2067"/>
      <c r="Y11" s="2067"/>
      <c r="Z11" s="2067"/>
      <c r="AA11" s="2067"/>
      <c r="AB11" s="2067"/>
      <c r="AC11" s="2067"/>
      <c r="AD11" s="2067"/>
      <c r="AE11" s="2067"/>
      <c r="AF11" s="2067"/>
      <c r="AG11" s="2067"/>
      <c r="AH11" s="2067"/>
      <c r="AI11" s="2067"/>
      <c r="AJ11" s="2067"/>
      <c r="AK11" s="2067"/>
      <c r="AL11" s="2067"/>
      <c r="AM11" s="2067"/>
      <c r="AN11" s="2067"/>
      <c r="AO11" s="2067"/>
      <c r="AP11" s="2067"/>
      <c r="AQ11" s="2067"/>
      <c r="AR11" s="2067"/>
      <c r="AS11" s="2067"/>
      <c r="AT11" s="2067"/>
      <c r="AU11" s="2067"/>
      <c r="AV11" s="2067"/>
      <c r="AW11" s="2067"/>
      <c r="AX11" s="2067"/>
      <c r="AY11" s="2067"/>
      <c r="AZ11" s="2067"/>
      <c r="BA11" s="2067"/>
      <c r="BB11" s="2067"/>
      <c r="BC11" s="2067"/>
      <c r="BD11" s="2067"/>
      <c r="BE11" s="2067"/>
      <c r="BF11" s="2067"/>
      <c r="BG11" s="2067"/>
      <c r="BH11" s="2067"/>
      <c r="BI11" s="2067"/>
      <c r="BJ11" s="2067"/>
      <c r="BK11" s="2067"/>
      <c r="BL11" s="2067"/>
      <c r="BM11" s="2067"/>
      <c r="BN11" s="2067"/>
      <c r="BO11" s="2067"/>
      <c r="BP11" s="2067"/>
      <c r="BQ11" s="2067" t="e">
        <f t="shared" ref="BQ11:DS11" si="13">BQ10</f>
        <v>#REF!</v>
      </c>
      <c r="BR11" s="2067" t="e">
        <f t="shared" si="13"/>
        <v>#REF!</v>
      </c>
      <c r="BS11" s="2067" t="e">
        <f t="shared" si="13"/>
        <v>#REF!</v>
      </c>
      <c r="BT11" s="2067" t="e">
        <f t="shared" si="13"/>
        <v>#REF!</v>
      </c>
      <c r="BU11" s="2067" t="e">
        <f t="shared" si="13"/>
        <v>#REF!</v>
      </c>
      <c r="BV11" s="2067" t="e">
        <f t="shared" si="13"/>
        <v>#REF!</v>
      </c>
      <c r="BW11" s="2067" t="e">
        <f t="shared" si="13"/>
        <v>#REF!</v>
      </c>
      <c r="BX11" s="2067" t="e">
        <f t="shared" si="13"/>
        <v>#REF!</v>
      </c>
      <c r="BY11" s="2067" t="e">
        <f t="shared" si="13"/>
        <v>#REF!</v>
      </c>
      <c r="BZ11" s="2067" t="e">
        <f t="shared" si="13"/>
        <v>#REF!</v>
      </c>
      <c r="CA11" s="2067" t="e">
        <f t="shared" si="13"/>
        <v>#REF!</v>
      </c>
      <c r="CB11" s="2067" t="e">
        <f t="shared" si="13"/>
        <v>#REF!</v>
      </c>
      <c r="CC11" s="2067" t="e">
        <f t="shared" si="13"/>
        <v>#REF!</v>
      </c>
      <c r="CD11" s="2067" t="e">
        <f t="shared" si="13"/>
        <v>#REF!</v>
      </c>
      <c r="CE11" s="2067" t="e">
        <f t="shared" si="13"/>
        <v>#REF!</v>
      </c>
      <c r="CF11" s="2067" t="e">
        <f t="shared" si="13"/>
        <v>#REF!</v>
      </c>
      <c r="CG11" s="2067" t="e">
        <f t="shared" si="13"/>
        <v>#REF!</v>
      </c>
      <c r="CH11" s="2067" t="e">
        <f t="shared" si="13"/>
        <v>#REF!</v>
      </c>
      <c r="CI11" s="2067" t="e">
        <f t="shared" si="13"/>
        <v>#REF!</v>
      </c>
      <c r="CJ11" s="2067" t="e">
        <f t="shared" si="13"/>
        <v>#REF!</v>
      </c>
      <c r="CK11" s="2067"/>
      <c r="CL11" s="2067"/>
      <c r="CM11" s="2067"/>
      <c r="CN11" s="2067"/>
      <c r="CO11" s="2067" t="e">
        <f t="shared" si="13"/>
        <v>#REF!</v>
      </c>
      <c r="CP11" s="2067" t="e">
        <f t="shared" si="13"/>
        <v>#REF!</v>
      </c>
      <c r="CQ11" s="2067"/>
      <c r="CR11" s="2067"/>
      <c r="CS11" s="2067" t="e">
        <f>CS10</f>
        <v>#REF!</v>
      </c>
      <c r="CT11" s="2067"/>
      <c r="CU11" s="2067" t="e">
        <f>CU10</f>
        <v>#REF!</v>
      </c>
      <c r="CV11" s="2067" t="e">
        <f t="shared" si="13"/>
        <v>#REF!</v>
      </c>
      <c r="CW11" s="2067" t="e">
        <f t="shared" si="13"/>
        <v>#REF!</v>
      </c>
      <c r="CX11" s="2067" t="e">
        <f t="shared" si="13"/>
        <v>#REF!</v>
      </c>
      <c r="CY11" s="2067" t="e">
        <f t="shared" si="13"/>
        <v>#REF!</v>
      </c>
      <c r="CZ11" s="2067" t="e">
        <f t="shared" si="13"/>
        <v>#REF!</v>
      </c>
      <c r="DA11" s="2067" t="e">
        <f t="shared" si="13"/>
        <v>#REF!</v>
      </c>
      <c r="DB11" s="2067" t="e">
        <f t="shared" si="13"/>
        <v>#REF!</v>
      </c>
      <c r="DC11" s="2067" t="e">
        <f t="shared" si="13"/>
        <v>#REF!</v>
      </c>
      <c r="DD11" s="2067" t="e">
        <f t="shared" si="13"/>
        <v>#REF!</v>
      </c>
      <c r="DE11" s="2067" t="e">
        <f t="shared" si="13"/>
        <v>#REF!</v>
      </c>
      <c r="DF11" s="2067" t="e">
        <f t="shared" si="13"/>
        <v>#REF!</v>
      </c>
      <c r="DG11" s="2067" t="e">
        <f t="shared" si="13"/>
        <v>#REF!</v>
      </c>
      <c r="DH11" s="2067">
        <f t="shared" si="13"/>
        <v>14440</v>
      </c>
      <c r="DI11" s="2067" t="e">
        <f t="shared" si="13"/>
        <v>#REF!</v>
      </c>
      <c r="DJ11" s="2067" t="e">
        <f t="shared" si="13"/>
        <v>#REF!</v>
      </c>
      <c r="DK11" s="2067" t="e">
        <f t="shared" si="13"/>
        <v>#REF!</v>
      </c>
      <c r="DL11" s="2067">
        <f t="shared" si="13"/>
        <v>18430</v>
      </c>
      <c r="DM11" s="2067">
        <f t="shared" si="13"/>
        <v>20215</v>
      </c>
      <c r="DN11" s="2067">
        <f t="shared" si="13"/>
        <v>18430</v>
      </c>
      <c r="DO11" s="2067">
        <f t="shared" si="13"/>
        <v>20215</v>
      </c>
      <c r="DP11" s="2067">
        <f>DP10</f>
        <v>34075</v>
      </c>
      <c r="DQ11" s="2067"/>
      <c r="DR11" s="2067"/>
      <c r="DS11" s="2067">
        <f t="shared" si="13"/>
        <v>18430</v>
      </c>
      <c r="DT11" s="2067" t="e">
        <f t="shared" ref="DT11:EF11" si="14">DT10</f>
        <v>#REF!</v>
      </c>
      <c r="DU11" s="2067" t="e">
        <f t="shared" si="14"/>
        <v>#REF!</v>
      </c>
      <c r="DV11" s="2067" t="e">
        <f t="shared" si="14"/>
        <v>#REF!</v>
      </c>
      <c r="DW11" s="2067" t="e">
        <f t="shared" si="14"/>
        <v>#REF!</v>
      </c>
      <c r="DX11" s="2067" t="e">
        <f t="shared" si="14"/>
        <v>#REF!</v>
      </c>
      <c r="DY11" s="2067" t="e">
        <f t="shared" si="14"/>
        <v>#REF!</v>
      </c>
      <c r="DZ11" s="2067" t="e">
        <f t="shared" si="14"/>
        <v>#REF!</v>
      </c>
      <c r="EA11" s="2067" t="e">
        <f t="shared" si="14"/>
        <v>#REF!</v>
      </c>
      <c r="EB11" s="2067" t="e">
        <f t="shared" si="14"/>
        <v>#REF!</v>
      </c>
      <c r="EC11" s="2067" t="e">
        <f t="shared" si="14"/>
        <v>#REF!</v>
      </c>
      <c r="ED11" s="2067" t="e">
        <f t="shared" si="14"/>
        <v>#REF!</v>
      </c>
      <c r="EE11" s="2067" t="e">
        <f t="shared" si="14"/>
        <v>#REF!</v>
      </c>
      <c r="EF11" s="2067" t="e">
        <f t="shared" si="14"/>
        <v>#REF!</v>
      </c>
      <c r="EG11" s="2067"/>
      <c r="EH11" s="2067"/>
      <c r="EI11" s="2067"/>
      <c r="EJ11" s="2067"/>
      <c r="EK11" s="2067"/>
      <c r="EL11" s="2067"/>
      <c r="EM11" s="2067"/>
      <c r="EN11" s="2067"/>
      <c r="EO11" s="2067"/>
      <c r="EP11" s="2067"/>
      <c r="EQ11" s="2067"/>
      <c r="ER11" s="2067"/>
      <c r="ES11" s="2067"/>
      <c r="ET11" s="2067"/>
      <c r="EU11" s="2067"/>
      <c r="EV11" s="2067"/>
      <c r="EW11" s="2067"/>
      <c r="EX11" s="2067"/>
      <c r="EY11" s="2067"/>
      <c r="EZ11" s="2067"/>
      <c r="FA11" s="2067"/>
      <c r="FB11" s="2067"/>
      <c r="FC11" s="2067"/>
      <c r="FD11" s="2067"/>
      <c r="FE11" s="2066"/>
      <c r="FF11" s="2066"/>
      <c r="FG11" s="2066"/>
      <c r="FH11" s="2066"/>
      <c r="FI11" s="2066"/>
      <c r="FJ11" s="2066"/>
    </row>
    <row r="12" spans="1:242" s="1553" customFormat="1" ht="15.75" hidden="1" customHeight="1" outlineLevel="2">
      <c r="A12" s="1549">
        <v>9</v>
      </c>
      <c r="B12" s="1554" t="s">
        <v>206</v>
      </c>
      <c r="C12" s="1488" t="s">
        <v>1425</v>
      </c>
      <c r="D12" s="1554" t="s">
        <v>206</v>
      </c>
      <c r="E12" s="1488" t="s">
        <v>276</v>
      </c>
      <c r="F12" s="1488" t="str">
        <f>Покрытия_ПВХ!E11</f>
        <v>Дуб шале натур</v>
      </c>
      <c r="G12" s="1488" t="s">
        <v>1970</v>
      </c>
      <c r="H12" s="2067"/>
      <c r="I12" s="2067"/>
      <c r="J12" s="2067"/>
      <c r="K12" s="2067"/>
      <c r="L12" s="2067"/>
      <c r="M12" s="2067"/>
      <c r="N12" s="2067"/>
      <c r="O12" s="2067"/>
      <c r="P12" s="2067"/>
      <c r="Q12" s="2067"/>
      <c r="R12" s="2067"/>
      <c r="S12" s="2067"/>
      <c r="T12" s="2067"/>
      <c r="U12" s="2067"/>
      <c r="V12" s="2067"/>
      <c r="W12" s="2067"/>
      <c r="X12" s="2067"/>
      <c r="Y12" s="2067"/>
      <c r="Z12" s="2067"/>
      <c r="AA12" s="2067"/>
      <c r="AB12" s="2067"/>
      <c r="AC12" s="2067"/>
      <c r="AD12" s="2067"/>
      <c r="AE12" s="2067"/>
      <c r="AF12" s="2067"/>
      <c r="AG12" s="2067"/>
      <c r="AH12" s="2067"/>
      <c r="AI12" s="2067"/>
      <c r="AJ12" s="2067"/>
      <c r="AK12" s="2067"/>
      <c r="AL12" s="2067"/>
      <c r="AM12" s="2067"/>
      <c r="AN12" s="2067"/>
      <c r="AO12" s="2067"/>
      <c r="AP12" s="2067"/>
      <c r="AQ12" s="2067"/>
      <c r="AR12" s="2067"/>
      <c r="AS12" s="2067"/>
      <c r="AT12" s="2067"/>
      <c r="AU12" s="2067"/>
      <c r="AV12" s="2067"/>
      <c r="AW12" s="2067"/>
      <c r="AX12" s="2067"/>
      <c r="AY12" s="2067"/>
      <c r="AZ12" s="2067"/>
      <c r="BA12" s="2067"/>
      <c r="BB12" s="2067"/>
      <c r="BC12" s="2067"/>
      <c r="BD12" s="2067"/>
      <c r="BE12" s="2067"/>
      <c r="BF12" s="2067"/>
      <c r="BG12" s="2067"/>
      <c r="BH12" s="2067"/>
      <c r="BI12" s="2067"/>
      <c r="BJ12" s="2067"/>
      <c r="BK12" s="2067"/>
      <c r="BL12" s="2067"/>
      <c r="BM12" s="2067"/>
      <c r="BN12" s="2067"/>
      <c r="BO12" s="2067"/>
      <c r="BP12" s="2067"/>
      <c r="BQ12" s="2067" t="e">
        <f t="shared" ref="BQ12:DS12" si="15">BQ10</f>
        <v>#REF!</v>
      </c>
      <c r="BR12" s="2067" t="e">
        <f t="shared" si="15"/>
        <v>#REF!</v>
      </c>
      <c r="BS12" s="2067" t="e">
        <f t="shared" si="15"/>
        <v>#REF!</v>
      </c>
      <c r="BT12" s="2067" t="e">
        <f t="shared" si="15"/>
        <v>#REF!</v>
      </c>
      <c r="BU12" s="2067" t="e">
        <f t="shared" si="15"/>
        <v>#REF!</v>
      </c>
      <c r="BV12" s="2067" t="e">
        <f t="shared" si="15"/>
        <v>#REF!</v>
      </c>
      <c r="BW12" s="2067" t="e">
        <f t="shared" si="15"/>
        <v>#REF!</v>
      </c>
      <c r="BX12" s="2067" t="e">
        <f t="shared" si="15"/>
        <v>#REF!</v>
      </c>
      <c r="BY12" s="2067" t="e">
        <f t="shared" si="15"/>
        <v>#REF!</v>
      </c>
      <c r="BZ12" s="2067" t="e">
        <f t="shared" si="15"/>
        <v>#REF!</v>
      </c>
      <c r="CA12" s="2067" t="e">
        <f t="shared" si="15"/>
        <v>#REF!</v>
      </c>
      <c r="CB12" s="2067" t="e">
        <f t="shared" si="15"/>
        <v>#REF!</v>
      </c>
      <c r="CC12" s="2067" t="e">
        <f t="shared" si="15"/>
        <v>#REF!</v>
      </c>
      <c r="CD12" s="2067" t="e">
        <f t="shared" si="15"/>
        <v>#REF!</v>
      </c>
      <c r="CE12" s="2067" t="e">
        <f t="shared" si="15"/>
        <v>#REF!</v>
      </c>
      <c r="CF12" s="2067" t="e">
        <f t="shared" si="15"/>
        <v>#REF!</v>
      </c>
      <c r="CG12" s="2067" t="e">
        <f t="shared" si="15"/>
        <v>#REF!</v>
      </c>
      <c r="CH12" s="2067" t="e">
        <f t="shared" si="15"/>
        <v>#REF!</v>
      </c>
      <c r="CI12" s="2067" t="e">
        <f t="shared" si="15"/>
        <v>#REF!</v>
      </c>
      <c r="CJ12" s="2067" t="e">
        <f t="shared" si="15"/>
        <v>#REF!</v>
      </c>
      <c r="CK12" s="2067"/>
      <c r="CL12" s="2067"/>
      <c r="CM12" s="2067"/>
      <c r="CN12" s="2067"/>
      <c r="CO12" s="2067" t="e">
        <f t="shared" si="15"/>
        <v>#REF!</v>
      </c>
      <c r="CP12" s="2067" t="e">
        <f t="shared" si="15"/>
        <v>#REF!</v>
      </c>
      <c r="CQ12" s="2067"/>
      <c r="CR12" s="2067"/>
      <c r="CS12" s="2067" t="e">
        <f>CS10</f>
        <v>#REF!</v>
      </c>
      <c r="CT12" s="2067"/>
      <c r="CU12" s="2067" t="e">
        <f>CU10</f>
        <v>#REF!</v>
      </c>
      <c r="CV12" s="2067" t="e">
        <f t="shared" si="15"/>
        <v>#REF!</v>
      </c>
      <c r="CW12" s="2067" t="e">
        <f t="shared" si="15"/>
        <v>#REF!</v>
      </c>
      <c r="CX12" s="2067" t="e">
        <f t="shared" si="15"/>
        <v>#REF!</v>
      </c>
      <c r="CY12" s="2067" t="e">
        <f t="shared" si="15"/>
        <v>#REF!</v>
      </c>
      <c r="CZ12" s="2067" t="e">
        <f t="shared" si="15"/>
        <v>#REF!</v>
      </c>
      <c r="DA12" s="2067" t="e">
        <f>DA10</f>
        <v>#REF!</v>
      </c>
      <c r="DB12" s="2067" t="e">
        <f t="shared" si="15"/>
        <v>#REF!</v>
      </c>
      <c r="DC12" s="2067" t="e">
        <f t="shared" si="15"/>
        <v>#REF!</v>
      </c>
      <c r="DD12" s="2067" t="e">
        <f t="shared" si="15"/>
        <v>#REF!</v>
      </c>
      <c r="DE12" s="2067" t="e">
        <f t="shared" si="15"/>
        <v>#REF!</v>
      </c>
      <c r="DF12" s="2067" t="e">
        <f t="shared" si="15"/>
        <v>#REF!</v>
      </c>
      <c r="DG12" s="2067" t="e">
        <f t="shared" si="15"/>
        <v>#REF!</v>
      </c>
      <c r="DH12" s="2067">
        <f t="shared" si="15"/>
        <v>14440</v>
      </c>
      <c r="DI12" s="2067" t="e">
        <f t="shared" si="15"/>
        <v>#REF!</v>
      </c>
      <c r="DJ12" s="2067" t="e">
        <f t="shared" si="15"/>
        <v>#REF!</v>
      </c>
      <c r="DK12" s="2067" t="e">
        <f t="shared" si="15"/>
        <v>#REF!</v>
      </c>
      <c r="DL12" s="2067">
        <f t="shared" si="15"/>
        <v>18430</v>
      </c>
      <c r="DM12" s="2067">
        <f t="shared" si="15"/>
        <v>20215</v>
      </c>
      <c r="DN12" s="2067">
        <f t="shared" si="15"/>
        <v>18430</v>
      </c>
      <c r="DO12" s="2067">
        <f t="shared" si="15"/>
        <v>20215</v>
      </c>
      <c r="DP12" s="2067">
        <f>DP10</f>
        <v>34075</v>
      </c>
      <c r="DQ12" s="2067"/>
      <c r="DR12" s="2067"/>
      <c r="DS12" s="2067">
        <f t="shared" si="15"/>
        <v>18430</v>
      </c>
      <c r="DT12" s="2067" t="e">
        <f t="shared" ref="DT12:EF12" si="16">DT10</f>
        <v>#REF!</v>
      </c>
      <c r="DU12" s="2067" t="e">
        <f t="shared" si="16"/>
        <v>#REF!</v>
      </c>
      <c r="DV12" s="2067" t="e">
        <f t="shared" si="16"/>
        <v>#REF!</v>
      </c>
      <c r="DW12" s="2067" t="e">
        <f t="shared" si="16"/>
        <v>#REF!</v>
      </c>
      <c r="DX12" s="2067" t="e">
        <f t="shared" si="16"/>
        <v>#REF!</v>
      </c>
      <c r="DY12" s="2067" t="e">
        <f t="shared" si="16"/>
        <v>#REF!</v>
      </c>
      <c r="DZ12" s="2067" t="e">
        <f t="shared" si="16"/>
        <v>#REF!</v>
      </c>
      <c r="EA12" s="2067" t="e">
        <f t="shared" si="16"/>
        <v>#REF!</v>
      </c>
      <c r="EB12" s="2067" t="e">
        <f t="shared" si="16"/>
        <v>#REF!</v>
      </c>
      <c r="EC12" s="2067" t="e">
        <f t="shared" si="16"/>
        <v>#REF!</v>
      </c>
      <c r="ED12" s="2067" t="e">
        <f t="shared" si="16"/>
        <v>#REF!</v>
      </c>
      <c r="EE12" s="2067" t="e">
        <f t="shared" si="16"/>
        <v>#REF!</v>
      </c>
      <c r="EF12" s="2067" t="e">
        <f t="shared" si="16"/>
        <v>#REF!</v>
      </c>
      <c r="EG12" s="2067"/>
      <c r="EH12" s="2067"/>
      <c r="EI12" s="2067"/>
      <c r="EJ12" s="2067"/>
      <c r="EK12" s="2067"/>
      <c r="EL12" s="2067"/>
      <c r="EM12" s="2067"/>
      <c r="EN12" s="2067"/>
      <c r="EO12" s="2067"/>
      <c r="EP12" s="2067"/>
      <c r="EQ12" s="2067"/>
      <c r="ER12" s="2067"/>
      <c r="ES12" s="2067"/>
      <c r="ET12" s="2067"/>
      <c r="EU12" s="2067"/>
      <c r="EV12" s="2067"/>
      <c r="EW12" s="2067"/>
      <c r="EX12" s="2067"/>
      <c r="EY12" s="2067"/>
      <c r="EZ12" s="2067"/>
      <c r="FA12" s="2067"/>
      <c r="FB12" s="2067"/>
      <c r="FC12" s="2067"/>
      <c r="FD12" s="2067"/>
      <c r="FE12" s="2066"/>
      <c r="FF12" s="2066"/>
      <c r="FG12" s="2066"/>
      <c r="FH12" s="2066"/>
      <c r="FI12" s="2066"/>
      <c r="FJ12" s="2066"/>
    </row>
    <row r="13" spans="1:242" s="1553" customFormat="1" ht="15.75" hidden="1" customHeight="1" outlineLevel="2">
      <c r="A13" s="1552">
        <v>10</v>
      </c>
      <c r="B13" s="1554" t="s">
        <v>206</v>
      </c>
      <c r="C13" s="1488" t="s">
        <v>1425</v>
      </c>
      <c r="D13" s="1554" t="s">
        <v>206</v>
      </c>
      <c r="E13" s="1488" t="s">
        <v>276</v>
      </c>
      <c r="F13" s="1488" t="e">
        <f>Покрытия_ПВХ!#REF!</f>
        <v>#REF!</v>
      </c>
      <c r="G13" s="1488" t="s">
        <v>1971</v>
      </c>
      <c r="H13" s="2067"/>
      <c r="I13" s="2067"/>
      <c r="J13" s="2067"/>
      <c r="K13" s="2067"/>
      <c r="L13" s="2067"/>
      <c r="M13" s="2067"/>
      <c r="N13" s="2067"/>
      <c r="O13" s="2067"/>
      <c r="P13" s="2067"/>
      <c r="Q13" s="2067"/>
      <c r="R13" s="2067"/>
      <c r="S13" s="2067"/>
      <c r="T13" s="2067"/>
      <c r="U13" s="2067"/>
      <c r="V13" s="2067"/>
      <c r="W13" s="2067"/>
      <c r="X13" s="2067"/>
      <c r="Y13" s="2067"/>
      <c r="Z13" s="2067"/>
      <c r="AA13" s="2067"/>
      <c r="AB13" s="2067"/>
      <c r="AC13" s="2067"/>
      <c r="AD13" s="2067"/>
      <c r="AE13" s="2067"/>
      <c r="AF13" s="2067"/>
      <c r="AG13" s="2067"/>
      <c r="AH13" s="2067"/>
      <c r="AI13" s="2067"/>
      <c r="AJ13" s="2067"/>
      <c r="AK13" s="2067"/>
      <c r="AL13" s="2067"/>
      <c r="AM13" s="2067"/>
      <c r="AN13" s="2067"/>
      <c r="AO13" s="2067"/>
      <c r="AP13" s="2067"/>
      <c r="AQ13" s="2067"/>
      <c r="AR13" s="2067"/>
      <c r="AS13" s="2067"/>
      <c r="AT13" s="2067"/>
      <c r="AU13" s="2067"/>
      <c r="AV13" s="2067"/>
      <c r="AW13" s="2067"/>
      <c r="AX13" s="2067"/>
      <c r="AY13" s="2067"/>
      <c r="AZ13" s="2067"/>
      <c r="BA13" s="2067"/>
      <c r="BB13" s="2067"/>
      <c r="BC13" s="2067"/>
      <c r="BD13" s="2067"/>
      <c r="BE13" s="2067"/>
      <c r="BF13" s="2067"/>
      <c r="BG13" s="2067"/>
      <c r="BH13" s="2067"/>
      <c r="BI13" s="2067"/>
      <c r="BJ13" s="2067"/>
      <c r="BK13" s="2067"/>
      <c r="BL13" s="2067"/>
      <c r="BM13" s="2067"/>
      <c r="BN13" s="2067"/>
      <c r="BO13" s="2067"/>
      <c r="BP13" s="2067"/>
      <c r="BQ13" s="2067" t="e">
        <f t="shared" ref="BQ13:DS13" si="17">BQ10</f>
        <v>#REF!</v>
      </c>
      <c r="BR13" s="2067" t="e">
        <f t="shared" si="17"/>
        <v>#REF!</v>
      </c>
      <c r="BS13" s="2067" t="e">
        <f t="shared" si="17"/>
        <v>#REF!</v>
      </c>
      <c r="BT13" s="2067" t="e">
        <f t="shared" si="17"/>
        <v>#REF!</v>
      </c>
      <c r="BU13" s="2067" t="e">
        <f t="shared" si="17"/>
        <v>#REF!</v>
      </c>
      <c r="BV13" s="2067" t="e">
        <f t="shared" si="17"/>
        <v>#REF!</v>
      </c>
      <c r="BW13" s="2067" t="e">
        <f t="shared" si="17"/>
        <v>#REF!</v>
      </c>
      <c r="BX13" s="2067" t="e">
        <f t="shared" si="17"/>
        <v>#REF!</v>
      </c>
      <c r="BY13" s="2067" t="e">
        <f t="shared" si="17"/>
        <v>#REF!</v>
      </c>
      <c r="BZ13" s="2067" t="e">
        <f t="shared" si="17"/>
        <v>#REF!</v>
      </c>
      <c r="CA13" s="2067" t="e">
        <f t="shared" si="17"/>
        <v>#REF!</v>
      </c>
      <c r="CB13" s="2067" t="e">
        <f t="shared" si="17"/>
        <v>#REF!</v>
      </c>
      <c r="CC13" s="2067" t="e">
        <f t="shared" si="17"/>
        <v>#REF!</v>
      </c>
      <c r="CD13" s="2067" t="e">
        <f t="shared" si="17"/>
        <v>#REF!</v>
      </c>
      <c r="CE13" s="2067" t="e">
        <f t="shared" si="17"/>
        <v>#REF!</v>
      </c>
      <c r="CF13" s="2067" t="e">
        <f t="shared" si="17"/>
        <v>#REF!</v>
      </c>
      <c r="CG13" s="2067" t="e">
        <f t="shared" si="17"/>
        <v>#REF!</v>
      </c>
      <c r="CH13" s="2067" t="e">
        <f t="shared" si="17"/>
        <v>#REF!</v>
      </c>
      <c r="CI13" s="2067" t="e">
        <f t="shared" si="17"/>
        <v>#REF!</v>
      </c>
      <c r="CJ13" s="2067" t="e">
        <f t="shared" si="17"/>
        <v>#REF!</v>
      </c>
      <c r="CK13" s="2067"/>
      <c r="CL13" s="2067"/>
      <c r="CM13" s="2067"/>
      <c r="CN13" s="2067"/>
      <c r="CO13" s="2067" t="e">
        <f t="shared" si="17"/>
        <v>#REF!</v>
      </c>
      <c r="CP13" s="2067" t="e">
        <f t="shared" si="17"/>
        <v>#REF!</v>
      </c>
      <c r="CQ13" s="2067"/>
      <c r="CR13" s="2067"/>
      <c r="CS13" s="2067" t="e">
        <f>CS10</f>
        <v>#REF!</v>
      </c>
      <c r="CT13" s="2067"/>
      <c r="CU13" s="2067" t="e">
        <f>CU10</f>
        <v>#REF!</v>
      </c>
      <c r="CV13" s="2067" t="e">
        <f t="shared" si="17"/>
        <v>#REF!</v>
      </c>
      <c r="CW13" s="2067" t="e">
        <f t="shared" si="17"/>
        <v>#REF!</v>
      </c>
      <c r="CX13" s="2067" t="e">
        <f t="shared" si="17"/>
        <v>#REF!</v>
      </c>
      <c r="CY13" s="2067" t="e">
        <f t="shared" si="17"/>
        <v>#REF!</v>
      </c>
      <c r="CZ13" s="2067" t="e">
        <f t="shared" si="17"/>
        <v>#REF!</v>
      </c>
      <c r="DA13" s="2067" t="e">
        <f>DA10</f>
        <v>#REF!</v>
      </c>
      <c r="DB13" s="2067" t="e">
        <f t="shared" si="17"/>
        <v>#REF!</v>
      </c>
      <c r="DC13" s="2067" t="e">
        <f t="shared" si="17"/>
        <v>#REF!</v>
      </c>
      <c r="DD13" s="2067" t="e">
        <f t="shared" si="17"/>
        <v>#REF!</v>
      </c>
      <c r="DE13" s="2067" t="e">
        <f t="shared" si="17"/>
        <v>#REF!</v>
      </c>
      <c r="DF13" s="2067" t="e">
        <f t="shared" si="17"/>
        <v>#REF!</v>
      </c>
      <c r="DG13" s="2067" t="e">
        <f t="shared" si="17"/>
        <v>#REF!</v>
      </c>
      <c r="DH13" s="2067">
        <f t="shared" si="17"/>
        <v>14440</v>
      </c>
      <c r="DI13" s="2067" t="e">
        <f t="shared" si="17"/>
        <v>#REF!</v>
      </c>
      <c r="DJ13" s="2067" t="e">
        <f t="shared" si="17"/>
        <v>#REF!</v>
      </c>
      <c r="DK13" s="2067" t="e">
        <f t="shared" si="17"/>
        <v>#REF!</v>
      </c>
      <c r="DL13" s="2067">
        <f t="shared" si="17"/>
        <v>18430</v>
      </c>
      <c r="DM13" s="2067">
        <f t="shared" si="17"/>
        <v>20215</v>
      </c>
      <c r="DN13" s="2067">
        <f t="shared" si="17"/>
        <v>18430</v>
      </c>
      <c r="DO13" s="2067">
        <f t="shared" si="17"/>
        <v>20215</v>
      </c>
      <c r="DP13" s="2067">
        <f>DP10</f>
        <v>34075</v>
      </c>
      <c r="DQ13" s="2067"/>
      <c r="DR13" s="2067"/>
      <c r="DS13" s="2067">
        <f t="shared" si="17"/>
        <v>18430</v>
      </c>
      <c r="DT13" s="2067" t="e">
        <f t="shared" ref="DT13:EF13" si="18">DT10</f>
        <v>#REF!</v>
      </c>
      <c r="DU13" s="2067" t="e">
        <f t="shared" si="18"/>
        <v>#REF!</v>
      </c>
      <c r="DV13" s="2067" t="e">
        <f t="shared" si="18"/>
        <v>#REF!</v>
      </c>
      <c r="DW13" s="2067" t="e">
        <f t="shared" si="18"/>
        <v>#REF!</v>
      </c>
      <c r="DX13" s="2067" t="e">
        <f t="shared" si="18"/>
        <v>#REF!</v>
      </c>
      <c r="DY13" s="2067" t="e">
        <f t="shared" si="18"/>
        <v>#REF!</v>
      </c>
      <c r="DZ13" s="2067" t="e">
        <f t="shared" si="18"/>
        <v>#REF!</v>
      </c>
      <c r="EA13" s="2067" t="e">
        <f t="shared" si="18"/>
        <v>#REF!</v>
      </c>
      <c r="EB13" s="2067" t="e">
        <f t="shared" si="18"/>
        <v>#REF!</v>
      </c>
      <c r="EC13" s="2067" t="e">
        <f t="shared" si="18"/>
        <v>#REF!</v>
      </c>
      <c r="ED13" s="2067" t="e">
        <f t="shared" si="18"/>
        <v>#REF!</v>
      </c>
      <c r="EE13" s="2067" t="e">
        <f t="shared" si="18"/>
        <v>#REF!</v>
      </c>
      <c r="EF13" s="2067" t="e">
        <f t="shared" si="18"/>
        <v>#REF!</v>
      </c>
      <c r="EG13" s="2067"/>
      <c r="EH13" s="2067"/>
      <c r="EI13" s="2067"/>
      <c r="EJ13" s="2067"/>
      <c r="EK13" s="2067"/>
      <c r="EL13" s="2067"/>
      <c r="EM13" s="2067"/>
      <c r="EN13" s="2067"/>
      <c r="EO13" s="2067"/>
      <c r="EP13" s="2067"/>
      <c r="EQ13" s="2067"/>
      <c r="ER13" s="2067"/>
      <c r="ES13" s="2067"/>
      <c r="ET13" s="2067"/>
      <c r="EU13" s="2067"/>
      <c r="EV13" s="2067"/>
      <c r="EW13" s="2067"/>
      <c r="EX13" s="2067"/>
      <c r="EY13" s="2067"/>
      <c r="EZ13" s="2067"/>
      <c r="FA13" s="2067"/>
      <c r="FB13" s="2067"/>
      <c r="FC13" s="2067"/>
      <c r="FD13" s="2067"/>
      <c r="FE13" s="2066"/>
      <c r="FF13" s="2066"/>
      <c r="FG13" s="2066"/>
      <c r="FH13" s="2066"/>
      <c r="FI13" s="2066"/>
      <c r="FJ13" s="2066"/>
    </row>
    <row r="14" spans="1:242" s="1553" customFormat="1" ht="15.75" hidden="1" customHeight="1" outlineLevel="2">
      <c r="A14" s="1549">
        <v>11</v>
      </c>
      <c r="B14" s="1554" t="s">
        <v>206</v>
      </c>
      <c r="C14" s="1488" t="s">
        <v>1425</v>
      </c>
      <c r="D14" s="1554" t="s">
        <v>206</v>
      </c>
      <c r="E14" s="1488" t="s">
        <v>276</v>
      </c>
      <c r="F14" s="1488" t="str">
        <f>Покрытия_ПВХ!E12</f>
        <v>Дуб шале седой</v>
      </c>
      <c r="G14" s="1488" t="s">
        <v>1591</v>
      </c>
      <c r="H14" s="2067"/>
      <c r="I14" s="2067"/>
      <c r="J14" s="2067"/>
      <c r="K14" s="2067"/>
      <c r="L14" s="2067"/>
      <c r="M14" s="2067"/>
      <c r="N14" s="2067"/>
      <c r="O14" s="2067"/>
      <c r="P14" s="2067"/>
      <c r="Q14" s="2067"/>
      <c r="R14" s="2067"/>
      <c r="S14" s="2067"/>
      <c r="T14" s="2067"/>
      <c r="U14" s="2067"/>
      <c r="V14" s="2067"/>
      <c r="W14" s="2067"/>
      <c r="X14" s="2067"/>
      <c r="Y14" s="2067"/>
      <c r="Z14" s="2067"/>
      <c r="AA14" s="2067"/>
      <c r="AB14" s="2067"/>
      <c r="AC14" s="2067"/>
      <c r="AD14" s="2067"/>
      <c r="AE14" s="2067"/>
      <c r="AF14" s="2067"/>
      <c r="AG14" s="2067"/>
      <c r="AH14" s="2067"/>
      <c r="AI14" s="2067"/>
      <c r="AJ14" s="2067"/>
      <c r="AK14" s="2067"/>
      <c r="AL14" s="2067"/>
      <c r="AM14" s="2067"/>
      <c r="AN14" s="2067"/>
      <c r="AO14" s="2067"/>
      <c r="AP14" s="2067"/>
      <c r="AQ14" s="2067"/>
      <c r="AR14" s="2067"/>
      <c r="AS14" s="2067"/>
      <c r="AT14" s="2067"/>
      <c r="AU14" s="2067"/>
      <c r="AV14" s="2067"/>
      <c r="AW14" s="2067"/>
      <c r="AX14" s="2067"/>
      <c r="AY14" s="2067"/>
      <c r="AZ14" s="2067"/>
      <c r="BA14" s="2067"/>
      <c r="BB14" s="2067"/>
      <c r="BC14" s="2067"/>
      <c r="BD14" s="2067"/>
      <c r="BE14" s="2067"/>
      <c r="BF14" s="2067"/>
      <c r="BG14" s="2067"/>
      <c r="BH14" s="2067"/>
      <c r="BI14" s="2067"/>
      <c r="BJ14" s="2067"/>
      <c r="BK14" s="2067"/>
      <c r="BL14" s="2067"/>
      <c r="BM14" s="2067"/>
      <c r="BN14" s="2067"/>
      <c r="BO14" s="2067"/>
      <c r="BP14" s="2067"/>
      <c r="BQ14" s="2067" t="e">
        <f t="shared" ref="BQ14:DS14" si="19">BQ10</f>
        <v>#REF!</v>
      </c>
      <c r="BR14" s="2067" t="e">
        <f t="shared" si="19"/>
        <v>#REF!</v>
      </c>
      <c r="BS14" s="2067" t="e">
        <f t="shared" si="19"/>
        <v>#REF!</v>
      </c>
      <c r="BT14" s="2067" t="e">
        <f t="shared" si="19"/>
        <v>#REF!</v>
      </c>
      <c r="BU14" s="2067" t="e">
        <f t="shared" si="19"/>
        <v>#REF!</v>
      </c>
      <c r="BV14" s="2067" t="e">
        <f t="shared" si="19"/>
        <v>#REF!</v>
      </c>
      <c r="BW14" s="2067" t="e">
        <f t="shared" si="19"/>
        <v>#REF!</v>
      </c>
      <c r="BX14" s="2067" t="e">
        <f t="shared" si="19"/>
        <v>#REF!</v>
      </c>
      <c r="BY14" s="2067" t="e">
        <f t="shared" si="19"/>
        <v>#REF!</v>
      </c>
      <c r="BZ14" s="2067" t="e">
        <f t="shared" si="19"/>
        <v>#REF!</v>
      </c>
      <c r="CA14" s="2067" t="e">
        <f t="shared" si="19"/>
        <v>#REF!</v>
      </c>
      <c r="CB14" s="2067" t="e">
        <f t="shared" si="19"/>
        <v>#REF!</v>
      </c>
      <c r="CC14" s="2067" t="e">
        <f t="shared" si="19"/>
        <v>#REF!</v>
      </c>
      <c r="CD14" s="2067" t="e">
        <f t="shared" si="19"/>
        <v>#REF!</v>
      </c>
      <c r="CE14" s="2067" t="e">
        <f t="shared" si="19"/>
        <v>#REF!</v>
      </c>
      <c r="CF14" s="2067" t="e">
        <f t="shared" si="19"/>
        <v>#REF!</v>
      </c>
      <c r="CG14" s="2067" t="e">
        <f t="shared" si="19"/>
        <v>#REF!</v>
      </c>
      <c r="CH14" s="2067" t="e">
        <f t="shared" si="19"/>
        <v>#REF!</v>
      </c>
      <c r="CI14" s="2067" t="e">
        <f t="shared" si="19"/>
        <v>#REF!</v>
      </c>
      <c r="CJ14" s="2067" t="e">
        <f t="shared" si="19"/>
        <v>#REF!</v>
      </c>
      <c r="CK14" s="2067"/>
      <c r="CL14" s="2067"/>
      <c r="CM14" s="2067"/>
      <c r="CN14" s="2067"/>
      <c r="CO14" s="2067" t="e">
        <f t="shared" si="19"/>
        <v>#REF!</v>
      </c>
      <c r="CP14" s="2067" t="e">
        <f t="shared" si="19"/>
        <v>#REF!</v>
      </c>
      <c r="CQ14" s="2067"/>
      <c r="CR14" s="2067"/>
      <c r="CS14" s="2067" t="e">
        <f>CS10</f>
        <v>#REF!</v>
      </c>
      <c r="CT14" s="2067"/>
      <c r="CU14" s="2067" t="e">
        <f>CU10</f>
        <v>#REF!</v>
      </c>
      <c r="CV14" s="2067" t="e">
        <f t="shared" si="19"/>
        <v>#REF!</v>
      </c>
      <c r="CW14" s="2067" t="e">
        <f t="shared" si="19"/>
        <v>#REF!</v>
      </c>
      <c r="CX14" s="2067" t="e">
        <f t="shared" si="19"/>
        <v>#REF!</v>
      </c>
      <c r="CY14" s="2067" t="e">
        <f t="shared" si="19"/>
        <v>#REF!</v>
      </c>
      <c r="CZ14" s="2067" t="e">
        <f t="shared" si="19"/>
        <v>#REF!</v>
      </c>
      <c r="DA14" s="2067" t="e">
        <f>DA10</f>
        <v>#REF!</v>
      </c>
      <c r="DB14" s="2067" t="e">
        <f t="shared" si="19"/>
        <v>#REF!</v>
      </c>
      <c r="DC14" s="2067" t="e">
        <f t="shared" si="19"/>
        <v>#REF!</v>
      </c>
      <c r="DD14" s="2067" t="e">
        <f t="shared" si="19"/>
        <v>#REF!</v>
      </c>
      <c r="DE14" s="2067" t="e">
        <f t="shared" si="19"/>
        <v>#REF!</v>
      </c>
      <c r="DF14" s="2067" t="e">
        <f t="shared" si="19"/>
        <v>#REF!</v>
      </c>
      <c r="DG14" s="2067" t="e">
        <f t="shared" si="19"/>
        <v>#REF!</v>
      </c>
      <c r="DH14" s="2067">
        <f t="shared" si="19"/>
        <v>14440</v>
      </c>
      <c r="DI14" s="2067" t="e">
        <f t="shared" si="19"/>
        <v>#REF!</v>
      </c>
      <c r="DJ14" s="2067" t="e">
        <f t="shared" si="19"/>
        <v>#REF!</v>
      </c>
      <c r="DK14" s="2067" t="e">
        <f t="shared" si="19"/>
        <v>#REF!</v>
      </c>
      <c r="DL14" s="2067">
        <f t="shared" si="19"/>
        <v>18430</v>
      </c>
      <c r="DM14" s="2067">
        <f t="shared" si="19"/>
        <v>20215</v>
      </c>
      <c r="DN14" s="2067">
        <f t="shared" si="19"/>
        <v>18430</v>
      </c>
      <c r="DO14" s="2067">
        <f t="shared" si="19"/>
        <v>20215</v>
      </c>
      <c r="DP14" s="2067">
        <f>DP10</f>
        <v>34075</v>
      </c>
      <c r="DQ14" s="2067"/>
      <c r="DR14" s="2067"/>
      <c r="DS14" s="2067">
        <f t="shared" si="19"/>
        <v>18430</v>
      </c>
      <c r="DT14" s="2067" t="e">
        <f t="shared" ref="DT14:EF14" si="20">DT10</f>
        <v>#REF!</v>
      </c>
      <c r="DU14" s="2067" t="e">
        <f t="shared" si="20"/>
        <v>#REF!</v>
      </c>
      <c r="DV14" s="2067" t="e">
        <f t="shared" si="20"/>
        <v>#REF!</v>
      </c>
      <c r="DW14" s="2067" t="e">
        <f t="shared" si="20"/>
        <v>#REF!</v>
      </c>
      <c r="DX14" s="2067" t="e">
        <f t="shared" si="20"/>
        <v>#REF!</v>
      </c>
      <c r="DY14" s="2067" t="e">
        <f t="shared" si="20"/>
        <v>#REF!</v>
      </c>
      <c r="DZ14" s="2067" t="e">
        <f t="shared" si="20"/>
        <v>#REF!</v>
      </c>
      <c r="EA14" s="2067" t="e">
        <f t="shared" si="20"/>
        <v>#REF!</v>
      </c>
      <c r="EB14" s="2067" t="e">
        <f t="shared" si="20"/>
        <v>#REF!</v>
      </c>
      <c r="EC14" s="2067" t="e">
        <f t="shared" si="20"/>
        <v>#REF!</v>
      </c>
      <c r="ED14" s="2067" t="e">
        <f t="shared" si="20"/>
        <v>#REF!</v>
      </c>
      <c r="EE14" s="2067" t="e">
        <f t="shared" si="20"/>
        <v>#REF!</v>
      </c>
      <c r="EF14" s="2067" t="e">
        <f t="shared" si="20"/>
        <v>#REF!</v>
      </c>
      <c r="EG14" s="2067"/>
      <c r="EH14" s="2067"/>
      <c r="EI14" s="2067"/>
      <c r="EJ14" s="2067"/>
      <c r="EK14" s="2067"/>
      <c r="EL14" s="2067"/>
      <c r="EM14" s="2067"/>
      <c r="EN14" s="2067"/>
      <c r="EO14" s="2067"/>
      <c r="EP14" s="2067"/>
      <c r="EQ14" s="2067"/>
      <c r="ER14" s="2067"/>
      <c r="ES14" s="2067"/>
      <c r="ET14" s="2067"/>
      <c r="EU14" s="2067"/>
      <c r="EV14" s="2067"/>
      <c r="EW14" s="2067"/>
      <c r="EX14" s="2067"/>
      <c r="EY14" s="2067"/>
      <c r="EZ14" s="2067"/>
      <c r="FA14" s="2067"/>
      <c r="FB14" s="2067"/>
      <c r="FC14" s="2067"/>
      <c r="FD14" s="2067"/>
      <c r="FE14" s="2066"/>
      <c r="FF14" s="2066"/>
      <c r="FG14" s="2066"/>
      <c r="FH14" s="2066"/>
      <c r="FI14" s="2066"/>
      <c r="FJ14" s="2066"/>
    </row>
    <row r="15" spans="1:242" s="1553" customFormat="1" ht="15.75" hidden="1" customHeight="1" outlineLevel="2">
      <c r="A15" s="1552">
        <v>12</v>
      </c>
      <c r="B15" s="1554" t="s">
        <v>206</v>
      </c>
      <c r="C15" s="1488" t="s">
        <v>1425</v>
      </c>
      <c r="D15" s="1554" t="s">
        <v>206</v>
      </c>
      <c r="E15" s="1488" t="s">
        <v>276</v>
      </c>
      <c r="F15" s="1488" t="e">
        <f>Покрытия_ПВХ!#REF!</f>
        <v>#REF!</v>
      </c>
      <c r="G15" s="1488" t="s">
        <v>1592</v>
      </c>
      <c r="H15" s="2067"/>
      <c r="I15" s="2067"/>
      <c r="J15" s="2067"/>
      <c r="K15" s="2067"/>
      <c r="L15" s="2067"/>
      <c r="M15" s="2067"/>
      <c r="N15" s="2067"/>
      <c r="O15" s="2067"/>
      <c r="P15" s="2067"/>
      <c r="Q15" s="2067"/>
      <c r="R15" s="2067"/>
      <c r="S15" s="2067"/>
      <c r="T15" s="2067"/>
      <c r="U15" s="2067"/>
      <c r="V15" s="2067"/>
      <c r="W15" s="2067"/>
      <c r="X15" s="2067"/>
      <c r="Y15" s="2067"/>
      <c r="Z15" s="2067"/>
      <c r="AA15" s="2067"/>
      <c r="AB15" s="2067"/>
      <c r="AC15" s="2067"/>
      <c r="AD15" s="2067"/>
      <c r="AE15" s="2067"/>
      <c r="AF15" s="2067"/>
      <c r="AG15" s="2067"/>
      <c r="AH15" s="2067"/>
      <c r="AI15" s="2067"/>
      <c r="AJ15" s="2067"/>
      <c r="AK15" s="2067"/>
      <c r="AL15" s="2067"/>
      <c r="AM15" s="2067"/>
      <c r="AN15" s="2067"/>
      <c r="AO15" s="2067"/>
      <c r="AP15" s="2067"/>
      <c r="AQ15" s="2067"/>
      <c r="AR15" s="2067"/>
      <c r="AS15" s="2067"/>
      <c r="AT15" s="2067"/>
      <c r="AU15" s="2067"/>
      <c r="AV15" s="2067"/>
      <c r="AW15" s="2067"/>
      <c r="AX15" s="2067"/>
      <c r="AY15" s="2067"/>
      <c r="AZ15" s="2067"/>
      <c r="BA15" s="2067"/>
      <c r="BB15" s="2067"/>
      <c r="BC15" s="2067"/>
      <c r="BD15" s="2067"/>
      <c r="BE15" s="2067"/>
      <c r="BF15" s="2067"/>
      <c r="BG15" s="2067"/>
      <c r="BH15" s="2067"/>
      <c r="BI15" s="2067"/>
      <c r="BJ15" s="2067"/>
      <c r="BK15" s="2067"/>
      <c r="BL15" s="2067"/>
      <c r="BM15" s="2067"/>
      <c r="BN15" s="2067"/>
      <c r="BO15" s="2067"/>
      <c r="BP15" s="2067"/>
      <c r="BQ15" s="2067" t="e">
        <f t="shared" ref="BQ15:DS15" si="21">BQ10</f>
        <v>#REF!</v>
      </c>
      <c r="BR15" s="2067" t="e">
        <f t="shared" si="21"/>
        <v>#REF!</v>
      </c>
      <c r="BS15" s="2067" t="e">
        <f t="shared" si="21"/>
        <v>#REF!</v>
      </c>
      <c r="BT15" s="2067" t="e">
        <f t="shared" si="21"/>
        <v>#REF!</v>
      </c>
      <c r="BU15" s="2067" t="e">
        <f t="shared" si="21"/>
        <v>#REF!</v>
      </c>
      <c r="BV15" s="2067" t="e">
        <f t="shared" si="21"/>
        <v>#REF!</v>
      </c>
      <c r="BW15" s="2067" t="e">
        <f t="shared" si="21"/>
        <v>#REF!</v>
      </c>
      <c r="BX15" s="2067" t="e">
        <f t="shared" si="21"/>
        <v>#REF!</v>
      </c>
      <c r="BY15" s="2067" t="e">
        <f t="shared" si="21"/>
        <v>#REF!</v>
      </c>
      <c r="BZ15" s="2067" t="e">
        <f t="shared" si="21"/>
        <v>#REF!</v>
      </c>
      <c r="CA15" s="2067" t="e">
        <f t="shared" si="21"/>
        <v>#REF!</v>
      </c>
      <c r="CB15" s="2067" t="e">
        <f t="shared" si="21"/>
        <v>#REF!</v>
      </c>
      <c r="CC15" s="2067" t="e">
        <f t="shared" si="21"/>
        <v>#REF!</v>
      </c>
      <c r="CD15" s="2067" t="e">
        <f t="shared" si="21"/>
        <v>#REF!</v>
      </c>
      <c r="CE15" s="2067" t="e">
        <f t="shared" si="21"/>
        <v>#REF!</v>
      </c>
      <c r="CF15" s="2067" t="e">
        <f t="shared" si="21"/>
        <v>#REF!</v>
      </c>
      <c r="CG15" s="2067" t="e">
        <f t="shared" si="21"/>
        <v>#REF!</v>
      </c>
      <c r="CH15" s="2067" t="e">
        <f t="shared" si="21"/>
        <v>#REF!</v>
      </c>
      <c r="CI15" s="2067" t="e">
        <f t="shared" si="21"/>
        <v>#REF!</v>
      </c>
      <c r="CJ15" s="2067" t="e">
        <f t="shared" si="21"/>
        <v>#REF!</v>
      </c>
      <c r="CK15" s="2067"/>
      <c r="CL15" s="2067"/>
      <c r="CM15" s="2067"/>
      <c r="CN15" s="2067"/>
      <c r="CO15" s="2067" t="e">
        <f t="shared" si="21"/>
        <v>#REF!</v>
      </c>
      <c r="CP15" s="2067" t="e">
        <f t="shared" si="21"/>
        <v>#REF!</v>
      </c>
      <c r="CQ15" s="2067"/>
      <c r="CR15" s="2067"/>
      <c r="CS15" s="2067" t="e">
        <f>CS10</f>
        <v>#REF!</v>
      </c>
      <c r="CT15" s="2067"/>
      <c r="CU15" s="2067" t="e">
        <f>CU10</f>
        <v>#REF!</v>
      </c>
      <c r="CV15" s="2067" t="e">
        <f t="shared" si="21"/>
        <v>#REF!</v>
      </c>
      <c r="CW15" s="2067" t="e">
        <f t="shared" si="21"/>
        <v>#REF!</v>
      </c>
      <c r="CX15" s="2067" t="e">
        <f t="shared" si="21"/>
        <v>#REF!</v>
      </c>
      <c r="CY15" s="2067" t="e">
        <f t="shared" si="21"/>
        <v>#REF!</v>
      </c>
      <c r="CZ15" s="2067" t="e">
        <f t="shared" si="21"/>
        <v>#REF!</v>
      </c>
      <c r="DA15" s="2067" t="e">
        <f>DA10</f>
        <v>#REF!</v>
      </c>
      <c r="DB15" s="2067" t="e">
        <f t="shared" si="21"/>
        <v>#REF!</v>
      </c>
      <c r="DC15" s="2067" t="e">
        <f t="shared" si="21"/>
        <v>#REF!</v>
      </c>
      <c r="DD15" s="2067" t="e">
        <f t="shared" si="21"/>
        <v>#REF!</v>
      </c>
      <c r="DE15" s="2067" t="e">
        <f t="shared" si="21"/>
        <v>#REF!</v>
      </c>
      <c r="DF15" s="2067" t="e">
        <f t="shared" si="21"/>
        <v>#REF!</v>
      </c>
      <c r="DG15" s="2067" t="e">
        <f t="shared" si="21"/>
        <v>#REF!</v>
      </c>
      <c r="DH15" s="2067">
        <f t="shared" si="21"/>
        <v>14440</v>
      </c>
      <c r="DI15" s="2067" t="e">
        <f t="shared" si="21"/>
        <v>#REF!</v>
      </c>
      <c r="DJ15" s="2067" t="e">
        <f t="shared" si="21"/>
        <v>#REF!</v>
      </c>
      <c r="DK15" s="2067" t="e">
        <f t="shared" si="21"/>
        <v>#REF!</v>
      </c>
      <c r="DL15" s="2067">
        <f t="shared" si="21"/>
        <v>18430</v>
      </c>
      <c r="DM15" s="2067">
        <f t="shared" si="21"/>
        <v>20215</v>
      </c>
      <c r="DN15" s="2067">
        <f t="shared" si="21"/>
        <v>18430</v>
      </c>
      <c r="DO15" s="2067">
        <f t="shared" si="21"/>
        <v>20215</v>
      </c>
      <c r="DP15" s="2067">
        <f>DP10</f>
        <v>34075</v>
      </c>
      <c r="DQ15" s="2067"/>
      <c r="DR15" s="2067"/>
      <c r="DS15" s="2067">
        <f t="shared" si="21"/>
        <v>18430</v>
      </c>
      <c r="DT15" s="2067" t="e">
        <f t="shared" ref="DT15:EF15" si="22">DT10</f>
        <v>#REF!</v>
      </c>
      <c r="DU15" s="2067" t="e">
        <f t="shared" si="22"/>
        <v>#REF!</v>
      </c>
      <c r="DV15" s="2067" t="e">
        <f t="shared" si="22"/>
        <v>#REF!</v>
      </c>
      <c r="DW15" s="2067" t="e">
        <f t="shared" si="22"/>
        <v>#REF!</v>
      </c>
      <c r="DX15" s="2067" t="e">
        <f t="shared" si="22"/>
        <v>#REF!</v>
      </c>
      <c r="DY15" s="2067" t="e">
        <f t="shared" si="22"/>
        <v>#REF!</v>
      </c>
      <c r="DZ15" s="2067" t="e">
        <f t="shared" si="22"/>
        <v>#REF!</v>
      </c>
      <c r="EA15" s="2067" t="e">
        <f t="shared" si="22"/>
        <v>#REF!</v>
      </c>
      <c r="EB15" s="2067" t="e">
        <f t="shared" si="22"/>
        <v>#REF!</v>
      </c>
      <c r="EC15" s="2067" t="e">
        <f t="shared" si="22"/>
        <v>#REF!</v>
      </c>
      <c r="ED15" s="2067" t="e">
        <f t="shared" si="22"/>
        <v>#REF!</v>
      </c>
      <c r="EE15" s="2067" t="e">
        <f t="shared" si="22"/>
        <v>#REF!</v>
      </c>
      <c r="EF15" s="2067" t="e">
        <f t="shared" si="22"/>
        <v>#REF!</v>
      </c>
      <c r="EG15" s="2067"/>
      <c r="EH15" s="2067"/>
      <c r="EI15" s="2067"/>
      <c r="EJ15" s="2067"/>
      <c r="EK15" s="2067"/>
      <c r="EL15" s="2067"/>
      <c r="EM15" s="2067"/>
      <c r="EN15" s="2067"/>
      <c r="EO15" s="2067"/>
      <c r="EP15" s="2067"/>
      <c r="EQ15" s="2067"/>
      <c r="ER15" s="2067"/>
      <c r="ES15" s="2067"/>
      <c r="ET15" s="2067"/>
      <c r="EU15" s="2067"/>
      <c r="EV15" s="2067"/>
      <c r="EW15" s="2067"/>
      <c r="EX15" s="2067"/>
      <c r="EY15" s="2067"/>
      <c r="EZ15" s="2067"/>
      <c r="FA15" s="2067"/>
      <c r="FB15" s="2067"/>
      <c r="FC15" s="2067"/>
      <c r="FD15" s="2067"/>
      <c r="FE15" s="2066"/>
      <c r="FF15" s="2066"/>
      <c r="FG15" s="2066"/>
      <c r="FH15" s="2066"/>
      <c r="FI15" s="2066"/>
      <c r="FJ15" s="2066"/>
    </row>
    <row r="16" spans="1:242" s="1553" customFormat="1" ht="15.75" hidden="1" customHeight="1" outlineLevel="2">
      <c r="A16" s="1549">
        <v>13</v>
      </c>
      <c r="B16" s="1554" t="s">
        <v>206</v>
      </c>
      <c r="C16" s="1488" t="s">
        <v>1425</v>
      </c>
      <c r="D16" s="1554" t="s">
        <v>206</v>
      </c>
      <c r="E16" s="1488" t="s">
        <v>276</v>
      </c>
      <c r="F16" s="1488" t="e">
        <f>Покрытия_ПВХ!#REF!</f>
        <v>#REF!</v>
      </c>
      <c r="G16" s="1488" t="s">
        <v>1775</v>
      </c>
      <c r="H16" s="2067"/>
      <c r="I16" s="2067"/>
      <c r="J16" s="2067"/>
      <c r="K16" s="2067"/>
      <c r="L16" s="2067"/>
      <c r="M16" s="2067"/>
      <c r="N16" s="2067"/>
      <c r="O16" s="2067"/>
      <c r="P16" s="2067"/>
      <c r="Q16" s="2067"/>
      <c r="R16" s="2067"/>
      <c r="S16" s="2067"/>
      <c r="T16" s="2067"/>
      <c r="U16" s="2067"/>
      <c r="V16" s="2067"/>
      <c r="W16" s="2067"/>
      <c r="X16" s="2067"/>
      <c r="Y16" s="2067"/>
      <c r="Z16" s="2067"/>
      <c r="AA16" s="2067"/>
      <c r="AB16" s="2067"/>
      <c r="AC16" s="2067"/>
      <c r="AD16" s="2067"/>
      <c r="AE16" s="2067"/>
      <c r="AF16" s="2067"/>
      <c r="AG16" s="2067"/>
      <c r="AH16" s="2067"/>
      <c r="AI16" s="2067"/>
      <c r="AJ16" s="2067"/>
      <c r="AK16" s="2067"/>
      <c r="AL16" s="2067"/>
      <c r="AM16" s="2067"/>
      <c r="AN16" s="2067"/>
      <c r="AO16" s="2067"/>
      <c r="AP16" s="2067"/>
      <c r="AQ16" s="2067"/>
      <c r="AR16" s="2067"/>
      <c r="AS16" s="2067"/>
      <c r="AT16" s="2067"/>
      <c r="AU16" s="2067"/>
      <c r="AV16" s="2067"/>
      <c r="AW16" s="2067"/>
      <c r="AX16" s="2067"/>
      <c r="AY16" s="2067"/>
      <c r="AZ16" s="2067"/>
      <c r="BA16" s="2067"/>
      <c r="BB16" s="2067"/>
      <c r="BC16" s="2067"/>
      <c r="BD16" s="2067"/>
      <c r="BE16" s="2067"/>
      <c r="BF16" s="2067"/>
      <c r="BG16" s="2067"/>
      <c r="BH16" s="2067"/>
      <c r="BI16" s="2067"/>
      <c r="BJ16" s="2067"/>
      <c r="BK16" s="2067"/>
      <c r="BL16" s="2067"/>
      <c r="BM16" s="2067"/>
      <c r="BN16" s="2067"/>
      <c r="BO16" s="2067"/>
      <c r="BP16" s="2067"/>
      <c r="BQ16" s="2067" t="e">
        <f t="shared" ref="BQ16:DS16" si="23">BQ10</f>
        <v>#REF!</v>
      </c>
      <c r="BR16" s="2067" t="e">
        <f t="shared" si="23"/>
        <v>#REF!</v>
      </c>
      <c r="BS16" s="2067" t="e">
        <f t="shared" si="23"/>
        <v>#REF!</v>
      </c>
      <c r="BT16" s="2067" t="e">
        <f t="shared" si="23"/>
        <v>#REF!</v>
      </c>
      <c r="BU16" s="2067" t="e">
        <f t="shared" si="23"/>
        <v>#REF!</v>
      </c>
      <c r="BV16" s="2067" t="e">
        <f t="shared" si="23"/>
        <v>#REF!</v>
      </c>
      <c r="BW16" s="2067" t="e">
        <f t="shared" si="23"/>
        <v>#REF!</v>
      </c>
      <c r="BX16" s="2067" t="e">
        <f t="shared" si="23"/>
        <v>#REF!</v>
      </c>
      <c r="BY16" s="2067" t="e">
        <f t="shared" si="23"/>
        <v>#REF!</v>
      </c>
      <c r="BZ16" s="2067" t="e">
        <f t="shared" si="23"/>
        <v>#REF!</v>
      </c>
      <c r="CA16" s="2067" t="e">
        <f t="shared" si="23"/>
        <v>#REF!</v>
      </c>
      <c r="CB16" s="2067" t="e">
        <f t="shared" si="23"/>
        <v>#REF!</v>
      </c>
      <c r="CC16" s="2067" t="e">
        <f t="shared" si="23"/>
        <v>#REF!</v>
      </c>
      <c r="CD16" s="2067" t="e">
        <f t="shared" si="23"/>
        <v>#REF!</v>
      </c>
      <c r="CE16" s="2067" t="e">
        <f t="shared" si="23"/>
        <v>#REF!</v>
      </c>
      <c r="CF16" s="2067" t="e">
        <f t="shared" si="23"/>
        <v>#REF!</v>
      </c>
      <c r="CG16" s="2067" t="e">
        <f t="shared" si="23"/>
        <v>#REF!</v>
      </c>
      <c r="CH16" s="2067" t="e">
        <f t="shared" si="23"/>
        <v>#REF!</v>
      </c>
      <c r="CI16" s="2067" t="e">
        <f t="shared" si="23"/>
        <v>#REF!</v>
      </c>
      <c r="CJ16" s="2067" t="e">
        <f t="shared" si="23"/>
        <v>#REF!</v>
      </c>
      <c r="CK16" s="2067"/>
      <c r="CL16" s="2067"/>
      <c r="CM16" s="2067"/>
      <c r="CN16" s="2067"/>
      <c r="CO16" s="2067" t="e">
        <f t="shared" si="23"/>
        <v>#REF!</v>
      </c>
      <c r="CP16" s="2067" t="e">
        <f t="shared" si="23"/>
        <v>#REF!</v>
      </c>
      <c r="CQ16" s="2067"/>
      <c r="CR16" s="2067"/>
      <c r="CS16" s="2067" t="e">
        <f>CS10</f>
        <v>#REF!</v>
      </c>
      <c r="CT16" s="2067"/>
      <c r="CU16" s="2067" t="e">
        <f>CU10</f>
        <v>#REF!</v>
      </c>
      <c r="CV16" s="2067" t="e">
        <f t="shared" si="23"/>
        <v>#REF!</v>
      </c>
      <c r="CW16" s="2067" t="e">
        <f t="shared" si="23"/>
        <v>#REF!</v>
      </c>
      <c r="CX16" s="2067" t="e">
        <f t="shared" si="23"/>
        <v>#REF!</v>
      </c>
      <c r="CY16" s="2067" t="e">
        <f t="shared" si="23"/>
        <v>#REF!</v>
      </c>
      <c r="CZ16" s="2067" t="e">
        <f t="shared" si="23"/>
        <v>#REF!</v>
      </c>
      <c r="DA16" s="2067" t="e">
        <f>DA10</f>
        <v>#REF!</v>
      </c>
      <c r="DB16" s="2067" t="e">
        <f t="shared" si="23"/>
        <v>#REF!</v>
      </c>
      <c r="DC16" s="2067" t="e">
        <f t="shared" si="23"/>
        <v>#REF!</v>
      </c>
      <c r="DD16" s="2067" t="e">
        <f t="shared" si="23"/>
        <v>#REF!</v>
      </c>
      <c r="DE16" s="2067" t="e">
        <f t="shared" si="23"/>
        <v>#REF!</v>
      </c>
      <c r="DF16" s="2067" t="e">
        <f t="shared" si="23"/>
        <v>#REF!</v>
      </c>
      <c r="DG16" s="2067" t="e">
        <f t="shared" si="23"/>
        <v>#REF!</v>
      </c>
      <c r="DH16" s="2067">
        <f t="shared" si="23"/>
        <v>14440</v>
      </c>
      <c r="DI16" s="2067" t="e">
        <f t="shared" si="23"/>
        <v>#REF!</v>
      </c>
      <c r="DJ16" s="2067" t="e">
        <f t="shared" si="23"/>
        <v>#REF!</v>
      </c>
      <c r="DK16" s="2067" t="e">
        <f t="shared" si="23"/>
        <v>#REF!</v>
      </c>
      <c r="DL16" s="2067">
        <f t="shared" si="23"/>
        <v>18430</v>
      </c>
      <c r="DM16" s="2067">
        <f t="shared" si="23"/>
        <v>20215</v>
      </c>
      <c r="DN16" s="2067">
        <f t="shared" si="23"/>
        <v>18430</v>
      </c>
      <c r="DO16" s="2067">
        <f t="shared" si="23"/>
        <v>20215</v>
      </c>
      <c r="DP16" s="2067">
        <f>DP10</f>
        <v>34075</v>
      </c>
      <c r="DQ16" s="2067"/>
      <c r="DR16" s="2067"/>
      <c r="DS16" s="2067">
        <f t="shared" si="23"/>
        <v>18430</v>
      </c>
      <c r="DT16" s="2067" t="e">
        <f t="shared" ref="DT16:EF16" si="24">DT10</f>
        <v>#REF!</v>
      </c>
      <c r="DU16" s="2067" t="e">
        <f t="shared" si="24"/>
        <v>#REF!</v>
      </c>
      <c r="DV16" s="2067" t="e">
        <f t="shared" si="24"/>
        <v>#REF!</v>
      </c>
      <c r="DW16" s="2067" t="e">
        <f t="shared" si="24"/>
        <v>#REF!</v>
      </c>
      <c r="DX16" s="2067" t="e">
        <f t="shared" si="24"/>
        <v>#REF!</v>
      </c>
      <c r="DY16" s="2067" t="e">
        <f t="shared" si="24"/>
        <v>#REF!</v>
      </c>
      <c r="DZ16" s="2067" t="e">
        <f t="shared" si="24"/>
        <v>#REF!</v>
      </c>
      <c r="EA16" s="2067" t="e">
        <f t="shared" si="24"/>
        <v>#REF!</v>
      </c>
      <c r="EB16" s="2067" t="e">
        <f t="shared" si="24"/>
        <v>#REF!</v>
      </c>
      <c r="EC16" s="2067" t="e">
        <f t="shared" si="24"/>
        <v>#REF!</v>
      </c>
      <c r="ED16" s="2067" t="e">
        <f t="shared" si="24"/>
        <v>#REF!</v>
      </c>
      <c r="EE16" s="2067" t="e">
        <f t="shared" si="24"/>
        <v>#REF!</v>
      </c>
      <c r="EF16" s="2067" t="e">
        <f t="shared" si="24"/>
        <v>#REF!</v>
      </c>
      <c r="EG16" s="2067"/>
      <c r="EH16" s="2067"/>
      <c r="EI16" s="2067"/>
      <c r="EJ16" s="2067"/>
      <c r="EK16" s="2067"/>
      <c r="EL16" s="2067"/>
      <c r="EM16" s="2067"/>
      <c r="EN16" s="2067"/>
      <c r="EO16" s="2067"/>
      <c r="EP16" s="2067"/>
      <c r="EQ16" s="2067"/>
      <c r="ER16" s="2067"/>
      <c r="ES16" s="2067"/>
      <c r="ET16" s="2067"/>
      <c r="EU16" s="2067"/>
      <c r="EV16" s="2067"/>
      <c r="EW16" s="2067"/>
      <c r="EX16" s="2067"/>
      <c r="EY16" s="2067"/>
      <c r="EZ16" s="2067"/>
      <c r="FA16" s="2067"/>
      <c r="FB16" s="2067"/>
      <c r="FC16" s="2067"/>
      <c r="FD16" s="2067"/>
      <c r="FE16" s="2066"/>
      <c r="FF16" s="2066"/>
      <c r="FG16" s="2066"/>
      <c r="FH16" s="2066"/>
      <c r="FI16" s="2066"/>
      <c r="FJ16" s="2066"/>
    </row>
    <row r="17" spans="1:166" s="1553" customFormat="1" ht="15.75" hidden="1" customHeight="1" outlineLevel="2">
      <c r="A17" s="1552">
        <v>14</v>
      </c>
      <c r="B17" s="1554" t="s">
        <v>206</v>
      </c>
      <c r="C17" s="1488" t="s">
        <v>1425</v>
      </c>
      <c r="D17" s="1554" t="s">
        <v>206</v>
      </c>
      <c r="E17" s="1488" t="s">
        <v>276</v>
      </c>
      <c r="F17" s="1488" t="e">
        <f>Покрытия_ПВХ!#REF!</f>
        <v>#REF!</v>
      </c>
      <c r="G17" s="1488" t="s">
        <v>1774</v>
      </c>
      <c r="H17" s="2067"/>
      <c r="I17" s="2067"/>
      <c r="J17" s="2067"/>
      <c r="K17" s="2067"/>
      <c r="L17" s="2067"/>
      <c r="M17" s="2067"/>
      <c r="N17" s="2067"/>
      <c r="O17" s="2067"/>
      <c r="P17" s="2067"/>
      <c r="Q17" s="2067"/>
      <c r="R17" s="2067"/>
      <c r="S17" s="2067"/>
      <c r="T17" s="2067"/>
      <c r="U17" s="2067"/>
      <c r="V17" s="2067"/>
      <c r="W17" s="2067"/>
      <c r="X17" s="2067"/>
      <c r="Y17" s="2067"/>
      <c r="Z17" s="2067"/>
      <c r="AA17" s="2067"/>
      <c r="AB17" s="2067"/>
      <c r="AC17" s="2067"/>
      <c r="AD17" s="2067"/>
      <c r="AE17" s="2067"/>
      <c r="AF17" s="2067"/>
      <c r="AG17" s="2067"/>
      <c r="AH17" s="2067"/>
      <c r="AI17" s="2067"/>
      <c r="AJ17" s="2067"/>
      <c r="AK17" s="2067"/>
      <c r="AL17" s="2067"/>
      <c r="AM17" s="2067"/>
      <c r="AN17" s="2067"/>
      <c r="AO17" s="2067"/>
      <c r="AP17" s="2067"/>
      <c r="AQ17" s="2067"/>
      <c r="AR17" s="2067"/>
      <c r="AS17" s="2067"/>
      <c r="AT17" s="2067"/>
      <c r="AU17" s="2067"/>
      <c r="AV17" s="2067"/>
      <c r="AW17" s="2067"/>
      <c r="AX17" s="2067"/>
      <c r="AY17" s="2067"/>
      <c r="AZ17" s="2067"/>
      <c r="BA17" s="2067"/>
      <c r="BB17" s="2067"/>
      <c r="BC17" s="2067"/>
      <c r="BD17" s="2067"/>
      <c r="BE17" s="2067"/>
      <c r="BF17" s="2067"/>
      <c r="BG17" s="2067"/>
      <c r="BH17" s="2067"/>
      <c r="BI17" s="2067"/>
      <c r="BJ17" s="2067"/>
      <c r="BK17" s="2067"/>
      <c r="BL17" s="2067"/>
      <c r="BM17" s="2067"/>
      <c r="BN17" s="2067"/>
      <c r="BO17" s="2067"/>
      <c r="BP17" s="2067"/>
      <c r="BQ17" s="2067" t="e">
        <f t="shared" ref="BQ17:DS17" si="25">BQ10</f>
        <v>#REF!</v>
      </c>
      <c r="BR17" s="2067" t="e">
        <f t="shared" si="25"/>
        <v>#REF!</v>
      </c>
      <c r="BS17" s="2067" t="e">
        <f t="shared" si="25"/>
        <v>#REF!</v>
      </c>
      <c r="BT17" s="2067" t="e">
        <f t="shared" si="25"/>
        <v>#REF!</v>
      </c>
      <c r="BU17" s="2067" t="e">
        <f t="shared" si="25"/>
        <v>#REF!</v>
      </c>
      <c r="BV17" s="2067" t="e">
        <f t="shared" si="25"/>
        <v>#REF!</v>
      </c>
      <c r="BW17" s="2067" t="e">
        <f t="shared" si="25"/>
        <v>#REF!</v>
      </c>
      <c r="BX17" s="2067" t="e">
        <f t="shared" si="25"/>
        <v>#REF!</v>
      </c>
      <c r="BY17" s="2067" t="e">
        <f t="shared" si="25"/>
        <v>#REF!</v>
      </c>
      <c r="BZ17" s="2067" t="e">
        <f t="shared" si="25"/>
        <v>#REF!</v>
      </c>
      <c r="CA17" s="2067" t="e">
        <f t="shared" si="25"/>
        <v>#REF!</v>
      </c>
      <c r="CB17" s="2067" t="e">
        <f t="shared" si="25"/>
        <v>#REF!</v>
      </c>
      <c r="CC17" s="2067" t="e">
        <f t="shared" si="25"/>
        <v>#REF!</v>
      </c>
      <c r="CD17" s="2067" t="e">
        <f t="shared" si="25"/>
        <v>#REF!</v>
      </c>
      <c r="CE17" s="2067" t="e">
        <f t="shared" si="25"/>
        <v>#REF!</v>
      </c>
      <c r="CF17" s="2067" t="e">
        <f t="shared" si="25"/>
        <v>#REF!</v>
      </c>
      <c r="CG17" s="2067" t="e">
        <f t="shared" si="25"/>
        <v>#REF!</v>
      </c>
      <c r="CH17" s="2067" t="e">
        <f t="shared" si="25"/>
        <v>#REF!</v>
      </c>
      <c r="CI17" s="2067" t="e">
        <f t="shared" si="25"/>
        <v>#REF!</v>
      </c>
      <c r="CJ17" s="2067" t="e">
        <f t="shared" si="25"/>
        <v>#REF!</v>
      </c>
      <c r="CK17" s="2067"/>
      <c r="CL17" s="2067"/>
      <c r="CM17" s="2067"/>
      <c r="CN17" s="2067"/>
      <c r="CO17" s="2067" t="e">
        <f t="shared" si="25"/>
        <v>#REF!</v>
      </c>
      <c r="CP17" s="2067" t="e">
        <f t="shared" si="25"/>
        <v>#REF!</v>
      </c>
      <c r="CQ17" s="2067"/>
      <c r="CR17" s="2067"/>
      <c r="CS17" s="2067" t="e">
        <f>CS10</f>
        <v>#REF!</v>
      </c>
      <c r="CT17" s="2067"/>
      <c r="CU17" s="2067" t="e">
        <f>CU10</f>
        <v>#REF!</v>
      </c>
      <c r="CV17" s="2067" t="e">
        <f t="shared" si="25"/>
        <v>#REF!</v>
      </c>
      <c r="CW17" s="2067" t="e">
        <f t="shared" si="25"/>
        <v>#REF!</v>
      </c>
      <c r="CX17" s="2067" t="e">
        <f t="shared" si="25"/>
        <v>#REF!</v>
      </c>
      <c r="CY17" s="2067" t="e">
        <f t="shared" si="25"/>
        <v>#REF!</v>
      </c>
      <c r="CZ17" s="2067" t="e">
        <f t="shared" si="25"/>
        <v>#REF!</v>
      </c>
      <c r="DA17" s="2067" t="e">
        <f>DA10</f>
        <v>#REF!</v>
      </c>
      <c r="DB17" s="2067" t="e">
        <f t="shared" si="25"/>
        <v>#REF!</v>
      </c>
      <c r="DC17" s="2067" t="e">
        <f t="shared" si="25"/>
        <v>#REF!</v>
      </c>
      <c r="DD17" s="2067" t="e">
        <f t="shared" si="25"/>
        <v>#REF!</v>
      </c>
      <c r="DE17" s="2067" t="e">
        <f t="shared" si="25"/>
        <v>#REF!</v>
      </c>
      <c r="DF17" s="2067" t="e">
        <f t="shared" si="25"/>
        <v>#REF!</v>
      </c>
      <c r="DG17" s="2067" t="e">
        <f t="shared" si="25"/>
        <v>#REF!</v>
      </c>
      <c r="DH17" s="2067">
        <f t="shared" si="25"/>
        <v>14440</v>
      </c>
      <c r="DI17" s="2067" t="e">
        <f t="shared" si="25"/>
        <v>#REF!</v>
      </c>
      <c r="DJ17" s="2067" t="e">
        <f t="shared" si="25"/>
        <v>#REF!</v>
      </c>
      <c r="DK17" s="2067" t="e">
        <f t="shared" si="25"/>
        <v>#REF!</v>
      </c>
      <c r="DL17" s="2067">
        <f t="shared" si="25"/>
        <v>18430</v>
      </c>
      <c r="DM17" s="2067">
        <f t="shared" si="25"/>
        <v>20215</v>
      </c>
      <c r="DN17" s="2067">
        <f t="shared" si="25"/>
        <v>18430</v>
      </c>
      <c r="DO17" s="2067">
        <f t="shared" si="25"/>
        <v>20215</v>
      </c>
      <c r="DP17" s="2067">
        <f>DP10</f>
        <v>34075</v>
      </c>
      <c r="DQ17" s="2067"/>
      <c r="DR17" s="2067"/>
      <c r="DS17" s="2067">
        <f t="shared" si="25"/>
        <v>18430</v>
      </c>
      <c r="DT17" s="2067" t="e">
        <f t="shared" ref="DT17:EF17" si="26">DT10</f>
        <v>#REF!</v>
      </c>
      <c r="DU17" s="2067" t="e">
        <f t="shared" si="26"/>
        <v>#REF!</v>
      </c>
      <c r="DV17" s="2067" t="e">
        <f t="shared" si="26"/>
        <v>#REF!</v>
      </c>
      <c r="DW17" s="2067" t="e">
        <f t="shared" si="26"/>
        <v>#REF!</v>
      </c>
      <c r="DX17" s="2067" t="e">
        <f t="shared" si="26"/>
        <v>#REF!</v>
      </c>
      <c r="DY17" s="2067" t="e">
        <f t="shared" si="26"/>
        <v>#REF!</v>
      </c>
      <c r="DZ17" s="2067" t="e">
        <f t="shared" si="26"/>
        <v>#REF!</v>
      </c>
      <c r="EA17" s="2067" t="e">
        <f t="shared" si="26"/>
        <v>#REF!</v>
      </c>
      <c r="EB17" s="2067" t="e">
        <f t="shared" si="26"/>
        <v>#REF!</v>
      </c>
      <c r="EC17" s="2067" t="e">
        <f t="shared" si="26"/>
        <v>#REF!</v>
      </c>
      <c r="ED17" s="2067" t="e">
        <f t="shared" si="26"/>
        <v>#REF!</v>
      </c>
      <c r="EE17" s="2067" t="e">
        <f t="shared" si="26"/>
        <v>#REF!</v>
      </c>
      <c r="EF17" s="2067" t="e">
        <f t="shared" si="26"/>
        <v>#REF!</v>
      </c>
      <c r="EG17" s="2067"/>
      <c r="EH17" s="2067"/>
      <c r="EI17" s="2067"/>
      <c r="EJ17" s="2067"/>
      <c r="EK17" s="2067"/>
      <c r="EL17" s="2067"/>
      <c r="EM17" s="2067"/>
      <c r="EN17" s="2067"/>
      <c r="EO17" s="2067"/>
      <c r="EP17" s="2067"/>
      <c r="EQ17" s="2067"/>
      <c r="ER17" s="2067"/>
      <c r="ES17" s="2067"/>
      <c r="ET17" s="2067"/>
      <c r="EU17" s="2067"/>
      <c r="EV17" s="2067"/>
      <c r="EW17" s="2067"/>
      <c r="EX17" s="2067"/>
      <c r="EY17" s="2067"/>
      <c r="EZ17" s="2067"/>
      <c r="FA17" s="2067"/>
      <c r="FB17" s="2067"/>
      <c r="FC17" s="2067"/>
      <c r="FD17" s="2067"/>
      <c r="FE17" s="2066"/>
      <c r="FF17" s="2066"/>
      <c r="FG17" s="2066"/>
      <c r="FH17" s="2066"/>
      <c r="FI17" s="2066"/>
      <c r="FJ17" s="2066"/>
    </row>
    <row r="18" spans="1:166" s="1553" customFormat="1" ht="15.75" hidden="1" customHeight="1" outlineLevel="2">
      <c r="A18" s="1549">
        <v>15</v>
      </c>
      <c r="B18" s="1554" t="s">
        <v>206</v>
      </c>
      <c r="C18" s="1488" t="s">
        <v>1425</v>
      </c>
      <c r="D18" s="1554" t="s">
        <v>206</v>
      </c>
      <c r="E18" s="1488" t="s">
        <v>276</v>
      </c>
      <c r="F18" s="1488" t="str">
        <f>Покрытия_ПВХ!E13</f>
        <v>Кедр шоколад</v>
      </c>
      <c r="G18" s="1488" t="s">
        <v>1776</v>
      </c>
      <c r="H18" s="2067"/>
      <c r="I18" s="2067"/>
      <c r="J18" s="2067"/>
      <c r="K18" s="2067"/>
      <c r="L18" s="2067"/>
      <c r="M18" s="2067"/>
      <c r="N18" s="2067"/>
      <c r="O18" s="2067"/>
      <c r="P18" s="2067"/>
      <c r="Q18" s="2067"/>
      <c r="R18" s="2067"/>
      <c r="S18" s="2067"/>
      <c r="T18" s="2067"/>
      <c r="U18" s="2067"/>
      <c r="V18" s="2067"/>
      <c r="W18" s="2067"/>
      <c r="X18" s="2067"/>
      <c r="Y18" s="2067"/>
      <c r="Z18" s="2067"/>
      <c r="AA18" s="2067"/>
      <c r="AB18" s="2067"/>
      <c r="AC18" s="2067"/>
      <c r="AD18" s="2067"/>
      <c r="AE18" s="2067"/>
      <c r="AF18" s="2067"/>
      <c r="AG18" s="2067"/>
      <c r="AH18" s="2067"/>
      <c r="AI18" s="2067"/>
      <c r="AJ18" s="2067"/>
      <c r="AK18" s="2067"/>
      <c r="AL18" s="2067"/>
      <c r="AM18" s="2067"/>
      <c r="AN18" s="2067"/>
      <c r="AO18" s="2067"/>
      <c r="AP18" s="2067"/>
      <c r="AQ18" s="2067"/>
      <c r="AR18" s="2067"/>
      <c r="AS18" s="2067"/>
      <c r="AT18" s="2067"/>
      <c r="AU18" s="2067"/>
      <c r="AV18" s="2067"/>
      <c r="AW18" s="2067"/>
      <c r="AX18" s="2067"/>
      <c r="AY18" s="2067"/>
      <c r="AZ18" s="2067"/>
      <c r="BA18" s="2067"/>
      <c r="BB18" s="2067"/>
      <c r="BC18" s="2067"/>
      <c r="BD18" s="2067"/>
      <c r="BE18" s="2067"/>
      <c r="BF18" s="2067"/>
      <c r="BG18" s="2067"/>
      <c r="BH18" s="2067"/>
      <c r="BI18" s="2067"/>
      <c r="BJ18" s="2067"/>
      <c r="BK18" s="2067"/>
      <c r="BL18" s="2067"/>
      <c r="BM18" s="2067"/>
      <c r="BN18" s="2067"/>
      <c r="BO18" s="2067"/>
      <c r="BP18" s="2067"/>
      <c r="BQ18" s="2067" t="e">
        <f t="shared" ref="BQ18:DS18" si="27">BQ10</f>
        <v>#REF!</v>
      </c>
      <c r="BR18" s="2067" t="e">
        <f t="shared" si="27"/>
        <v>#REF!</v>
      </c>
      <c r="BS18" s="2067" t="e">
        <f t="shared" si="27"/>
        <v>#REF!</v>
      </c>
      <c r="BT18" s="2067" t="e">
        <f t="shared" si="27"/>
        <v>#REF!</v>
      </c>
      <c r="BU18" s="2067" t="e">
        <f t="shared" si="27"/>
        <v>#REF!</v>
      </c>
      <c r="BV18" s="2067" t="e">
        <f t="shared" si="27"/>
        <v>#REF!</v>
      </c>
      <c r="BW18" s="2067" t="e">
        <f t="shared" si="27"/>
        <v>#REF!</v>
      </c>
      <c r="BX18" s="2067" t="e">
        <f t="shared" si="27"/>
        <v>#REF!</v>
      </c>
      <c r="BY18" s="2067" t="e">
        <f t="shared" si="27"/>
        <v>#REF!</v>
      </c>
      <c r="BZ18" s="2067" t="e">
        <f t="shared" si="27"/>
        <v>#REF!</v>
      </c>
      <c r="CA18" s="2067" t="e">
        <f t="shared" si="27"/>
        <v>#REF!</v>
      </c>
      <c r="CB18" s="2067" t="e">
        <f t="shared" si="27"/>
        <v>#REF!</v>
      </c>
      <c r="CC18" s="2067" t="e">
        <f t="shared" si="27"/>
        <v>#REF!</v>
      </c>
      <c r="CD18" s="2067" t="e">
        <f t="shared" si="27"/>
        <v>#REF!</v>
      </c>
      <c r="CE18" s="2067" t="e">
        <f t="shared" si="27"/>
        <v>#REF!</v>
      </c>
      <c r="CF18" s="2067" t="e">
        <f t="shared" si="27"/>
        <v>#REF!</v>
      </c>
      <c r="CG18" s="2067" t="e">
        <f t="shared" si="27"/>
        <v>#REF!</v>
      </c>
      <c r="CH18" s="2067" t="e">
        <f t="shared" si="27"/>
        <v>#REF!</v>
      </c>
      <c r="CI18" s="2067" t="e">
        <f t="shared" si="27"/>
        <v>#REF!</v>
      </c>
      <c r="CJ18" s="2067" t="e">
        <f t="shared" si="27"/>
        <v>#REF!</v>
      </c>
      <c r="CK18" s="2067"/>
      <c r="CL18" s="2067"/>
      <c r="CM18" s="2067"/>
      <c r="CN18" s="2067"/>
      <c r="CO18" s="2067" t="e">
        <f t="shared" si="27"/>
        <v>#REF!</v>
      </c>
      <c r="CP18" s="2067" t="e">
        <f t="shared" si="27"/>
        <v>#REF!</v>
      </c>
      <c r="CQ18" s="2067"/>
      <c r="CR18" s="2067"/>
      <c r="CS18" s="2067" t="e">
        <f>CS10</f>
        <v>#REF!</v>
      </c>
      <c r="CT18" s="2067"/>
      <c r="CU18" s="2067" t="e">
        <f>CU10</f>
        <v>#REF!</v>
      </c>
      <c r="CV18" s="2067" t="e">
        <f t="shared" si="27"/>
        <v>#REF!</v>
      </c>
      <c r="CW18" s="2067" t="e">
        <f t="shared" si="27"/>
        <v>#REF!</v>
      </c>
      <c r="CX18" s="2067" t="e">
        <f t="shared" si="27"/>
        <v>#REF!</v>
      </c>
      <c r="CY18" s="2067" t="e">
        <f t="shared" si="27"/>
        <v>#REF!</v>
      </c>
      <c r="CZ18" s="2067" t="e">
        <f t="shared" si="27"/>
        <v>#REF!</v>
      </c>
      <c r="DA18" s="2067" t="e">
        <f>DA10</f>
        <v>#REF!</v>
      </c>
      <c r="DB18" s="2067" t="e">
        <f t="shared" si="27"/>
        <v>#REF!</v>
      </c>
      <c r="DC18" s="2067" t="e">
        <f t="shared" si="27"/>
        <v>#REF!</v>
      </c>
      <c r="DD18" s="2067" t="e">
        <f t="shared" si="27"/>
        <v>#REF!</v>
      </c>
      <c r="DE18" s="2067" t="e">
        <f t="shared" si="27"/>
        <v>#REF!</v>
      </c>
      <c r="DF18" s="2067" t="e">
        <f t="shared" si="27"/>
        <v>#REF!</v>
      </c>
      <c r="DG18" s="2067" t="e">
        <f t="shared" si="27"/>
        <v>#REF!</v>
      </c>
      <c r="DH18" s="2067">
        <f t="shared" si="27"/>
        <v>14440</v>
      </c>
      <c r="DI18" s="2067" t="e">
        <f t="shared" si="27"/>
        <v>#REF!</v>
      </c>
      <c r="DJ18" s="2067" t="e">
        <f t="shared" si="27"/>
        <v>#REF!</v>
      </c>
      <c r="DK18" s="2067" t="e">
        <f t="shared" si="27"/>
        <v>#REF!</v>
      </c>
      <c r="DL18" s="2067">
        <f t="shared" si="27"/>
        <v>18430</v>
      </c>
      <c r="DM18" s="2067">
        <f t="shared" si="27"/>
        <v>20215</v>
      </c>
      <c r="DN18" s="2067">
        <f t="shared" si="27"/>
        <v>18430</v>
      </c>
      <c r="DO18" s="2067">
        <f t="shared" si="27"/>
        <v>20215</v>
      </c>
      <c r="DP18" s="2067">
        <f>DP10</f>
        <v>34075</v>
      </c>
      <c r="DQ18" s="2067"/>
      <c r="DR18" s="2067"/>
      <c r="DS18" s="2067">
        <f t="shared" si="27"/>
        <v>18430</v>
      </c>
      <c r="DT18" s="2067" t="e">
        <f t="shared" ref="DT18:EF18" si="28">DT10</f>
        <v>#REF!</v>
      </c>
      <c r="DU18" s="2067" t="e">
        <f t="shared" si="28"/>
        <v>#REF!</v>
      </c>
      <c r="DV18" s="2067" t="e">
        <f t="shared" si="28"/>
        <v>#REF!</v>
      </c>
      <c r="DW18" s="2067" t="e">
        <f t="shared" si="28"/>
        <v>#REF!</v>
      </c>
      <c r="DX18" s="2067" t="e">
        <f t="shared" si="28"/>
        <v>#REF!</v>
      </c>
      <c r="DY18" s="2067" t="e">
        <f t="shared" si="28"/>
        <v>#REF!</v>
      </c>
      <c r="DZ18" s="2067" t="e">
        <f t="shared" si="28"/>
        <v>#REF!</v>
      </c>
      <c r="EA18" s="2067" t="e">
        <f t="shared" si="28"/>
        <v>#REF!</v>
      </c>
      <c r="EB18" s="2067" t="e">
        <f t="shared" si="28"/>
        <v>#REF!</v>
      </c>
      <c r="EC18" s="2067" t="e">
        <f t="shared" si="28"/>
        <v>#REF!</v>
      </c>
      <c r="ED18" s="2067" t="e">
        <f t="shared" si="28"/>
        <v>#REF!</v>
      </c>
      <c r="EE18" s="2067" t="e">
        <f t="shared" si="28"/>
        <v>#REF!</v>
      </c>
      <c r="EF18" s="2067" t="e">
        <f t="shared" si="28"/>
        <v>#REF!</v>
      </c>
      <c r="EG18" s="2067"/>
      <c r="EH18" s="2067"/>
      <c r="EI18" s="2067"/>
      <c r="EJ18" s="2067"/>
      <c r="EK18" s="2067"/>
      <c r="EL18" s="2067"/>
      <c r="EM18" s="2067"/>
      <c r="EN18" s="2067"/>
      <c r="EO18" s="2067"/>
      <c r="EP18" s="2067"/>
      <c r="EQ18" s="2067"/>
      <c r="ER18" s="2067"/>
      <c r="ES18" s="2067"/>
      <c r="ET18" s="2067"/>
      <c r="EU18" s="2067"/>
      <c r="EV18" s="2067"/>
      <c r="EW18" s="2067"/>
      <c r="EX18" s="2067"/>
      <c r="EY18" s="2067"/>
      <c r="EZ18" s="2067"/>
      <c r="FA18" s="2067"/>
      <c r="FB18" s="2067"/>
      <c r="FC18" s="2067"/>
      <c r="FD18" s="2067"/>
      <c r="FE18" s="2066"/>
      <c r="FF18" s="2066"/>
      <c r="FG18" s="2066"/>
      <c r="FH18" s="2066"/>
      <c r="FI18" s="2066"/>
      <c r="FJ18" s="2066"/>
    </row>
    <row r="19" spans="1:166" s="1553" customFormat="1" ht="15.75" hidden="1" customHeight="1" outlineLevel="2">
      <c r="A19" s="1552">
        <v>16</v>
      </c>
      <c r="B19" s="1554" t="s">
        <v>206</v>
      </c>
      <c r="C19" s="1488" t="s">
        <v>1425</v>
      </c>
      <c r="D19" s="1554" t="s">
        <v>206</v>
      </c>
      <c r="E19" s="1488" t="s">
        <v>276</v>
      </c>
      <c r="F19" s="1488" t="str">
        <f>Покрытия_ПВХ!E14</f>
        <v>Миндаль</v>
      </c>
      <c r="G19" s="1488" t="s">
        <v>75</v>
      </c>
      <c r="H19" s="2067"/>
      <c r="I19" s="2067"/>
      <c r="J19" s="2067"/>
      <c r="K19" s="2067"/>
      <c r="L19" s="2067"/>
      <c r="M19" s="2067"/>
      <c r="N19" s="2067"/>
      <c r="O19" s="2067"/>
      <c r="P19" s="2067"/>
      <c r="Q19" s="2067"/>
      <c r="R19" s="2067"/>
      <c r="S19" s="2067"/>
      <c r="T19" s="2067"/>
      <c r="U19" s="2067"/>
      <c r="V19" s="2067"/>
      <c r="W19" s="2067"/>
      <c r="X19" s="2067"/>
      <c r="Y19" s="2067"/>
      <c r="Z19" s="2067"/>
      <c r="AA19" s="2067"/>
      <c r="AB19" s="2067"/>
      <c r="AC19" s="2067"/>
      <c r="AD19" s="2067"/>
      <c r="AE19" s="2067"/>
      <c r="AF19" s="2067"/>
      <c r="AG19" s="2067"/>
      <c r="AH19" s="2067"/>
      <c r="AI19" s="2067"/>
      <c r="AJ19" s="2067"/>
      <c r="AK19" s="2067"/>
      <c r="AL19" s="2067"/>
      <c r="AM19" s="2067"/>
      <c r="AN19" s="2067"/>
      <c r="AO19" s="2067"/>
      <c r="AP19" s="2067"/>
      <c r="AQ19" s="2067"/>
      <c r="AR19" s="2067"/>
      <c r="AS19" s="2067"/>
      <c r="AT19" s="2067"/>
      <c r="AU19" s="2067"/>
      <c r="AV19" s="2067"/>
      <c r="AW19" s="2067"/>
      <c r="AX19" s="2067"/>
      <c r="AY19" s="2067"/>
      <c r="AZ19" s="2067"/>
      <c r="BA19" s="2067"/>
      <c r="BB19" s="2067"/>
      <c r="BC19" s="2067"/>
      <c r="BD19" s="2067"/>
      <c r="BE19" s="2067"/>
      <c r="BF19" s="2067"/>
      <c r="BG19" s="2067"/>
      <c r="BH19" s="2067"/>
      <c r="BI19" s="2067"/>
      <c r="BJ19" s="2067"/>
      <c r="BK19" s="2067"/>
      <c r="BL19" s="2067"/>
      <c r="BM19" s="2067"/>
      <c r="BN19" s="2067"/>
      <c r="BO19" s="2067"/>
      <c r="BP19" s="2067"/>
      <c r="BQ19" s="2067" t="e">
        <f t="shared" ref="BQ19:DS19" si="29">BQ10</f>
        <v>#REF!</v>
      </c>
      <c r="BR19" s="2067" t="e">
        <f t="shared" si="29"/>
        <v>#REF!</v>
      </c>
      <c r="BS19" s="2067" t="e">
        <f t="shared" si="29"/>
        <v>#REF!</v>
      </c>
      <c r="BT19" s="2067" t="e">
        <f t="shared" si="29"/>
        <v>#REF!</v>
      </c>
      <c r="BU19" s="2067" t="e">
        <f t="shared" si="29"/>
        <v>#REF!</v>
      </c>
      <c r="BV19" s="2067" t="e">
        <f t="shared" si="29"/>
        <v>#REF!</v>
      </c>
      <c r="BW19" s="2067" t="e">
        <f t="shared" si="29"/>
        <v>#REF!</v>
      </c>
      <c r="BX19" s="2067" t="e">
        <f t="shared" si="29"/>
        <v>#REF!</v>
      </c>
      <c r="BY19" s="2067" t="e">
        <f t="shared" si="29"/>
        <v>#REF!</v>
      </c>
      <c r="BZ19" s="2067" t="e">
        <f t="shared" si="29"/>
        <v>#REF!</v>
      </c>
      <c r="CA19" s="2067" t="e">
        <f t="shared" si="29"/>
        <v>#REF!</v>
      </c>
      <c r="CB19" s="2067" t="e">
        <f t="shared" si="29"/>
        <v>#REF!</v>
      </c>
      <c r="CC19" s="2067" t="e">
        <f t="shared" si="29"/>
        <v>#REF!</v>
      </c>
      <c r="CD19" s="2067" t="e">
        <f t="shared" si="29"/>
        <v>#REF!</v>
      </c>
      <c r="CE19" s="2067" t="e">
        <f t="shared" si="29"/>
        <v>#REF!</v>
      </c>
      <c r="CF19" s="2067" t="e">
        <f t="shared" si="29"/>
        <v>#REF!</v>
      </c>
      <c r="CG19" s="2067" t="e">
        <f t="shared" si="29"/>
        <v>#REF!</v>
      </c>
      <c r="CH19" s="2067" t="e">
        <f t="shared" si="29"/>
        <v>#REF!</v>
      </c>
      <c r="CI19" s="2067" t="e">
        <f t="shared" si="29"/>
        <v>#REF!</v>
      </c>
      <c r="CJ19" s="2067" t="e">
        <f t="shared" si="29"/>
        <v>#REF!</v>
      </c>
      <c r="CK19" s="2067"/>
      <c r="CL19" s="2067"/>
      <c r="CM19" s="2067"/>
      <c r="CN19" s="2067"/>
      <c r="CO19" s="2067" t="e">
        <f t="shared" si="29"/>
        <v>#REF!</v>
      </c>
      <c r="CP19" s="2067" t="e">
        <f t="shared" si="29"/>
        <v>#REF!</v>
      </c>
      <c r="CQ19" s="2067"/>
      <c r="CR19" s="2067"/>
      <c r="CS19" s="2067" t="e">
        <f>CS10</f>
        <v>#REF!</v>
      </c>
      <c r="CT19" s="2067"/>
      <c r="CU19" s="2067" t="e">
        <f>CU10</f>
        <v>#REF!</v>
      </c>
      <c r="CV19" s="2067" t="e">
        <f t="shared" si="29"/>
        <v>#REF!</v>
      </c>
      <c r="CW19" s="2067" t="e">
        <f t="shared" si="29"/>
        <v>#REF!</v>
      </c>
      <c r="CX19" s="2067" t="e">
        <f t="shared" si="29"/>
        <v>#REF!</v>
      </c>
      <c r="CY19" s="2067" t="e">
        <f t="shared" si="29"/>
        <v>#REF!</v>
      </c>
      <c r="CZ19" s="2067" t="e">
        <f t="shared" si="29"/>
        <v>#REF!</v>
      </c>
      <c r="DA19" s="2067" t="e">
        <f>DA10</f>
        <v>#REF!</v>
      </c>
      <c r="DB19" s="2067" t="e">
        <f t="shared" si="29"/>
        <v>#REF!</v>
      </c>
      <c r="DC19" s="2067" t="e">
        <f t="shared" si="29"/>
        <v>#REF!</v>
      </c>
      <c r="DD19" s="2067" t="e">
        <f t="shared" si="29"/>
        <v>#REF!</v>
      </c>
      <c r="DE19" s="2067" t="e">
        <f t="shared" si="29"/>
        <v>#REF!</v>
      </c>
      <c r="DF19" s="2067" t="e">
        <f t="shared" si="29"/>
        <v>#REF!</v>
      </c>
      <c r="DG19" s="2067" t="e">
        <f t="shared" si="29"/>
        <v>#REF!</v>
      </c>
      <c r="DH19" s="2067">
        <f t="shared" si="29"/>
        <v>14440</v>
      </c>
      <c r="DI19" s="2067" t="e">
        <f t="shared" si="29"/>
        <v>#REF!</v>
      </c>
      <c r="DJ19" s="2067" t="e">
        <f t="shared" si="29"/>
        <v>#REF!</v>
      </c>
      <c r="DK19" s="2067" t="e">
        <f t="shared" si="29"/>
        <v>#REF!</v>
      </c>
      <c r="DL19" s="2067">
        <f t="shared" si="29"/>
        <v>18430</v>
      </c>
      <c r="DM19" s="2067">
        <f t="shared" si="29"/>
        <v>20215</v>
      </c>
      <c r="DN19" s="2067">
        <f t="shared" si="29"/>
        <v>18430</v>
      </c>
      <c r="DO19" s="2067">
        <f t="shared" si="29"/>
        <v>20215</v>
      </c>
      <c r="DP19" s="2067">
        <f>DP10</f>
        <v>34075</v>
      </c>
      <c r="DQ19" s="2067"/>
      <c r="DR19" s="2067"/>
      <c r="DS19" s="2067">
        <f t="shared" si="29"/>
        <v>18430</v>
      </c>
      <c r="DT19" s="2067" t="e">
        <f t="shared" ref="DT19:EF19" si="30">DT10</f>
        <v>#REF!</v>
      </c>
      <c r="DU19" s="2067" t="e">
        <f t="shared" si="30"/>
        <v>#REF!</v>
      </c>
      <c r="DV19" s="2067" t="e">
        <f t="shared" si="30"/>
        <v>#REF!</v>
      </c>
      <c r="DW19" s="2067" t="e">
        <f t="shared" si="30"/>
        <v>#REF!</v>
      </c>
      <c r="DX19" s="2067" t="e">
        <f t="shared" si="30"/>
        <v>#REF!</v>
      </c>
      <c r="DY19" s="2067" t="e">
        <f t="shared" si="30"/>
        <v>#REF!</v>
      </c>
      <c r="DZ19" s="2067" t="e">
        <f t="shared" si="30"/>
        <v>#REF!</v>
      </c>
      <c r="EA19" s="2067" t="e">
        <f t="shared" si="30"/>
        <v>#REF!</v>
      </c>
      <c r="EB19" s="2067" t="e">
        <f t="shared" si="30"/>
        <v>#REF!</v>
      </c>
      <c r="EC19" s="2067" t="e">
        <f t="shared" si="30"/>
        <v>#REF!</v>
      </c>
      <c r="ED19" s="2067" t="e">
        <f t="shared" si="30"/>
        <v>#REF!</v>
      </c>
      <c r="EE19" s="2067" t="e">
        <f t="shared" si="30"/>
        <v>#REF!</v>
      </c>
      <c r="EF19" s="2067" t="e">
        <f t="shared" si="30"/>
        <v>#REF!</v>
      </c>
      <c r="EG19" s="2067"/>
      <c r="EH19" s="2067"/>
      <c r="EI19" s="2067"/>
      <c r="EJ19" s="2067"/>
      <c r="EK19" s="2067"/>
      <c r="EL19" s="2067"/>
      <c r="EM19" s="2067"/>
      <c r="EN19" s="2067"/>
      <c r="EO19" s="2067"/>
      <c r="EP19" s="2067"/>
      <c r="EQ19" s="2067"/>
      <c r="ER19" s="2067"/>
      <c r="ES19" s="2067"/>
      <c r="ET19" s="2067"/>
      <c r="EU19" s="2067"/>
      <c r="EV19" s="2067"/>
      <c r="EW19" s="2067"/>
      <c r="EX19" s="2067"/>
      <c r="EY19" s="2067"/>
      <c r="EZ19" s="2067"/>
      <c r="FA19" s="2067"/>
      <c r="FB19" s="2067"/>
      <c r="FC19" s="2067"/>
      <c r="FD19" s="2067"/>
      <c r="FE19" s="2066"/>
      <c r="FF19" s="2066"/>
      <c r="FG19" s="2066"/>
      <c r="FH19" s="2066"/>
      <c r="FI19" s="2066"/>
      <c r="FJ19" s="2066"/>
    </row>
    <row r="20" spans="1:166" s="1553" customFormat="1" ht="15.75" hidden="1" customHeight="1" outlineLevel="2">
      <c r="A20" s="1549">
        <v>17</v>
      </c>
      <c r="B20" s="1554" t="s">
        <v>206</v>
      </c>
      <c r="C20" s="1488" t="s">
        <v>1425</v>
      </c>
      <c r="D20" s="1554" t="s">
        <v>206</v>
      </c>
      <c r="E20" s="1488" t="s">
        <v>278</v>
      </c>
      <c r="F20" s="1488" t="str">
        <f>Покрытия_ПВХ!E15</f>
        <v>Бетон известковый</v>
      </c>
      <c r="G20" s="1488" t="s">
        <v>267</v>
      </c>
      <c r="H20" s="2067"/>
      <c r="I20" s="2067"/>
      <c r="J20" s="2067"/>
      <c r="K20" s="2067"/>
      <c r="L20" s="2067"/>
      <c r="M20" s="2067"/>
      <c r="N20" s="2067"/>
      <c r="O20" s="2067"/>
      <c r="P20" s="2067"/>
      <c r="Q20" s="2067"/>
      <c r="R20" s="2067"/>
      <c r="S20" s="2067"/>
      <c r="T20" s="2067"/>
      <c r="U20" s="2067"/>
      <c r="V20" s="2067"/>
      <c r="W20" s="2067"/>
      <c r="X20" s="2067"/>
      <c r="Y20" s="2067"/>
      <c r="Z20" s="2067"/>
      <c r="AA20" s="2067"/>
      <c r="AB20" s="2067"/>
      <c r="AC20" s="2067"/>
      <c r="AD20" s="2067"/>
      <c r="AE20" s="2067"/>
      <c r="AF20" s="2067"/>
      <c r="AG20" s="2067"/>
      <c r="AH20" s="2067"/>
      <c r="AI20" s="2067"/>
      <c r="AJ20" s="2067"/>
      <c r="AK20" s="2067"/>
      <c r="AL20" s="2067"/>
      <c r="AM20" s="2067"/>
      <c r="AN20" s="2067"/>
      <c r="AO20" s="2067"/>
      <c r="AP20" s="2067"/>
      <c r="AQ20" s="2067"/>
      <c r="AR20" s="2067"/>
      <c r="AS20" s="2067"/>
      <c r="AT20" s="2067"/>
      <c r="AU20" s="2067"/>
      <c r="AV20" s="2067"/>
      <c r="AW20" s="2067"/>
      <c r="AX20" s="2067"/>
      <c r="AY20" s="2067"/>
      <c r="AZ20" s="2067"/>
      <c r="BA20" s="2067"/>
      <c r="BB20" s="2067"/>
      <c r="BC20" s="2067"/>
      <c r="BD20" s="2067"/>
      <c r="BE20" s="2067"/>
      <c r="BF20" s="2067"/>
      <c r="BG20" s="2067"/>
      <c r="BH20" s="2067"/>
      <c r="BI20" s="2067"/>
      <c r="BJ20" s="2067"/>
      <c r="BK20" s="2067"/>
      <c r="BL20" s="2067"/>
      <c r="BM20" s="2067"/>
      <c r="BN20" s="2067"/>
      <c r="BO20" s="2067"/>
      <c r="BP20" s="2067"/>
      <c r="BQ20" s="2067" t="e">
        <f t="shared" ref="BQ20:DS20" si="31">BQ10</f>
        <v>#REF!</v>
      </c>
      <c r="BR20" s="2067" t="e">
        <f t="shared" si="31"/>
        <v>#REF!</v>
      </c>
      <c r="BS20" s="2067" t="e">
        <f t="shared" si="31"/>
        <v>#REF!</v>
      </c>
      <c r="BT20" s="2067" t="e">
        <f t="shared" si="31"/>
        <v>#REF!</v>
      </c>
      <c r="BU20" s="2067" t="e">
        <f t="shared" si="31"/>
        <v>#REF!</v>
      </c>
      <c r="BV20" s="2067" t="e">
        <f t="shared" si="31"/>
        <v>#REF!</v>
      </c>
      <c r="BW20" s="2067" t="e">
        <f t="shared" si="31"/>
        <v>#REF!</v>
      </c>
      <c r="BX20" s="2067" t="e">
        <f t="shared" si="31"/>
        <v>#REF!</v>
      </c>
      <c r="BY20" s="2067" t="e">
        <f t="shared" si="31"/>
        <v>#REF!</v>
      </c>
      <c r="BZ20" s="2067" t="e">
        <f t="shared" si="31"/>
        <v>#REF!</v>
      </c>
      <c r="CA20" s="2067" t="e">
        <f t="shared" si="31"/>
        <v>#REF!</v>
      </c>
      <c r="CB20" s="2067" t="e">
        <f t="shared" si="31"/>
        <v>#REF!</v>
      </c>
      <c r="CC20" s="2067" t="e">
        <f t="shared" si="31"/>
        <v>#REF!</v>
      </c>
      <c r="CD20" s="2067" t="e">
        <f t="shared" si="31"/>
        <v>#REF!</v>
      </c>
      <c r="CE20" s="2067" t="e">
        <f t="shared" si="31"/>
        <v>#REF!</v>
      </c>
      <c r="CF20" s="2067" t="e">
        <f t="shared" si="31"/>
        <v>#REF!</v>
      </c>
      <c r="CG20" s="2067" t="e">
        <f t="shared" si="31"/>
        <v>#REF!</v>
      </c>
      <c r="CH20" s="2067" t="e">
        <f t="shared" si="31"/>
        <v>#REF!</v>
      </c>
      <c r="CI20" s="2067" t="e">
        <f t="shared" si="31"/>
        <v>#REF!</v>
      </c>
      <c r="CJ20" s="2067" t="e">
        <f t="shared" si="31"/>
        <v>#REF!</v>
      </c>
      <c r="CK20" s="2067"/>
      <c r="CL20" s="2067"/>
      <c r="CM20" s="2067"/>
      <c r="CN20" s="2067"/>
      <c r="CO20" s="2067" t="e">
        <f t="shared" si="31"/>
        <v>#REF!</v>
      </c>
      <c r="CP20" s="2067" t="e">
        <f t="shared" si="31"/>
        <v>#REF!</v>
      </c>
      <c r="CQ20" s="2067"/>
      <c r="CR20" s="2067"/>
      <c r="CS20" s="2067" t="e">
        <f>CS10</f>
        <v>#REF!</v>
      </c>
      <c r="CT20" s="2067"/>
      <c r="CU20" s="2067" t="e">
        <f>CU10</f>
        <v>#REF!</v>
      </c>
      <c r="CV20" s="2067" t="e">
        <f t="shared" si="31"/>
        <v>#REF!</v>
      </c>
      <c r="CW20" s="2067" t="e">
        <f t="shared" si="31"/>
        <v>#REF!</v>
      </c>
      <c r="CX20" s="2067" t="e">
        <f t="shared" si="31"/>
        <v>#REF!</v>
      </c>
      <c r="CY20" s="2067" t="e">
        <f t="shared" si="31"/>
        <v>#REF!</v>
      </c>
      <c r="CZ20" s="2067" t="e">
        <f t="shared" si="31"/>
        <v>#REF!</v>
      </c>
      <c r="DA20" s="2067" t="e">
        <f>DA10</f>
        <v>#REF!</v>
      </c>
      <c r="DB20" s="2067" t="e">
        <f t="shared" si="31"/>
        <v>#REF!</v>
      </c>
      <c r="DC20" s="2067" t="e">
        <f t="shared" si="31"/>
        <v>#REF!</v>
      </c>
      <c r="DD20" s="2067" t="e">
        <f t="shared" si="31"/>
        <v>#REF!</v>
      </c>
      <c r="DE20" s="2067" t="e">
        <f t="shared" si="31"/>
        <v>#REF!</v>
      </c>
      <c r="DF20" s="2067" t="e">
        <f t="shared" si="31"/>
        <v>#REF!</v>
      </c>
      <c r="DG20" s="2067" t="e">
        <f t="shared" si="31"/>
        <v>#REF!</v>
      </c>
      <c r="DH20" s="2067">
        <f t="shared" si="31"/>
        <v>14440</v>
      </c>
      <c r="DI20" s="2067" t="e">
        <f t="shared" si="31"/>
        <v>#REF!</v>
      </c>
      <c r="DJ20" s="2067" t="e">
        <f t="shared" si="31"/>
        <v>#REF!</v>
      </c>
      <c r="DK20" s="2067" t="e">
        <f t="shared" si="31"/>
        <v>#REF!</v>
      </c>
      <c r="DL20" s="2067">
        <f t="shared" si="31"/>
        <v>18430</v>
      </c>
      <c r="DM20" s="2067">
        <f t="shared" si="31"/>
        <v>20215</v>
      </c>
      <c r="DN20" s="2067">
        <f t="shared" si="31"/>
        <v>18430</v>
      </c>
      <c r="DO20" s="2067">
        <f t="shared" si="31"/>
        <v>20215</v>
      </c>
      <c r="DP20" s="2067">
        <f>DP10</f>
        <v>34075</v>
      </c>
      <c r="DQ20" s="2067"/>
      <c r="DR20" s="2067"/>
      <c r="DS20" s="2067">
        <f t="shared" si="31"/>
        <v>18430</v>
      </c>
      <c r="DT20" s="2067" t="e">
        <f t="shared" ref="DT20:EF20" si="32">DT10</f>
        <v>#REF!</v>
      </c>
      <c r="DU20" s="2067" t="e">
        <f t="shared" si="32"/>
        <v>#REF!</v>
      </c>
      <c r="DV20" s="2067" t="e">
        <f t="shared" si="32"/>
        <v>#REF!</v>
      </c>
      <c r="DW20" s="2067" t="e">
        <f t="shared" si="32"/>
        <v>#REF!</v>
      </c>
      <c r="DX20" s="2067" t="e">
        <f t="shared" si="32"/>
        <v>#REF!</v>
      </c>
      <c r="DY20" s="2067" t="e">
        <f t="shared" si="32"/>
        <v>#REF!</v>
      </c>
      <c r="DZ20" s="2067" t="e">
        <f t="shared" si="32"/>
        <v>#REF!</v>
      </c>
      <c r="EA20" s="2067" t="e">
        <f t="shared" si="32"/>
        <v>#REF!</v>
      </c>
      <c r="EB20" s="2067" t="e">
        <f t="shared" si="32"/>
        <v>#REF!</v>
      </c>
      <c r="EC20" s="2067" t="e">
        <f t="shared" si="32"/>
        <v>#REF!</v>
      </c>
      <c r="ED20" s="2067" t="e">
        <f t="shared" si="32"/>
        <v>#REF!</v>
      </c>
      <c r="EE20" s="2067" t="e">
        <f t="shared" si="32"/>
        <v>#REF!</v>
      </c>
      <c r="EF20" s="2067" t="e">
        <f t="shared" si="32"/>
        <v>#REF!</v>
      </c>
      <c r="EG20" s="2067"/>
      <c r="EH20" s="2067"/>
      <c r="EI20" s="2067"/>
      <c r="EJ20" s="2067"/>
      <c r="EK20" s="2067"/>
      <c r="EL20" s="2067"/>
      <c r="EM20" s="2067"/>
      <c r="EN20" s="2067"/>
      <c r="EO20" s="2067"/>
      <c r="EP20" s="2067"/>
      <c r="EQ20" s="2067"/>
      <c r="ER20" s="2067"/>
      <c r="ES20" s="2067"/>
      <c r="ET20" s="2067"/>
      <c r="EU20" s="2067"/>
      <c r="EV20" s="2067"/>
      <c r="EW20" s="2067"/>
      <c r="EX20" s="2067"/>
      <c r="EY20" s="2067"/>
      <c r="EZ20" s="2067"/>
      <c r="FA20" s="2067"/>
      <c r="FB20" s="2067"/>
      <c r="FC20" s="2067"/>
      <c r="FD20" s="2067"/>
      <c r="FE20" s="2066"/>
      <c r="FF20" s="2066"/>
      <c r="FG20" s="2066"/>
      <c r="FH20" s="2066"/>
      <c r="FI20" s="2066"/>
      <c r="FJ20" s="2066"/>
    </row>
    <row r="21" spans="1:166" s="1553" customFormat="1" ht="17.25" hidden="1" customHeight="1" outlineLevel="2">
      <c r="A21" s="1552">
        <v>18</v>
      </c>
      <c r="B21" s="1554" t="s">
        <v>206</v>
      </c>
      <c r="C21" s="1488" t="s">
        <v>1425</v>
      </c>
      <c r="D21" s="1554" t="s">
        <v>206</v>
      </c>
      <c r="E21" s="1488" t="s">
        <v>278</v>
      </c>
      <c r="F21" s="1488" t="str">
        <f>Покрытия_ПВХ!E16</f>
        <v>Бетон серый</v>
      </c>
      <c r="G21" s="1488" t="s">
        <v>1831</v>
      </c>
      <c r="H21" s="2067"/>
      <c r="I21" s="2067"/>
      <c r="J21" s="2067"/>
      <c r="K21" s="2067"/>
      <c r="L21" s="2067"/>
      <c r="M21" s="2067"/>
      <c r="N21" s="2067"/>
      <c r="O21" s="2067"/>
      <c r="P21" s="2067"/>
      <c r="Q21" s="2067"/>
      <c r="R21" s="2067"/>
      <c r="S21" s="2067"/>
      <c r="T21" s="2067"/>
      <c r="U21" s="2067"/>
      <c r="V21" s="2067"/>
      <c r="W21" s="2067"/>
      <c r="X21" s="2067"/>
      <c r="Y21" s="2067"/>
      <c r="Z21" s="2067"/>
      <c r="AA21" s="2067"/>
      <c r="AB21" s="2067"/>
      <c r="AC21" s="2067"/>
      <c r="AD21" s="2067"/>
      <c r="AE21" s="2067"/>
      <c r="AF21" s="2067"/>
      <c r="AG21" s="2067"/>
      <c r="AH21" s="2067"/>
      <c r="AI21" s="2067"/>
      <c r="AJ21" s="2067"/>
      <c r="AK21" s="2067"/>
      <c r="AL21" s="2067"/>
      <c r="AM21" s="2067"/>
      <c r="AN21" s="2067"/>
      <c r="AO21" s="2067"/>
      <c r="AP21" s="2067"/>
      <c r="AQ21" s="2067"/>
      <c r="AR21" s="2067"/>
      <c r="AS21" s="2067"/>
      <c r="AT21" s="2067"/>
      <c r="AU21" s="2067"/>
      <c r="AV21" s="2067"/>
      <c r="AW21" s="2067"/>
      <c r="AX21" s="2067"/>
      <c r="AY21" s="2067"/>
      <c r="AZ21" s="2067"/>
      <c r="BA21" s="2067"/>
      <c r="BB21" s="2067"/>
      <c r="BC21" s="2067"/>
      <c r="BD21" s="2067"/>
      <c r="BE21" s="2067"/>
      <c r="BF21" s="2067"/>
      <c r="BG21" s="2067"/>
      <c r="BH21" s="2067"/>
      <c r="BI21" s="2067"/>
      <c r="BJ21" s="2067"/>
      <c r="BK21" s="2067"/>
      <c r="BL21" s="2067"/>
      <c r="BM21" s="2067"/>
      <c r="BN21" s="2067"/>
      <c r="BO21" s="2067"/>
      <c r="BP21" s="2067"/>
      <c r="BQ21" s="2067" t="e">
        <f t="shared" ref="BQ21:DS21" si="33">BQ10</f>
        <v>#REF!</v>
      </c>
      <c r="BR21" s="2067" t="e">
        <f t="shared" si="33"/>
        <v>#REF!</v>
      </c>
      <c r="BS21" s="2067" t="e">
        <f t="shared" si="33"/>
        <v>#REF!</v>
      </c>
      <c r="BT21" s="2067" t="e">
        <f t="shared" si="33"/>
        <v>#REF!</v>
      </c>
      <c r="BU21" s="2067" t="e">
        <f t="shared" si="33"/>
        <v>#REF!</v>
      </c>
      <c r="BV21" s="2067" t="e">
        <f t="shared" si="33"/>
        <v>#REF!</v>
      </c>
      <c r="BW21" s="2067" t="e">
        <f t="shared" si="33"/>
        <v>#REF!</v>
      </c>
      <c r="BX21" s="2067" t="e">
        <f t="shared" si="33"/>
        <v>#REF!</v>
      </c>
      <c r="BY21" s="2067" t="e">
        <f t="shared" si="33"/>
        <v>#REF!</v>
      </c>
      <c r="BZ21" s="2067" t="e">
        <f t="shared" si="33"/>
        <v>#REF!</v>
      </c>
      <c r="CA21" s="2067" t="e">
        <f t="shared" si="33"/>
        <v>#REF!</v>
      </c>
      <c r="CB21" s="2067" t="e">
        <f t="shared" si="33"/>
        <v>#REF!</v>
      </c>
      <c r="CC21" s="2067" t="e">
        <f t="shared" si="33"/>
        <v>#REF!</v>
      </c>
      <c r="CD21" s="2067" t="e">
        <f t="shared" si="33"/>
        <v>#REF!</v>
      </c>
      <c r="CE21" s="2067" t="e">
        <f t="shared" si="33"/>
        <v>#REF!</v>
      </c>
      <c r="CF21" s="2067" t="e">
        <f t="shared" si="33"/>
        <v>#REF!</v>
      </c>
      <c r="CG21" s="2067" t="e">
        <f t="shared" si="33"/>
        <v>#REF!</v>
      </c>
      <c r="CH21" s="2067" t="e">
        <f t="shared" si="33"/>
        <v>#REF!</v>
      </c>
      <c r="CI21" s="2067" t="e">
        <f t="shared" si="33"/>
        <v>#REF!</v>
      </c>
      <c r="CJ21" s="2067" t="e">
        <f t="shared" si="33"/>
        <v>#REF!</v>
      </c>
      <c r="CK21" s="2067"/>
      <c r="CL21" s="2067"/>
      <c r="CM21" s="2067"/>
      <c r="CN21" s="2067"/>
      <c r="CO21" s="2067" t="e">
        <f t="shared" si="33"/>
        <v>#REF!</v>
      </c>
      <c r="CP21" s="2067" t="e">
        <f t="shared" si="33"/>
        <v>#REF!</v>
      </c>
      <c r="CQ21" s="2067"/>
      <c r="CR21" s="2067"/>
      <c r="CS21" s="2067" t="e">
        <f>CS10</f>
        <v>#REF!</v>
      </c>
      <c r="CT21" s="2067"/>
      <c r="CU21" s="2067" t="e">
        <f>CU10</f>
        <v>#REF!</v>
      </c>
      <c r="CV21" s="2067" t="e">
        <f t="shared" si="33"/>
        <v>#REF!</v>
      </c>
      <c r="CW21" s="2067" t="e">
        <f t="shared" si="33"/>
        <v>#REF!</v>
      </c>
      <c r="CX21" s="2067" t="e">
        <f t="shared" si="33"/>
        <v>#REF!</v>
      </c>
      <c r="CY21" s="2067" t="e">
        <f t="shared" si="33"/>
        <v>#REF!</v>
      </c>
      <c r="CZ21" s="2067" t="e">
        <f t="shared" si="33"/>
        <v>#REF!</v>
      </c>
      <c r="DA21" s="2067" t="e">
        <f>DA10</f>
        <v>#REF!</v>
      </c>
      <c r="DB21" s="2067" t="e">
        <f t="shared" si="33"/>
        <v>#REF!</v>
      </c>
      <c r="DC21" s="2067" t="e">
        <f t="shared" si="33"/>
        <v>#REF!</v>
      </c>
      <c r="DD21" s="2067" t="e">
        <f t="shared" si="33"/>
        <v>#REF!</v>
      </c>
      <c r="DE21" s="2067" t="e">
        <f t="shared" si="33"/>
        <v>#REF!</v>
      </c>
      <c r="DF21" s="2067" t="e">
        <f t="shared" si="33"/>
        <v>#REF!</v>
      </c>
      <c r="DG21" s="2067" t="e">
        <f t="shared" si="33"/>
        <v>#REF!</v>
      </c>
      <c r="DH21" s="2067">
        <f t="shared" si="33"/>
        <v>14440</v>
      </c>
      <c r="DI21" s="2067" t="e">
        <f t="shared" si="33"/>
        <v>#REF!</v>
      </c>
      <c r="DJ21" s="2067" t="e">
        <f t="shared" si="33"/>
        <v>#REF!</v>
      </c>
      <c r="DK21" s="2067" t="e">
        <f t="shared" si="33"/>
        <v>#REF!</v>
      </c>
      <c r="DL21" s="2067">
        <f t="shared" si="33"/>
        <v>18430</v>
      </c>
      <c r="DM21" s="2067">
        <f t="shared" si="33"/>
        <v>20215</v>
      </c>
      <c r="DN21" s="2067">
        <f t="shared" si="33"/>
        <v>18430</v>
      </c>
      <c r="DO21" s="2067">
        <f t="shared" si="33"/>
        <v>20215</v>
      </c>
      <c r="DP21" s="2067">
        <f>DP10</f>
        <v>34075</v>
      </c>
      <c r="DQ21" s="2067"/>
      <c r="DR21" s="2067"/>
      <c r="DS21" s="2067">
        <f t="shared" si="33"/>
        <v>18430</v>
      </c>
      <c r="DT21" s="2067" t="e">
        <f t="shared" ref="DT21:EF21" si="34">DT10</f>
        <v>#REF!</v>
      </c>
      <c r="DU21" s="2067" t="e">
        <f t="shared" si="34"/>
        <v>#REF!</v>
      </c>
      <c r="DV21" s="2067" t="e">
        <f t="shared" si="34"/>
        <v>#REF!</v>
      </c>
      <c r="DW21" s="2067" t="e">
        <f t="shared" si="34"/>
        <v>#REF!</v>
      </c>
      <c r="DX21" s="2067" t="e">
        <f t="shared" si="34"/>
        <v>#REF!</v>
      </c>
      <c r="DY21" s="2067" t="e">
        <f t="shared" si="34"/>
        <v>#REF!</v>
      </c>
      <c r="DZ21" s="2067" t="e">
        <f t="shared" si="34"/>
        <v>#REF!</v>
      </c>
      <c r="EA21" s="2067" t="e">
        <f t="shared" si="34"/>
        <v>#REF!</v>
      </c>
      <c r="EB21" s="2067" t="e">
        <f t="shared" si="34"/>
        <v>#REF!</v>
      </c>
      <c r="EC21" s="2067" t="e">
        <f t="shared" si="34"/>
        <v>#REF!</v>
      </c>
      <c r="ED21" s="2067" t="e">
        <f t="shared" si="34"/>
        <v>#REF!</v>
      </c>
      <c r="EE21" s="2067" t="e">
        <f t="shared" si="34"/>
        <v>#REF!</v>
      </c>
      <c r="EF21" s="2067" t="e">
        <f t="shared" si="34"/>
        <v>#REF!</v>
      </c>
      <c r="EG21" s="2067"/>
      <c r="EH21" s="2067"/>
      <c r="EI21" s="2067"/>
      <c r="EJ21" s="2067"/>
      <c r="EK21" s="2067"/>
      <c r="EL21" s="2067"/>
      <c r="EM21" s="2067"/>
      <c r="EN21" s="2067"/>
      <c r="EO21" s="2067"/>
      <c r="EP21" s="2067"/>
      <c r="EQ21" s="2067"/>
      <c r="ER21" s="2067"/>
      <c r="ES21" s="2067"/>
      <c r="ET21" s="2067"/>
      <c r="EU21" s="2067"/>
      <c r="EV21" s="2067"/>
      <c r="EW21" s="2067"/>
      <c r="EX21" s="2067"/>
      <c r="EY21" s="2067"/>
      <c r="EZ21" s="2067"/>
      <c r="FA21" s="2067"/>
      <c r="FB21" s="2067"/>
      <c r="FC21" s="2067"/>
      <c r="FD21" s="2067"/>
      <c r="FE21" s="2066"/>
      <c r="FF21" s="2066"/>
      <c r="FG21" s="2066"/>
      <c r="FH21" s="2066"/>
      <c r="FI21" s="2066"/>
      <c r="FJ21" s="2066"/>
    </row>
    <row r="22" spans="1:166" s="1553" customFormat="1" ht="17.25" hidden="1" customHeight="1" outlineLevel="2">
      <c r="A22" s="1549">
        <v>19</v>
      </c>
      <c r="B22" s="1554" t="s">
        <v>206</v>
      </c>
      <c r="C22" s="1488" t="s">
        <v>1425</v>
      </c>
      <c r="D22" s="1554" t="s">
        <v>206</v>
      </c>
      <c r="E22" s="1488" t="s">
        <v>278</v>
      </c>
      <c r="F22" s="1488" t="str">
        <f>Покрытия_ПВХ!E17</f>
        <v>Бетон антрацит</v>
      </c>
      <c r="G22" s="1488" t="s">
        <v>268</v>
      </c>
      <c r="H22" s="2067"/>
      <c r="I22" s="2067"/>
      <c r="J22" s="2067"/>
      <c r="K22" s="2067"/>
      <c r="L22" s="2067"/>
      <c r="M22" s="2067"/>
      <c r="N22" s="2067"/>
      <c r="O22" s="2067"/>
      <c r="P22" s="2067"/>
      <c r="Q22" s="2067"/>
      <c r="R22" s="2067"/>
      <c r="S22" s="2067"/>
      <c r="T22" s="2067"/>
      <c r="U22" s="2067"/>
      <c r="V22" s="2067"/>
      <c r="W22" s="2067"/>
      <c r="X22" s="2067"/>
      <c r="Y22" s="2067"/>
      <c r="Z22" s="2067"/>
      <c r="AA22" s="2067"/>
      <c r="AB22" s="2067"/>
      <c r="AC22" s="2067"/>
      <c r="AD22" s="2067"/>
      <c r="AE22" s="2067"/>
      <c r="AF22" s="2067"/>
      <c r="AG22" s="2067"/>
      <c r="AH22" s="2067"/>
      <c r="AI22" s="2067"/>
      <c r="AJ22" s="2067"/>
      <c r="AK22" s="2067"/>
      <c r="AL22" s="2067"/>
      <c r="AM22" s="2067"/>
      <c r="AN22" s="2067"/>
      <c r="AO22" s="2067"/>
      <c r="AP22" s="2067"/>
      <c r="AQ22" s="2067"/>
      <c r="AR22" s="2067"/>
      <c r="AS22" s="2067"/>
      <c r="AT22" s="2067"/>
      <c r="AU22" s="2067"/>
      <c r="AV22" s="2067"/>
      <c r="AW22" s="2067"/>
      <c r="AX22" s="2067"/>
      <c r="AY22" s="2067"/>
      <c r="AZ22" s="2067"/>
      <c r="BA22" s="2067"/>
      <c r="BB22" s="2067"/>
      <c r="BC22" s="2067"/>
      <c r="BD22" s="2067"/>
      <c r="BE22" s="2067"/>
      <c r="BF22" s="2067"/>
      <c r="BG22" s="2067"/>
      <c r="BH22" s="2067"/>
      <c r="BI22" s="2067"/>
      <c r="BJ22" s="2067"/>
      <c r="BK22" s="2067"/>
      <c r="BL22" s="2067"/>
      <c r="BM22" s="2067"/>
      <c r="BN22" s="2067"/>
      <c r="BO22" s="2067"/>
      <c r="BP22" s="2067"/>
      <c r="BQ22" s="2067" t="e">
        <f t="shared" ref="BQ22:DS22" si="35">BQ10</f>
        <v>#REF!</v>
      </c>
      <c r="BR22" s="2067" t="e">
        <f t="shared" si="35"/>
        <v>#REF!</v>
      </c>
      <c r="BS22" s="2067" t="e">
        <f t="shared" si="35"/>
        <v>#REF!</v>
      </c>
      <c r="BT22" s="2067" t="e">
        <f t="shared" si="35"/>
        <v>#REF!</v>
      </c>
      <c r="BU22" s="2067" t="e">
        <f t="shared" si="35"/>
        <v>#REF!</v>
      </c>
      <c r="BV22" s="2067" t="e">
        <f t="shared" si="35"/>
        <v>#REF!</v>
      </c>
      <c r="BW22" s="2067" t="e">
        <f t="shared" si="35"/>
        <v>#REF!</v>
      </c>
      <c r="BX22" s="2067" t="e">
        <f t="shared" si="35"/>
        <v>#REF!</v>
      </c>
      <c r="BY22" s="2067" t="e">
        <f t="shared" si="35"/>
        <v>#REF!</v>
      </c>
      <c r="BZ22" s="2067" t="e">
        <f t="shared" si="35"/>
        <v>#REF!</v>
      </c>
      <c r="CA22" s="2067" t="e">
        <f t="shared" si="35"/>
        <v>#REF!</v>
      </c>
      <c r="CB22" s="2067" t="e">
        <f t="shared" si="35"/>
        <v>#REF!</v>
      </c>
      <c r="CC22" s="2067" t="e">
        <f t="shared" si="35"/>
        <v>#REF!</v>
      </c>
      <c r="CD22" s="2067" t="e">
        <f t="shared" si="35"/>
        <v>#REF!</v>
      </c>
      <c r="CE22" s="2067" t="e">
        <f t="shared" si="35"/>
        <v>#REF!</v>
      </c>
      <c r="CF22" s="2067" t="e">
        <f t="shared" si="35"/>
        <v>#REF!</v>
      </c>
      <c r="CG22" s="2067" t="e">
        <f t="shared" si="35"/>
        <v>#REF!</v>
      </c>
      <c r="CH22" s="2067" t="e">
        <f t="shared" si="35"/>
        <v>#REF!</v>
      </c>
      <c r="CI22" s="2067" t="e">
        <f t="shared" si="35"/>
        <v>#REF!</v>
      </c>
      <c r="CJ22" s="2067" t="e">
        <f t="shared" si="35"/>
        <v>#REF!</v>
      </c>
      <c r="CK22" s="2067"/>
      <c r="CL22" s="2067"/>
      <c r="CM22" s="2067"/>
      <c r="CN22" s="2067"/>
      <c r="CO22" s="2067" t="e">
        <f t="shared" si="35"/>
        <v>#REF!</v>
      </c>
      <c r="CP22" s="2067" t="e">
        <f t="shared" si="35"/>
        <v>#REF!</v>
      </c>
      <c r="CQ22" s="2067"/>
      <c r="CR22" s="2067"/>
      <c r="CS22" s="2067" t="e">
        <f>CS10</f>
        <v>#REF!</v>
      </c>
      <c r="CT22" s="2067"/>
      <c r="CU22" s="2067" t="e">
        <f>CU10</f>
        <v>#REF!</v>
      </c>
      <c r="CV22" s="2067" t="e">
        <f t="shared" si="35"/>
        <v>#REF!</v>
      </c>
      <c r="CW22" s="2067" t="e">
        <f t="shared" si="35"/>
        <v>#REF!</v>
      </c>
      <c r="CX22" s="2067" t="e">
        <f t="shared" si="35"/>
        <v>#REF!</v>
      </c>
      <c r="CY22" s="2067" t="e">
        <f t="shared" si="35"/>
        <v>#REF!</v>
      </c>
      <c r="CZ22" s="2067" t="e">
        <f t="shared" si="35"/>
        <v>#REF!</v>
      </c>
      <c r="DA22" s="2067" t="e">
        <f>DA10</f>
        <v>#REF!</v>
      </c>
      <c r="DB22" s="2067" t="e">
        <f t="shared" si="35"/>
        <v>#REF!</v>
      </c>
      <c r="DC22" s="2067" t="e">
        <f t="shared" si="35"/>
        <v>#REF!</v>
      </c>
      <c r="DD22" s="2067" t="e">
        <f t="shared" si="35"/>
        <v>#REF!</v>
      </c>
      <c r="DE22" s="2067" t="e">
        <f t="shared" si="35"/>
        <v>#REF!</v>
      </c>
      <c r="DF22" s="2067" t="e">
        <f t="shared" si="35"/>
        <v>#REF!</v>
      </c>
      <c r="DG22" s="2067" t="e">
        <f t="shared" si="35"/>
        <v>#REF!</v>
      </c>
      <c r="DH22" s="2067">
        <f t="shared" si="35"/>
        <v>14440</v>
      </c>
      <c r="DI22" s="2067" t="e">
        <f t="shared" si="35"/>
        <v>#REF!</v>
      </c>
      <c r="DJ22" s="2067" t="e">
        <f t="shared" si="35"/>
        <v>#REF!</v>
      </c>
      <c r="DK22" s="2067" t="e">
        <f t="shared" si="35"/>
        <v>#REF!</v>
      </c>
      <c r="DL22" s="2067">
        <f t="shared" si="35"/>
        <v>18430</v>
      </c>
      <c r="DM22" s="2067">
        <f t="shared" si="35"/>
        <v>20215</v>
      </c>
      <c r="DN22" s="2067">
        <f t="shared" si="35"/>
        <v>18430</v>
      </c>
      <c r="DO22" s="2067">
        <f t="shared" si="35"/>
        <v>20215</v>
      </c>
      <c r="DP22" s="2067">
        <f>DP10</f>
        <v>34075</v>
      </c>
      <c r="DQ22" s="2067"/>
      <c r="DR22" s="2067"/>
      <c r="DS22" s="2067">
        <f t="shared" si="35"/>
        <v>18430</v>
      </c>
      <c r="DT22" s="2067" t="e">
        <f t="shared" ref="DT22:EF22" si="36">DT10</f>
        <v>#REF!</v>
      </c>
      <c r="DU22" s="2067" t="e">
        <f t="shared" si="36"/>
        <v>#REF!</v>
      </c>
      <c r="DV22" s="2067" t="e">
        <f t="shared" si="36"/>
        <v>#REF!</v>
      </c>
      <c r="DW22" s="2067" t="e">
        <f t="shared" si="36"/>
        <v>#REF!</v>
      </c>
      <c r="DX22" s="2067" t="e">
        <f t="shared" si="36"/>
        <v>#REF!</v>
      </c>
      <c r="DY22" s="2067" t="e">
        <f t="shared" si="36"/>
        <v>#REF!</v>
      </c>
      <c r="DZ22" s="2067" t="e">
        <f t="shared" si="36"/>
        <v>#REF!</v>
      </c>
      <c r="EA22" s="2067" t="e">
        <f t="shared" si="36"/>
        <v>#REF!</v>
      </c>
      <c r="EB22" s="2067" t="e">
        <f t="shared" si="36"/>
        <v>#REF!</v>
      </c>
      <c r="EC22" s="2067" t="e">
        <f t="shared" si="36"/>
        <v>#REF!</v>
      </c>
      <c r="ED22" s="2067" t="e">
        <f t="shared" si="36"/>
        <v>#REF!</v>
      </c>
      <c r="EE22" s="2067" t="e">
        <f t="shared" si="36"/>
        <v>#REF!</v>
      </c>
      <c r="EF22" s="2067" t="e">
        <f t="shared" si="36"/>
        <v>#REF!</v>
      </c>
      <c r="EG22" s="2067"/>
      <c r="EH22" s="2067"/>
      <c r="EI22" s="2067"/>
      <c r="EJ22" s="2067"/>
      <c r="EK22" s="2067"/>
      <c r="EL22" s="2067"/>
      <c r="EM22" s="2067"/>
      <c r="EN22" s="2067"/>
      <c r="EO22" s="2067"/>
      <c r="EP22" s="2067"/>
      <c r="EQ22" s="2067"/>
      <c r="ER22" s="2067"/>
      <c r="ES22" s="2067"/>
      <c r="ET22" s="2067"/>
      <c r="EU22" s="2067"/>
      <c r="EV22" s="2067"/>
      <c r="EW22" s="2067"/>
      <c r="EX22" s="2067"/>
      <c r="EY22" s="2067"/>
      <c r="EZ22" s="2067"/>
      <c r="FA22" s="2067"/>
      <c r="FB22" s="2067"/>
      <c r="FC22" s="2067"/>
      <c r="FD22" s="2067"/>
      <c r="FE22" s="2066"/>
      <c r="FF22" s="2066"/>
      <c r="FG22" s="2066"/>
      <c r="FH22" s="2066"/>
      <c r="FI22" s="2066"/>
      <c r="FJ22" s="2066"/>
    </row>
    <row r="23" spans="1:166" s="1553" customFormat="1" ht="17.25" hidden="1" customHeight="1" outlineLevel="2">
      <c r="A23" s="1552">
        <v>20</v>
      </c>
      <c r="B23" s="1554" t="s">
        <v>206</v>
      </c>
      <c r="C23" s="1488" t="s">
        <v>1425</v>
      </c>
      <c r="D23" s="1554" t="s">
        <v>206</v>
      </c>
      <c r="E23" s="1488" t="s">
        <v>278</v>
      </c>
      <c r="F23" s="1488" t="str">
        <f>Покрытия_ПВХ!E18</f>
        <v>Бетон бежевый</v>
      </c>
      <c r="G23" s="1488" t="s">
        <v>269</v>
      </c>
      <c r="H23" s="2067"/>
      <c r="I23" s="2067"/>
      <c r="J23" s="2067"/>
      <c r="K23" s="2067"/>
      <c r="L23" s="2067"/>
      <c r="M23" s="2067"/>
      <c r="N23" s="2067"/>
      <c r="O23" s="2067"/>
      <c r="P23" s="2067"/>
      <c r="Q23" s="2067"/>
      <c r="R23" s="2067"/>
      <c r="S23" s="2067"/>
      <c r="T23" s="2067"/>
      <c r="U23" s="2067"/>
      <c r="V23" s="2067"/>
      <c r="W23" s="2067"/>
      <c r="X23" s="2067"/>
      <c r="Y23" s="2067"/>
      <c r="Z23" s="2067"/>
      <c r="AA23" s="2067"/>
      <c r="AB23" s="2067"/>
      <c r="AC23" s="2067"/>
      <c r="AD23" s="2067"/>
      <c r="AE23" s="2067"/>
      <c r="AF23" s="2067"/>
      <c r="AG23" s="2067"/>
      <c r="AH23" s="2067"/>
      <c r="AI23" s="2067"/>
      <c r="AJ23" s="2067"/>
      <c r="AK23" s="2067"/>
      <c r="AL23" s="2067"/>
      <c r="AM23" s="2067"/>
      <c r="AN23" s="2067"/>
      <c r="AO23" s="2067"/>
      <c r="AP23" s="2067"/>
      <c r="AQ23" s="2067"/>
      <c r="AR23" s="2067"/>
      <c r="AS23" s="2067"/>
      <c r="AT23" s="2067"/>
      <c r="AU23" s="2067"/>
      <c r="AV23" s="2067"/>
      <c r="AW23" s="2067"/>
      <c r="AX23" s="2067"/>
      <c r="AY23" s="2067"/>
      <c r="AZ23" s="2067"/>
      <c r="BA23" s="2067"/>
      <c r="BB23" s="2067"/>
      <c r="BC23" s="2067"/>
      <c r="BD23" s="2067"/>
      <c r="BE23" s="2067"/>
      <c r="BF23" s="2067"/>
      <c r="BG23" s="2067"/>
      <c r="BH23" s="2067"/>
      <c r="BI23" s="2067"/>
      <c r="BJ23" s="2067"/>
      <c r="BK23" s="2067"/>
      <c r="BL23" s="2067"/>
      <c r="BM23" s="2067"/>
      <c r="BN23" s="2067"/>
      <c r="BO23" s="2067"/>
      <c r="BP23" s="2067"/>
      <c r="BQ23" s="2067" t="e">
        <f t="shared" ref="BQ23:DS23" si="37">BQ10</f>
        <v>#REF!</v>
      </c>
      <c r="BR23" s="2067" t="e">
        <f t="shared" si="37"/>
        <v>#REF!</v>
      </c>
      <c r="BS23" s="2067" t="e">
        <f t="shared" si="37"/>
        <v>#REF!</v>
      </c>
      <c r="BT23" s="2067" t="e">
        <f t="shared" si="37"/>
        <v>#REF!</v>
      </c>
      <c r="BU23" s="2067" t="e">
        <f t="shared" si="37"/>
        <v>#REF!</v>
      </c>
      <c r="BV23" s="2067" t="e">
        <f t="shared" si="37"/>
        <v>#REF!</v>
      </c>
      <c r="BW23" s="2067" t="e">
        <f t="shared" si="37"/>
        <v>#REF!</v>
      </c>
      <c r="BX23" s="2067" t="e">
        <f t="shared" si="37"/>
        <v>#REF!</v>
      </c>
      <c r="BY23" s="2067" t="e">
        <f t="shared" si="37"/>
        <v>#REF!</v>
      </c>
      <c r="BZ23" s="2067" t="e">
        <f t="shared" si="37"/>
        <v>#REF!</v>
      </c>
      <c r="CA23" s="2067" t="e">
        <f t="shared" si="37"/>
        <v>#REF!</v>
      </c>
      <c r="CB23" s="2067" t="e">
        <f t="shared" si="37"/>
        <v>#REF!</v>
      </c>
      <c r="CC23" s="2067" t="e">
        <f t="shared" si="37"/>
        <v>#REF!</v>
      </c>
      <c r="CD23" s="2067" t="e">
        <f t="shared" si="37"/>
        <v>#REF!</v>
      </c>
      <c r="CE23" s="2067" t="e">
        <f t="shared" si="37"/>
        <v>#REF!</v>
      </c>
      <c r="CF23" s="2067" t="e">
        <f t="shared" si="37"/>
        <v>#REF!</v>
      </c>
      <c r="CG23" s="2067" t="e">
        <f t="shared" si="37"/>
        <v>#REF!</v>
      </c>
      <c r="CH23" s="2067" t="e">
        <f t="shared" si="37"/>
        <v>#REF!</v>
      </c>
      <c r="CI23" s="2067" t="e">
        <f t="shared" si="37"/>
        <v>#REF!</v>
      </c>
      <c r="CJ23" s="2067" t="e">
        <f t="shared" si="37"/>
        <v>#REF!</v>
      </c>
      <c r="CK23" s="2067"/>
      <c r="CL23" s="2067"/>
      <c r="CM23" s="2067"/>
      <c r="CN23" s="2067"/>
      <c r="CO23" s="2067" t="e">
        <f t="shared" si="37"/>
        <v>#REF!</v>
      </c>
      <c r="CP23" s="2067" t="e">
        <f t="shared" si="37"/>
        <v>#REF!</v>
      </c>
      <c r="CQ23" s="2067"/>
      <c r="CR23" s="2067"/>
      <c r="CS23" s="2067" t="e">
        <f>CS10</f>
        <v>#REF!</v>
      </c>
      <c r="CT23" s="2067"/>
      <c r="CU23" s="2067" t="e">
        <f>CU10</f>
        <v>#REF!</v>
      </c>
      <c r="CV23" s="2067" t="e">
        <f t="shared" si="37"/>
        <v>#REF!</v>
      </c>
      <c r="CW23" s="2067" t="e">
        <f t="shared" si="37"/>
        <v>#REF!</v>
      </c>
      <c r="CX23" s="2067" t="e">
        <f t="shared" si="37"/>
        <v>#REF!</v>
      </c>
      <c r="CY23" s="2067" t="e">
        <f t="shared" si="37"/>
        <v>#REF!</v>
      </c>
      <c r="CZ23" s="2067" t="e">
        <f t="shared" si="37"/>
        <v>#REF!</v>
      </c>
      <c r="DA23" s="2067" t="e">
        <f>DA10</f>
        <v>#REF!</v>
      </c>
      <c r="DB23" s="2067" t="e">
        <f t="shared" si="37"/>
        <v>#REF!</v>
      </c>
      <c r="DC23" s="2067" t="e">
        <f t="shared" si="37"/>
        <v>#REF!</v>
      </c>
      <c r="DD23" s="2067" t="e">
        <f t="shared" si="37"/>
        <v>#REF!</v>
      </c>
      <c r="DE23" s="2067" t="e">
        <f t="shared" si="37"/>
        <v>#REF!</v>
      </c>
      <c r="DF23" s="2067" t="e">
        <f t="shared" si="37"/>
        <v>#REF!</v>
      </c>
      <c r="DG23" s="2067" t="e">
        <f t="shared" si="37"/>
        <v>#REF!</v>
      </c>
      <c r="DH23" s="2067">
        <f t="shared" si="37"/>
        <v>14440</v>
      </c>
      <c r="DI23" s="2067" t="e">
        <f t="shared" si="37"/>
        <v>#REF!</v>
      </c>
      <c r="DJ23" s="2067" t="e">
        <f t="shared" si="37"/>
        <v>#REF!</v>
      </c>
      <c r="DK23" s="2067" t="e">
        <f t="shared" si="37"/>
        <v>#REF!</v>
      </c>
      <c r="DL23" s="2067">
        <f t="shared" si="37"/>
        <v>18430</v>
      </c>
      <c r="DM23" s="2067">
        <f t="shared" si="37"/>
        <v>20215</v>
      </c>
      <c r="DN23" s="2067">
        <f t="shared" si="37"/>
        <v>18430</v>
      </c>
      <c r="DO23" s="2067">
        <f t="shared" si="37"/>
        <v>20215</v>
      </c>
      <c r="DP23" s="2067">
        <f>DP10</f>
        <v>34075</v>
      </c>
      <c r="DQ23" s="2067"/>
      <c r="DR23" s="2067"/>
      <c r="DS23" s="2067">
        <f t="shared" si="37"/>
        <v>18430</v>
      </c>
      <c r="DT23" s="2067" t="e">
        <f t="shared" ref="DT23:EF23" si="38">DT10</f>
        <v>#REF!</v>
      </c>
      <c r="DU23" s="2067" t="e">
        <f t="shared" si="38"/>
        <v>#REF!</v>
      </c>
      <c r="DV23" s="2067" t="e">
        <f t="shared" si="38"/>
        <v>#REF!</v>
      </c>
      <c r="DW23" s="2067" t="e">
        <f t="shared" si="38"/>
        <v>#REF!</v>
      </c>
      <c r="DX23" s="2067" t="e">
        <f t="shared" si="38"/>
        <v>#REF!</v>
      </c>
      <c r="DY23" s="2067" t="e">
        <f t="shared" si="38"/>
        <v>#REF!</v>
      </c>
      <c r="DZ23" s="2067" t="e">
        <f t="shared" si="38"/>
        <v>#REF!</v>
      </c>
      <c r="EA23" s="2067" t="e">
        <f t="shared" si="38"/>
        <v>#REF!</v>
      </c>
      <c r="EB23" s="2067" t="e">
        <f t="shared" si="38"/>
        <v>#REF!</v>
      </c>
      <c r="EC23" s="2067" t="e">
        <f t="shared" si="38"/>
        <v>#REF!</v>
      </c>
      <c r="ED23" s="2067" t="e">
        <f t="shared" si="38"/>
        <v>#REF!</v>
      </c>
      <c r="EE23" s="2067" t="e">
        <f t="shared" si="38"/>
        <v>#REF!</v>
      </c>
      <c r="EF23" s="2067" t="e">
        <f t="shared" si="38"/>
        <v>#REF!</v>
      </c>
      <c r="EG23" s="2067"/>
      <c r="EH23" s="2067"/>
      <c r="EI23" s="2067"/>
      <c r="EJ23" s="2067"/>
      <c r="EK23" s="2067"/>
      <c r="EL23" s="2067"/>
      <c r="EM23" s="2067"/>
      <c r="EN23" s="2067"/>
      <c r="EO23" s="2067"/>
      <c r="EP23" s="2067"/>
      <c r="EQ23" s="2067"/>
      <c r="ER23" s="2067"/>
      <c r="ES23" s="2067"/>
      <c r="ET23" s="2067"/>
      <c r="EU23" s="2067"/>
      <c r="EV23" s="2067"/>
      <c r="EW23" s="2067"/>
      <c r="EX23" s="2067"/>
      <c r="EY23" s="2067"/>
      <c r="EZ23" s="2067"/>
      <c r="FA23" s="2067"/>
      <c r="FB23" s="2067"/>
      <c r="FC23" s="2067"/>
      <c r="FD23" s="2067"/>
      <c r="FE23" s="2066"/>
      <c r="FF23" s="2066"/>
      <c r="FG23" s="2066"/>
      <c r="FH23" s="2066"/>
      <c r="FI23" s="2066"/>
      <c r="FJ23" s="2066"/>
    </row>
    <row r="24" spans="1:166" s="1553" customFormat="1" ht="17.25" hidden="1" customHeight="1" outlineLevel="2">
      <c r="A24" s="1549">
        <v>21</v>
      </c>
      <c r="B24" s="1554" t="s">
        <v>206</v>
      </c>
      <c r="C24" s="1488" t="s">
        <v>1425</v>
      </c>
      <c r="D24" s="1554" t="s">
        <v>206</v>
      </c>
      <c r="E24" s="1488" t="s">
        <v>278</v>
      </c>
      <c r="F24" s="1488" t="e">
        <f>Покрытия_ПВХ!#REF!</f>
        <v>#REF!</v>
      </c>
      <c r="G24" s="1488" t="s">
        <v>270</v>
      </c>
      <c r="H24" s="2067"/>
      <c r="I24" s="2067"/>
      <c r="J24" s="2067"/>
      <c r="K24" s="2067"/>
      <c r="L24" s="2067"/>
      <c r="M24" s="2067"/>
      <c r="N24" s="2067"/>
      <c r="O24" s="2067"/>
      <c r="P24" s="2067"/>
      <c r="Q24" s="2067"/>
      <c r="R24" s="2067"/>
      <c r="S24" s="2067"/>
      <c r="T24" s="2067"/>
      <c r="U24" s="2067"/>
      <c r="V24" s="2067"/>
      <c r="W24" s="2067"/>
      <c r="X24" s="2067"/>
      <c r="Y24" s="2067"/>
      <c r="Z24" s="2067"/>
      <c r="AA24" s="2067"/>
      <c r="AB24" s="2067"/>
      <c r="AC24" s="2067"/>
      <c r="AD24" s="2067"/>
      <c r="AE24" s="2067"/>
      <c r="AF24" s="2067"/>
      <c r="AG24" s="2067"/>
      <c r="AH24" s="2067"/>
      <c r="AI24" s="2067"/>
      <c r="AJ24" s="2067"/>
      <c r="AK24" s="2067"/>
      <c r="AL24" s="2067"/>
      <c r="AM24" s="2067"/>
      <c r="AN24" s="2067"/>
      <c r="AO24" s="2067"/>
      <c r="AP24" s="2067"/>
      <c r="AQ24" s="2067"/>
      <c r="AR24" s="2067"/>
      <c r="AS24" s="2067"/>
      <c r="AT24" s="2067"/>
      <c r="AU24" s="2067"/>
      <c r="AV24" s="2067"/>
      <c r="AW24" s="2067"/>
      <c r="AX24" s="2067"/>
      <c r="AY24" s="2067"/>
      <c r="AZ24" s="2067"/>
      <c r="BA24" s="2067"/>
      <c r="BB24" s="2067"/>
      <c r="BC24" s="2067"/>
      <c r="BD24" s="2067"/>
      <c r="BE24" s="2067"/>
      <c r="BF24" s="2067"/>
      <c r="BG24" s="2067"/>
      <c r="BH24" s="2067"/>
      <c r="BI24" s="2067"/>
      <c r="BJ24" s="2067"/>
      <c r="BK24" s="2067"/>
      <c r="BL24" s="2067"/>
      <c r="BM24" s="2067"/>
      <c r="BN24" s="2067"/>
      <c r="BO24" s="2067"/>
      <c r="BP24" s="2067"/>
      <c r="BQ24" s="2067" t="e">
        <f t="shared" ref="BQ24:DS24" si="39">BQ10</f>
        <v>#REF!</v>
      </c>
      <c r="BR24" s="2067" t="e">
        <f t="shared" si="39"/>
        <v>#REF!</v>
      </c>
      <c r="BS24" s="2067" t="e">
        <f t="shared" si="39"/>
        <v>#REF!</v>
      </c>
      <c r="BT24" s="2067" t="e">
        <f t="shared" si="39"/>
        <v>#REF!</v>
      </c>
      <c r="BU24" s="2067" t="e">
        <f t="shared" si="39"/>
        <v>#REF!</v>
      </c>
      <c r="BV24" s="2067" t="e">
        <f t="shared" si="39"/>
        <v>#REF!</v>
      </c>
      <c r="BW24" s="2067" t="e">
        <f t="shared" si="39"/>
        <v>#REF!</v>
      </c>
      <c r="BX24" s="2067" t="e">
        <f t="shared" si="39"/>
        <v>#REF!</v>
      </c>
      <c r="BY24" s="2067" t="e">
        <f t="shared" si="39"/>
        <v>#REF!</v>
      </c>
      <c r="BZ24" s="2067" t="e">
        <f t="shared" si="39"/>
        <v>#REF!</v>
      </c>
      <c r="CA24" s="2067" t="e">
        <f t="shared" si="39"/>
        <v>#REF!</v>
      </c>
      <c r="CB24" s="2067" t="e">
        <f t="shared" si="39"/>
        <v>#REF!</v>
      </c>
      <c r="CC24" s="2067" t="e">
        <f t="shared" si="39"/>
        <v>#REF!</v>
      </c>
      <c r="CD24" s="2067" t="e">
        <f t="shared" si="39"/>
        <v>#REF!</v>
      </c>
      <c r="CE24" s="2067" t="e">
        <f t="shared" si="39"/>
        <v>#REF!</v>
      </c>
      <c r="CF24" s="2067" t="e">
        <f t="shared" si="39"/>
        <v>#REF!</v>
      </c>
      <c r="CG24" s="2067" t="e">
        <f t="shared" si="39"/>
        <v>#REF!</v>
      </c>
      <c r="CH24" s="2067" t="e">
        <f t="shared" si="39"/>
        <v>#REF!</v>
      </c>
      <c r="CI24" s="2067" t="e">
        <f t="shared" si="39"/>
        <v>#REF!</v>
      </c>
      <c r="CJ24" s="2067" t="e">
        <f t="shared" si="39"/>
        <v>#REF!</v>
      </c>
      <c r="CK24" s="2067"/>
      <c r="CL24" s="2067"/>
      <c r="CM24" s="2067"/>
      <c r="CN24" s="2067"/>
      <c r="CO24" s="2067" t="e">
        <f t="shared" si="39"/>
        <v>#REF!</v>
      </c>
      <c r="CP24" s="2067" t="e">
        <f t="shared" si="39"/>
        <v>#REF!</v>
      </c>
      <c r="CQ24" s="2067"/>
      <c r="CR24" s="2067"/>
      <c r="CS24" s="2067" t="e">
        <f>CS10</f>
        <v>#REF!</v>
      </c>
      <c r="CT24" s="2067"/>
      <c r="CU24" s="2067" t="e">
        <f>CU10</f>
        <v>#REF!</v>
      </c>
      <c r="CV24" s="2067" t="e">
        <f t="shared" si="39"/>
        <v>#REF!</v>
      </c>
      <c r="CW24" s="2067" t="e">
        <f t="shared" si="39"/>
        <v>#REF!</v>
      </c>
      <c r="CX24" s="2067" t="e">
        <f t="shared" si="39"/>
        <v>#REF!</v>
      </c>
      <c r="CY24" s="2067" t="e">
        <f t="shared" si="39"/>
        <v>#REF!</v>
      </c>
      <c r="CZ24" s="2067" t="e">
        <f t="shared" si="39"/>
        <v>#REF!</v>
      </c>
      <c r="DA24" s="2067" t="e">
        <f>DA10</f>
        <v>#REF!</v>
      </c>
      <c r="DB24" s="2067" t="e">
        <f t="shared" si="39"/>
        <v>#REF!</v>
      </c>
      <c r="DC24" s="2067" t="e">
        <f t="shared" si="39"/>
        <v>#REF!</v>
      </c>
      <c r="DD24" s="2067" t="e">
        <f t="shared" si="39"/>
        <v>#REF!</v>
      </c>
      <c r="DE24" s="2067" t="e">
        <f t="shared" si="39"/>
        <v>#REF!</v>
      </c>
      <c r="DF24" s="2067" t="e">
        <f t="shared" si="39"/>
        <v>#REF!</v>
      </c>
      <c r="DG24" s="2067" t="e">
        <f t="shared" si="39"/>
        <v>#REF!</v>
      </c>
      <c r="DH24" s="2067">
        <f t="shared" si="39"/>
        <v>14440</v>
      </c>
      <c r="DI24" s="2067" t="e">
        <f t="shared" si="39"/>
        <v>#REF!</v>
      </c>
      <c r="DJ24" s="2067" t="e">
        <f t="shared" si="39"/>
        <v>#REF!</v>
      </c>
      <c r="DK24" s="2067" t="e">
        <f t="shared" si="39"/>
        <v>#REF!</v>
      </c>
      <c r="DL24" s="2067">
        <f t="shared" si="39"/>
        <v>18430</v>
      </c>
      <c r="DM24" s="2067">
        <f t="shared" si="39"/>
        <v>20215</v>
      </c>
      <c r="DN24" s="2067">
        <f t="shared" si="39"/>
        <v>18430</v>
      </c>
      <c r="DO24" s="2067">
        <f t="shared" si="39"/>
        <v>20215</v>
      </c>
      <c r="DP24" s="2067">
        <f>DP10</f>
        <v>34075</v>
      </c>
      <c r="DQ24" s="2067"/>
      <c r="DR24" s="2067"/>
      <c r="DS24" s="2067">
        <f t="shared" si="39"/>
        <v>18430</v>
      </c>
      <c r="DT24" s="2067" t="e">
        <f t="shared" ref="DT24:EF24" si="40">DT10</f>
        <v>#REF!</v>
      </c>
      <c r="DU24" s="2067" t="e">
        <f t="shared" si="40"/>
        <v>#REF!</v>
      </c>
      <c r="DV24" s="2067" t="e">
        <f t="shared" si="40"/>
        <v>#REF!</v>
      </c>
      <c r="DW24" s="2067" t="e">
        <f t="shared" si="40"/>
        <v>#REF!</v>
      </c>
      <c r="DX24" s="2067" t="e">
        <f t="shared" si="40"/>
        <v>#REF!</v>
      </c>
      <c r="DY24" s="2067" t="e">
        <f t="shared" si="40"/>
        <v>#REF!</v>
      </c>
      <c r="DZ24" s="2067" t="e">
        <f t="shared" si="40"/>
        <v>#REF!</v>
      </c>
      <c r="EA24" s="2067" t="e">
        <f t="shared" si="40"/>
        <v>#REF!</v>
      </c>
      <c r="EB24" s="2067" t="e">
        <f t="shared" si="40"/>
        <v>#REF!</v>
      </c>
      <c r="EC24" s="2067" t="e">
        <f t="shared" si="40"/>
        <v>#REF!</v>
      </c>
      <c r="ED24" s="2067" t="e">
        <f t="shared" si="40"/>
        <v>#REF!</v>
      </c>
      <c r="EE24" s="2067" t="e">
        <f t="shared" si="40"/>
        <v>#REF!</v>
      </c>
      <c r="EF24" s="2067" t="e">
        <f t="shared" si="40"/>
        <v>#REF!</v>
      </c>
      <c r="EG24" s="2067"/>
      <c r="EH24" s="2067"/>
      <c r="EI24" s="2067"/>
      <c r="EJ24" s="2067"/>
      <c r="EK24" s="2067"/>
      <c r="EL24" s="2067"/>
      <c r="EM24" s="2067"/>
      <c r="EN24" s="2067"/>
      <c r="EO24" s="2067"/>
      <c r="EP24" s="2067"/>
      <c r="EQ24" s="2067"/>
      <c r="ER24" s="2067"/>
      <c r="ES24" s="2067"/>
      <c r="ET24" s="2067"/>
      <c r="EU24" s="2067"/>
      <c r="EV24" s="2067"/>
      <c r="EW24" s="2067"/>
      <c r="EX24" s="2067"/>
      <c r="EY24" s="2067"/>
      <c r="EZ24" s="2067"/>
      <c r="FA24" s="2067"/>
      <c r="FB24" s="2067"/>
      <c r="FC24" s="2067"/>
      <c r="FD24" s="2067"/>
      <c r="FE24" s="2066"/>
      <c r="FF24" s="2066"/>
      <c r="FG24" s="2066"/>
      <c r="FH24" s="2066"/>
      <c r="FI24" s="2066"/>
      <c r="FJ24" s="2066"/>
    </row>
    <row r="25" spans="1:166" s="1551" customFormat="1" ht="17.25" hidden="1" customHeight="1" outlineLevel="1" collapsed="1">
      <c r="A25" s="1552">
        <v>22</v>
      </c>
      <c r="B25" s="1555" t="s">
        <v>206</v>
      </c>
      <c r="C25" s="1492" t="s">
        <v>1425</v>
      </c>
      <c r="D25" s="1555" t="s">
        <v>206</v>
      </c>
      <c r="E25" s="1492" t="s">
        <v>276</v>
      </c>
      <c r="F25" s="1492" t="e">
        <f>Покрытия_ПВХ!#REF!</f>
        <v>#REF!</v>
      </c>
      <c r="G25" s="1492"/>
      <c r="H25" s="2068"/>
      <c r="I25" s="2068"/>
      <c r="J25" s="2068"/>
      <c r="K25" s="2068"/>
      <c r="L25" s="2068"/>
      <c r="M25" s="2068"/>
      <c r="N25" s="2068"/>
      <c r="O25" s="2068"/>
      <c r="P25" s="2068"/>
      <c r="Q25" s="2068"/>
      <c r="R25" s="2068"/>
      <c r="S25" s="2068"/>
      <c r="T25" s="2068"/>
      <c r="U25" s="2068"/>
      <c r="V25" s="2068"/>
      <c r="W25" s="2068"/>
      <c r="X25" s="2068"/>
      <c r="Y25" s="2068"/>
      <c r="Z25" s="2068"/>
      <c r="AA25" s="2068"/>
      <c r="AB25" s="2068"/>
      <c r="AC25" s="2068"/>
      <c r="AD25" s="2068"/>
      <c r="AE25" s="2068"/>
      <c r="AF25" s="2068"/>
      <c r="AG25" s="2068"/>
      <c r="AH25" s="2068"/>
      <c r="AI25" s="2068"/>
      <c r="AJ25" s="2068"/>
      <c r="AK25" s="2068"/>
      <c r="AL25" s="2068"/>
      <c r="AM25" s="2068"/>
      <c r="AN25" s="2068"/>
      <c r="AO25" s="2068"/>
      <c r="AP25" s="2068"/>
      <c r="AQ25" s="2068"/>
      <c r="AR25" s="2068"/>
      <c r="AS25" s="2068"/>
      <c r="AT25" s="2068"/>
      <c r="AU25" s="2068"/>
      <c r="AV25" s="2068"/>
      <c r="AW25" s="2068"/>
      <c r="AX25" s="2068"/>
      <c r="AY25" s="2068"/>
      <c r="AZ25" s="2068"/>
      <c r="BA25" s="2068"/>
      <c r="BB25" s="2068"/>
      <c r="BC25" s="2068"/>
      <c r="BD25" s="2068"/>
      <c r="BE25" s="2068"/>
      <c r="BF25" s="2068"/>
      <c r="BG25" s="2068"/>
      <c r="BH25" s="2068"/>
      <c r="BI25" s="2068"/>
      <c r="BJ25" s="2068"/>
      <c r="BK25" s="2068"/>
      <c r="BL25" s="2068"/>
      <c r="BM25" s="2068"/>
      <c r="BN25" s="2068"/>
      <c r="BO25" s="2068"/>
      <c r="BP25" s="2068"/>
      <c r="BQ25" s="2068" t="e">
        <f t="shared" ref="BQ25:DS25" si="41">CEILING(BQ4*1.1, 5)</f>
        <v>#REF!</v>
      </c>
      <c r="BR25" s="2068" t="e">
        <f t="shared" si="41"/>
        <v>#REF!</v>
      </c>
      <c r="BS25" s="2068" t="e">
        <f t="shared" si="41"/>
        <v>#REF!</v>
      </c>
      <c r="BT25" s="2068" t="e">
        <f t="shared" si="41"/>
        <v>#REF!</v>
      </c>
      <c r="BU25" s="2068" t="e">
        <f t="shared" si="41"/>
        <v>#REF!</v>
      </c>
      <c r="BV25" s="2068" t="e">
        <f t="shared" si="41"/>
        <v>#REF!</v>
      </c>
      <c r="BW25" s="2068" t="e">
        <f t="shared" si="41"/>
        <v>#REF!</v>
      </c>
      <c r="BX25" s="2068" t="e">
        <f t="shared" si="41"/>
        <v>#REF!</v>
      </c>
      <c r="BY25" s="2068" t="e">
        <f t="shared" si="41"/>
        <v>#REF!</v>
      </c>
      <c r="BZ25" s="2068" t="e">
        <f t="shared" si="41"/>
        <v>#REF!</v>
      </c>
      <c r="CA25" s="2068" t="e">
        <f t="shared" si="41"/>
        <v>#REF!</v>
      </c>
      <c r="CB25" s="2068" t="e">
        <f t="shared" si="41"/>
        <v>#REF!</v>
      </c>
      <c r="CC25" s="2068" t="e">
        <f t="shared" si="41"/>
        <v>#REF!</v>
      </c>
      <c r="CD25" s="2068" t="e">
        <f t="shared" si="41"/>
        <v>#REF!</v>
      </c>
      <c r="CE25" s="2068" t="e">
        <f t="shared" si="41"/>
        <v>#REF!</v>
      </c>
      <c r="CF25" s="2068" t="e">
        <f t="shared" si="41"/>
        <v>#REF!</v>
      </c>
      <c r="CG25" s="2068" t="e">
        <f t="shared" si="41"/>
        <v>#REF!</v>
      </c>
      <c r="CH25" s="2068" t="e">
        <f t="shared" si="41"/>
        <v>#REF!</v>
      </c>
      <c r="CI25" s="2068" t="e">
        <f t="shared" si="41"/>
        <v>#REF!</v>
      </c>
      <c r="CJ25" s="2068" t="e">
        <f t="shared" si="41"/>
        <v>#REF!</v>
      </c>
      <c r="CK25" s="2068"/>
      <c r="CL25" s="2068"/>
      <c r="CM25" s="2068"/>
      <c r="CN25" s="2068"/>
      <c r="CO25" s="2068" t="e">
        <f t="shared" si="41"/>
        <v>#REF!</v>
      </c>
      <c r="CP25" s="2068" t="e">
        <f t="shared" si="41"/>
        <v>#REF!</v>
      </c>
      <c r="CQ25" s="2068"/>
      <c r="CR25" s="2068"/>
      <c r="CS25" s="2068" t="e">
        <f>CEILING(CS4*1.1, 5)</f>
        <v>#REF!</v>
      </c>
      <c r="CT25" s="2068"/>
      <c r="CU25" s="2068" t="e">
        <f>CEILING(CU4*1.1, 5)</f>
        <v>#REF!</v>
      </c>
      <c r="CV25" s="2068" t="e">
        <f t="shared" si="41"/>
        <v>#REF!</v>
      </c>
      <c r="CW25" s="2068" t="e">
        <f t="shared" si="41"/>
        <v>#REF!</v>
      </c>
      <c r="CX25" s="2068" t="e">
        <f t="shared" si="41"/>
        <v>#REF!</v>
      </c>
      <c r="CY25" s="2068" t="e">
        <f t="shared" si="41"/>
        <v>#REF!</v>
      </c>
      <c r="CZ25" s="2068" t="e">
        <f t="shared" si="41"/>
        <v>#REF!</v>
      </c>
      <c r="DA25" s="2068" t="e">
        <f>CEILING(DA4*1.1, 5)</f>
        <v>#REF!</v>
      </c>
      <c r="DB25" s="2068" t="e">
        <f t="shared" si="41"/>
        <v>#REF!</v>
      </c>
      <c r="DC25" s="2068" t="e">
        <f t="shared" si="41"/>
        <v>#REF!</v>
      </c>
      <c r="DD25" s="2068" t="e">
        <f t="shared" si="41"/>
        <v>#REF!</v>
      </c>
      <c r="DE25" s="2068" t="e">
        <f t="shared" si="41"/>
        <v>#REF!</v>
      </c>
      <c r="DF25" s="2068" t="e">
        <f t="shared" si="41"/>
        <v>#REF!</v>
      </c>
      <c r="DG25" s="2068" t="e">
        <f t="shared" si="41"/>
        <v>#REF!</v>
      </c>
      <c r="DH25" s="2068">
        <f t="shared" si="41"/>
        <v>15125</v>
      </c>
      <c r="DI25" s="2068" t="e">
        <f t="shared" si="41"/>
        <v>#REF!</v>
      </c>
      <c r="DJ25" s="2068" t="e">
        <f t="shared" si="41"/>
        <v>#REF!</v>
      </c>
      <c r="DK25" s="2068" t="e">
        <f t="shared" si="41"/>
        <v>#REF!</v>
      </c>
      <c r="DL25" s="2068">
        <f t="shared" si="41"/>
        <v>19305</v>
      </c>
      <c r="DM25" s="2068">
        <f t="shared" si="41"/>
        <v>21175</v>
      </c>
      <c r="DN25" s="2068">
        <f t="shared" si="41"/>
        <v>19305</v>
      </c>
      <c r="DO25" s="2068">
        <f t="shared" si="41"/>
        <v>21175</v>
      </c>
      <c r="DP25" s="2068">
        <f>CEILING(DP4*1.1, 5)</f>
        <v>35695</v>
      </c>
      <c r="DQ25" s="2068"/>
      <c r="DR25" s="2068"/>
      <c r="DS25" s="2068">
        <f t="shared" si="41"/>
        <v>19305</v>
      </c>
      <c r="DT25" s="2068" t="e">
        <f t="shared" ref="DT25:EF25" si="42">CEILING(DT4*1.1, 5)</f>
        <v>#REF!</v>
      </c>
      <c r="DU25" s="2068" t="e">
        <f t="shared" si="42"/>
        <v>#REF!</v>
      </c>
      <c r="DV25" s="2068" t="e">
        <f t="shared" si="42"/>
        <v>#REF!</v>
      </c>
      <c r="DW25" s="2068" t="e">
        <f t="shared" si="42"/>
        <v>#REF!</v>
      </c>
      <c r="DX25" s="2068" t="e">
        <f t="shared" si="42"/>
        <v>#REF!</v>
      </c>
      <c r="DY25" s="2068" t="e">
        <f t="shared" si="42"/>
        <v>#REF!</v>
      </c>
      <c r="DZ25" s="2068" t="e">
        <f t="shared" si="42"/>
        <v>#REF!</v>
      </c>
      <c r="EA25" s="2068" t="e">
        <f t="shared" si="42"/>
        <v>#REF!</v>
      </c>
      <c r="EB25" s="2068" t="e">
        <f t="shared" si="42"/>
        <v>#REF!</v>
      </c>
      <c r="EC25" s="2068" t="e">
        <f t="shared" si="42"/>
        <v>#REF!</v>
      </c>
      <c r="ED25" s="2068" t="e">
        <f t="shared" si="42"/>
        <v>#REF!</v>
      </c>
      <c r="EE25" s="2068" t="e">
        <f t="shared" si="42"/>
        <v>#REF!</v>
      </c>
      <c r="EF25" s="2068" t="e">
        <f t="shared" si="42"/>
        <v>#REF!</v>
      </c>
      <c r="EG25" s="2068"/>
      <c r="EH25" s="2068"/>
      <c r="EI25" s="2068"/>
      <c r="EJ25" s="2068"/>
      <c r="EK25" s="2068"/>
      <c r="EL25" s="2068"/>
      <c r="EM25" s="2068"/>
      <c r="EN25" s="2068"/>
      <c r="EO25" s="2068"/>
      <c r="EP25" s="2068"/>
      <c r="EQ25" s="2068"/>
      <c r="ER25" s="2068"/>
      <c r="ES25" s="2068"/>
      <c r="ET25" s="2068"/>
      <c r="EU25" s="2068"/>
      <c r="EV25" s="2068"/>
      <c r="EW25" s="2068"/>
      <c r="EX25" s="2068"/>
      <c r="EY25" s="2068"/>
      <c r="EZ25" s="2068"/>
      <c r="FA25" s="2068"/>
      <c r="FB25" s="2068"/>
      <c r="FC25" s="2068"/>
      <c r="FD25" s="2068"/>
      <c r="FE25" s="2064"/>
      <c r="FF25" s="2064"/>
      <c r="FG25" s="2064"/>
      <c r="FH25" s="2064"/>
      <c r="FI25" s="2064"/>
      <c r="FJ25" s="2064"/>
    </row>
    <row r="26" spans="1:166" s="1553" customFormat="1" ht="17.25" hidden="1" customHeight="1" outlineLevel="2">
      <c r="A26" s="1549">
        <v>23</v>
      </c>
      <c r="B26" s="1555" t="s">
        <v>206</v>
      </c>
      <c r="C26" s="1493" t="s">
        <v>1425</v>
      </c>
      <c r="D26" s="1555" t="s">
        <v>206</v>
      </c>
      <c r="E26" s="1493" t="s">
        <v>276</v>
      </c>
      <c r="F26" s="1493" t="str">
        <f>Покрытия_ПВХ!E19</f>
        <v>Дуб сонома трюфель</v>
      </c>
      <c r="G26" s="1493"/>
      <c r="H26" s="2068"/>
      <c r="I26" s="2068"/>
      <c r="J26" s="2068"/>
      <c r="K26" s="2068"/>
      <c r="L26" s="2068"/>
      <c r="M26" s="2068"/>
      <c r="N26" s="2068"/>
      <c r="O26" s="2068"/>
      <c r="P26" s="2068"/>
      <c r="Q26" s="2068"/>
      <c r="R26" s="2068"/>
      <c r="S26" s="2068"/>
      <c r="T26" s="2068"/>
      <c r="U26" s="2068"/>
      <c r="V26" s="2068"/>
      <c r="W26" s="2068"/>
      <c r="X26" s="2068"/>
      <c r="Y26" s="2068"/>
      <c r="Z26" s="2068"/>
      <c r="AA26" s="2068"/>
      <c r="AB26" s="2068"/>
      <c r="AC26" s="2068"/>
      <c r="AD26" s="2068"/>
      <c r="AE26" s="2068"/>
      <c r="AF26" s="2068"/>
      <c r="AG26" s="2068"/>
      <c r="AH26" s="2068"/>
      <c r="AI26" s="2068"/>
      <c r="AJ26" s="2068"/>
      <c r="AK26" s="2068"/>
      <c r="AL26" s="2068"/>
      <c r="AM26" s="2068"/>
      <c r="AN26" s="2068"/>
      <c r="AO26" s="2068"/>
      <c r="AP26" s="2068"/>
      <c r="AQ26" s="2068"/>
      <c r="AR26" s="2068"/>
      <c r="AS26" s="2068"/>
      <c r="AT26" s="2068"/>
      <c r="AU26" s="2068"/>
      <c r="AV26" s="2068"/>
      <c r="AW26" s="2068"/>
      <c r="AX26" s="2068"/>
      <c r="AY26" s="2068"/>
      <c r="AZ26" s="2068"/>
      <c r="BA26" s="2068"/>
      <c r="BB26" s="2068"/>
      <c r="BC26" s="2068"/>
      <c r="BD26" s="2068"/>
      <c r="BE26" s="2068"/>
      <c r="BF26" s="2068"/>
      <c r="BG26" s="2068"/>
      <c r="BH26" s="2068"/>
      <c r="BI26" s="2068"/>
      <c r="BJ26" s="2068"/>
      <c r="BK26" s="2068"/>
      <c r="BL26" s="2068"/>
      <c r="BM26" s="2068"/>
      <c r="BN26" s="2068"/>
      <c r="BO26" s="2068"/>
      <c r="BP26" s="2068"/>
      <c r="BQ26" s="2068" t="e">
        <f>BQ25</f>
        <v>#REF!</v>
      </c>
      <c r="BR26" s="2068" t="e">
        <f t="shared" ref="BR26:DS26" si="43">BR25</f>
        <v>#REF!</v>
      </c>
      <c r="BS26" s="2068" t="e">
        <f t="shared" si="43"/>
        <v>#REF!</v>
      </c>
      <c r="BT26" s="2068" t="e">
        <f t="shared" si="43"/>
        <v>#REF!</v>
      </c>
      <c r="BU26" s="2068" t="e">
        <f t="shared" si="43"/>
        <v>#REF!</v>
      </c>
      <c r="BV26" s="2068" t="e">
        <f t="shared" si="43"/>
        <v>#REF!</v>
      </c>
      <c r="BW26" s="2068" t="e">
        <f t="shared" si="43"/>
        <v>#REF!</v>
      </c>
      <c r="BX26" s="2068" t="e">
        <f t="shared" si="43"/>
        <v>#REF!</v>
      </c>
      <c r="BY26" s="2068" t="e">
        <f t="shared" si="43"/>
        <v>#REF!</v>
      </c>
      <c r="BZ26" s="2068" t="e">
        <f t="shared" si="43"/>
        <v>#REF!</v>
      </c>
      <c r="CA26" s="2068" t="e">
        <f t="shared" si="43"/>
        <v>#REF!</v>
      </c>
      <c r="CB26" s="2068" t="e">
        <f t="shared" si="43"/>
        <v>#REF!</v>
      </c>
      <c r="CC26" s="2068" t="e">
        <f t="shared" si="43"/>
        <v>#REF!</v>
      </c>
      <c r="CD26" s="2068" t="e">
        <f t="shared" si="43"/>
        <v>#REF!</v>
      </c>
      <c r="CE26" s="2068" t="e">
        <f t="shared" si="43"/>
        <v>#REF!</v>
      </c>
      <c r="CF26" s="2068" t="e">
        <f t="shared" si="43"/>
        <v>#REF!</v>
      </c>
      <c r="CG26" s="2068" t="e">
        <f t="shared" si="43"/>
        <v>#REF!</v>
      </c>
      <c r="CH26" s="2068" t="e">
        <f t="shared" si="43"/>
        <v>#REF!</v>
      </c>
      <c r="CI26" s="2068" t="e">
        <f t="shared" si="43"/>
        <v>#REF!</v>
      </c>
      <c r="CJ26" s="2068" t="e">
        <f t="shared" si="43"/>
        <v>#REF!</v>
      </c>
      <c r="CK26" s="2068"/>
      <c r="CL26" s="2068"/>
      <c r="CM26" s="2068"/>
      <c r="CN26" s="2068"/>
      <c r="CO26" s="2068" t="e">
        <f t="shared" si="43"/>
        <v>#REF!</v>
      </c>
      <c r="CP26" s="2068" t="e">
        <f t="shared" si="43"/>
        <v>#REF!</v>
      </c>
      <c r="CQ26" s="2068"/>
      <c r="CR26" s="2068"/>
      <c r="CS26" s="2068" t="e">
        <f>CS25</f>
        <v>#REF!</v>
      </c>
      <c r="CT26" s="2068"/>
      <c r="CU26" s="2068" t="e">
        <f>CU25</f>
        <v>#REF!</v>
      </c>
      <c r="CV26" s="2068" t="e">
        <f t="shared" si="43"/>
        <v>#REF!</v>
      </c>
      <c r="CW26" s="2068" t="e">
        <f t="shared" si="43"/>
        <v>#REF!</v>
      </c>
      <c r="CX26" s="2068" t="e">
        <f t="shared" si="43"/>
        <v>#REF!</v>
      </c>
      <c r="CY26" s="2068" t="e">
        <f t="shared" si="43"/>
        <v>#REF!</v>
      </c>
      <c r="CZ26" s="2068" t="e">
        <f t="shared" si="43"/>
        <v>#REF!</v>
      </c>
      <c r="DA26" s="2068" t="e">
        <f t="shared" si="43"/>
        <v>#REF!</v>
      </c>
      <c r="DB26" s="2068" t="e">
        <f t="shared" si="43"/>
        <v>#REF!</v>
      </c>
      <c r="DC26" s="2068" t="e">
        <f t="shared" si="43"/>
        <v>#REF!</v>
      </c>
      <c r="DD26" s="2068" t="e">
        <f t="shared" si="43"/>
        <v>#REF!</v>
      </c>
      <c r="DE26" s="2068" t="e">
        <f t="shared" si="43"/>
        <v>#REF!</v>
      </c>
      <c r="DF26" s="2068" t="e">
        <f t="shared" si="43"/>
        <v>#REF!</v>
      </c>
      <c r="DG26" s="2068" t="e">
        <f t="shared" si="43"/>
        <v>#REF!</v>
      </c>
      <c r="DH26" s="2068">
        <f t="shared" si="43"/>
        <v>15125</v>
      </c>
      <c r="DI26" s="2068" t="e">
        <f t="shared" si="43"/>
        <v>#REF!</v>
      </c>
      <c r="DJ26" s="2068" t="e">
        <f t="shared" si="43"/>
        <v>#REF!</v>
      </c>
      <c r="DK26" s="2068" t="e">
        <f t="shared" si="43"/>
        <v>#REF!</v>
      </c>
      <c r="DL26" s="2068">
        <f t="shared" si="43"/>
        <v>19305</v>
      </c>
      <c r="DM26" s="2068">
        <f t="shared" si="43"/>
        <v>21175</v>
      </c>
      <c r="DN26" s="2068">
        <f t="shared" si="43"/>
        <v>19305</v>
      </c>
      <c r="DO26" s="2068">
        <f t="shared" si="43"/>
        <v>21175</v>
      </c>
      <c r="DP26" s="2068">
        <f>DP25</f>
        <v>35695</v>
      </c>
      <c r="DQ26" s="2068"/>
      <c r="DR26" s="2068"/>
      <c r="DS26" s="2068">
        <f t="shared" si="43"/>
        <v>19305</v>
      </c>
      <c r="DT26" s="2068" t="e">
        <f t="shared" ref="DT26:EF26" si="44">DT25</f>
        <v>#REF!</v>
      </c>
      <c r="DU26" s="2068" t="e">
        <f t="shared" si="44"/>
        <v>#REF!</v>
      </c>
      <c r="DV26" s="2068" t="e">
        <f t="shared" si="44"/>
        <v>#REF!</v>
      </c>
      <c r="DW26" s="2068" t="e">
        <f t="shared" si="44"/>
        <v>#REF!</v>
      </c>
      <c r="DX26" s="2068" t="e">
        <f t="shared" si="44"/>
        <v>#REF!</v>
      </c>
      <c r="DY26" s="2068" t="e">
        <f t="shared" si="44"/>
        <v>#REF!</v>
      </c>
      <c r="DZ26" s="2068" t="e">
        <f t="shared" si="44"/>
        <v>#REF!</v>
      </c>
      <c r="EA26" s="2068" t="e">
        <f t="shared" si="44"/>
        <v>#REF!</v>
      </c>
      <c r="EB26" s="2068" t="e">
        <f t="shared" si="44"/>
        <v>#REF!</v>
      </c>
      <c r="EC26" s="2068" t="e">
        <f t="shared" si="44"/>
        <v>#REF!</v>
      </c>
      <c r="ED26" s="2068" t="e">
        <f t="shared" si="44"/>
        <v>#REF!</v>
      </c>
      <c r="EE26" s="2068" t="e">
        <f t="shared" si="44"/>
        <v>#REF!</v>
      </c>
      <c r="EF26" s="2068" t="e">
        <f t="shared" si="44"/>
        <v>#REF!</v>
      </c>
      <c r="EG26" s="2068"/>
      <c r="EH26" s="2068"/>
      <c r="EI26" s="2068"/>
      <c r="EJ26" s="2068"/>
      <c r="EK26" s="2068"/>
      <c r="EL26" s="2068"/>
      <c r="EM26" s="2068"/>
      <c r="EN26" s="2068"/>
      <c r="EO26" s="2068"/>
      <c r="EP26" s="2068"/>
      <c r="EQ26" s="2068"/>
      <c r="ER26" s="2068"/>
      <c r="ES26" s="2068"/>
      <c r="ET26" s="2068"/>
      <c r="EU26" s="2068"/>
      <c r="EV26" s="2068"/>
      <c r="EW26" s="2068"/>
      <c r="EX26" s="2068"/>
      <c r="EY26" s="2068"/>
      <c r="EZ26" s="2068"/>
      <c r="FA26" s="2068"/>
      <c r="FB26" s="2068"/>
      <c r="FC26" s="2068"/>
      <c r="FD26" s="2068"/>
      <c r="FE26" s="2066"/>
      <c r="FF26" s="2066"/>
      <c r="FG26" s="2066"/>
      <c r="FH26" s="2066"/>
      <c r="FI26" s="2066"/>
      <c r="FJ26" s="2066"/>
    </row>
    <row r="27" spans="1:166" s="1553" customFormat="1" ht="17.25" hidden="1" customHeight="1" outlineLevel="2">
      <c r="A27" s="1552">
        <v>24</v>
      </c>
      <c r="B27" s="1555" t="s">
        <v>206</v>
      </c>
      <c r="C27" s="1493" t="s">
        <v>1425</v>
      </c>
      <c r="D27" s="1555" t="s">
        <v>206</v>
      </c>
      <c r="E27" s="1493" t="s">
        <v>276</v>
      </c>
      <c r="F27" s="1493" t="str">
        <f>Покрытия_ПВХ!E20</f>
        <v>Дуб мелфорд светлый</v>
      </c>
      <c r="G27" s="1493"/>
      <c r="H27" s="2068"/>
      <c r="I27" s="2068"/>
      <c r="J27" s="2068"/>
      <c r="K27" s="2068"/>
      <c r="L27" s="2068"/>
      <c r="M27" s="2068"/>
      <c r="N27" s="2068"/>
      <c r="O27" s="2068"/>
      <c r="P27" s="2068"/>
      <c r="Q27" s="2068"/>
      <c r="R27" s="2068"/>
      <c r="S27" s="2068"/>
      <c r="T27" s="2068"/>
      <c r="U27" s="2068"/>
      <c r="V27" s="2068"/>
      <c r="W27" s="2068"/>
      <c r="X27" s="2068"/>
      <c r="Y27" s="2068"/>
      <c r="Z27" s="2068"/>
      <c r="AA27" s="2068"/>
      <c r="AB27" s="2068"/>
      <c r="AC27" s="2068"/>
      <c r="AD27" s="2068"/>
      <c r="AE27" s="2068"/>
      <c r="AF27" s="2068"/>
      <c r="AG27" s="2068"/>
      <c r="AH27" s="2068"/>
      <c r="AI27" s="2068"/>
      <c r="AJ27" s="2068"/>
      <c r="AK27" s="2068"/>
      <c r="AL27" s="2068"/>
      <c r="AM27" s="2068"/>
      <c r="AN27" s="2068"/>
      <c r="AO27" s="2068"/>
      <c r="AP27" s="2068"/>
      <c r="AQ27" s="2068"/>
      <c r="AR27" s="2068"/>
      <c r="AS27" s="2068"/>
      <c r="AT27" s="2068"/>
      <c r="AU27" s="2068"/>
      <c r="AV27" s="2068"/>
      <c r="AW27" s="2068"/>
      <c r="AX27" s="2068"/>
      <c r="AY27" s="2068"/>
      <c r="AZ27" s="2068"/>
      <c r="BA27" s="2068"/>
      <c r="BB27" s="2068"/>
      <c r="BC27" s="2068"/>
      <c r="BD27" s="2068"/>
      <c r="BE27" s="2068"/>
      <c r="BF27" s="2068"/>
      <c r="BG27" s="2068"/>
      <c r="BH27" s="2068"/>
      <c r="BI27" s="2068"/>
      <c r="BJ27" s="2068"/>
      <c r="BK27" s="2068"/>
      <c r="BL27" s="2068"/>
      <c r="BM27" s="2068"/>
      <c r="BN27" s="2068"/>
      <c r="BO27" s="2068"/>
      <c r="BP27" s="2068"/>
      <c r="BQ27" s="2068" t="e">
        <f t="shared" ref="BQ27:DS27" si="45">BQ25</f>
        <v>#REF!</v>
      </c>
      <c r="BR27" s="2068" t="e">
        <f t="shared" si="45"/>
        <v>#REF!</v>
      </c>
      <c r="BS27" s="2068" t="e">
        <f t="shared" si="45"/>
        <v>#REF!</v>
      </c>
      <c r="BT27" s="2068" t="e">
        <f t="shared" si="45"/>
        <v>#REF!</v>
      </c>
      <c r="BU27" s="2068" t="e">
        <f t="shared" si="45"/>
        <v>#REF!</v>
      </c>
      <c r="BV27" s="2068" t="e">
        <f t="shared" si="45"/>
        <v>#REF!</v>
      </c>
      <c r="BW27" s="2068" t="e">
        <f t="shared" si="45"/>
        <v>#REF!</v>
      </c>
      <c r="BX27" s="2068" t="e">
        <f t="shared" si="45"/>
        <v>#REF!</v>
      </c>
      <c r="BY27" s="2068" t="e">
        <f t="shared" si="45"/>
        <v>#REF!</v>
      </c>
      <c r="BZ27" s="2068" t="e">
        <f t="shared" si="45"/>
        <v>#REF!</v>
      </c>
      <c r="CA27" s="2068" t="e">
        <f t="shared" si="45"/>
        <v>#REF!</v>
      </c>
      <c r="CB27" s="2068" t="e">
        <f t="shared" si="45"/>
        <v>#REF!</v>
      </c>
      <c r="CC27" s="2068" t="e">
        <f t="shared" si="45"/>
        <v>#REF!</v>
      </c>
      <c r="CD27" s="2068" t="e">
        <f t="shared" si="45"/>
        <v>#REF!</v>
      </c>
      <c r="CE27" s="2068" t="e">
        <f t="shared" si="45"/>
        <v>#REF!</v>
      </c>
      <c r="CF27" s="2068" t="e">
        <f t="shared" si="45"/>
        <v>#REF!</v>
      </c>
      <c r="CG27" s="2068" t="e">
        <f t="shared" si="45"/>
        <v>#REF!</v>
      </c>
      <c r="CH27" s="2068" t="e">
        <f t="shared" si="45"/>
        <v>#REF!</v>
      </c>
      <c r="CI27" s="2068" t="e">
        <f t="shared" si="45"/>
        <v>#REF!</v>
      </c>
      <c r="CJ27" s="2068" t="e">
        <f t="shared" si="45"/>
        <v>#REF!</v>
      </c>
      <c r="CK27" s="2068"/>
      <c r="CL27" s="2068"/>
      <c r="CM27" s="2068"/>
      <c r="CN27" s="2068"/>
      <c r="CO27" s="2068" t="e">
        <f t="shared" si="45"/>
        <v>#REF!</v>
      </c>
      <c r="CP27" s="2068" t="e">
        <f t="shared" si="45"/>
        <v>#REF!</v>
      </c>
      <c r="CQ27" s="2068"/>
      <c r="CR27" s="2068"/>
      <c r="CS27" s="2068" t="e">
        <f>CS25</f>
        <v>#REF!</v>
      </c>
      <c r="CT27" s="2068"/>
      <c r="CU27" s="2068" t="e">
        <f>CU25</f>
        <v>#REF!</v>
      </c>
      <c r="CV27" s="2068" t="e">
        <f t="shared" si="45"/>
        <v>#REF!</v>
      </c>
      <c r="CW27" s="2068" t="e">
        <f t="shared" si="45"/>
        <v>#REF!</v>
      </c>
      <c r="CX27" s="2068" t="e">
        <f t="shared" si="45"/>
        <v>#REF!</v>
      </c>
      <c r="CY27" s="2068" t="e">
        <f t="shared" si="45"/>
        <v>#REF!</v>
      </c>
      <c r="CZ27" s="2068" t="e">
        <f t="shared" si="45"/>
        <v>#REF!</v>
      </c>
      <c r="DA27" s="2068" t="e">
        <f>DA25</f>
        <v>#REF!</v>
      </c>
      <c r="DB27" s="2068" t="e">
        <f t="shared" si="45"/>
        <v>#REF!</v>
      </c>
      <c r="DC27" s="2068" t="e">
        <f t="shared" si="45"/>
        <v>#REF!</v>
      </c>
      <c r="DD27" s="2068" t="e">
        <f t="shared" si="45"/>
        <v>#REF!</v>
      </c>
      <c r="DE27" s="2068" t="e">
        <f t="shared" si="45"/>
        <v>#REF!</v>
      </c>
      <c r="DF27" s="2068" t="e">
        <f t="shared" si="45"/>
        <v>#REF!</v>
      </c>
      <c r="DG27" s="2068" t="e">
        <f t="shared" si="45"/>
        <v>#REF!</v>
      </c>
      <c r="DH27" s="2068">
        <f t="shared" si="45"/>
        <v>15125</v>
      </c>
      <c r="DI27" s="2068" t="e">
        <f t="shared" si="45"/>
        <v>#REF!</v>
      </c>
      <c r="DJ27" s="2068" t="e">
        <f t="shared" si="45"/>
        <v>#REF!</v>
      </c>
      <c r="DK27" s="2068" t="e">
        <f t="shared" si="45"/>
        <v>#REF!</v>
      </c>
      <c r="DL27" s="2068">
        <f t="shared" si="45"/>
        <v>19305</v>
      </c>
      <c r="DM27" s="2068">
        <f t="shared" si="45"/>
        <v>21175</v>
      </c>
      <c r="DN27" s="2068">
        <f t="shared" si="45"/>
        <v>19305</v>
      </c>
      <c r="DO27" s="2068">
        <f t="shared" si="45"/>
        <v>21175</v>
      </c>
      <c r="DP27" s="2068">
        <f>DP25</f>
        <v>35695</v>
      </c>
      <c r="DQ27" s="2068"/>
      <c r="DR27" s="2068"/>
      <c r="DS27" s="2068">
        <f t="shared" si="45"/>
        <v>19305</v>
      </c>
      <c r="DT27" s="2068" t="e">
        <f t="shared" ref="DT27:EF27" si="46">DT25</f>
        <v>#REF!</v>
      </c>
      <c r="DU27" s="2068" t="e">
        <f t="shared" si="46"/>
        <v>#REF!</v>
      </c>
      <c r="DV27" s="2068" t="e">
        <f t="shared" si="46"/>
        <v>#REF!</v>
      </c>
      <c r="DW27" s="2068" t="e">
        <f t="shared" si="46"/>
        <v>#REF!</v>
      </c>
      <c r="DX27" s="2068" t="e">
        <f t="shared" si="46"/>
        <v>#REF!</v>
      </c>
      <c r="DY27" s="2068" t="e">
        <f t="shared" si="46"/>
        <v>#REF!</v>
      </c>
      <c r="DZ27" s="2068" t="e">
        <f t="shared" si="46"/>
        <v>#REF!</v>
      </c>
      <c r="EA27" s="2068" t="e">
        <f t="shared" si="46"/>
        <v>#REF!</v>
      </c>
      <c r="EB27" s="2068" t="e">
        <f t="shared" si="46"/>
        <v>#REF!</v>
      </c>
      <c r="EC27" s="2068" t="e">
        <f t="shared" si="46"/>
        <v>#REF!</v>
      </c>
      <c r="ED27" s="2068" t="e">
        <f t="shared" si="46"/>
        <v>#REF!</v>
      </c>
      <c r="EE27" s="2068" t="e">
        <f t="shared" si="46"/>
        <v>#REF!</v>
      </c>
      <c r="EF27" s="2068" t="e">
        <f t="shared" si="46"/>
        <v>#REF!</v>
      </c>
      <c r="EG27" s="2068"/>
      <c r="EH27" s="2068"/>
      <c r="EI27" s="2068"/>
      <c r="EJ27" s="2068"/>
      <c r="EK27" s="2068"/>
      <c r="EL27" s="2068"/>
      <c r="EM27" s="2068"/>
      <c r="EN27" s="2068"/>
      <c r="EO27" s="2068"/>
      <c r="EP27" s="2068"/>
      <c r="EQ27" s="2068"/>
      <c r="ER27" s="2068"/>
      <c r="ES27" s="2068"/>
      <c r="ET27" s="2068"/>
      <c r="EU27" s="2068"/>
      <c r="EV27" s="2068"/>
      <c r="EW27" s="2068"/>
      <c r="EX27" s="2068"/>
      <c r="EY27" s="2068"/>
      <c r="EZ27" s="2068"/>
      <c r="FA27" s="2068"/>
      <c r="FB27" s="2068"/>
      <c r="FC27" s="2068"/>
      <c r="FD27" s="2068"/>
      <c r="FE27" s="2066"/>
      <c r="FF27" s="2066"/>
      <c r="FG27" s="2066"/>
      <c r="FH27" s="2066"/>
      <c r="FI27" s="2066"/>
      <c r="FJ27" s="2066"/>
    </row>
    <row r="28" spans="1:166" s="1553" customFormat="1" ht="17.25" hidden="1" customHeight="1" outlineLevel="2">
      <c r="A28" s="1549">
        <v>25</v>
      </c>
      <c r="B28" s="1555" t="s">
        <v>206</v>
      </c>
      <c r="C28" s="1493" t="s">
        <v>1425</v>
      </c>
      <c r="D28" s="1555" t="s">
        <v>206</v>
      </c>
      <c r="E28" s="1493" t="s">
        <v>276</v>
      </c>
      <c r="F28" s="1493" t="str">
        <f>Покрытия_ПВХ!E21</f>
        <v>Дуб мелфорд натур</v>
      </c>
      <c r="G28" s="1493"/>
      <c r="H28" s="2068"/>
      <c r="I28" s="2068"/>
      <c r="J28" s="2068"/>
      <c r="K28" s="2068"/>
      <c r="L28" s="2068"/>
      <c r="M28" s="2068"/>
      <c r="N28" s="2068"/>
      <c r="O28" s="2068"/>
      <c r="P28" s="2068"/>
      <c r="Q28" s="2068"/>
      <c r="R28" s="2068"/>
      <c r="S28" s="2068"/>
      <c r="T28" s="2068"/>
      <c r="U28" s="2068"/>
      <c r="V28" s="2068"/>
      <c r="W28" s="2068"/>
      <c r="X28" s="2068"/>
      <c r="Y28" s="2068"/>
      <c r="Z28" s="2068"/>
      <c r="AA28" s="2068"/>
      <c r="AB28" s="2068"/>
      <c r="AC28" s="2068"/>
      <c r="AD28" s="2068"/>
      <c r="AE28" s="2068"/>
      <c r="AF28" s="2068"/>
      <c r="AG28" s="2068"/>
      <c r="AH28" s="2068"/>
      <c r="AI28" s="2068"/>
      <c r="AJ28" s="2068"/>
      <c r="AK28" s="2068"/>
      <c r="AL28" s="2068"/>
      <c r="AM28" s="2068"/>
      <c r="AN28" s="2068"/>
      <c r="AO28" s="2068"/>
      <c r="AP28" s="2068"/>
      <c r="AQ28" s="2068"/>
      <c r="AR28" s="2068"/>
      <c r="AS28" s="2068"/>
      <c r="AT28" s="2068"/>
      <c r="AU28" s="2068"/>
      <c r="AV28" s="2068"/>
      <c r="AW28" s="2068"/>
      <c r="AX28" s="2068"/>
      <c r="AY28" s="2068"/>
      <c r="AZ28" s="2068"/>
      <c r="BA28" s="2068"/>
      <c r="BB28" s="2068"/>
      <c r="BC28" s="2068"/>
      <c r="BD28" s="2068"/>
      <c r="BE28" s="2068"/>
      <c r="BF28" s="2068"/>
      <c r="BG28" s="2068"/>
      <c r="BH28" s="2068"/>
      <c r="BI28" s="2068"/>
      <c r="BJ28" s="2068"/>
      <c r="BK28" s="2068"/>
      <c r="BL28" s="2068"/>
      <c r="BM28" s="2068"/>
      <c r="BN28" s="2068"/>
      <c r="BO28" s="2068"/>
      <c r="BP28" s="2068"/>
      <c r="BQ28" s="2068" t="e">
        <f t="shared" ref="BQ28:DS28" si="47">BQ25</f>
        <v>#REF!</v>
      </c>
      <c r="BR28" s="2068" t="e">
        <f t="shared" si="47"/>
        <v>#REF!</v>
      </c>
      <c r="BS28" s="2068" t="e">
        <f t="shared" si="47"/>
        <v>#REF!</v>
      </c>
      <c r="BT28" s="2068" t="e">
        <f t="shared" si="47"/>
        <v>#REF!</v>
      </c>
      <c r="BU28" s="2068" t="e">
        <f t="shared" si="47"/>
        <v>#REF!</v>
      </c>
      <c r="BV28" s="2068" t="e">
        <f t="shared" si="47"/>
        <v>#REF!</v>
      </c>
      <c r="BW28" s="2068" t="e">
        <f t="shared" si="47"/>
        <v>#REF!</v>
      </c>
      <c r="BX28" s="2068" t="e">
        <f t="shared" si="47"/>
        <v>#REF!</v>
      </c>
      <c r="BY28" s="2068" t="e">
        <f t="shared" si="47"/>
        <v>#REF!</v>
      </c>
      <c r="BZ28" s="2068" t="e">
        <f t="shared" si="47"/>
        <v>#REF!</v>
      </c>
      <c r="CA28" s="2068" t="e">
        <f t="shared" si="47"/>
        <v>#REF!</v>
      </c>
      <c r="CB28" s="2068" t="e">
        <f t="shared" si="47"/>
        <v>#REF!</v>
      </c>
      <c r="CC28" s="2068" t="e">
        <f t="shared" si="47"/>
        <v>#REF!</v>
      </c>
      <c r="CD28" s="2068" t="e">
        <f t="shared" si="47"/>
        <v>#REF!</v>
      </c>
      <c r="CE28" s="2068" t="e">
        <f t="shared" si="47"/>
        <v>#REF!</v>
      </c>
      <c r="CF28" s="2068" t="e">
        <f t="shared" si="47"/>
        <v>#REF!</v>
      </c>
      <c r="CG28" s="2068" t="e">
        <f t="shared" si="47"/>
        <v>#REF!</v>
      </c>
      <c r="CH28" s="2068" t="e">
        <f t="shared" si="47"/>
        <v>#REF!</v>
      </c>
      <c r="CI28" s="2068" t="e">
        <f t="shared" si="47"/>
        <v>#REF!</v>
      </c>
      <c r="CJ28" s="2068" t="e">
        <f t="shared" si="47"/>
        <v>#REF!</v>
      </c>
      <c r="CK28" s="2068"/>
      <c r="CL28" s="2068"/>
      <c r="CM28" s="2068"/>
      <c r="CN28" s="2068"/>
      <c r="CO28" s="2068" t="e">
        <f t="shared" si="47"/>
        <v>#REF!</v>
      </c>
      <c r="CP28" s="2068" t="e">
        <f t="shared" si="47"/>
        <v>#REF!</v>
      </c>
      <c r="CQ28" s="2068"/>
      <c r="CR28" s="2068"/>
      <c r="CS28" s="2068" t="e">
        <f>CS25</f>
        <v>#REF!</v>
      </c>
      <c r="CT28" s="2068"/>
      <c r="CU28" s="2068" t="e">
        <f>CU25</f>
        <v>#REF!</v>
      </c>
      <c r="CV28" s="2068" t="e">
        <f t="shared" si="47"/>
        <v>#REF!</v>
      </c>
      <c r="CW28" s="2068" t="e">
        <f t="shared" si="47"/>
        <v>#REF!</v>
      </c>
      <c r="CX28" s="2068" t="e">
        <f t="shared" si="47"/>
        <v>#REF!</v>
      </c>
      <c r="CY28" s="2068" t="e">
        <f t="shared" si="47"/>
        <v>#REF!</v>
      </c>
      <c r="CZ28" s="2068" t="e">
        <f t="shared" si="47"/>
        <v>#REF!</v>
      </c>
      <c r="DA28" s="2068" t="e">
        <f>DA25</f>
        <v>#REF!</v>
      </c>
      <c r="DB28" s="2068" t="e">
        <f t="shared" si="47"/>
        <v>#REF!</v>
      </c>
      <c r="DC28" s="2068" t="e">
        <f t="shared" si="47"/>
        <v>#REF!</v>
      </c>
      <c r="DD28" s="2068" t="e">
        <f t="shared" si="47"/>
        <v>#REF!</v>
      </c>
      <c r="DE28" s="2068" t="e">
        <f t="shared" si="47"/>
        <v>#REF!</v>
      </c>
      <c r="DF28" s="2068" t="e">
        <f t="shared" si="47"/>
        <v>#REF!</v>
      </c>
      <c r="DG28" s="2068" t="e">
        <f t="shared" si="47"/>
        <v>#REF!</v>
      </c>
      <c r="DH28" s="2068">
        <f t="shared" si="47"/>
        <v>15125</v>
      </c>
      <c r="DI28" s="2068" t="e">
        <f t="shared" si="47"/>
        <v>#REF!</v>
      </c>
      <c r="DJ28" s="2068" t="e">
        <f t="shared" si="47"/>
        <v>#REF!</v>
      </c>
      <c r="DK28" s="2068" t="e">
        <f t="shared" si="47"/>
        <v>#REF!</v>
      </c>
      <c r="DL28" s="2068">
        <f t="shared" si="47"/>
        <v>19305</v>
      </c>
      <c r="DM28" s="2068">
        <f t="shared" si="47"/>
        <v>21175</v>
      </c>
      <c r="DN28" s="2068">
        <f t="shared" si="47"/>
        <v>19305</v>
      </c>
      <c r="DO28" s="2068">
        <f t="shared" si="47"/>
        <v>21175</v>
      </c>
      <c r="DP28" s="2068">
        <f>DP25</f>
        <v>35695</v>
      </c>
      <c r="DQ28" s="2068"/>
      <c r="DR28" s="2068"/>
      <c r="DS28" s="2068">
        <f t="shared" si="47"/>
        <v>19305</v>
      </c>
      <c r="DT28" s="2068" t="e">
        <f t="shared" ref="DT28:EF28" si="48">DT25</f>
        <v>#REF!</v>
      </c>
      <c r="DU28" s="2068" t="e">
        <f t="shared" si="48"/>
        <v>#REF!</v>
      </c>
      <c r="DV28" s="2068" t="e">
        <f t="shared" si="48"/>
        <v>#REF!</v>
      </c>
      <c r="DW28" s="2068" t="e">
        <f t="shared" si="48"/>
        <v>#REF!</v>
      </c>
      <c r="DX28" s="2068" t="e">
        <f t="shared" si="48"/>
        <v>#REF!</v>
      </c>
      <c r="DY28" s="2068" t="e">
        <f t="shared" si="48"/>
        <v>#REF!</v>
      </c>
      <c r="DZ28" s="2068" t="e">
        <f t="shared" si="48"/>
        <v>#REF!</v>
      </c>
      <c r="EA28" s="2068" t="e">
        <f t="shared" si="48"/>
        <v>#REF!</v>
      </c>
      <c r="EB28" s="2068" t="e">
        <f t="shared" si="48"/>
        <v>#REF!</v>
      </c>
      <c r="EC28" s="2068" t="e">
        <f t="shared" si="48"/>
        <v>#REF!</v>
      </c>
      <c r="ED28" s="2068" t="e">
        <f t="shared" si="48"/>
        <v>#REF!</v>
      </c>
      <c r="EE28" s="2068" t="e">
        <f t="shared" si="48"/>
        <v>#REF!</v>
      </c>
      <c r="EF28" s="2068" t="e">
        <f t="shared" si="48"/>
        <v>#REF!</v>
      </c>
      <c r="EG28" s="2068"/>
      <c r="EH28" s="2068"/>
      <c r="EI28" s="2068"/>
      <c r="EJ28" s="2068"/>
      <c r="EK28" s="2068"/>
      <c r="EL28" s="2068"/>
      <c r="EM28" s="2068"/>
      <c r="EN28" s="2068"/>
      <c r="EO28" s="2068"/>
      <c r="EP28" s="2068"/>
      <c r="EQ28" s="2068"/>
      <c r="ER28" s="2068"/>
      <c r="ES28" s="2068"/>
      <c r="ET28" s="2068"/>
      <c r="EU28" s="2068"/>
      <c r="EV28" s="2068"/>
      <c r="EW28" s="2068"/>
      <c r="EX28" s="2068"/>
      <c r="EY28" s="2068"/>
      <c r="EZ28" s="2068"/>
      <c r="FA28" s="2068"/>
      <c r="FB28" s="2068"/>
      <c r="FC28" s="2068"/>
      <c r="FD28" s="2068"/>
      <c r="FE28" s="2066"/>
      <c r="FF28" s="2066"/>
      <c r="FG28" s="2066"/>
      <c r="FH28" s="2066"/>
      <c r="FI28" s="2066"/>
      <c r="FJ28" s="2066"/>
    </row>
    <row r="29" spans="1:166" s="1553" customFormat="1" ht="17.25" hidden="1" customHeight="1" outlineLevel="2">
      <c r="A29" s="1552">
        <v>26</v>
      </c>
      <c r="B29" s="1555" t="s">
        <v>206</v>
      </c>
      <c r="C29" s="1493" t="s">
        <v>1425</v>
      </c>
      <c r="D29" s="1555" t="s">
        <v>206</v>
      </c>
      <c r="E29" s="1493" t="s">
        <v>276</v>
      </c>
      <c r="F29" s="1493" t="e">
        <f>Покрытия_ПВХ!#REF!</f>
        <v>#REF!</v>
      </c>
      <c r="G29" s="1493"/>
      <c r="H29" s="2068"/>
      <c r="I29" s="2068"/>
      <c r="J29" s="2068"/>
      <c r="K29" s="2068"/>
      <c r="L29" s="2068"/>
      <c r="M29" s="2068"/>
      <c r="N29" s="2068"/>
      <c r="O29" s="2068"/>
      <c r="P29" s="2068"/>
      <c r="Q29" s="2068"/>
      <c r="R29" s="2068"/>
      <c r="S29" s="2068"/>
      <c r="T29" s="2068"/>
      <c r="U29" s="2068"/>
      <c r="V29" s="2068"/>
      <c r="W29" s="2068"/>
      <c r="X29" s="2068"/>
      <c r="Y29" s="2068"/>
      <c r="Z29" s="2068"/>
      <c r="AA29" s="2068"/>
      <c r="AB29" s="2068"/>
      <c r="AC29" s="2068"/>
      <c r="AD29" s="2068"/>
      <c r="AE29" s="2068"/>
      <c r="AF29" s="2068"/>
      <c r="AG29" s="2068"/>
      <c r="AH29" s="2068"/>
      <c r="AI29" s="2068"/>
      <c r="AJ29" s="2068"/>
      <c r="AK29" s="2068"/>
      <c r="AL29" s="2068"/>
      <c r="AM29" s="2068"/>
      <c r="AN29" s="2068"/>
      <c r="AO29" s="2068"/>
      <c r="AP29" s="2068"/>
      <c r="AQ29" s="2068"/>
      <c r="AR29" s="2068"/>
      <c r="AS29" s="2068"/>
      <c r="AT29" s="2068"/>
      <c r="AU29" s="2068"/>
      <c r="AV29" s="2068"/>
      <c r="AW29" s="2068"/>
      <c r="AX29" s="2068"/>
      <c r="AY29" s="2068"/>
      <c r="AZ29" s="2068"/>
      <c r="BA29" s="2068"/>
      <c r="BB29" s="2068"/>
      <c r="BC29" s="2068"/>
      <c r="BD29" s="2068"/>
      <c r="BE29" s="2068"/>
      <c r="BF29" s="2068"/>
      <c r="BG29" s="2068"/>
      <c r="BH29" s="2068"/>
      <c r="BI29" s="2068"/>
      <c r="BJ29" s="2068"/>
      <c r="BK29" s="2068"/>
      <c r="BL29" s="2068"/>
      <c r="BM29" s="2068"/>
      <c r="BN29" s="2068"/>
      <c r="BO29" s="2068"/>
      <c r="BP29" s="2068"/>
      <c r="BQ29" s="2068" t="e">
        <f t="shared" ref="BQ29:DS29" si="49">BQ25</f>
        <v>#REF!</v>
      </c>
      <c r="BR29" s="2068" t="e">
        <f t="shared" si="49"/>
        <v>#REF!</v>
      </c>
      <c r="BS29" s="2068" t="e">
        <f t="shared" si="49"/>
        <v>#REF!</v>
      </c>
      <c r="BT29" s="2068" t="e">
        <f t="shared" si="49"/>
        <v>#REF!</v>
      </c>
      <c r="BU29" s="2068" t="e">
        <f t="shared" si="49"/>
        <v>#REF!</v>
      </c>
      <c r="BV29" s="2068" t="e">
        <f t="shared" si="49"/>
        <v>#REF!</v>
      </c>
      <c r="BW29" s="2068" t="e">
        <f t="shared" si="49"/>
        <v>#REF!</v>
      </c>
      <c r="BX29" s="2068" t="e">
        <f t="shared" si="49"/>
        <v>#REF!</v>
      </c>
      <c r="BY29" s="2068" t="e">
        <f t="shared" si="49"/>
        <v>#REF!</v>
      </c>
      <c r="BZ29" s="2068" t="e">
        <f t="shared" si="49"/>
        <v>#REF!</v>
      </c>
      <c r="CA29" s="2068" t="e">
        <f t="shared" si="49"/>
        <v>#REF!</v>
      </c>
      <c r="CB29" s="2068" t="e">
        <f t="shared" si="49"/>
        <v>#REF!</v>
      </c>
      <c r="CC29" s="2068" t="e">
        <f t="shared" si="49"/>
        <v>#REF!</v>
      </c>
      <c r="CD29" s="2068" t="e">
        <f t="shared" si="49"/>
        <v>#REF!</v>
      </c>
      <c r="CE29" s="2068" t="e">
        <f t="shared" si="49"/>
        <v>#REF!</v>
      </c>
      <c r="CF29" s="2068" t="e">
        <f t="shared" si="49"/>
        <v>#REF!</v>
      </c>
      <c r="CG29" s="2068" t="e">
        <f t="shared" si="49"/>
        <v>#REF!</v>
      </c>
      <c r="CH29" s="2068" t="e">
        <f t="shared" si="49"/>
        <v>#REF!</v>
      </c>
      <c r="CI29" s="2068" t="e">
        <f t="shared" si="49"/>
        <v>#REF!</v>
      </c>
      <c r="CJ29" s="2068" t="e">
        <f t="shared" si="49"/>
        <v>#REF!</v>
      </c>
      <c r="CK29" s="2068"/>
      <c r="CL29" s="2068"/>
      <c r="CM29" s="2068"/>
      <c r="CN29" s="2068"/>
      <c r="CO29" s="2068" t="e">
        <f t="shared" si="49"/>
        <v>#REF!</v>
      </c>
      <c r="CP29" s="2068" t="e">
        <f t="shared" si="49"/>
        <v>#REF!</v>
      </c>
      <c r="CQ29" s="2068"/>
      <c r="CR29" s="2068"/>
      <c r="CS29" s="2068" t="e">
        <f>CS25</f>
        <v>#REF!</v>
      </c>
      <c r="CT29" s="2068"/>
      <c r="CU29" s="2068" t="e">
        <f>CU25</f>
        <v>#REF!</v>
      </c>
      <c r="CV29" s="2068" t="e">
        <f t="shared" si="49"/>
        <v>#REF!</v>
      </c>
      <c r="CW29" s="2068" t="e">
        <f t="shared" si="49"/>
        <v>#REF!</v>
      </c>
      <c r="CX29" s="2068" t="e">
        <f t="shared" si="49"/>
        <v>#REF!</v>
      </c>
      <c r="CY29" s="2068" t="e">
        <f t="shared" si="49"/>
        <v>#REF!</v>
      </c>
      <c r="CZ29" s="2068" t="e">
        <f t="shared" si="49"/>
        <v>#REF!</v>
      </c>
      <c r="DA29" s="2068" t="e">
        <f>DA25</f>
        <v>#REF!</v>
      </c>
      <c r="DB29" s="2068" t="e">
        <f t="shared" si="49"/>
        <v>#REF!</v>
      </c>
      <c r="DC29" s="2068" t="e">
        <f t="shared" si="49"/>
        <v>#REF!</v>
      </c>
      <c r="DD29" s="2068" t="e">
        <f t="shared" si="49"/>
        <v>#REF!</v>
      </c>
      <c r="DE29" s="2068" t="e">
        <f t="shared" si="49"/>
        <v>#REF!</v>
      </c>
      <c r="DF29" s="2068" t="e">
        <f t="shared" si="49"/>
        <v>#REF!</v>
      </c>
      <c r="DG29" s="2068" t="e">
        <f t="shared" si="49"/>
        <v>#REF!</v>
      </c>
      <c r="DH29" s="2068">
        <f t="shared" si="49"/>
        <v>15125</v>
      </c>
      <c r="DI29" s="2068" t="e">
        <f t="shared" si="49"/>
        <v>#REF!</v>
      </c>
      <c r="DJ29" s="2068" t="e">
        <f t="shared" si="49"/>
        <v>#REF!</v>
      </c>
      <c r="DK29" s="2068" t="e">
        <f t="shared" si="49"/>
        <v>#REF!</v>
      </c>
      <c r="DL29" s="2068">
        <f t="shared" si="49"/>
        <v>19305</v>
      </c>
      <c r="DM29" s="2068">
        <f t="shared" si="49"/>
        <v>21175</v>
      </c>
      <c r="DN29" s="2068">
        <f t="shared" si="49"/>
        <v>19305</v>
      </c>
      <c r="DO29" s="2068">
        <f t="shared" si="49"/>
        <v>21175</v>
      </c>
      <c r="DP29" s="2068">
        <f>DP25</f>
        <v>35695</v>
      </c>
      <c r="DQ29" s="2068"/>
      <c r="DR29" s="2068"/>
      <c r="DS29" s="2068">
        <f t="shared" si="49"/>
        <v>19305</v>
      </c>
      <c r="DT29" s="2068" t="e">
        <f t="shared" ref="DT29:EF29" si="50">DT25</f>
        <v>#REF!</v>
      </c>
      <c r="DU29" s="2068" t="e">
        <f t="shared" si="50"/>
        <v>#REF!</v>
      </c>
      <c r="DV29" s="2068" t="e">
        <f t="shared" si="50"/>
        <v>#REF!</v>
      </c>
      <c r="DW29" s="2068" t="e">
        <f t="shared" si="50"/>
        <v>#REF!</v>
      </c>
      <c r="DX29" s="2068" t="e">
        <f t="shared" si="50"/>
        <v>#REF!</v>
      </c>
      <c r="DY29" s="2068" t="e">
        <f t="shared" si="50"/>
        <v>#REF!</v>
      </c>
      <c r="DZ29" s="2068" t="e">
        <f t="shared" si="50"/>
        <v>#REF!</v>
      </c>
      <c r="EA29" s="2068" t="e">
        <f t="shared" si="50"/>
        <v>#REF!</v>
      </c>
      <c r="EB29" s="2068" t="e">
        <f t="shared" si="50"/>
        <v>#REF!</v>
      </c>
      <c r="EC29" s="2068" t="e">
        <f t="shared" si="50"/>
        <v>#REF!</v>
      </c>
      <c r="ED29" s="2068" t="e">
        <f t="shared" si="50"/>
        <v>#REF!</v>
      </c>
      <c r="EE29" s="2068" t="e">
        <f t="shared" si="50"/>
        <v>#REF!</v>
      </c>
      <c r="EF29" s="2068" t="e">
        <f t="shared" si="50"/>
        <v>#REF!</v>
      </c>
      <c r="EG29" s="2068"/>
      <c r="EH29" s="2068"/>
      <c r="EI29" s="2068"/>
      <c r="EJ29" s="2068"/>
      <c r="EK29" s="2068"/>
      <c r="EL29" s="2068"/>
      <c r="EM29" s="2068"/>
      <c r="EN29" s="2068"/>
      <c r="EO29" s="2068"/>
      <c r="EP29" s="2068"/>
      <c r="EQ29" s="2068"/>
      <c r="ER29" s="2068"/>
      <c r="ES29" s="2068"/>
      <c r="ET29" s="2068"/>
      <c r="EU29" s="2068"/>
      <c r="EV29" s="2068"/>
      <c r="EW29" s="2068"/>
      <c r="EX29" s="2068"/>
      <c r="EY29" s="2068"/>
      <c r="EZ29" s="2068"/>
      <c r="FA29" s="2068"/>
      <c r="FB29" s="2068"/>
      <c r="FC29" s="2068"/>
      <c r="FD29" s="2068"/>
      <c r="FE29" s="2066"/>
      <c r="FF29" s="2066"/>
      <c r="FG29" s="2066"/>
      <c r="FH29" s="2066"/>
      <c r="FI29" s="2066"/>
      <c r="FJ29" s="2066"/>
    </row>
    <row r="30" spans="1:166" s="1553" customFormat="1" ht="17.25" hidden="1" customHeight="1" outlineLevel="2">
      <c r="A30" s="1549">
        <v>27</v>
      </c>
      <c r="B30" s="1555" t="s">
        <v>206</v>
      </c>
      <c r="C30" s="1493" t="s">
        <v>1425</v>
      </c>
      <c r="D30" s="1555" t="s">
        <v>206</v>
      </c>
      <c r="E30" s="1493" t="s">
        <v>276</v>
      </c>
      <c r="F30" s="1493" t="e">
        <f>Покрытия_ПВХ!#REF!</f>
        <v>#REF!</v>
      </c>
      <c r="G30" s="1493"/>
      <c r="H30" s="2068"/>
      <c r="I30" s="2068"/>
      <c r="J30" s="2068"/>
      <c r="K30" s="2068"/>
      <c r="L30" s="2068"/>
      <c r="M30" s="2068"/>
      <c r="N30" s="2068"/>
      <c r="O30" s="2068"/>
      <c r="P30" s="2068"/>
      <c r="Q30" s="2068"/>
      <c r="R30" s="2068"/>
      <c r="S30" s="2068"/>
      <c r="T30" s="2068"/>
      <c r="U30" s="2068"/>
      <c r="V30" s="2068"/>
      <c r="W30" s="2068"/>
      <c r="X30" s="2068"/>
      <c r="Y30" s="2068"/>
      <c r="Z30" s="2068"/>
      <c r="AA30" s="2068"/>
      <c r="AB30" s="2068"/>
      <c r="AC30" s="2068"/>
      <c r="AD30" s="2068"/>
      <c r="AE30" s="2068"/>
      <c r="AF30" s="2068"/>
      <c r="AG30" s="2068"/>
      <c r="AH30" s="2068"/>
      <c r="AI30" s="2068"/>
      <c r="AJ30" s="2068"/>
      <c r="AK30" s="2068"/>
      <c r="AL30" s="2068"/>
      <c r="AM30" s="2068"/>
      <c r="AN30" s="2068"/>
      <c r="AO30" s="2068"/>
      <c r="AP30" s="2068"/>
      <c r="AQ30" s="2068"/>
      <c r="AR30" s="2068"/>
      <c r="AS30" s="2068"/>
      <c r="AT30" s="2068"/>
      <c r="AU30" s="2068"/>
      <c r="AV30" s="2068"/>
      <c r="AW30" s="2068"/>
      <c r="AX30" s="2068"/>
      <c r="AY30" s="2068"/>
      <c r="AZ30" s="2068"/>
      <c r="BA30" s="2068"/>
      <c r="BB30" s="2068"/>
      <c r="BC30" s="2068"/>
      <c r="BD30" s="2068"/>
      <c r="BE30" s="2068"/>
      <c r="BF30" s="2068"/>
      <c r="BG30" s="2068"/>
      <c r="BH30" s="2068"/>
      <c r="BI30" s="2068"/>
      <c r="BJ30" s="2068"/>
      <c r="BK30" s="2068"/>
      <c r="BL30" s="2068"/>
      <c r="BM30" s="2068"/>
      <c r="BN30" s="2068"/>
      <c r="BO30" s="2068"/>
      <c r="BP30" s="2068"/>
      <c r="BQ30" s="2068" t="e">
        <f t="shared" ref="BQ30:DS30" si="51">BQ25</f>
        <v>#REF!</v>
      </c>
      <c r="BR30" s="2068" t="e">
        <f t="shared" si="51"/>
        <v>#REF!</v>
      </c>
      <c r="BS30" s="2068" t="e">
        <f t="shared" si="51"/>
        <v>#REF!</v>
      </c>
      <c r="BT30" s="2068" t="e">
        <f t="shared" si="51"/>
        <v>#REF!</v>
      </c>
      <c r="BU30" s="2068" t="e">
        <f t="shared" si="51"/>
        <v>#REF!</v>
      </c>
      <c r="BV30" s="2068" t="e">
        <f t="shared" si="51"/>
        <v>#REF!</v>
      </c>
      <c r="BW30" s="2068" t="e">
        <f t="shared" si="51"/>
        <v>#REF!</v>
      </c>
      <c r="BX30" s="2068" t="e">
        <f t="shared" si="51"/>
        <v>#REF!</v>
      </c>
      <c r="BY30" s="2068" t="e">
        <f t="shared" si="51"/>
        <v>#REF!</v>
      </c>
      <c r="BZ30" s="2068" t="e">
        <f t="shared" si="51"/>
        <v>#REF!</v>
      </c>
      <c r="CA30" s="2068" t="e">
        <f t="shared" si="51"/>
        <v>#REF!</v>
      </c>
      <c r="CB30" s="2068" t="e">
        <f t="shared" si="51"/>
        <v>#REF!</v>
      </c>
      <c r="CC30" s="2068" t="e">
        <f t="shared" si="51"/>
        <v>#REF!</v>
      </c>
      <c r="CD30" s="2068" t="e">
        <f t="shared" si="51"/>
        <v>#REF!</v>
      </c>
      <c r="CE30" s="2068" t="e">
        <f t="shared" si="51"/>
        <v>#REF!</v>
      </c>
      <c r="CF30" s="2068" t="e">
        <f t="shared" si="51"/>
        <v>#REF!</v>
      </c>
      <c r="CG30" s="2068" t="e">
        <f t="shared" si="51"/>
        <v>#REF!</v>
      </c>
      <c r="CH30" s="2068" t="e">
        <f t="shared" si="51"/>
        <v>#REF!</v>
      </c>
      <c r="CI30" s="2068" t="e">
        <f t="shared" si="51"/>
        <v>#REF!</v>
      </c>
      <c r="CJ30" s="2068" t="e">
        <f t="shared" si="51"/>
        <v>#REF!</v>
      </c>
      <c r="CK30" s="2068"/>
      <c r="CL30" s="2068"/>
      <c r="CM30" s="2068"/>
      <c r="CN30" s="2068"/>
      <c r="CO30" s="2068" t="e">
        <f t="shared" si="51"/>
        <v>#REF!</v>
      </c>
      <c r="CP30" s="2068" t="e">
        <f t="shared" si="51"/>
        <v>#REF!</v>
      </c>
      <c r="CQ30" s="2068"/>
      <c r="CR30" s="2068"/>
      <c r="CS30" s="2068" t="e">
        <f>CS25</f>
        <v>#REF!</v>
      </c>
      <c r="CT30" s="2068"/>
      <c r="CU30" s="2068" t="e">
        <f>CU25</f>
        <v>#REF!</v>
      </c>
      <c r="CV30" s="2068" t="e">
        <f t="shared" si="51"/>
        <v>#REF!</v>
      </c>
      <c r="CW30" s="2068" t="e">
        <f t="shared" si="51"/>
        <v>#REF!</v>
      </c>
      <c r="CX30" s="2068" t="e">
        <f t="shared" si="51"/>
        <v>#REF!</v>
      </c>
      <c r="CY30" s="2068" t="e">
        <f t="shared" si="51"/>
        <v>#REF!</v>
      </c>
      <c r="CZ30" s="2068" t="e">
        <f t="shared" si="51"/>
        <v>#REF!</v>
      </c>
      <c r="DA30" s="2068" t="e">
        <f>DA25</f>
        <v>#REF!</v>
      </c>
      <c r="DB30" s="2068" t="e">
        <f t="shared" si="51"/>
        <v>#REF!</v>
      </c>
      <c r="DC30" s="2068" t="e">
        <f t="shared" si="51"/>
        <v>#REF!</v>
      </c>
      <c r="DD30" s="2068" t="e">
        <f t="shared" si="51"/>
        <v>#REF!</v>
      </c>
      <c r="DE30" s="2068" t="e">
        <f t="shared" si="51"/>
        <v>#REF!</v>
      </c>
      <c r="DF30" s="2068" t="e">
        <f t="shared" si="51"/>
        <v>#REF!</v>
      </c>
      <c r="DG30" s="2068" t="e">
        <f t="shared" si="51"/>
        <v>#REF!</v>
      </c>
      <c r="DH30" s="2068">
        <f t="shared" si="51"/>
        <v>15125</v>
      </c>
      <c r="DI30" s="2068" t="e">
        <f t="shared" si="51"/>
        <v>#REF!</v>
      </c>
      <c r="DJ30" s="2068" t="e">
        <f t="shared" si="51"/>
        <v>#REF!</v>
      </c>
      <c r="DK30" s="2068" t="e">
        <f t="shared" si="51"/>
        <v>#REF!</v>
      </c>
      <c r="DL30" s="2068">
        <f t="shared" si="51"/>
        <v>19305</v>
      </c>
      <c r="DM30" s="2068">
        <f t="shared" si="51"/>
        <v>21175</v>
      </c>
      <c r="DN30" s="2068">
        <f t="shared" si="51"/>
        <v>19305</v>
      </c>
      <c r="DO30" s="2068">
        <f t="shared" si="51"/>
        <v>21175</v>
      </c>
      <c r="DP30" s="2068">
        <f>DP25</f>
        <v>35695</v>
      </c>
      <c r="DQ30" s="2068"/>
      <c r="DR30" s="2068"/>
      <c r="DS30" s="2068">
        <f t="shared" si="51"/>
        <v>19305</v>
      </c>
      <c r="DT30" s="2068" t="e">
        <f t="shared" ref="DT30:EF30" si="52">DT25</f>
        <v>#REF!</v>
      </c>
      <c r="DU30" s="2068" t="e">
        <f t="shared" si="52"/>
        <v>#REF!</v>
      </c>
      <c r="DV30" s="2068" t="e">
        <f t="shared" si="52"/>
        <v>#REF!</v>
      </c>
      <c r="DW30" s="2068" t="e">
        <f t="shared" si="52"/>
        <v>#REF!</v>
      </c>
      <c r="DX30" s="2068" t="e">
        <f t="shared" si="52"/>
        <v>#REF!</v>
      </c>
      <c r="DY30" s="2068" t="e">
        <f t="shared" si="52"/>
        <v>#REF!</v>
      </c>
      <c r="DZ30" s="2068" t="e">
        <f t="shared" si="52"/>
        <v>#REF!</v>
      </c>
      <c r="EA30" s="2068" t="e">
        <f t="shared" si="52"/>
        <v>#REF!</v>
      </c>
      <c r="EB30" s="2068" t="e">
        <f t="shared" si="52"/>
        <v>#REF!</v>
      </c>
      <c r="EC30" s="2068" t="e">
        <f t="shared" si="52"/>
        <v>#REF!</v>
      </c>
      <c r="ED30" s="2068" t="e">
        <f t="shared" si="52"/>
        <v>#REF!</v>
      </c>
      <c r="EE30" s="2068" t="e">
        <f t="shared" si="52"/>
        <v>#REF!</v>
      </c>
      <c r="EF30" s="2068" t="e">
        <f t="shared" si="52"/>
        <v>#REF!</v>
      </c>
      <c r="EG30" s="2068"/>
      <c r="EH30" s="2068"/>
      <c r="EI30" s="2068"/>
      <c r="EJ30" s="2068"/>
      <c r="EK30" s="2068"/>
      <c r="EL30" s="2068"/>
      <c r="EM30" s="2068"/>
      <c r="EN30" s="2068"/>
      <c r="EO30" s="2068"/>
      <c r="EP30" s="2068"/>
      <c r="EQ30" s="2068"/>
      <c r="ER30" s="2068"/>
      <c r="ES30" s="2068"/>
      <c r="ET30" s="2068"/>
      <c r="EU30" s="2068"/>
      <c r="EV30" s="2068"/>
      <c r="EW30" s="2068"/>
      <c r="EX30" s="2068"/>
      <c r="EY30" s="2068"/>
      <c r="EZ30" s="2068"/>
      <c r="FA30" s="2068"/>
      <c r="FB30" s="2068"/>
      <c r="FC30" s="2068"/>
      <c r="FD30" s="2068"/>
      <c r="FE30" s="2066"/>
      <c r="FF30" s="2066"/>
      <c r="FG30" s="2066"/>
      <c r="FH30" s="2066"/>
      <c r="FI30" s="2066"/>
      <c r="FJ30" s="2066"/>
    </row>
    <row r="31" spans="1:166" s="1553" customFormat="1" ht="17.25" hidden="1" customHeight="1" outlineLevel="2">
      <c r="A31" s="1552">
        <v>28</v>
      </c>
      <c r="B31" s="1555" t="s">
        <v>206</v>
      </c>
      <c r="C31" s="1493" t="s">
        <v>1425</v>
      </c>
      <c r="D31" s="1555" t="s">
        <v>206</v>
      </c>
      <c r="E31" s="1493" t="s">
        <v>276</v>
      </c>
      <c r="F31" s="1493" t="e">
        <f>Покрытия_ПВХ!#REF!</f>
        <v>#REF!</v>
      </c>
      <c r="G31" s="1493"/>
      <c r="H31" s="2068"/>
      <c r="I31" s="2068"/>
      <c r="J31" s="2068"/>
      <c r="K31" s="2068"/>
      <c r="L31" s="2068"/>
      <c r="M31" s="2068"/>
      <c r="N31" s="2068"/>
      <c r="O31" s="2068"/>
      <c r="P31" s="2068"/>
      <c r="Q31" s="2068"/>
      <c r="R31" s="2068"/>
      <c r="S31" s="2068"/>
      <c r="T31" s="2068"/>
      <c r="U31" s="2068"/>
      <c r="V31" s="2068"/>
      <c r="W31" s="2068"/>
      <c r="X31" s="2068"/>
      <c r="Y31" s="2068"/>
      <c r="Z31" s="2068"/>
      <c r="AA31" s="2068"/>
      <c r="AB31" s="2068"/>
      <c r="AC31" s="2068"/>
      <c r="AD31" s="2068"/>
      <c r="AE31" s="2068"/>
      <c r="AF31" s="2068"/>
      <c r="AG31" s="2068"/>
      <c r="AH31" s="2068"/>
      <c r="AI31" s="2068"/>
      <c r="AJ31" s="2068"/>
      <c r="AK31" s="2068"/>
      <c r="AL31" s="2068"/>
      <c r="AM31" s="2068"/>
      <c r="AN31" s="2068"/>
      <c r="AO31" s="2068"/>
      <c r="AP31" s="2068"/>
      <c r="AQ31" s="2068"/>
      <c r="AR31" s="2068"/>
      <c r="AS31" s="2068"/>
      <c r="AT31" s="2068"/>
      <c r="AU31" s="2068"/>
      <c r="AV31" s="2068"/>
      <c r="AW31" s="2068"/>
      <c r="AX31" s="2068"/>
      <c r="AY31" s="2068"/>
      <c r="AZ31" s="2068"/>
      <c r="BA31" s="2068"/>
      <c r="BB31" s="2068"/>
      <c r="BC31" s="2068"/>
      <c r="BD31" s="2068"/>
      <c r="BE31" s="2068"/>
      <c r="BF31" s="2068"/>
      <c r="BG31" s="2068"/>
      <c r="BH31" s="2068"/>
      <c r="BI31" s="2068"/>
      <c r="BJ31" s="2068"/>
      <c r="BK31" s="2068"/>
      <c r="BL31" s="2068"/>
      <c r="BM31" s="2068"/>
      <c r="BN31" s="2068"/>
      <c r="BO31" s="2068"/>
      <c r="BP31" s="2068"/>
      <c r="BQ31" s="2068" t="e">
        <f t="shared" ref="BQ31:DS31" si="53">BQ25</f>
        <v>#REF!</v>
      </c>
      <c r="BR31" s="2068" t="e">
        <f t="shared" si="53"/>
        <v>#REF!</v>
      </c>
      <c r="BS31" s="2068" t="e">
        <f t="shared" si="53"/>
        <v>#REF!</v>
      </c>
      <c r="BT31" s="2068" t="e">
        <f t="shared" si="53"/>
        <v>#REF!</v>
      </c>
      <c r="BU31" s="2068" t="e">
        <f t="shared" si="53"/>
        <v>#REF!</v>
      </c>
      <c r="BV31" s="2068" t="e">
        <f t="shared" si="53"/>
        <v>#REF!</v>
      </c>
      <c r="BW31" s="2068" t="e">
        <f t="shared" si="53"/>
        <v>#REF!</v>
      </c>
      <c r="BX31" s="2068" t="e">
        <f t="shared" si="53"/>
        <v>#REF!</v>
      </c>
      <c r="BY31" s="2068" t="e">
        <f t="shared" si="53"/>
        <v>#REF!</v>
      </c>
      <c r="BZ31" s="2068" t="e">
        <f t="shared" si="53"/>
        <v>#REF!</v>
      </c>
      <c r="CA31" s="2068" t="e">
        <f t="shared" si="53"/>
        <v>#REF!</v>
      </c>
      <c r="CB31" s="2068" t="e">
        <f t="shared" si="53"/>
        <v>#REF!</v>
      </c>
      <c r="CC31" s="2068" t="e">
        <f t="shared" si="53"/>
        <v>#REF!</v>
      </c>
      <c r="CD31" s="2068" t="e">
        <f t="shared" si="53"/>
        <v>#REF!</v>
      </c>
      <c r="CE31" s="2068" t="e">
        <f t="shared" si="53"/>
        <v>#REF!</v>
      </c>
      <c r="CF31" s="2068" t="e">
        <f t="shared" si="53"/>
        <v>#REF!</v>
      </c>
      <c r="CG31" s="2068" t="e">
        <f t="shared" si="53"/>
        <v>#REF!</v>
      </c>
      <c r="CH31" s="2068" t="e">
        <f t="shared" si="53"/>
        <v>#REF!</v>
      </c>
      <c r="CI31" s="2068" t="e">
        <f t="shared" si="53"/>
        <v>#REF!</v>
      </c>
      <c r="CJ31" s="2068" t="e">
        <f t="shared" si="53"/>
        <v>#REF!</v>
      </c>
      <c r="CK31" s="2068"/>
      <c r="CL31" s="2068"/>
      <c r="CM31" s="2068"/>
      <c r="CN31" s="2068"/>
      <c r="CO31" s="2068" t="e">
        <f t="shared" si="53"/>
        <v>#REF!</v>
      </c>
      <c r="CP31" s="2068" t="e">
        <f t="shared" si="53"/>
        <v>#REF!</v>
      </c>
      <c r="CQ31" s="2068"/>
      <c r="CR31" s="2068"/>
      <c r="CS31" s="2068" t="e">
        <f>CS25</f>
        <v>#REF!</v>
      </c>
      <c r="CT31" s="2068"/>
      <c r="CU31" s="2068" t="e">
        <f>CU25</f>
        <v>#REF!</v>
      </c>
      <c r="CV31" s="2068" t="e">
        <f t="shared" si="53"/>
        <v>#REF!</v>
      </c>
      <c r="CW31" s="2068" t="e">
        <f t="shared" si="53"/>
        <v>#REF!</v>
      </c>
      <c r="CX31" s="2068" t="e">
        <f t="shared" si="53"/>
        <v>#REF!</v>
      </c>
      <c r="CY31" s="2068" t="e">
        <f t="shared" si="53"/>
        <v>#REF!</v>
      </c>
      <c r="CZ31" s="2068" t="e">
        <f t="shared" si="53"/>
        <v>#REF!</v>
      </c>
      <c r="DA31" s="2068" t="e">
        <f>DA25</f>
        <v>#REF!</v>
      </c>
      <c r="DB31" s="2068" t="e">
        <f t="shared" si="53"/>
        <v>#REF!</v>
      </c>
      <c r="DC31" s="2068" t="e">
        <f t="shared" si="53"/>
        <v>#REF!</v>
      </c>
      <c r="DD31" s="2068" t="e">
        <f t="shared" si="53"/>
        <v>#REF!</v>
      </c>
      <c r="DE31" s="2068" t="e">
        <f t="shared" si="53"/>
        <v>#REF!</v>
      </c>
      <c r="DF31" s="2068" t="e">
        <f t="shared" si="53"/>
        <v>#REF!</v>
      </c>
      <c r="DG31" s="2068" t="e">
        <f t="shared" si="53"/>
        <v>#REF!</v>
      </c>
      <c r="DH31" s="2068">
        <f t="shared" si="53"/>
        <v>15125</v>
      </c>
      <c r="DI31" s="2068" t="e">
        <f t="shared" si="53"/>
        <v>#REF!</v>
      </c>
      <c r="DJ31" s="2068" t="e">
        <f t="shared" si="53"/>
        <v>#REF!</v>
      </c>
      <c r="DK31" s="2068" t="e">
        <f t="shared" si="53"/>
        <v>#REF!</v>
      </c>
      <c r="DL31" s="2068">
        <f t="shared" si="53"/>
        <v>19305</v>
      </c>
      <c r="DM31" s="2068">
        <f t="shared" si="53"/>
        <v>21175</v>
      </c>
      <c r="DN31" s="2068">
        <f t="shared" si="53"/>
        <v>19305</v>
      </c>
      <c r="DO31" s="2068">
        <f t="shared" si="53"/>
        <v>21175</v>
      </c>
      <c r="DP31" s="2068">
        <f>DP25</f>
        <v>35695</v>
      </c>
      <c r="DQ31" s="2068"/>
      <c r="DR31" s="2068"/>
      <c r="DS31" s="2068">
        <f t="shared" si="53"/>
        <v>19305</v>
      </c>
      <c r="DT31" s="2068" t="e">
        <f t="shared" ref="DT31:EF31" si="54">DT25</f>
        <v>#REF!</v>
      </c>
      <c r="DU31" s="2068" t="e">
        <f t="shared" si="54"/>
        <v>#REF!</v>
      </c>
      <c r="DV31" s="2068" t="e">
        <f t="shared" si="54"/>
        <v>#REF!</v>
      </c>
      <c r="DW31" s="2068" t="e">
        <f t="shared" si="54"/>
        <v>#REF!</v>
      </c>
      <c r="DX31" s="2068" t="e">
        <f t="shared" si="54"/>
        <v>#REF!</v>
      </c>
      <c r="DY31" s="2068" t="e">
        <f t="shared" si="54"/>
        <v>#REF!</v>
      </c>
      <c r="DZ31" s="2068" t="e">
        <f t="shared" si="54"/>
        <v>#REF!</v>
      </c>
      <c r="EA31" s="2068" t="e">
        <f t="shared" si="54"/>
        <v>#REF!</v>
      </c>
      <c r="EB31" s="2068" t="e">
        <f t="shared" si="54"/>
        <v>#REF!</v>
      </c>
      <c r="EC31" s="2068" t="e">
        <f t="shared" si="54"/>
        <v>#REF!</v>
      </c>
      <c r="ED31" s="2068" t="e">
        <f t="shared" si="54"/>
        <v>#REF!</v>
      </c>
      <c r="EE31" s="2068" t="e">
        <f t="shared" si="54"/>
        <v>#REF!</v>
      </c>
      <c r="EF31" s="2068" t="e">
        <f t="shared" si="54"/>
        <v>#REF!</v>
      </c>
      <c r="EG31" s="2068"/>
      <c r="EH31" s="2068"/>
      <c r="EI31" s="2068"/>
      <c r="EJ31" s="2068"/>
      <c r="EK31" s="2068"/>
      <c r="EL31" s="2068"/>
      <c r="EM31" s="2068"/>
      <c r="EN31" s="2068"/>
      <c r="EO31" s="2068"/>
      <c r="EP31" s="2068"/>
      <c r="EQ31" s="2068"/>
      <c r="ER31" s="2068"/>
      <c r="ES31" s="2068"/>
      <c r="ET31" s="2068"/>
      <c r="EU31" s="2068"/>
      <c r="EV31" s="2068"/>
      <c r="EW31" s="2068"/>
      <c r="EX31" s="2068"/>
      <c r="EY31" s="2068"/>
      <c r="EZ31" s="2068"/>
      <c r="FA31" s="2068"/>
      <c r="FB31" s="2068"/>
      <c r="FC31" s="2068"/>
      <c r="FD31" s="2068"/>
      <c r="FE31" s="2066"/>
      <c r="FF31" s="2066"/>
      <c r="FG31" s="2066"/>
      <c r="FH31" s="2066"/>
      <c r="FI31" s="2066"/>
      <c r="FJ31" s="2066"/>
    </row>
    <row r="32" spans="1:166" s="1553" customFormat="1" ht="17.25" hidden="1" customHeight="1" outlineLevel="2">
      <c r="A32" s="1549">
        <v>29</v>
      </c>
      <c r="B32" s="1555" t="s">
        <v>206</v>
      </c>
      <c r="C32" s="1493" t="s">
        <v>1425</v>
      </c>
      <c r="D32" s="1555" t="s">
        <v>206</v>
      </c>
      <c r="E32" s="1493" t="s">
        <v>276</v>
      </c>
      <c r="F32" s="1493" t="str">
        <f>Покрытия_ПВХ!E22</f>
        <v>Дуб бомонд грей</v>
      </c>
      <c r="G32" s="1493"/>
      <c r="H32" s="2068"/>
      <c r="I32" s="2068"/>
      <c r="J32" s="2068"/>
      <c r="K32" s="2068"/>
      <c r="L32" s="2068"/>
      <c r="M32" s="2068"/>
      <c r="N32" s="2068"/>
      <c r="O32" s="2068"/>
      <c r="P32" s="2068"/>
      <c r="Q32" s="2068"/>
      <c r="R32" s="2068"/>
      <c r="S32" s="2068"/>
      <c r="T32" s="2068"/>
      <c r="U32" s="2068"/>
      <c r="V32" s="2068"/>
      <c r="W32" s="2068"/>
      <c r="X32" s="2068"/>
      <c r="Y32" s="2068"/>
      <c r="Z32" s="2068"/>
      <c r="AA32" s="2068"/>
      <c r="AB32" s="2068"/>
      <c r="AC32" s="2068"/>
      <c r="AD32" s="2068"/>
      <c r="AE32" s="2068"/>
      <c r="AF32" s="2068"/>
      <c r="AG32" s="2068"/>
      <c r="AH32" s="2068"/>
      <c r="AI32" s="2068"/>
      <c r="AJ32" s="2068"/>
      <c r="AK32" s="2068"/>
      <c r="AL32" s="2068"/>
      <c r="AM32" s="2068"/>
      <c r="AN32" s="2068"/>
      <c r="AO32" s="2068"/>
      <c r="AP32" s="2068"/>
      <c r="AQ32" s="2068"/>
      <c r="AR32" s="2068"/>
      <c r="AS32" s="2068"/>
      <c r="AT32" s="2068"/>
      <c r="AU32" s="2068"/>
      <c r="AV32" s="2068"/>
      <c r="AW32" s="2068"/>
      <c r="AX32" s="2068"/>
      <c r="AY32" s="2068"/>
      <c r="AZ32" s="2068"/>
      <c r="BA32" s="2068"/>
      <c r="BB32" s="2068"/>
      <c r="BC32" s="2068"/>
      <c r="BD32" s="2068"/>
      <c r="BE32" s="2068"/>
      <c r="BF32" s="2068"/>
      <c r="BG32" s="2068"/>
      <c r="BH32" s="2068"/>
      <c r="BI32" s="2068"/>
      <c r="BJ32" s="2068"/>
      <c r="BK32" s="2068"/>
      <c r="BL32" s="2068"/>
      <c r="BM32" s="2068"/>
      <c r="BN32" s="2068"/>
      <c r="BO32" s="2068"/>
      <c r="BP32" s="2068"/>
      <c r="BQ32" s="2068" t="e">
        <f t="shared" ref="BQ32:DS32" si="55">BQ25</f>
        <v>#REF!</v>
      </c>
      <c r="BR32" s="2068" t="e">
        <f t="shared" si="55"/>
        <v>#REF!</v>
      </c>
      <c r="BS32" s="2068" t="e">
        <f t="shared" si="55"/>
        <v>#REF!</v>
      </c>
      <c r="BT32" s="2068" t="e">
        <f t="shared" si="55"/>
        <v>#REF!</v>
      </c>
      <c r="BU32" s="2068" t="e">
        <f t="shared" si="55"/>
        <v>#REF!</v>
      </c>
      <c r="BV32" s="2068" t="e">
        <f t="shared" si="55"/>
        <v>#REF!</v>
      </c>
      <c r="BW32" s="2068" t="e">
        <f t="shared" si="55"/>
        <v>#REF!</v>
      </c>
      <c r="BX32" s="2068" t="e">
        <f t="shared" si="55"/>
        <v>#REF!</v>
      </c>
      <c r="BY32" s="2068" t="e">
        <f t="shared" si="55"/>
        <v>#REF!</v>
      </c>
      <c r="BZ32" s="2068" t="e">
        <f t="shared" si="55"/>
        <v>#REF!</v>
      </c>
      <c r="CA32" s="2068" t="e">
        <f t="shared" si="55"/>
        <v>#REF!</v>
      </c>
      <c r="CB32" s="2068" t="e">
        <f t="shared" si="55"/>
        <v>#REF!</v>
      </c>
      <c r="CC32" s="2068" t="e">
        <f t="shared" si="55"/>
        <v>#REF!</v>
      </c>
      <c r="CD32" s="2068" t="e">
        <f t="shared" si="55"/>
        <v>#REF!</v>
      </c>
      <c r="CE32" s="2068" t="e">
        <f t="shared" si="55"/>
        <v>#REF!</v>
      </c>
      <c r="CF32" s="2068" t="e">
        <f t="shared" si="55"/>
        <v>#REF!</v>
      </c>
      <c r="CG32" s="2068" t="e">
        <f t="shared" si="55"/>
        <v>#REF!</v>
      </c>
      <c r="CH32" s="2068" t="e">
        <f t="shared" si="55"/>
        <v>#REF!</v>
      </c>
      <c r="CI32" s="2068" t="e">
        <f t="shared" si="55"/>
        <v>#REF!</v>
      </c>
      <c r="CJ32" s="2068" t="e">
        <f t="shared" si="55"/>
        <v>#REF!</v>
      </c>
      <c r="CK32" s="2068"/>
      <c r="CL32" s="2068"/>
      <c r="CM32" s="2068"/>
      <c r="CN32" s="2068"/>
      <c r="CO32" s="2068" t="e">
        <f t="shared" si="55"/>
        <v>#REF!</v>
      </c>
      <c r="CP32" s="2068" t="e">
        <f t="shared" si="55"/>
        <v>#REF!</v>
      </c>
      <c r="CQ32" s="2068"/>
      <c r="CR32" s="2068"/>
      <c r="CS32" s="2068" t="e">
        <f>CS25</f>
        <v>#REF!</v>
      </c>
      <c r="CT32" s="2068"/>
      <c r="CU32" s="2068" t="e">
        <f>CU25</f>
        <v>#REF!</v>
      </c>
      <c r="CV32" s="2068" t="e">
        <f t="shared" si="55"/>
        <v>#REF!</v>
      </c>
      <c r="CW32" s="2068" t="e">
        <f t="shared" si="55"/>
        <v>#REF!</v>
      </c>
      <c r="CX32" s="2068" t="e">
        <f t="shared" si="55"/>
        <v>#REF!</v>
      </c>
      <c r="CY32" s="2068" t="e">
        <f t="shared" si="55"/>
        <v>#REF!</v>
      </c>
      <c r="CZ32" s="2068" t="e">
        <f t="shared" si="55"/>
        <v>#REF!</v>
      </c>
      <c r="DA32" s="2068" t="e">
        <f>DA25</f>
        <v>#REF!</v>
      </c>
      <c r="DB32" s="2068" t="e">
        <f t="shared" si="55"/>
        <v>#REF!</v>
      </c>
      <c r="DC32" s="2068" t="e">
        <f t="shared" si="55"/>
        <v>#REF!</v>
      </c>
      <c r="DD32" s="2068" t="e">
        <f t="shared" si="55"/>
        <v>#REF!</v>
      </c>
      <c r="DE32" s="2068" t="e">
        <f t="shared" si="55"/>
        <v>#REF!</v>
      </c>
      <c r="DF32" s="2068" t="e">
        <f t="shared" si="55"/>
        <v>#REF!</v>
      </c>
      <c r="DG32" s="2068" t="e">
        <f t="shared" si="55"/>
        <v>#REF!</v>
      </c>
      <c r="DH32" s="2068">
        <f t="shared" si="55"/>
        <v>15125</v>
      </c>
      <c r="DI32" s="2068" t="e">
        <f t="shared" si="55"/>
        <v>#REF!</v>
      </c>
      <c r="DJ32" s="2068" t="e">
        <f t="shared" si="55"/>
        <v>#REF!</v>
      </c>
      <c r="DK32" s="2068" t="e">
        <f t="shared" si="55"/>
        <v>#REF!</v>
      </c>
      <c r="DL32" s="2068">
        <f t="shared" si="55"/>
        <v>19305</v>
      </c>
      <c r="DM32" s="2068">
        <f t="shared" si="55"/>
        <v>21175</v>
      </c>
      <c r="DN32" s="2068">
        <f t="shared" si="55"/>
        <v>19305</v>
      </c>
      <c r="DO32" s="2068">
        <f t="shared" si="55"/>
        <v>21175</v>
      </c>
      <c r="DP32" s="2068">
        <f>DP25</f>
        <v>35695</v>
      </c>
      <c r="DQ32" s="2068"/>
      <c r="DR32" s="2068"/>
      <c r="DS32" s="2068">
        <f t="shared" si="55"/>
        <v>19305</v>
      </c>
      <c r="DT32" s="2068" t="e">
        <f t="shared" ref="DT32:EF32" si="56">DT25</f>
        <v>#REF!</v>
      </c>
      <c r="DU32" s="2068" t="e">
        <f t="shared" si="56"/>
        <v>#REF!</v>
      </c>
      <c r="DV32" s="2068" t="e">
        <f t="shared" si="56"/>
        <v>#REF!</v>
      </c>
      <c r="DW32" s="2068" t="e">
        <f t="shared" si="56"/>
        <v>#REF!</v>
      </c>
      <c r="DX32" s="2068" t="e">
        <f t="shared" si="56"/>
        <v>#REF!</v>
      </c>
      <c r="DY32" s="2068" t="e">
        <f t="shared" si="56"/>
        <v>#REF!</v>
      </c>
      <c r="DZ32" s="2068" t="e">
        <f t="shared" si="56"/>
        <v>#REF!</v>
      </c>
      <c r="EA32" s="2068" t="e">
        <f t="shared" si="56"/>
        <v>#REF!</v>
      </c>
      <c r="EB32" s="2068" t="e">
        <f t="shared" si="56"/>
        <v>#REF!</v>
      </c>
      <c r="EC32" s="2068" t="e">
        <f t="shared" si="56"/>
        <v>#REF!</v>
      </c>
      <c r="ED32" s="2068" t="e">
        <f t="shared" si="56"/>
        <v>#REF!</v>
      </c>
      <c r="EE32" s="2068" t="e">
        <f t="shared" si="56"/>
        <v>#REF!</v>
      </c>
      <c r="EF32" s="2068" t="e">
        <f t="shared" si="56"/>
        <v>#REF!</v>
      </c>
      <c r="EG32" s="2068"/>
      <c r="EH32" s="2068"/>
      <c r="EI32" s="2068"/>
      <c r="EJ32" s="2068"/>
      <c r="EK32" s="2068"/>
      <c r="EL32" s="2068"/>
      <c r="EM32" s="2068"/>
      <c r="EN32" s="2068"/>
      <c r="EO32" s="2068"/>
      <c r="EP32" s="2068"/>
      <c r="EQ32" s="2068"/>
      <c r="ER32" s="2068"/>
      <c r="ES32" s="2068"/>
      <c r="ET32" s="2068"/>
      <c r="EU32" s="2068"/>
      <c r="EV32" s="2068"/>
      <c r="EW32" s="2068"/>
      <c r="EX32" s="2068"/>
      <c r="EY32" s="2068"/>
      <c r="EZ32" s="2068"/>
      <c r="FA32" s="2068"/>
      <c r="FB32" s="2068"/>
      <c r="FC32" s="2068"/>
      <c r="FD32" s="2068"/>
      <c r="FE32" s="2066"/>
      <c r="FF32" s="2066"/>
      <c r="FG32" s="2066"/>
      <c r="FH32" s="2066"/>
      <c r="FI32" s="2066"/>
      <c r="FJ32" s="2066"/>
    </row>
    <row r="33" spans="1:166" s="1553" customFormat="1" ht="17.25" hidden="1" customHeight="1" outlineLevel="2">
      <c r="A33" s="1552">
        <v>30</v>
      </c>
      <c r="B33" s="1555" t="s">
        <v>206</v>
      </c>
      <c r="C33" s="1493" t="s">
        <v>1425</v>
      </c>
      <c r="D33" s="1555" t="s">
        <v>206</v>
      </c>
      <c r="E33" s="1493" t="s">
        <v>276</v>
      </c>
      <c r="F33" s="1493" t="str">
        <f>Покрытия_ПВХ!E23</f>
        <v>Дуб бомонт натур</v>
      </c>
      <c r="G33" s="1493"/>
      <c r="H33" s="2068"/>
      <c r="I33" s="2068"/>
      <c r="J33" s="2068"/>
      <c r="K33" s="2068"/>
      <c r="L33" s="2068"/>
      <c r="M33" s="2068"/>
      <c r="N33" s="2068"/>
      <c r="O33" s="2068"/>
      <c r="P33" s="2068"/>
      <c r="Q33" s="2068"/>
      <c r="R33" s="2068"/>
      <c r="S33" s="2068"/>
      <c r="T33" s="2068"/>
      <c r="U33" s="2068"/>
      <c r="V33" s="2068"/>
      <c r="W33" s="2068"/>
      <c r="X33" s="2068"/>
      <c r="Y33" s="2068"/>
      <c r="Z33" s="2068"/>
      <c r="AA33" s="2068"/>
      <c r="AB33" s="2068"/>
      <c r="AC33" s="2068"/>
      <c r="AD33" s="2068"/>
      <c r="AE33" s="2068"/>
      <c r="AF33" s="2068"/>
      <c r="AG33" s="2068"/>
      <c r="AH33" s="2068"/>
      <c r="AI33" s="2068"/>
      <c r="AJ33" s="2068"/>
      <c r="AK33" s="2068"/>
      <c r="AL33" s="2068"/>
      <c r="AM33" s="2068"/>
      <c r="AN33" s="2068"/>
      <c r="AO33" s="2068"/>
      <c r="AP33" s="2068"/>
      <c r="AQ33" s="2068"/>
      <c r="AR33" s="2068"/>
      <c r="AS33" s="2068"/>
      <c r="AT33" s="2068"/>
      <c r="AU33" s="2068"/>
      <c r="AV33" s="2068"/>
      <c r="AW33" s="2068"/>
      <c r="AX33" s="2068"/>
      <c r="AY33" s="2068"/>
      <c r="AZ33" s="2068"/>
      <c r="BA33" s="2068"/>
      <c r="BB33" s="2068"/>
      <c r="BC33" s="2068"/>
      <c r="BD33" s="2068"/>
      <c r="BE33" s="2068"/>
      <c r="BF33" s="2068"/>
      <c r="BG33" s="2068"/>
      <c r="BH33" s="2068"/>
      <c r="BI33" s="2068"/>
      <c r="BJ33" s="2068"/>
      <c r="BK33" s="2068"/>
      <c r="BL33" s="2068"/>
      <c r="BM33" s="2068"/>
      <c r="BN33" s="2068"/>
      <c r="BO33" s="2068"/>
      <c r="BP33" s="2068"/>
      <c r="BQ33" s="2068" t="e">
        <f t="shared" ref="BQ33:DS33" si="57">BQ25</f>
        <v>#REF!</v>
      </c>
      <c r="BR33" s="2068" t="e">
        <f t="shared" si="57"/>
        <v>#REF!</v>
      </c>
      <c r="BS33" s="2068" t="e">
        <f t="shared" si="57"/>
        <v>#REF!</v>
      </c>
      <c r="BT33" s="2068" t="e">
        <f t="shared" si="57"/>
        <v>#REF!</v>
      </c>
      <c r="BU33" s="2068" t="e">
        <f t="shared" si="57"/>
        <v>#REF!</v>
      </c>
      <c r="BV33" s="2068" t="e">
        <f t="shared" si="57"/>
        <v>#REF!</v>
      </c>
      <c r="BW33" s="2068" t="e">
        <f t="shared" si="57"/>
        <v>#REF!</v>
      </c>
      <c r="BX33" s="2068" t="e">
        <f t="shared" si="57"/>
        <v>#REF!</v>
      </c>
      <c r="BY33" s="2068" t="e">
        <f t="shared" si="57"/>
        <v>#REF!</v>
      </c>
      <c r="BZ33" s="2068" t="e">
        <f t="shared" si="57"/>
        <v>#REF!</v>
      </c>
      <c r="CA33" s="2068" t="e">
        <f t="shared" si="57"/>
        <v>#REF!</v>
      </c>
      <c r="CB33" s="2068" t="e">
        <f t="shared" si="57"/>
        <v>#REF!</v>
      </c>
      <c r="CC33" s="2068" t="e">
        <f t="shared" si="57"/>
        <v>#REF!</v>
      </c>
      <c r="CD33" s="2068" t="e">
        <f t="shared" si="57"/>
        <v>#REF!</v>
      </c>
      <c r="CE33" s="2068" t="e">
        <f t="shared" si="57"/>
        <v>#REF!</v>
      </c>
      <c r="CF33" s="2068" t="e">
        <f t="shared" si="57"/>
        <v>#REF!</v>
      </c>
      <c r="CG33" s="2068" t="e">
        <f t="shared" si="57"/>
        <v>#REF!</v>
      </c>
      <c r="CH33" s="2068" t="e">
        <f t="shared" si="57"/>
        <v>#REF!</v>
      </c>
      <c r="CI33" s="2068" t="e">
        <f t="shared" si="57"/>
        <v>#REF!</v>
      </c>
      <c r="CJ33" s="2068" t="e">
        <f t="shared" si="57"/>
        <v>#REF!</v>
      </c>
      <c r="CK33" s="2068"/>
      <c r="CL33" s="2068"/>
      <c r="CM33" s="2068"/>
      <c r="CN33" s="2068"/>
      <c r="CO33" s="2068" t="e">
        <f t="shared" si="57"/>
        <v>#REF!</v>
      </c>
      <c r="CP33" s="2068" t="e">
        <f t="shared" si="57"/>
        <v>#REF!</v>
      </c>
      <c r="CQ33" s="2068"/>
      <c r="CR33" s="2068"/>
      <c r="CS33" s="2068" t="e">
        <f>CS25</f>
        <v>#REF!</v>
      </c>
      <c r="CT33" s="2068"/>
      <c r="CU33" s="2068" t="e">
        <f>CU25</f>
        <v>#REF!</v>
      </c>
      <c r="CV33" s="2068" t="e">
        <f t="shared" si="57"/>
        <v>#REF!</v>
      </c>
      <c r="CW33" s="2068" t="e">
        <f t="shared" si="57"/>
        <v>#REF!</v>
      </c>
      <c r="CX33" s="2068" t="e">
        <f t="shared" si="57"/>
        <v>#REF!</v>
      </c>
      <c r="CY33" s="2068" t="e">
        <f t="shared" si="57"/>
        <v>#REF!</v>
      </c>
      <c r="CZ33" s="2068" t="e">
        <f t="shared" si="57"/>
        <v>#REF!</v>
      </c>
      <c r="DA33" s="2068" t="e">
        <f>DA25</f>
        <v>#REF!</v>
      </c>
      <c r="DB33" s="2068" t="e">
        <f t="shared" si="57"/>
        <v>#REF!</v>
      </c>
      <c r="DC33" s="2068" t="e">
        <f t="shared" si="57"/>
        <v>#REF!</v>
      </c>
      <c r="DD33" s="2068" t="e">
        <f t="shared" si="57"/>
        <v>#REF!</v>
      </c>
      <c r="DE33" s="2068" t="e">
        <f t="shared" si="57"/>
        <v>#REF!</v>
      </c>
      <c r="DF33" s="2068" t="e">
        <f t="shared" si="57"/>
        <v>#REF!</v>
      </c>
      <c r="DG33" s="2068" t="e">
        <f t="shared" si="57"/>
        <v>#REF!</v>
      </c>
      <c r="DH33" s="2068">
        <f t="shared" si="57"/>
        <v>15125</v>
      </c>
      <c r="DI33" s="2068" t="e">
        <f t="shared" si="57"/>
        <v>#REF!</v>
      </c>
      <c r="DJ33" s="2068" t="e">
        <f t="shared" si="57"/>
        <v>#REF!</v>
      </c>
      <c r="DK33" s="2068" t="e">
        <f t="shared" si="57"/>
        <v>#REF!</v>
      </c>
      <c r="DL33" s="2068">
        <f t="shared" si="57"/>
        <v>19305</v>
      </c>
      <c r="DM33" s="2068">
        <f t="shared" si="57"/>
        <v>21175</v>
      </c>
      <c r="DN33" s="2068">
        <f t="shared" si="57"/>
        <v>19305</v>
      </c>
      <c r="DO33" s="2068">
        <f t="shared" si="57"/>
        <v>21175</v>
      </c>
      <c r="DP33" s="2068">
        <f>DP25</f>
        <v>35695</v>
      </c>
      <c r="DQ33" s="2068"/>
      <c r="DR33" s="2068"/>
      <c r="DS33" s="2068">
        <f t="shared" si="57"/>
        <v>19305</v>
      </c>
      <c r="DT33" s="2068" t="e">
        <f t="shared" ref="DT33:EF33" si="58">DT25</f>
        <v>#REF!</v>
      </c>
      <c r="DU33" s="2068" t="e">
        <f t="shared" si="58"/>
        <v>#REF!</v>
      </c>
      <c r="DV33" s="2068" t="e">
        <f t="shared" si="58"/>
        <v>#REF!</v>
      </c>
      <c r="DW33" s="2068" t="e">
        <f t="shared" si="58"/>
        <v>#REF!</v>
      </c>
      <c r="DX33" s="2068" t="e">
        <f t="shared" si="58"/>
        <v>#REF!</v>
      </c>
      <c r="DY33" s="2068" t="e">
        <f t="shared" si="58"/>
        <v>#REF!</v>
      </c>
      <c r="DZ33" s="2068" t="e">
        <f t="shared" si="58"/>
        <v>#REF!</v>
      </c>
      <c r="EA33" s="2068" t="e">
        <f t="shared" si="58"/>
        <v>#REF!</v>
      </c>
      <c r="EB33" s="2068" t="e">
        <f t="shared" si="58"/>
        <v>#REF!</v>
      </c>
      <c r="EC33" s="2068" t="e">
        <f t="shared" si="58"/>
        <v>#REF!</v>
      </c>
      <c r="ED33" s="2068" t="e">
        <f t="shared" si="58"/>
        <v>#REF!</v>
      </c>
      <c r="EE33" s="2068" t="e">
        <f t="shared" si="58"/>
        <v>#REF!</v>
      </c>
      <c r="EF33" s="2068" t="e">
        <f t="shared" si="58"/>
        <v>#REF!</v>
      </c>
      <c r="EG33" s="2068"/>
      <c r="EH33" s="2068"/>
      <c r="EI33" s="2068"/>
      <c r="EJ33" s="2068"/>
      <c r="EK33" s="2068"/>
      <c r="EL33" s="2068"/>
      <c r="EM33" s="2068"/>
      <c r="EN33" s="2068"/>
      <c r="EO33" s="2068"/>
      <c r="EP33" s="2068"/>
      <c r="EQ33" s="2068"/>
      <c r="ER33" s="2068"/>
      <c r="ES33" s="2068"/>
      <c r="ET33" s="2068"/>
      <c r="EU33" s="2068"/>
      <c r="EV33" s="2068"/>
      <c r="EW33" s="2068"/>
      <c r="EX33" s="2068"/>
      <c r="EY33" s="2068"/>
      <c r="EZ33" s="2068"/>
      <c r="FA33" s="2068"/>
      <c r="FB33" s="2068"/>
      <c r="FC33" s="2068"/>
      <c r="FD33" s="2068"/>
      <c r="FE33" s="2066"/>
      <c r="FF33" s="2066"/>
      <c r="FG33" s="2066"/>
      <c r="FH33" s="2066"/>
      <c r="FI33" s="2066"/>
      <c r="FJ33" s="2066"/>
    </row>
    <row r="34" spans="1:166" s="1553" customFormat="1" ht="17.25" hidden="1" customHeight="1" outlineLevel="2">
      <c r="A34" s="1549">
        <v>31</v>
      </c>
      <c r="B34" s="1555" t="s">
        <v>206</v>
      </c>
      <c r="C34" s="1493" t="s">
        <v>1425</v>
      </c>
      <c r="D34" s="1555" t="s">
        <v>206</v>
      </c>
      <c r="E34" s="1493" t="s">
        <v>276</v>
      </c>
      <c r="F34" s="1493" t="str">
        <f>Покрытия_ПВХ!E24</f>
        <v>Дуб бомонт лофт</v>
      </c>
      <c r="G34" s="1493"/>
      <c r="H34" s="2068"/>
      <c r="I34" s="2068"/>
      <c r="J34" s="2068"/>
      <c r="K34" s="2068"/>
      <c r="L34" s="2068"/>
      <c r="M34" s="2068"/>
      <c r="N34" s="2068"/>
      <c r="O34" s="2068"/>
      <c r="P34" s="2068"/>
      <c r="Q34" s="2068"/>
      <c r="R34" s="2068"/>
      <c r="S34" s="2068"/>
      <c r="T34" s="2068"/>
      <c r="U34" s="2068"/>
      <c r="V34" s="2068"/>
      <c r="W34" s="2068"/>
      <c r="X34" s="2068"/>
      <c r="Y34" s="2068"/>
      <c r="Z34" s="2068"/>
      <c r="AA34" s="2068"/>
      <c r="AB34" s="2068"/>
      <c r="AC34" s="2068"/>
      <c r="AD34" s="2068"/>
      <c r="AE34" s="2068"/>
      <c r="AF34" s="2068"/>
      <c r="AG34" s="2068"/>
      <c r="AH34" s="2068"/>
      <c r="AI34" s="2068"/>
      <c r="AJ34" s="2068"/>
      <c r="AK34" s="2068"/>
      <c r="AL34" s="2068"/>
      <c r="AM34" s="2068"/>
      <c r="AN34" s="2068"/>
      <c r="AO34" s="2068"/>
      <c r="AP34" s="2068"/>
      <c r="AQ34" s="2068"/>
      <c r="AR34" s="2068"/>
      <c r="AS34" s="2068"/>
      <c r="AT34" s="2068"/>
      <c r="AU34" s="2068"/>
      <c r="AV34" s="2068"/>
      <c r="AW34" s="2068"/>
      <c r="AX34" s="2068"/>
      <c r="AY34" s="2068"/>
      <c r="AZ34" s="2068"/>
      <c r="BA34" s="2068"/>
      <c r="BB34" s="2068"/>
      <c r="BC34" s="2068"/>
      <c r="BD34" s="2068"/>
      <c r="BE34" s="2068"/>
      <c r="BF34" s="2068"/>
      <c r="BG34" s="2068"/>
      <c r="BH34" s="2068"/>
      <c r="BI34" s="2068"/>
      <c r="BJ34" s="2068"/>
      <c r="BK34" s="2068"/>
      <c r="BL34" s="2068"/>
      <c r="BM34" s="2068"/>
      <c r="BN34" s="2068"/>
      <c r="BO34" s="2068"/>
      <c r="BP34" s="2068"/>
      <c r="BQ34" s="2068" t="e">
        <f t="shared" ref="BQ34:DS34" si="59">BQ25</f>
        <v>#REF!</v>
      </c>
      <c r="BR34" s="2068" t="e">
        <f t="shared" si="59"/>
        <v>#REF!</v>
      </c>
      <c r="BS34" s="2068" t="e">
        <f t="shared" si="59"/>
        <v>#REF!</v>
      </c>
      <c r="BT34" s="2068" t="e">
        <f t="shared" si="59"/>
        <v>#REF!</v>
      </c>
      <c r="BU34" s="2068" t="e">
        <f t="shared" si="59"/>
        <v>#REF!</v>
      </c>
      <c r="BV34" s="2068" t="e">
        <f t="shared" si="59"/>
        <v>#REF!</v>
      </c>
      <c r="BW34" s="2068" t="e">
        <f t="shared" si="59"/>
        <v>#REF!</v>
      </c>
      <c r="BX34" s="2068" t="e">
        <f t="shared" si="59"/>
        <v>#REF!</v>
      </c>
      <c r="BY34" s="2068" t="e">
        <f t="shared" si="59"/>
        <v>#REF!</v>
      </c>
      <c r="BZ34" s="2068" t="e">
        <f t="shared" si="59"/>
        <v>#REF!</v>
      </c>
      <c r="CA34" s="2068" t="e">
        <f t="shared" si="59"/>
        <v>#REF!</v>
      </c>
      <c r="CB34" s="2068" t="e">
        <f t="shared" si="59"/>
        <v>#REF!</v>
      </c>
      <c r="CC34" s="2068" t="e">
        <f t="shared" si="59"/>
        <v>#REF!</v>
      </c>
      <c r="CD34" s="2068" t="e">
        <f t="shared" si="59"/>
        <v>#REF!</v>
      </c>
      <c r="CE34" s="2068" t="e">
        <f t="shared" si="59"/>
        <v>#REF!</v>
      </c>
      <c r="CF34" s="2068" t="e">
        <f t="shared" si="59"/>
        <v>#REF!</v>
      </c>
      <c r="CG34" s="2068" t="e">
        <f t="shared" si="59"/>
        <v>#REF!</v>
      </c>
      <c r="CH34" s="2068" t="e">
        <f t="shared" si="59"/>
        <v>#REF!</v>
      </c>
      <c r="CI34" s="2068" t="e">
        <f t="shared" si="59"/>
        <v>#REF!</v>
      </c>
      <c r="CJ34" s="2068" t="e">
        <f t="shared" si="59"/>
        <v>#REF!</v>
      </c>
      <c r="CK34" s="2068"/>
      <c r="CL34" s="2068"/>
      <c r="CM34" s="2068"/>
      <c r="CN34" s="2068"/>
      <c r="CO34" s="2068" t="e">
        <f t="shared" si="59"/>
        <v>#REF!</v>
      </c>
      <c r="CP34" s="2068" t="e">
        <f t="shared" si="59"/>
        <v>#REF!</v>
      </c>
      <c r="CQ34" s="2068"/>
      <c r="CR34" s="2068"/>
      <c r="CS34" s="2068" t="e">
        <f>CS25</f>
        <v>#REF!</v>
      </c>
      <c r="CT34" s="2068"/>
      <c r="CU34" s="2068" t="e">
        <f>CU25</f>
        <v>#REF!</v>
      </c>
      <c r="CV34" s="2068" t="e">
        <f t="shared" si="59"/>
        <v>#REF!</v>
      </c>
      <c r="CW34" s="2068" t="e">
        <f t="shared" si="59"/>
        <v>#REF!</v>
      </c>
      <c r="CX34" s="2068" t="e">
        <f t="shared" si="59"/>
        <v>#REF!</v>
      </c>
      <c r="CY34" s="2068" t="e">
        <f t="shared" si="59"/>
        <v>#REF!</v>
      </c>
      <c r="CZ34" s="2068" t="e">
        <f t="shared" si="59"/>
        <v>#REF!</v>
      </c>
      <c r="DA34" s="2068" t="e">
        <f>DA25</f>
        <v>#REF!</v>
      </c>
      <c r="DB34" s="2068" t="e">
        <f t="shared" si="59"/>
        <v>#REF!</v>
      </c>
      <c r="DC34" s="2068" t="e">
        <f t="shared" si="59"/>
        <v>#REF!</v>
      </c>
      <c r="DD34" s="2068" t="e">
        <f t="shared" si="59"/>
        <v>#REF!</v>
      </c>
      <c r="DE34" s="2068" t="e">
        <f t="shared" si="59"/>
        <v>#REF!</v>
      </c>
      <c r="DF34" s="2068" t="e">
        <f t="shared" si="59"/>
        <v>#REF!</v>
      </c>
      <c r="DG34" s="2068" t="e">
        <f t="shared" si="59"/>
        <v>#REF!</v>
      </c>
      <c r="DH34" s="2068">
        <f t="shared" si="59"/>
        <v>15125</v>
      </c>
      <c r="DI34" s="2068" t="e">
        <f t="shared" si="59"/>
        <v>#REF!</v>
      </c>
      <c r="DJ34" s="2068" t="e">
        <f t="shared" si="59"/>
        <v>#REF!</v>
      </c>
      <c r="DK34" s="2068" t="e">
        <f t="shared" si="59"/>
        <v>#REF!</v>
      </c>
      <c r="DL34" s="2068">
        <f t="shared" si="59"/>
        <v>19305</v>
      </c>
      <c r="DM34" s="2068">
        <f t="shared" si="59"/>
        <v>21175</v>
      </c>
      <c r="DN34" s="2068">
        <f t="shared" si="59"/>
        <v>19305</v>
      </c>
      <c r="DO34" s="2068">
        <f t="shared" si="59"/>
        <v>21175</v>
      </c>
      <c r="DP34" s="2068">
        <f>DP25</f>
        <v>35695</v>
      </c>
      <c r="DQ34" s="2068"/>
      <c r="DR34" s="2068"/>
      <c r="DS34" s="2068">
        <f t="shared" si="59"/>
        <v>19305</v>
      </c>
      <c r="DT34" s="2068" t="e">
        <f t="shared" ref="DT34:EF34" si="60">DT25</f>
        <v>#REF!</v>
      </c>
      <c r="DU34" s="2068" t="e">
        <f t="shared" si="60"/>
        <v>#REF!</v>
      </c>
      <c r="DV34" s="2068" t="e">
        <f t="shared" si="60"/>
        <v>#REF!</v>
      </c>
      <c r="DW34" s="2068" t="e">
        <f t="shared" si="60"/>
        <v>#REF!</v>
      </c>
      <c r="DX34" s="2068" t="e">
        <f t="shared" si="60"/>
        <v>#REF!</v>
      </c>
      <c r="DY34" s="2068" t="e">
        <f t="shared" si="60"/>
        <v>#REF!</v>
      </c>
      <c r="DZ34" s="2068" t="e">
        <f t="shared" si="60"/>
        <v>#REF!</v>
      </c>
      <c r="EA34" s="2068" t="e">
        <f t="shared" si="60"/>
        <v>#REF!</v>
      </c>
      <c r="EB34" s="2068" t="e">
        <f t="shared" si="60"/>
        <v>#REF!</v>
      </c>
      <c r="EC34" s="2068" t="e">
        <f t="shared" si="60"/>
        <v>#REF!</v>
      </c>
      <c r="ED34" s="2068" t="e">
        <f t="shared" si="60"/>
        <v>#REF!</v>
      </c>
      <c r="EE34" s="2068" t="e">
        <f t="shared" si="60"/>
        <v>#REF!</v>
      </c>
      <c r="EF34" s="2068" t="e">
        <f t="shared" si="60"/>
        <v>#REF!</v>
      </c>
      <c r="EG34" s="2068"/>
      <c r="EH34" s="2068"/>
      <c r="EI34" s="2068"/>
      <c r="EJ34" s="2068"/>
      <c r="EK34" s="2068"/>
      <c r="EL34" s="2068"/>
      <c r="EM34" s="2068"/>
      <c r="EN34" s="2068"/>
      <c r="EO34" s="2068"/>
      <c r="EP34" s="2068"/>
      <c r="EQ34" s="2068"/>
      <c r="ER34" s="2068"/>
      <c r="ES34" s="2068"/>
      <c r="ET34" s="2068"/>
      <c r="EU34" s="2068"/>
      <c r="EV34" s="2068"/>
      <c r="EW34" s="2068"/>
      <c r="EX34" s="2068"/>
      <c r="EY34" s="2068"/>
      <c r="EZ34" s="2068"/>
      <c r="FA34" s="2068"/>
      <c r="FB34" s="2068"/>
      <c r="FC34" s="2068"/>
      <c r="FD34" s="2068"/>
      <c r="FE34" s="2066"/>
      <c r="FF34" s="2066"/>
      <c r="FG34" s="2066"/>
      <c r="FH34" s="2066"/>
      <c r="FI34" s="2066"/>
      <c r="FJ34" s="2066"/>
    </row>
    <row r="35" spans="1:166" s="1553" customFormat="1" ht="17.25" hidden="1" customHeight="1" outlineLevel="2">
      <c r="A35" s="1552">
        <v>32</v>
      </c>
      <c r="B35" s="1555" t="s">
        <v>206</v>
      </c>
      <c r="C35" s="1493" t="s">
        <v>1425</v>
      </c>
      <c r="D35" s="1555" t="s">
        <v>206</v>
      </c>
      <c r="E35" s="1493" t="s">
        <v>274</v>
      </c>
      <c r="F35" s="1493" t="e">
        <f>Покрытия_ПВХ!#REF!</f>
        <v>#REF!</v>
      </c>
      <c r="G35" s="1493"/>
      <c r="H35" s="2068"/>
      <c r="I35" s="2068"/>
      <c r="J35" s="2068"/>
      <c r="K35" s="2068"/>
      <c r="L35" s="2068"/>
      <c r="M35" s="2068"/>
      <c r="N35" s="2068"/>
      <c r="O35" s="2068"/>
      <c r="P35" s="2068"/>
      <c r="Q35" s="2068"/>
      <c r="R35" s="2068"/>
      <c r="S35" s="2068"/>
      <c r="T35" s="2068"/>
      <c r="U35" s="2068"/>
      <c r="V35" s="2068"/>
      <c r="W35" s="2068"/>
      <c r="X35" s="2068"/>
      <c r="Y35" s="2068"/>
      <c r="Z35" s="2068"/>
      <c r="AA35" s="2068"/>
      <c r="AB35" s="2068"/>
      <c r="AC35" s="2068"/>
      <c r="AD35" s="2068"/>
      <c r="AE35" s="2068"/>
      <c r="AF35" s="2068"/>
      <c r="AG35" s="2068"/>
      <c r="AH35" s="2068"/>
      <c r="AI35" s="2068"/>
      <c r="AJ35" s="2068"/>
      <c r="AK35" s="2068"/>
      <c r="AL35" s="2068"/>
      <c r="AM35" s="2068"/>
      <c r="AN35" s="2068"/>
      <c r="AO35" s="2068"/>
      <c r="AP35" s="2068"/>
      <c r="AQ35" s="2068"/>
      <c r="AR35" s="2068"/>
      <c r="AS35" s="2068"/>
      <c r="AT35" s="2068"/>
      <c r="AU35" s="2068"/>
      <c r="AV35" s="2068"/>
      <c r="AW35" s="2068"/>
      <c r="AX35" s="2068"/>
      <c r="AY35" s="2068"/>
      <c r="AZ35" s="2068"/>
      <c r="BA35" s="2068"/>
      <c r="BB35" s="2068"/>
      <c r="BC35" s="2068"/>
      <c r="BD35" s="2068"/>
      <c r="BE35" s="2068"/>
      <c r="BF35" s="2068"/>
      <c r="BG35" s="2068"/>
      <c r="BH35" s="2068"/>
      <c r="BI35" s="2068"/>
      <c r="BJ35" s="2068"/>
      <c r="BK35" s="2068"/>
      <c r="BL35" s="2068"/>
      <c r="BM35" s="2068"/>
      <c r="BN35" s="2068"/>
      <c r="BO35" s="2068"/>
      <c r="BP35" s="2068"/>
      <c r="BQ35" s="2068" t="e">
        <f t="shared" ref="BQ35:DS35" si="61">BQ25</f>
        <v>#REF!</v>
      </c>
      <c r="BR35" s="2068" t="e">
        <f t="shared" si="61"/>
        <v>#REF!</v>
      </c>
      <c r="BS35" s="2068" t="e">
        <f t="shared" si="61"/>
        <v>#REF!</v>
      </c>
      <c r="BT35" s="2068" t="e">
        <f t="shared" si="61"/>
        <v>#REF!</v>
      </c>
      <c r="BU35" s="2068" t="e">
        <f t="shared" si="61"/>
        <v>#REF!</v>
      </c>
      <c r="BV35" s="2068" t="e">
        <f t="shared" si="61"/>
        <v>#REF!</v>
      </c>
      <c r="BW35" s="2068" t="e">
        <f t="shared" si="61"/>
        <v>#REF!</v>
      </c>
      <c r="BX35" s="2068" t="e">
        <f t="shared" si="61"/>
        <v>#REF!</v>
      </c>
      <c r="BY35" s="2068" t="e">
        <f t="shared" si="61"/>
        <v>#REF!</v>
      </c>
      <c r="BZ35" s="2068" t="e">
        <f t="shared" si="61"/>
        <v>#REF!</v>
      </c>
      <c r="CA35" s="2068" t="e">
        <f t="shared" si="61"/>
        <v>#REF!</v>
      </c>
      <c r="CB35" s="2068" t="e">
        <f t="shared" si="61"/>
        <v>#REF!</v>
      </c>
      <c r="CC35" s="2068" t="e">
        <f t="shared" si="61"/>
        <v>#REF!</v>
      </c>
      <c r="CD35" s="2068" t="e">
        <f t="shared" si="61"/>
        <v>#REF!</v>
      </c>
      <c r="CE35" s="2068" t="e">
        <f t="shared" si="61"/>
        <v>#REF!</v>
      </c>
      <c r="CF35" s="2068" t="e">
        <f t="shared" si="61"/>
        <v>#REF!</v>
      </c>
      <c r="CG35" s="2068" t="e">
        <f t="shared" si="61"/>
        <v>#REF!</v>
      </c>
      <c r="CH35" s="2068" t="e">
        <f t="shared" si="61"/>
        <v>#REF!</v>
      </c>
      <c r="CI35" s="2068" t="e">
        <f t="shared" si="61"/>
        <v>#REF!</v>
      </c>
      <c r="CJ35" s="2068" t="e">
        <f t="shared" si="61"/>
        <v>#REF!</v>
      </c>
      <c r="CK35" s="2068"/>
      <c r="CL35" s="2068"/>
      <c r="CM35" s="2068"/>
      <c r="CN35" s="2068"/>
      <c r="CO35" s="2068" t="e">
        <f t="shared" si="61"/>
        <v>#REF!</v>
      </c>
      <c r="CP35" s="2068" t="e">
        <f t="shared" si="61"/>
        <v>#REF!</v>
      </c>
      <c r="CQ35" s="2068"/>
      <c r="CR35" s="2068"/>
      <c r="CS35" s="2068" t="e">
        <f>CS25</f>
        <v>#REF!</v>
      </c>
      <c r="CT35" s="2068"/>
      <c r="CU35" s="2068" t="e">
        <f>CU25</f>
        <v>#REF!</v>
      </c>
      <c r="CV35" s="2068" t="e">
        <f t="shared" si="61"/>
        <v>#REF!</v>
      </c>
      <c r="CW35" s="2068" t="e">
        <f t="shared" si="61"/>
        <v>#REF!</v>
      </c>
      <c r="CX35" s="2068" t="e">
        <f t="shared" si="61"/>
        <v>#REF!</v>
      </c>
      <c r="CY35" s="2068" t="e">
        <f t="shared" si="61"/>
        <v>#REF!</v>
      </c>
      <c r="CZ35" s="2068" t="e">
        <f t="shared" si="61"/>
        <v>#REF!</v>
      </c>
      <c r="DA35" s="2068" t="e">
        <f>DA25</f>
        <v>#REF!</v>
      </c>
      <c r="DB35" s="2068" t="e">
        <f t="shared" si="61"/>
        <v>#REF!</v>
      </c>
      <c r="DC35" s="2068" t="e">
        <f t="shared" si="61"/>
        <v>#REF!</v>
      </c>
      <c r="DD35" s="2068" t="e">
        <f t="shared" si="61"/>
        <v>#REF!</v>
      </c>
      <c r="DE35" s="2068" t="e">
        <f t="shared" si="61"/>
        <v>#REF!</v>
      </c>
      <c r="DF35" s="2068" t="e">
        <f t="shared" si="61"/>
        <v>#REF!</v>
      </c>
      <c r="DG35" s="2068" t="e">
        <f t="shared" si="61"/>
        <v>#REF!</v>
      </c>
      <c r="DH35" s="2068">
        <f t="shared" si="61"/>
        <v>15125</v>
      </c>
      <c r="DI35" s="2068" t="e">
        <f t="shared" si="61"/>
        <v>#REF!</v>
      </c>
      <c r="DJ35" s="2068" t="e">
        <f t="shared" si="61"/>
        <v>#REF!</v>
      </c>
      <c r="DK35" s="2068" t="e">
        <f t="shared" si="61"/>
        <v>#REF!</v>
      </c>
      <c r="DL35" s="2068">
        <f t="shared" si="61"/>
        <v>19305</v>
      </c>
      <c r="DM35" s="2068">
        <f t="shared" si="61"/>
        <v>21175</v>
      </c>
      <c r="DN35" s="2068">
        <f t="shared" si="61"/>
        <v>19305</v>
      </c>
      <c r="DO35" s="2068">
        <f t="shared" si="61"/>
        <v>21175</v>
      </c>
      <c r="DP35" s="2068">
        <f>DP25</f>
        <v>35695</v>
      </c>
      <c r="DQ35" s="2068"/>
      <c r="DR35" s="2068"/>
      <c r="DS35" s="2068">
        <f t="shared" si="61"/>
        <v>19305</v>
      </c>
      <c r="DT35" s="2068" t="e">
        <f t="shared" ref="DT35:EF35" si="62">DT25</f>
        <v>#REF!</v>
      </c>
      <c r="DU35" s="2068" t="e">
        <f t="shared" si="62"/>
        <v>#REF!</v>
      </c>
      <c r="DV35" s="2068" t="e">
        <f t="shared" si="62"/>
        <v>#REF!</v>
      </c>
      <c r="DW35" s="2068" t="e">
        <f t="shared" si="62"/>
        <v>#REF!</v>
      </c>
      <c r="DX35" s="2068" t="e">
        <f t="shared" si="62"/>
        <v>#REF!</v>
      </c>
      <c r="DY35" s="2068" t="e">
        <f t="shared" si="62"/>
        <v>#REF!</v>
      </c>
      <c r="DZ35" s="2068" t="e">
        <f t="shared" si="62"/>
        <v>#REF!</v>
      </c>
      <c r="EA35" s="2068" t="e">
        <f t="shared" si="62"/>
        <v>#REF!</v>
      </c>
      <c r="EB35" s="2068" t="e">
        <f t="shared" si="62"/>
        <v>#REF!</v>
      </c>
      <c r="EC35" s="2068" t="e">
        <f t="shared" si="62"/>
        <v>#REF!</v>
      </c>
      <c r="ED35" s="2068" t="e">
        <f t="shared" si="62"/>
        <v>#REF!</v>
      </c>
      <c r="EE35" s="2068" t="e">
        <f t="shared" si="62"/>
        <v>#REF!</v>
      </c>
      <c r="EF35" s="2068" t="e">
        <f t="shared" si="62"/>
        <v>#REF!</v>
      </c>
      <c r="EG35" s="2068"/>
      <c r="EH35" s="2068"/>
      <c r="EI35" s="2068"/>
      <c r="EJ35" s="2068"/>
      <c r="EK35" s="2068"/>
      <c r="EL35" s="2068"/>
      <c r="EM35" s="2068"/>
      <c r="EN35" s="2068"/>
      <c r="EO35" s="2068"/>
      <c r="EP35" s="2068"/>
      <c r="EQ35" s="2068"/>
      <c r="ER35" s="2068"/>
      <c r="ES35" s="2068"/>
      <c r="ET35" s="2068"/>
      <c r="EU35" s="2068"/>
      <c r="EV35" s="2068"/>
      <c r="EW35" s="2068"/>
      <c r="EX35" s="2068"/>
      <c r="EY35" s="2068"/>
      <c r="EZ35" s="2068"/>
      <c r="FA35" s="2068"/>
      <c r="FB35" s="2068"/>
      <c r="FC35" s="2068"/>
      <c r="FD35" s="2068"/>
      <c r="FE35" s="2066"/>
      <c r="FF35" s="2066"/>
      <c r="FG35" s="2066"/>
      <c r="FH35" s="2066"/>
      <c r="FI35" s="2066"/>
      <c r="FJ35" s="2066"/>
    </row>
    <row r="36" spans="1:166" s="1553" customFormat="1" ht="17.25" hidden="1" customHeight="1" outlineLevel="2">
      <c r="A36" s="1549">
        <v>33</v>
      </c>
      <c r="B36" s="1555" t="s">
        <v>206</v>
      </c>
      <c r="C36" s="1493" t="s">
        <v>1425</v>
      </c>
      <c r="D36" s="1555" t="s">
        <v>206</v>
      </c>
      <c r="E36" s="1493" t="s">
        <v>274</v>
      </c>
      <c r="F36" s="1493" t="e">
        <f>Покрытия_ПВХ!#REF!</f>
        <v>#REF!</v>
      </c>
      <c r="G36" s="1493"/>
      <c r="H36" s="2068"/>
      <c r="I36" s="2068"/>
      <c r="J36" s="2068"/>
      <c r="K36" s="2068"/>
      <c r="L36" s="2068"/>
      <c r="M36" s="2068"/>
      <c r="N36" s="2068"/>
      <c r="O36" s="2068"/>
      <c r="P36" s="2068"/>
      <c r="Q36" s="2068"/>
      <c r="R36" s="2068"/>
      <c r="S36" s="2068"/>
      <c r="T36" s="2068"/>
      <c r="U36" s="2068"/>
      <c r="V36" s="2068"/>
      <c r="W36" s="2068"/>
      <c r="X36" s="2068"/>
      <c r="Y36" s="2068"/>
      <c r="Z36" s="2068"/>
      <c r="AA36" s="2068"/>
      <c r="AB36" s="2068"/>
      <c r="AC36" s="2068"/>
      <c r="AD36" s="2068"/>
      <c r="AE36" s="2068"/>
      <c r="AF36" s="2068"/>
      <c r="AG36" s="2068"/>
      <c r="AH36" s="2068"/>
      <c r="AI36" s="2068"/>
      <c r="AJ36" s="2068"/>
      <c r="AK36" s="2068"/>
      <c r="AL36" s="2068"/>
      <c r="AM36" s="2068"/>
      <c r="AN36" s="2068"/>
      <c r="AO36" s="2068"/>
      <c r="AP36" s="2068"/>
      <c r="AQ36" s="2068"/>
      <c r="AR36" s="2068"/>
      <c r="AS36" s="2068"/>
      <c r="AT36" s="2068"/>
      <c r="AU36" s="2068"/>
      <c r="AV36" s="2068"/>
      <c r="AW36" s="2068"/>
      <c r="AX36" s="2068"/>
      <c r="AY36" s="2068"/>
      <c r="AZ36" s="2068"/>
      <c r="BA36" s="2068"/>
      <c r="BB36" s="2068"/>
      <c r="BC36" s="2068"/>
      <c r="BD36" s="2068"/>
      <c r="BE36" s="2068"/>
      <c r="BF36" s="2068"/>
      <c r="BG36" s="2068"/>
      <c r="BH36" s="2068"/>
      <c r="BI36" s="2068"/>
      <c r="BJ36" s="2068"/>
      <c r="BK36" s="2068"/>
      <c r="BL36" s="2068"/>
      <c r="BM36" s="2068"/>
      <c r="BN36" s="2068"/>
      <c r="BO36" s="2068"/>
      <c r="BP36" s="2068"/>
      <c r="BQ36" s="2068" t="e">
        <f t="shared" ref="BQ36:DS36" si="63">BQ25</f>
        <v>#REF!</v>
      </c>
      <c r="BR36" s="2068" t="e">
        <f t="shared" si="63"/>
        <v>#REF!</v>
      </c>
      <c r="BS36" s="2068" t="e">
        <f t="shared" si="63"/>
        <v>#REF!</v>
      </c>
      <c r="BT36" s="2068" t="e">
        <f t="shared" si="63"/>
        <v>#REF!</v>
      </c>
      <c r="BU36" s="2068" t="e">
        <f t="shared" si="63"/>
        <v>#REF!</v>
      </c>
      <c r="BV36" s="2068" t="e">
        <f t="shared" si="63"/>
        <v>#REF!</v>
      </c>
      <c r="BW36" s="2068" t="e">
        <f t="shared" si="63"/>
        <v>#REF!</v>
      </c>
      <c r="BX36" s="2068" t="e">
        <f t="shared" si="63"/>
        <v>#REF!</v>
      </c>
      <c r="BY36" s="2068" t="e">
        <f t="shared" si="63"/>
        <v>#REF!</v>
      </c>
      <c r="BZ36" s="2068" t="e">
        <f t="shared" si="63"/>
        <v>#REF!</v>
      </c>
      <c r="CA36" s="2068" t="e">
        <f t="shared" si="63"/>
        <v>#REF!</v>
      </c>
      <c r="CB36" s="2068" t="e">
        <f t="shared" si="63"/>
        <v>#REF!</v>
      </c>
      <c r="CC36" s="2068" t="e">
        <f t="shared" si="63"/>
        <v>#REF!</v>
      </c>
      <c r="CD36" s="2068" t="e">
        <f t="shared" si="63"/>
        <v>#REF!</v>
      </c>
      <c r="CE36" s="2068" t="e">
        <f t="shared" si="63"/>
        <v>#REF!</v>
      </c>
      <c r="CF36" s="2068" t="e">
        <f t="shared" si="63"/>
        <v>#REF!</v>
      </c>
      <c r="CG36" s="2068" t="e">
        <f t="shared" si="63"/>
        <v>#REF!</v>
      </c>
      <c r="CH36" s="2068" t="e">
        <f t="shared" si="63"/>
        <v>#REF!</v>
      </c>
      <c r="CI36" s="2068" t="e">
        <f t="shared" si="63"/>
        <v>#REF!</v>
      </c>
      <c r="CJ36" s="2068" t="e">
        <f t="shared" si="63"/>
        <v>#REF!</v>
      </c>
      <c r="CK36" s="2068"/>
      <c r="CL36" s="2068"/>
      <c r="CM36" s="2068"/>
      <c r="CN36" s="2068"/>
      <c r="CO36" s="2068" t="e">
        <f t="shared" si="63"/>
        <v>#REF!</v>
      </c>
      <c r="CP36" s="2068" t="e">
        <f t="shared" si="63"/>
        <v>#REF!</v>
      </c>
      <c r="CQ36" s="2068"/>
      <c r="CR36" s="2068"/>
      <c r="CS36" s="2068" t="e">
        <f>CS25</f>
        <v>#REF!</v>
      </c>
      <c r="CT36" s="2068"/>
      <c r="CU36" s="2068" t="e">
        <f>CU25</f>
        <v>#REF!</v>
      </c>
      <c r="CV36" s="2068" t="e">
        <f t="shared" si="63"/>
        <v>#REF!</v>
      </c>
      <c r="CW36" s="2068" t="e">
        <f t="shared" si="63"/>
        <v>#REF!</v>
      </c>
      <c r="CX36" s="2068" t="e">
        <f t="shared" si="63"/>
        <v>#REF!</v>
      </c>
      <c r="CY36" s="2068" t="e">
        <f t="shared" si="63"/>
        <v>#REF!</v>
      </c>
      <c r="CZ36" s="2068" t="e">
        <f t="shared" si="63"/>
        <v>#REF!</v>
      </c>
      <c r="DA36" s="2068" t="e">
        <f>DA25</f>
        <v>#REF!</v>
      </c>
      <c r="DB36" s="2068" t="e">
        <f t="shared" si="63"/>
        <v>#REF!</v>
      </c>
      <c r="DC36" s="2068" t="e">
        <f t="shared" si="63"/>
        <v>#REF!</v>
      </c>
      <c r="DD36" s="2068" t="e">
        <f t="shared" si="63"/>
        <v>#REF!</v>
      </c>
      <c r="DE36" s="2068" t="e">
        <f t="shared" si="63"/>
        <v>#REF!</v>
      </c>
      <c r="DF36" s="2068" t="e">
        <f t="shared" si="63"/>
        <v>#REF!</v>
      </c>
      <c r="DG36" s="2068" t="e">
        <f t="shared" si="63"/>
        <v>#REF!</v>
      </c>
      <c r="DH36" s="2068">
        <f t="shared" si="63"/>
        <v>15125</v>
      </c>
      <c r="DI36" s="2068" t="e">
        <f t="shared" si="63"/>
        <v>#REF!</v>
      </c>
      <c r="DJ36" s="2068" t="e">
        <f t="shared" si="63"/>
        <v>#REF!</v>
      </c>
      <c r="DK36" s="2068" t="e">
        <f t="shared" si="63"/>
        <v>#REF!</v>
      </c>
      <c r="DL36" s="2068">
        <f t="shared" si="63"/>
        <v>19305</v>
      </c>
      <c r="DM36" s="2068">
        <f t="shared" si="63"/>
        <v>21175</v>
      </c>
      <c r="DN36" s="2068">
        <f t="shared" si="63"/>
        <v>19305</v>
      </c>
      <c r="DO36" s="2068">
        <f t="shared" si="63"/>
        <v>21175</v>
      </c>
      <c r="DP36" s="2068">
        <f>DP25</f>
        <v>35695</v>
      </c>
      <c r="DQ36" s="2068"/>
      <c r="DR36" s="2068"/>
      <c r="DS36" s="2068">
        <f t="shared" si="63"/>
        <v>19305</v>
      </c>
      <c r="DT36" s="2068" t="e">
        <f t="shared" ref="DT36:EF36" si="64">DT25</f>
        <v>#REF!</v>
      </c>
      <c r="DU36" s="2068" t="e">
        <f t="shared" si="64"/>
        <v>#REF!</v>
      </c>
      <c r="DV36" s="2068" t="e">
        <f t="shared" si="64"/>
        <v>#REF!</v>
      </c>
      <c r="DW36" s="2068" t="e">
        <f t="shared" si="64"/>
        <v>#REF!</v>
      </c>
      <c r="DX36" s="2068" t="e">
        <f t="shared" si="64"/>
        <v>#REF!</v>
      </c>
      <c r="DY36" s="2068" t="e">
        <f t="shared" si="64"/>
        <v>#REF!</v>
      </c>
      <c r="DZ36" s="2068" t="e">
        <f t="shared" si="64"/>
        <v>#REF!</v>
      </c>
      <c r="EA36" s="2068" t="e">
        <f t="shared" si="64"/>
        <v>#REF!</v>
      </c>
      <c r="EB36" s="2068" t="e">
        <f t="shared" si="64"/>
        <v>#REF!</v>
      </c>
      <c r="EC36" s="2068" t="e">
        <f t="shared" si="64"/>
        <v>#REF!</v>
      </c>
      <c r="ED36" s="2068" t="e">
        <f t="shared" si="64"/>
        <v>#REF!</v>
      </c>
      <c r="EE36" s="2068" t="e">
        <f t="shared" si="64"/>
        <v>#REF!</v>
      </c>
      <c r="EF36" s="2068" t="e">
        <f t="shared" si="64"/>
        <v>#REF!</v>
      </c>
      <c r="EG36" s="2068"/>
      <c r="EH36" s="2068"/>
      <c r="EI36" s="2068"/>
      <c r="EJ36" s="2068"/>
      <c r="EK36" s="2068"/>
      <c r="EL36" s="2068"/>
      <c r="EM36" s="2068"/>
      <c r="EN36" s="2068"/>
      <c r="EO36" s="2068"/>
      <c r="EP36" s="2068"/>
      <c r="EQ36" s="2068"/>
      <c r="ER36" s="2068"/>
      <c r="ES36" s="2068"/>
      <c r="ET36" s="2068"/>
      <c r="EU36" s="2068"/>
      <c r="EV36" s="2068"/>
      <c r="EW36" s="2068"/>
      <c r="EX36" s="2068"/>
      <c r="EY36" s="2068"/>
      <c r="EZ36" s="2068"/>
      <c r="FA36" s="2068"/>
      <c r="FB36" s="2068"/>
      <c r="FC36" s="2068"/>
      <c r="FD36" s="2068"/>
      <c r="FE36" s="2066"/>
      <c r="FF36" s="2066"/>
      <c r="FG36" s="2066"/>
      <c r="FH36" s="2066"/>
      <c r="FI36" s="2066"/>
      <c r="FJ36" s="2066"/>
    </row>
    <row r="37" spans="1:166" s="1553" customFormat="1" ht="17.25" hidden="1" customHeight="1" outlineLevel="2">
      <c r="A37" s="1552">
        <v>34</v>
      </c>
      <c r="B37" s="1555" t="s">
        <v>206</v>
      </c>
      <c r="C37" s="1493" t="s">
        <v>1425</v>
      </c>
      <c r="D37" s="1555" t="s">
        <v>206</v>
      </c>
      <c r="E37" s="1493" t="s">
        <v>274</v>
      </c>
      <c r="F37" s="1493" t="e">
        <f>Покрытия_ПВХ!#REF!</f>
        <v>#REF!</v>
      </c>
      <c r="G37" s="1493"/>
      <c r="H37" s="2068"/>
      <c r="I37" s="2068"/>
      <c r="J37" s="2068"/>
      <c r="K37" s="2068"/>
      <c r="L37" s="2068"/>
      <c r="M37" s="2068"/>
      <c r="N37" s="2068"/>
      <c r="O37" s="2068"/>
      <c r="P37" s="2068"/>
      <c r="Q37" s="2068"/>
      <c r="R37" s="2068"/>
      <c r="S37" s="2068"/>
      <c r="T37" s="2068"/>
      <c r="U37" s="2068"/>
      <c r="V37" s="2068"/>
      <c r="W37" s="2068"/>
      <c r="X37" s="2068"/>
      <c r="Y37" s="2068"/>
      <c r="Z37" s="2068"/>
      <c r="AA37" s="2068"/>
      <c r="AB37" s="2068"/>
      <c r="AC37" s="2068"/>
      <c r="AD37" s="2068"/>
      <c r="AE37" s="2068"/>
      <c r="AF37" s="2068"/>
      <c r="AG37" s="2068"/>
      <c r="AH37" s="2068"/>
      <c r="AI37" s="2068"/>
      <c r="AJ37" s="2068"/>
      <c r="AK37" s="2068"/>
      <c r="AL37" s="2068"/>
      <c r="AM37" s="2068"/>
      <c r="AN37" s="2068"/>
      <c r="AO37" s="2068"/>
      <c r="AP37" s="2068"/>
      <c r="AQ37" s="2068"/>
      <c r="AR37" s="2068"/>
      <c r="AS37" s="2068"/>
      <c r="AT37" s="2068"/>
      <c r="AU37" s="2068"/>
      <c r="AV37" s="2068"/>
      <c r="AW37" s="2068"/>
      <c r="AX37" s="2068"/>
      <c r="AY37" s="2068"/>
      <c r="AZ37" s="2068"/>
      <c r="BA37" s="2068"/>
      <c r="BB37" s="2068"/>
      <c r="BC37" s="2068"/>
      <c r="BD37" s="2068"/>
      <c r="BE37" s="2068"/>
      <c r="BF37" s="2068"/>
      <c r="BG37" s="2068"/>
      <c r="BH37" s="2068"/>
      <c r="BI37" s="2068"/>
      <c r="BJ37" s="2068"/>
      <c r="BK37" s="2068"/>
      <c r="BL37" s="2068"/>
      <c r="BM37" s="2068"/>
      <c r="BN37" s="2068"/>
      <c r="BO37" s="2068"/>
      <c r="BP37" s="2068"/>
      <c r="BQ37" s="2068" t="e">
        <f t="shared" ref="BQ37:DS37" si="65">BQ25</f>
        <v>#REF!</v>
      </c>
      <c r="BR37" s="2068" t="e">
        <f t="shared" si="65"/>
        <v>#REF!</v>
      </c>
      <c r="BS37" s="2068" t="e">
        <f t="shared" si="65"/>
        <v>#REF!</v>
      </c>
      <c r="BT37" s="2068" t="e">
        <f t="shared" si="65"/>
        <v>#REF!</v>
      </c>
      <c r="BU37" s="2068" t="e">
        <f t="shared" si="65"/>
        <v>#REF!</v>
      </c>
      <c r="BV37" s="2068" t="e">
        <f t="shared" si="65"/>
        <v>#REF!</v>
      </c>
      <c r="BW37" s="2068" t="e">
        <f t="shared" si="65"/>
        <v>#REF!</v>
      </c>
      <c r="BX37" s="2068" t="e">
        <f t="shared" si="65"/>
        <v>#REF!</v>
      </c>
      <c r="BY37" s="2068" t="e">
        <f t="shared" si="65"/>
        <v>#REF!</v>
      </c>
      <c r="BZ37" s="2068" t="e">
        <f t="shared" si="65"/>
        <v>#REF!</v>
      </c>
      <c r="CA37" s="2068" t="e">
        <f t="shared" si="65"/>
        <v>#REF!</v>
      </c>
      <c r="CB37" s="2068" t="e">
        <f t="shared" si="65"/>
        <v>#REF!</v>
      </c>
      <c r="CC37" s="2068" t="e">
        <f t="shared" si="65"/>
        <v>#REF!</v>
      </c>
      <c r="CD37" s="2068" t="e">
        <f t="shared" si="65"/>
        <v>#REF!</v>
      </c>
      <c r="CE37" s="2068" t="e">
        <f t="shared" si="65"/>
        <v>#REF!</v>
      </c>
      <c r="CF37" s="2068" t="e">
        <f t="shared" si="65"/>
        <v>#REF!</v>
      </c>
      <c r="CG37" s="2068" t="e">
        <f t="shared" si="65"/>
        <v>#REF!</v>
      </c>
      <c r="CH37" s="2068" t="e">
        <f t="shared" si="65"/>
        <v>#REF!</v>
      </c>
      <c r="CI37" s="2068" t="e">
        <f t="shared" si="65"/>
        <v>#REF!</v>
      </c>
      <c r="CJ37" s="2068" t="e">
        <f t="shared" si="65"/>
        <v>#REF!</v>
      </c>
      <c r="CK37" s="2068"/>
      <c r="CL37" s="2068"/>
      <c r="CM37" s="2068"/>
      <c r="CN37" s="2068"/>
      <c r="CO37" s="2068" t="e">
        <f t="shared" si="65"/>
        <v>#REF!</v>
      </c>
      <c r="CP37" s="2068" t="e">
        <f t="shared" si="65"/>
        <v>#REF!</v>
      </c>
      <c r="CQ37" s="2068"/>
      <c r="CR37" s="2068"/>
      <c r="CS37" s="2068" t="e">
        <f>CS25</f>
        <v>#REF!</v>
      </c>
      <c r="CT37" s="2068"/>
      <c r="CU37" s="2068" t="e">
        <f>CU25</f>
        <v>#REF!</v>
      </c>
      <c r="CV37" s="2068" t="e">
        <f t="shared" si="65"/>
        <v>#REF!</v>
      </c>
      <c r="CW37" s="2068" t="e">
        <f t="shared" si="65"/>
        <v>#REF!</v>
      </c>
      <c r="CX37" s="2068" t="e">
        <f t="shared" si="65"/>
        <v>#REF!</v>
      </c>
      <c r="CY37" s="2068" t="e">
        <f t="shared" si="65"/>
        <v>#REF!</v>
      </c>
      <c r="CZ37" s="2068" t="e">
        <f t="shared" si="65"/>
        <v>#REF!</v>
      </c>
      <c r="DA37" s="2068" t="e">
        <f>DA25</f>
        <v>#REF!</v>
      </c>
      <c r="DB37" s="2068" t="e">
        <f t="shared" si="65"/>
        <v>#REF!</v>
      </c>
      <c r="DC37" s="2068" t="e">
        <f t="shared" si="65"/>
        <v>#REF!</v>
      </c>
      <c r="DD37" s="2068" t="e">
        <f t="shared" si="65"/>
        <v>#REF!</v>
      </c>
      <c r="DE37" s="2068" t="e">
        <f t="shared" si="65"/>
        <v>#REF!</v>
      </c>
      <c r="DF37" s="2068" t="e">
        <f t="shared" si="65"/>
        <v>#REF!</v>
      </c>
      <c r="DG37" s="2068" t="e">
        <f t="shared" si="65"/>
        <v>#REF!</v>
      </c>
      <c r="DH37" s="2068">
        <f t="shared" si="65"/>
        <v>15125</v>
      </c>
      <c r="DI37" s="2068" t="e">
        <f t="shared" si="65"/>
        <v>#REF!</v>
      </c>
      <c r="DJ37" s="2068" t="e">
        <f t="shared" si="65"/>
        <v>#REF!</v>
      </c>
      <c r="DK37" s="2068" t="e">
        <f t="shared" si="65"/>
        <v>#REF!</v>
      </c>
      <c r="DL37" s="2068">
        <f t="shared" si="65"/>
        <v>19305</v>
      </c>
      <c r="DM37" s="2068">
        <f t="shared" si="65"/>
        <v>21175</v>
      </c>
      <c r="DN37" s="2068">
        <f t="shared" si="65"/>
        <v>19305</v>
      </c>
      <c r="DO37" s="2068">
        <f t="shared" si="65"/>
        <v>21175</v>
      </c>
      <c r="DP37" s="2068">
        <f>DP25</f>
        <v>35695</v>
      </c>
      <c r="DQ37" s="2068"/>
      <c r="DR37" s="2068"/>
      <c r="DS37" s="2068">
        <f t="shared" si="65"/>
        <v>19305</v>
      </c>
      <c r="DT37" s="2068" t="e">
        <f t="shared" ref="DT37:EF37" si="66">DT25</f>
        <v>#REF!</v>
      </c>
      <c r="DU37" s="2068" t="e">
        <f t="shared" si="66"/>
        <v>#REF!</v>
      </c>
      <c r="DV37" s="2068" t="e">
        <f t="shared" si="66"/>
        <v>#REF!</v>
      </c>
      <c r="DW37" s="2068" t="e">
        <f t="shared" si="66"/>
        <v>#REF!</v>
      </c>
      <c r="DX37" s="2068" t="e">
        <f t="shared" si="66"/>
        <v>#REF!</v>
      </c>
      <c r="DY37" s="2068" t="e">
        <f t="shared" si="66"/>
        <v>#REF!</v>
      </c>
      <c r="DZ37" s="2068" t="e">
        <f t="shared" si="66"/>
        <v>#REF!</v>
      </c>
      <c r="EA37" s="2068" t="e">
        <f t="shared" si="66"/>
        <v>#REF!</v>
      </c>
      <c r="EB37" s="2068" t="e">
        <f t="shared" si="66"/>
        <v>#REF!</v>
      </c>
      <c r="EC37" s="2068" t="e">
        <f t="shared" si="66"/>
        <v>#REF!</v>
      </c>
      <c r="ED37" s="2068" t="e">
        <f t="shared" si="66"/>
        <v>#REF!</v>
      </c>
      <c r="EE37" s="2068" t="e">
        <f t="shared" si="66"/>
        <v>#REF!</v>
      </c>
      <c r="EF37" s="2068" t="e">
        <f t="shared" si="66"/>
        <v>#REF!</v>
      </c>
      <c r="EG37" s="2068"/>
      <c r="EH37" s="2068"/>
      <c r="EI37" s="2068"/>
      <c r="EJ37" s="2068"/>
      <c r="EK37" s="2068"/>
      <c r="EL37" s="2068"/>
      <c r="EM37" s="2068"/>
      <c r="EN37" s="2068"/>
      <c r="EO37" s="2068"/>
      <c r="EP37" s="2068"/>
      <c r="EQ37" s="2068"/>
      <c r="ER37" s="2068"/>
      <c r="ES37" s="2068"/>
      <c r="ET37" s="2068"/>
      <c r="EU37" s="2068"/>
      <c r="EV37" s="2068"/>
      <c r="EW37" s="2068"/>
      <c r="EX37" s="2068"/>
      <c r="EY37" s="2068"/>
      <c r="EZ37" s="2068"/>
      <c r="FA37" s="2068"/>
      <c r="FB37" s="2068"/>
      <c r="FC37" s="2068"/>
      <c r="FD37" s="2068"/>
      <c r="FE37" s="2066"/>
      <c r="FF37" s="2066"/>
      <c r="FG37" s="2066"/>
      <c r="FH37" s="2066"/>
      <c r="FI37" s="2066"/>
      <c r="FJ37" s="2066"/>
    </row>
    <row r="38" spans="1:166" s="1553" customFormat="1" ht="17.25" hidden="1" customHeight="1" outlineLevel="2">
      <c r="A38" s="1549">
        <v>35</v>
      </c>
      <c r="B38" s="1555" t="s">
        <v>206</v>
      </c>
      <c r="C38" s="1493" t="s">
        <v>1425</v>
      </c>
      <c r="D38" s="1555" t="s">
        <v>206</v>
      </c>
      <c r="E38" s="1493" t="s">
        <v>274</v>
      </c>
      <c r="F38" s="1493" t="str">
        <f>Покрытия_ПВХ!E28</f>
        <v>Дуб кантри горизонт</v>
      </c>
      <c r="G38" s="1493"/>
      <c r="H38" s="2068"/>
      <c r="I38" s="2068"/>
      <c r="J38" s="2068"/>
      <c r="K38" s="2068"/>
      <c r="L38" s="2068"/>
      <c r="M38" s="2068"/>
      <c r="N38" s="2068"/>
      <c r="O38" s="2068"/>
      <c r="P38" s="2068"/>
      <c r="Q38" s="2068"/>
      <c r="R38" s="2068"/>
      <c r="S38" s="2068"/>
      <c r="T38" s="2068"/>
      <c r="U38" s="2068"/>
      <c r="V38" s="2068"/>
      <c r="W38" s="2068"/>
      <c r="X38" s="2068"/>
      <c r="Y38" s="2068"/>
      <c r="Z38" s="2068"/>
      <c r="AA38" s="2068"/>
      <c r="AB38" s="2068"/>
      <c r="AC38" s="2068"/>
      <c r="AD38" s="2068"/>
      <c r="AE38" s="2068"/>
      <c r="AF38" s="2068"/>
      <c r="AG38" s="2068"/>
      <c r="AH38" s="2068"/>
      <c r="AI38" s="2068"/>
      <c r="AJ38" s="2068"/>
      <c r="AK38" s="2068"/>
      <c r="AL38" s="2068"/>
      <c r="AM38" s="2068"/>
      <c r="AN38" s="2068"/>
      <c r="AO38" s="2068"/>
      <c r="AP38" s="2068"/>
      <c r="AQ38" s="2068"/>
      <c r="AR38" s="2068"/>
      <c r="AS38" s="2068"/>
      <c r="AT38" s="2068"/>
      <c r="AU38" s="2068"/>
      <c r="AV38" s="2068"/>
      <c r="AW38" s="2068"/>
      <c r="AX38" s="2068"/>
      <c r="AY38" s="2068"/>
      <c r="AZ38" s="2068"/>
      <c r="BA38" s="2068"/>
      <c r="BB38" s="2068"/>
      <c r="BC38" s="2068"/>
      <c r="BD38" s="2068"/>
      <c r="BE38" s="2068"/>
      <c r="BF38" s="2068"/>
      <c r="BG38" s="2068"/>
      <c r="BH38" s="2068"/>
      <c r="BI38" s="2068"/>
      <c r="BJ38" s="2068"/>
      <c r="BK38" s="2068"/>
      <c r="BL38" s="2068"/>
      <c r="BM38" s="2068"/>
      <c r="BN38" s="2068"/>
      <c r="BO38" s="2068"/>
      <c r="BP38" s="2068"/>
      <c r="BQ38" s="2068" t="e">
        <f t="shared" ref="BQ38:DS38" si="67">BQ25</f>
        <v>#REF!</v>
      </c>
      <c r="BR38" s="2068" t="e">
        <f t="shared" si="67"/>
        <v>#REF!</v>
      </c>
      <c r="BS38" s="2068" t="e">
        <f t="shared" si="67"/>
        <v>#REF!</v>
      </c>
      <c r="BT38" s="2068" t="e">
        <f t="shared" si="67"/>
        <v>#REF!</v>
      </c>
      <c r="BU38" s="2068" t="e">
        <f t="shared" si="67"/>
        <v>#REF!</v>
      </c>
      <c r="BV38" s="2068" t="e">
        <f t="shared" si="67"/>
        <v>#REF!</v>
      </c>
      <c r="BW38" s="2068" t="e">
        <f t="shared" si="67"/>
        <v>#REF!</v>
      </c>
      <c r="BX38" s="2068" t="e">
        <f t="shared" si="67"/>
        <v>#REF!</v>
      </c>
      <c r="BY38" s="2068" t="e">
        <f t="shared" si="67"/>
        <v>#REF!</v>
      </c>
      <c r="BZ38" s="2068" t="e">
        <f t="shared" si="67"/>
        <v>#REF!</v>
      </c>
      <c r="CA38" s="2068" t="e">
        <f t="shared" si="67"/>
        <v>#REF!</v>
      </c>
      <c r="CB38" s="2068" t="e">
        <f t="shared" si="67"/>
        <v>#REF!</v>
      </c>
      <c r="CC38" s="2068" t="e">
        <f t="shared" si="67"/>
        <v>#REF!</v>
      </c>
      <c r="CD38" s="2068" t="e">
        <f t="shared" si="67"/>
        <v>#REF!</v>
      </c>
      <c r="CE38" s="2068" t="e">
        <f t="shared" si="67"/>
        <v>#REF!</v>
      </c>
      <c r="CF38" s="2068" t="e">
        <f t="shared" si="67"/>
        <v>#REF!</v>
      </c>
      <c r="CG38" s="2068" t="e">
        <f t="shared" si="67"/>
        <v>#REF!</v>
      </c>
      <c r="CH38" s="2068" t="e">
        <f t="shared" si="67"/>
        <v>#REF!</v>
      </c>
      <c r="CI38" s="2068" t="e">
        <f t="shared" si="67"/>
        <v>#REF!</v>
      </c>
      <c r="CJ38" s="2068" t="e">
        <f t="shared" si="67"/>
        <v>#REF!</v>
      </c>
      <c r="CK38" s="2068"/>
      <c r="CL38" s="2068"/>
      <c r="CM38" s="2068"/>
      <c r="CN38" s="2068"/>
      <c r="CO38" s="2068" t="e">
        <f t="shared" si="67"/>
        <v>#REF!</v>
      </c>
      <c r="CP38" s="2068" t="e">
        <f t="shared" si="67"/>
        <v>#REF!</v>
      </c>
      <c r="CQ38" s="2068"/>
      <c r="CR38" s="2068"/>
      <c r="CS38" s="2068" t="e">
        <f>CS25</f>
        <v>#REF!</v>
      </c>
      <c r="CT38" s="2068"/>
      <c r="CU38" s="2068" t="e">
        <f>CU25</f>
        <v>#REF!</v>
      </c>
      <c r="CV38" s="2068" t="e">
        <f t="shared" si="67"/>
        <v>#REF!</v>
      </c>
      <c r="CW38" s="2068" t="e">
        <f t="shared" si="67"/>
        <v>#REF!</v>
      </c>
      <c r="CX38" s="2068" t="e">
        <f t="shared" si="67"/>
        <v>#REF!</v>
      </c>
      <c r="CY38" s="2068" t="e">
        <f t="shared" si="67"/>
        <v>#REF!</v>
      </c>
      <c r="CZ38" s="2068" t="e">
        <f t="shared" si="67"/>
        <v>#REF!</v>
      </c>
      <c r="DA38" s="2068" t="e">
        <f>DA25</f>
        <v>#REF!</v>
      </c>
      <c r="DB38" s="2068" t="e">
        <f t="shared" si="67"/>
        <v>#REF!</v>
      </c>
      <c r="DC38" s="2068" t="e">
        <f t="shared" si="67"/>
        <v>#REF!</v>
      </c>
      <c r="DD38" s="2068" t="e">
        <f t="shared" si="67"/>
        <v>#REF!</v>
      </c>
      <c r="DE38" s="2068" t="e">
        <f t="shared" si="67"/>
        <v>#REF!</v>
      </c>
      <c r="DF38" s="2068" t="e">
        <f t="shared" si="67"/>
        <v>#REF!</v>
      </c>
      <c r="DG38" s="2068" t="e">
        <f t="shared" si="67"/>
        <v>#REF!</v>
      </c>
      <c r="DH38" s="2068">
        <f t="shared" si="67"/>
        <v>15125</v>
      </c>
      <c r="DI38" s="2068" t="e">
        <f t="shared" si="67"/>
        <v>#REF!</v>
      </c>
      <c r="DJ38" s="2068" t="e">
        <f t="shared" si="67"/>
        <v>#REF!</v>
      </c>
      <c r="DK38" s="2068" t="e">
        <f t="shared" si="67"/>
        <v>#REF!</v>
      </c>
      <c r="DL38" s="2068">
        <f t="shared" si="67"/>
        <v>19305</v>
      </c>
      <c r="DM38" s="2068">
        <f t="shared" si="67"/>
        <v>21175</v>
      </c>
      <c r="DN38" s="2068">
        <f t="shared" si="67"/>
        <v>19305</v>
      </c>
      <c r="DO38" s="2068">
        <f t="shared" si="67"/>
        <v>21175</v>
      </c>
      <c r="DP38" s="2068">
        <f>DP25</f>
        <v>35695</v>
      </c>
      <c r="DQ38" s="2068"/>
      <c r="DR38" s="2068"/>
      <c r="DS38" s="2068">
        <f t="shared" si="67"/>
        <v>19305</v>
      </c>
      <c r="DT38" s="2068" t="e">
        <f t="shared" ref="DT38:EF38" si="68">DT25</f>
        <v>#REF!</v>
      </c>
      <c r="DU38" s="2068" t="e">
        <f t="shared" si="68"/>
        <v>#REF!</v>
      </c>
      <c r="DV38" s="2068" t="e">
        <f t="shared" si="68"/>
        <v>#REF!</v>
      </c>
      <c r="DW38" s="2068" t="e">
        <f t="shared" si="68"/>
        <v>#REF!</v>
      </c>
      <c r="DX38" s="2068" t="e">
        <f t="shared" si="68"/>
        <v>#REF!</v>
      </c>
      <c r="DY38" s="2068" t="e">
        <f t="shared" si="68"/>
        <v>#REF!</v>
      </c>
      <c r="DZ38" s="2068" t="e">
        <f t="shared" si="68"/>
        <v>#REF!</v>
      </c>
      <c r="EA38" s="2068" t="e">
        <f t="shared" si="68"/>
        <v>#REF!</v>
      </c>
      <c r="EB38" s="2068" t="e">
        <f t="shared" si="68"/>
        <v>#REF!</v>
      </c>
      <c r="EC38" s="2068" t="e">
        <f t="shared" si="68"/>
        <v>#REF!</v>
      </c>
      <c r="ED38" s="2068" t="e">
        <f t="shared" si="68"/>
        <v>#REF!</v>
      </c>
      <c r="EE38" s="2068" t="e">
        <f t="shared" si="68"/>
        <v>#REF!</v>
      </c>
      <c r="EF38" s="2068" t="e">
        <f t="shared" si="68"/>
        <v>#REF!</v>
      </c>
      <c r="EG38" s="2068"/>
      <c r="EH38" s="2068"/>
      <c r="EI38" s="2068"/>
      <c r="EJ38" s="2068"/>
      <c r="EK38" s="2068"/>
      <c r="EL38" s="2068"/>
      <c r="EM38" s="2068"/>
      <c r="EN38" s="2068"/>
      <c r="EO38" s="2068"/>
      <c r="EP38" s="2068"/>
      <c r="EQ38" s="2068"/>
      <c r="ER38" s="2068"/>
      <c r="ES38" s="2068"/>
      <c r="ET38" s="2068"/>
      <c r="EU38" s="2068"/>
      <c r="EV38" s="2068"/>
      <c r="EW38" s="2068"/>
      <c r="EX38" s="2068"/>
      <c r="EY38" s="2068"/>
      <c r="EZ38" s="2068"/>
      <c r="FA38" s="2068"/>
      <c r="FB38" s="2068"/>
      <c r="FC38" s="2068"/>
      <c r="FD38" s="2068"/>
      <c r="FE38" s="2066"/>
      <c r="FF38" s="2066"/>
      <c r="FG38" s="2066"/>
      <c r="FH38" s="2066"/>
      <c r="FI38" s="2066"/>
      <c r="FJ38" s="2066"/>
    </row>
    <row r="39" spans="1:166" s="1553" customFormat="1" ht="17.25" hidden="1" customHeight="1" outlineLevel="2">
      <c r="A39" s="1552">
        <v>36</v>
      </c>
      <c r="B39" s="1555" t="s">
        <v>206</v>
      </c>
      <c r="C39" s="1493" t="s">
        <v>1425</v>
      </c>
      <c r="D39" s="1555" t="s">
        <v>206</v>
      </c>
      <c r="E39" s="1493" t="s">
        <v>281</v>
      </c>
      <c r="F39" s="1493" t="str">
        <f>Покрытия_ПВХ!E29</f>
        <v>Снежное дерево</v>
      </c>
      <c r="G39" s="1493"/>
      <c r="H39" s="2068"/>
      <c r="I39" s="2068"/>
      <c r="J39" s="2068"/>
      <c r="K39" s="2068"/>
      <c r="L39" s="2068"/>
      <c r="M39" s="2068"/>
      <c r="N39" s="2068"/>
      <c r="O39" s="2068"/>
      <c r="P39" s="2068"/>
      <c r="Q39" s="2068"/>
      <c r="R39" s="2068"/>
      <c r="S39" s="2068"/>
      <c r="T39" s="2068"/>
      <c r="U39" s="2068"/>
      <c r="V39" s="2068"/>
      <c r="W39" s="2068"/>
      <c r="X39" s="2068"/>
      <c r="Y39" s="2068"/>
      <c r="Z39" s="2068"/>
      <c r="AA39" s="2068"/>
      <c r="AB39" s="2068"/>
      <c r="AC39" s="2068"/>
      <c r="AD39" s="2068"/>
      <c r="AE39" s="2068"/>
      <c r="AF39" s="2068"/>
      <c r="AG39" s="2068"/>
      <c r="AH39" s="2068"/>
      <c r="AI39" s="2068"/>
      <c r="AJ39" s="2068"/>
      <c r="AK39" s="2068"/>
      <c r="AL39" s="2068"/>
      <c r="AM39" s="2068"/>
      <c r="AN39" s="2068"/>
      <c r="AO39" s="2068"/>
      <c r="AP39" s="2068"/>
      <c r="AQ39" s="2068"/>
      <c r="AR39" s="2068"/>
      <c r="AS39" s="2068"/>
      <c r="AT39" s="2068"/>
      <c r="AU39" s="2068"/>
      <c r="AV39" s="2068"/>
      <c r="AW39" s="2068"/>
      <c r="AX39" s="2068"/>
      <c r="AY39" s="2068"/>
      <c r="AZ39" s="2068"/>
      <c r="BA39" s="2068"/>
      <c r="BB39" s="2068"/>
      <c r="BC39" s="2068"/>
      <c r="BD39" s="2068"/>
      <c r="BE39" s="2068"/>
      <c r="BF39" s="2068"/>
      <c r="BG39" s="2068"/>
      <c r="BH39" s="2068"/>
      <c r="BI39" s="2068"/>
      <c r="BJ39" s="2068"/>
      <c r="BK39" s="2068"/>
      <c r="BL39" s="2068"/>
      <c r="BM39" s="2068"/>
      <c r="BN39" s="2068"/>
      <c r="BO39" s="2068"/>
      <c r="BP39" s="2068"/>
      <c r="BQ39" s="2068" t="e">
        <f t="shared" ref="BQ39:DS39" si="69">BQ25</f>
        <v>#REF!</v>
      </c>
      <c r="BR39" s="2068" t="e">
        <f t="shared" si="69"/>
        <v>#REF!</v>
      </c>
      <c r="BS39" s="2068" t="e">
        <f t="shared" si="69"/>
        <v>#REF!</v>
      </c>
      <c r="BT39" s="2068" t="e">
        <f t="shared" si="69"/>
        <v>#REF!</v>
      </c>
      <c r="BU39" s="2068" t="e">
        <f t="shared" si="69"/>
        <v>#REF!</v>
      </c>
      <c r="BV39" s="2068" t="e">
        <f t="shared" si="69"/>
        <v>#REF!</v>
      </c>
      <c r="BW39" s="2068" t="e">
        <f t="shared" si="69"/>
        <v>#REF!</v>
      </c>
      <c r="BX39" s="2068" t="e">
        <f t="shared" si="69"/>
        <v>#REF!</v>
      </c>
      <c r="BY39" s="2068" t="e">
        <f t="shared" si="69"/>
        <v>#REF!</v>
      </c>
      <c r="BZ39" s="2068" t="e">
        <f t="shared" si="69"/>
        <v>#REF!</v>
      </c>
      <c r="CA39" s="2068" t="e">
        <f t="shared" si="69"/>
        <v>#REF!</v>
      </c>
      <c r="CB39" s="2068" t="e">
        <f t="shared" si="69"/>
        <v>#REF!</v>
      </c>
      <c r="CC39" s="2068" t="e">
        <f t="shared" si="69"/>
        <v>#REF!</v>
      </c>
      <c r="CD39" s="2068" t="e">
        <f t="shared" si="69"/>
        <v>#REF!</v>
      </c>
      <c r="CE39" s="2068" t="e">
        <f t="shared" si="69"/>
        <v>#REF!</v>
      </c>
      <c r="CF39" s="2068" t="e">
        <f t="shared" si="69"/>
        <v>#REF!</v>
      </c>
      <c r="CG39" s="2068" t="e">
        <f t="shared" si="69"/>
        <v>#REF!</v>
      </c>
      <c r="CH39" s="2068" t="e">
        <f t="shared" si="69"/>
        <v>#REF!</v>
      </c>
      <c r="CI39" s="2068" t="e">
        <f t="shared" si="69"/>
        <v>#REF!</v>
      </c>
      <c r="CJ39" s="2068" t="e">
        <f t="shared" si="69"/>
        <v>#REF!</v>
      </c>
      <c r="CK39" s="2068"/>
      <c r="CL39" s="2068"/>
      <c r="CM39" s="2068"/>
      <c r="CN39" s="2068"/>
      <c r="CO39" s="2068" t="e">
        <f t="shared" si="69"/>
        <v>#REF!</v>
      </c>
      <c r="CP39" s="2068" t="e">
        <f t="shared" si="69"/>
        <v>#REF!</v>
      </c>
      <c r="CQ39" s="2068"/>
      <c r="CR39" s="2068"/>
      <c r="CS39" s="2068" t="e">
        <f>CS25</f>
        <v>#REF!</v>
      </c>
      <c r="CT39" s="2068"/>
      <c r="CU39" s="2068" t="e">
        <f>CU25</f>
        <v>#REF!</v>
      </c>
      <c r="CV39" s="2068" t="e">
        <f t="shared" si="69"/>
        <v>#REF!</v>
      </c>
      <c r="CW39" s="2068" t="e">
        <f t="shared" si="69"/>
        <v>#REF!</v>
      </c>
      <c r="CX39" s="2068" t="e">
        <f t="shared" si="69"/>
        <v>#REF!</v>
      </c>
      <c r="CY39" s="2068" t="e">
        <f t="shared" si="69"/>
        <v>#REF!</v>
      </c>
      <c r="CZ39" s="2068" t="e">
        <f t="shared" si="69"/>
        <v>#REF!</v>
      </c>
      <c r="DA39" s="2068" t="e">
        <f>DA25</f>
        <v>#REF!</v>
      </c>
      <c r="DB39" s="2068" t="e">
        <f t="shared" si="69"/>
        <v>#REF!</v>
      </c>
      <c r="DC39" s="2068" t="e">
        <f t="shared" si="69"/>
        <v>#REF!</v>
      </c>
      <c r="DD39" s="2068" t="e">
        <f t="shared" si="69"/>
        <v>#REF!</v>
      </c>
      <c r="DE39" s="2068" t="e">
        <f t="shared" si="69"/>
        <v>#REF!</v>
      </c>
      <c r="DF39" s="2068" t="e">
        <f t="shared" si="69"/>
        <v>#REF!</v>
      </c>
      <c r="DG39" s="2068" t="e">
        <f t="shared" si="69"/>
        <v>#REF!</v>
      </c>
      <c r="DH39" s="2068">
        <f t="shared" si="69"/>
        <v>15125</v>
      </c>
      <c r="DI39" s="2068" t="e">
        <f t="shared" si="69"/>
        <v>#REF!</v>
      </c>
      <c r="DJ39" s="2068" t="e">
        <f t="shared" si="69"/>
        <v>#REF!</v>
      </c>
      <c r="DK39" s="2068" t="e">
        <f t="shared" si="69"/>
        <v>#REF!</v>
      </c>
      <c r="DL39" s="2068">
        <f t="shared" si="69"/>
        <v>19305</v>
      </c>
      <c r="DM39" s="2068">
        <f t="shared" si="69"/>
        <v>21175</v>
      </c>
      <c r="DN39" s="2068">
        <f t="shared" si="69"/>
        <v>19305</v>
      </c>
      <c r="DO39" s="2068">
        <f t="shared" si="69"/>
        <v>21175</v>
      </c>
      <c r="DP39" s="2068">
        <f>DP25</f>
        <v>35695</v>
      </c>
      <c r="DQ39" s="2068"/>
      <c r="DR39" s="2068"/>
      <c r="DS39" s="2068">
        <f t="shared" si="69"/>
        <v>19305</v>
      </c>
      <c r="DT39" s="2068" t="e">
        <f t="shared" ref="DT39:EF39" si="70">DT25</f>
        <v>#REF!</v>
      </c>
      <c r="DU39" s="2068" t="e">
        <f t="shared" si="70"/>
        <v>#REF!</v>
      </c>
      <c r="DV39" s="2068" t="e">
        <f t="shared" si="70"/>
        <v>#REF!</v>
      </c>
      <c r="DW39" s="2068" t="e">
        <f t="shared" si="70"/>
        <v>#REF!</v>
      </c>
      <c r="DX39" s="2068" t="e">
        <f t="shared" si="70"/>
        <v>#REF!</v>
      </c>
      <c r="DY39" s="2068" t="e">
        <f t="shared" si="70"/>
        <v>#REF!</v>
      </c>
      <c r="DZ39" s="2068" t="e">
        <f t="shared" si="70"/>
        <v>#REF!</v>
      </c>
      <c r="EA39" s="2068" t="e">
        <f t="shared" si="70"/>
        <v>#REF!</v>
      </c>
      <c r="EB39" s="2068" t="e">
        <f t="shared" si="70"/>
        <v>#REF!</v>
      </c>
      <c r="EC39" s="2068" t="e">
        <f t="shared" si="70"/>
        <v>#REF!</v>
      </c>
      <c r="ED39" s="2068" t="e">
        <f t="shared" si="70"/>
        <v>#REF!</v>
      </c>
      <c r="EE39" s="2068" t="e">
        <f t="shared" si="70"/>
        <v>#REF!</v>
      </c>
      <c r="EF39" s="2068" t="e">
        <f t="shared" si="70"/>
        <v>#REF!</v>
      </c>
      <c r="EG39" s="2068"/>
      <c r="EH39" s="2068"/>
      <c r="EI39" s="2068"/>
      <c r="EJ39" s="2068"/>
      <c r="EK39" s="2068"/>
      <c r="EL39" s="2068"/>
      <c r="EM39" s="2068"/>
      <c r="EN39" s="2068"/>
      <c r="EO39" s="2068"/>
      <c r="EP39" s="2068"/>
      <c r="EQ39" s="2068"/>
      <c r="ER39" s="2068"/>
      <c r="ES39" s="2068"/>
      <c r="ET39" s="2068"/>
      <c r="EU39" s="2068"/>
      <c r="EV39" s="2068"/>
      <c r="EW39" s="2068"/>
      <c r="EX39" s="2068"/>
      <c r="EY39" s="2068"/>
      <c r="EZ39" s="2068"/>
      <c r="FA39" s="2068"/>
      <c r="FB39" s="2068"/>
      <c r="FC39" s="2068"/>
      <c r="FD39" s="2068"/>
      <c r="FE39" s="2066"/>
      <c r="FF39" s="2066"/>
      <c r="FG39" s="2066"/>
      <c r="FH39" s="2066"/>
      <c r="FI39" s="2066"/>
      <c r="FJ39" s="2066"/>
    </row>
    <row r="40" spans="1:166" s="1553" customFormat="1" ht="17.25" hidden="1" customHeight="1" outlineLevel="2">
      <c r="A40" s="1549">
        <v>37</v>
      </c>
      <c r="B40" s="1555" t="s">
        <v>206</v>
      </c>
      <c r="C40" s="1493" t="s">
        <v>1425</v>
      </c>
      <c r="D40" s="1555" t="s">
        <v>206</v>
      </c>
      <c r="E40" s="1493" t="s">
        <v>281</v>
      </c>
      <c r="F40" s="1493" t="str">
        <f>Покрытия_ПВХ!E30</f>
        <v>Песочное дерево</v>
      </c>
      <c r="G40" s="1493"/>
      <c r="H40" s="2068"/>
      <c r="I40" s="2068"/>
      <c r="J40" s="2068"/>
      <c r="K40" s="2068"/>
      <c r="L40" s="2068"/>
      <c r="M40" s="2068"/>
      <c r="N40" s="2068"/>
      <c r="O40" s="2068"/>
      <c r="P40" s="2068"/>
      <c r="Q40" s="2068"/>
      <c r="R40" s="2068"/>
      <c r="S40" s="2068"/>
      <c r="T40" s="2068"/>
      <c r="U40" s="2068"/>
      <c r="V40" s="2068"/>
      <c r="W40" s="2068"/>
      <c r="X40" s="2068"/>
      <c r="Y40" s="2068"/>
      <c r="Z40" s="2068"/>
      <c r="AA40" s="2068"/>
      <c r="AB40" s="2068"/>
      <c r="AC40" s="2068"/>
      <c r="AD40" s="2068"/>
      <c r="AE40" s="2068"/>
      <c r="AF40" s="2068"/>
      <c r="AG40" s="2068"/>
      <c r="AH40" s="2068"/>
      <c r="AI40" s="2068"/>
      <c r="AJ40" s="2068"/>
      <c r="AK40" s="2068"/>
      <c r="AL40" s="2068"/>
      <c r="AM40" s="2068"/>
      <c r="AN40" s="2068"/>
      <c r="AO40" s="2068"/>
      <c r="AP40" s="2068"/>
      <c r="AQ40" s="2068"/>
      <c r="AR40" s="2068"/>
      <c r="AS40" s="2068"/>
      <c r="AT40" s="2068"/>
      <c r="AU40" s="2068"/>
      <c r="AV40" s="2068"/>
      <c r="AW40" s="2068"/>
      <c r="AX40" s="2068"/>
      <c r="AY40" s="2068"/>
      <c r="AZ40" s="2068"/>
      <c r="BA40" s="2068"/>
      <c r="BB40" s="2068"/>
      <c r="BC40" s="2068"/>
      <c r="BD40" s="2068"/>
      <c r="BE40" s="2068"/>
      <c r="BF40" s="2068"/>
      <c r="BG40" s="2068"/>
      <c r="BH40" s="2068"/>
      <c r="BI40" s="2068"/>
      <c r="BJ40" s="2068"/>
      <c r="BK40" s="2068"/>
      <c r="BL40" s="2068"/>
      <c r="BM40" s="2068"/>
      <c r="BN40" s="2068"/>
      <c r="BO40" s="2068"/>
      <c r="BP40" s="2068"/>
      <c r="BQ40" s="2068" t="e">
        <f t="shared" ref="BQ40:DS40" si="71">BQ25</f>
        <v>#REF!</v>
      </c>
      <c r="BR40" s="2068" t="e">
        <f t="shared" si="71"/>
        <v>#REF!</v>
      </c>
      <c r="BS40" s="2068" t="e">
        <f t="shared" si="71"/>
        <v>#REF!</v>
      </c>
      <c r="BT40" s="2068" t="e">
        <f t="shared" si="71"/>
        <v>#REF!</v>
      </c>
      <c r="BU40" s="2068" t="e">
        <f t="shared" si="71"/>
        <v>#REF!</v>
      </c>
      <c r="BV40" s="2068" t="e">
        <f t="shared" si="71"/>
        <v>#REF!</v>
      </c>
      <c r="BW40" s="2068" t="e">
        <f t="shared" si="71"/>
        <v>#REF!</v>
      </c>
      <c r="BX40" s="2068" t="e">
        <f t="shared" si="71"/>
        <v>#REF!</v>
      </c>
      <c r="BY40" s="2068" t="e">
        <f t="shared" si="71"/>
        <v>#REF!</v>
      </c>
      <c r="BZ40" s="2068" t="e">
        <f t="shared" si="71"/>
        <v>#REF!</v>
      </c>
      <c r="CA40" s="2068" t="e">
        <f t="shared" si="71"/>
        <v>#REF!</v>
      </c>
      <c r="CB40" s="2068" t="e">
        <f t="shared" si="71"/>
        <v>#REF!</v>
      </c>
      <c r="CC40" s="2068" t="e">
        <f t="shared" si="71"/>
        <v>#REF!</v>
      </c>
      <c r="CD40" s="2068" t="e">
        <f t="shared" si="71"/>
        <v>#REF!</v>
      </c>
      <c r="CE40" s="2068" t="e">
        <f t="shared" si="71"/>
        <v>#REF!</v>
      </c>
      <c r="CF40" s="2068" t="e">
        <f t="shared" si="71"/>
        <v>#REF!</v>
      </c>
      <c r="CG40" s="2068" t="e">
        <f t="shared" si="71"/>
        <v>#REF!</v>
      </c>
      <c r="CH40" s="2068" t="e">
        <f t="shared" si="71"/>
        <v>#REF!</v>
      </c>
      <c r="CI40" s="2068" t="e">
        <f t="shared" si="71"/>
        <v>#REF!</v>
      </c>
      <c r="CJ40" s="2068" t="e">
        <f t="shared" si="71"/>
        <v>#REF!</v>
      </c>
      <c r="CK40" s="2068"/>
      <c r="CL40" s="2068"/>
      <c r="CM40" s="2068"/>
      <c r="CN40" s="2068"/>
      <c r="CO40" s="2068" t="e">
        <f t="shared" si="71"/>
        <v>#REF!</v>
      </c>
      <c r="CP40" s="2068" t="e">
        <f t="shared" si="71"/>
        <v>#REF!</v>
      </c>
      <c r="CQ40" s="2068"/>
      <c r="CR40" s="2068"/>
      <c r="CS40" s="2068" t="e">
        <f>CS25</f>
        <v>#REF!</v>
      </c>
      <c r="CT40" s="2068"/>
      <c r="CU40" s="2068" t="e">
        <f>CU25</f>
        <v>#REF!</v>
      </c>
      <c r="CV40" s="2068" t="e">
        <f t="shared" si="71"/>
        <v>#REF!</v>
      </c>
      <c r="CW40" s="2068" t="e">
        <f t="shared" si="71"/>
        <v>#REF!</v>
      </c>
      <c r="CX40" s="2068" t="e">
        <f t="shared" si="71"/>
        <v>#REF!</v>
      </c>
      <c r="CY40" s="2068" t="e">
        <f t="shared" si="71"/>
        <v>#REF!</v>
      </c>
      <c r="CZ40" s="2068" t="e">
        <f t="shared" si="71"/>
        <v>#REF!</v>
      </c>
      <c r="DA40" s="2068" t="e">
        <f>DA25</f>
        <v>#REF!</v>
      </c>
      <c r="DB40" s="2068" t="e">
        <f t="shared" si="71"/>
        <v>#REF!</v>
      </c>
      <c r="DC40" s="2068" t="e">
        <f t="shared" si="71"/>
        <v>#REF!</v>
      </c>
      <c r="DD40" s="2068" t="e">
        <f t="shared" si="71"/>
        <v>#REF!</v>
      </c>
      <c r="DE40" s="2068" t="e">
        <f t="shared" si="71"/>
        <v>#REF!</v>
      </c>
      <c r="DF40" s="2068" t="e">
        <f t="shared" si="71"/>
        <v>#REF!</v>
      </c>
      <c r="DG40" s="2068" t="e">
        <f t="shared" si="71"/>
        <v>#REF!</v>
      </c>
      <c r="DH40" s="2068">
        <f t="shared" si="71"/>
        <v>15125</v>
      </c>
      <c r="DI40" s="2068" t="e">
        <f t="shared" si="71"/>
        <v>#REF!</v>
      </c>
      <c r="DJ40" s="2068" t="e">
        <f t="shared" si="71"/>
        <v>#REF!</v>
      </c>
      <c r="DK40" s="2068" t="e">
        <f t="shared" si="71"/>
        <v>#REF!</v>
      </c>
      <c r="DL40" s="2068">
        <f t="shared" si="71"/>
        <v>19305</v>
      </c>
      <c r="DM40" s="2068">
        <f t="shared" si="71"/>
        <v>21175</v>
      </c>
      <c r="DN40" s="2068">
        <f t="shared" si="71"/>
        <v>19305</v>
      </c>
      <c r="DO40" s="2068">
        <f t="shared" si="71"/>
        <v>21175</v>
      </c>
      <c r="DP40" s="2068">
        <f>DP25</f>
        <v>35695</v>
      </c>
      <c r="DQ40" s="2068"/>
      <c r="DR40" s="2068"/>
      <c r="DS40" s="2068">
        <f t="shared" si="71"/>
        <v>19305</v>
      </c>
      <c r="DT40" s="2068" t="e">
        <f t="shared" ref="DT40:EF40" si="72">DT25</f>
        <v>#REF!</v>
      </c>
      <c r="DU40" s="2068" t="e">
        <f t="shared" si="72"/>
        <v>#REF!</v>
      </c>
      <c r="DV40" s="2068" t="e">
        <f t="shared" si="72"/>
        <v>#REF!</v>
      </c>
      <c r="DW40" s="2068" t="e">
        <f t="shared" si="72"/>
        <v>#REF!</v>
      </c>
      <c r="DX40" s="2068" t="e">
        <f t="shared" si="72"/>
        <v>#REF!</v>
      </c>
      <c r="DY40" s="2068" t="e">
        <f t="shared" si="72"/>
        <v>#REF!</v>
      </c>
      <c r="DZ40" s="2068" t="e">
        <f t="shared" si="72"/>
        <v>#REF!</v>
      </c>
      <c r="EA40" s="2068" t="e">
        <f t="shared" si="72"/>
        <v>#REF!</v>
      </c>
      <c r="EB40" s="2068" t="e">
        <f t="shared" si="72"/>
        <v>#REF!</v>
      </c>
      <c r="EC40" s="2068" t="e">
        <f t="shared" si="72"/>
        <v>#REF!</v>
      </c>
      <c r="ED40" s="2068" t="e">
        <f t="shared" si="72"/>
        <v>#REF!</v>
      </c>
      <c r="EE40" s="2068" t="e">
        <f t="shared" si="72"/>
        <v>#REF!</v>
      </c>
      <c r="EF40" s="2068" t="e">
        <f t="shared" si="72"/>
        <v>#REF!</v>
      </c>
      <c r="EG40" s="2068"/>
      <c r="EH40" s="2068"/>
      <c r="EI40" s="2068"/>
      <c r="EJ40" s="2068"/>
      <c r="EK40" s="2068"/>
      <c r="EL40" s="2068"/>
      <c r="EM40" s="2068"/>
      <c r="EN40" s="2068"/>
      <c r="EO40" s="2068"/>
      <c r="EP40" s="2068"/>
      <c r="EQ40" s="2068"/>
      <c r="ER40" s="2068"/>
      <c r="ES40" s="2068"/>
      <c r="ET40" s="2068"/>
      <c r="EU40" s="2068"/>
      <c r="EV40" s="2068"/>
      <c r="EW40" s="2068"/>
      <c r="EX40" s="2068"/>
      <c r="EY40" s="2068"/>
      <c r="EZ40" s="2068"/>
      <c r="FA40" s="2068"/>
      <c r="FB40" s="2068"/>
      <c r="FC40" s="2068"/>
      <c r="FD40" s="2068"/>
      <c r="FE40" s="2066"/>
      <c r="FF40" s="2066"/>
      <c r="FG40" s="2066"/>
      <c r="FH40" s="2066"/>
      <c r="FI40" s="2066"/>
      <c r="FJ40" s="2066"/>
    </row>
    <row r="41" spans="1:166" s="1553" customFormat="1" ht="17.25" hidden="1" customHeight="1" outlineLevel="2">
      <c r="A41" s="1552">
        <v>38</v>
      </c>
      <c r="B41" s="1555" t="s">
        <v>206</v>
      </c>
      <c r="C41" s="1493" t="s">
        <v>1425</v>
      </c>
      <c r="D41" s="1555" t="s">
        <v>206</v>
      </c>
      <c r="E41" s="1493" t="s">
        <v>281</v>
      </c>
      <c r="F41" s="1493" t="str">
        <f>Покрытия_ПВХ!E31</f>
        <v>Дымчатое дерево</v>
      </c>
      <c r="G41" s="1493"/>
      <c r="H41" s="2068"/>
      <c r="I41" s="2068"/>
      <c r="J41" s="2068"/>
      <c r="K41" s="2068"/>
      <c r="L41" s="2068"/>
      <c r="M41" s="2068"/>
      <c r="N41" s="2068"/>
      <c r="O41" s="2068"/>
      <c r="P41" s="2068"/>
      <c r="Q41" s="2068"/>
      <c r="R41" s="2068"/>
      <c r="S41" s="2068"/>
      <c r="T41" s="2068"/>
      <c r="U41" s="2068"/>
      <c r="V41" s="2068"/>
      <c r="W41" s="2068"/>
      <c r="X41" s="2068"/>
      <c r="Y41" s="2068"/>
      <c r="Z41" s="2068"/>
      <c r="AA41" s="2068"/>
      <c r="AB41" s="2068"/>
      <c r="AC41" s="2068"/>
      <c r="AD41" s="2068"/>
      <c r="AE41" s="2068"/>
      <c r="AF41" s="2068"/>
      <c r="AG41" s="2068"/>
      <c r="AH41" s="2068"/>
      <c r="AI41" s="2068"/>
      <c r="AJ41" s="2068"/>
      <c r="AK41" s="2068"/>
      <c r="AL41" s="2068"/>
      <c r="AM41" s="2068"/>
      <c r="AN41" s="2068"/>
      <c r="AO41" s="2068"/>
      <c r="AP41" s="2068"/>
      <c r="AQ41" s="2068"/>
      <c r="AR41" s="2068"/>
      <c r="AS41" s="2068"/>
      <c r="AT41" s="2068"/>
      <c r="AU41" s="2068"/>
      <c r="AV41" s="2068"/>
      <c r="AW41" s="2068"/>
      <c r="AX41" s="2068"/>
      <c r="AY41" s="2068"/>
      <c r="AZ41" s="2068"/>
      <c r="BA41" s="2068"/>
      <c r="BB41" s="2068"/>
      <c r="BC41" s="2068"/>
      <c r="BD41" s="2068"/>
      <c r="BE41" s="2068"/>
      <c r="BF41" s="2068"/>
      <c r="BG41" s="2068"/>
      <c r="BH41" s="2068"/>
      <c r="BI41" s="2068"/>
      <c r="BJ41" s="2068"/>
      <c r="BK41" s="2068"/>
      <c r="BL41" s="2068"/>
      <c r="BM41" s="2068"/>
      <c r="BN41" s="2068"/>
      <c r="BO41" s="2068"/>
      <c r="BP41" s="2068"/>
      <c r="BQ41" s="2068" t="e">
        <f t="shared" ref="BQ41:DS41" si="73">BQ25</f>
        <v>#REF!</v>
      </c>
      <c r="BR41" s="2068" t="e">
        <f t="shared" si="73"/>
        <v>#REF!</v>
      </c>
      <c r="BS41" s="2068" t="e">
        <f t="shared" si="73"/>
        <v>#REF!</v>
      </c>
      <c r="BT41" s="2068" t="e">
        <f t="shared" si="73"/>
        <v>#REF!</v>
      </c>
      <c r="BU41" s="2068" t="e">
        <f t="shared" si="73"/>
        <v>#REF!</v>
      </c>
      <c r="BV41" s="2068" t="e">
        <f t="shared" si="73"/>
        <v>#REF!</v>
      </c>
      <c r="BW41" s="2068" t="e">
        <f t="shared" si="73"/>
        <v>#REF!</v>
      </c>
      <c r="BX41" s="2068" t="e">
        <f t="shared" si="73"/>
        <v>#REF!</v>
      </c>
      <c r="BY41" s="2068" t="e">
        <f t="shared" si="73"/>
        <v>#REF!</v>
      </c>
      <c r="BZ41" s="2068" t="e">
        <f t="shared" si="73"/>
        <v>#REF!</v>
      </c>
      <c r="CA41" s="2068" t="e">
        <f t="shared" si="73"/>
        <v>#REF!</v>
      </c>
      <c r="CB41" s="2068" t="e">
        <f t="shared" si="73"/>
        <v>#REF!</v>
      </c>
      <c r="CC41" s="2068" t="e">
        <f t="shared" si="73"/>
        <v>#REF!</v>
      </c>
      <c r="CD41" s="2068" t="e">
        <f t="shared" si="73"/>
        <v>#REF!</v>
      </c>
      <c r="CE41" s="2068" t="e">
        <f t="shared" si="73"/>
        <v>#REF!</v>
      </c>
      <c r="CF41" s="2068" t="e">
        <f t="shared" si="73"/>
        <v>#REF!</v>
      </c>
      <c r="CG41" s="2068" t="e">
        <f t="shared" si="73"/>
        <v>#REF!</v>
      </c>
      <c r="CH41" s="2068" t="e">
        <f t="shared" si="73"/>
        <v>#REF!</v>
      </c>
      <c r="CI41" s="2068" t="e">
        <f t="shared" si="73"/>
        <v>#REF!</v>
      </c>
      <c r="CJ41" s="2068" t="e">
        <f t="shared" si="73"/>
        <v>#REF!</v>
      </c>
      <c r="CK41" s="2068"/>
      <c r="CL41" s="2068"/>
      <c r="CM41" s="2068"/>
      <c r="CN41" s="2068"/>
      <c r="CO41" s="2068" t="e">
        <f t="shared" si="73"/>
        <v>#REF!</v>
      </c>
      <c r="CP41" s="2068" t="e">
        <f t="shared" si="73"/>
        <v>#REF!</v>
      </c>
      <c r="CQ41" s="2068"/>
      <c r="CR41" s="2068"/>
      <c r="CS41" s="2068" t="e">
        <f>CS25</f>
        <v>#REF!</v>
      </c>
      <c r="CT41" s="2068"/>
      <c r="CU41" s="2068" t="e">
        <f>CU25</f>
        <v>#REF!</v>
      </c>
      <c r="CV41" s="2068" t="e">
        <f t="shared" si="73"/>
        <v>#REF!</v>
      </c>
      <c r="CW41" s="2068" t="e">
        <f t="shared" si="73"/>
        <v>#REF!</v>
      </c>
      <c r="CX41" s="2068" t="e">
        <f t="shared" si="73"/>
        <v>#REF!</v>
      </c>
      <c r="CY41" s="2068" t="e">
        <f t="shared" si="73"/>
        <v>#REF!</v>
      </c>
      <c r="CZ41" s="2068" t="e">
        <f t="shared" si="73"/>
        <v>#REF!</v>
      </c>
      <c r="DA41" s="2068" t="e">
        <f>DA25</f>
        <v>#REF!</v>
      </c>
      <c r="DB41" s="2068" t="e">
        <f t="shared" si="73"/>
        <v>#REF!</v>
      </c>
      <c r="DC41" s="2068" t="e">
        <f t="shared" si="73"/>
        <v>#REF!</v>
      </c>
      <c r="DD41" s="2068" t="e">
        <f t="shared" si="73"/>
        <v>#REF!</v>
      </c>
      <c r="DE41" s="2068" t="e">
        <f t="shared" si="73"/>
        <v>#REF!</v>
      </c>
      <c r="DF41" s="2068" t="e">
        <f t="shared" si="73"/>
        <v>#REF!</v>
      </c>
      <c r="DG41" s="2068" t="e">
        <f t="shared" si="73"/>
        <v>#REF!</v>
      </c>
      <c r="DH41" s="2068">
        <f t="shared" si="73"/>
        <v>15125</v>
      </c>
      <c r="DI41" s="2068" t="e">
        <f t="shared" si="73"/>
        <v>#REF!</v>
      </c>
      <c r="DJ41" s="2068" t="e">
        <f t="shared" si="73"/>
        <v>#REF!</v>
      </c>
      <c r="DK41" s="2068" t="e">
        <f t="shared" si="73"/>
        <v>#REF!</v>
      </c>
      <c r="DL41" s="2068">
        <f t="shared" si="73"/>
        <v>19305</v>
      </c>
      <c r="DM41" s="2068">
        <f t="shared" si="73"/>
        <v>21175</v>
      </c>
      <c r="DN41" s="2068">
        <f t="shared" si="73"/>
        <v>19305</v>
      </c>
      <c r="DO41" s="2068">
        <f t="shared" si="73"/>
        <v>21175</v>
      </c>
      <c r="DP41" s="2068">
        <f>DP25</f>
        <v>35695</v>
      </c>
      <c r="DQ41" s="2068"/>
      <c r="DR41" s="2068"/>
      <c r="DS41" s="2068">
        <f t="shared" si="73"/>
        <v>19305</v>
      </c>
      <c r="DT41" s="2068" t="e">
        <f t="shared" ref="DT41:EF41" si="74">DT25</f>
        <v>#REF!</v>
      </c>
      <c r="DU41" s="2068" t="e">
        <f t="shared" si="74"/>
        <v>#REF!</v>
      </c>
      <c r="DV41" s="2068" t="e">
        <f t="shared" si="74"/>
        <v>#REF!</v>
      </c>
      <c r="DW41" s="2068" t="e">
        <f t="shared" si="74"/>
        <v>#REF!</v>
      </c>
      <c r="DX41" s="2068" t="e">
        <f t="shared" si="74"/>
        <v>#REF!</v>
      </c>
      <c r="DY41" s="2068" t="e">
        <f t="shared" si="74"/>
        <v>#REF!</v>
      </c>
      <c r="DZ41" s="2068" t="e">
        <f t="shared" si="74"/>
        <v>#REF!</v>
      </c>
      <c r="EA41" s="2068" t="e">
        <f t="shared" si="74"/>
        <v>#REF!</v>
      </c>
      <c r="EB41" s="2068" t="e">
        <f t="shared" si="74"/>
        <v>#REF!</v>
      </c>
      <c r="EC41" s="2068" t="e">
        <f t="shared" si="74"/>
        <v>#REF!</v>
      </c>
      <c r="ED41" s="2068" t="e">
        <f t="shared" si="74"/>
        <v>#REF!</v>
      </c>
      <c r="EE41" s="2068" t="e">
        <f t="shared" si="74"/>
        <v>#REF!</v>
      </c>
      <c r="EF41" s="2068" t="e">
        <f t="shared" si="74"/>
        <v>#REF!</v>
      </c>
      <c r="EG41" s="2068"/>
      <c r="EH41" s="2068"/>
      <c r="EI41" s="2068"/>
      <c r="EJ41" s="2068"/>
      <c r="EK41" s="2068"/>
      <c r="EL41" s="2068"/>
      <c r="EM41" s="2068"/>
      <c r="EN41" s="2068"/>
      <c r="EO41" s="2068"/>
      <c r="EP41" s="2068"/>
      <c r="EQ41" s="2068"/>
      <c r="ER41" s="2068"/>
      <c r="ES41" s="2068"/>
      <c r="ET41" s="2068"/>
      <c r="EU41" s="2068"/>
      <c r="EV41" s="2068"/>
      <c r="EW41" s="2068"/>
      <c r="EX41" s="2068"/>
      <c r="EY41" s="2068"/>
      <c r="EZ41" s="2068"/>
      <c r="FA41" s="2068"/>
      <c r="FB41" s="2068"/>
      <c r="FC41" s="2068"/>
      <c r="FD41" s="2068"/>
      <c r="FE41" s="2066"/>
      <c r="FF41" s="2066"/>
      <c r="FG41" s="2066"/>
      <c r="FH41" s="2066"/>
      <c r="FI41" s="2066"/>
      <c r="FJ41" s="2066"/>
    </row>
    <row r="42" spans="1:166" s="1553" customFormat="1" ht="17.25" hidden="1" customHeight="1" outlineLevel="2">
      <c r="A42" s="1549">
        <v>39</v>
      </c>
      <c r="B42" s="1555" t="s">
        <v>206</v>
      </c>
      <c r="C42" s="1493" t="s">
        <v>1425</v>
      </c>
      <c r="D42" s="1555" t="s">
        <v>206</v>
      </c>
      <c r="E42" s="1493" t="s">
        <v>281</v>
      </c>
      <c r="F42" s="1493" t="str">
        <f>Покрытия_ПВХ!E32</f>
        <v>Белая структурная</v>
      </c>
      <c r="G42" s="1493"/>
      <c r="H42" s="2068"/>
      <c r="I42" s="2068"/>
      <c r="J42" s="2068"/>
      <c r="K42" s="2068"/>
      <c r="L42" s="2068"/>
      <c r="M42" s="2068"/>
      <c r="N42" s="2068"/>
      <c r="O42" s="2068"/>
      <c r="P42" s="2068"/>
      <c r="Q42" s="2068"/>
      <c r="R42" s="2068"/>
      <c r="S42" s="2068"/>
      <c r="T42" s="2068"/>
      <c r="U42" s="2068"/>
      <c r="V42" s="2068"/>
      <c r="W42" s="2068"/>
      <c r="X42" s="2068"/>
      <c r="Y42" s="2068"/>
      <c r="Z42" s="2068"/>
      <c r="AA42" s="2068"/>
      <c r="AB42" s="2068"/>
      <c r="AC42" s="2068"/>
      <c r="AD42" s="2068"/>
      <c r="AE42" s="2068"/>
      <c r="AF42" s="2068"/>
      <c r="AG42" s="2068"/>
      <c r="AH42" s="2068"/>
      <c r="AI42" s="2068"/>
      <c r="AJ42" s="2068"/>
      <c r="AK42" s="2068"/>
      <c r="AL42" s="2068"/>
      <c r="AM42" s="2068"/>
      <c r="AN42" s="2068"/>
      <c r="AO42" s="2068"/>
      <c r="AP42" s="2068"/>
      <c r="AQ42" s="2068"/>
      <c r="AR42" s="2068"/>
      <c r="AS42" s="2068"/>
      <c r="AT42" s="2068"/>
      <c r="AU42" s="2068"/>
      <c r="AV42" s="2068"/>
      <c r="AW42" s="2068"/>
      <c r="AX42" s="2068"/>
      <c r="AY42" s="2068"/>
      <c r="AZ42" s="2068"/>
      <c r="BA42" s="2068"/>
      <c r="BB42" s="2068"/>
      <c r="BC42" s="2068"/>
      <c r="BD42" s="2068"/>
      <c r="BE42" s="2068"/>
      <c r="BF42" s="2068"/>
      <c r="BG42" s="2068"/>
      <c r="BH42" s="2068"/>
      <c r="BI42" s="2068"/>
      <c r="BJ42" s="2068"/>
      <c r="BK42" s="2068"/>
      <c r="BL42" s="2068"/>
      <c r="BM42" s="2068"/>
      <c r="BN42" s="2068"/>
      <c r="BO42" s="2068"/>
      <c r="BP42" s="2068"/>
      <c r="BQ42" s="2068" t="e">
        <f t="shared" ref="BQ42:DS42" si="75">BQ25</f>
        <v>#REF!</v>
      </c>
      <c r="BR42" s="2068" t="e">
        <f t="shared" si="75"/>
        <v>#REF!</v>
      </c>
      <c r="BS42" s="2068" t="e">
        <f t="shared" si="75"/>
        <v>#REF!</v>
      </c>
      <c r="BT42" s="2068" t="e">
        <f t="shared" si="75"/>
        <v>#REF!</v>
      </c>
      <c r="BU42" s="2068" t="e">
        <f t="shared" si="75"/>
        <v>#REF!</v>
      </c>
      <c r="BV42" s="2068" t="e">
        <f t="shared" si="75"/>
        <v>#REF!</v>
      </c>
      <c r="BW42" s="2068" t="e">
        <f t="shared" si="75"/>
        <v>#REF!</v>
      </c>
      <c r="BX42" s="2068" t="e">
        <f t="shared" si="75"/>
        <v>#REF!</v>
      </c>
      <c r="BY42" s="2068" t="e">
        <f t="shared" si="75"/>
        <v>#REF!</v>
      </c>
      <c r="BZ42" s="2068" t="e">
        <f t="shared" si="75"/>
        <v>#REF!</v>
      </c>
      <c r="CA42" s="2068" t="e">
        <f t="shared" si="75"/>
        <v>#REF!</v>
      </c>
      <c r="CB42" s="2068" t="e">
        <f t="shared" si="75"/>
        <v>#REF!</v>
      </c>
      <c r="CC42" s="2068" t="e">
        <f t="shared" si="75"/>
        <v>#REF!</v>
      </c>
      <c r="CD42" s="2068" t="e">
        <f t="shared" si="75"/>
        <v>#REF!</v>
      </c>
      <c r="CE42" s="2068" t="e">
        <f t="shared" si="75"/>
        <v>#REF!</v>
      </c>
      <c r="CF42" s="2068" t="e">
        <f t="shared" si="75"/>
        <v>#REF!</v>
      </c>
      <c r="CG42" s="2068" t="e">
        <f t="shared" si="75"/>
        <v>#REF!</v>
      </c>
      <c r="CH42" s="2068" t="e">
        <f t="shared" si="75"/>
        <v>#REF!</v>
      </c>
      <c r="CI42" s="2068" t="e">
        <f t="shared" si="75"/>
        <v>#REF!</v>
      </c>
      <c r="CJ42" s="2068" t="e">
        <f t="shared" si="75"/>
        <v>#REF!</v>
      </c>
      <c r="CK42" s="2068"/>
      <c r="CL42" s="2068"/>
      <c r="CM42" s="2068"/>
      <c r="CN42" s="2068"/>
      <c r="CO42" s="2068" t="e">
        <f t="shared" si="75"/>
        <v>#REF!</v>
      </c>
      <c r="CP42" s="2068" t="e">
        <f t="shared" si="75"/>
        <v>#REF!</v>
      </c>
      <c r="CQ42" s="2068"/>
      <c r="CR42" s="2068"/>
      <c r="CS42" s="2068" t="e">
        <f>CS25</f>
        <v>#REF!</v>
      </c>
      <c r="CT42" s="2068"/>
      <c r="CU42" s="2068" t="e">
        <f>CU25</f>
        <v>#REF!</v>
      </c>
      <c r="CV42" s="2068" t="e">
        <f t="shared" si="75"/>
        <v>#REF!</v>
      </c>
      <c r="CW42" s="2068" t="e">
        <f t="shared" si="75"/>
        <v>#REF!</v>
      </c>
      <c r="CX42" s="2068" t="e">
        <f t="shared" si="75"/>
        <v>#REF!</v>
      </c>
      <c r="CY42" s="2068" t="e">
        <f t="shared" si="75"/>
        <v>#REF!</v>
      </c>
      <c r="CZ42" s="2068" t="e">
        <f t="shared" si="75"/>
        <v>#REF!</v>
      </c>
      <c r="DA42" s="2068" t="e">
        <f>DA25</f>
        <v>#REF!</v>
      </c>
      <c r="DB42" s="2068" t="e">
        <f t="shared" si="75"/>
        <v>#REF!</v>
      </c>
      <c r="DC42" s="2068" t="e">
        <f t="shared" si="75"/>
        <v>#REF!</v>
      </c>
      <c r="DD42" s="2068" t="e">
        <f t="shared" si="75"/>
        <v>#REF!</v>
      </c>
      <c r="DE42" s="2068" t="e">
        <f t="shared" si="75"/>
        <v>#REF!</v>
      </c>
      <c r="DF42" s="2068" t="e">
        <f t="shared" si="75"/>
        <v>#REF!</v>
      </c>
      <c r="DG42" s="2068" t="e">
        <f t="shared" si="75"/>
        <v>#REF!</v>
      </c>
      <c r="DH42" s="2068">
        <f t="shared" si="75"/>
        <v>15125</v>
      </c>
      <c r="DI42" s="2068" t="e">
        <f t="shared" si="75"/>
        <v>#REF!</v>
      </c>
      <c r="DJ42" s="2068" t="e">
        <f t="shared" si="75"/>
        <v>#REF!</v>
      </c>
      <c r="DK42" s="2068" t="e">
        <f t="shared" si="75"/>
        <v>#REF!</v>
      </c>
      <c r="DL42" s="2068">
        <f t="shared" si="75"/>
        <v>19305</v>
      </c>
      <c r="DM42" s="2068">
        <f t="shared" si="75"/>
        <v>21175</v>
      </c>
      <c r="DN42" s="2068">
        <f t="shared" si="75"/>
        <v>19305</v>
      </c>
      <c r="DO42" s="2068">
        <f t="shared" si="75"/>
        <v>21175</v>
      </c>
      <c r="DP42" s="2068">
        <f>DP25</f>
        <v>35695</v>
      </c>
      <c r="DQ42" s="2068"/>
      <c r="DR42" s="2068"/>
      <c r="DS42" s="2068">
        <f t="shared" si="75"/>
        <v>19305</v>
      </c>
      <c r="DT42" s="2068" t="e">
        <f t="shared" ref="DT42:EF42" si="76">DT25</f>
        <v>#REF!</v>
      </c>
      <c r="DU42" s="2068" t="e">
        <f t="shared" si="76"/>
        <v>#REF!</v>
      </c>
      <c r="DV42" s="2068" t="e">
        <f t="shared" si="76"/>
        <v>#REF!</v>
      </c>
      <c r="DW42" s="2068" t="e">
        <f t="shared" si="76"/>
        <v>#REF!</v>
      </c>
      <c r="DX42" s="2068" t="e">
        <f t="shared" si="76"/>
        <v>#REF!</v>
      </c>
      <c r="DY42" s="2068" t="e">
        <f t="shared" si="76"/>
        <v>#REF!</v>
      </c>
      <c r="DZ42" s="2068" t="e">
        <f t="shared" si="76"/>
        <v>#REF!</v>
      </c>
      <c r="EA42" s="2068" t="e">
        <f t="shared" si="76"/>
        <v>#REF!</v>
      </c>
      <c r="EB42" s="2068" t="e">
        <f t="shared" si="76"/>
        <v>#REF!</v>
      </c>
      <c r="EC42" s="2068" t="e">
        <f t="shared" si="76"/>
        <v>#REF!</v>
      </c>
      <c r="ED42" s="2068" t="e">
        <f t="shared" si="76"/>
        <v>#REF!</v>
      </c>
      <c r="EE42" s="2068" t="e">
        <f t="shared" si="76"/>
        <v>#REF!</v>
      </c>
      <c r="EF42" s="2068" t="e">
        <f t="shared" si="76"/>
        <v>#REF!</v>
      </c>
      <c r="EG42" s="2068"/>
      <c r="EH42" s="2068"/>
      <c r="EI42" s="2068"/>
      <c r="EJ42" s="2068"/>
      <c r="EK42" s="2068"/>
      <c r="EL42" s="2068"/>
      <c r="EM42" s="2068"/>
      <c r="EN42" s="2068"/>
      <c r="EO42" s="2068"/>
      <c r="EP42" s="2068"/>
      <c r="EQ42" s="2068"/>
      <c r="ER42" s="2068"/>
      <c r="ES42" s="2068"/>
      <c r="ET42" s="2068"/>
      <c r="EU42" s="2068"/>
      <c r="EV42" s="2068"/>
      <c r="EW42" s="2068"/>
      <c r="EX42" s="2068"/>
      <c r="EY42" s="2068"/>
      <c r="EZ42" s="2068"/>
      <c r="FA42" s="2068"/>
      <c r="FB42" s="2068"/>
      <c r="FC42" s="2068"/>
      <c r="FD42" s="2068"/>
      <c r="FE42" s="2066"/>
      <c r="FF42" s="2066"/>
      <c r="FG42" s="2066"/>
      <c r="FH42" s="2066"/>
      <c r="FI42" s="2066"/>
      <c r="FJ42" s="2066"/>
    </row>
    <row r="43" spans="1:166" s="1553" customFormat="1" ht="17.25" hidden="1" customHeight="1" outlineLevel="2">
      <c r="A43" s="1552">
        <v>40</v>
      </c>
      <c r="B43" s="1555" t="s">
        <v>206</v>
      </c>
      <c r="C43" s="1493" t="s">
        <v>1425</v>
      </c>
      <c r="D43" s="1555" t="s">
        <v>206</v>
      </c>
      <c r="E43" s="1493" t="s">
        <v>278</v>
      </c>
      <c r="F43" s="1493" t="str">
        <f>Покрытия_ПВХ!E47</f>
        <v>Камень темный</v>
      </c>
      <c r="G43" s="1493"/>
      <c r="H43" s="2068"/>
      <c r="I43" s="2068"/>
      <c r="J43" s="2068"/>
      <c r="K43" s="2068"/>
      <c r="L43" s="2068"/>
      <c r="M43" s="2068"/>
      <c r="N43" s="2068"/>
      <c r="O43" s="2068"/>
      <c r="P43" s="2068"/>
      <c r="Q43" s="2068"/>
      <c r="R43" s="2068"/>
      <c r="S43" s="2068"/>
      <c r="T43" s="2068"/>
      <c r="U43" s="2068"/>
      <c r="V43" s="2068"/>
      <c r="W43" s="2068"/>
      <c r="X43" s="2068"/>
      <c r="Y43" s="2068"/>
      <c r="Z43" s="2068"/>
      <c r="AA43" s="2068"/>
      <c r="AB43" s="2068"/>
      <c r="AC43" s="2068"/>
      <c r="AD43" s="2068"/>
      <c r="AE43" s="2068"/>
      <c r="AF43" s="2068"/>
      <c r="AG43" s="2068"/>
      <c r="AH43" s="2068"/>
      <c r="AI43" s="2068"/>
      <c r="AJ43" s="2068"/>
      <c r="AK43" s="2068"/>
      <c r="AL43" s="2068"/>
      <c r="AM43" s="2068"/>
      <c r="AN43" s="2068"/>
      <c r="AO43" s="2068"/>
      <c r="AP43" s="2068"/>
      <c r="AQ43" s="2068"/>
      <c r="AR43" s="2068"/>
      <c r="AS43" s="2068"/>
      <c r="AT43" s="2068"/>
      <c r="AU43" s="2068"/>
      <c r="AV43" s="2068"/>
      <c r="AW43" s="2068"/>
      <c r="AX43" s="2068"/>
      <c r="AY43" s="2068"/>
      <c r="AZ43" s="2068"/>
      <c r="BA43" s="2068"/>
      <c r="BB43" s="2068"/>
      <c r="BC43" s="2068"/>
      <c r="BD43" s="2068"/>
      <c r="BE43" s="2068"/>
      <c r="BF43" s="2068"/>
      <c r="BG43" s="2068"/>
      <c r="BH43" s="2068"/>
      <c r="BI43" s="2068"/>
      <c r="BJ43" s="2068"/>
      <c r="BK43" s="2068"/>
      <c r="BL43" s="2068"/>
      <c r="BM43" s="2068"/>
      <c r="BN43" s="2068"/>
      <c r="BO43" s="2068"/>
      <c r="BP43" s="2068"/>
      <c r="BQ43" s="2068" t="e">
        <f t="shared" ref="BQ43:DS43" si="77">BQ25</f>
        <v>#REF!</v>
      </c>
      <c r="BR43" s="2068" t="e">
        <f t="shared" si="77"/>
        <v>#REF!</v>
      </c>
      <c r="BS43" s="2068" t="e">
        <f t="shared" si="77"/>
        <v>#REF!</v>
      </c>
      <c r="BT43" s="2068" t="e">
        <f t="shared" si="77"/>
        <v>#REF!</v>
      </c>
      <c r="BU43" s="2068" t="e">
        <f t="shared" si="77"/>
        <v>#REF!</v>
      </c>
      <c r="BV43" s="2068" t="e">
        <f t="shared" si="77"/>
        <v>#REF!</v>
      </c>
      <c r="BW43" s="2068" t="e">
        <f t="shared" si="77"/>
        <v>#REF!</v>
      </c>
      <c r="BX43" s="2068" t="e">
        <f t="shared" si="77"/>
        <v>#REF!</v>
      </c>
      <c r="BY43" s="2068" t="e">
        <f t="shared" si="77"/>
        <v>#REF!</v>
      </c>
      <c r="BZ43" s="2068" t="e">
        <f t="shared" si="77"/>
        <v>#REF!</v>
      </c>
      <c r="CA43" s="2068" t="e">
        <f t="shared" si="77"/>
        <v>#REF!</v>
      </c>
      <c r="CB43" s="2068" t="e">
        <f t="shared" si="77"/>
        <v>#REF!</v>
      </c>
      <c r="CC43" s="2068" t="e">
        <f t="shared" si="77"/>
        <v>#REF!</v>
      </c>
      <c r="CD43" s="2068" t="e">
        <f t="shared" si="77"/>
        <v>#REF!</v>
      </c>
      <c r="CE43" s="2068" t="e">
        <f t="shared" si="77"/>
        <v>#REF!</v>
      </c>
      <c r="CF43" s="2068" t="e">
        <f t="shared" si="77"/>
        <v>#REF!</v>
      </c>
      <c r="CG43" s="2068" t="e">
        <f t="shared" si="77"/>
        <v>#REF!</v>
      </c>
      <c r="CH43" s="2068" t="e">
        <f t="shared" si="77"/>
        <v>#REF!</v>
      </c>
      <c r="CI43" s="2068" t="e">
        <f t="shared" si="77"/>
        <v>#REF!</v>
      </c>
      <c r="CJ43" s="2068" t="e">
        <f t="shared" si="77"/>
        <v>#REF!</v>
      </c>
      <c r="CK43" s="2068"/>
      <c r="CL43" s="2068"/>
      <c r="CM43" s="2068"/>
      <c r="CN43" s="2068"/>
      <c r="CO43" s="2068" t="e">
        <f t="shared" si="77"/>
        <v>#REF!</v>
      </c>
      <c r="CP43" s="2068" t="e">
        <f t="shared" si="77"/>
        <v>#REF!</v>
      </c>
      <c r="CQ43" s="2068"/>
      <c r="CR43" s="2068"/>
      <c r="CS43" s="2068" t="e">
        <f>CS25</f>
        <v>#REF!</v>
      </c>
      <c r="CT43" s="2068"/>
      <c r="CU43" s="2068" t="e">
        <f>CU25</f>
        <v>#REF!</v>
      </c>
      <c r="CV43" s="2068" t="e">
        <f t="shared" si="77"/>
        <v>#REF!</v>
      </c>
      <c r="CW43" s="2068" t="e">
        <f t="shared" si="77"/>
        <v>#REF!</v>
      </c>
      <c r="CX43" s="2068" t="e">
        <f t="shared" si="77"/>
        <v>#REF!</v>
      </c>
      <c r="CY43" s="2068" t="e">
        <f t="shared" si="77"/>
        <v>#REF!</v>
      </c>
      <c r="CZ43" s="2068" t="e">
        <f t="shared" si="77"/>
        <v>#REF!</v>
      </c>
      <c r="DA43" s="2068" t="e">
        <f>DA25</f>
        <v>#REF!</v>
      </c>
      <c r="DB43" s="2068" t="e">
        <f t="shared" si="77"/>
        <v>#REF!</v>
      </c>
      <c r="DC43" s="2068" t="e">
        <f t="shared" si="77"/>
        <v>#REF!</v>
      </c>
      <c r="DD43" s="2068" t="e">
        <f t="shared" si="77"/>
        <v>#REF!</v>
      </c>
      <c r="DE43" s="2068" t="e">
        <f t="shared" si="77"/>
        <v>#REF!</v>
      </c>
      <c r="DF43" s="2068" t="e">
        <f t="shared" si="77"/>
        <v>#REF!</v>
      </c>
      <c r="DG43" s="2068" t="e">
        <f t="shared" si="77"/>
        <v>#REF!</v>
      </c>
      <c r="DH43" s="2068">
        <f t="shared" si="77"/>
        <v>15125</v>
      </c>
      <c r="DI43" s="2068" t="e">
        <f t="shared" si="77"/>
        <v>#REF!</v>
      </c>
      <c r="DJ43" s="2068" t="e">
        <f t="shared" si="77"/>
        <v>#REF!</v>
      </c>
      <c r="DK43" s="2068" t="e">
        <f t="shared" si="77"/>
        <v>#REF!</v>
      </c>
      <c r="DL43" s="2068">
        <f t="shared" si="77"/>
        <v>19305</v>
      </c>
      <c r="DM43" s="2068">
        <f t="shared" si="77"/>
        <v>21175</v>
      </c>
      <c r="DN43" s="2068">
        <f t="shared" si="77"/>
        <v>19305</v>
      </c>
      <c r="DO43" s="2068">
        <f t="shared" si="77"/>
        <v>21175</v>
      </c>
      <c r="DP43" s="2068">
        <f>DP25</f>
        <v>35695</v>
      </c>
      <c r="DQ43" s="2068"/>
      <c r="DR43" s="2068"/>
      <c r="DS43" s="2068">
        <f t="shared" si="77"/>
        <v>19305</v>
      </c>
      <c r="DT43" s="2068" t="e">
        <f t="shared" ref="DT43:EF43" si="78">DT25</f>
        <v>#REF!</v>
      </c>
      <c r="DU43" s="2068" t="e">
        <f t="shared" si="78"/>
        <v>#REF!</v>
      </c>
      <c r="DV43" s="2068" t="e">
        <f t="shared" si="78"/>
        <v>#REF!</v>
      </c>
      <c r="DW43" s="2068" t="e">
        <f t="shared" si="78"/>
        <v>#REF!</v>
      </c>
      <c r="DX43" s="2068" t="e">
        <f t="shared" si="78"/>
        <v>#REF!</v>
      </c>
      <c r="DY43" s="2068" t="e">
        <f t="shared" si="78"/>
        <v>#REF!</v>
      </c>
      <c r="DZ43" s="2068" t="e">
        <f t="shared" si="78"/>
        <v>#REF!</v>
      </c>
      <c r="EA43" s="2068" t="e">
        <f t="shared" si="78"/>
        <v>#REF!</v>
      </c>
      <c r="EB43" s="2068" t="e">
        <f t="shared" si="78"/>
        <v>#REF!</v>
      </c>
      <c r="EC43" s="2068" t="e">
        <f t="shared" si="78"/>
        <v>#REF!</v>
      </c>
      <c r="ED43" s="2068" t="e">
        <f t="shared" si="78"/>
        <v>#REF!</v>
      </c>
      <c r="EE43" s="2068" t="e">
        <f t="shared" si="78"/>
        <v>#REF!</v>
      </c>
      <c r="EF43" s="2068" t="e">
        <f t="shared" si="78"/>
        <v>#REF!</v>
      </c>
      <c r="EG43" s="2068"/>
      <c r="EH43" s="2068"/>
      <c r="EI43" s="2068"/>
      <c r="EJ43" s="2068"/>
      <c r="EK43" s="2068"/>
      <c r="EL43" s="2068"/>
      <c r="EM43" s="2068"/>
      <c r="EN43" s="2068"/>
      <c r="EO43" s="2068"/>
      <c r="EP43" s="2068"/>
      <c r="EQ43" s="2068"/>
      <c r="ER43" s="2068"/>
      <c r="ES43" s="2068"/>
      <c r="ET43" s="2068"/>
      <c r="EU43" s="2068"/>
      <c r="EV43" s="2068"/>
      <c r="EW43" s="2068"/>
      <c r="EX43" s="2068"/>
      <c r="EY43" s="2068"/>
      <c r="EZ43" s="2068"/>
      <c r="FA43" s="2068"/>
      <c r="FB43" s="2068"/>
      <c r="FC43" s="2068"/>
      <c r="FD43" s="2068"/>
      <c r="FE43" s="2066"/>
      <c r="FF43" s="2066"/>
      <c r="FG43" s="2066"/>
      <c r="FH43" s="2066"/>
      <c r="FI43" s="2066"/>
      <c r="FJ43" s="2066"/>
    </row>
    <row r="44" spans="1:166" s="1553" customFormat="1" ht="17.25" hidden="1" customHeight="1" outlineLevel="2">
      <c r="A44" s="1549">
        <v>41</v>
      </c>
      <c r="B44" s="1555" t="s">
        <v>206</v>
      </c>
      <c r="C44" s="1493" t="s">
        <v>1425</v>
      </c>
      <c r="D44" s="1555" t="s">
        <v>206</v>
      </c>
      <c r="E44" s="1493" t="s">
        <v>278</v>
      </c>
      <c r="F44" s="1493" t="str">
        <f>Покрытия_ПВХ!E48</f>
        <v>Венеция гриджио</v>
      </c>
      <c r="G44" s="1493"/>
      <c r="H44" s="2068"/>
      <c r="I44" s="2068"/>
      <c r="J44" s="2068"/>
      <c r="K44" s="2068"/>
      <c r="L44" s="2068"/>
      <c r="M44" s="2068"/>
      <c r="N44" s="2068"/>
      <c r="O44" s="2068"/>
      <c r="P44" s="2068"/>
      <c r="Q44" s="2068"/>
      <c r="R44" s="2068"/>
      <c r="S44" s="2068"/>
      <c r="T44" s="2068"/>
      <c r="U44" s="2068"/>
      <c r="V44" s="2068"/>
      <c r="W44" s="2068"/>
      <c r="X44" s="2068"/>
      <c r="Y44" s="2068"/>
      <c r="Z44" s="2068"/>
      <c r="AA44" s="2068"/>
      <c r="AB44" s="2068"/>
      <c r="AC44" s="2068"/>
      <c r="AD44" s="2068"/>
      <c r="AE44" s="2068"/>
      <c r="AF44" s="2068"/>
      <c r="AG44" s="2068"/>
      <c r="AH44" s="2068"/>
      <c r="AI44" s="2068"/>
      <c r="AJ44" s="2068"/>
      <c r="AK44" s="2068"/>
      <c r="AL44" s="2068"/>
      <c r="AM44" s="2068"/>
      <c r="AN44" s="2068"/>
      <c r="AO44" s="2068"/>
      <c r="AP44" s="2068"/>
      <c r="AQ44" s="2068"/>
      <c r="AR44" s="2068"/>
      <c r="AS44" s="2068"/>
      <c r="AT44" s="2068"/>
      <c r="AU44" s="2068"/>
      <c r="AV44" s="2068"/>
      <c r="AW44" s="2068"/>
      <c r="AX44" s="2068"/>
      <c r="AY44" s="2068"/>
      <c r="AZ44" s="2068"/>
      <c r="BA44" s="2068"/>
      <c r="BB44" s="2068"/>
      <c r="BC44" s="2068"/>
      <c r="BD44" s="2068"/>
      <c r="BE44" s="2068"/>
      <c r="BF44" s="2068"/>
      <c r="BG44" s="2068"/>
      <c r="BH44" s="2068"/>
      <c r="BI44" s="2068"/>
      <c r="BJ44" s="2068"/>
      <c r="BK44" s="2068"/>
      <c r="BL44" s="2068"/>
      <c r="BM44" s="2068"/>
      <c r="BN44" s="2068"/>
      <c r="BO44" s="2068"/>
      <c r="BP44" s="2068"/>
      <c r="BQ44" s="2068" t="e">
        <f t="shared" ref="BQ44:DS44" si="79">BQ25</f>
        <v>#REF!</v>
      </c>
      <c r="BR44" s="2068" t="e">
        <f t="shared" si="79"/>
        <v>#REF!</v>
      </c>
      <c r="BS44" s="2068" t="e">
        <f t="shared" si="79"/>
        <v>#REF!</v>
      </c>
      <c r="BT44" s="2068" t="e">
        <f t="shared" si="79"/>
        <v>#REF!</v>
      </c>
      <c r="BU44" s="2068" t="e">
        <f t="shared" si="79"/>
        <v>#REF!</v>
      </c>
      <c r="BV44" s="2068" t="e">
        <f t="shared" si="79"/>
        <v>#REF!</v>
      </c>
      <c r="BW44" s="2068" t="e">
        <f t="shared" si="79"/>
        <v>#REF!</v>
      </c>
      <c r="BX44" s="2068" t="e">
        <f t="shared" si="79"/>
        <v>#REF!</v>
      </c>
      <c r="BY44" s="2068" t="e">
        <f t="shared" si="79"/>
        <v>#REF!</v>
      </c>
      <c r="BZ44" s="2068" t="e">
        <f t="shared" si="79"/>
        <v>#REF!</v>
      </c>
      <c r="CA44" s="2068" t="e">
        <f t="shared" si="79"/>
        <v>#REF!</v>
      </c>
      <c r="CB44" s="2068" t="e">
        <f t="shared" si="79"/>
        <v>#REF!</v>
      </c>
      <c r="CC44" s="2068" t="e">
        <f t="shared" si="79"/>
        <v>#REF!</v>
      </c>
      <c r="CD44" s="2068" t="e">
        <f t="shared" si="79"/>
        <v>#REF!</v>
      </c>
      <c r="CE44" s="2068" t="e">
        <f t="shared" si="79"/>
        <v>#REF!</v>
      </c>
      <c r="CF44" s="2068" t="e">
        <f t="shared" si="79"/>
        <v>#REF!</v>
      </c>
      <c r="CG44" s="2068" t="e">
        <f t="shared" si="79"/>
        <v>#REF!</v>
      </c>
      <c r="CH44" s="2068" t="e">
        <f t="shared" si="79"/>
        <v>#REF!</v>
      </c>
      <c r="CI44" s="2068" t="e">
        <f t="shared" si="79"/>
        <v>#REF!</v>
      </c>
      <c r="CJ44" s="2068" t="e">
        <f t="shared" si="79"/>
        <v>#REF!</v>
      </c>
      <c r="CK44" s="2068"/>
      <c r="CL44" s="2068"/>
      <c r="CM44" s="2068"/>
      <c r="CN44" s="2068"/>
      <c r="CO44" s="2068" t="e">
        <f t="shared" si="79"/>
        <v>#REF!</v>
      </c>
      <c r="CP44" s="2068" t="e">
        <f t="shared" si="79"/>
        <v>#REF!</v>
      </c>
      <c r="CQ44" s="2068"/>
      <c r="CR44" s="2068"/>
      <c r="CS44" s="2068" t="e">
        <f>CS25</f>
        <v>#REF!</v>
      </c>
      <c r="CT44" s="2068"/>
      <c r="CU44" s="2068" t="e">
        <f>CU25</f>
        <v>#REF!</v>
      </c>
      <c r="CV44" s="2068" t="e">
        <f t="shared" si="79"/>
        <v>#REF!</v>
      </c>
      <c r="CW44" s="2068" t="e">
        <f t="shared" si="79"/>
        <v>#REF!</v>
      </c>
      <c r="CX44" s="2068" t="e">
        <f t="shared" si="79"/>
        <v>#REF!</v>
      </c>
      <c r="CY44" s="2068" t="e">
        <f t="shared" si="79"/>
        <v>#REF!</v>
      </c>
      <c r="CZ44" s="2068" t="e">
        <f t="shared" si="79"/>
        <v>#REF!</v>
      </c>
      <c r="DA44" s="2068" t="e">
        <f>DA25</f>
        <v>#REF!</v>
      </c>
      <c r="DB44" s="2068" t="e">
        <f t="shared" si="79"/>
        <v>#REF!</v>
      </c>
      <c r="DC44" s="2068" t="e">
        <f t="shared" si="79"/>
        <v>#REF!</v>
      </c>
      <c r="DD44" s="2068" t="e">
        <f t="shared" si="79"/>
        <v>#REF!</v>
      </c>
      <c r="DE44" s="2068" t="e">
        <f t="shared" si="79"/>
        <v>#REF!</v>
      </c>
      <c r="DF44" s="2068" t="e">
        <f t="shared" si="79"/>
        <v>#REF!</v>
      </c>
      <c r="DG44" s="2068" t="e">
        <f t="shared" si="79"/>
        <v>#REF!</v>
      </c>
      <c r="DH44" s="2068">
        <f t="shared" si="79"/>
        <v>15125</v>
      </c>
      <c r="DI44" s="2068" t="e">
        <f t="shared" si="79"/>
        <v>#REF!</v>
      </c>
      <c r="DJ44" s="2068" t="e">
        <f t="shared" si="79"/>
        <v>#REF!</v>
      </c>
      <c r="DK44" s="2068" t="e">
        <f t="shared" si="79"/>
        <v>#REF!</v>
      </c>
      <c r="DL44" s="2068">
        <f t="shared" si="79"/>
        <v>19305</v>
      </c>
      <c r="DM44" s="2068">
        <f t="shared" si="79"/>
        <v>21175</v>
      </c>
      <c r="DN44" s="2068">
        <f t="shared" si="79"/>
        <v>19305</v>
      </c>
      <c r="DO44" s="2068">
        <f t="shared" si="79"/>
        <v>21175</v>
      </c>
      <c r="DP44" s="2068">
        <f>DP25</f>
        <v>35695</v>
      </c>
      <c r="DQ44" s="2068"/>
      <c r="DR44" s="2068"/>
      <c r="DS44" s="2068">
        <f t="shared" si="79"/>
        <v>19305</v>
      </c>
      <c r="DT44" s="2068" t="e">
        <f t="shared" ref="DT44:EF44" si="80">DT25</f>
        <v>#REF!</v>
      </c>
      <c r="DU44" s="2068" t="e">
        <f t="shared" si="80"/>
        <v>#REF!</v>
      </c>
      <c r="DV44" s="2068" t="e">
        <f t="shared" si="80"/>
        <v>#REF!</v>
      </c>
      <c r="DW44" s="2068" t="e">
        <f t="shared" si="80"/>
        <v>#REF!</v>
      </c>
      <c r="DX44" s="2068" t="e">
        <f t="shared" si="80"/>
        <v>#REF!</v>
      </c>
      <c r="DY44" s="2068" t="e">
        <f t="shared" si="80"/>
        <v>#REF!</v>
      </c>
      <c r="DZ44" s="2068" t="e">
        <f t="shared" si="80"/>
        <v>#REF!</v>
      </c>
      <c r="EA44" s="2068" t="e">
        <f t="shared" si="80"/>
        <v>#REF!</v>
      </c>
      <c r="EB44" s="2068" t="e">
        <f t="shared" si="80"/>
        <v>#REF!</v>
      </c>
      <c r="EC44" s="2068" t="e">
        <f t="shared" si="80"/>
        <v>#REF!</v>
      </c>
      <c r="ED44" s="2068" t="e">
        <f t="shared" si="80"/>
        <v>#REF!</v>
      </c>
      <c r="EE44" s="2068" t="e">
        <f t="shared" si="80"/>
        <v>#REF!</v>
      </c>
      <c r="EF44" s="2068" t="e">
        <f t="shared" si="80"/>
        <v>#REF!</v>
      </c>
      <c r="EG44" s="2068"/>
      <c r="EH44" s="2068"/>
      <c r="EI44" s="2068"/>
      <c r="EJ44" s="2068"/>
      <c r="EK44" s="2068"/>
      <c r="EL44" s="2068"/>
      <c r="EM44" s="2068"/>
      <c r="EN44" s="2068"/>
      <c r="EO44" s="2068"/>
      <c r="EP44" s="2068"/>
      <c r="EQ44" s="2068"/>
      <c r="ER44" s="2068"/>
      <c r="ES44" s="2068"/>
      <c r="ET44" s="2068"/>
      <c r="EU44" s="2068"/>
      <c r="EV44" s="2068"/>
      <c r="EW44" s="2068"/>
      <c r="EX44" s="2068"/>
      <c r="EY44" s="2068"/>
      <c r="EZ44" s="2068"/>
      <c r="FA44" s="2068"/>
      <c r="FB44" s="2068"/>
      <c r="FC44" s="2068"/>
      <c r="FD44" s="2068"/>
      <c r="FE44" s="2066"/>
      <c r="FF44" s="2066"/>
      <c r="FG44" s="2066"/>
      <c r="FH44" s="2066"/>
      <c r="FI44" s="2066"/>
      <c r="FJ44" s="2066"/>
    </row>
    <row r="45" spans="1:166" s="1553" customFormat="1" ht="17.25" hidden="1" customHeight="1" outlineLevel="2">
      <c r="A45" s="1552">
        <v>42</v>
      </c>
      <c r="B45" s="1555" t="s">
        <v>206</v>
      </c>
      <c r="C45" s="1493" t="s">
        <v>1425</v>
      </c>
      <c r="D45" s="1555" t="s">
        <v>206</v>
      </c>
      <c r="E45" s="1493" t="s">
        <v>278</v>
      </c>
      <c r="F45" s="1493" t="str">
        <f>Покрытия_ПВХ!E43</f>
        <v>Лофт белый</v>
      </c>
      <c r="G45" s="1493"/>
      <c r="H45" s="2068"/>
      <c r="I45" s="2068"/>
      <c r="J45" s="2068"/>
      <c r="K45" s="2068"/>
      <c r="L45" s="2068"/>
      <c r="M45" s="2068"/>
      <c r="N45" s="2068"/>
      <c r="O45" s="2068"/>
      <c r="P45" s="2068"/>
      <c r="Q45" s="2068"/>
      <c r="R45" s="2068"/>
      <c r="S45" s="2068"/>
      <c r="T45" s="2068"/>
      <c r="U45" s="2068"/>
      <c r="V45" s="2068"/>
      <c r="W45" s="2068"/>
      <c r="X45" s="2068"/>
      <c r="Y45" s="2068"/>
      <c r="Z45" s="2068"/>
      <c r="AA45" s="2068"/>
      <c r="AB45" s="2068"/>
      <c r="AC45" s="2068"/>
      <c r="AD45" s="2068"/>
      <c r="AE45" s="2068"/>
      <c r="AF45" s="2068"/>
      <c r="AG45" s="2068"/>
      <c r="AH45" s="2068"/>
      <c r="AI45" s="2068"/>
      <c r="AJ45" s="2068"/>
      <c r="AK45" s="2068"/>
      <c r="AL45" s="2068"/>
      <c r="AM45" s="2068"/>
      <c r="AN45" s="2068"/>
      <c r="AO45" s="2068"/>
      <c r="AP45" s="2068"/>
      <c r="AQ45" s="2068"/>
      <c r="AR45" s="2068"/>
      <c r="AS45" s="2068"/>
      <c r="AT45" s="2068"/>
      <c r="AU45" s="2068"/>
      <c r="AV45" s="2068"/>
      <c r="AW45" s="2068"/>
      <c r="AX45" s="2068"/>
      <c r="AY45" s="2068"/>
      <c r="AZ45" s="2068"/>
      <c r="BA45" s="2068"/>
      <c r="BB45" s="2068"/>
      <c r="BC45" s="2068"/>
      <c r="BD45" s="2068"/>
      <c r="BE45" s="2068"/>
      <c r="BF45" s="2068"/>
      <c r="BG45" s="2068"/>
      <c r="BH45" s="2068"/>
      <c r="BI45" s="2068"/>
      <c r="BJ45" s="2068"/>
      <c r="BK45" s="2068"/>
      <c r="BL45" s="2068"/>
      <c r="BM45" s="2068"/>
      <c r="BN45" s="2068"/>
      <c r="BO45" s="2068"/>
      <c r="BP45" s="2068"/>
      <c r="BQ45" s="2068" t="e">
        <f t="shared" ref="BQ45:DS45" si="81">BQ25</f>
        <v>#REF!</v>
      </c>
      <c r="BR45" s="2068" t="e">
        <f t="shared" si="81"/>
        <v>#REF!</v>
      </c>
      <c r="BS45" s="2068" t="e">
        <f t="shared" si="81"/>
        <v>#REF!</v>
      </c>
      <c r="BT45" s="2068" t="e">
        <f t="shared" si="81"/>
        <v>#REF!</v>
      </c>
      <c r="BU45" s="2068" t="e">
        <f t="shared" si="81"/>
        <v>#REF!</v>
      </c>
      <c r="BV45" s="2068" t="e">
        <f t="shared" si="81"/>
        <v>#REF!</v>
      </c>
      <c r="BW45" s="2068" t="e">
        <f t="shared" si="81"/>
        <v>#REF!</v>
      </c>
      <c r="BX45" s="2068" t="e">
        <f t="shared" si="81"/>
        <v>#REF!</v>
      </c>
      <c r="BY45" s="2068" t="e">
        <f t="shared" si="81"/>
        <v>#REF!</v>
      </c>
      <c r="BZ45" s="2068" t="e">
        <f t="shared" si="81"/>
        <v>#REF!</v>
      </c>
      <c r="CA45" s="2068" t="e">
        <f t="shared" si="81"/>
        <v>#REF!</v>
      </c>
      <c r="CB45" s="2068" t="e">
        <f t="shared" si="81"/>
        <v>#REF!</v>
      </c>
      <c r="CC45" s="2068" t="e">
        <f t="shared" si="81"/>
        <v>#REF!</v>
      </c>
      <c r="CD45" s="2068" t="e">
        <f t="shared" si="81"/>
        <v>#REF!</v>
      </c>
      <c r="CE45" s="2068" t="e">
        <f t="shared" si="81"/>
        <v>#REF!</v>
      </c>
      <c r="CF45" s="2068" t="e">
        <f t="shared" si="81"/>
        <v>#REF!</v>
      </c>
      <c r="CG45" s="2068" t="e">
        <f t="shared" si="81"/>
        <v>#REF!</v>
      </c>
      <c r="CH45" s="2068" t="e">
        <f t="shared" si="81"/>
        <v>#REF!</v>
      </c>
      <c r="CI45" s="2068" t="e">
        <f t="shared" si="81"/>
        <v>#REF!</v>
      </c>
      <c r="CJ45" s="2068" t="e">
        <f t="shared" si="81"/>
        <v>#REF!</v>
      </c>
      <c r="CK45" s="2068"/>
      <c r="CL45" s="2068"/>
      <c r="CM45" s="2068"/>
      <c r="CN45" s="2068"/>
      <c r="CO45" s="2068" t="e">
        <f t="shared" si="81"/>
        <v>#REF!</v>
      </c>
      <c r="CP45" s="2068" t="e">
        <f t="shared" si="81"/>
        <v>#REF!</v>
      </c>
      <c r="CQ45" s="2068"/>
      <c r="CR45" s="2068"/>
      <c r="CS45" s="2068" t="e">
        <f>CS25</f>
        <v>#REF!</v>
      </c>
      <c r="CT45" s="2068"/>
      <c r="CU45" s="2068" t="e">
        <f>CU25</f>
        <v>#REF!</v>
      </c>
      <c r="CV45" s="2068" t="e">
        <f t="shared" si="81"/>
        <v>#REF!</v>
      </c>
      <c r="CW45" s="2068" t="e">
        <f t="shared" si="81"/>
        <v>#REF!</v>
      </c>
      <c r="CX45" s="2068" t="e">
        <f t="shared" si="81"/>
        <v>#REF!</v>
      </c>
      <c r="CY45" s="2068" t="e">
        <f t="shared" si="81"/>
        <v>#REF!</v>
      </c>
      <c r="CZ45" s="2068" t="e">
        <f t="shared" si="81"/>
        <v>#REF!</v>
      </c>
      <c r="DA45" s="2068" t="e">
        <f>DA25</f>
        <v>#REF!</v>
      </c>
      <c r="DB45" s="2068" t="e">
        <f t="shared" si="81"/>
        <v>#REF!</v>
      </c>
      <c r="DC45" s="2068" t="e">
        <f t="shared" si="81"/>
        <v>#REF!</v>
      </c>
      <c r="DD45" s="2068" t="e">
        <f t="shared" si="81"/>
        <v>#REF!</v>
      </c>
      <c r="DE45" s="2068" t="e">
        <f t="shared" si="81"/>
        <v>#REF!</v>
      </c>
      <c r="DF45" s="2068" t="e">
        <f t="shared" si="81"/>
        <v>#REF!</v>
      </c>
      <c r="DG45" s="2068" t="e">
        <f t="shared" si="81"/>
        <v>#REF!</v>
      </c>
      <c r="DH45" s="2068">
        <f t="shared" si="81"/>
        <v>15125</v>
      </c>
      <c r="DI45" s="2068" t="e">
        <f t="shared" si="81"/>
        <v>#REF!</v>
      </c>
      <c r="DJ45" s="2068" t="e">
        <f t="shared" si="81"/>
        <v>#REF!</v>
      </c>
      <c r="DK45" s="2068" t="e">
        <f t="shared" si="81"/>
        <v>#REF!</v>
      </c>
      <c r="DL45" s="2068">
        <f t="shared" si="81"/>
        <v>19305</v>
      </c>
      <c r="DM45" s="2068">
        <f t="shared" si="81"/>
        <v>21175</v>
      </c>
      <c r="DN45" s="2068">
        <f t="shared" si="81"/>
        <v>19305</v>
      </c>
      <c r="DO45" s="2068">
        <f t="shared" si="81"/>
        <v>21175</v>
      </c>
      <c r="DP45" s="2068">
        <f>DP25</f>
        <v>35695</v>
      </c>
      <c r="DQ45" s="2068"/>
      <c r="DR45" s="2068"/>
      <c r="DS45" s="2068">
        <f t="shared" si="81"/>
        <v>19305</v>
      </c>
      <c r="DT45" s="2068" t="e">
        <f t="shared" ref="DT45:EF45" si="82">DT25</f>
        <v>#REF!</v>
      </c>
      <c r="DU45" s="2068" t="e">
        <f t="shared" si="82"/>
        <v>#REF!</v>
      </c>
      <c r="DV45" s="2068" t="e">
        <f t="shared" si="82"/>
        <v>#REF!</v>
      </c>
      <c r="DW45" s="2068" t="e">
        <f t="shared" si="82"/>
        <v>#REF!</v>
      </c>
      <c r="DX45" s="2068" t="e">
        <f t="shared" si="82"/>
        <v>#REF!</v>
      </c>
      <c r="DY45" s="2068" t="e">
        <f t="shared" si="82"/>
        <v>#REF!</v>
      </c>
      <c r="DZ45" s="2068" t="e">
        <f t="shared" si="82"/>
        <v>#REF!</v>
      </c>
      <c r="EA45" s="2068" t="e">
        <f t="shared" si="82"/>
        <v>#REF!</v>
      </c>
      <c r="EB45" s="2068" t="e">
        <f t="shared" si="82"/>
        <v>#REF!</v>
      </c>
      <c r="EC45" s="2068" t="e">
        <f t="shared" si="82"/>
        <v>#REF!</v>
      </c>
      <c r="ED45" s="2068" t="e">
        <f t="shared" si="82"/>
        <v>#REF!</v>
      </c>
      <c r="EE45" s="2068" t="e">
        <f t="shared" si="82"/>
        <v>#REF!</v>
      </c>
      <c r="EF45" s="2068" t="e">
        <f t="shared" si="82"/>
        <v>#REF!</v>
      </c>
      <c r="EG45" s="2068"/>
      <c r="EH45" s="2068"/>
      <c r="EI45" s="2068"/>
      <c r="EJ45" s="2068"/>
      <c r="EK45" s="2068"/>
      <c r="EL45" s="2068"/>
      <c r="EM45" s="2068"/>
      <c r="EN45" s="2068"/>
      <c r="EO45" s="2068"/>
      <c r="EP45" s="2068"/>
      <c r="EQ45" s="2068"/>
      <c r="ER45" s="2068"/>
      <c r="ES45" s="2068"/>
      <c r="ET45" s="2068"/>
      <c r="EU45" s="2068"/>
      <c r="EV45" s="2068"/>
      <c r="EW45" s="2068"/>
      <c r="EX45" s="2068"/>
      <c r="EY45" s="2068"/>
      <c r="EZ45" s="2068"/>
      <c r="FA45" s="2068"/>
      <c r="FB45" s="2068"/>
      <c r="FC45" s="2068"/>
      <c r="FD45" s="2068"/>
      <c r="FE45" s="2066"/>
      <c r="FF45" s="2066"/>
      <c r="FG45" s="2066"/>
      <c r="FH45" s="2066"/>
      <c r="FI45" s="2066"/>
      <c r="FJ45" s="2066"/>
    </row>
    <row r="46" spans="1:166" s="1553" customFormat="1" ht="17.25" hidden="1" customHeight="1" outlineLevel="2">
      <c r="A46" s="1549">
        <v>43</v>
      </c>
      <c r="B46" s="1555" t="s">
        <v>206</v>
      </c>
      <c r="C46" s="1493" t="s">
        <v>1425</v>
      </c>
      <c r="D46" s="1555" t="s">
        <v>206</v>
      </c>
      <c r="E46" s="1493" t="s">
        <v>278</v>
      </c>
      <c r="F46" s="1493" t="str">
        <f>Покрытия_ПВХ!E44</f>
        <v>Лофт графит</v>
      </c>
      <c r="G46" s="1493"/>
      <c r="H46" s="2068"/>
      <c r="I46" s="2068"/>
      <c r="J46" s="2068"/>
      <c r="K46" s="2068"/>
      <c r="L46" s="2068"/>
      <c r="M46" s="2068"/>
      <c r="N46" s="2068"/>
      <c r="O46" s="2068"/>
      <c r="P46" s="2068"/>
      <c r="Q46" s="2068"/>
      <c r="R46" s="2068"/>
      <c r="S46" s="2068"/>
      <c r="T46" s="2068"/>
      <c r="U46" s="2068"/>
      <c r="V46" s="2068"/>
      <c r="W46" s="2068"/>
      <c r="X46" s="2068"/>
      <c r="Y46" s="2068"/>
      <c r="Z46" s="2068"/>
      <c r="AA46" s="2068"/>
      <c r="AB46" s="2068"/>
      <c r="AC46" s="2068"/>
      <c r="AD46" s="2068"/>
      <c r="AE46" s="2068"/>
      <c r="AF46" s="2068"/>
      <c r="AG46" s="2068"/>
      <c r="AH46" s="2068"/>
      <c r="AI46" s="2068"/>
      <c r="AJ46" s="2068"/>
      <c r="AK46" s="2068"/>
      <c r="AL46" s="2068"/>
      <c r="AM46" s="2068"/>
      <c r="AN46" s="2068"/>
      <c r="AO46" s="2068"/>
      <c r="AP46" s="2068"/>
      <c r="AQ46" s="2068"/>
      <c r="AR46" s="2068"/>
      <c r="AS46" s="2068"/>
      <c r="AT46" s="2068"/>
      <c r="AU46" s="2068"/>
      <c r="AV46" s="2068"/>
      <c r="AW46" s="2068"/>
      <c r="AX46" s="2068"/>
      <c r="AY46" s="2068"/>
      <c r="AZ46" s="2068"/>
      <c r="BA46" s="2068"/>
      <c r="BB46" s="2068"/>
      <c r="BC46" s="2068"/>
      <c r="BD46" s="2068"/>
      <c r="BE46" s="2068"/>
      <c r="BF46" s="2068"/>
      <c r="BG46" s="2068"/>
      <c r="BH46" s="2068"/>
      <c r="BI46" s="2068"/>
      <c r="BJ46" s="2068"/>
      <c r="BK46" s="2068"/>
      <c r="BL46" s="2068"/>
      <c r="BM46" s="2068"/>
      <c r="BN46" s="2068"/>
      <c r="BO46" s="2068"/>
      <c r="BP46" s="2068"/>
      <c r="BQ46" s="2068" t="e">
        <f t="shared" ref="BQ46:DS46" si="83">BQ25</f>
        <v>#REF!</v>
      </c>
      <c r="BR46" s="2068" t="e">
        <f t="shared" si="83"/>
        <v>#REF!</v>
      </c>
      <c r="BS46" s="2068" t="e">
        <f t="shared" si="83"/>
        <v>#REF!</v>
      </c>
      <c r="BT46" s="2068" t="e">
        <f t="shared" si="83"/>
        <v>#REF!</v>
      </c>
      <c r="BU46" s="2068" t="e">
        <f t="shared" si="83"/>
        <v>#REF!</v>
      </c>
      <c r="BV46" s="2068" t="e">
        <f t="shared" si="83"/>
        <v>#REF!</v>
      </c>
      <c r="BW46" s="2068" t="e">
        <f t="shared" si="83"/>
        <v>#REF!</v>
      </c>
      <c r="BX46" s="2068" t="e">
        <f t="shared" si="83"/>
        <v>#REF!</v>
      </c>
      <c r="BY46" s="2068" t="e">
        <f t="shared" si="83"/>
        <v>#REF!</v>
      </c>
      <c r="BZ46" s="2068" t="e">
        <f t="shared" si="83"/>
        <v>#REF!</v>
      </c>
      <c r="CA46" s="2068" t="e">
        <f t="shared" si="83"/>
        <v>#REF!</v>
      </c>
      <c r="CB46" s="2068" t="e">
        <f t="shared" si="83"/>
        <v>#REF!</v>
      </c>
      <c r="CC46" s="2068" t="e">
        <f t="shared" si="83"/>
        <v>#REF!</v>
      </c>
      <c r="CD46" s="2068" t="e">
        <f t="shared" si="83"/>
        <v>#REF!</v>
      </c>
      <c r="CE46" s="2068" t="e">
        <f t="shared" si="83"/>
        <v>#REF!</v>
      </c>
      <c r="CF46" s="2068" t="e">
        <f t="shared" si="83"/>
        <v>#REF!</v>
      </c>
      <c r="CG46" s="2068" t="e">
        <f t="shared" si="83"/>
        <v>#REF!</v>
      </c>
      <c r="CH46" s="2068" t="e">
        <f t="shared" si="83"/>
        <v>#REF!</v>
      </c>
      <c r="CI46" s="2068" t="e">
        <f t="shared" si="83"/>
        <v>#REF!</v>
      </c>
      <c r="CJ46" s="2068" t="e">
        <f t="shared" si="83"/>
        <v>#REF!</v>
      </c>
      <c r="CK46" s="2068"/>
      <c r="CL46" s="2068"/>
      <c r="CM46" s="2068"/>
      <c r="CN46" s="2068"/>
      <c r="CO46" s="2068" t="e">
        <f t="shared" si="83"/>
        <v>#REF!</v>
      </c>
      <c r="CP46" s="2068" t="e">
        <f t="shared" si="83"/>
        <v>#REF!</v>
      </c>
      <c r="CQ46" s="2068"/>
      <c r="CR46" s="2068"/>
      <c r="CS46" s="2068" t="e">
        <f>CS25</f>
        <v>#REF!</v>
      </c>
      <c r="CT46" s="2068"/>
      <c r="CU46" s="2068" t="e">
        <f>CU25</f>
        <v>#REF!</v>
      </c>
      <c r="CV46" s="2068" t="e">
        <f t="shared" si="83"/>
        <v>#REF!</v>
      </c>
      <c r="CW46" s="2068" t="e">
        <f t="shared" si="83"/>
        <v>#REF!</v>
      </c>
      <c r="CX46" s="2068" t="e">
        <f t="shared" si="83"/>
        <v>#REF!</v>
      </c>
      <c r="CY46" s="2068" t="e">
        <f t="shared" si="83"/>
        <v>#REF!</v>
      </c>
      <c r="CZ46" s="2068" t="e">
        <f t="shared" si="83"/>
        <v>#REF!</v>
      </c>
      <c r="DA46" s="2068" t="e">
        <f>DA25</f>
        <v>#REF!</v>
      </c>
      <c r="DB46" s="2068" t="e">
        <f t="shared" si="83"/>
        <v>#REF!</v>
      </c>
      <c r="DC46" s="2068" t="e">
        <f t="shared" si="83"/>
        <v>#REF!</v>
      </c>
      <c r="DD46" s="2068" t="e">
        <f t="shared" si="83"/>
        <v>#REF!</v>
      </c>
      <c r="DE46" s="2068" t="e">
        <f t="shared" si="83"/>
        <v>#REF!</v>
      </c>
      <c r="DF46" s="2068" t="e">
        <f t="shared" si="83"/>
        <v>#REF!</v>
      </c>
      <c r="DG46" s="2068" t="e">
        <f t="shared" si="83"/>
        <v>#REF!</v>
      </c>
      <c r="DH46" s="2068">
        <f t="shared" si="83"/>
        <v>15125</v>
      </c>
      <c r="DI46" s="2068" t="e">
        <f t="shared" si="83"/>
        <v>#REF!</v>
      </c>
      <c r="DJ46" s="2068" t="e">
        <f t="shared" si="83"/>
        <v>#REF!</v>
      </c>
      <c r="DK46" s="2068" t="e">
        <f t="shared" si="83"/>
        <v>#REF!</v>
      </c>
      <c r="DL46" s="2068">
        <f t="shared" si="83"/>
        <v>19305</v>
      </c>
      <c r="DM46" s="2068">
        <f t="shared" si="83"/>
        <v>21175</v>
      </c>
      <c r="DN46" s="2068">
        <f t="shared" si="83"/>
        <v>19305</v>
      </c>
      <c r="DO46" s="2068">
        <f t="shared" si="83"/>
        <v>21175</v>
      </c>
      <c r="DP46" s="2068">
        <f>DP25</f>
        <v>35695</v>
      </c>
      <c r="DQ46" s="2068"/>
      <c r="DR46" s="2068"/>
      <c r="DS46" s="2068">
        <f t="shared" si="83"/>
        <v>19305</v>
      </c>
      <c r="DT46" s="2068" t="e">
        <f t="shared" ref="DT46:EF46" si="84">DT25</f>
        <v>#REF!</v>
      </c>
      <c r="DU46" s="2068" t="e">
        <f t="shared" si="84"/>
        <v>#REF!</v>
      </c>
      <c r="DV46" s="2068" t="e">
        <f t="shared" si="84"/>
        <v>#REF!</v>
      </c>
      <c r="DW46" s="2068" t="e">
        <f t="shared" si="84"/>
        <v>#REF!</v>
      </c>
      <c r="DX46" s="2068" t="e">
        <f t="shared" si="84"/>
        <v>#REF!</v>
      </c>
      <c r="DY46" s="2068" t="e">
        <f t="shared" si="84"/>
        <v>#REF!</v>
      </c>
      <c r="DZ46" s="2068" t="e">
        <f t="shared" si="84"/>
        <v>#REF!</v>
      </c>
      <c r="EA46" s="2068" t="e">
        <f t="shared" si="84"/>
        <v>#REF!</v>
      </c>
      <c r="EB46" s="2068" t="e">
        <f t="shared" si="84"/>
        <v>#REF!</v>
      </c>
      <c r="EC46" s="2068" t="e">
        <f t="shared" si="84"/>
        <v>#REF!</v>
      </c>
      <c r="ED46" s="2068" t="e">
        <f t="shared" si="84"/>
        <v>#REF!</v>
      </c>
      <c r="EE46" s="2068" t="e">
        <f t="shared" si="84"/>
        <v>#REF!</v>
      </c>
      <c r="EF46" s="2068" t="e">
        <f t="shared" si="84"/>
        <v>#REF!</v>
      </c>
      <c r="EG46" s="2068"/>
      <c r="EH46" s="2068"/>
      <c r="EI46" s="2068"/>
      <c r="EJ46" s="2068"/>
      <c r="EK46" s="2068"/>
      <c r="EL46" s="2068"/>
      <c r="EM46" s="2068"/>
      <c r="EN46" s="2068"/>
      <c r="EO46" s="2068"/>
      <c r="EP46" s="2068"/>
      <c r="EQ46" s="2068"/>
      <c r="ER46" s="2068"/>
      <c r="ES46" s="2068"/>
      <c r="ET46" s="2068"/>
      <c r="EU46" s="2068"/>
      <c r="EV46" s="2068"/>
      <c r="EW46" s="2068"/>
      <c r="EX46" s="2068"/>
      <c r="EY46" s="2068"/>
      <c r="EZ46" s="2068"/>
      <c r="FA46" s="2068"/>
      <c r="FB46" s="2068"/>
      <c r="FC46" s="2068"/>
      <c r="FD46" s="2068"/>
      <c r="FE46" s="2066"/>
      <c r="FF46" s="2066"/>
      <c r="FG46" s="2066"/>
      <c r="FH46" s="2066"/>
      <c r="FI46" s="2066"/>
      <c r="FJ46" s="2066"/>
    </row>
    <row r="47" spans="1:166" s="1553" customFormat="1" ht="17.25" hidden="1" customHeight="1" outlineLevel="2">
      <c r="A47" s="1552">
        <v>44</v>
      </c>
      <c r="B47" s="1555" t="s">
        <v>206</v>
      </c>
      <c r="C47" s="1493" t="s">
        <v>1425</v>
      </c>
      <c r="D47" s="1555" t="s">
        <v>206</v>
      </c>
      <c r="E47" s="1493" t="s">
        <v>278</v>
      </c>
      <c r="F47" s="1493" t="e">
        <f>Покрытия_ПВХ!#REF!</f>
        <v>#REF!</v>
      </c>
      <c r="G47" s="1493"/>
      <c r="H47" s="2068"/>
      <c r="I47" s="2068"/>
      <c r="J47" s="2068"/>
      <c r="K47" s="2068"/>
      <c r="L47" s="2068"/>
      <c r="M47" s="2068"/>
      <c r="N47" s="2068"/>
      <c r="O47" s="2068"/>
      <c r="P47" s="2068"/>
      <c r="Q47" s="2068"/>
      <c r="R47" s="2068"/>
      <c r="S47" s="2068"/>
      <c r="T47" s="2068"/>
      <c r="U47" s="2068"/>
      <c r="V47" s="2068"/>
      <c r="W47" s="2068"/>
      <c r="X47" s="2068"/>
      <c r="Y47" s="2068"/>
      <c r="Z47" s="2068"/>
      <c r="AA47" s="2068"/>
      <c r="AB47" s="2068"/>
      <c r="AC47" s="2068"/>
      <c r="AD47" s="2068"/>
      <c r="AE47" s="2068"/>
      <c r="AF47" s="2068"/>
      <c r="AG47" s="2068"/>
      <c r="AH47" s="2068"/>
      <c r="AI47" s="2068"/>
      <c r="AJ47" s="2068"/>
      <c r="AK47" s="2068"/>
      <c r="AL47" s="2068"/>
      <c r="AM47" s="2068"/>
      <c r="AN47" s="2068"/>
      <c r="AO47" s="2068"/>
      <c r="AP47" s="2068"/>
      <c r="AQ47" s="2068"/>
      <c r="AR47" s="2068"/>
      <c r="AS47" s="2068"/>
      <c r="AT47" s="2068"/>
      <c r="AU47" s="2068"/>
      <c r="AV47" s="2068"/>
      <c r="AW47" s="2068"/>
      <c r="AX47" s="2068"/>
      <c r="AY47" s="2068"/>
      <c r="AZ47" s="2068"/>
      <c r="BA47" s="2068"/>
      <c r="BB47" s="2068"/>
      <c r="BC47" s="2068"/>
      <c r="BD47" s="2068"/>
      <c r="BE47" s="2068"/>
      <c r="BF47" s="2068"/>
      <c r="BG47" s="2068"/>
      <c r="BH47" s="2068"/>
      <c r="BI47" s="2068"/>
      <c r="BJ47" s="2068"/>
      <c r="BK47" s="2068"/>
      <c r="BL47" s="2068"/>
      <c r="BM47" s="2068"/>
      <c r="BN47" s="2068"/>
      <c r="BO47" s="2068"/>
      <c r="BP47" s="2068"/>
      <c r="BQ47" s="2068" t="e">
        <f t="shared" ref="BQ47:DS47" si="85">BQ25</f>
        <v>#REF!</v>
      </c>
      <c r="BR47" s="2068" t="e">
        <f t="shared" si="85"/>
        <v>#REF!</v>
      </c>
      <c r="BS47" s="2068" t="e">
        <f t="shared" si="85"/>
        <v>#REF!</v>
      </c>
      <c r="BT47" s="2068" t="e">
        <f t="shared" si="85"/>
        <v>#REF!</v>
      </c>
      <c r="BU47" s="2068" t="e">
        <f t="shared" si="85"/>
        <v>#REF!</v>
      </c>
      <c r="BV47" s="2068" t="e">
        <f t="shared" si="85"/>
        <v>#REF!</v>
      </c>
      <c r="BW47" s="2068" t="e">
        <f t="shared" si="85"/>
        <v>#REF!</v>
      </c>
      <c r="BX47" s="2068" t="e">
        <f t="shared" si="85"/>
        <v>#REF!</v>
      </c>
      <c r="BY47" s="2068" t="e">
        <f t="shared" si="85"/>
        <v>#REF!</v>
      </c>
      <c r="BZ47" s="2068" t="e">
        <f t="shared" si="85"/>
        <v>#REF!</v>
      </c>
      <c r="CA47" s="2068" t="e">
        <f t="shared" si="85"/>
        <v>#REF!</v>
      </c>
      <c r="CB47" s="2068" t="e">
        <f t="shared" si="85"/>
        <v>#REF!</v>
      </c>
      <c r="CC47" s="2068" t="e">
        <f t="shared" si="85"/>
        <v>#REF!</v>
      </c>
      <c r="CD47" s="2068" t="e">
        <f t="shared" si="85"/>
        <v>#REF!</v>
      </c>
      <c r="CE47" s="2068" t="e">
        <f t="shared" si="85"/>
        <v>#REF!</v>
      </c>
      <c r="CF47" s="2068" t="e">
        <f t="shared" si="85"/>
        <v>#REF!</v>
      </c>
      <c r="CG47" s="2068" t="e">
        <f t="shared" si="85"/>
        <v>#REF!</v>
      </c>
      <c r="CH47" s="2068" t="e">
        <f t="shared" si="85"/>
        <v>#REF!</v>
      </c>
      <c r="CI47" s="2068" t="e">
        <f t="shared" si="85"/>
        <v>#REF!</v>
      </c>
      <c r="CJ47" s="2068" t="e">
        <f t="shared" si="85"/>
        <v>#REF!</v>
      </c>
      <c r="CK47" s="2068"/>
      <c r="CL47" s="2068"/>
      <c r="CM47" s="2068"/>
      <c r="CN47" s="2068"/>
      <c r="CO47" s="2068" t="e">
        <f t="shared" si="85"/>
        <v>#REF!</v>
      </c>
      <c r="CP47" s="2068" t="e">
        <f t="shared" si="85"/>
        <v>#REF!</v>
      </c>
      <c r="CQ47" s="2068"/>
      <c r="CR47" s="2068"/>
      <c r="CS47" s="2068" t="e">
        <f>CS25</f>
        <v>#REF!</v>
      </c>
      <c r="CT47" s="2068"/>
      <c r="CU47" s="2068" t="e">
        <f>CU25</f>
        <v>#REF!</v>
      </c>
      <c r="CV47" s="2068" t="e">
        <f t="shared" si="85"/>
        <v>#REF!</v>
      </c>
      <c r="CW47" s="2068" t="e">
        <f t="shared" si="85"/>
        <v>#REF!</v>
      </c>
      <c r="CX47" s="2068" t="e">
        <f t="shared" si="85"/>
        <v>#REF!</v>
      </c>
      <c r="CY47" s="2068" t="e">
        <f t="shared" si="85"/>
        <v>#REF!</v>
      </c>
      <c r="CZ47" s="2068" t="e">
        <f t="shared" si="85"/>
        <v>#REF!</v>
      </c>
      <c r="DA47" s="2068" t="e">
        <f>DA25</f>
        <v>#REF!</v>
      </c>
      <c r="DB47" s="2068" t="e">
        <f t="shared" si="85"/>
        <v>#REF!</v>
      </c>
      <c r="DC47" s="2068" t="e">
        <f t="shared" si="85"/>
        <v>#REF!</v>
      </c>
      <c r="DD47" s="2068" t="e">
        <f t="shared" si="85"/>
        <v>#REF!</v>
      </c>
      <c r="DE47" s="2068" t="e">
        <f t="shared" si="85"/>
        <v>#REF!</v>
      </c>
      <c r="DF47" s="2068" t="e">
        <f t="shared" si="85"/>
        <v>#REF!</v>
      </c>
      <c r="DG47" s="2068" t="e">
        <f t="shared" si="85"/>
        <v>#REF!</v>
      </c>
      <c r="DH47" s="2068">
        <f t="shared" si="85"/>
        <v>15125</v>
      </c>
      <c r="DI47" s="2068" t="e">
        <f t="shared" si="85"/>
        <v>#REF!</v>
      </c>
      <c r="DJ47" s="2068" t="e">
        <f t="shared" si="85"/>
        <v>#REF!</v>
      </c>
      <c r="DK47" s="2068" t="e">
        <f t="shared" si="85"/>
        <v>#REF!</v>
      </c>
      <c r="DL47" s="2068">
        <f t="shared" si="85"/>
        <v>19305</v>
      </c>
      <c r="DM47" s="2068">
        <f t="shared" si="85"/>
        <v>21175</v>
      </c>
      <c r="DN47" s="2068">
        <f t="shared" si="85"/>
        <v>19305</v>
      </c>
      <c r="DO47" s="2068">
        <f t="shared" si="85"/>
        <v>21175</v>
      </c>
      <c r="DP47" s="2068">
        <f>DP25</f>
        <v>35695</v>
      </c>
      <c r="DQ47" s="2068"/>
      <c r="DR47" s="2068"/>
      <c r="DS47" s="2068">
        <f t="shared" si="85"/>
        <v>19305</v>
      </c>
      <c r="DT47" s="2068" t="e">
        <f t="shared" ref="DT47:EF47" si="86">DT25</f>
        <v>#REF!</v>
      </c>
      <c r="DU47" s="2068" t="e">
        <f t="shared" si="86"/>
        <v>#REF!</v>
      </c>
      <c r="DV47" s="2068" t="e">
        <f t="shared" si="86"/>
        <v>#REF!</v>
      </c>
      <c r="DW47" s="2068" t="e">
        <f t="shared" si="86"/>
        <v>#REF!</v>
      </c>
      <c r="DX47" s="2068" t="e">
        <f t="shared" si="86"/>
        <v>#REF!</v>
      </c>
      <c r="DY47" s="2068" t="e">
        <f t="shared" si="86"/>
        <v>#REF!</v>
      </c>
      <c r="DZ47" s="2068" t="e">
        <f t="shared" si="86"/>
        <v>#REF!</v>
      </c>
      <c r="EA47" s="2068" t="e">
        <f t="shared" si="86"/>
        <v>#REF!</v>
      </c>
      <c r="EB47" s="2068" t="e">
        <f t="shared" si="86"/>
        <v>#REF!</v>
      </c>
      <c r="EC47" s="2068" t="e">
        <f t="shared" si="86"/>
        <v>#REF!</v>
      </c>
      <c r="ED47" s="2068" t="e">
        <f t="shared" si="86"/>
        <v>#REF!</v>
      </c>
      <c r="EE47" s="2068" t="e">
        <f t="shared" si="86"/>
        <v>#REF!</v>
      </c>
      <c r="EF47" s="2068" t="e">
        <f t="shared" si="86"/>
        <v>#REF!</v>
      </c>
      <c r="EG47" s="2068"/>
      <c r="EH47" s="2068"/>
      <c r="EI47" s="2068"/>
      <c r="EJ47" s="2068"/>
      <c r="EK47" s="2068"/>
      <c r="EL47" s="2068"/>
      <c r="EM47" s="2068"/>
      <c r="EN47" s="2068"/>
      <c r="EO47" s="2068"/>
      <c r="EP47" s="2068"/>
      <c r="EQ47" s="2068"/>
      <c r="ER47" s="2068"/>
      <c r="ES47" s="2068"/>
      <c r="ET47" s="2068"/>
      <c r="EU47" s="2068"/>
      <c r="EV47" s="2068"/>
      <c r="EW47" s="2068"/>
      <c r="EX47" s="2068"/>
      <c r="EY47" s="2068"/>
      <c r="EZ47" s="2068"/>
      <c r="FA47" s="2068"/>
      <c r="FB47" s="2068"/>
      <c r="FC47" s="2068"/>
      <c r="FD47" s="2068"/>
      <c r="FE47" s="2066"/>
      <c r="FF47" s="2066"/>
      <c r="FG47" s="2066"/>
      <c r="FH47" s="2066"/>
      <c r="FI47" s="2066"/>
      <c r="FJ47" s="2066"/>
    </row>
    <row r="48" spans="1:166" s="1553" customFormat="1" ht="17.25" hidden="1" customHeight="1" outlineLevel="2">
      <c r="A48" s="1549">
        <v>45</v>
      </c>
      <c r="B48" s="1555" t="s">
        <v>206</v>
      </c>
      <c r="C48" s="1493" t="s">
        <v>1425</v>
      </c>
      <c r="D48" s="1555" t="s">
        <v>206</v>
      </c>
      <c r="E48" s="1493" t="s">
        <v>278</v>
      </c>
      <c r="F48" s="1493" t="str">
        <f>Покрытия_ПВХ!E45</f>
        <v>Лофт капучино</v>
      </c>
      <c r="G48" s="1493"/>
      <c r="H48" s="2068"/>
      <c r="I48" s="2068"/>
      <c r="J48" s="2068"/>
      <c r="K48" s="2068"/>
      <c r="L48" s="2068"/>
      <c r="M48" s="2068"/>
      <c r="N48" s="2068"/>
      <c r="O48" s="2068"/>
      <c r="P48" s="2068"/>
      <c r="Q48" s="2068"/>
      <c r="R48" s="2068"/>
      <c r="S48" s="2068"/>
      <c r="T48" s="2068"/>
      <c r="U48" s="2068"/>
      <c r="V48" s="2068"/>
      <c r="W48" s="2068"/>
      <c r="X48" s="2068"/>
      <c r="Y48" s="2068"/>
      <c r="Z48" s="2068"/>
      <c r="AA48" s="2068"/>
      <c r="AB48" s="2068"/>
      <c r="AC48" s="2068"/>
      <c r="AD48" s="2068"/>
      <c r="AE48" s="2068"/>
      <c r="AF48" s="2068"/>
      <c r="AG48" s="2068"/>
      <c r="AH48" s="2068"/>
      <c r="AI48" s="2068"/>
      <c r="AJ48" s="2068"/>
      <c r="AK48" s="2068"/>
      <c r="AL48" s="2068"/>
      <c r="AM48" s="2068"/>
      <c r="AN48" s="2068"/>
      <c r="AO48" s="2068"/>
      <c r="AP48" s="2068"/>
      <c r="AQ48" s="2068"/>
      <c r="AR48" s="2068"/>
      <c r="AS48" s="2068"/>
      <c r="AT48" s="2068"/>
      <c r="AU48" s="2068"/>
      <c r="AV48" s="2068"/>
      <c r="AW48" s="2068"/>
      <c r="AX48" s="2068"/>
      <c r="AY48" s="2068"/>
      <c r="AZ48" s="2068"/>
      <c r="BA48" s="2068"/>
      <c r="BB48" s="2068"/>
      <c r="BC48" s="2068"/>
      <c r="BD48" s="2068"/>
      <c r="BE48" s="2068"/>
      <c r="BF48" s="2068"/>
      <c r="BG48" s="2068"/>
      <c r="BH48" s="2068"/>
      <c r="BI48" s="2068"/>
      <c r="BJ48" s="2068"/>
      <c r="BK48" s="2068"/>
      <c r="BL48" s="2068"/>
      <c r="BM48" s="2068"/>
      <c r="BN48" s="2068"/>
      <c r="BO48" s="2068"/>
      <c r="BP48" s="2068"/>
      <c r="BQ48" s="2068" t="e">
        <f t="shared" ref="BQ48:DS48" si="87">BQ25</f>
        <v>#REF!</v>
      </c>
      <c r="BR48" s="2068" t="e">
        <f t="shared" si="87"/>
        <v>#REF!</v>
      </c>
      <c r="BS48" s="2068" t="e">
        <f t="shared" si="87"/>
        <v>#REF!</v>
      </c>
      <c r="BT48" s="2068" t="e">
        <f t="shared" si="87"/>
        <v>#REF!</v>
      </c>
      <c r="BU48" s="2068" t="e">
        <f t="shared" si="87"/>
        <v>#REF!</v>
      </c>
      <c r="BV48" s="2068" t="e">
        <f t="shared" si="87"/>
        <v>#REF!</v>
      </c>
      <c r="BW48" s="2068" t="e">
        <f t="shared" si="87"/>
        <v>#REF!</v>
      </c>
      <c r="BX48" s="2068" t="e">
        <f t="shared" si="87"/>
        <v>#REF!</v>
      </c>
      <c r="BY48" s="2068" t="e">
        <f t="shared" si="87"/>
        <v>#REF!</v>
      </c>
      <c r="BZ48" s="2068" t="e">
        <f t="shared" si="87"/>
        <v>#REF!</v>
      </c>
      <c r="CA48" s="2068" t="e">
        <f t="shared" si="87"/>
        <v>#REF!</v>
      </c>
      <c r="CB48" s="2068" t="e">
        <f t="shared" si="87"/>
        <v>#REF!</v>
      </c>
      <c r="CC48" s="2068" t="e">
        <f t="shared" si="87"/>
        <v>#REF!</v>
      </c>
      <c r="CD48" s="2068" t="e">
        <f t="shared" si="87"/>
        <v>#REF!</v>
      </c>
      <c r="CE48" s="2068" t="e">
        <f t="shared" si="87"/>
        <v>#REF!</v>
      </c>
      <c r="CF48" s="2068" t="e">
        <f t="shared" si="87"/>
        <v>#REF!</v>
      </c>
      <c r="CG48" s="2068" t="e">
        <f t="shared" si="87"/>
        <v>#REF!</v>
      </c>
      <c r="CH48" s="2068" t="e">
        <f t="shared" si="87"/>
        <v>#REF!</v>
      </c>
      <c r="CI48" s="2068" t="e">
        <f t="shared" si="87"/>
        <v>#REF!</v>
      </c>
      <c r="CJ48" s="2068" t="e">
        <f t="shared" si="87"/>
        <v>#REF!</v>
      </c>
      <c r="CK48" s="2068"/>
      <c r="CL48" s="2068"/>
      <c r="CM48" s="2068"/>
      <c r="CN48" s="2068"/>
      <c r="CO48" s="2068" t="e">
        <f t="shared" si="87"/>
        <v>#REF!</v>
      </c>
      <c r="CP48" s="2068" t="e">
        <f t="shared" si="87"/>
        <v>#REF!</v>
      </c>
      <c r="CQ48" s="2068"/>
      <c r="CR48" s="2068"/>
      <c r="CS48" s="2068" t="e">
        <f>CS25</f>
        <v>#REF!</v>
      </c>
      <c r="CT48" s="2068"/>
      <c r="CU48" s="2068" t="e">
        <f>CU25</f>
        <v>#REF!</v>
      </c>
      <c r="CV48" s="2068" t="e">
        <f t="shared" si="87"/>
        <v>#REF!</v>
      </c>
      <c r="CW48" s="2068" t="e">
        <f t="shared" si="87"/>
        <v>#REF!</v>
      </c>
      <c r="CX48" s="2068" t="e">
        <f t="shared" si="87"/>
        <v>#REF!</v>
      </c>
      <c r="CY48" s="2068" t="e">
        <f t="shared" si="87"/>
        <v>#REF!</v>
      </c>
      <c r="CZ48" s="2068" t="e">
        <f t="shared" si="87"/>
        <v>#REF!</v>
      </c>
      <c r="DA48" s="2068" t="e">
        <f>DA25</f>
        <v>#REF!</v>
      </c>
      <c r="DB48" s="2068" t="e">
        <f t="shared" si="87"/>
        <v>#REF!</v>
      </c>
      <c r="DC48" s="2068" t="e">
        <f t="shared" si="87"/>
        <v>#REF!</v>
      </c>
      <c r="DD48" s="2068" t="e">
        <f t="shared" si="87"/>
        <v>#REF!</v>
      </c>
      <c r="DE48" s="2068" t="e">
        <f t="shared" si="87"/>
        <v>#REF!</v>
      </c>
      <c r="DF48" s="2068" t="e">
        <f t="shared" si="87"/>
        <v>#REF!</v>
      </c>
      <c r="DG48" s="2068" t="e">
        <f t="shared" si="87"/>
        <v>#REF!</v>
      </c>
      <c r="DH48" s="2068">
        <f t="shared" si="87"/>
        <v>15125</v>
      </c>
      <c r="DI48" s="2068" t="e">
        <f t="shared" si="87"/>
        <v>#REF!</v>
      </c>
      <c r="DJ48" s="2068" t="e">
        <f t="shared" si="87"/>
        <v>#REF!</v>
      </c>
      <c r="DK48" s="2068" t="e">
        <f t="shared" si="87"/>
        <v>#REF!</v>
      </c>
      <c r="DL48" s="2068">
        <f t="shared" si="87"/>
        <v>19305</v>
      </c>
      <c r="DM48" s="2068">
        <f t="shared" si="87"/>
        <v>21175</v>
      </c>
      <c r="DN48" s="2068">
        <f t="shared" si="87"/>
        <v>19305</v>
      </c>
      <c r="DO48" s="2068">
        <f t="shared" si="87"/>
        <v>21175</v>
      </c>
      <c r="DP48" s="2068">
        <f>DP25</f>
        <v>35695</v>
      </c>
      <c r="DQ48" s="2068"/>
      <c r="DR48" s="2068"/>
      <c r="DS48" s="2068">
        <f t="shared" si="87"/>
        <v>19305</v>
      </c>
      <c r="DT48" s="2068" t="e">
        <f t="shared" ref="DT48:EF48" si="88">DT25</f>
        <v>#REF!</v>
      </c>
      <c r="DU48" s="2068" t="e">
        <f t="shared" si="88"/>
        <v>#REF!</v>
      </c>
      <c r="DV48" s="2068" t="e">
        <f t="shared" si="88"/>
        <v>#REF!</v>
      </c>
      <c r="DW48" s="2068" t="e">
        <f t="shared" si="88"/>
        <v>#REF!</v>
      </c>
      <c r="DX48" s="2068" t="e">
        <f t="shared" si="88"/>
        <v>#REF!</v>
      </c>
      <c r="DY48" s="2068" t="e">
        <f t="shared" si="88"/>
        <v>#REF!</v>
      </c>
      <c r="DZ48" s="2068" t="e">
        <f t="shared" si="88"/>
        <v>#REF!</v>
      </c>
      <c r="EA48" s="2068" t="e">
        <f t="shared" si="88"/>
        <v>#REF!</v>
      </c>
      <c r="EB48" s="2068" t="e">
        <f t="shared" si="88"/>
        <v>#REF!</v>
      </c>
      <c r="EC48" s="2068" t="e">
        <f t="shared" si="88"/>
        <v>#REF!</v>
      </c>
      <c r="ED48" s="2068" t="e">
        <f t="shared" si="88"/>
        <v>#REF!</v>
      </c>
      <c r="EE48" s="2068" t="e">
        <f t="shared" si="88"/>
        <v>#REF!</v>
      </c>
      <c r="EF48" s="2068" t="e">
        <f t="shared" si="88"/>
        <v>#REF!</v>
      </c>
      <c r="EG48" s="2068"/>
      <c r="EH48" s="2068"/>
      <c r="EI48" s="2068"/>
      <c r="EJ48" s="2068"/>
      <c r="EK48" s="2068"/>
      <c r="EL48" s="2068"/>
      <c r="EM48" s="2068"/>
      <c r="EN48" s="2068"/>
      <c r="EO48" s="2068"/>
      <c r="EP48" s="2068"/>
      <c r="EQ48" s="2068"/>
      <c r="ER48" s="2068"/>
      <c r="ES48" s="2068"/>
      <c r="ET48" s="2068"/>
      <c r="EU48" s="2068"/>
      <c r="EV48" s="2068"/>
      <c r="EW48" s="2068"/>
      <c r="EX48" s="2068"/>
      <c r="EY48" s="2068"/>
      <c r="EZ48" s="2068"/>
      <c r="FA48" s="2068"/>
      <c r="FB48" s="2068"/>
      <c r="FC48" s="2068"/>
      <c r="FD48" s="2068"/>
      <c r="FE48" s="2066"/>
      <c r="FF48" s="2066"/>
      <c r="FG48" s="2066"/>
      <c r="FH48" s="2066"/>
      <c r="FI48" s="2066"/>
      <c r="FJ48" s="2066"/>
    </row>
    <row r="49" spans="1:166" s="1553" customFormat="1" ht="17.25" hidden="1" customHeight="1" outlineLevel="2">
      <c r="A49" s="1552">
        <v>46</v>
      </c>
      <c r="B49" s="1555" t="s">
        <v>206</v>
      </c>
      <c r="C49" s="1493" t="s">
        <v>1425</v>
      </c>
      <c r="D49" s="1555" t="s">
        <v>206</v>
      </c>
      <c r="E49" s="1493" t="s">
        <v>278</v>
      </c>
      <c r="F49" s="1493" t="str">
        <f>Покрытия_ПВХ!E46</f>
        <v>Лофт грей</v>
      </c>
      <c r="G49" s="1493"/>
      <c r="H49" s="2068"/>
      <c r="I49" s="2068"/>
      <c r="J49" s="2068"/>
      <c r="K49" s="2068"/>
      <c r="L49" s="2068"/>
      <c r="M49" s="2068"/>
      <c r="N49" s="2068"/>
      <c r="O49" s="2068"/>
      <c r="P49" s="2068"/>
      <c r="Q49" s="2068"/>
      <c r="R49" s="2068"/>
      <c r="S49" s="2068"/>
      <c r="T49" s="2068"/>
      <c r="U49" s="2068"/>
      <c r="V49" s="2068"/>
      <c r="W49" s="2068"/>
      <c r="X49" s="2068"/>
      <c r="Y49" s="2068"/>
      <c r="Z49" s="2068"/>
      <c r="AA49" s="2068"/>
      <c r="AB49" s="2068"/>
      <c r="AC49" s="2068"/>
      <c r="AD49" s="2068"/>
      <c r="AE49" s="2068"/>
      <c r="AF49" s="2068"/>
      <c r="AG49" s="2068"/>
      <c r="AH49" s="2068"/>
      <c r="AI49" s="2068"/>
      <c r="AJ49" s="2068"/>
      <c r="AK49" s="2068"/>
      <c r="AL49" s="2068"/>
      <c r="AM49" s="2068"/>
      <c r="AN49" s="2068"/>
      <c r="AO49" s="2068"/>
      <c r="AP49" s="2068"/>
      <c r="AQ49" s="2068"/>
      <c r="AR49" s="2068"/>
      <c r="AS49" s="2068"/>
      <c r="AT49" s="2068"/>
      <c r="AU49" s="2068"/>
      <c r="AV49" s="2068"/>
      <c r="AW49" s="2068"/>
      <c r="AX49" s="2068"/>
      <c r="AY49" s="2068"/>
      <c r="AZ49" s="2068"/>
      <c r="BA49" s="2068"/>
      <c r="BB49" s="2068"/>
      <c r="BC49" s="2068"/>
      <c r="BD49" s="2068"/>
      <c r="BE49" s="2068"/>
      <c r="BF49" s="2068"/>
      <c r="BG49" s="2068"/>
      <c r="BH49" s="2068"/>
      <c r="BI49" s="2068"/>
      <c r="BJ49" s="2068"/>
      <c r="BK49" s="2068"/>
      <c r="BL49" s="2068"/>
      <c r="BM49" s="2068"/>
      <c r="BN49" s="2068"/>
      <c r="BO49" s="2068"/>
      <c r="BP49" s="2068"/>
      <c r="BQ49" s="2068" t="e">
        <f t="shared" ref="BQ49:DS49" si="89">BQ25</f>
        <v>#REF!</v>
      </c>
      <c r="BR49" s="2068" t="e">
        <f t="shared" si="89"/>
        <v>#REF!</v>
      </c>
      <c r="BS49" s="2068" t="e">
        <f t="shared" si="89"/>
        <v>#REF!</v>
      </c>
      <c r="BT49" s="2068" t="e">
        <f t="shared" si="89"/>
        <v>#REF!</v>
      </c>
      <c r="BU49" s="2068" t="e">
        <f t="shared" si="89"/>
        <v>#REF!</v>
      </c>
      <c r="BV49" s="2068" t="e">
        <f t="shared" si="89"/>
        <v>#REF!</v>
      </c>
      <c r="BW49" s="2068" t="e">
        <f t="shared" si="89"/>
        <v>#REF!</v>
      </c>
      <c r="BX49" s="2068" t="e">
        <f t="shared" si="89"/>
        <v>#REF!</v>
      </c>
      <c r="BY49" s="2068" t="e">
        <f t="shared" si="89"/>
        <v>#REF!</v>
      </c>
      <c r="BZ49" s="2068" t="e">
        <f t="shared" si="89"/>
        <v>#REF!</v>
      </c>
      <c r="CA49" s="2068" t="e">
        <f t="shared" si="89"/>
        <v>#REF!</v>
      </c>
      <c r="CB49" s="2068" t="e">
        <f t="shared" si="89"/>
        <v>#REF!</v>
      </c>
      <c r="CC49" s="2068" t="e">
        <f t="shared" si="89"/>
        <v>#REF!</v>
      </c>
      <c r="CD49" s="2068" t="e">
        <f t="shared" si="89"/>
        <v>#REF!</v>
      </c>
      <c r="CE49" s="2068" t="e">
        <f t="shared" si="89"/>
        <v>#REF!</v>
      </c>
      <c r="CF49" s="2068" t="e">
        <f t="shared" si="89"/>
        <v>#REF!</v>
      </c>
      <c r="CG49" s="2068" t="e">
        <f t="shared" si="89"/>
        <v>#REF!</v>
      </c>
      <c r="CH49" s="2068" t="e">
        <f t="shared" si="89"/>
        <v>#REF!</v>
      </c>
      <c r="CI49" s="2068" t="e">
        <f t="shared" si="89"/>
        <v>#REF!</v>
      </c>
      <c r="CJ49" s="2068" t="e">
        <f t="shared" si="89"/>
        <v>#REF!</v>
      </c>
      <c r="CK49" s="2068"/>
      <c r="CL49" s="2068"/>
      <c r="CM49" s="2068"/>
      <c r="CN49" s="2068"/>
      <c r="CO49" s="2068" t="e">
        <f t="shared" si="89"/>
        <v>#REF!</v>
      </c>
      <c r="CP49" s="2068" t="e">
        <f t="shared" si="89"/>
        <v>#REF!</v>
      </c>
      <c r="CQ49" s="2068"/>
      <c r="CR49" s="2068"/>
      <c r="CS49" s="2068" t="e">
        <f>CS25</f>
        <v>#REF!</v>
      </c>
      <c r="CT49" s="2068"/>
      <c r="CU49" s="2068" t="e">
        <f>CU25</f>
        <v>#REF!</v>
      </c>
      <c r="CV49" s="2068" t="e">
        <f t="shared" si="89"/>
        <v>#REF!</v>
      </c>
      <c r="CW49" s="2068" t="e">
        <f t="shared" si="89"/>
        <v>#REF!</v>
      </c>
      <c r="CX49" s="2068" t="e">
        <f t="shared" si="89"/>
        <v>#REF!</v>
      </c>
      <c r="CY49" s="2068" t="e">
        <f t="shared" si="89"/>
        <v>#REF!</v>
      </c>
      <c r="CZ49" s="2068" t="e">
        <f t="shared" si="89"/>
        <v>#REF!</v>
      </c>
      <c r="DA49" s="2068" t="e">
        <f>DA25</f>
        <v>#REF!</v>
      </c>
      <c r="DB49" s="2068" t="e">
        <f t="shared" si="89"/>
        <v>#REF!</v>
      </c>
      <c r="DC49" s="2068" t="e">
        <f t="shared" si="89"/>
        <v>#REF!</v>
      </c>
      <c r="DD49" s="2068" t="e">
        <f t="shared" si="89"/>
        <v>#REF!</v>
      </c>
      <c r="DE49" s="2068" t="e">
        <f t="shared" si="89"/>
        <v>#REF!</v>
      </c>
      <c r="DF49" s="2068" t="e">
        <f t="shared" si="89"/>
        <v>#REF!</v>
      </c>
      <c r="DG49" s="2068" t="e">
        <f t="shared" si="89"/>
        <v>#REF!</v>
      </c>
      <c r="DH49" s="2068">
        <f t="shared" si="89"/>
        <v>15125</v>
      </c>
      <c r="DI49" s="2068" t="e">
        <f t="shared" si="89"/>
        <v>#REF!</v>
      </c>
      <c r="DJ49" s="2068" t="e">
        <f t="shared" si="89"/>
        <v>#REF!</v>
      </c>
      <c r="DK49" s="2068" t="e">
        <f t="shared" si="89"/>
        <v>#REF!</v>
      </c>
      <c r="DL49" s="2068">
        <f t="shared" si="89"/>
        <v>19305</v>
      </c>
      <c r="DM49" s="2068">
        <f t="shared" si="89"/>
        <v>21175</v>
      </c>
      <c r="DN49" s="2068">
        <f t="shared" si="89"/>
        <v>19305</v>
      </c>
      <c r="DO49" s="2068">
        <f t="shared" si="89"/>
        <v>21175</v>
      </c>
      <c r="DP49" s="2068">
        <f>DP25</f>
        <v>35695</v>
      </c>
      <c r="DQ49" s="2068"/>
      <c r="DR49" s="2068"/>
      <c r="DS49" s="2068">
        <f t="shared" si="89"/>
        <v>19305</v>
      </c>
      <c r="DT49" s="2068" t="e">
        <f t="shared" ref="DT49:EF49" si="90">DT25</f>
        <v>#REF!</v>
      </c>
      <c r="DU49" s="2068" t="e">
        <f t="shared" si="90"/>
        <v>#REF!</v>
      </c>
      <c r="DV49" s="2068" t="e">
        <f t="shared" si="90"/>
        <v>#REF!</v>
      </c>
      <c r="DW49" s="2068" t="e">
        <f t="shared" si="90"/>
        <v>#REF!</v>
      </c>
      <c r="DX49" s="2068" t="e">
        <f t="shared" si="90"/>
        <v>#REF!</v>
      </c>
      <c r="DY49" s="2068" t="e">
        <f t="shared" si="90"/>
        <v>#REF!</v>
      </c>
      <c r="DZ49" s="2068" t="e">
        <f t="shared" si="90"/>
        <v>#REF!</v>
      </c>
      <c r="EA49" s="2068" t="e">
        <f t="shared" si="90"/>
        <v>#REF!</v>
      </c>
      <c r="EB49" s="2068" t="e">
        <f t="shared" si="90"/>
        <v>#REF!</v>
      </c>
      <c r="EC49" s="2068" t="e">
        <f t="shared" si="90"/>
        <v>#REF!</v>
      </c>
      <c r="ED49" s="2068" t="e">
        <f t="shared" si="90"/>
        <v>#REF!</v>
      </c>
      <c r="EE49" s="2068" t="e">
        <f t="shared" si="90"/>
        <v>#REF!</v>
      </c>
      <c r="EF49" s="2068" t="e">
        <f t="shared" si="90"/>
        <v>#REF!</v>
      </c>
      <c r="EG49" s="2068"/>
      <c r="EH49" s="2068"/>
      <c r="EI49" s="2068"/>
      <c r="EJ49" s="2068"/>
      <c r="EK49" s="2068"/>
      <c r="EL49" s="2068"/>
      <c r="EM49" s="2068"/>
      <c r="EN49" s="2068"/>
      <c r="EO49" s="2068"/>
      <c r="EP49" s="2068"/>
      <c r="EQ49" s="2068"/>
      <c r="ER49" s="2068"/>
      <c r="ES49" s="2068"/>
      <c r="ET49" s="2068"/>
      <c r="EU49" s="2068"/>
      <c r="EV49" s="2068"/>
      <c r="EW49" s="2068"/>
      <c r="EX49" s="2068"/>
      <c r="EY49" s="2068"/>
      <c r="EZ49" s="2068"/>
      <c r="FA49" s="2068"/>
      <c r="FB49" s="2068"/>
      <c r="FC49" s="2068"/>
      <c r="FD49" s="2068"/>
      <c r="FE49" s="2066"/>
      <c r="FF49" s="2066"/>
      <c r="FG49" s="2066"/>
      <c r="FH49" s="2066"/>
      <c r="FI49" s="2066"/>
      <c r="FJ49" s="2066"/>
    </row>
    <row r="50" spans="1:166" s="1551" customFormat="1" ht="17.25" hidden="1" customHeight="1" outlineLevel="1" collapsed="1">
      <c r="A50" s="1549">
        <v>47</v>
      </c>
      <c r="B50" s="1556" t="s">
        <v>206</v>
      </c>
      <c r="C50" s="1500"/>
      <c r="D50" s="1556" t="s">
        <v>206</v>
      </c>
      <c r="E50" s="1500" t="s">
        <v>276</v>
      </c>
      <c r="F50" s="1500" t="str">
        <f>Покрытия_ПВХ!E25</f>
        <v>Орех NY светлый</v>
      </c>
      <c r="G50" s="1500"/>
      <c r="H50" s="2069"/>
      <c r="I50" s="2069"/>
      <c r="J50" s="2069"/>
      <c r="K50" s="2069"/>
      <c r="L50" s="2069"/>
      <c r="M50" s="2069"/>
      <c r="N50" s="2069"/>
      <c r="O50" s="2069"/>
      <c r="P50" s="2069"/>
      <c r="Q50" s="2069"/>
      <c r="R50" s="2069"/>
      <c r="S50" s="2069"/>
      <c r="T50" s="2069"/>
      <c r="U50" s="2069"/>
      <c r="V50" s="2069"/>
      <c r="W50" s="2069"/>
      <c r="X50" s="2069"/>
      <c r="Y50" s="2069"/>
      <c r="Z50" s="2069"/>
      <c r="AA50" s="2069"/>
      <c r="AB50" s="2069"/>
      <c r="AC50" s="2069"/>
      <c r="AD50" s="2069"/>
      <c r="AE50" s="2069"/>
      <c r="AF50" s="2069"/>
      <c r="AG50" s="2069"/>
      <c r="AH50" s="2069"/>
      <c r="AI50" s="2069"/>
      <c r="AJ50" s="2069"/>
      <c r="AK50" s="2069"/>
      <c r="AL50" s="2069"/>
      <c r="AM50" s="2069"/>
      <c r="AN50" s="2069"/>
      <c r="AO50" s="2069"/>
      <c r="AP50" s="2069"/>
      <c r="AQ50" s="2069"/>
      <c r="AR50" s="2069"/>
      <c r="AS50" s="2069"/>
      <c r="AT50" s="2069"/>
      <c r="AU50" s="2069"/>
      <c r="AV50" s="2069"/>
      <c r="AW50" s="2069"/>
      <c r="AX50" s="2069"/>
      <c r="AY50" s="2069"/>
      <c r="AZ50" s="2069"/>
      <c r="BA50" s="2069"/>
      <c r="BB50" s="2069"/>
      <c r="BC50" s="2069"/>
      <c r="BD50" s="2069"/>
      <c r="BE50" s="2069"/>
      <c r="BF50" s="2069"/>
      <c r="BG50" s="2069"/>
      <c r="BH50" s="2069"/>
      <c r="BI50" s="2069"/>
      <c r="BJ50" s="2069"/>
      <c r="BK50" s="2069"/>
      <c r="BL50" s="2069"/>
      <c r="BM50" s="2069"/>
      <c r="BN50" s="2069"/>
      <c r="BO50" s="2069"/>
      <c r="BP50" s="2069"/>
      <c r="BQ50" s="2069" t="e">
        <f t="shared" ref="BQ50:DS50" si="91">CEILING(BQ4*1.15, 5)</f>
        <v>#REF!</v>
      </c>
      <c r="BR50" s="2069" t="e">
        <f t="shared" si="91"/>
        <v>#REF!</v>
      </c>
      <c r="BS50" s="2069" t="e">
        <f t="shared" si="91"/>
        <v>#REF!</v>
      </c>
      <c r="BT50" s="2069" t="e">
        <f t="shared" si="91"/>
        <v>#REF!</v>
      </c>
      <c r="BU50" s="2069" t="e">
        <f t="shared" si="91"/>
        <v>#REF!</v>
      </c>
      <c r="BV50" s="2069" t="e">
        <f t="shared" si="91"/>
        <v>#REF!</v>
      </c>
      <c r="BW50" s="2069" t="e">
        <f t="shared" si="91"/>
        <v>#REF!</v>
      </c>
      <c r="BX50" s="2069" t="e">
        <f t="shared" si="91"/>
        <v>#REF!</v>
      </c>
      <c r="BY50" s="2069" t="e">
        <f t="shared" si="91"/>
        <v>#REF!</v>
      </c>
      <c r="BZ50" s="2069" t="e">
        <f t="shared" si="91"/>
        <v>#REF!</v>
      </c>
      <c r="CA50" s="2069" t="e">
        <f t="shared" si="91"/>
        <v>#REF!</v>
      </c>
      <c r="CB50" s="2069" t="e">
        <f t="shared" si="91"/>
        <v>#REF!</v>
      </c>
      <c r="CC50" s="2069" t="e">
        <f t="shared" si="91"/>
        <v>#REF!</v>
      </c>
      <c r="CD50" s="2069" t="e">
        <f t="shared" si="91"/>
        <v>#REF!</v>
      </c>
      <c r="CE50" s="2069" t="e">
        <f t="shared" si="91"/>
        <v>#REF!</v>
      </c>
      <c r="CF50" s="2069" t="e">
        <f t="shared" si="91"/>
        <v>#REF!</v>
      </c>
      <c r="CG50" s="2069" t="e">
        <f t="shared" si="91"/>
        <v>#REF!</v>
      </c>
      <c r="CH50" s="2069" t="e">
        <f t="shared" si="91"/>
        <v>#REF!</v>
      </c>
      <c r="CI50" s="2069" t="e">
        <f t="shared" si="91"/>
        <v>#REF!</v>
      </c>
      <c r="CJ50" s="2069" t="e">
        <f t="shared" si="91"/>
        <v>#REF!</v>
      </c>
      <c r="CK50" s="2069"/>
      <c r="CL50" s="2069"/>
      <c r="CM50" s="2069"/>
      <c r="CN50" s="2069"/>
      <c r="CO50" s="2069" t="e">
        <f t="shared" si="91"/>
        <v>#REF!</v>
      </c>
      <c r="CP50" s="2069" t="e">
        <f t="shared" si="91"/>
        <v>#REF!</v>
      </c>
      <c r="CQ50" s="2069"/>
      <c r="CR50" s="2069"/>
      <c r="CS50" s="2069" t="e">
        <f>CEILING(CS4*1.15, 5)</f>
        <v>#REF!</v>
      </c>
      <c r="CT50" s="2069"/>
      <c r="CU50" s="2069" t="e">
        <f>CEILING(CU4*1.15, 5)</f>
        <v>#REF!</v>
      </c>
      <c r="CV50" s="2069" t="e">
        <f t="shared" si="91"/>
        <v>#REF!</v>
      </c>
      <c r="CW50" s="2069" t="e">
        <f t="shared" si="91"/>
        <v>#REF!</v>
      </c>
      <c r="CX50" s="2069" t="e">
        <f t="shared" si="91"/>
        <v>#REF!</v>
      </c>
      <c r="CY50" s="2069" t="e">
        <f t="shared" si="91"/>
        <v>#REF!</v>
      </c>
      <c r="CZ50" s="2069" t="e">
        <f t="shared" si="91"/>
        <v>#REF!</v>
      </c>
      <c r="DA50" s="2069" t="e">
        <f>CEILING(DA4*1.15, 5)</f>
        <v>#REF!</v>
      </c>
      <c r="DB50" s="2069" t="e">
        <f t="shared" si="91"/>
        <v>#REF!</v>
      </c>
      <c r="DC50" s="2069" t="e">
        <f t="shared" si="91"/>
        <v>#REF!</v>
      </c>
      <c r="DD50" s="2069" t="e">
        <f t="shared" si="91"/>
        <v>#REF!</v>
      </c>
      <c r="DE50" s="2069" t="e">
        <f t="shared" si="91"/>
        <v>#REF!</v>
      </c>
      <c r="DF50" s="2069" t="e">
        <f t="shared" si="91"/>
        <v>#REF!</v>
      </c>
      <c r="DG50" s="2069" t="e">
        <f t="shared" si="91"/>
        <v>#REF!</v>
      </c>
      <c r="DH50" s="2069">
        <f t="shared" si="91"/>
        <v>15815</v>
      </c>
      <c r="DI50" s="2069" t="e">
        <f t="shared" si="91"/>
        <v>#REF!</v>
      </c>
      <c r="DJ50" s="2069" t="e">
        <f t="shared" si="91"/>
        <v>#REF!</v>
      </c>
      <c r="DK50" s="2069" t="e">
        <f t="shared" si="91"/>
        <v>#REF!</v>
      </c>
      <c r="DL50" s="2069">
        <f t="shared" si="91"/>
        <v>20185</v>
      </c>
      <c r="DM50" s="2069">
        <f t="shared" si="91"/>
        <v>22140</v>
      </c>
      <c r="DN50" s="2069">
        <f t="shared" si="91"/>
        <v>20185</v>
      </c>
      <c r="DO50" s="2069">
        <f t="shared" si="91"/>
        <v>22140</v>
      </c>
      <c r="DP50" s="2069">
        <f>CEILING(DP4*1.15, 5)</f>
        <v>37320</v>
      </c>
      <c r="DQ50" s="2069"/>
      <c r="DR50" s="2069"/>
      <c r="DS50" s="2069">
        <f t="shared" si="91"/>
        <v>20185</v>
      </c>
      <c r="DT50" s="2069" t="e">
        <f t="shared" ref="DT50:EF50" si="92">CEILING(DT4*1.15, 5)</f>
        <v>#REF!</v>
      </c>
      <c r="DU50" s="2069" t="e">
        <f t="shared" si="92"/>
        <v>#REF!</v>
      </c>
      <c r="DV50" s="2069" t="e">
        <f t="shared" si="92"/>
        <v>#REF!</v>
      </c>
      <c r="DW50" s="2069" t="e">
        <f t="shared" si="92"/>
        <v>#REF!</v>
      </c>
      <c r="DX50" s="2069" t="e">
        <f t="shared" si="92"/>
        <v>#REF!</v>
      </c>
      <c r="DY50" s="2069" t="e">
        <f t="shared" si="92"/>
        <v>#REF!</v>
      </c>
      <c r="DZ50" s="2069" t="e">
        <f t="shared" si="92"/>
        <v>#REF!</v>
      </c>
      <c r="EA50" s="2069" t="e">
        <f t="shared" si="92"/>
        <v>#REF!</v>
      </c>
      <c r="EB50" s="2069" t="e">
        <f t="shared" si="92"/>
        <v>#REF!</v>
      </c>
      <c r="EC50" s="2069" t="e">
        <f t="shared" si="92"/>
        <v>#REF!</v>
      </c>
      <c r="ED50" s="2069" t="e">
        <f t="shared" si="92"/>
        <v>#REF!</v>
      </c>
      <c r="EE50" s="2069" t="e">
        <f t="shared" si="92"/>
        <v>#REF!</v>
      </c>
      <c r="EF50" s="2069" t="e">
        <f t="shared" si="92"/>
        <v>#REF!</v>
      </c>
      <c r="EG50" s="2069"/>
      <c r="EH50" s="2069"/>
      <c r="EI50" s="2069"/>
      <c r="EJ50" s="2069"/>
      <c r="EK50" s="2069"/>
      <c r="EL50" s="2069"/>
      <c r="EM50" s="2069"/>
      <c r="EN50" s="2069"/>
      <c r="EO50" s="2069"/>
      <c r="EP50" s="2069"/>
      <c r="EQ50" s="2069"/>
      <c r="ER50" s="2069"/>
      <c r="ES50" s="2069"/>
      <c r="ET50" s="2069"/>
      <c r="EU50" s="2069"/>
      <c r="EV50" s="2069"/>
      <c r="EW50" s="2069"/>
      <c r="EX50" s="2069"/>
      <c r="EY50" s="2069"/>
      <c r="EZ50" s="2069"/>
      <c r="FA50" s="2069"/>
      <c r="FB50" s="2069"/>
      <c r="FC50" s="2069"/>
      <c r="FD50" s="2069"/>
      <c r="FE50" s="2064"/>
      <c r="FF50" s="2064"/>
      <c r="FG50" s="2064"/>
      <c r="FH50" s="2064"/>
      <c r="FI50" s="2064"/>
      <c r="FJ50" s="2064"/>
    </row>
    <row r="51" spans="1:166" s="1553" customFormat="1" ht="17.25" hidden="1" customHeight="1" outlineLevel="2">
      <c r="A51" s="1552">
        <v>48</v>
      </c>
      <c r="B51" s="1556" t="s">
        <v>206</v>
      </c>
      <c r="C51" s="1502"/>
      <c r="D51" s="1556" t="s">
        <v>206</v>
      </c>
      <c r="E51" s="1502" t="s">
        <v>276</v>
      </c>
      <c r="F51" s="1502" t="str">
        <f>Покрытия_ПВХ!E26</f>
        <v>Орех NY смоук</v>
      </c>
      <c r="G51" s="1502"/>
      <c r="H51" s="2069"/>
      <c r="I51" s="2069"/>
      <c r="J51" s="2069"/>
      <c r="K51" s="2069"/>
      <c r="L51" s="2069"/>
      <c r="M51" s="2069"/>
      <c r="N51" s="2069"/>
      <c r="O51" s="2069"/>
      <c r="P51" s="2069"/>
      <c r="Q51" s="2069"/>
      <c r="R51" s="2069"/>
      <c r="S51" s="2069"/>
      <c r="T51" s="2069"/>
      <c r="U51" s="2069"/>
      <c r="V51" s="2069"/>
      <c r="W51" s="2069"/>
      <c r="X51" s="2069"/>
      <c r="Y51" s="2069"/>
      <c r="Z51" s="2069"/>
      <c r="AA51" s="2069"/>
      <c r="AB51" s="2069"/>
      <c r="AC51" s="2069"/>
      <c r="AD51" s="2069"/>
      <c r="AE51" s="2069"/>
      <c r="AF51" s="2069"/>
      <c r="AG51" s="2069"/>
      <c r="AH51" s="2069"/>
      <c r="AI51" s="2069"/>
      <c r="AJ51" s="2069"/>
      <c r="AK51" s="2069"/>
      <c r="AL51" s="2069"/>
      <c r="AM51" s="2069"/>
      <c r="AN51" s="2069"/>
      <c r="AO51" s="2069"/>
      <c r="AP51" s="2069"/>
      <c r="AQ51" s="2069"/>
      <c r="AR51" s="2069"/>
      <c r="AS51" s="2069"/>
      <c r="AT51" s="2069"/>
      <c r="AU51" s="2069"/>
      <c r="AV51" s="2069"/>
      <c r="AW51" s="2069"/>
      <c r="AX51" s="2069"/>
      <c r="AY51" s="2069"/>
      <c r="AZ51" s="2069"/>
      <c r="BA51" s="2069"/>
      <c r="BB51" s="2069"/>
      <c r="BC51" s="2069"/>
      <c r="BD51" s="2069"/>
      <c r="BE51" s="2069"/>
      <c r="BF51" s="2069"/>
      <c r="BG51" s="2069"/>
      <c r="BH51" s="2069"/>
      <c r="BI51" s="2069"/>
      <c r="BJ51" s="2069"/>
      <c r="BK51" s="2069"/>
      <c r="BL51" s="2069"/>
      <c r="BM51" s="2069"/>
      <c r="BN51" s="2069"/>
      <c r="BO51" s="2069"/>
      <c r="BP51" s="2069"/>
      <c r="BQ51" s="2069" t="e">
        <f t="shared" ref="BQ51:DS51" si="93">BQ50</f>
        <v>#REF!</v>
      </c>
      <c r="BR51" s="2069" t="e">
        <f t="shared" si="93"/>
        <v>#REF!</v>
      </c>
      <c r="BS51" s="2069" t="e">
        <f t="shared" si="93"/>
        <v>#REF!</v>
      </c>
      <c r="BT51" s="2069" t="e">
        <f t="shared" si="93"/>
        <v>#REF!</v>
      </c>
      <c r="BU51" s="2069" t="e">
        <f t="shared" si="93"/>
        <v>#REF!</v>
      </c>
      <c r="BV51" s="2069" t="e">
        <f t="shared" si="93"/>
        <v>#REF!</v>
      </c>
      <c r="BW51" s="2069" t="e">
        <f t="shared" si="93"/>
        <v>#REF!</v>
      </c>
      <c r="BX51" s="2069" t="e">
        <f t="shared" si="93"/>
        <v>#REF!</v>
      </c>
      <c r="BY51" s="2069" t="e">
        <f t="shared" si="93"/>
        <v>#REF!</v>
      </c>
      <c r="BZ51" s="2069" t="e">
        <f t="shared" si="93"/>
        <v>#REF!</v>
      </c>
      <c r="CA51" s="2069" t="e">
        <f t="shared" si="93"/>
        <v>#REF!</v>
      </c>
      <c r="CB51" s="2069" t="e">
        <f t="shared" si="93"/>
        <v>#REF!</v>
      </c>
      <c r="CC51" s="2069" t="e">
        <f t="shared" si="93"/>
        <v>#REF!</v>
      </c>
      <c r="CD51" s="2069" t="e">
        <f t="shared" si="93"/>
        <v>#REF!</v>
      </c>
      <c r="CE51" s="2069" t="e">
        <f t="shared" si="93"/>
        <v>#REF!</v>
      </c>
      <c r="CF51" s="2069" t="e">
        <f t="shared" si="93"/>
        <v>#REF!</v>
      </c>
      <c r="CG51" s="2069" t="e">
        <f t="shared" si="93"/>
        <v>#REF!</v>
      </c>
      <c r="CH51" s="2069" t="e">
        <f t="shared" si="93"/>
        <v>#REF!</v>
      </c>
      <c r="CI51" s="2069" t="e">
        <f t="shared" si="93"/>
        <v>#REF!</v>
      </c>
      <c r="CJ51" s="2069" t="e">
        <f t="shared" si="93"/>
        <v>#REF!</v>
      </c>
      <c r="CK51" s="2069"/>
      <c r="CL51" s="2069"/>
      <c r="CM51" s="2069"/>
      <c r="CN51" s="2069"/>
      <c r="CO51" s="2069" t="e">
        <f t="shared" si="93"/>
        <v>#REF!</v>
      </c>
      <c r="CP51" s="2069" t="e">
        <f t="shared" si="93"/>
        <v>#REF!</v>
      </c>
      <c r="CQ51" s="2069"/>
      <c r="CR51" s="2069"/>
      <c r="CS51" s="2069" t="e">
        <f>CS50</f>
        <v>#REF!</v>
      </c>
      <c r="CT51" s="2069"/>
      <c r="CU51" s="2069" t="e">
        <f>CU50</f>
        <v>#REF!</v>
      </c>
      <c r="CV51" s="2069" t="e">
        <f t="shared" si="93"/>
        <v>#REF!</v>
      </c>
      <c r="CW51" s="2069" t="e">
        <f t="shared" si="93"/>
        <v>#REF!</v>
      </c>
      <c r="CX51" s="2069" t="e">
        <f t="shared" si="93"/>
        <v>#REF!</v>
      </c>
      <c r="CY51" s="2069" t="e">
        <f t="shared" si="93"/>
        <v>#REF!</v>
      </c>
      <c r="CZ51" s="2069" t="e">
        <f t="shared" si="93"/>
        <v>#REF!</v>
      </c>
      <c r="DA51" s="2069" t="e">
        <f t="shared" si="93"/>
        <v>#REF!</v>
      </c>
      <c r="DB51" s="2069" t="e">
        <f t="shared" si="93"/>
        <v>#REF!</v>
      </c>
      <c r="DC51" s="2069" t="e">
        <f t="shared" si="93"/>
        <v>#REF!</v>
      </c>
      <c r="DD51" s="2069" t="e">
        <f t="shared" si="93"/>
        <v>#REF!</v>
      </c>
      <c r="DE51" s="2069" t="e">
        <f t="shared" si="93"/>
        <v>#REF!</v>
      </c>
      <c r="DF51" s="2069" t="e">
        <f t="shared" si="93"/>
        <v>#REF!</v>
      </c>
      <c r="DG51" s="2069" t="e">
        <f t="shared" si="93"/>
        <v>#REF!</v>
      </c>
      <c r="DH51" s="2069">
        <f t="shared" si="93"/>
        <v>15815</v>
      </c>
      <c r="DI51" s="2069" t="e">
        <f t="shared" si="93"/>
        <v>#REF!</v>
      </c>
      <c r="DJ51" s="2069" t="e">
        <f t="shared" si="93"/>
        <v>#REF!</v>
      </c>
      <c r="DK51" s="2069" t="e">
        <f t="shared" si="93"/>
        <v>#REF!</v>
      </c>
      <c r="DL51" s="2069">
        <f t="shared" si="93"/>
        <v>20185</v>
      </c>
      <c r="DM51" s="2069">
        <f t="shared" si="93"/>
        <v>22140</v>
      </c>
      <c r="DN51" s="2069">
        <f t="shared" si="93"/>
        <v>20185</v>
      </c>
      <c r="DO51" s="2069">
        <f t="shared" si="93"/>
        <v>22140</v>
      </c>
      <c r="DP51" s="2069">
        <f>DP50</f>
        <v>37320</v>
      </c>
      <c r="DQ51" s="2069"/>
      <c r="DR51" s="2069"/>
      <c r="DS51" s="2069">
        <f t="shared" si="93"/>
        <v>20185</v>
      </c>
      <c r="DT51" s="2069" t="e">
        <f t="shared" ref="DT51:EF51" si="94">DT50</f>
        <v>#REF!</v>
      </c>
      <c r="DU51" s="2069" t="e">
        <f t="shared" si="94"/>
        <v>#REF!</v>
      </c>
      <c r="DV51" s="2069" t="e">
        <f t="shared" si="94"/>
        <v>#REF!</v>
      </c>
      <c r="DW51" s="2069" t="e">
        <f t="shared" si="94"/>
        <v>#REF!</v>
      </c>
      <c r="DX51" s="2069" t="e">
        <f t="shared" si="94"/>
        <v>#REF!</v>
      </c>
      <c r="DY51" s="2069" t="e">
        <f t="shared" si="94"/>
        <v>#REF!</v>
      </c>
      <c r="DZ51" s="2069" t="e">
        <f t="shared" si="94"/>
        <v>#REF!</v>
      </c>
      <c r="EA51" s="2069" t="e">
        <f t="shared" si="94"/>
        <v>#REF!</v>
      </c>
      <c r="EB51" s="2069" t="e">
        <f t="shared" si="94"/>
        <v>#REF!</v>
      </c>
      <c r="EC51" s="2069" t="e">
        <f t="shared" si="94"/>
        <v>#REF!</v>
      </c>
      <c r="ED51" s="2069" t="e">
        <f t="shared" si="94"/>
        <v>#REF!</v>
      </c>
      <c r="EE51" s="2069" t="e">
        <f t="shared" si="94"/>
        <v>#REF!</v>
      </c>
      <c r="EF51" s="2069" t="e">
        <f t="shared" si="94"/>
        <v>#REF!</v>
      </c>
      <c r="EG51" s="2069"/>
      <c r="EH51" s="2069"/>
      <c r="EI51" s="2069"/>
      <c r="EJ51" s="2069"/>
      <c r="EK51" s="2069"/>
      <c r="EL51" s="2069"/>
      <c r="EM51" s="2069"/>
      <c r="EN51" s="2069"/>
      <c r="EO51" s="2069"/>
      <c r="EP51" s="2069"/>
      <c r="EQ51" s="2069"/>
      <c r="ER51" s="2069"/>
      <c r="ES51" s="2069"/>
      <c r="ET51" s="2069"/>
      <c r="EU51" s="2069"/>
      <c r="EV51" s="2069"/>
      <c r="EW51" s="2069"/>
      <c r="EX51" s="2069"/>
      <c r="EY51" s="2069"/>
      <c r="EZ51" s="2069"/>
      <c r="FA51" s="2069"/>
      <c r="FB51" s="2069"/>
      <c r="FC51" s="2069"/>
      <c r="FD51" s="2069"/>
      <c r="FE51" s="2066"/>
      <c r="FF51" s="2066"/>
      <c r="FG51" s="2066"/>
      <c r="FH51" s="2066"/>
      <c r="FI51" s="2066"/>
      <c r="FJ51" s="2066"/>
    </row>
    <row r="52" spans="1:166" s="1553" customFormat="1" ht="17.25" hidden="1" customHeight="1" outlineLevel="2">
      <c r="A52" s="1549">
        <v>49</v>
      </c>
      <c r="B52" s="1556" t="s">
        <v>206</v>
      </c>
      <c r="C52" s="1502"/>
      <c r="D52" s="1556" t="s">
        <v>206</v>
      </c>
      <c r="E52" s="1502" t="s">
        <v>276</v>
      </c>
      <c r="F52" s="1502" t="str">
        <f>Покрытия_ПВХ!E27</f>
        <v>Орех NY классический</v>
      </c>
      <c r="G52" s="1502"/>
      <c r="H52" s="2069"/>
      <c r="I52" s="2069"/>
      <c r="J52" s="2069"/>
      <c r="K52" s="2069"/>
      <c r="L52" s="2069"/>
      <c r="M52" s="2069"/>
      <c r="N52" s="2069"/>
      <c r="O52" s="2069"/>
      <c r="P52" s="2069"/>
      <c r="Q52" s="2069"/>
      <c r="R52" s="2069"/>
      <c r="S52" s="2069"/>
      <c r="T52" s="2069"/>
      <c r="U52" s="2069"/>
      <c r="V52" s="2069"/>
      <c r="W52" s="2069"/>
      <c r="X52" s="2069"/>
      <c r="Y52" s="2069"/>
      <c r="Z52" s="2069"/>
      <c r="AA52" s="2069"/>
      <c r="AB52" s="2069"/>
      <c r="AC52" s="2069"/>
      <c r="AD52" s="2069"/>
      <c r="AE52" s="2069"/>
      <c r="AF52" s="2069"/>
      <c r="AG52" s="2069"/>
      <c r="AH52" s="2069"/>
      <c r="AI52" s="2069"/>
      <c r="AJ52" s="2069"/>
      <c r="AK52" s="2069"/>
      <c r="AL52" s="2069"/>
      <c r="AM52" s="2069"/>
      <c r="AN52" s="2069"/>
      <c r="AO52" s="2069"/>
      <c r="AP52" s="2069"/>
      <c r="AQ52" s="2069"/>
      <c r="AR52" s="2069"/>
      <c r="AS52" s="2069"/>
      <c r="AT52" s="2069"/>
      <c r="AU52" s="2069"/>
      <c r="AV52" s="2069"/>
      <c r="AW52" s="2069"/>
      <c r="AX52" s="2069"/>
      <c r="AY52" s="2069"/>
      <c r="AZ52" s="2069"/>
      <c r="BA52" s="2069"/>
      <c r="BB52" s="2069"/>
      <c r="BC52" s="2069"/>
      <c r="BD52" s="2069"/>
      <c r="BE52" s="2069"/>
      <c r="BF52" s="2069"/>
      <c r="BG52" s="2069"/>
      <c r="BH52" s="2069"/>
      <c r="BI52" s="2069"/>
      <c r="BJ52" s="2069"/>
      <c r="BK52" s="2069"/>
      <c r="BL52" s="2069"/>
      <c r="BM52" s="2069"/>
      <c r="BN52" s="2069"/>
      <c r="BO52" s="2069"/>
      <c r="BP52" s="2069"/>
      <c r="BQ52" s="2069" t="e">
        <f t="shared" ref="BQ52:DS52" si="95">BQ50</f>
        <v>#REF!</v>
      </c>
      <c r="BR52" s="2069" t="e">
        <f t="shared" si="95"/>
        <v>#REF!</v>
      </c>
      <c r="BS52" s="2069" t="e">
        <f t="shared" si="95"/>
        <v>#REF!</v>
      </c>
      <c r="BT52" s="2069" t="e">
        <f t="shared" si="95"/>
        <v>#REF!</v>
      </c>
      <c r="BU52" s="2069" t="e">
        <f t="shared" si="95"/>
        <v>#REF!</v>
      </c>
      <c r="BV52" s="2069" t="e">
        <f t="shared" si="95"/>
        <v>#REF!</v>
      </c>
      <c r="BW52" s="2069" t="e">
        <f t="shared" si="95"/>
        <v>#REF!</v>
      </c>
      <c r="BX52" s="2069" t="e">
        <f t="shared" si="95"/>
        <v>#REF!</v>
      </c>
      <c r="BY52" s="2069" t="e">
        <f t="shared" si="95"/>
        <v>#REF!</v>
      </c>
      <c r="BZ52" s="2069" t="e">
        <f t="shared" si="95"/>
        <v>#REF!</v>
      </c>
      <c r="CA52" s="2069" t="e">
        <f t="shared" si="95"/>
        <v>#REF!</v>
      </c>
      <c r="CB52" s="2069" t="e">
        <f t="shared" si="95"/>
        <v>#REF!</v>
      </c>
      <c r="CC52" s="2069" t="e">
        <f t="shared" si="95"/>
        <v>#REF!</v>
      </c>
      <c r="CD52" s="2069" t="e">
        <f t="shared" si="95"/>
        <v>#REF!</v>
      </c>
      <c r="CE52" s="2069" t="e">
        <f t="shared" si="95"/>
        <v>#REF!</v>
      </c>
      <c r="CF52" s="2069" t="e">
        <f t="shared" si="95"/>
        <v>#REF!</v>
      </c>
      <c r="CG52" s="2069" t="e">
        <f t="shared" si="95"/>
        <v>#REF!</v>
      </c>
      <c r="CH52" s="2069" t="e">
        <f t="shared" si="95"/>
        <v>#REF!</v>
      </c>
      <c r="CI52" s="2069" t="e">
        <f t="shared" si="95"/>
        <v>#REF!</v>
      </c>
      <c r="CJ52" s="2069" t="e">
        <f t="shared" si="95"/>
        <v>#REF!</v>
      </c>
      <c r="CK52" s="2069"/>
      <c r="CL52" s="2069"/>
      <c r="CM52" s="2069"/>
      <c r="CN52" s="2069"/>
      <c r="CO52" s="2069" t="e">
        <f t="shared" si="95"/>
        <v>#REF!</v>
      </c>
      <c r="CP52" s="2069" t="e">
        <f t="shared" si="95"/>
        <v>#REF!</v>
      </c>
      <c r="CQ52" s="2069"/>
      <c r="CR52" s="2069"/>
      <c r="CS52" s="2069" t="e">
        <f>CS50</f>
        <v>#REF!</v>
      </c>
      <c r="CT52" s="2069"/>
      <c r="CU52" s="2069" t="e">
        <f>CU50</f>
        <v>#REF!</v>
      </c>
      <c r="CV52" s="2069" t="e">
        <f t="shared" si="95"/>
        <v>#REF!</v>
      </c>
      <c r="CW52" s="2069" t="e">
        <f t="shared" si="95"/>
        <v>#REF!</v>
      </c>
      <c r="CX52" s="2069" t="e">
        <f t="shared" si="95"/>
        <v>#REF!</v>
      </c>
      <c r="CY52" s="2069" t="e">
        <f t="shared" si="95"/>
        <v>#REF!</v>
      </c>
      <c r="CZ52" s="2069" t="e">
        <f t="shared" si="95"/>
        <v>#REF!</v>
      </c>
      <c r="DA52" s="2069" t="e">
        <f>DA50</f>
        <v>#REF!</v>
      </c>
      <c r="DB52" s="2069" t="e">
        <f t="shared" si="95"/>
        <v>#REF!</v>
      </c>
      <c r="DC52" s="2069" t="e">
        <f t="shared" si="95"/>
        <v>#REF!</v>
      </c>
      <c r="DD52" s="2069" t="e">
        <f t="shared" si="95"/>
        <v>#REF!</v>
      </c>
      <c r="DE52" s="2069" t="e">
        <f t="shared" si="95"/>
        <v>#REF!</v>
      </c>
      <c r="DF52" s="2069" t="e">
        <f t="shared" si="95"/>
        <v>#REF!</v>
      </c>
      <c r="DG52" s="2069" t="e">
        <f t="shared" si="95"/>
        <v>#REF!</v>
      </c>
      <c r="DH52" s="2069">
        <f t="shared" si="95"/>
        <v>15815</v>
      </c>
      <c r="DI52" s="2069" t="e">
        <f t="shared" si="95"/>
        <v>#REF!</v>
      </c>
      <c r="DJ52" s="2069" t="e">
        <f t="shared" si="95"/>
        <v>#REF!</v>
      </c>
      <c r="DK52" s="2069" t="e">
        <f t="shared" si="95"/>
        <v>#REF!</v>
      </c>
      <c r="DL52" s="2069">
        <f t="shared" si="95"/>
        <v>20185</v>
      </c>
      <c r="DM52" s="2069">
        <f t="shared" si="95"/>
        <v>22140</v>
      </c>
      <c r="DN52" s="2069">
        <f t="shared" si="95"/>
        <v>20185</v>
      </c>
      <c r="DO52" s="2069">
        <f t="shared" si="95"/>
        <v>22140</v>
      </c>
      <c r="DP52" s="2069">
        <f>DP50</f>
        <v>37320</v>
      </c>
      <c r="DQ52" s="2069"/>
      <c r="DR52" s="2069"/>
      <c r="DS52" s="2069">
        <f t="shared" si="95"/>
        <v>20185</v>
      </c>
      <c r="DT52" s="2069" t="e">
        <f t="shared" ref="DT52:EF52" si="96">DT50</f>
        <v>#REF!</v>
      </c>
      <c r="DU52" s="2069" t="e">
        <f t="shared" si="96"/>
        <v>#REF!</v>
      </c>
      <c r="DV52" s="2069" t="e">
        <f t="shared" si="96"/>
        <v>#REF!</v>
      </c>
      <c r="DW52" s="2069" t="e">
        <f t="shared" si="96"/>
        <v>#REF!</v>
      </c>
      <c r="DX52" s="2069" t="e">
        <f t="shared" si="96"/>
        <v>#REF!</v>
      </c>
      <c r="DY52" s="2069" t="e">
        <f t="shared" si="96"/>
        <v>#REF!</v>
      </c>
      <c r="DZ52" s="2069" t="e">
        <f t="shared" si="96"/>
        <v>#REF!</v>
      </c>
      <c r="EA52" s="2069" t="e">
        <f t="shared" si="96"/>
        <v>#REF!</v>
      </c>
      <c r="EB52" s="2069" t="e">
        <f t="shared" si="96"/>
        <v>#REF!</v>
      </c>
      <c r="EC52" s="2069" t="e">
        <f t="shared" si="96"/>
        <v>#REF!</v>
      </c>
      <c r="ED52" s="2069" t="e">
        <f t="shared" si="96"/>
        <v>#REF!</v>
      </c>
      <c r="EE52" s="2069" t="e">
        <f t="shared" si="96"/>
        <v>#REF!</v>
      </c>
      <c r="EF52" s="2069" t="e">
        <f t="shared" si="96"/>
        <v>#REF!</v>
      </c>
      <c r="EG52" s="2069"/>
      <c r="EH52" s="2069"/>
      <c r="EI52" s="2069"/>
      <c r="EJ52" s="2069"/>
      <c r="EK52" s="2069"/>
      <c r="EL52" s="2069"/>
      <c r="EM52" s="2069"/>
      <c r="EN52" s="2069"/>
      <c r="EO52" s="2069"/>
      <c r="EP52" s="2069"/>
      <c r="EQ52" s="2069"/>
      <c r="ER52" s="2069"/>
      <c r="ES52" s="2069"/>
      <c r="ET52" s="2069"/>
      <c r="EU52" s="2069"/>
      <c r="EV52" s="2069"/>
      <c r="EW52" s="2069"/>
      <c r="EX52" s="2069"/>
      <c r="EY52" s="2069"/>
      <c r="EZ52" s="2069"/>
      <c r="FA52" s="2069"/>
      <c r="FB52" s="2069"/>
      <c r="FC52" s="2069"/>
      <c r="FD52" s="2069"/>
      <c r="FE52" s="2066"/>
      <c r="FF52" s="2066"/>
      <c r="FG52" s="2066"/>
      <c r="FH52" s="2066"/>
      <c r="FI52" s="2066"/>
      <c r="FJ52" s="2066"/>
    </row>
    <row r="53" spans="1:166" s="1553" customFormat="1" ht="17.25" hidden="1" customHeight="1" outlineLevel="2">
      <c r="A53" s="1552">
        <v>50</v>
      </c>
      <c r="B53" s="1556" t="s">
        <v>206</v>
      </c>
      <c r="C53" s="1502" t="s">
        <v>1425</v>
      </c>
      <c r="D53" s="1556" t="s">
        <v>206</v>
      </c>
      <c r="E53" s="1502" t="s">
        <v>412</v>
      </c>
      <c r="F53" s="1502" t="str">
        <f>Покрытия_ПВХ!E52</f>
        <v>Букле лайт грей</v>
      </c>
      <c r="G53" s="1502"/>
      <c r="H53" s="2069"/>
      <c r="I53" s="2069"/>
      <c r="J53" s="2069"/>
      <c r="K53" s="2069"/>
      <c r="L53" s="2069"/>
      <c r="M53" s="2069"/>
      <c r="N53" s="2069"/>
      <c r="O53" s="2069"/>
      <c r="P53" s="2069"/>
      <c r="Q53" s="2069"/>
      <c r="R53" s="2069"/>
      <c r="S53" s="2069"/>
      <c r="T53" s="2069"/>
      <c r="U53" s="2069"/>
      <c r="V53" s="2069"/>
      <c r="W53" s="2069"/>
      <c r="X53" s="2069"/>
      <c r="Y53" s="2069"/>
      <c r="Z53" s="2069"/>
      <c r="AA53" s="2069"/>
      <c r="AB53" s="2069"/>
      <c r="AC53" s="2069"/>
      <c r="AD53" s="2069"/>
      <c r="AE53" s="2069"/>
      <c r="AF53" s="2069"/>
      <c r="AG53" s="2069"/>
      <c r="AH53" s="2069"/>
      <c r="AI53" s="2069"/>
      <c r="AJ53" s="2069"/>
      <c r="AK53" s="2069"/>
      <c r="AL53" s="2069"/>
      <c r="AM53" s="2069"/>
      <c r="AN53" s="2069"/>
      <c r="AO53" s="2069"/>
      <c r="AP53" s="2069"/>
      <c r="AQ53" s="2069"/>
      <c r="AR53" s="2069"/>
      <c r="AS53" s="2069"/>
      <c r="AT53" s="2069"/>
      <c r="AU53" s="2069"/>
      <c r="AV53" s="2069"/>
      <c r="AW53" s="2069"/>
      <c r="AX53" s="2069"/>
      <c r="AY53" s="2069"/>
      <c r="AZ53" s="2069"/>
      <c r="BA53" s="2069"/>
      <c r="BB53" s="2069"/>
      <c r="BC53" s="2069"/>
      <c r="BD53" s="2069"/>
      <c r="BE53" s="2069"/>
      <c r="BF53" s="2069"/>
      <c r="BG53" s="2069"/>
      <c r="BH53" s="2069"/>
      <c r="BI53" s="2069"/>
      <c r="BJ53" s="2069"/>
      <c r="BK53" s="2069"/>
      <c r="BL53" s="2069"/>
      <c r="BM53" s="2069"/>
      <c r="BN53" s="2069"/>
      <c r="BO53" s="2069"/>
      <c r="BP53" s="2069"/>
      <c r="BQ53" s="2069" t="e">
        <f t="shared" ref="BQ53:DS53" si="97">BQ50</f>
        <v>#REF!</v>
      </c>
      <c r="BR53" s="2069" t="e">
        <f t="shared" si="97"/>
        <v>#REF!</v>
      </c>
      <c r="BS53" s="2069" t="e">
        <f t="shared" si="97"/>
        <v>#REF!</v>
      </c>
      <c r="BT53" s="2069" t="e">
        <f t="shared" si="97"/>
        <v>#REF!</v>
      </c>
      <c r="BU53" s="2069" t="e">
        <f t="shared" si="97"/>
        <v>#REF!</v>
      </c>
      <c r="BV53" s="2069" t="e">
        <f t="shared" si="97"/>
        <v>#REF!</v>
      </c>
      <c r="BW53" s="2069" t="e">
        <f t="shared" si="97"/>
        <v>#REF!</v>
      </c>
      <c r="BX53" s="2069" t="e">
        <f t="shared" si="97"/>
        <v>#REF!</v>
      </c>
      <c r="BY53" s="2069" t="e">
        <f t="shared" si="97"/>
        <v>#REF!</v>
      </c>
      <c r="BZ53" s="2069" t="e">
        <f t="shared" si="97"/>
        <v>#REF!</v>
      </c>
      <c r="CA53" s="2069" t="e">
        <f t="shared" si="97"/>
        <v>#REF!</v>
      </c>
      <c r="CB53" s="2069" t="e">
        <f t="shared" si="97"/>
        <v>#REF!</v>
      </c>
      <c r="CC53" s="2069" t="e">
        <f t="shared" si="97"/>
        <v>#REF!</v>
      </c>
      <c r="CD53" s="2069" t="e">
        <f t="shared" si="97"/>
        <v>#REF!</v>
      </c>
      <c r="CE53" s="2069" t="e">
        <f t="shared" si="97"/>
        <v>#REF!</v>
      </c>
      <c r="CF53" s="2069" t="e">
        <f t="shared" si="97"/>
        <v>#REF!</v>
      </c>
      <c r="CG53" s="2069" t="e">
        <f t="shared" si="97"/>
        <v>#REF!</v>
      </c>
      <c r="CH53" s="2069" t="e">
        <f t="shared" si="97"/>
        <v>#REF!</v>
      </c>
      <c r="CI53" s="2069" t="e">
        <f t="shared" si="97"/>
        <v>#REF!</v>
      </c>
      <c r="CJ53" s="2069" t="e">
        <f t="shared" si="97"/>
        <v>#REF!</v>
      </c>
      <c r="CK53" s="2069"/>
      <c r="CL53" s="2069"/>
      <c r="CM53" s="2069"/>
      <c r="CN53" s="2069"/>
      <c r="CO53" s="2069" t="e">
        <f t="shared" si="97"/>
        <v>#REF!</v>
      </c>
      <c r="CP53" s="2069" t="e">
        <f t="shared" si="97"/>
        <v>#REF!</v>
      </c>
      <c r="CQ53" s="2069"/>
      <c r="CR53" s="2069"/>
      <c r="CS53" s="2069" t="e">
        <f>CS50</f>
        <v>#REF!</v>
      </c>
      <c r="CT53" s="2069"/>
      <c r="CU53" s="2069" t="e">
        <f>CU50</f>
        <v>#REF!</v>
      </c>
      <c r="CV53" s="2069" t="e">
        <f t="shared" si="97"/>
        <v>#REF!</v>
      </c>
      <c r="CW53" s="2069" t="e">
        <f t="shared" si="97"/>
        <v>#REF!</v>
      </c>
      <c r="CX53" s="2069" t="e">
        <f t="shared" si="97"/>
        <v>#REF!</v>
      </c>
      <c r="CY53" s="2069" t="e">
        <f t="shared" si="97"/>
        <v>#REF!</v>
      </c>
      <c r="CZ53" s="2069" t="e">
        <f t="shared" si="97"/>
        <v>#REF!</v>
      </c>
      <c r="DA53" s="2069" t="e">
        <f>DA50</f>
        <v>#REF!</v>
      </c>
      <c r="DB53" s="2069" t="e">
        <f t="shared" si="97"/>
        <v>#REF!</v>
      </c>
      <c r="DC53" s="2069" t="e">
        <f t="shared" si="97"/>
        <v>#REF!</v>
      </c>
      <c r="DD53" s="2069" t="e">
        <f t="shared" si="97"/>
        <v>#REF!</v>
      </c>
      <c r="DE53" s="2069" t="e">
        <f t="shared" si="97"/>
        <v>#REF!</v>
      </c>
      <c r="DF53" s="2069" t="e">
        <f t="shared" si="97"/>
        <v>#REF!</v>
      </c>
      <c r="DG53" s="2069" t="e">
        <f t="shared" si="97"/>
        <v>#REF!</v>
      </c>
      <c r="DH53" s="2069">
        <f t="shared" si="97"/>
        <v>15815</v>
      </c>
      <c r="DI53" s="2069" t="e">
        <f t="shared" si="97"/>
        <v>#REF!</v>
      </c>
      <c r="DJ53" s="2069" t="e">
        <f t="shared" si="97"/>
        <v>#REF!</v>
      </c>
      <c r="DK53" s="2069" t="e">
        <f t="shared" si="97"/>
        <v>#REF!</v>
      </c>
      <c r="DL53" s="2069">
        <f t="shared" si="97"/>
        <v>20185</v>
      </c>
      <c r="DM53" s="2069">
        <f t="shared" si="97"/>
        <v>22140</v>
      </c>
      <c r="DN53" s="2069">
        <f t="shared" si="97"/>
        <v>20185</v>
      </c>
      <c r="DO53" s="2069">
        <f t="shared" si="97"/>
        <v>22140</v>
      </c>
      <c r="DP53" s="2069">
        <f>DP50</f>
        <v>37320</v>
      </c>
      <c r="DQ53" s="2069"/>
      <c r="DR53" s="2069"/>
      <c r="DS53" s="2069">
        <f t="shared" si="97"/>
        <v>20185</v>
      </c>
      <c r="DT53" s="2069" t="e">
        <f t="shared" ref="DT53:EF53" si="98">DT50</f>
        <v>#REF!</v>
      </c>
      <c r="DU53" s="2069" t="e">
        <f t="shared" si="98"/>
        <v>#REF!</v>
      </c>
      <c r="DV53" s="2069" t="e">
        <f t="shared" si="98"/>
        <v>#REF!</v>
      </c>
      <c r="DW53" s="2069" t="e">
        <f t="shared" si="98"/>
        <v>#REF!</v>
      </c>
      <c r="DX53" s="2069" t="e">
        <f t="shared" si="98"/>
        <v>#REF!</v>
      </c>
      <c r="DY53" s="2069" t="e">
        <f t="shared" si="98"/>
        <v>#REF!</v>
      </c>
      <c r="DZ53" s="2069" t="e">
        <f t="shared" si="98"/>
        <v>#REF!</v>
      </c>
      <c r="EA53" s="2069" t="e">
        <f t="shared" si="98"/>
        <v>#REF!</v>
      </c>
      <c r="EB53" s="2069" t="e">
        <f t="shared" si="98"/>
        <v>#REF!</v>
      </c>
      <c r="EC53" s="2069" t="e">
        <f t="shared" si="98"/>
        <v>#REF!</v>
      </c>
      <c r="ED53" s="2069" t="e">
        <f t="shared" si="98"/>
        <v>#REF!</v>
      </c>
      <c r="EE53" s="2069" t="e">
        <f t="shared" si="98"/>
        <v>#REF!</v>
      </c>
      <c r="EF53" s="2069" t="e">
        <f t="shared" si="98"/>
        <v>#REF!</v>
      </c>
      <c r="EG53" s="2069"/>
      <c r="EH53" s="2069"/>
      <c r="EI53" s="2069"/>
      <c r="EJ53" s="2069"/>
      <c r="EK53" s="2069"/>
      <c r="EL53" s="2069"/>
      <c r="EM53" s="2069"/>
      <c r="EN53" s="2069"/>
      <c r="EO53" s="2069"/>
      <c r="EP53" s="2069"/>
      <c r="EQ53" s="2069"/>
      <c r="ER53" s="2069"/>
      <c r="ES53" s="2069"/>
      <c r="ET53" s="2069"/>
      <c r="EU53" s="2069"/>
      <c r="EV53" s="2069"/>
      <c r="EW53" s="2069"/>
      <c r="EX53" s="2069"/>
      <c r="EY53" s="2069"/>
      <c r="EZ53" s="2069"/>
      <c r="FA53" s="2069"/>
      <c r="FB53" s="2069"/>
      <c r="FC53" s="2069"/>
      <c r="FD53" s="2069"/>
      <c r="FE53" s="2066"/>
      <c r="FF53" s="2066"/>
      <c r="FG53" s="2066"/>
      <c r="FH53" s="2066"/>
      <c r="FI53" s="2066"/>
      <c r="FJ53" s="2066"/>
    </row>
    <row r="54" spans="1:166" s="1553" customFormat="1" ht="17.25" hidden="1" customHeight="1" outlineLevel="2">
      <c r="A54" s="1549">
        <v>51</v>
      </c>
      <c r="B54" s="1556" t="s">
        <v>206</v>
      </c>
      <c r="C54" s="1502" t="s">
        <v>1425</v>
      </c>
      <c r="D54" s="1556" t="s">
        <v>206</v>
      </c>
      <c r="E54" s="1502" t="s">
        <v>412</v>
      </c>
      <c r="F54" s="1502" t="str">
        <f>Покрытия_ПВХ!E53</f>
        <v>Букле крем</v>
      </c>
      <c r="G54" s="1502"/>
      <c r="H54" s="2069"/>
      <c r="I54" s="2069"/>
      <c r="J54" s="2069"/>
      <c r="K54" s="2069"/>
      <c r="L54" s="2069"/>
      <c r="M54" s="2069"/>
      <c r="N54" s="2069"/>
      <c r="O54" s="2069"/>
      <c r="P54" s="2069"/>
      <c r="Q54" s="2069"/>
      <c r="R54" s="2069"/>
      <c r="S54" s="2069"/>
      <c r="T54" s="2069"/>
      <c r="U54" s="2069"/>
      <c r="V54" s="2069"/>
      <c r="W54" s="2069"/>
      <c r="X54" s="2069"/>
      <c r="Y54" s="2069"/>
      <c r="Z54" s="2069"/>
      <c r="AA54" s="2069"/>
      <c r="AB54" s="2069"/>
      <c r="AC54" s="2069"/>
      <c r="AD54" s="2069"/>
      <c r="AE54" s="2069"/>
      <c r="AF54" s="2069"/>
      <c r="AG54" s="2069"/>
      <c r="AH54" s="2069"/>
      <c r="AI54" s="2069"/>
      <c r="AJ54" s="2069"/>
      <c r="AK54" s="2069"/>
      <c r="AL54" s="2069"/>
      <c r="AM54" s="2069"/>
      <c r="AN54" s="2069"/>
      <c r="AO54" s="2069"/>
      <c r="AP54" s="2069"/>
      <c r="AQ54" s="2069"/>
      <c r="AR54" s="2069"/>
      <c r="AS54" s="2069"/>
      <c r="AT54" s="2069"/>
      <c r="AU54" s="2069"/>
      <c r="AV54" s="2069"/>
      <c r="AW54" s="2069"/>
      <c r="AX54" s="2069"/>
      <c r="AY54" s="2069"/>
      <c r="AZ54" s="2069"/>
      <c r="BA54" s="2069"/>
      <c r="BB54" s="2069"/>
      <c r="BC54" s="2069"/>
      <c r="BD54" s="2069"/>
      <c r="BE54" s="2069"/>
      <c r="BF54" s="2069"/>
      <c r="BG54" s="2069"/>
      <c r="BH54" s="2069"/>
      <c r="BI54" s="2069"/>
      <c r="BJ54" s="2069"/>
      <c r="BK54" s="2069"/>
      <c r="BL54" s="2069"/>
      <c r="BM54" s="2069"/>
      <c r="BN54" s="2069"/>
      <c r="BO54" s="2069"/>
      <c r="BP54" s="2069"/>
      <c r="BQ54" s="2069" t="e">
        <f t="shared" ref="BQ54:DS54" si="99">BQ50</f>
        <v>#REF!</v>
      </c>
      <c r="BR54" s="2069" t="e">
        <f t="shared" si="99"/>
        <v>#REF!</v>
      </c>
      <c r="BS54" s="2069" t="e">
        <f t="shared" si="99"/>
        <v>#REF!</v>
      </c>
      <c r="BT54" s="2069" t="e">
        <f t="shared" si="99"/>
        <v>#REF!</v>
      </c>
      <c r="BU54" s="2069" t="e">
        <f t="shared" si="99"/>
        <v>#REF!</v>
      </c>
      <c r="BV54" s="2069" t="e">
        <f t="shared" si="99"/>
        <v>#REF!</v>
      </c>
      <c r="BW54" s="2069" t="e">
        <f t="shared" si="99"/>
        <v>#REF!</v>
      </c>
      <c r="BX54" s="2069" t="e">
        <f t="shared" si="99"/>
        <v>#REF!</v>
      </c>
      <c r="BY54" s="2069" t="e">
        <f t="shared" si="99"/>
        <v>#REF!</v>
      </c>
      <c r="BZ54" s="2069" t="e">
        <f t="shared" si="99"/>
        <v>#REF!</v>
      </c>
      <c r="CA54" s="2069" t="e">
        <f t="shared" si="99"/>
        <v>#REF!</v>
      </c>
      <c r="CB54" s="2069" t="e">
        <f t="shared" si="99"/>
        <v>#REF!</v>
      </c>
      <c r="CC54" s="2069" t="e">
        <f t="shared" si="99"/>
        <v>#REF!</v>
      </c>
      <c r="CD54" s="2069" t="e">
        <f t="shared" si="99"/>
        <v>#REF!</v>
      </c>
      <c r="CE54" s="2069" t="e">
        <f t="shared" si="99"/>
        <v>#REF!</v>
      </c>
      <c r="CF54" s="2069" t="e">
        <f t="shared" si="99"/>
        <v>#REF!</v>
      </c>
      <c r="CG54" s="2069" t="e">
        <f t="shared" si="99"/>
        <v>#REF!</v>
      </c>
      <c r="CH54" s="2069" t="e">
        <f t="shared" si="99"/>
        <v>#REF!</v>
      </c>
      <c r="CI54" s="2069" t="e">
        <f t="shared" si="99"/>
        <v>#REF!</v>
      </c>
      <c r="CJ54" s="2069" t="e">
        <f t="shared" si="99"/>
        <v>#REF!</v>
      </c>
      <c r="CK54" s="2069"/>
      <c r="CL54" s="2069"/>
      <c r="CM54" s="2069"/>
      <c r="CN54" s="2069"/>
      <c r="CO54" s="2069" t="e">
        <f t="shared" si="99"/>
        <v>#REF!</v>
      </c>
      <c r="CP54" s="2069" t="e">
        <f t="shared" si="99"/>
        <v>#REF!</v>
      </c>
      <c r="CQ54" s="2069"/>
      <c r="CR54" s="2069"/>
      <c r="CS54" s="2069" t="e">
        <f>CS50</f>
        <v>#REF!</v>
      </c>
      <c r="CT54" s="2069"/>
      <c r="CU54" s="2069" t="e">
        <f>CU50</f>
        <v>#REF!</v>
      </c>
      <c r="CV54" s="2069" t="e">
        <f t="shared" si="99"/>
        <v>#REF!</v>
      </c>
      <c r="CW54" s="2069" t="e">
        <f t="shared" si="99"/>
        <v>#REF!</v>
      </c>
      <c r="CX54" s="2069" t="e">
        <f t="shared" si="99"/>
        <v>#REF!</v>
      </c>
      <c r="CY54" s="2069" t="e">
        <f t="shared" si="99"/>
        <v>#REF!</v>
      </c>
      <c r="CZ54" s="2069" t="e">
        <f t="shared" si="99"/>
        <v>#REF!</v>
      </c>
      <c r="DA54" s="2069" t="e">
        <f>DA50</f>
        <v>#REF!</v>
      </c>
      <c r="DB54" s="2069" t="e">
        <f t="shared" si="99"/>
        <v>#REF!</v>
      </c>
      <c r="DC54" s="2069" t="e">
        <f t="shared" si="99"/>
        <v>#REF!</v>
      </c>
      <c r="DD54" s="2069" t="e">
        <f t="shared" si="99"/>
        <v>#REF!</v>
      </c>
      <c r="DE54" s="2069" t="e">
        <f t="shared" si="99"/>
        <v>#REF!</v>
      </c>
      <c r="DF54" s="2069" t="e">
        <f t="shared" si="99"/>
        <v>#REF!</v>
      </c>
      <c r="DG54" s="2069" t="e">
        <f t="shared" si="99"/>
        <v>#REF!</v>
      </c>
      <c r="DH54" s="2069">
        <f t="shared" si="99"/>
        <v>15815</v>
      </c>
      <c r="DI54" s="2069" t="e">
        <f t="shared" si="99"/>
        <v>#REF!</v>
      </c>
      <c r="DJ54" s="2069" t="e">
        <f t="shared" si="99"/>
        <v>#REF!</v>
      </c>
      <c r="DK54" s="2069" t="e">
        <f t="shared" si="99"/>
        <v>#REF!</v>
      </c>
      <c r="DL54" s="2069">
        <f t="shared" si="99"/>
        <v>20185</v>
      </c>
      <c r="DM54" s="2069">
        <f t="shared" si="99"/>
        <v>22140</v>
      </c>
      <c r="DN54" s="2069">
        <f t="shared" si="99"/>
        <v>20185</v>
      </c>
      <c r="DO54" s="2069">
        <f t="shared" si="99"/>
        <v>22140</v>
      </c>
      <c r="DP54" s="2069">
        <f>DP50</f>
        <v>37320</v>
      </c>
      <c r="DQ54" s="2069"/>
      <c r="DR54" s="2069"/>
      <c r="DS54" s="2069">
        <f t="shared" si="99"/>
        <v>20185</v>
      </c>
      <c r="DT54" s="2069" t="e">
        <f t="shared" ref="DT54:EF54" si="100">DT50</f>
        <v>#REF!</v>
      </c>
      <c r="DU54" s="2069" t="e">
        <f t="shared" si="100"/>
        <v>#REF!</v>
      </c>
      <c r="DV54" s="2069" t="e">
        <f t="shared" si="100"/>
        <v>#REF!</v>
      </c>
      <c r="DW54" s="2069" t="e">
        <f t="shared" si="100"/>
        <v>#REF!</v>
      </c>
      <c r="DX54" s="2069" t="e">
        <f t="shared" si="100"/>
        <v>#REF!</v>
      </c>
      <c r="DY54" s="2069" t="e">
        <f t="shared" si="100"/>
        <v>#REF!</v>
      </c>
      <c r="DZ54" s="2069" t="e">
        <f t="shared" si="100"/>
        <v>#REF!</v>
      </c>
      <c r="EA54" s="2069" t="e">
        <f t="shared" si="100"/>
        <v>#REF!</v>
      </c>
      <c r="EB54" s="2069" t="e">
        <f t="shared" si="100"/>
        <v>#REF!</v>
      </c>
      <c r="EC54" s="2069" t="e">
        <f t="shared" si="100"/>
        <v>#REF!</v>
      </c>
      <c r="ED54" s="2069" t="e">
        <f t="shared" si="100"/>
        <v>#REF!</v>
      </c>
      <c r="EE54" s="2069" t="e">
        <f t="shared" si="100"/>
        <v>#REF!</v>
      </c>
      <c r="EF54" s="2069" t="e">
        <f t="shared" si="100"/>
        <v>#REF!</v>
      </c>
      <c r="EG54" s="2069"/>
      <c r="EH54" s="2069"/>
      <c r="EI54" s="2069"/>
      <c r="EJ54" s="2069"/>
      <c r="EK54" s="2069"/>
      <c r="EL54" s="2069"/>
      <c r="EM54" s="2069"/>
      <c r="EN54" s="2069"/>
      <c r="EO54" s="2069"/>
      <c r="EP54" s="2069"/>
      <c r="EQ54" s="2069"/>
      <c r="ER54" s="2069"/>
      <c r="ES54" s="2069"/>
      <c r="ET54" s="2069"/>
      <c r="EU54" s="2069"/>
      <c r="EV54" s="2069"/>
      <c r="EW54" s="2069"/>
      <c r="EX54" s="2069"/>
      <c r="EY54" s="2069"/>
      <c r="EZ54" s="2069"/>
      <c r="FA54" s="2069"/>
      <c r="FB54" s="2069"/>
      <c r="FC54" s="2069"/>
      <c r="FD54" s="2069"/>
      <c r="FE54" s="2066"/>
      <c r="FF54" s="2066"/>
      <c r="FG54" s="2066"/>
      <c r="FH54" s="2066"/>
      <c r="FI54" s="2066"/>
      <c r="FJ54" s="2066"/>
    </row>
    <row r="55" spans="1:166" s="1553" customFormat="1" ht="17.25" hidden="1" customHeight="1" outlineLevel="2">
      <c r="A55" s="1552">
        <v>52</v>
      </c>
      <c r="B55" s="1556" t="s">
        <v>206</v>
      </c>
      <c r="C55" s="1502" t="s">
        <v>1425</v>
      </c>
      <c r="D55" s="1556" t="s">
        <v>206</v>
      </c>
      <c r="E55" s="1502" t="s">
        <v>412</v>
      </c>
      <c r="F55" s="1502" t="e">
        <f>Покрытия_ПВХ!#REF!</f>
        <v>#REF!</v>
      </c>
      <c r="G55" s="1502"/>
      <c r="H55" s="2069"/>
      <c r="I55" s="2069"/>
      <c r="J55" s="2069"/>
      <c r="K55" s="2069"/>
      <c r="L55" s="2069"/>
      <c r="M55" s="2069"/>
      <c r="N55" s="2069"/>
      <c r="O55" s="2069"/>
      <c r="P55" s="2069"/>
      <c r="Q55" s="2069"/>
      <c r="R55" s="2069"/>
      <c r="S55" s="2069"/>
      <c r="T55" s="2069"/>
      <c r="U55" s="2069"/>
      <c r="V55" s="2069"/>
      <c r="W55" s="2069"/>
      <c r="X55" s="2069"/>
      <c r="Y55" s="2069"/>
      <c r="Z55" s="2069"/>
      <c r="AA55" s="2069"/>
      <c r="AB55" s="2069"/>
      <c r="AC55" s="2069"/>
      <c r="AD55" s="2069"/>
      <c r="AE55" s="2069"/>
      <c r="AF55" s="2069"/>
      <c r="AG55" s="2069"/>
      <c r="AH55" s="2069"/>
      <c r="AI55" s="2069"/>
      <c r="AJ55" s="2069"/>
      <c r="AK55" s="2069"/>
      <c r="AL55" s="2069"/>
      <c r="AM55" s="2069"/>
      <c r="AN55" s="2069"/>
      <c r="AO55" s="2069"/>
      <c r="AP55" s="2069"/>
      <c r="AQ55" s="2069"/>
      <c r="AR55" s="2069"/>
      <c r="AS55" s="2069"/>
      <c r="AT55" s="2069"/>
      <c r="AU55" s="2069"/>
      <c r="AV55" s="2069"/>
      <c r="AW55" s="2069"/>
      <c r="AX55" s="2069"/>
      <c r="AY55" s="2069"/>
      <c r="AZ55" s="2069"/>
      <c r="BA55" s="2069"/>
      <c r="BB55" s="2069"/>
      <c r="BC55" s="2069"/>
      <c r="BD55" s="2069"/>
      <c r="BE55" s="2069"/>
      <c r="BF55" s="2069"/>
      <c r="BG55" s="2069"/>
      <c r="BH55" s="2069"/>
      <c r="BI55" s="2069"/>
      <c r="BJ55" s="2069"/>
      <c r="BK55" s="2069"/>
      <c r="BL55" s="2069"/>
      <c r="BM55" s="2069"/>
      <c r="BN55" s="2069"/>
      <c r="BO55" s="2069"/>
      <c r="BP55" s="2069"/>
      <c r="BQ55" s="2069" t="e">
        <f t="shared" ref="BQ55:DS55" si="101">BQ50</f>
        <v>#REF!</v>
      </c>
      <c r="BR55" s="2069" t="e">
        <f t="shared" si="101"/>
        <v>#REF!</v>
      </c>
      <c r="BS55" s="2069" t="e">
        <f t="shared" si="101"/>
        <v>#REF!</v>
      </c>
      <c r="BT55" s="2069" t="e">
        <f t="shared" si="101"/>
        <v>#REF!</v>
      </c>
      <c r="BU55" s="2069" t="e">
        <f t="shared" si="101"/>
        <v>#REF!</v>
      </c>
      <c r="BV55" s="2069" t="e">
        <f t="shared" si="101"/>
        <v>#REF!</v>
      </c>
      <c r="BW55" s="2069" t="e">
        <f t="shared" si="101"/>
        <v>#REF!</v>
      </c>
      <c r="BX55" s="2069" t="e">
        <f t="shared" si="101"/>
        <v>#REF!</v>
      </c>
      <c r="BY55" s="2069" t="e">
        <f t="shared" si="101"/>
        <v>#REF!</v>
      </c>
      <c r="BZ55" s="2069" t="e">
        <f t="shared" si="101"/>
        <v>#REF!</v>
      </c>
      <c r="CA55" s="2069" t="e">
        <f t="shared" si="101"/>
        <v>#REF!</v>
      </c>
      <c r="CB55" s="2069" t="e">
        <f t="shared" si="101"/>
        <v>#REF!</v>
      </c>
      <c r="CC55" s="2069" t="e">
        <f t="shared" si="101"/>
        <v>#REF!</v>
      </c>
      <c r="CD55" s="2069" t="e">
        <f t="shared" si="101"/>
        <v>#REF!</v>
      </c>
      <c r="CE55" s="2069" t="e">
        <f t="shared" si="101"/>
        <v>#REF!</v>
      </c>
      <c r="CF55" s="2069" t="e">
        <f t="shared" si="101"/>
        <v>#REF!</v>
      </c>
      <c r="CG55" s="2069" t="e">
        <f t="shared" si="101"/>
        <v>#REF!</v>
      </c>
      <c r="CH55" s="2069" t="e">
        <f t="shared" si="101"/>
        <v>#REF!</v>
      </c>
      <c r="CI55" s="2069" t="e">
        <f t="shared" si="101"/>
        <v>#REF!</v>
      </c>
      <c r="CJ55" s="2069" t="e">
        <f t="shared" si="101"/>
        <v>#REF!</v>
      </c>
      <c r="CK55" s="2069"/>
      <c r="CL55" s="2069"/>
      <c r="CM55" s="2069"/>
      <c r="CN55" s="2069"/>
      <c r="CO55" s="2069" t="e">
        <f t="shared" si="101"/>
        <v>#REF!</v>
      </c>
      <c r="CP55" s="2069" t="e">
        <f t="shared" si="101"/>
        <v>#REF!</v>
      </c>
      <c r="CQ55" s="2069"/>
      <c r="CR55" s="2069"/>
      <c r="CS55" s="2069" t="e">
        <f>CS50</f>
        <v>#REF!</v>
      </c>
      <c r="CT55" s="2069"/>
      <c r="CU55" s="2069" t="e">
        <f>CU50</f>
        <v>#REF!</v>
      </c>
      <c r="CV55" s="2069" t="e">
        <f t="shared" si="101"/>
        <v>#REF!</v>
      </c>
      <c r="CW55" s="2069" t="e">
        <f t="shared" si="101"/>
        <v>#REF!</v>
      </c>
      <c r="CX55" s="2069" t="e">
        <f t="shared" si="101"/>
        <v>#REF!</v>
      </c>
      <c r="CY55" s="2069" t="e">
        <f t="shared" si="101"/>
        <v>#REF!</v>
      </c>
      <c r="CZ55" s="2069" t="e">
        <f t="shared" si="101"/>
        <v>#REF!</v>
      </c>
      <c r="DA55" s="2069" t="e">
        <f>DA50</f>
        <v>#REF!</v>
      </c>
      <c r="DB55" s="2069" t="e">
        <f t="shared" si="101"/>
        <v>#REF!</v>
      </c>
      <c r="DC55" s="2069" t="e">
        <f t="shared" si="101"/>
        <v>#REF!</v>
      </c>
      <c r="DD55" s="2069" t="e">
        <f t="shared" si="101"/>
        <v>#REF!</v>
      </c>
      <c r="DE55" s="2069" t="e">
        <f t="shared" si="101"/>
        <v>#REF!</v>
      </c>
      <c r="DF55" s="2069" t="e">
        <f t="shared" si="101"/>
        <v>#REF!</v>
      </c>
      <c r="DG55" s="2069" t="e">
        <f t="shared" si="101"/>
        <v>#REF!</v>
      </c>
      <c r="DH55" s="2069">
        <f t="shared" si="101"/>
        <v>15815</v>
      </c>
      <c r="DI55" s="2069" t="e">
        <f t="shared" si="101"/>
        <v>#REF!</v>
      </c>
      <c r="DJ55" s="2069" t="e">
        <f t="shared" si="101"/>
        <v>#REF!</v>
      </c>
      <c r="DK55" s="2069" t="e">
        <f t="shared" si="101"/>
        <v>#REF!</v>
      </c>
      <c r="DL55" s="2069">
        <f t="shared" si="101"/>
        <v>20185</v>
      </c>
      <c r="DM55" s="2069">
        <f t="shared" si="101"/>
        <v>22140</v>
      </c>
      <c r="DN55" s="2069">
        <f t="shared" si="101"/>
        <v>20185</v>
      </c>
      <c r="DO55" s="2069">
        <f t="shared" si="101"/>
        <v>22140</v>
      </c>
      <c r="DP55" s="2069">
        <f>DP50</f>
        <v>37320</v>
      </c>
      <c r="DQ55" s="2069"/>
      <c r="DR55" s="2069"/>
      <c r="DS55" s="2069">
        <f t="shared" si="101"/>
        <v>20185</v>
      </c>
      <c r="DT55" s="2069" t="e">
        <f t="shared" ref="DT55:EF55" si="102">DT50</f>
        <v>#REF!</v>
      </c>
      <c r="DU55" s="2069" t="e">
        <f t="shared" si="102"/>
        <v>#REF!</v>
      </c>
      <c r="DV55" s="2069" t="e">
        <f t="shared" si="102"/>
        <v>#REF!</v>
      </c>
      <c r="DW55" s="2069" t="e">
        <f t="shared" si="102"/>
        <v>#REF!</v>
      </c>
      <c r="DX55" s="2069" t="e">
        <f t="shared" si="102"/>
        <v>#REF!</v>
      </c>
      <c r="DY55" s="2069" t="e">
        <f t="shared" si="102"/>
        <v>#REF!</v>
      </c>
      <c r="DZ55" s="2069" t="e">
        <f t="shared" si="102"/>
        <v>#REF!</v>
      </c>
      <c r="EA55" s="2069" t="e">
        <f t="shared" si="102"/>
        <v>#REF!</v>
      </c>
      <c r="EB55" s="2069" t="e">
        <f t="shared" si="102"/>
        <v>#REF!</v>
      </c>
      <c r="EC55" s="2069" t="e">
        <f t="shared" si="102"/>
        <v>#REF!</v>
      </c>
      <c r="ED55" s="2069" t="e">
        <f t="shared" si="102"/>
        <v>#REF!</v>
      </c>
      <c r="EE55" s="2069" t="e">
        <f t="shared" si="102"/>
        <v>#REF!</v>
      </c>
      <c r="EF55" s="2069" t="e">
        <f t="shared" si="102"/>
        <v>#REF!</v>
      </c>
      <c r="EG55" s="2069"/>
      <c r="EH55" s="2069"/>
      <c r="EI55" s="2069"/>
      <c r="EJ55" s="2069"/>
      <c r="EK55" s="2069"/>
      <c r="EL55" s="2069"/>
      <c r="EM55" s="2069"/>
      <c r="EN55" s="2069"/>
      <c r="EO55" s="2069"/>
      <c r="EP55" s="2069"/>
      <c r="EQ55" s="2069"/>
      <c r="ER55" s="2069"/>
      <c r="ES55" s="2069"/>
      <c r="ET55" s="2069"/>
      <c r="EU55" s="2069"/>
      <c r="EV55" s="2069"/>
      <c r="EW55" s="2069"/>
      <c r="EX55" s="2069"/>
      <c r="EY55" s="2069"/>
      <c r="EZ55" s="2069"/>
      <c r="FA55" s="2069"/>
      <c r="FB55" s="2069"/>
      <c r="FC55" s="2069"/>
      <c r="FD55" s="2069"/>
      <c r="FE55" s="2066"/>
      <c r="FF55" s="2066"/>
      <c r="FG55" s="2066"/>
      <c r="FH55" s="2066"/>
      <c r="FI55" s="2066"/>
      <c r="FJ55" s="2066"/>
    </row>
    <row r="56" spans="1:166" s="1553" customFormat="1" ht="17.25" hidden="1" customHeight="1" outlineLevel="2">
      <c r="A56" s="1549">
        <v>53</v>
      </c>
      <c r="B56" s="1556" t="s">
        <v>206</v>
      </c>
      <c r="C56" s="1502" t="s">
        <v>1425</v>
      </c>
      <c r="D56" s="1556" t="s">
        <v>206</v>
      </c>
      <c r="E56" s="1502" t="s">
        <v>412</v>
      </c>
      <c r="F56" s="1502" t="e">
        <f>Покрытия_ПВХ!#REF!</f>
        <v>#REF!</v>
      </c>
      <c r="G56" s="1502"/>
      <c r="H56" s="2069"/>
      <c r="I56" s="2069"/>
      <c r="J56" s="2069"/>
      <c r="K56" s="2069"/>
      <c r="L56" s="2069"/>
      <c r="M56" s="2069"/>
      <c r="N56" s="2069"/>
      <c r="O56" s="2069"/>
      <c r="P56" s="2069"/>
      <c r="Q56" s="2069"/>
      <c r="R56" s="2069"/>
      <c r="S56" s="2069"/>
      <c r="T56" s="2069"/>
      <c r="U56" s="2069"/>
      <c r="V56" s="2069"/>
      <c r="W56" s="2069"/>
      <c r="X56" s="2069"/>
      <c r="Y56" s="2069"/>
      <c r="Z56" s="2069"/>
      <c r="AA56" s="2069"/>
      <c r="AB56" s="2069"/>
      <c r="AC56" s="2069"/>
      <c r="AD56" s="2069"/>
      <c r="AE56" s="2069"/>
      <c r="AF56" s="2069"/>
      <c r="AG56" s="2069"/>
      <c r="AH56" s="2069"/>
      <c r="AI56" s="2069"/>
      <c r="AJ56" s="2069"/>
      <c r="AK56" s="2069"/>
      <c r="AL56" s="2069"/>
      <c r="AM56" s="2069"/>
      <c r="AN56" s="2069"/>
      <c r="AO56" s="2069"/>
      <c r="AP56" s="2069"/>
      <c r="AQ56" s="2069"/>
      <c r="AR56" s="2069"/>
      <c r="AS56" s="2069"/>
      <c r="AT56" s="2069"/>
      <c r="AU56" s="2069"/>
      <c r="AV56" s="2069"/>
      <c r="AW56" s="2069"/>
      <c r="AX56" s="2069"/>
      <c r="AY56" s="2069"/>
      <c r="AZ56" s="2069"/>
      <c r="BA56" s="2069"/>
      <c r="BB56" s="2069"/>
      <c r="BC56" s="2069"/>
      <c r="BD56" s="2069"/>
      <c r="BE56" s="2069"/>
      <c r="BF56" s="2069"/>
      <c r="BG56" s="2069"/>
      <c r="BH56" s="2069"/>
      <c r="BI56" s="2069"/>
      <c r="BJ56" s="2069"/>
      <c r="BK56" s="2069"/>
      <c r="BL56" s="2069"/>
      <c r="BM56" s="2069"/>
      <c r="BN56" s="2069"/>
      <c r="BO56" s="2069"/>
      <c r="BP56" s="2069"/>
      <c r="BQ56" s="2069" t="e">
        <f t="shared" ref="BQ56:DS56" si="103">BQ50</f>
        <v>#REF!</v>
      </c>
      <c r="BR56" s="2069" t="e">
        <f t="shared" si="103"/>
        <v>#REF!</v>
      </c>
      <c r="BS56" s="2069" t="e">
        <f t="shared" si="103"/>
        <v>#REF!</v>
      </c>
      <c r="BT56" s="2069" t="e">
        <f t="shared" si="103"/>
        <v>#REF!</v>
      </c>
      <c r="BU56" s="2069" t="e">
        <f t="shared" si="103"/>
        <v>#REF!</v>
      </c>
      <c r="BV56" s="2069" t="e">
        <f t="shared" si="103"/>
        <v>#REF!</v>
      </c>
      <c r="BW56" s="2069" t="e">
        <f t="shared" si="103"/>
        <v>#REF!</v>
      </c>
      <c r="BX56" s="2069" t="e">
        <f t="shared" si="103"/>
        <v>#REF!</v>
      </c>
      <c r="BY56" s="2069" t="e">
        <f t="shared" si="103"/>
        <v>#REF!</v>
      </c>
      <c r="BZ56" s="2069" t="e">
        <f t="shared" si="103"/>
        <v>#REF!</v>
      </c>
      <c r="CA56" s="2069" t="e">
        <f t="shared" si="103"/>
        <v>#REF!</v>
      </c>
      <c r="CB56" s="2069" t="e">
        <f t="shared" si="103"/>
        <v>#REF!</v>
      </c>
      <c r="CC56" s="2069" t="e">
        <f t="shared" si="103"/>
        <v>#REF!</v>
      </c>
      <c r="CD56" s="2069" t="e">
        <f t="shared" si="103"/>
        <v>#REF!</v>
      </c>
      <c r="CE56" s="2069" t="e">
        <f t="shared" si="103"/>
        <v>#REF!</v>
      </c>
      <c r="CF56" s="2069" t="e">
        <f t="shared" si="103"/>
        <v>#REF!</v>
      </c>
      <c r="CG56" s="2069" t="e">
        <f t="shared" si="103"/>
        <v>#REF!</v>
      </c>
      <c r="CH56" s="2069" t="e">
        <f t="shared" si="103"/>
        <v>#REF!</v>
      </c>
      <c r="CI56" s="2069" t="e">
        <f t="shared" si="103"/>
        <v>#REF!</v>
      </c>
      <c r="CJ56" s="2069" t="e">
        <f t="shared" si="103"/>
        <v>#REF!</v>
      </c>
      <c r="CK56" s="2069"/>
      <c r="CL56" s="2069"/>
      <c r="CM56" s="2069"/>
      <c r="CN56" s="2069"/>
      <c r="CO56" s="2069" t="e">
        <f t="shared" si="103"/>
        <v>#REF!</v>
      </c>
      <c r="CP56" s="2069" t="e">
        <f t="shared" si="103"/>
        <v>#REF!</v>
      </c>
      <c r="CQ56" s="2069"/>
      <c r="CR56" s="2069"/>
      <c r="CS56" s="2069" t="e">
        <f>CS50</f>
        <v>#REF!</v>
      </c>
      <c r="CT56" s="2069"/>
      <c r="CU56" s="2069" t="e">
        <f>CU50</f>
        <v>#REF!</v>
      </c>
      <c r="CV56" s="2069" t="e">
        <f t="shared" si="103"/>
        <v>#REF!</v>
      </c>
      <c r="CW56" s="2069" t="e">
        <f t="shared" si="103"/>
        <v>#REF!</v>
      </c>
      <c r="CX56" s="2069" t="e">
        <f t="shared" si="103"/>
        <v>#REF!</v>
      </c>
      <c r="CY56" s="2069" t="e">
        <f t="shared" si="103"/>
        <v>#REF!</v>
      </c>
      <c r="CZ56" s="2069" t="e">
        <f t="shared" si="103"/>
        <v>#REF!</v>
      </c>
      <c r="DA56" s="2069" t="e">
        <f>DA50</f>
        <v>#REF!</v>
      </c>
      <c r="DB56" s="2069" t="e">
        <f t="shared" si="103"/>
        <v>#REF!</v>
      </c>
      <c r="DC56" s="2069" t="e">
        <f t="shared" si="103"/>
        <v>#REF!</v>
      </c>
      <c r="DD56" s="2069" t="e">
        <f t="shared" si="103"/>
        <v>#REF!</v>
      </c>
      <c r="DE56" s="2069" t="e">
        <f t="shared" si="103"/>
        <v>#REF!</v>
      </c>
      <c r="DF56" s="2069" t="e">
        <f t="shared" si="103"/>
        <v>#REF!</v>
      </c>
      <c r="DG56" s="2069" t="e">
        <f t="shared" si="103"/>
        <v>#REF!</v>
      </c>
      <c r="DH56" s="2069">
        <f t="shared" si="103"/>
        <v>15815</v>
      </c>
      <c r="DI56" s="2069" t="e">
        <f t="shared" si="103"/>
        <v>#REF!</v>
      </c>
      <c r="DJ56" s="2069" t="e">
        <f t="shared" si="103"/>
        <v>#REF!</v>
      </c>
      <c r="DK56" s="2069" t="e">
        <f t="shared" si="103"/>
        <v>#REF!</v>
      </c>
      <c r="DL56" s="2069">
        <f t="shared" si="103"/>
        <v>20185</v>
      </c>
      <c r="DM56" s="2069">
        <f t="shared" si="103"/>
        <v>22140</v>
      </c>
      <c r="DN56" s="2069">
        <f t="shared" si="103"/>
        <v>20185</v>
      </c>
      <c r="DO56" s="2069">
        <f t="shared" si="103"/>
        <v>22140</v>
      </c>
      <c r="DP56" s="2069">
        <f>DP50</f>
        <v>37320</v>
      </c>
      <c r="DQ56" s="2069"/>
      <c r="DR56" s="2069"/>
      <c r="DS56" s="2069">
        <f t="shared" si="103"/>
        <v>20185</v>
      </c>
      <c r="DT56" s="2069" t="e">
        <f t="shared" ref="DT56:EF56" si="104">DT50</f>
        <v>#REF!</v>
      </c>
      <c r="DU56" s="2069" t="e">
        <f t="shared" si="104"/>
        <v>#REF!</v>
      </c>
      <c r="DV56" s="2069" t="e">
        <f t="shared" si="104"/>
        <v>#REF!</v>
      </c>
      <c r="DW56" s="2069" t="e">
        <f t="shared" si="104"/>
        <v>#REF!</v>
      </c>
      <c r="DX56" s="2069" t="e">
        <f t="shared" si="104"/>
        <v>#REF!</v>
      </c>
      <c r="DY56" s="2069" t="e">
        <f t="shared" si="104"/>
        <v>#REF!</v>
      </c>
      <c r="DZ56" s="2069" t="e">
        <f t="shared" si="104"/>
        <v>#REF!</v>
      </c>
      <c r="EA56" s="2069" t="e">
        <f t="shared" si="104"/>
        <v>#REF!</v>
      </c>
      <c r="EB56" s="2069" t="e">
        <f t="shared" si="104"/>
        <v>#REF!</v>
      </c>
      <c r="EC56" s="2069" t="e">
        <f t="shared" si="104"/>
        <v>#REF!</v>
      </c>
      <c r="ED56" s="2069" t="e">
        <f t="shared" si="104"/>
        <v>#REF!</v>
      </c>
      <c r="EE56" s="2069" t="e">
        <f t="shared" si="104"/>
        <v>#REF!</v>
      </c>
      <c r="EF56" s="2069" t="e">
        <f t="shared" si="104"/>
        <v>#REF!</v>
      </c>
      <c r="EG56" s="2069"/>
      <c r="EH56" s="2069"/>
      <c r="EI56" s="2069"/>
      <c r="EJ56" s="2069"/>
      <c r="EK56" s="2069"/>
      <c r="EL56" s="2069"/>
      <c r="EM56" s="2069"/>
      <c r="EN56" s="2069"/>
      <c r="EO56" s="2069"/>
      <c r="EP56" s="2069"/>
      <c r="EQ56" s="2069"/>
      <c r="ER56" s="2069"/>
      <c r="ES56" s="2069"/>
      <c r="ET56" s="2069"/>
      <c r="EU56" s="2069"/>
      <c r="EV56" s="2069"/>
      <c r="EW56" s="2069"/>
      <c r="EX56" s="2069"/>
      <c r="EY56" s="2069"/>
      <c r="EZ56" s="2069"/>
      <c r="FA56" s="2069"/>
      <c r="FB56" s="2069"/>
      <c r="FC56" s="2069"/>
      <c r="FD56" s="2069"/>
      <c r="FE56" s="2066"/>
      <c r="FF56" s="2066"/>
      <c r="FG56" s="2066"/>
      <c r="FH56" s="2066"/>
      <c r="FI56" s="2066"/>
      <c r="FJ56" s="2066"/>
    </row>
    <row r="57" spans="1:166" s="1553" customFormat="1" ht="17.100000000000001" hidden="1" customHeight="1" outlineLevel="2">
      <c r="A57" s="1552">
        <v>54</v>
      </c>
      <c r="B57" s="1556" t="s">
        <v>206</v>
      </c>
      <c r="C57" s="1502" t="s">
        <v>1425</v>
      </c>
      <c r="D57" s="1556" t="s">
        <v>206</v>
      </c>
      <c r="E57" s="1502" t="s">
        <v>412</v>
      </c>
      <c r="F57" s="1502" t="e">
        <f>Покрытия_ПВХ!#REF!</f>
        <v>#REF!</v>
      </c>
      <c r="G57" s="1502"/>
      <c r="H57" s="2069"/>
      <c r="I57" s="2069"/>
      <c r="J57" s="2069"/>
      <c r="K57" s="2069"/>
      <c r="L57" s="2069"/>
      <c r="M57" s="2069"/>
      <c r="N57" s="2069"/>
      <c r="O57" s="2069"/>
      <c r="P57" s="2069"/>
      <c r="Q57" s="2069"/>
      <c r="R57" s="2069"/>
      <c r="S57" s="2069"/>
      <c r="T57" s="2069"/>
      <c r="U57" s="2069"/>
      <c r="V57" s="2069"/>
      <c r="W57" s="2069"/>
      <c r="X57" s="2069"/>
      <c r="Y57" s="2069"/>
      <c r="Z57" s="2069"/>
      <c r="AA57" s="2069"/>
      <c r="AB57" s="2069"/>
      <c r="AC57" s="2069"/>
      <c r="AD57" s="2069"/>
      <c r="AE57" s="2069"/>
      <c r="AF57" s="2069"/>
      <c r="AG57" s="2069"/>
      <c r="AH57" s="2069"/>
      <c r="AI57" s="2069"/>
      <c r="AJ57" s="2069"/>
      <c r="AK57" s="2069"/>
      <c r="AL57" s="2069"/>
      <c r="AM57" s="2069"/>
      <c r="AN57" s="2069"/>
      <c r="AO57" s="2069"/>
      <c r="AP57" s="2069"/>
      <c r="AQ57" s="2069"/>
      <c r="AR57" s="2069"/>
      <c r="AS57" s="2069"/>
      <c r="AT57" s="2069"/>
      <c r="AU57" s="2069"/>
      <c r="AV57" s="2069"/>
      <c r="AW57" s="2069"/>
      <c r="AX57" s="2069"/>
      <c r="AY57" s="2069"/>
      <c r="AZ57" s="2069"/>
      <c r="BA57" s="2069"/>
      <c r="BB57" s="2069"/>
      <c r="BC57" s="2069"/>
      <c r="BD57" s="2069"/>
      <c r="BE57" s="2069"/>
      <c r="BF57" s="2069"/>
      <c r="BG57" s="2069"/>
      <c r="BH57" s="2069"/>
      <c r="BI57" s="2069"/>
      <c r="BJ57" s="2069"/>
      <c r="BK57" s="2069"/>
      <c r="BL57" s="2069"/>
      <c r="BM57" s="2069"/>
      <c r="BN57" s="2069"/>
      <c r="BO57" s="2069"/>
      <c r="BP57" s="2069"/>
      <c r="BQ57" s="2069" t="e">
        <f t="shared" ref="BQ57:DS57" si="105">BQ50</f>
        <v>#REF!</v>
      </c>
      <c r="BR57" s="2069" t="e">
        <f t="shared" si="105"/>
        <v>#REF!</v>
      </c>
      <c r="BS57" s="2069" t="e">
        <f t="shared" si="105"/>
        <v>#REF!</v>
      </c>
      <c r="BT57" s="2069" t="e">
        <f t="shared" si="105"/>
        <v>#REF!</v>
      </c>
      <c r="BU57" s="2069" t="e">
        <f t="shared" si="105"/>
        <v>#REF!</v>
      </c>
      <c r="BV57" s="2069" t="e">
        <f t="shared" si="105"/>
        <v>#REF!</v>
      </c>
      <c r="BW57" s="2069" t="e">
        <f t="shared" si="105"/>
        <v>#REF!</v>
      </c>
      <c r="BX57" s="2069" t="e">
        <f t="shared" si="105"/>
        <v>#REF!</v>
      </c>
      <c r="BY57" s="2069" t="e">
        <f t="shared" si="105"/>
        <v>#REF!</v>
      </c>
      <c r="BZ57" s="2069" t="e">
        <f t="shared" si="105"/>
        <v>#REF!</v>
      </c>
      <c r="CA57" s="2069" t="e">
        <f t="shared" si="105"/>
        <v>#REF!</v>
      </c>
      <c r="CB57" s="2069" t="e">
        <f t="shared" si="105"/>
        <v>#REF!</v>
      </c>
      <c r="CC57" s="2069" t="e">
        <f t="shared" si="105"/>
        <v>#REF!</v>
      </c>
      <c r="CD57" s="2069" t="e">
        <f t="shared" si="105"/>
        <v>#REF!</v>
      </c>
      <c r="CE57" s="2069" t="e">
        <f t="shared" si="105"/>
        <v>#REF!</v>
      </c>
      <c r="CF57" s="2069" t="e">
        <f t="shared" si="105"/>
        <v>#REF!</v>
      </c>
      <c r="CG57" s="2069" t="e">
        <f t="shared" si="105"/>
        <v>#REF!</v>
      </c>
      <c r="CH57" s="2069" t="e">
        <f t="shared" si="105"/>
        <v>#REF!</v>
      </c>
      <c r="CI57" s="2069" t="e">
        <f t="shared" si="105"/>
        <v>#REF!</v>
      </c>
      <c r="CJ57" s="2069" t="e">
        <f t="shared" si="105"/>
        <v>#REF!</v>
      </c>
      <c r="CK57" s="2069"/>
      <c r="CL57" s="2069"/>
      <c r="CM57" s="2069"/>
      <c r="CN57" s="2069"/>
      <c r="CO57" s="2069" t="e">
        <f t="shared" si="105"/>
        <v>#REF!</v>
      </c>
      <c r="CP57" s="2069" t="e">
        <f t="shared" si="105"/>
        <v>#REF!</v>
      </c>
      <c r="CQ57" s="2069"/>
      <c r="CR57" s="2069"/>
      <c r="CS57" s="2069" t="e">
        <f>CS50</f>
        <v>#REF!</v>
      </c>
      <c r="CT57" s="2069"/>
      <c r="CU57" s="2069" t="e">
        <f>CU50</f>
        <v>#REF!</v>
      </c>
      <c r="CV57" s="2069" t="e">
        <f t="shared" si="105"/>
        <v>#REF!</v>
      </c>
      <c r="CW57" s="2069" t="e">
        <f t="shared" si="105"/>
        <v>#REF!</v>
      </c>
      <c r="CX57" s="2069" t="e">
        <f t="shared" si="105"/>
        <v>#REF!</v>
      </c>
      <c r="CY57" s="2069" t="e">
        <f t="shared" si="105"/>
        <v>#REF!</v>
      </c>
      <c r="CZ57" s="2069" t="e">
        <f t="shared" si="105"/>
        <v>#REF!</v>
      </c>
      <c r="DA57" s="2069" t="e">
        <f>DA50</f>
        <v>#REF!</v>
      </c>
      <c r="DB57" s="2069" t="e">
        <f t="shared" si="105"/>
        <v>#REF!</v>
      </c>
      <c r="DC57" s="2069" t="e">
        <f t="shared" si="105"/>
        <v>#REF!</v>
      </c>
      <c r="DD57" s="2069" t="e">
        <f t="shared" si="105"/>
        <v>#REF!</v>
      </c>
      <c r="DE57" s="2069" t="e">
        <f t="shared" si="105"/>
        <v>#REF!</v>
      </c>
      <c r="DF57" s="2069" t="e">
        <f t="shared" si="105"/>
        <v>#REF!</v>
      </c>
      <c r="DG57" s="2069" t="e">
        <f t="shared" si="105"/>
        <v>#REF!</v>
      </c>
      <c r="DH57" s="2069">
        <f t="shared" si="105"/>
        <v>15815</v>
      </c>
      <c r="DI57" s="2069" t="e">
        <f t="shared" si="105"/>
        <v>#REF!</v>
      </c>
      <c r="DJ57" s="2069" t="e">
        <f t="shared" si="105"/>
        <v>#REF!</v>
      </c>
      <c r="DK57" s="2069" t="e">
        <f t="shared" si="105"/>
        <v>#REF!</v>
      </c>
      <c r="DL57" s="2069">
        <f t="shared" si="105"/>
        <v>20185</v>
      </c>
      <c r="DM57" s="2069">
        <f t="shared" si="105"/>
        <v>22140</v>
      </c>
      <c r="DN57" s="2069">
        <f t="shared" si="105"/>
        <v>20185</v>
      </c>
      <c r="DO57" s="2069">
        <f t="shared" si="105"/>
        <v>22140</v>
      </c>
      <c r="DP57" s="2069">
        <f>DP50</f>
        <v>37320</v>
      </c>
      <c r="DQ57" s="2069"/>
      <c r="DR57" s="2069"/>
      <c r="DS57" s="2069">
        <f t="shared" si="105"/>
        <v>20185</v>
      </c>
      <c r="DT57" s="2069" t="e">
        <f t="shared" ref="DT57:EF57" si="106">DT50</f>
        <v>#REF!</v>
      </c>
      <c r="DU57" s="2069" t="e">
        <f t="shared" si="106"/>
        <v>#REF!</v>
      </c>
      <c r="DV57" s="2069" t="e">
        <f t="shared" si="106"/>
        <v>#REF!</v>
      </c>
      <c r="DW57" s="2069" t="e">
        <f t="shared" si="106"/>
        <v>#REF!</v>
      </c>
      <c r="DX57" s="2069" t="e">
        <f t="shared" si="106"/>
        <v>#REF!</v>
      </c>
      <c r="DY57" s="2069" t="e">
        <f t="shared" si="106"/>
        <v>#REF!</v>
      </c>
      <c r="DZ57" s="2069" t="e">
        <f t="shared" si="106"/>
        <v>#REF!</v>
      </c>
      <c r="EA57" s="2069" t="e">
        <f t="shared" si="106"/>
        <v>#REF!</v>
      </c>
      <c r="EB57" s="2069" t="e">
        <f t="shared" si="106"/>
        <v>#REF!</v>
      </c>
      <c r="EC57" s="2069" t="e">
        <f t="shared" si="106"/>
        <v>#REF!</v>
      </c>
      <c r="ED57" s="2069" t="e">
        <f t="shared" si="106"/>
        <v>#REF!</v>
      </c>
      <c r="EE57" s="2069" t="e">
        <f t="shared" si="106"/>
        <v>#REF!</v>
      </c>
      <c r="EF57" s="2069" t="e">
        <f t="shared" si="106"/>
        <v>#REF!</v>
      </c>
      <c r="EG57" s="2069"/>
      <c r="EH57" s="2069"/>
      <c r="EI57" s="2069"/>
      <c r="EJ57" s="2069"/>
      <c r="EK57" s="2069"/>
      <c r="EL57" s="2069"/>
      <c r="EM57" s="2069"/>
      <c r="EN57" s="2069"/>
      <c r="EO57" s="2069"/>
      <c r="EP57" s="2069"/>
      <c r="EQ57" s="2069"/>
      <c r="ER57" s="2069"/>
      <c r="ES57" s="2069"/>
      <c r="ET57" s="2069"/>
      <c r="EU57" s="2069"/>
      <c r="EV57" s="2069"/>
      <c r="EW57" s="2069"/>
      <c r="EX57" s="2069"/>
      <c r="EY57" s="2069"/>
      <c r="EZ57" s="2069"/>
      <c r="FA57" s="2069"/>
      <c r="FB57" s="2069"/>
      <c r="FC57" s="2069"/>
      <c r="FD57" s="2069"/>
      <c r="FE57" s="2066"/>
      <c r="FF57" s="2066"/>
      <c r="FG57" s="2066"/>
      <c r="FH57" s="2066"/>
      <c r="FI57" s="2066"/>
      <c r="FJ57" s="2066"/>
    </row>
    <row r="58" spans="1:166" s="1553" customFormat="1" ht="17.25" hidden="1" customHeight="1" outlineLevel="2">
      <c r="A58" s="1549">
        <v>55</v>
      </c>
      <c r="B58" s="1556" t="s">
        <v>206</v>
      </c>
      <c r="C58" s="1502" t="s">
        <v>1425</v>
      </c>
      <c r="D58" s="1556" t="s">
        <v>206</v>
      </c>
      <c r="E58" s="1502" t="s">
        <v>412</v>
      </c>
      <c r="F58" s="1502" t="str">
        <f>Покрытия_ПВХ!E54</f>
        <v>Холст прованс белый</v>
      </c>
      <c r="G58" s="1502"/>
      <c r="H58" s="2069"/>
      <c r="I58" s="2069"/>
      <c r="J58" s="2069"/>
      <c r="K58" s="2069"/>
      <c r="L58" s="2069"/>
      <c r="M58" s="2069"/>
      <c r="N58" s="2069"/>
      <c r="O58" s="2069"/>
      <c r="P58" s="2069"/>
      <c r="Q58" s="2069"/>
      <c r="R58" s="2069"/>
      <c r="S58" s="2069"/>
      <c r="T58" s="2069"/>
      <c r="U58" s="2069"/>
      <c r="V58" s="2069"/>
      <c r="W58" s="2069"/>
      <c r="X58" s="2069"/>
      <c r="Y58" s="2069"/>
      <c r="Z58" s="2069"/>
      <c r="AA58" s="2069"/>
      <c r="AB58" s="2069"/>
      <c r="AC58" s="2069"/>
      <c r="AD58" s="2069"/>
      <c r="AE58" s="2069"/>
      <c r="AF58" s="2069"/>
      <c r="AG58" s="2069"/>
      <c r="AH58" s="2069"/>
      <c r="AI58" s="2069"/>
      <c r="AJ58" s="2069"/>
      <c r="AK58" s="2069"/>
      <c r="AL58" s="2069"/>
      <c r="AM58" s="2069"/>
      <c r="AN58" s="2069"/>
      <c r="AO58" s="2069"/>
      <c r="AP58" s="2069"/>
      <c r="AQ58" s="2069"/>
      <c r="AR58" s="2069"/>
      <c r="AS58" s="2069"/>
      <c r="AT58" s="2069"/>
      <c r="AU58" s="2069"/>
      <c r="AV58" s="2069"/>
      <c r="AW58" s="2069"/>
      <c r="AX58" s="2069"/>
      <c r="AY58" s="2069"/>
      <c r="AZ58" s="2069"/>
      <c r="BA58" s="2069"/>
      <c r="BB58" s="2069"/>
      <c r="BC58" s="2069"/>
      <c r="BD58" s="2069"/>
      <c r="BE58" s="2069"/>
      <c r="BF58" s="2069"/>
      <c r="BG58" s="2069"/>
      <c r="BH58" s="2069"/>
      <c r="BI58" s="2069"/>
      <c r="BJ58" s="2069"/>
      <c r="BK58" s="2069"/>
      <c r="BL58" s="2069"/>
      <c r="BM58" s="2069"/>
      <c r="BN58" s="2069"/>
      <c r="BO58" s="2069"/>
      <c r="BP58" s="2069"/>
      <c r="BQ58" s="2069" t="e">
        <f t="shared" ref="BQ58:DS58" si="107">BQ50</f>
        <v>#REF!</v>
      </c>
      <c r="BR58" s="2069" t="e">
        <f t="shared" si="107"/>
        <v>#REF!</v>
      </c>
      <c r="BS58" s="2069" t="e">
        <f t="shared" si="107"/>
        <v>#REF!</v>
      </c>
      <c r="BT58" s="2069" t="e">
        <f t="shared" si="107"/>
        <v>#REF!</v>
      </c>
      <c r="BU58" s="2069" t="e">
        <f t="shared" si="107"/>
        <v>#REF!</v>
      </c>
      <c r="BV58" s="2069" t="e">
        <f t="shared" si="107"/>
        <v>#REF!</v>
      </c>
      <c r="BW58" s="2069" t="e">
        <f t="shared" si="107"/>
        <v>#REF!</v>
      </c>
      <c r="BX58" s="2069" t="e">
        <f t="shared" si="107"/>
        <v>#REF!</v>
      </c>
      <c r="BY58" s="2069" t="e">
        <f t="shared" si="107"/>
        <v>#REF!</v>
      </c>
      <c r="BZ58" s="2069" t="e">
        <f t="shared" si="107"/>
        <v>#REF!</v>
      </c>
      <c r="CA58" s="2069" t="e">
        <f t="shared" si="107"/>
        <v>#REF!</v>
      </c>
      <c r="CB58" s="2069" t="e">
        <f t="shared" si="107"/>
        <v>#REF!</v>
      </c>
      <c r="CC58" s="2069" t="e">
        <f t="shared" si="107"/>
        <v>#REF!</v>
      </c>
      <c r="CD58" s="2069" t="e">
        <f t="shared" si="107"/>
        <v>#REF!</v>
      </c>
      <c r="CE58" s="2069" t="e">
        <f t="shared" si="107"/>
        <v>#REF!</v>
      </c>
      <c r="CF58" s="2069" t="e">
        <f t="shared" si="107"/>
        <v>#REF!</v>
      </c>
      <c r="CG58" s="2069" t="e">
        <f t="shared" si="107"/>
        <v>#REF!</v>
      </c>
      <c r="CH58" s="2069" t="e">
        <f t="shared" si="107"/>
        <v>#REF!</v>
      </c>
      <c r="CI58" s="2069" t="e">
        <f t="shared" si="107"/>
        <v>#REF!</v>
      </c>
      <c r="CJ58" s="2069" t="e">
        <f t="shared" si="107"/>
        <v>#REF!</v>
      </c>
      <c r="CK58" s="2069"/>
      <c r="CL58" s="2069"/>
      <c r="CM58" s="2069"/>
      <c r="CN58" s="2069"/>
      <c r="CO58" s="2069" t="e">
        <f t="shared" si="107"/>
        <v>#REF!</v>
      </c>
      <c r="CP58" s="2069" t="e">
        <f t="shared" si="107"/>
        <v>#REF!</v>
      </c>
      <c r="CQ58" s="2069"/>
      <c r="CR58" s="2069"/>
      <c r="CS58" s="2069" t="e">
        <f>CS50</f>
        <v>#REF!</v>
      </c>
      <c r="CT58" s="2069"/>
      <c r="CU58" s="2069" t="e">
        <f>CU50</f>
        <v>#REF!</v>
      </c>
      <c r="CV58" s="2069" t="e">
        <f t="shared" si="107"/>
        <v>#REF!</v>
      </c>
      <c r="CW58" s="2069" t="e">
        <f t="shared" si="107"/>
        <v>#REF!</v>
      </c>
      <c r="CX58" s="2069" t="e">
        <f t="shared" si="107"/>
        <v>#REF!</v>
      </c>
      <c r="CY58" s="2069" t="e">
        <f t="shared" si="107"/>
        <v>#REF!</v>
      </c>
      <c r="CZ58" s="2069" t="e">
        <f t="shared" si="107"/>
        <v>#REF!</v>
      </c>
      <c r="DA58" s="2069" t="e">
        <f>DA50</f>
        <v>#REF!</v>
      </c>
      <c r="DB58" s="2069" t="e">
        <f t="shared" si="107"/>
        <v>#REF!</v>
      </c>
      <c r="DC58" s="2069" t="e">
        <f t="shared" si="107"/>
        <v>#REF!</v>
      </c>
      <c r="DD58" s="2069" t="e">
        <f t="shared" si="107"/>
        <v>#REF!</v>
      </c>
      <c r="DE58" s="2069" t="e">
        <f t="shared" si="107"/>
        <v>#REF!</v>
      </c>
      <c r="DF58" s="2069" t="e">
        <f t="shared" si="107"/>
        <v>#REF!</v>
      </c>
      <c r="DG58" s="2069" t="e">
        <f t="shared" si="107"/>
        <v>#REF!</v>
      </c>
      <c r="DH58" s="2069">
        <f t="shared" si="107"/>
        <v>15815</v>
      </c>
      <c r="DI58" s="2069" t="e">
        <f t="shared" si="107"/>
        <v>#REF!</v>
      </c>
      <c r="DJ58" s="2069" t="e">
        <f t="shared" si="107"/>
        <v>#REF!</v>
      </c>
      <c r="DK58" s="2069" t="e">
        <f t="shared" si="107"/>
        <v>#REF!</v>
      </c>
      <c r="DL58" s="2069">
        <f t="shared" si="107"/>
        <v>20185</v>
      </c>
      <c r="DM58" s="2069">
        <f t="shared" si="107"/>
        <v>22140</v>
      </c>
      <c r="DN58" s="2069">
        <f t="shared" si="107"/>
        <v>20185</v>
      </c>
      <c r="DO58" s="2069">
        <f t="shared" si="107"/>
        <v>22140</v>
      </c>
      <c r="DP58" s="2069">
        <f>DP50</f>
        <v>37320</v>
      </c>
      <c r="DQ58" s="2069"/>
      <c r="DR58" s="2069"/>
      <c r="DS58" s="2069">
        <f t="shared" si="107"/>
        <v>20185</v>
      </c>
      <c r="DT58" s="2069" t="e">
        <f t="shared" ref="DT58:EF58" si="108">DT50</f>
        <v>#REF!</v>
      </c>
      <c r="DU58" s="2069" t="e">
        <f t="shared" si="108"/>
        <v>#REF!</v>
      </c>
      <c r="DV58" s="2069" t="e">
        <f t="shared" si="108"/>
        <v>#REF!</v>
      </c>
      <c r="DW58" s="2069" t="e">
        <f t="shared" si="108"/>
        <v>#REF!</v>
      </c>
      <c r="DX58" s="2069" t="e">
        <f t="shared" si="108"/>
        <v>#REF!</v>
      </c>
      <c r="DY58" s="2069" t="e">
        <f t="shared" si="108"/>
        <v>#REF!</v>
      </c>
      <c r="DZ58" s="2069" t="e">
        <f t="shared" si="108"/>
        <v>#REF!</v>
      </c>
      <c r="EA58" s="2069" t="e">
        <f t="shared" si="108"/>
        <v>#REF!</v>
      </c>
      <c r="EB58" s="2069" t="e">
        <f t="shared" si="108"/>
        <v>#REF!</v>
      </c>
      <c r="EC58" s="2069" t="e">
        <f t="shared" si="108"/>
        <v>#REF!</v>
      </c>
      <c r="ED58" s="2069" t="e">
        <f t="shared" si="108"/>
        <v>#REF!</v>
      </c>
      <c r="EE58" s="2069" t="e">
        <f t="shared" si="108"/>
        <v>#REF!</v>
      </c>
      <c r="EF58" s="2069" t="e">
        <f t="shared" si="108"/>
        <v>#REF!</v>
      </c>
      <c r="EG58" s="2069"/>
      <c r="EH58" s="2069"/>
      <c r="EI58" s="2069"/>
      <c r="EJ58" s="2069"/>
      <c r="EK58" s="2069"/>
      <c r="EL58" s="2069"/>
      <c r="EM58" s="2069"/>
      <c r="EN58" s="2069"/>
      <c r="EO58" s="2069"/>
      <c r="EP58" s="2069"/>
      <c r="EQ58" s="2069"/>
      <c r="ER58" s="2069"/>
      <c r="ES58" s="2069"/>
      <c r="ET58" s="2069"/>
      <c r="EU58" s="2069"/>
      <c r="EV58" s="2069"/>
      <c r="EW58" s="2069"/>
      <c r="EX58" s="2069"/>
      <c r="EY58" s="2069"/>
      <c r="EZ58" s="2069"/>
      <c r="FA58" s="2069"/>
      <c r="FB58" s="2069"/>
      <c r="FC58" s="2069"/>
      <c r="FD58" s="2069"/>
      <c r="FE58" s="2066"/>
      <c r="FF58" s="2066"/>
      <c r="FG58" s="2066"/>
      <c r="FH58" s="2066"/>
      <c r="FI58" s="2066"/>
      <c r="FJ58" s="2066"/>
    </row>
    <row r="59" spans="1:166" s="1553" customFormat="1" ht="17.25" hidden="1" customHeight="1" outlineLevel="2">
      <c r="A59" s="1552">
        <v>56</v>
      </c>
      <c r="B59" s="1556" t="s">
        <v>206</v>
      </c>
      <c r="C59" s="1502" t="s">
        <v>1425</v>
      </c>
      <c r="D59" s="1556" t="s">
        <v>206</v>
      </c>
      <c r="E59" s="1502" t="s">
        <v>412</v>
      </c>
      <c r="F59" s="1502" t="str">
        <f>Покрытия_ПВХ!E55</f>
        <v>Холст прованс натур</v>
      </c>
      <c r="G59" s="1502"/>
      <c r="H59" s="2069"/>
      <c r="I59" s="2069"/>
      <c r="J59" s="2069"/>
      <c r="K59" s="2069"/>
      <c r="L59" s="2069"/>
      <c r="M59" s="2069"/>
      <c r="N59" s="2069"/>
      <c r="O59" s="2069"/>
      <c r="P59" s="2069"/>
      <c r="Q59" s="2069"/>
      <c r="R59" s="2069"/>
      <c r="S59" s="2069"/>
      <c r="T59" s="2069"/>
      <c r="U59" s="2069"/>
      <c r="V59" s="2069"/>
      <c r="W59" s="2069"/>
      <c r="X59" s="2069"/>
      <c r="Y59" s="2069"/>
      <c r="Z59" s="2069"/>
      <c r="AA59" s="2069"/>
      <c r="AB59" s="2069"/>
      <c r="AC59" s="2069"/>
      <c r="AD59" s="2069"/>
      <c r="AE59" s="2069"/>
      <c r="AF59" s="2069"/>
      <c r="AG59" s="2069"/>
      <c r="AH59" s="2069"/>
      <c r="AI59" s="2069"/>
      <c r="AJ59" s="2069"/>
      <c r="AK59" s="2069"/>
      <c r="AL59" s="2069"/>
      <c r="AM59" s="2069"/>
      <c r="AN59" s="2069"/>
      <c r="AO59" s="2069"/>
      <c r="AP59" s="2069"/>
      <c r="AQ59" s="2069"/>
      <c r="AR59" s="2069"/>
      <c r="AS59" s="2069"/>
      <c r="AT59" s="2069"/>
      <c r="AU59" s="2069"/>
      <c r="AV59" s="2069"/>
      <c r="AW59" s="2069"/>
      <c r="AX59" s="2069"/>
      <c r="AY59" s="2069"/>
      <c r="AZ59" s="2069"/>
      <c r="BA59" s="2069"/>
      <c r="BB59" s="2069"/>
      <c r="BC59" s="2069"/>
      <c r="BD59" s="2069"/>
      <c r="BE59" s="2069"/>
      <c r="BF59" s="2069"/>
      <c r="BG59" s="2069"/>
      <c r="BH59" s="2069"/>
      <c r="BI59" s="2069"/>
      <c r="BJ59" s="2069"/>
      <c r="BK59" s="2069"/>
      <c r="BL59" s="2069"/>
      <c r="BM59" s="2069"/>
      <c r="BN59" s="2069"/>
      <c r="BO59" s="2069"/>
      <c r="BP59" s="2069"/>
      <c r="BQ59" s="2069" t="e">
        <f t="shared" ref="BQ59:DS59" si="109">BQ50</f>
        <v>#REF!</v>
      </c>
      <c r="BR59" s="2069" t="e">
        <f t="shared" si="109"/>
        <v>#REF!</v>
      </c>
      <c r="BS59" s="2069" t="e">
        <f t="shared" si="109"/>
        <v>#REF!</v>
      </c>
      <c r="BT59" s="2069" t="e">
        <f t="shared" si="109"/>
        <v>#REF!</v>
      </c>
      <c r="BU59" s="2069" t="e">
        <f t="shared" si="109"/>
        <v>#REF!</v>
      </c>
      <c r="BV59" s="2069" t="e">
        <f t="shared" si="109"/>
        <v>#REF!</v>
      </c>
      <c r="BW59" s="2069" t="e">
        <f t="shared" si="109"/>
        <v>#REF!</v>
      </c>
      <c r="BX59" s="2069" t="e">
        <f t="shared" si="109"/>
        <v>#REF!</v>
      </c>
      <c r="BY59" s="2069" t="e">
        <f t="shared" si="109"/>
        <v>#REF!</v>
      </c>
      <c r="BZ59" s="2069" t="e">
        <f t="shared" si="109"/>
        <v>#REF!</v>
      </c>
      <c r="CA59" s="2069" t="e">
        <f t="shared" si="109"/>
        <v>#REF!</v>
      </c>
      <c r="CB59" s="2069" t="e">
        <f t="shared" si="109"/>
        <v>#REF!</v>
      </c>
      <c r="CC59" s="2069" t="e">
        <f t="shared" si="109"/>
        <v>#REF!</v>
      </c>
      <c r="CD59" s="2069" t="e">
        <f t="shared" si="109"/>
        <v>#REF!</v>
      </c>
      <c r="CE59" s="2069" t="e">
        <f t="shared" si="109"/>
        <v>#REF!</v>
      </c>
      <c r="CF59" s="2069" t="e">
        <f t="shared" si="109"/>
        <v>#REF!</v>
      </c>
      <c r="CG59" s="2069" t="e">
        <f t="shared" si="109"/>
        <v>#REF!</v>
      </c>
      <c r="CH59" s="2069" t="e">
        <f t="shared" si="109"/>
        <v>#REF!</v>
      </c>
      <c r="CI59" s="2069" t="e">
        <f t="shared" si="109"/>
        <v>#REF!</v>
      </c>
      <c r="CJ59" s="2069" t="e">
        <f t="shared" si="109"/>
        <v>#REF!</v>
      </c>
      <c r="CK59" s="2069"/>
      <c r="CL59" s="2069"/>
      <c r="CM59" s="2069"/>
      <c r="CN59" s="2069"/>
      <c r="CO59" s="2069" t="e">
        <f t="shared" si="109"/>
        <v>#REF!</v>
      </c>
      <c r="CP59" s="2069" t="e">
        <f t="shared" si="109"/>
        <v>#REF!</v>
      </c>
      <c r="CQ59" s="2069"/>
      <c r="CR59" s="2069"/>
      <c r="CS59" s="2069" t="e">
        <f>CS50</f>
        <v>#REF!</v>
      </c>
      <c r="CT59" s="2069"/>
      <c r="CU59" s="2069" t="e">
        <f>CU50</f>
        <v>#REF!</v>
      </c>
      <c r="CV59" s="2069" t="e">
        <f t="shared" si="109"/>
        <v>#REF!</v>
      </c>
      <c r="CW59" s="2069" t="e">
        <f t="shared" si="109"/>
        <v>#REF!</v>
      </c>
      <c r="CX59" s="2069" t="e">
        <f t="shared" si="109"/>
        <v>#REF!</v>
      </c>
      <c r="CY59" s="2069" t="e">
        <f t="shared" si="109"/>
        <v>#REF!</v>
      </c>
      <c r="CZ59" s="2069" t="e">
        <f t="shared" si="109"/>
        <v>#REF!</v>
      </c>
      <c r="DA59" s="2069" t="e">
        <f>DA50</f>
        <v>#REF!</v>
      </c>
      <c r="DB59" s="2069" t="e">
        <f t="shared" si="109"/>
        <v>#REF!</v>
      </c>
      <c r="DC59" s="2069" t="e">
        <f t="shared" si="109"/>
        <v>#REF!</v>
      </c>
      <c r="DD59" s="2069" t="e">
        <f t="shared" si="109"/>
        <v>#REF!</v>
      </c>
      <c r="DE59" s="2069" t="e">
        <f t="shared" si="109"/>
        <v>#REF!</v>
      </c>
      <c r="DF59" s="2069" t="e">
        <f t="shared" si="109"/>
        <v>#REF!</v>
      </c>
      <c r="DG59" s="2069" t="e">
        <f t="shared" si="109"/>
        <v>#REF!</v>
      </c>
      <c r="DH59" s="2069">
        <f t="shared" si="109"/>
        <v>15815</v>
      </c>
      <c r="DI59" s="2069" t="e">
        <f t="shared" si="109"/>
        <v>#REF!</v>
      </c>
      <c r="DJ59" s="2069" t="e">
        <f t="shared" si="109"/>
        <v>#REF!</v>
      </c>
      <c r="DK59" s="2069" t="e">
        <f t="shared" si="109"/>
        <v>#REF!</v>
      </c>
      <c r="DL59" s="2069">
        <f t="shared" si="109"/>
        <v>20185</v>
      </c>
      <c r="DM59" s="2069">
        <f t="shared" si="109"/>
        <v>22140</v>
      </c>
      <c r="DN59" s="2069">
        <f t="shared" si="109"/>
        <v>20185</v>
      </c>
      <c r="DO59" s="2069">
        <f t="shared" si="109"/>
        <v>22140</v>
      </c>
      <c r="DP59" s="2069">
        <f>DP50</f>
        <v>37320</v>
      </c>
      <c r="DQ59" s="2069"/>
      <c r="DR59" s="2069"/>
      <c r="DS59" s="2069">
        <f t="shared" si="109"/>
        <v>20185</v>
      </c>
      <c r="DT59" s="2069" t="e">
        <f t="shared" ref="DT59:EF59" si="110">DT50</f>
        <v>#REF!</v>
      </c>
      <c r="DU59" s="2069" t="e">
        <f t="shared" si="110"/>
        <v>#REF!</v>
      </c>
      <c r="DV59" s="2069" t="e">
        <f t="shared" si="110"/>
        <v>#REF!</v>
      </c>
      <c r="DW59" s="2069" t="e">
        <f t="shared" si="110"/>
        <v>#REF!</v>
      </c>
      <c r="DX59" s="2069" t="e">
        <f t="shared" si="110"/>
        <v>#REF!</v>
      </c>
      <c r="DY59" s="2069" t="e">
        <f t="shared" si="110"/>
        <v>#REF!</v>
      </c>
      <c r="DZ59" s="2069" t="e">
        <f t="shared" si="110"/>
        <v>#REF!</v>
      </c>
      <c r="EA59" s="2069" t="e">
        <f t="shared" si="110"/>
        <v>#REF!</v>
      </c>
      <c r="EB59" s="2069" t="e">
        <f t="shared" si="110"/>
        <v>#REF!</v>
      </c>
      <c r="EC59" s="2069" t="e">
        <f t="shared" si="110"/>
        <v>#REF!</v>
      </c>
      <c r="ED59" s="2069" t="e">
        <f t="shared" si="110"/>
        <v>#REF!</v>
      </c>
      <c r="EE59" s="2069" t="e">
        <f t="shared" si="110"/>
        <v>#REF!</v>
      </c>
      <c r="EF59" s="2069" t="e">
        <f t="shared" si="110"/>
        <v>#REF!</v>
      </c>
      <c r="EG59" s="2069"/>
      <c r="EH59" s="2069"/>
      <c r="EI59" s="2069"/>
      <c r="EJ59" s="2069"/>
      <c r="EK59" s="2069"/>
      <c r="EL59" s="2069"/>
      <c r="EM59" s="2069"/>
      <c r="EN59" s="2069"/>
      <c r="EO59" s="2069"/>
      <c r="EP59" s="2069"/>
      <c r="EQ59" s="2069"/>
      <c r="ER59" s="2069"/>
      <c r="ES59" s="2069"/>
      <c r="ET59" s="2069"/>
      <c r="EU59" s="2069"/>
      <c r="EV59" s="2069"/>
      <c r="EW59" s="2069"/>
      <c r="EX59" s="2069"/>
      <c r="EY59" s="2069"/>
      <c r="EZ59" s="2069"/>
      <c r="FA59" s="2069"/>
      <c r="FB59" s="2069"/>
      <c r="FC59" s="2069"/>
      <c r="FD59" s="2069"/>
      <c r="FE59" s="2066"/>
      <c r="FF59" s="2066"/>
      <c r="FG59" s="2066"/>
      <c r="FH59" s="2066"/>
      <c r="FI59" s="2066"/>
      <c r="FJ59" s="2066"/>
    </row>
    <row r="60" spans="1:166" s="1553" customFormat="1" ht="17.25" hidden="1" customHeight="1" outlineLevel="2">
      <c r="A60" s="1549">
        <v>57</v>
      </c>
      <c r="B60" s="1556" t="s">
        <v>206</v>
      </c>
      <c r="C60" s="1502" t="s">
        <v>1425</v>
      </c>
      <c r="D60" s="1556" t="s">
        <v>206</v>
      </c>
      <c r="E60" s="1502" t="s">
        <v>280</v>
      </c>
      <c r="F60" s="1502" t="str">
        <f>Покрытия_ПВХ!E33</f>
        <v>Сноу</v>
      </c>
      <c r="G60" s="1502"/>
      <c r="H60" s="2069"/>
      <c r="I60" s="2069"/>
      <c r="J60" s="2069"/>
      <c r="K60" s="2069"/>
      <c r="L60" s="2069"/>
      <c r="M60" s="2069"/>
      <c r="N60" s="2069"/>
      <c r="O60" s="2069"/>
      <c r="P60" s="2069"/>
      <c r="Q60" s="2069"/>
      <c r="R60" s="2069"/>
      <c r="S60" s="2069"/>
      <c r="T60" s="2069"/>
      <c r="U60" s="2069"/>
      <c r="V60" s="2069"/>
      <c r="W60" s="2069"/>
      <c r="X60" s="2069"/>
      <c r="Y60" s="2069"/>
      <c r="Z60" s="2069"/>
      <c r="AA60" s="2069"/>
      <c r="AB60" s="2069"/>
      <c r="AC60" s="2069"/>
      <c r="AD60" s="2069"/>
      <c r="AE60" s="2069"/>
      <c r="AF60" s="2069"/>
      <c r="AG60" s="2069"/>
      <c r="AH60" s="2069"/>
      <c r="AI60" s="2069"/>
      <c r="AJ60" s="2069"/>
      <c r="AK60" s="2069"/>
      <c r="AL60" s="2069"/>
      <c r="AM60" s="2069"/>
      <c r="AN60" s="2069"/>
      <c r="AO60" s="2069"/>
      <c r="AP60" s="2069"/>
      <c r="AQ60" s="2069"/>
      <c r="AR60" s="2069"/>
      <c r="AS60" s="2069"/>
      <c r="AT60" s="2069"/>
      <c r="AU60" s="2069"/>
      <c r="AV60" s="2069"/>
      <c r="AW60" s="2069"/>
      <c r="AX60" s="2069"/>
      <c r="AY60" s="2069"/>
      <c r="AZ60" s="2069"/>
      <c r="BA60" s="2069"/>
      <c r="BB60" s="2069"/>
      <c r="BC60" s="2069"/>
      <c r="BD60" s="2069"/>
      <c r="BE60" s="2069"/>
      <c r="BF60" s="2069"/>
      <c r="BG60" s="2069"/>
      <c r="BH60" s="2069"/>
      <c r="BI60" s="2069"/>
      <c r="BJ60" s="2069"/>
      <c r="BK60" s="2069"/>
      <c r="BL60" s="2069"/>
      <c r="BM60" s="2069"/>
      <c r="BN60" s="2069"/>
      <c r="BO60" s="2069"/>
      <c r="BP60" s="2069"/>
      <c r="BQ60" s="2069" t="e">
        <f t="shared" ref="BQ60:DS60" si="111">BQ50</f>
        <v>#REF!</v>
      </c>
      <c r="BR60" s="2069" t="e">
        <f t="shared" si="111"/>
        <v>#REF!</v>
      </c>
      <c r="BS60" s="2069" t="e">
        <f t="shared" si="111"/>
        <v>#REF!</v>
      </c>
      <c r="BT60" s="2069" t="e">
        <f t="shared" si="111"/>
        <v>#REF!</v>
      </c>
      <c r="BU60" s="2069" t="e">
        <f t="shared" si="111"/>
        <v>#REF!</v>
      </c>
      <c r="BV60" s="2069" t="e">
        <f t="shared" si="111"/>
        <v>#REF!</v>
      </c>
      <c r="BW60" s="2069" t="e">
        <f t="shared" si="111"/>
        <v>#REF!</v>
      </c>
      <c r="BX60" s="2069" t="e">
        <f t="shared" si="111"/>
        <v>#REF!</v>
      </c>
      <c r="BY60" s="2069" t="e">
        <f t="shared" si="111"/>
        <v>#REF!</v>
      </c>
      <c r="BZ60" s="2069" t="e">
        <f t="shared" si="111"/>
        <v>#REF!</v>
      </c>
      <c r="CA60" s="2069" t="e">
        <f t="shared" si="111"/>
        <v>#REF!</v>
      </c>
      <c r="CB60" s="2069" t="e">
        <f t="shared" si="111"/>
        <v>#REF!</v>
      </c>
      <c r="CC60" s="2069" t="e">
        <f t="shared" si="111"/>
        <v>#REF!</v>
      </c>
      <c r="CD60" s="2069" t="e">
        <f t="shared" si="111"/>
        <v>#REF!</v>
      </c>
      <c r="CE60" s="2069" t="e">
        <f t="shared" si="111"/>
        <v>#REF!</v>
      </c>
      <c r="CF60" s="2069" t="e">
        <f t="shared" si="111"/>
        <v>#REF!</v>
      </c>
      <c r="CG60" s="2069" t="e">
        <f t="shared" si="111"/>
        <v>#REF!</v>
      </c>
      <c r="CH60" s="2069" t="e">
        <f t="shared" si="111"/>
        <v>#REF!</v>
      </c>
      <c r="CI60" s="2069" t="e">
        <f t="shared" si="111"/>
        <v>#REF!</v>
      </c>
      <c r="CJ60" s="2069" t="e">
        <f t="shared" si="111"/>
        <v>#REF!</v>
      </c>
      <c r="CK60" s="2069"/>
      <c r="CL60" s="2069"/>
      <c r="CM60" s="2069"/>
      <c r="CN60" s="2069"/>
      <c r="CO60" s="2069" t="e">
        <f t="shared" si="111"/>
        <v>#REF!</v>
      </c>
      <c r="CP60" s="2069" t="e">
        <f t="shared" si="111"/>
        <v>#REF!</v>
      </c>
      <c r="CQ60" s="2069"/>
      <c r="CR60" s="2069"/>
      <c r="CS60" s="2069" t="e">
        <f>CS50</f>
        <v>#REF!</v>
      </c>
      <c r="CT60" s="2069"/>
      <c r="CU60" s="2069" t="e">
        <f>CU50</f>
        <v>#REF!</v>
      </c>
      <c r="CV60" s="2069" t="e">
        <f t="shared" si="111"/>
        <v>#REF!</v>
      </c>
      <c r="CW60" s="2069" t="e">
        <f t="shared" si="111"/>
        <v>#REF!</v>
      </c>
      <c r="CX60" s="2069" t="e">
        <f t="shared" si="111"/>
        <v>#REF!</v>
      </c>
      <c r="CY60" s="2069" t="e">
        <f t="shared" si="111"/>
        <v>#REF!</v>
      </c>
      <c r="CZ60" s="2069" t="e">
        <f t="shared" si="111"/>
        <v>#REF!</v>
      </c>
      <c r="DA60" s="2069" t="e">
        <f>DA50</f>
        <v>#REF!</v>
      </c>
      <c r="DB60" s="2069" t="e">
        <f t="shared" si="111"/>
        <v>#REF!</v>
      </c>
      <c r="DC60" s="2069" t="e">
        <f t="shared" si="111"/>
        <v>#REF!</v>
      </c>
      <c r="DD60" s="2069" t="e">
        <f t="shared" si="111"/>
        <v>#REF!</v>
      </c>
      <c r="DE60" s="2069" t="e">
        <f t="shared" si="111"/>
        <v>#REF!</v>
      </c>
      <c r="DF60" s="2069" t="e">
        <f t="shared" si="111"/>
        <v>#REF!</v>
      </c>
      <c r="DG60" s="2069" t="e">
        <f t="shared" si="111"/>
        <v>#REF!</v>
      </c>
      <c r="DH60" s="2069">
        <f t="shared" si="111"/>
        <v>15815</v>
      </c>
      <c r="DI60" s="2069" t="e">
        <f t="shared" si="111"/>
        <v>#REF!</v>
      </c>
      <c r="DJ60" s="2069" t="e">
        <f t="shared" si="111"/>
        <v>#REF!</v>
      </c>
      <c r="DK60" s="2069" t="e">
        <f t="shared" si="111"/>
        <v>#REF!</v>
      </c>
      <c r="DL60" s="2069">
        <f t="shared" si="111"/>
        <v>20185</v>
      </c>
      <c r="DM60" s="2069">
        <f t="shared" si="111"/>
        <v>22140</v>
      </c>
      <c r="DN60" s="2069">
        <f t="shared" si="111"/>
        <v>20185</v>
      </c>
      <c r="DO60" s="2069">
        <f t="shared" si="111"/>
        <v>22140</v>
      </c>
      <c r="DP60" s="2069">
        <f>DP50</f>
        <v>37320</v>
      </c>
      <c r="DQ60" s="2069"/>
      <c r="DR60" s="2069"/>
      <c r="DS60" s="2069">
        <f t="shared" si="111"/>
        <v>20185</v>
      </c>
      <c r="DT60" s="2069" t="e">
        <f t="shared" ref="DT60:EF60" si="112">DT50</f>
        <v>#REF!</v>
      </c>
      <c r="DU60" s="2069" t="e">
        <f t="shared" si="112"/>
        <v>#REF!</v>
      </c>
      <c r="DV60" s="2069" t="e">
        <f t="shared" si="112"/>
        <v>#REF!</v>
      </c>
      <c r="DW60" s="2069" t="e">
        <f t="shared" si="112"/>
        <v>#REF!</v>
      </c>
      <c r="DX60" s="2069" t="e">
        <f t="shared" si="112"/>
        <v>#REF!</v>
      </c>
      <c r="DY60" s="2069" t="e">
        <f t="shared" si="112"/>
        <v>#REF!</v>
      </c>
      <c r="DZ60" s="2069" t="e">
        <f t="shared" si="112"/>
        <v>#REF!</v>
      </c>
      <c r="EA60" s="2069" t="e">
        <f t="shared" si="112"/>
        <v>#REF!</v>
      </c>
      <c r="EB60" s="2069" t="e">
        <f t="shared" si="112"/>
        <v>#REF!</v>
      </c>
      <c r="EC60" s="2069" t="e">
        <f t="shared" si="112"/>
        <v>#REF!</v>
      </c>
      <c r="ED60" s="2069" t="e">
        <f t="shared" si="112"/>
        <v>#REF!</v>
      </c>
      <c r="EE60" s="2069" t="e">
        <f t="shared" si="112"/>
        <v>#REF!</v>
      </c>
      <c r="EF60" s="2069" t="e">
        <f t="shared" si="112"/>
        <v>#REF!</v>
      </c>
      <c r="EG60" s="2069"/>
      <c r="EH60" s="2069"/>
      <c r="EI60" s="2069"/>
      <c r="EJ60" s="2069"/>
      <c r="EK60" s="2069"/>
      <c r="EL60" s="2069"/>
      <c r="EM60" s="2069"/>
      <c r="EN60" s="2069"/>
      <c r="EO60" s="2069"/>
      <c r="EP60" s="2069"/>
      <c r="EQ60" s="2069"/>
      <c r="ER60" s="2069"/>
      <c r="ES60" s="2069"/>
      <c r="ET60" s="2069"/>
      <c r="EU60" s="2069"/>
      <c r="EV60" s="2069"/>
      <c r="EW60" s="2069"/>
      <c r="EX60" s="2069"/>
      <c r="EY60" s="2069"/>
      <c r="EZ60" s="2069"/>
      <c r="FA60" s="2069"/>
      <c r="FB60" s="2069"/>
      <c r="FC60" s="2069"/>
      <c r="FD60" s="2069"/>
      <c r="FE60" s="2066"/>
      <c r="FF60" s="2066"/>
      <c r="FG60" s="2066"/>
      <c r="FH60" s="2066"/>
      <c r="FI60" s="2066"/>
      <c r="FJ60" s="2066"/>
    </row>
    <row r="61" spans="1:166" s="1553" customFormat="1" ht="17.25" hidden="1" customHeight="1" outlineLevel="2">
      <c r="A61" s="1552">
        <v>58</v>
      </c>
      <c r="B61" s="1556" t="s">
        <v>206</v>
      </c>
      <c r="C61" s="1502" t="s">
        <v>1425</v>
      </c>
      <c r="D61" s="1556" t="s">
        <v>206</v>
      </c>
      <c r="E61" s="1502" t="s">
        <v>280</v>
      </c>
      <c r="F61" s="1502" t="str">
        <f>Покрытия_ПВХ!E34</f>
        <v>Кеймстоун</v>
      </c>
      <c r="G61" s="1502"/>
      <c r="H61" s="2069"/>
      <c r="I61" s="2069"/>
      <c r="J61" s="2069"/>
      <c r="K61" s="2069"/>
      <c r="L61" s="2069"/>
      <c r="M61" s="2069"/>
      <c r="N61" s="2069"/>
      <c r="O61" s="2069"/>
      <c r="P61" s="2069"/>
      <c r="Q61" s="2069"/>
      <c r="R61" s="2069"/>
      <c r="S61" s="2069"/>
      <c r="T61" s="2069"/>
      <c r="U61" s="2069"/>
      <c r="V61" s="2069"/>
      <c r="W61" s="2069"/>
      <c r="X61" s="2069"/>
      <c r="Y61" s="2069"/>
      <c r="Z61" s="2069"/>
      <c r="AA61" s="2069"/>
      <c r="AB61" s="2069"/>
      <c r="AC61" s="2069"/>
      <c r="AD61" s="2069"/>
      <c r="AE61" s="2069"/>
      <c r="AF61" s="2069"/>
      <c r="AG61" s="2069"/>
      <c r="AH61" s="2069"/>
      <c r="AI61" s="2069"/>
      <c r="AJ61" s="2069"/>
      <c r="AK61" s="2069"/>
      <c r="AL61" s="2069"/>
      <c r="AM61" s="2069"/>
      <c r="AN61" s="2069"/>
      <c r="AO61" s="2069"/>
      <c r="AP61" s="2069"/>
      <c r="AQ61" s="2069"/>
      <c r="AR61" s="2069"/>
      <c r="AS61" s="2069"/>
      <c r="AT61" s="2069"/>
      <c r="AU61" s="2069"/>
      <c r="AV61" s="2069"/>
      <c r="AW61" s="2069"/>
      <c r="AX61" s="2069"/>
      <c r="AY61" s="2069"/>
      <c r="AZ61" s="2069"/>
      <c r="BA61" s="2069"/>
      <c r="BB61" s="2069"/>
      <c r="BC61" s="2069"/>
      <c r="BD61" s="2069"/>
      <c r="BE61" s="2069"/>
      <c r="BF61" s="2069"/>
      <c r="BG61" s="2069"/>
      <c r="BH61" s="2069"/>
      <c r="BI61" s="2069"/>
      <c r="BJ61" s="2069"/>
      <c r="BK61" s="2069"/>
      <c r="BL61" s="2069"/>
      <c r="BM61" s="2069"/>
      <c r="BN61" s="2069"/>
      <c r="BO61" s="2069"/>
      <c r="BP61" s="2069"/>
      <c r="BQ61" s="2069" t="e">
        <f t="shared" ref="BQ61:DS61" si="113">BQ50</f>
        <v>#REF!</v>
      </c>
      <c r="BR61" s="2069" t="e">
        <f t="shared" si="113"/>
        <v>#REF!</v>
      </c>
      <c r="BS61" s="2069" t="e">
        <f t="shared" si="113"/>
        <v>#REF!</v>
      </c>
      <c r="BT61" s="2069" t="e">
        <f t="shared" si="113"/>
        <v>#REF!</v>
      </c>
      <c r="BU61" s="2069" t="e">
        <f t="shared" si="113"/>
        <v>#REF!</v>
      </c>
      <c r="BV61" s="2069" t="e">
        <f t="shared" si="113"/>
        <v>#REF!</v>
      </c>
      <c r="BW61" s="2069" t="e">
        <f t="shared" si="113"/>
        <v>#REF!</v>
      </c>
      <c r="BX61" s="2069" t="e">
        <f t="shared" si="113"/>
        <v>#REF!</v>
      </c>
      <c r="BY61" s="2069" t="e">
        <f t="shared" si="113"/>
        <v>#REF!</v>
      </c>
      <c r="BZ61" s="2069" t="e">
        <f t="shared" si="113"/>
        <v>#REF!</v>
      </c>
      <c r="CA61" s="2069" t="e">
        <f t="shared" si="113"/>
        <v>#REF!</v>
      </c>
      <c r="CB61" s="2069" t="e">
        <f t="shared" si="113"/>
        <v>#REF!</v>
      </c>
      <c r="CC61" s="2069" t="e">
        <f t="shared" si="113"/>
        <v>#REF!</v>
      </c>
      <c r="CD61" s="2069" t="e">
        <f t="shared" si="113"/>
        <v>#REF!</v>
      </c>
      <c r="CE61" s="2069" t="e">
        <f t="shared" si="113"/>
        <v>#REF!</v>
      </c>
      <c r="CF61" s="2069" t="e">
        <f t="shared" si="113"/>
        <v>#REF!</v>
      </c>
      <c r="CG61" s="2069" t="e">
        <f t="shared" si="113"/>
        <v>#REF!</v>
      </c>
      <c r="CH61" s="2069" t="e">
        <f t="shared" si="113"/>
        <v>#REF!</v>
      </c>
      <c r="CI61" s="2069" t="e">
        <f t="shared" si="113"/>
        <v>#REF!</v>
      </c>
      <c r="CJ61" s="2069" t="e">
        <f t="shared" si="113"/>
        <v>#REF!</v>
      </c>
      <c r="CK61" s="2069"/>
      <c r="CL61" s="2069"/>
      <c r="CM61" s="2069"/>
      <c r="CN61" s="2069"/>
      <c r="CO61" s="2069" t="e">
        <f t="shared" si="113"/>
        <v>#REF!</v>
      </c>
      <c r="CP61" s="2069" t="e">
        <f t="shared" si="113"/>
        <v>#REF!</v>
      </c>
      <c r="CQ61" s="2069"/>
      <c r="CR61" s="2069"/>
      <c r="CS61" s="2069" t="e">
        <f>CS50</f>
        <v>#REF!</v>
      </c>
      <c r="CT61" s="2069"/>
      <c r="CU61" s="2069" t="e">
        <f>CU50</f>
        <v>#REF!</v>
      </c>
      <c r="CV61" s="2069" t="e">
        <f t="shared" si="113"/>
        <v>#REF!</v>
      </c>
      <c r="CW61" s="2069" t="e">
        <f t="shared" si="113"/>
        <v>#REF!</v>
      </c>
      <c r="CX61" s="2069" t="e">
        <f t="shared" si="113"/>
        <v>#REF!</v>
      </c>
      <c r="CY61" s="2069" t="e">
        <f t="shared" si="113"/>
        <v>#REF!</v>
      </c>
      <c r="CZ61" s="2069" t="e">
        <f t="shared" si="113"/>
        <v>#REF!</v>
      </c>
      <c r="DA61" s="2069" t="e">
        <f>DA50</f>
        <v>#REF!</v>
      </c>
      <c r="DB61" s="2069" t="e">
        <f t="shared" si="113"/>
        <v>#REF!</v>
      </c>
      <c r="DC61" s="2069" t="e">
        <f t="shared" si="113"/>
        <v>#REF!</v>
      </c>
      <c r="DD61" s="2069" t="e">
        <f t="shared" si="113"/>
        <v>#REF!</v>
      </c>
      <c r="DE61" s="2069" t="e">
        <f t="shared" si="113"/>
        <v>#REF!</v>
      </c>
      <c r="DF61" s="2069" t="e">
        <f t="shared" si="113"/>
        <v>#REF!</v>
      </c>
      <c r="DG61" s="2069" t="e">
        <f t="shared" si="113"/>
        <v>#REF!</v>
      </c>
      <c r="DH61" s="2069">
        <f t="shared" si="113"/>
        <v>15815</v>
      </c>
      <c r="DI61" s="2069" t="e">
        <f t="shared" si="113"/>
        <v>#REF!</v>
      </c>
      <c r="DJ61" s="2069" t="e">
        <f t="shared" si="113"/>
        <v>#REF!</v>
      </c>
      <c r="DK61" s="2069" t="e">
        <f t="shared" si="113"/>
        <v>#REF!</v>
      </c>
      <c r="DL61" s="2069">
        <f t="shared" si="113"/>
        <v>20185</v>
      </c>
      <c r="DM61" s="2069">
        <f t="shared" si="113"/>
        <v>22140</v>
      </c>
      <c r="DN61" s="2069">
        <f t="shared" si="113"/>
        <v>20185</v>
      </c>
      <c r="DO61" s="2069">
        <f t="shared" si="113"/>
        <v>22140</v>
      </c>
      <c r="DP61" s="2069">
        <f>DP50</f>
        <v>37320</v>
      </c>
      <c r="DQ61" s="2069"/>
      <c r="DR61" s="2069"/>
      <c r="DS61" s="2069">
        <f t="shared" si="113"/>
        <v>20185</v>
      </c>
      <c r="DT61" s="2069" t="e">
        <f t="shared" ref="DT61:EF61" si="114">DT50</f>
        <v>#REF!</v>
      </c>
      <c r="DU61" s="2069" t="e">
        <f t="shared" si="114"/>
        <v>#REF!</v>
      </c>
      <c r="DV61" s="2069" t="e">
        <f t="shared" si="114"/>
        <v>#REF!</v>
      </c>
      <c r="DW61" s="2069" t="e">
        <f t="shared" si="114"/>
        <v>#REF!</v>
      </c>
      <c r="DX61" s="2069" t="e">
        <f t="shared" si="114"/>
        <v>#REF!</v>
      </c>
      <c r="DY61" s="2069" t="e">
        <f t="shared" si="114"/>
        <v>#REF!</v>
      </c>
      <c r="DZ61" s="2069" t="e">
        <f t="shared" si="114"/>
        <v>#REF!</v>
      </c>
      <c r="EA61" s="2069" t="e">
        <f t="shared" si="114"/>
        <v>#REF!</v>
      </c>
      <c r="EB61" s="2069" t="e">
        <f t="shared" si="114"/>
        <v>#REF!</v>
      </c>
      <c r="EC61" s="2069" t="e">
        <f t="shared" si="114"/>
        <v>#REF!</v>
      </c>
      <c r="ED61" s="2069" t="e">
        <f t="shared" si="114"/>
        <v>#REF!</v>
      </c>
      <c r="EE61" s="2069" t="e">
        <f t="shared" si="114"/>
        <v>#REF!</v>
      </c>
      <c r="EF61" s="2069" t="e">
        <f t="shared" si="114"/>
        <v>#REF!</v>
      </c>
      <c r="EG61" s="2069"/>
      <c r="EH61" s="2069"/>
      <c r="EI61" s="2069"/>
      <c r="EJ61" s="2069"/>
      <c r="EK61" s="2069"/>
      <c r="EL61" s="2069"/>
      <c r="EM61" s="2069"/>
      <c r="EN61" s="2069"/>
      <c r="EO61" s="2069"/>
      <c r="EP61" s="2069"/>
      <c r="EQ61" s="2069"/>
      <c r="ER61" s="2069"/>
      <c r="ES61" s="2069"/>
      <c r="ET61" s="2069"/>
      <c r="EU61" s="2069"/>
      <c r="EV61" s="2069"/>
      <c r="EW61" s="2069"/>
      <c r="EX61" s="2069"/>
      <c r="EY61" s="2069"/>
      <c r="EZ61" s="2069"/>
      <c r="FA61" s="2069"/>
      <c r="FB61" s="2069"/>
      <c r="FC61" s="2069"/>
      <c r="FD61" s="2069"/>
      <c r="FE61" s="2066"/>
      <c r="FF61" s="2066"/>
      <c r="FG61" s="2066"/>
      <c r="FH61" s="2066"/>
      <c r="FI61" s="2066"/>
      <c r="FJ61" s="2066"/>
    </row>
    <row r="62" spans="1:166" s="1553" customFormat="1" ht="17.25" hidden="1" customHeight="1" outlineLevel="2">
      <c r="A62" s="1549">
        <v>59</v>
      </c>
      <c r="B62" s="1556" t="s">
        <v>206</v>
      </c>
      <c r="C62" s="1502" t="s">
        <v>1425</v>
      </c>
      <c r="D62" s="1556" t="s">
        <v>206</v>
      </c>
      <c r="E62" s="1502" t="s">
        <v>280</v>
      </c>
      <c r="F62" s="1502" t="str">
        <f>Покрытия_ПВХ!E35</f>
        <v>Пит</v>
      </c>
      <c r="G62" s="1502"/>
      <c r="H62" s="2069"/>
      <c r="I62" s="2069"/>
      <c r="J62" s="2069"/>
      <c r="K62" s="2069"/>
      <c r="L62" s="2069"/>
      <c r="M62" s="2069"/>
      <c r="N62" s="2069"/>
      <c r="O62" s="2069"/>
      <c r="P62" s="2069"/>
      <c r="Q62" s="2069"/>
      <c r="R62" s="2069"/>
      <c r="S62" s="2069"/>
      <c r="T62" s="2069"/>
      <c r="U62" s="2069"/>
      <c r="V62" s="2069"/>
      <c r="W62" s="2069"/>
      <c r="X62" s="2069"/>
      <c r="Y62" s="2069"/>
      <c r="Z62" s="2069"/>
      <c r="AA62" s="2069"/>
      <c r="AB62" s="2069"/>
      <c r="AC62" s="2069"/>
      <c r="AD62" s="2069"/>
      <c r="AE62" s="2069"/>
      <c r="AF62" s="2069"/>
      <c r="AG62" s="2069"/>
      <c r="AH62" s="2069"/>
      <c r="AI62" s="2069"/>
      <c r="AJ62" s="2069"/>
      <c r="AK62" s="2069"/>
      <c r="AL62" s="2069"/>
      <c r="AM62" s="2069"/>
      <c r="AN62" s="2069"/>
      <c r="AO62" s="2069"/>
      <c r="AP62" s="2069"/>
      <c r="AQ62" s="2069"/>
      <c r="AR62" s="2069"/>
      <c r="AS62" s="2069"/>
      <c r="AT62" s="2069"/>
      <c r="AU62" s="2069"/>
      <c r="AV62" s="2069"/>
      <c r="AW62" s="2069"/>
      <c r="AX62" s="2069"/>
      <c r="AY62" s="2069"/>
      <c r="AZ62" s="2069"/>
      <c r="BA62" s="2069"/>
      <c r="BB62" s="2069"/>
      <c r="BC62" s="2069"/>
      <c r="BD62" s="2069"/>
      <c r="BE62" s="2069"/>
      <c r="BF62" s="2069"/>
      <c r="BG62" s="2069"/>
      <c r="BH62" s="2069"/>
      <c r="BI62" s="2069"/>
      <c r="BJ62" s="2069"/>
      <c r="BK62" s="2069"/>
      <c r="BL62" s="2069"/>
      <c r="BM62" s="2069"/>
      <c r="BN62" s="2069"/>
      <c r="BO62" s="2069"/>
      <c r="BP62" s="2069"/>
      <c r="BQ62" s="2069" t="e">
        <f t="shared" ref="BQ62:DS62" si="115">BQ50</f>
        <v>#REF!</v>
      </c>
      <c r="BR62" s="2069" t="e">
        <f t="shared" si="115"/>
        <v>#REF!</v>
      </c>
      <c r="BS62" s="2069" t="e">
        <f t="shared" si="115"/>
        <v>#REF!</v>
      </c>
      <c r="BT62" s="2069" t="e">
        <f t="shared" si="115"/>
        <v>#REF!</v>
      </c>
      <c r="BU62" s="2069" t="e">
        <f t="shared" si="115"/>
        <v>#REF!</v>
      </c>
      <c r="BV62" s="2069" t="e">
        <f t="shared" si="115"/>
        <v>#REF!</v>
      </c>
      <c r="BW62" s="2069" t="e">
        <f t="shared" si="115"/>
        <v>#REF!</v>
      </c>
      <c r="BX62" s="2069" t="e">
        <f t="shared" si="115"/>
        <v>#REF!</v>
      </c>
      <c r="BY62" s="2069" t="e">
        <f t="shared" si="115"/>
        <v>#REF!</v>
      </c>
      <c r="BZ62" s="2069" t="e">
        <f t="shared" si="115"/>
        <v>#REF!</v>
      </c>
      <c r="CA62" s="2069" t="e">
        <f t="shared" si="115"/>
        <v>#REF!</v>
      </c>
      <c r="CB62" s="2069" t="e">
        <f t="shared" si="115"/>
        <v>#REF!</v>
      </c>
      <c r="CC62" s="2069" t="e">
        <f t="shared" si="115"/>
        <v>#REF!</v>
      </c>
      <c r="CD62" s="2069" t="e">
        <f t="shared" si="115"/>
        <v>#REF!</v>
      </c>
      <c r="CE62" s="2069" t="e">
        <f t="shared" si="115"/>
        <v>#REF!</v>
      </c>
      <c r="CF62" s="2069" t="e">
        <f t="shared" si="115"/>
        <v>#REF!</v>
      </c>
      <c r="CG62" s="2069" t="e">
        <f t="shared" si="115"/>
        <v>#REF!</v>
      </c>
      <c r="CH62" s="2069" t="e">
        <f t="shared" si="115"/>
        <v>#REF!</v>
      </c>
      <c r="CI62" s="2069" t="e">
        <f t="shared" si="115"/>
        <v>#REF!</v>
      </c>
      <c r="CJ62" s="2069" t="e">
        <f t="shared" si="115"/>
        <v>#REF!</v>
      </c>
      <c r="CK62" s="2069"/>
      <c r="CL62" s="2069"/>
      <c r="CM62" s="2069"/>
      <c r="CN62" s="2069"/>
      <c r="CO62" s="2069" t="e">
        <f t="shared" si="115"/>
        <v>#REF!</v>
      </c>
      <c r="CP62" s="2069" t="e">
        <f t="shared" si="115"/>
        <v>#REF!</v>
      </c>
      <c r="CQ62" s="2069"/>
      <c r="CR62" s="2069"/>
      <c r="CS62" s="2069" t="e">
        <f>CS50</f>
        <v>#REF!</v>
      </c>
      <c r="CT62" s="2069"/>
      <c r="CU62" s="2069" t="e">
        <f>CU50</f>
        <v>#REF!</v>
      </c>
      <c r="CV62" s="2069" t="e">
        <f t="shared" si="115"/>
        <v>#REF!</v>
      </c>
      <c r="CW62" s="2069" t="e">
        <f t="shared" si="115"/>
        <v>#REF!</v>
      </c>
      <c r="CX62" s="2069" t="e">
        <f t="shared" si="115"/>
        <v>#REF!</v>
      </c>
      <c r="CY62" s="2069" t="e">
        <f t="shared" si="115"/>
        <v>#REF!</v>
      </c>
      <c r="CZ62" s="2069" t="e">
        <f t="shared" si="115"/>
        <v>#REF!</v>
      </c>
      <c r="DA62" s="2069" t="e">
        <f>DA50</f>
        <v>#REF!</v>
      </c>
      <c r="DB62" s="2069" t="e">
        <f t="shared" si="115"/>
        <v>#REF!</v>
      </c>
      <c r="DC62" s="2069" t="e">
        <f t="shared" si="115"/>
        <v>#REF!</v>
      </c>
      <c r="DD62" s="2069" t="e">
        <f t="shared" si="115"/>
        <v>#REF!</v>
      </c>
      <c r="DE62" s="2069" t="e">
        <f t="shared" si="115"/>
        <v>#REF!</v>
      </c>
      <c r="DF62" s="2069" t="e">
        <f t="shared" si="115"/>
        <v>#REF!</v>
      </c>
      <c r="DG62" s="2069" t="e">
        <f t="shared" si="115"/>
        <v>#REF!</v>
      </c>
      <c r="DH62" s="2069">
        <f t="shared" si="115"/>
        <v>15815</v>
      </c>
      <c r="DI62" s="2069" t="e">
        <f t="shared" si="115"/>
        <v>#REF!</v>
      </c>
      <c r="DJ62" s="2069" t="e">
        <f t="shared" si="115"/>
        <v>#REF!</v>
      </c>
      <c r="DK62" s="2069" t="e">
        <f t="shared" si="115"/>
        <v>#REF!</v>
      </c>
      <c r="DL62" s="2069">
        <f t="shared" si="115"/>
        <v>20185</v>
      </c>
      <c r="DM62" s="2069">
        <f t="shared" si="115"/>
        <v>22140</v>
      </c>
      <c r="DN62" s="2069">
        <f t="shared" si="115"/>
        <v>20185</v>
      </c>
      <c r="DO62" s="2069">
        <f t="shared" si="115"/>
        <v>22140</v>
      </c>
      <c r="DP62" s="2069">
        <f>DP50</f>
        <v>37320</v>
      </c>
      <c r="DQ62" s="2069"/>
      <c r="DR62" s="2069"/>
      <c r="DS62" s="2069">
        <f t="shared" si="115"/>
        <v>20185</v>
      </c>
      <c r="DT62" s="2069" t="e">
        <f t="shared" ref="DT62:EF62" si="116">DT50</f>
        <v>#REF!</v>
      </c>
      <c r="DU62" s="2069" t="e">
        <f t="shared" si="116"/>
        <v>#REF!</v>
      </c>
      <c r="DV62" s="2069" t="e">
        <f t="shared" si="116"/>
        <v>#REF!</v>
      </c>
      <c r="DW62" s="2069" t="e">
        <f t="shared" si="116"/>
        <v>#REF!</v>
      </c>
      <c r="DX62" s="2069" t="e">
        <f t="shared" si="116"/>
        <v>#REF!</v>
      </c>
      <c r="DY62" s="2069" t="e">
        <f t="shared" si="116"/>
        <v>#REF!</v>
      </c>
      <c r="DZ62" s="2069" t="e">
        <f t="shared" si="116"/>
        <v>#REF!</v>
      </c>
      <c r="EA62" s="2069" t="e">
        <f t="shared" si="116"/>
        <v>#REF!</v>
      </c>
      <c r="EB62" s="2069" t="e">
        <f t="shared" si="116"/>
        <v>#REF!</v>
      </c>
      <c r="EC62" s="2069" t="e">
        <f t="shared" si="116"/>
        <v>#REF!</v>
      </c>
      <c r="ED62" s="2069" t="e">
        <f t="shared" si="116"/>
        <v>#REF!</v>
      </c>
      <c r="EE62" s="2069" t="e">
        <f t="shared" si="116"/>
        <v>#REF!</v>
      </c>
      <c r="EF62" s="2069" t="e">
        <f t="shared" si="116"/>
        <v>#REF!</v>
      </c>
      <c r="EG62" s="2069"/>
      <c r="EH62" s="2069"/>
      <c r="EI62" s="2069"/>
      <c r="EJ62" s="2069"/>
      <c r="EK62" s="2069"/>
      <c r="EL62" s="2069"/>
      <c r="EM62" s="2069"/>
      <c r="EN62" s="2069"/>
      <c r="EO62" s="2069"/>
      <c r="EP62" s="2069"/>
      <c r="EQ62" s="2069"/>
      <c r="ER62" s="2069"/>
      <c r="ES62" s="2069"/>
      <c r="ET62" s="2069"/>
      <c r="EU62" s="2069"/>
      <c r="EV62" s="2069"/>
      <c r="EW62" s="2069"/>
      <c r="EX62" s="2069"/>
      <c r="EY62" s="2069"/>
      <c r="EZ62" s="2069"/>
      <c r="FA62" s="2069"/>
      <c r="FB62" s="2069"/>
      <c r="FC62" s="2069"/>
      <c r="FD62" s="2069"/>
      <c r="FE62" s="2066"/>
      <c r="FF62" s="2066"/>
      <c r="FG62" s="2066"/>
      <c r="FH62" s="2066"/>
      <c r="FI62" s="2066"/>
      <c r="FJ62" s="2066"/>
    </row>
    <row r="63" spans="1:166" s="1553" customFormat="1" ht="17.25" hidden="1" customHeight="1" outlineLevel="2">
      <c r="A63" s="1552">
        <v>60</v>
      </c>
      <c r="B63" s="1556" t="s">
        <v>206</v>
      </c>
      <c r="C63" s="1502" t="s">
        <v>1425</v>
      </c>
      <c r="D63" s="1556" t="s">
        <v>206</v>
      </c>
      <c r="E63" s="1502" t="s">
        <v>280</v>
      </c>
      <c r="F63" s="1502" t="e">
        <f>Покрытия_ПВХ!#REF!</f>
        <v>#REF!</v>
      </c>
      <c r="G63" s="1502"/>
      <c r="H63" s="2069"/>
      <c r="I63" s="2069"/>
      <c r="J63" s="2069"/>
      <c r="K63" s="2069"/>
      <c r="L63" s="2069"/>
      <c r="M63" s="2069"/>
      <c r="N63" s="2069"/>
      <c r="O63" s="2069"/>
      <c r="P63" s="2069"/>
      <c r="Q63" s="2069"/>
      <c r="R63" s="2069"/>
      <c r="S63" s="2069"/>
      <c r="T63" s="2069"/>
      <c r="U63" s="2069"/>
      <c r="V63" s="2069"/>
      <c r="W63" s="2069"/>
      <c r="X63" s="2069"/>
      <c r="Y63" s="2069"/>
      <c r="Z63" s="2069"/>
      <c r="AA63" s="2069"/>
      <c r="AB63" s="2069"/>
      <c r="AC63" s="2069"/>
      <c r="AD63" s="2069"/>
      <c r="AE63" s="2069"/>
      <c r="AF63" s="2069"/>
      <c r="AG63" s="2069"/>
      <c r="AH63" s="2069"/>
      <c r="AI63" s="2069"/>
      <c r="AJ63" s="2069"/>
      <c r="AK63" s="2069"/>
      <c r="AL63" s="2069"/>
      <c r="AM63" s="2069"/>
      <c r="AN63" s="2069"/>
      <c r="AO63" s="2069"/>
      <c r="AP63" s="2069"/>
      <c r="AQ63" s="2069"/>
      <c r="AR63" s="2069"/>
      <c r="AS63" s="2069"/>
      <c r="AT63" s="2069"/>
      <c r="AU63" s="2069"/>
      <c r="AV63" s="2069"/>
      <c r="AW63" s="2069"/>
      <c r="AX63" s="2069"/>
      <c r="AY63" s="2069"/>
      <c r="AZ63" s="2069"/>
      <c r="BA63" s="2069"/>
      <c r="BB63" s="2069"/>
      <c r="BC63" s="2069"/>
      <c r="BD63" s="2069"/>
      <c r="BE63" s="2069"/>
      <c r="BF63" s="2069"/>
      <c r="BG63" s="2069"/>
      <c r="BH63" s="2069"/>
      <c r="BI63" s="2069"/>
      <c r="BJ63" s="2069"/>
      <c r="BK63" s="2069"/>
      <c r="BL63" s="2069"/>
      <c r="BM63" s="2069"/>
      <c r="BN63" s="2069"/>
      <c r="BO63" s="2069"/>
      <c r="BP63" s="2069"/>
      <c r="BQ63" s="2069" t="e">
        <f t="shared" ref="BQ63:DS63" si="117">BQ50</f>
        <v>#REF!</v>
      </c>
      <c r="BR63" s="2069" t="e">
        <f t="shared" si="117"/>
        <v>#REF!</v>
      </c>
      <c r="BS63" s="2069" t="e">
        <f t="shared" si="117"/>
        <v>#REF!</v>
      </c>
      <c r="BT63" s="2069" t="e">
        <f t="shared" si="117"/>
        <v>#REF!</v>
      </c>
      <c r="BU63" s="2069" t="e">
        <f t="shared" si="117"/>
        <v>#REF!</v>
      </c>
      <c r="BV63" s="2069" t="e">
        <f t="shared" si="117"/>
        <v>#REF!</v>
      </c>
      <c r="BW63" s="2069" t="e">
        <f t="shared" si="117"/>
        <v>#REF!</v>
      </c>
      <c r="BX63" s="2069" t="e">
        <f t="shared" si="117"/>
        <v>#REF!</v>
      </c>
      <c r="BY63" s="2069" t="e">
        <f t="shared" si="117"/>
        <v>#REF!</v>
      </c>
      <c r="BZ63" s="2069" t="e">
        <f t="shared" si="117"/>
        <v>#REF!</v>
      </c>
      <c r="CA63" s="2069" t="e">
        <f t="shared" si="117"/>
        <v>#REF!</v>
      </c>
      <c r="CB63" s="2069" t="e">
        <f t="shared" si="117"/>
        <v>#REF!</v>
      </c>
      <c r="CC63" s="2069" t="e">
        <f t="shared" si="117"/>
        <v>#REF!</v>
      </c>
      <c r="CD63" s="2069" t="e">
        <f t="shared" si="117"/>
        <v>#REF!</v>
      </c>
      <c r="CE63" s="2069" t="e">
        <f t="shared" si="117"/>
        <v>#REF!</v>
      </c>
      <c r="CF63" s="2069" t="e">
        <f t="shared" si="117"/>
        <v>#REF!</v>
      </c>
      <c r="CG63" s="2069" t="e">
        <f t="shared" si="117"/>
        <v>#REF!</v>
      </c>
      <c r="CH63" s="2069" t="e">
        <f t="shared" si="117"/>
        <v>#REF!</v>
      </c>
      <c r="CI63" s="2069" t="e">
        <f t="shared" si="117"/>
        <v>#REF!</v>
      </c>
      <c r="CJ63" s="2069" t="e">
        <f t="shared" si="117"/>
        <v>#REF!</v>
      </c>
      <c r="CK63" s="2069"/>
      <c r="CL63" s="2069"/>
      <c r="CM63" s="2069"/>
      <c r="CN63" s="2069"/>
      <c r="CO63" s="2069" t="e">
        <f t="shared" si="117"/>
        <v>#REF!</v>
      </c>
      <c r="CP63" s="2069" t="e">
        <f t="shared" si="117"/>
        <v>#REF!</v>
      </c>
      <c r="CQ63" s="2069"/>
      <c r="CR63" s="2069"/>
      <c r="CS63" s="2069" t="e">
        <f>CS50</f>
        <v>#REF!</v>
      </c>
      <c r="CT63" s="2069"/>
      <c r="CU63" s="2069" t="e">
        <f>CU50</f>
        <v>#REF!</v>
      </c>
      <c r="CV63" s="2069" t="e">
        <f t="shared" si="117"/>
        <v>#REF!</v>
      </c>
      <c r="CW63" s="2069" t="e">
        <f t="shared" si="117"/>
        <v>#REF!</v>
      </c>
      <c r="CX63" s="2069" t="e">
        <f t="shared" si="117"/>
        <v>#REF!</v>
      </c>
      <c r="CY63" s="2069" t="e">
        <f t="shared" si="117"/>
        <v>#REF!</v>
      </c>
      <c r="CZ63" s="2069" t="e">
        <f t="shared" si="117"/>
        <v>#REF!</v>
      </c>
      <c r="DA63" s="2069" t="e">
        <f>DA50</f>
        <v>#REF!</v>
      </c>
      <c r="DB63" s="2069" t="e">
        <f t="shared" si="117"/>
        <v>#REF!</v>
      </c>
      <c r="DC63" s="2069" t="e">
        <f t="shared" si="117"/>
        <v>#REF!</v>
      </c>
      <c r="DD63" s="2069" t="e">
        <f t="shared" si="117"/>
        <v>#REF!</v>
      </c>
      <c r="DE63" s="2069" t="e">
        <f t="shared" si="117"/>
        <v>#REF!</v>
      </c>
      <c r="DF63" s="2069" t="e">
        <f t="shared" si="117"/>
        <v>#REF!</v>
      </c>
      <c r="DG63" s="2069" t="e">
        <f t="shared" si="117"/>
        <v>#REF!</v>
      </c>
      <c r="DH63" s="2069">
        <f t="shared" si="117"/>
        <v>15815</v>
      </c>
      <c r="DI63" s="2069" t="e">
        <f t="shared" si="117"/>
        <v>#REF!</v>
      </c>
      <c r="DJ63" s="2069" t="e">
        <f t="shared" si="117"/>
        <v>#REF!</v>
      </c>
      <c r="DK63" s="2069" t="e">
        <f t="shared" si="117"/>
        <v>#REF!</v>
      </c>
      <c r="DL63" s="2069">
        <f t="shared" si="117"/>
        <v>20185</v>
      </c>
      <c r="DM63" s="2069">
        <f t="shared" si="117"/>
        <v>22140</v>
      </c>
      <c r="DN63" s="2069">
        <f t="shared" si="117"/>
        <v>20185</v>
      </c>
      <c r="DO63" s="2069">
        <f t="shared" si="117"/>
        <v>22140</v>
      </c>
      <c r="DP63" s="2069">
        <f>DP50</f>
        <v>37320</v>
      </c>
      <c r="DQ63" s="2069"/>
      <c r="DR63" s="2069"/>
      <c r="DS63" s="2069">
        <f t="shared" si="117"/>
        <v>20185</v>
      </c>
      <c r="DT63" s="2069" t="e">
        <f t="shared" ref="DT63:EF63" si="118">DT50</f>
        <v>#REF!</v>
      </c>
      <c r="DU63" s="2069" t="e">
        <f t="shared" si="118"/>
        <v>#REF!</v>
      </c>
      <c r="DV63" s="2069" t="e">
        <f t="shared" si="118"/>
        <v>#REF!</v>
      </c>
      <c r="DW63" s="2069" t="e">
        <f t="shared" si="118"/>
        <v>#REF!</v>
      </c>
      <c r="DX63" s="2069" t="e">
        <f t="shared" si="118"/>
        <v>#REF!</v>
      </c>
      <c r="DY63" s="2069" t="e">
        <f t="shared" si="118"/>
        <v>#REF!</v>
      </c>
      <c r="DZ63" s="2069" t="e">
        <f t="shared" si="118"/>
        <v>#REF!</v>
      </c>
      <c r="EA63" s="2069" t="e">
        <f t="shared" si="118"/>
        <v>#REF!</v>
      </c>
      <c r="EB63" s="2069" t="e">
        <f t="shared" si="118"/>
        <v>#REF!</v>
      </c>
      <c r="EC63" s="2069" t="e">
        <f t="shared" si="118"/>
        <v>#REF!</v>
      </c>
      <c r="ED63" s="2069" t="e">
        <f t="shared" si="118"/>
        <v>#REF!</v>
      </c>
      <c r="EE63" s="2069" t="e">
        <f t="shared" si="118"/>
        <v>#REF!</v>
      </c>
      <c r="EF63" s="2069" t="e">
        <f t="shared" si="118"/>
        <v>#REF!</v>
      </c>
      <c r="EG63" s="2069"/>
      <c r="EH63" s="2069"/>
      <c r="EI63" s="2069"/>
      <c r="EJ63" s="2069"/>
      <c r="EK63" s="2069"/>
      <c r="EL63" s="2069"/>
      <c r="EM63" s="2069"/>
      <c r="EN63" s="2069"/>
      <c r="EO63" s="2069"/>
      <c r="EP63" s="2069"/>
      <c r="EQ63" s="2069"/>
      <c r="ER63" s="2069"/>
      <c r="ES63" s="2069"/>
      <c r="ET63" s="2069"/>
      <c r="EU63" s="2069"/>
      <c r="EV63" s="2069"/>
      <c r="EW63" s="2069"/>
      <c r="EX63" s="2069"/>
      <c r="EY63" s="2069"/>
      <c r="EZ63" s="2069"/>
      <c r="FA63" s="2069"/>
      <c r="FB63" s="2069"/>
      <c r="FC63" s="2069"/>
      <c r="FD63" s="2069"/>
      <c r="FE63" s="2066"/>
      <c r="FF63" s="2066"/>
      <c r="FG63" s="2066"/>
      <c r="FH63" s="2066"/>
      <c r="FI63" s="2066"/>
      <c r="FJ63" s="2066"/>
    </row>
    <row r="64" spans="1:166" s="1553" customFormat="1" ht="17.25" hidden="1" customHeight="1" outlineLevel="2">
      <c r="A64" s="1549">
        <v>61</v>
      </c>
      <c r="B64" s="1556" t="s">
        <v>206</v>
      </c>
      <c r="C64" s="1502" t="s">
        <v>1425</v>
      </c>
      <c r="D64" s="1556" t="s">
        <v>206</v>
      </c>
      <c r="E64" s="1502" t="s">
        <v>280</v>
      </c>
      <c r="F64" s="1502" t="e">
        <f>Покрытия_ПВХ!#REF!</f>
        <v>#REF!</v>
      </c>
      <c r="G64" s="1502"/>
      <c r="H64" s="2069"/>
      <c r="I64" s="2069"/>
      <c r="J64" s="2069"/>
      <c r="K64" s="2069"/>
      <c r="L64" s="2069"/>
      <c r="M64" s="2069"/>
      <c r="N64" s="2069"/>
      <c r="O64" s="2069"/>
      <c r="P64" s="2069"/>
      <c r="Q64" s="2069"/>
      <c r="R64" s="2069"/>
      <c r="S64" s="2069"/>
      <c r="T64" s="2069"/>
      <c r="U64" s="2069"/>
      <c r="V64" s="2069"/>
      <c r="W64" s="2069"/>
      <c r="X64" s="2069"/>
      <c r="Y64" s="2069"/>
      <c r="Z64" s="2069"/>
      <c r="AA64" s="2069"/>
      <c r="AB64" s="2069"/>
      <c r="AC64" s="2069"/>
      <c r="AD64" s="2069"/>
      <c r="AE64" s="2069"/>
      <c r="AF64" s="2069"/>
      <c r="AG64" s="2069"/>
      <c r="AH64" s="2069"/>
      <c r="AI64" s="2069"/>
      <c r="AJ64" s="2069"/>
      <c r="AK64" s="2069"/>
      <c r="AL64" s="2069"/>
      <c r="AM64" s="2069"/>
      <c r="AN64" s="2069"/>
      <c r="AO64" s="2069"/>
      <c r="AP64" s="2069"/>
      <c r="AQ64" s="2069"/>
      <c r="AR64" s="2069"/>
      <c r="AS64" s="2069"/>
      <c r="AT64" s="2069"/>
      <c r="AU64" s="2069"/>
      <c r="AV64" s="2069"/>
      <c r="AW64" s="2069"/>
      <c r="AX64" s="2069"/>
      <c r="AY64" s="2069"/>
      <c r="AZ64" s="2069"/>
      <c r="BA64" s="2069"/>
      <c r="BB64" s="2069"/>
      <c r="BC64" s="2069"/>
      <c r="BD64" s="2069"/>
      <c r="BE64" s="2069"/>
      <c r="BF64" s="2069"/>
      <c r="BG64" s="2069"/>
      <c r="BH64" s="2069"/>
      <c r="BI64" s="2069"/>
      <c r="BJ64" s="2069"/>
      <c r="BK64" s="2069"/>
      <c r="BL64" s="2069"/>
      <c r="BM64" s="2069"/>
      <c r="BN64" s="2069"/>
      <c r="BO64" s="2069"/>
      <c r="BP64" s="2069"/>
      <c r="BQ64" s="2069" t="e">
        <f t="shared" ref="BQ64:DS64" si="119">BQ50</f>
        <v>#REF!</v>
      </c>
      <c r="BR64" s="2069" t="e">
        <f t="shared" si="119"/>
        <v>#REF!</v>
      </c>
      <c r="BS64" s="2069" t="e">
        <f t="shared" si="119"/>
        <v>#REF!</v>
      </c>
      <c r="BT64" s="2069" t="e">
        <f t="shared" si="119"/>
        <v>#REF!</v>
      </c>
      <c r="BU64" s="2069" t="e">
        <f t="shared" si="119"/>
        <v>#REF!</v>
      </c>
      <c r="BV64" s="2069" t="e">
        <f t="shared" si="119"/>
        <v>#REF!</v>
      </c>
      <c r="BW64" s="2069" t="e">
        <f t="shared" si="119"/>
        <v>#REF!</v>
      </c>
      <c r="BX64" s="2069" t="e">
        <f t="shared" si="119"/>
        <v>#REF!</v>
      </c>
      <c r="BY64" s="2069" t="e">
        <f t="shared" si="119"/>
        <v>#REF!</v>
      </c>
      <c r="BZ64" s="2069" t="e">
        <f t="shared" si="119"/>
        <v>#REF!</v>
      </c>
      <c r="CA64" s="2069" t="e">
        <f t="shared" si="119"/>
        <v>#REF!</v>
      </c>
      <c r="CB64" s="2069" t="e">
        <f t="shared" si="119"/>
        <v>#REF!</v>
      </c>
      <c r="CC64" s="2069" t="e">
        <f t="shared" si="119"/>
        <v>#REF!</v>
      </c>
      <c r="CD64" s="2069" t="e">
        <f t="shared" si="119"/>
        <v>#REF!</v>
      </c>
      <c r="CE64" s="2069" t="e">
        <f t="shared" si="119"/>
        <v>#REF!</v>
      </c>
      <c r="CF64" s="2069" t="e">
        <f t="shared" si="119"/>
        <v>#REF!</v>
      </c>
      <c r="CG64" s="2069" t="e">
        <f t="shared" si="119"/>
        <v>#REF!</v>
      </c>
      <c r="CH64" s="2069" t="e">
        <f t="shared" si="119"/>
        <v>#REF!</v>
      </c>
      <c r="CI64" s="2069" t="e">
        <f t="shared" si="119"/>
        <v>#REF!</v>
      </c>
      <c r="CJ64" s="2069" t="e">
        <f t="shared" si="119"/>
        <v>#REF!</v>
      </c>
      <c r="CK64" s="2069"/>
      <c r="CL64" s="2069"/>
      <c r="CM64" s="2069"/>
      <c r="CN64" s="2069"/>
      <c r="CO64" s="2069" t="e">
        <f t="shared" si="119"/>
        <v>#REF!</v>
      </c>
      <c r="CP64" s="2069" t="e">
        <f t="shared" si="119"/>
        <v>#REF!</v>
      </c>
      <c r="CQ64" s="2069"/>
      <c r="CR64" s="2069"/>
      <c r="CS64" s="2069" t="e">
        <f>CS50</f>
        <v>#REF!</v>
      </c>
      <c r="CT64" s="2069"/>
      <c r="CU64" s="2069" t="e">
        <f>CU50</f>
        <v>#REF!</v>
      </c>
      <c r="CV64" s="2069" t="e">
        <f t="shared" si="119"/>
        <v>#REF!</v>
      </c>
      <c r="CW64" s="2069" t="e">
        <f t="shared" si="119"/>
        <v>#REF!</v>
      </c>
      <c r="CX64" s="2069" t="e">
        <f t="shared" si="119"/>
        <v>#REF!</v>
      </c>
      <c r="CY64" s="2069" t="e">
        <f t="shared" si="119"/>
        <v>#REF!</v>
      </c>
      <c r="CZ64" s="2069" t="e">
        <f t="shared" si="119"/>
        <v>#REF!</v>
      </c>
      <c r="DA64" s="2069" t="e">
        <f>DA50</f>
        <v>#REF!</v>
      </c>
      <c r="DB64" s="2069" t="e">
        <f t="shared" si="119"/>
        <v>#REF!</v>
      </c>
      <c r="DC64" s="2069" t="e">
        <f t="shared" si="119"/>
        <v>#REF!</v>
      </c>
      <c r="DD64" s="2069" t="e">
        <f t="shared" si="119"/>
        <v>#REF!</v>
      </c>
      <c r="DE64" s="2069" t="e">
        <f t="shared" si="119"/>
        <v>#REF!</v>
      </c>
      <c r="DF64" s="2069" t="e">
        <f t="shared" si="119"/>
        <v>#REF!</v>
      </c>
      <c r="DG64" s="2069" t="e">
        <f t="shared" si="119"/>
        <v>#REF!</v>
      </c>
      <c r="DH64" s="2069">
        <f t="shared" si="119"/>
        <v>15815</v>
      </c>
      <c r="DI64" s="2069" t="e">
        <f t="shared" si="119"/>
        <v>#REF!</v>
      </c>
      <c r="DJ64" s="2069" t="e">
        <f t="shared" si="119"/>
        <v>#REF!</v>
      </c>
      <c r="DK64" s="2069" t="e">
        <f t="shared" si="119"/>
        <v>#REF!</v>
      </c>
      <c r="DL64" s="2069">
        <f t="shared" si="119"/>
        <v>20185</v>
      </c>
      <c r="DM64" s="2069">
        <f t="shared" si="119"/>
        <v>22140</v>
      </c>
      <c r="DN64" s="2069">
        <f t="shared" si="119"/>
        <v>20185</v>
      </c>
      <c r="DO64" s="2069">
        <f t="shared" si="119"/>
        <v>22140</v>
      </c>
      <c r="DP64" s="2069">
        <f>DP50</f>
        <v>37320</v>
      </c>
      <c r="DQ64" s="2069"/>
      <c r="DR64" s="2069"/>
      <c r="DS64" s="2069">
        <f t="shared" si="119"/>
        <v>20185</v>
      </c>
      <c r="DT64" s="2069" t="e">
        <f t="shared" ref="DT64:EF64" si="120">DT50</f>
        <v>#REF!</v>
      </c>
      <c r="DU64" s="2069" t="e">
        <f t="shared" si="120"/>
        <v>#REF!</v>
      </c>
      <c r="DV64" s="2069" t="e">
        <f t="shared" si="120"/>
        <v>#REF!</v>
      </c>
      <c r="DW64" s="2069" t="e">
        <f t="shared" si="120"/>
        <v>#REF!</v>
      </c>
      <c r="DX64" s="2069" t="e">
        <f t="shared" si="120"/>
        <v>#REF!</v>
      </c>
      <c r="DY64" s="2069" t="e">
        <f t="shared" si="120"/>
        <v>#REF!</v>
      </c>
      <c r="DZ64" s="2069" t="e">
        <f t="shared" si="120"/>
        <v>#REF!</v>
      </c>
      <c r="EA64" s="2069" t="e">
        <f t="shared" si="120"/>
        <v>#REF!</v>
      </c>
      <c r="EB64" s="2069" t="e">
        <f t="shared" si="120"/>
        <v>#REF!</v>
      </c>
      <c r="EC64" s="2069" t="e">
        <f t="shared" si="120"/>
        <v>#REF!</v>
      </c>
      <c r="ED64" s="2069" t="e">
        <f t="shared" si="120"/>
        <v>#REF!</v>
      </c>
      <c r="EE64" s="2069" t="e">
        <f t="shared" si="120"/>
        <v>#REF!</v>
      </c>
      <c r="EF64" s="2069" t="e">
        <f t="shared" si="120"/>
        <v>#REF!</v>
      </c>
      <c r="EG64" s="2069"/>
      <c r="EH64" s="2069"/>
      <c r="EI64" s="2069"/>
      <c r="EJ64" s="2069"/>
      <c r="EK64" s="2069"/>
      <c r="EL64" s="2069"/>
      <c r="EM64" s="2069"/>
      <c r="EN64" s="2069"/>
      <c r="EO64" s="2069"/>
      <c r="EP64" s="2069"/>
      <c r="EQ64" s="2069"/>
      <c r="ER64" s="2069"/>
      <c r="ES64" s="2069"/>
      <c r="ET64" s="2069"/>
      <c r="EU64" s="2069"/>
      <c r="EV64" s="2069"/>
      <c r="EW64" s="2069"/>
      <c r="EX64" s="2069"/>
      <c r="EY64" s="2069"/>
      <c r="EZ64" s="2069"/>
      <c r="FA64" s="2069"/>
      <c r="FB64" s="2069"/>
      <c r="FC64" s="2069"/>
      <c r="FD64" s="2069"/>
      <c r="FE64" s="2066"/>
      <c r="FF64" s="2066"/>
      <c r="FG64" s="2066"/>
      <c r="FH64" s="2066"/>
      <c r="FI64" s="2066"/>
      <c r="FJ64" s="2066"/>
    </row>
    <row r="65" spans="1:241" s="1553" customFormat="1" ht="17.25" hidden="1" customHeight="1" outlineLevel="2">
      <c r="A65" s="1552">
        <v>62</v>
      </c>
      <c r="B65" s="1556" t="s">
        <v>206</v>
      </c>
      <c r="C65" s="1502" t="s">
        <v>1425</v>
      </c>
      <c r="D65" s="1556" t="s">
        <v>206</v>
      </c>
      <c r="E65" s="1502" t="s">
        <v>280</v>
      </c>
      <c r="F65" s="1502" t="e">
        <f>Покрытия_ПВХ!#REF!</f>
        <v>#REF!</v>
      </c>
      <c r="G65" s="1502"/>
      <c r="H65" s="2069"/>
      <c r="I65" s="2069"/>
      <c r="J65" s="2069"/>
      <c r="K65" s="2069"/>
      <c r="L65" s="2069"/>
      <c r="M65" s="2069"/>
      <c r="N65" s="2069"/>
      <c r="O65" s="2069"/>
      <c r="P65" s="2069"/>
      <c r="Q65" s="2069"/>
      <c r="R65" s="2069"/>
      <c r="S65" s="2069"/>
      <c r="T65" s="2069"/>
      <c r="U65" s="2069"/>
      <c r="V65" s="2069"/>
      <c r="W65" s="2069"/>
      <c r="X65" s="2069"/>
      <c r="Y65" s="2069"/>
      <c r="Z65" s="2069"/>
      <c r="AA65" s="2069"/>
      <c r="AB65" s="2069"/>
      <c r="AC65" s="2069"/>
      <c r="AD65" s="2069"/>
      <c r="AE65" s="2069"/>
      <c r="AF65" s="2069"/>
      <c r="AG65" s="2069"/>
      <c r="AH65" s="2069"/>
      <c r="AI65" s="2069"/>
      <c r="AJ65" s="2069"/>
      <c r="AK65" s="2069"/>
      <c r="AL65" s="2069"/>
      <c r="AM65" s="2069"/>
      <c r="AN65" s="2069"/>
      <c r="AO65" s="2069"/>
      <c r="AP65" s="2069"/>
      <c r="AQ65" s="2069"/>
      <c r="AR65" s="2069"/>
      <c r="AS65" s="2069"/>
      <c r="AT65" s="2069"/>
      <c r="AU65" s="2069"/>
      <c r="AV65" s="2069"/>
      <c r="AW65" s="2069"/>
      <c r="AX65" s="2069"/>
      <c r="AY65" s="2069"/>
      <c r="AZ65" s="2069"/>
      <c r="BA65" s="2069"/>
      <c r="BB65" s="2069"/>
      <c r="BC65" s="2069"/>
      <c r="BD65" s="2069"/>
      <c r="BE65" s="2069"/>
      <c r="BF65" s="2069"/>
      <c r="BG65" s="2069"/>
      <c r="BH65" s="2069"/>
      <c r="BI65" s="2069"/>
      <c r="BJ65" s="2069"/>
      <c r="BK65" s="2069"/>
      <c r="BL65" s="2069"/>
      <c r="BM65" s="2069"/>
      <c r="BN65" s="2069"/>
      <c r="BO65" s="2069"/>
      <c r="BP65" s="2069"/>
      <c r="BQ65" s="2069" t="e">
        <f t="shared" ref="BQ65:DS65" si="121">BQ50</f>
        <v>#REF!</v>
      </c>
      <c r="BR65" s="2069" t="e">
        <f t="shared" si="121"/>
        <v>#REF!</v>
      </c>
      <c r="BS65" s="2069" t="e">
        <f t="shared" si="121"/>
        <v>#REF!</v>
      </c>
      <c r="BT65" s="2069" t="e">
        <f t="shared" si="121"/>
        <v>#REF!</v>
      </c>
      <c r="BU65" s="2069" t="e">
        <f t="shared" si="121"/>
        <v>#REF!</v>
      </c>
      <c r="BV65" s="2069" t="e">
        <f t="shared" si="121"/>
        <v>#REF!</v>
      </c>
      <c r="BW65" s="2069" t="e">
        <f t="shared" si="121"/>
        <v>#REF!</v>
      </c>
      <c r="BX65" s="2069" t="e">
        <f t="shared" si="121"/>
        <v>#REF!</v>
      </c>
      <c r="BY65" s="2069" t="e">
        <f t="shared" si="121"/>
        <v>#REF!</v>
      </c>
      <c r="BZ65" s="2069" t="e">
        <f t="shared" si="121"/>
        <v>#REF!</v>
      </c>
      <c r="CA65" s="2069" t="e">
        <f t="shared" si="121"/>
        <v>#REF!</v>
      </c>
      <c r="CB65" s="2069" t="e">
        <f t="shared" si="121"/>
        <v>#REF!</v>
      </c>
      <c r="CC65" s="2069" t="e">
        <f t="shared" si="121"/>
        <v>#REF!</v>
      </c>
      <c r="CD65" s="2069" t="e">
        <f t="shared" si="121"/>
        <v>#REF!</v>
      </c>
      <c r="CE65" s="2069" t="e">
        <f t="shared" si="121"/>
        <v>#REF!</v>
      </c>
      <c r="CF65" s="2069" t="e">
        <f t="shared" si="121"/>
        <v>#REF!</v>
      </c>
      <c r="CG65" s="2069" t="e">
        <f t="shared" si="121"/>
        <v>#REF!</v>
      </c>
      <c r="CH65" s="2069" t="e">
        <f t="shared" si="121"/>
        <v>#REF!</v>
      </c>
      <c r="CI65" s="2069" t="e">
        <f t="shared" si="121"/>
        <v>#REF!</v>
      </c>
      <c r="CJ65" s="2069" t="e">
        <f t="shared" si="121"/>
        <v>#REF!</v>
      </c>
      <c r="CK65" s="2069"/>
      <c r="CL65" s="2069"/>
      <c r="CM65" s="2069"/>
      <c r="CN65" s="2069"/>
      <c r="CO65" s="2069" t="e">
        <f t="shared" si="121"/>
        <v>#REF!</v>
      </c>
      <c r="CP65" s="2069" t="e">
        <f t="shared" si="121"/>
        <v>#REF!</v>
      </c>
      <c r="CQ65" s="2069"/>
      <c r="CR65" s="2069"/>
      <c r="CS65" s="2069" t="e">
        <f>CS50</f>
        <v>#REF!</v>
      </c>
      <c r="CT65" s="2069"/>
      <c r="CU65" s="2069" t="e">
        <f>CU50</f>
        <v>#REF!</v>
      </c>
      <c r="CV65" s="2069" t="e">
        <f t="shared" si="121"/>
        <v>#REF!</v>
      </c>
      <c r="CW65" s="2069" t="e">
        <f t="shared" si="121"/>
        <v>#REF!</v>
      </c>
      <c r="CX65" s="2069" t="e">
        <f t="shared" si="121"/>
        <v>#REF!</v>
      </c>
      <c r="CY65" s="2069" t="e">
        <f t="shared" si="121"/>
        <v>#REF!</v>
      </c>
      <c r="CZ65" s="2069" t="e">
        <f t="shared" si="121"/>
        <v>#REF!</v>
      </c>
      <c r="DA65" s="2069" t="e">
        <f>DA50</f>
        <v>#REF!</v>
      </c>
      <c r="DB65" s="2069" t="e">
        <f t="shared" si="121"/>
        <v>#REF!</v>
      </c>
      <c r="DC65" s="2069" t="e">
        <f t="shared" si="121"/>
        <v>#REF!</v>
      </c>
      <c r="DD65" s="2069" t="e">
        <f t="shared" si="121"/>
        <v>#REF!</v>
      </c>
      <c r="DE65" s="2069" t="e">
        <f t="shared" si="121"/>
        <v>#REF!</v>
      </c>
      <c r="DF65" s="2069" t="e">
        <f t="shared" si="121"/>
        <v>#REF!</v>
      </c>
      <c r="DG65" s="2069" t="e">
        <f t="shared" si="121"/>
        <v>#REF!</v>
      </c>
      <c r="DH65" s="2069">
        <f t="shared" si="121"/>
        <v>15815</v>
      </c>
      <c r="DI65" s="2069" t="e">
        <f t="shared" si="121"/>
        <v>#REF!</v>
      </c>
      <c r="DJ65" s="2069" t="e">
        <f t="shared" si="121"/>
        <v>#REF!</v>
      </c>
      <c r="DK65" s="2069" t="e">
        <f t="shared" si="121"/>
        <v>#REF!</v>
      </c>
      <c r="DL65" s="2069">
        <f t="shared" si="121"/>
        <v>20185</v>
      </c>
      <c r="DM65" s="2069">
        <f t="shared" si="121"/>
        <v>22140</v>
      </c>
      <c r="DN65" s="2069">
        <f t="shared" si="121"/>
        <v>20185</v>
      </c>
      <c r="DO65" s="2069">
        <f t="shared" si="121"/>
        <v>22140</v>
      </c>
      <c r="DP65" s="2069">
        <f>DP50</f>
        <v>37320</v>
      </c>
      <c r="DQ65" s="2069"/>
      <c r="DR65" s="2069"/>
      <c r="DS65" s="2069">
        <f t="shared" si="121"/>
        <v>20185</v>
      </c>
      <c r="DT65" s="2069" t="e">
        <f t="shared" ref="DT65:EF65" si="122">DT50</f>
        <v>#REF!</v>
      </c>
      <c r="DU65" s="2069" t="e">
        <f t="shared" si="122"/>
        <v>#REF!</v>
      </c>
      <c r="DV65" s="2069" t="e">
        <f t="shared" si="122"/>
        <v>#REF!</v>
      </c>
      <c r="DW65" s="2069" t="e">
        <f t="shared" si="122"/>
        <v>#REF!</v>
      </c>
      <c r="DX65" s="2069" t="e">
        <f t="shared" si="122"/>
        <v>#REF!</v>
      </c>
      <c r="DY65" s="2069" t="e">
        <f t="shared" si="122"/>
        <v>#REF!</v>
      </c>
      <c r="DZ65" s="2069" t="e">
        <f t="shared" si="122"/>
        <v>#REF!</v>
      </c>
      <c r="EA65" s="2069" t="e">
        <f t="shared" si="122"/>
        <v>#REF!</v>
      </c>
      <c r="EB65" s="2069" t="e">
        <f t="shared" si="122"/>
        <v>#REF!</v>
      </c>
      <c r="EC65" s="2069" t="e">
        <f t="shared" si="122"/>
        <v>#REF!</v>
      </c>
      <c r="ED65" s="2069" t="e">
        <f t="shared" si="122"/>
        <v>#REF!</v>
      </c>
      <c r="EE65" s="2069" t="e">
        <f t="shared" si="122"/>
        <v>#REF!</v>
      </c>
      <c r="EF65" s="2069" t="e">
        <f t="shared" si="122"/>
        <v>#REF!</v>
      </c>
      <c r="EG65" s="2069"/>
      <c r="EH65" s="2069"/>
      <c r="EI65" s="2069"/>
      <c r="EJ65" s="2069"/>
      <c r="EK65" s="2069"/>
      <c r="EL65" s="2069"/>
      <c r="EM65" s="2069"/>
      <c r="EN65" s="2069"/>
      <c r="EO65" s="2069"/>
      <c r="EP65" s="2069"/>
      <c r="EQ65" s="2069"/>
      <c r="ER65" s="2069"/>
      <c r="ES65" s="2069"/>
      <c r="ET65" s="2069"/>
      <c r="EU65" s="2069"/>
      <c r="EV65" s="2069"/>
      <c r="EW65" s="2069"/>
      <c r="EX65" s="2069"/>
      <c r="EY65" s="2069"/>
      <c r="EZ65" s="2069"/>
      <c r="FA65" s="2069"/>
      <c r="FB65" s="2069"/>
      <c r="FC65" s="2069"/>
      <c r="FD65" s="2069"/>
      <c r="FE65" s="2066"/>
      <c r="FF65" s="2066"/>
      <c r="FG65" s="2066"/>
      <c r="FH65" s="2066"/>
      <c r="FI65" s="2066"/>
      <c r="FJ65" s="2066"/>
    </row>
    <row r="66" spans="1:241" s="1553" customFormat="1" ht="17.25" hidden="1" customHeight="1" outlineLevel="2">
      <c r="A66" s="1549">
        <v>63</v>
      </c>
      <c r="B66" s="1556" t="s">
        <v>206</v>
      </c>
      <c r="C66" s="1502" t="s">
        <v>1425</v>
      </c>
      <c r="D66" s="1556" t="s">
        <v>206</v>
      </c>
      <c r="E66" s="1502" t="s">
        <v>280</v>
      </c>
      <c r="F66" s="1502" t="e">
        <f>Покрытия_ПВХ!#REF!</f>
        <v>#REF!</v>
      </c>
      <c r="G66" s="1502"/>
      <c r="H66" s="2069"/>
      <c r="I66" s="2069"/>
      <c r="J66" s="2069"/>
      <c r="K66" s="2069"/>
      <c r="L66" s="2069"/>
      <c r="M66" s="2069"/>
      <c r="N66" s="2069"/>
      <c r="O66" s="2069"/>
      <c r="P66" s="2069"/>
      <c r="Q66" s="2069"/>
      <c r="R66" s="2069"/>
      <c r="S66" s="2069"/>
      <c r="T66" s="2069"/>
      <c r="U66" s="2069"/>
      <c r="V66" s="2069"/>
      <c r="W66" s="2069"/>
      <c r="X66" s="2069"/>
      <c r="Y66" s="2069"/>
      <c r="Z66" s="2069"/>
      <c r="AA66" s="2069"/>
      <c r="AB66" s="2069"/>
      <c r="AC66" s="2069"/>
      <c r="AD66" s="2069"/>
      <c r="AE66" s="2069"/>
      <c r="AF66" s="2069"/>
      <c r="AG66" s="2069"/>
      <c r="AH66" s="2069"/>
      <c r="AI66" s="2069"/>
      <c r="AJ66" s="2069"/>
      <c r="AK66" s="2069"/>
      <c r="AL66" s="2069"/>
      <c r="AM66" s="2069"/>
      <c r="AN66" s="2069"/>
      <c r="AO66" s="2069"/>
      <c r="AP66" s="2069"/>
      <c r="AQ66" s="2069"/>
      <c r="AR66" s="2069"/>
      <c r="AS66" s="2069"/>
      <c r="AT66" s="2069"/>
      <c r="AU66" s="2069"/>
      <c r="AV66" s="2069"/>
      <c r="AW66" s="2069"/>
      <c r="AX66" s="2069"/>
      <c r="AY66" s="2069"/>
      <c r="AZ66" s="2069"/>
      <c r="BA66" s="2069"/>
      <c r="BB66" s="2069"/>
      <c r="BC66" s="2069"/>
      <c r="BD66" s="2069"/>
      <c r="BE66" s="2069"/>
      <c r="BF66" s="2069"/>
      <c r="BG66" s="2069"/>
      <c r="BH66" s="2069"/>
      <c r="BI66" s="2069"/>
      <c r="BJ66" s="2069"/>
      <c r="BK66" s="2069"/>
      <c r="BL66" s="2069"/>
      <c r="BM66" s="2069"/>
      <c r="BN66" s="2069"/>
      <c r="BO66" s="2069"/>
      <c r="BP66" s="2069"/>
      <c r="BQ66" s="2069" t="e">
        <f t="shared" ref="BQ66:DS66" si="123">BQ50</f>
        <v>#REF!</v>
      </c>
      <c r="BR66" s="2069" t="e">
        <f t="shared" si="123"/>
        <v>#REF!</v>
      </c>
      <c r="BS66" s="2069" t="e">
        <f t="shared" si="123"/>
        <v>#REF!</v>
      </c>
      <c r="BT66" s="2069" t="e">
        <f t="shared" si="123"/>
        <v>#REF!</v>
      </c>
      <c r="BU66" s="2069" t="e">
        <f t="shared" si="123"/>
        <v>#REF!</v>
      </c>
      <c r="BV66" s="2069" t="e">
        <f t="shared" si="123"/>
        <v>#REF!</v>
      </c>
      <c r="BW66" s="2069" t="e">
        <f t="shared" si="123"/>
        <v>#REF!</v>
      </c>
      <c r="BX66" s="2069" t="e">
        <f t="shared" si="123"/>
        <v>#REF!</v>
      </c>
      <c r="BY66" s="2069" t="e">
        <f t="shared" si="123"/>
        <v>#REF!</v>
      </c>
      <c r="BZ66" s="2069" t="e">
        <f t="shared" si="123"/>
        <v>#REF!</v>
      </c>
      <c r="CA66" s="2069" t="e">
        <f t="shared" si="123"/>
        <v>#REF!</v>
      </c>
      <c r="CB66" s="2069" t="e">
        <f t="shared" si="123"/>
        <v>#REF!</v>
      </c>
      <c r="CC66" s="2069" t="e">
        <f t="shared" si="123"/>
        <v>#REF!</v>
      </c>
      <c r="CD66" s="2069" t="e">
        <f t="shared" si="123"/>
        <v>#REF!</v>
      </c>
      <c r="CE66" s="2069" t="e">
        <f t="shared" si="123"/>
        <v>#REF!</v>
      </c>
      <c r="CF66" s="2069" t="e">
        <f t="shared" si="123"/>
        <v>#REF!</v>
      </c>
      <c r="CG66" s="2069" t="e">
        <f t="shared" si="123"/>
        <v>#REF!</v>
      </c>
      <c r="CH66" s="2069" t="e">
        <f t="shared" si="123"/>
        <v>#REF!</v>
      </c>
      <c r="CI66" s="2069" t="e">
        <f t="shared" si="123"/>
        <v>#REF!</v>
      </c>
      <c r="CJ66" s="2069" t="e">
        <f t="shared" si="123"/>
        <v>#REF!</v>
      </c>
      <c r="CK66" s="2069"/>
      <c r="CL66" s="2069"/>
      <c r="CM66" s="2069"/>
      <c r="CN66" s="2069"/>
      <c r="CO66" s="2069" t="e">
        <f t="shared" si="123"/>
        <v>#REF!</v>
      </c>
      <c r="CP66" s="2069" t="e">
        <f t="shared" si="123"/>
        <v>#REF!</v>
      </c>
      <c r="CQ66" s="2069"/>
      <c r="CR66" s="2069"/>
      <c r="CS66" s="2069" t="e">
        <f>CS50</f>
        <v>#REF!</v>
      </c>
      <c r="CT66" s="2069"/>
      <c r="CU66" s="2069" t="e">
        <f>CU50</f>
        <v>#REF!</v>
      </c>
      <c r="CV66" s="2069" t="e">
        <f t="shared" si="123"/>
        <v>#REF!</v>
      </c>
      <c r="CW66" s="2069" t="e">
        <f t="shared" si="123"/>
        <v>#REF!</v>
      </c>
      <c r="CX66" s="2069" t="e">
        <f t="shared" si="123"/>
        <v>#REF!</v>
      </c>
      <c r="CY66" s="2069" t="e">
        <f t="shared" si="123"/>
        <v>#REF!</v>
      </c>
      <c r="CZ66" s="2069" t="e">
        <f t="shared" si="123"/>
        <v>#REF!</v>
      </c>
      <c r="DA66" s="2069" t="e">
        <f>DA50</f>
        <v>#REF!</v>
      </c>
      <c r="DB66" s="2069" t="e">
        <f t="shared" si="123"/>
        <v>#REF!</v>
      </c>
      <c r="DC66" s="2069" t="e">
        <f t="shared" si="123"/>
        <v>#REF!</v>
      </c>
      <c r="DD66" s="2069" t="e">
        <f t="shared" si="123"/>
        <v>#REF!</v>
      </c>
      <c r="DE66" s="2069" t="e">
        <f t="shared" si="123"/>
        <v>#REF!</v>
      </c>
      <c r="DF66" s="2069" t="e">
        <f t="shared" si="123"/>
        <v>#REF!</v>
      </c>
      <c r="DG66" s="2069" t="e">
        <f t="shared" si="123"/>
        <v>#REF!</v>
      </c>
      <c r="DH66" s="2069">
        <f t="shared" si="123"/>
        <v>15815</v>
      </c>
      <c r="DI66" s="2069" t="e">
        <f t="shared" si="123"/>
        <v>#REF!</v>
      </c>
      <c r="DJ66" s="2069" t="e">
        <f t="shared" si="123"/>
        <v>#REF!</v>
      </c>
      <c r="DK66" s="2069" t="e">
        <f t="shared" si="123"/>
        <v>#REF!</v>
      </c>
      <c r="DL66" s="2069">
        <f t="shared" si="123"/>
        <v>20185</v>
      </c>
      <c r="DM66" s="2069">
        <f t="shared" si="123"/>
        <v>22140</v>
      </c>
      <c r="DN66" s="2069">
        <f t="shared" si="123"/>
        <v>20185</v>
      </c>
      <c r="DO66" s="2069">
        <f t="shared" si="123"/>
        <v>22140</v>
      </c>
      <c r="DP66" s="2069">
        <f>DP50</f>
        <v>37320</v>
      </c>
      <c r="DQ66" s="2069"/>
      <c r="DR66" s="2069"/>
      <c r="DS66" s="2069">
        <f t="shared" si="123"/>
        <v>20185</v>
      </c>
      <c r="DT66" s="2069" t="e">
        <f t="shared" ref="DT66:EF66" si="124">DT50</f>
        <v>#REF!</v>
      </c>
      <c r="DU66" s="2069" t="e">
        <f t="shared" si="124"/>
        <v>#REF!</v>
      </c>
      <c r="DV66" s="2069" t="e">
        <f t="shared" si="124"/>
        <v>#REF!</v>
      </c>
      <c r="DW66" s="2069" t="e">
        <f t="shared" si="124"/>
        <v>#REF!</v>
      </c>
      <c r="DX66" s="2069" t="e">
        <f t="shared" si="124"/>
        <v>#REF!</v>
      </c>
      <c r="DY66" s="2069" t="e">
        <f t="shared" si="124"/>
        <v>#REF!</v>
      </c>
      <c r="DZ66" s="2069" t="e">
        <f t="shared" si="124"/>
        <v>#REF!</v>
      </c>
      <c r="EA66" s="2069" t="e">
        <f t="shared" si="124"/>
        <v>#REF!</v>
      </c>
      <c r="EB66" s="2069" t="e">
        <f t="shared" si="124"/>
        <v>#REF!</v>
      </c>
      <c r="EC66" s="2069" t="e">
        <f t="shared" si="124"/>
        <v>#REF!</v>
      </c>
      <c r="ED66" s="2069" t="e">
        <f t="shared" si="124"/>
        <v>#REF!</v>
      </c>
      <c r="EE66" s="2069" t="e">
        <f t="shared" si="124"/>
        <v>#REF!</v>
      </c>
      <c r="EF66" s="2069" t="e">
        <f t="shared" si="124"/>
        <v>#REF!</v>
      </c>
      <c r="EG66" s="2069"/>
      <c r="EH66" s="2069"/>
      <c r="EI66" s="2069"/>
      <c r="EJ66" s="2069"/>
      <c r="EK66" s="2069"/>
      <c r="EL66" s="2069"/>
      <c r="EM66" s="2069"/>
      <c r="EN66" s="2069"/>
      <c r="EO66" s="2069"/>
      <c r="EP66" s="2069"/>
      <c r="EQ66" s="2069"/>
      <c r="ER66" s="2069"/>
      <c r="ES66" s="2069"/>
      <c r="ET66" s="2069"/>
      <c r="EU66" s="2069"/>
      <c r="EV66" s="2069"/>
      <c r="EW66" s="2069"/>
      <c r="EX66" s="2069"/>
      <c r="EY66" s="2069"/>
      <c r="EZ66" s="2069"/>
      <c r="FA66" s="2069"/>
      <c r="FB66" s="2069"/>
      <c r="FC66" s="2069"/>
      <c r="FD66" s="2069"/>
      <c r="FE66" s="2066"/>
      <c r="FF66" s="2066"/>
      <c r="FG66" s="2066"/>
      <c r="FH66" s="2066"/>
      <c r="FI66" s="2066"/>
      <c r="FJ66" s="2066"/>
    </row>
    <row r="67" spans="1:241" s="1553" customFormat="1" ht="17.25" hidden="1" customHeight="1" outlineLevel="2">
      <c r="A67" s="1552">
        <v>64</v>
      </c>
      <c r="B67" s="1556" t="s">
        <v>206</v>
      </c>
      <c r="C67" s="1502" t="s">
        <v>1425</v>
      </c>
      <c r="D67" s="1556" t="s">
        <v>206</v>
      </c>
      <c r="E67" s="1502" t="s">
        <v>1164</v>
      </c>
      <c r="F67" s="1502" t="e">
        <f>Покрытия_ПВХ!#REF!</f>
        <v>#REF!</v>
      </c>
      <c r="G67" s="1502"/>
      <c r="H67" s="2069"/>
      <c r="I67" s="2069"/>
      <c r="J67" s="2069"/>
      <c r="K67" s="2069"/>
      <c r="L67" s="2069"/>
      <c r="M67" s="2069"/>
      <c r="N67" s="2069"/>
      <c r="O67" s="2069"/>
      <c r="P67" s="2069"/>
      <c r="Q67" s="2069"/>
      <c r="R67" s="2069"/>
      <c r="S67" s="2069"/>
      <c r="T67" s="2069"/>
      <c r="U67" s="2069"/>
      <c r="V67" s="2069"/>
      <c r="W67" s="2069"/>
      <c r="X67" s="2069"/>
      <c r="Y67" s="2069"/>
      <c r="Z67" s="2069"/>
      <c r="AA67" s="2069"/>
      <c r="AB67" s="2069"/>
      <c r="AC67" s="2069"/>
      <c r="AD67" s="2069"/>
      <c r="AE67" s="2069"/>
      <c r="AF67" s="2069"/>
      <c r="AG67" s="2069"/>
      <c r="AH67" s="2069"/>
      <c r="AI67" s="2069"/>
      <c r="AJ67" s="2069"/>
      <c r="AK67" s="2069"/>
      <c r="AL67" s="2069"/>
      <c r="AM67" s="2069"/>
      <c r="AN67" s="2069"/>
      <c r="AO67" s="2069"/>
      <c r="AP67" s="2069"/>
      <c r="AQ67" s="2069"/>
      <c r="AR67" s="2069"/>
      <c r="AS67" s="2069"/>
      <c r="AT67" s="2069"/>
      <c r="AU67" s="2069"/>
      <c r="AV67" s="2069"/>
      <c r="AW67" s="2069"/>
      <c r="AX67" s="2069"/>
      <c r="AY67" s="2069"/>
      <c r="AZ67" s="2069"/>
      <c r="BA67" s="2069"/>
      <c r="BB67" s="2069"/>
      <c r="BC67" s="2069"/>
      <c r="BD67" s="2069"/>
      <c r="BE67" s="2069"/>
      <c r="BF67" s="2069"/>
      <c r="BG67" s="2069"/>
      <c r="BH67" s="2069"/>
      <c r="BI67" s="2069"/>
      <c r="BJ67" s="2069"/>
      <c r="BK67" s="2069"/>
      <c r="BL67" s="2069"/>
      <c r="BM67" s="2069"/>
      <c r="BN67" s="2069"/>
      <c r="BO67" s="2069"/>
      <c r="BP67" s="2069"/>
      <c r="BQ67" s="2069" t="e">
        <f t="shared" ref="BQ67:CD67" si="125">BQ50</f>
        <v>#REF!</v>
      </c>
      <c r="BR67" s="2069" t="e">
        <f t="shared" si="125"/>
        <v>#REF!</v>
      </c>
      <c r="BS67" s="2069" t="e">
        <f t="shared" si="125"/>
        <v>#REF!</v>
      </c>
      <c r="BT67" s="2069" t="e">
        <f t="shared" si="125"/>
        <v>#REF!</v>
      </c>
      <c r="BU67" s="2069" t="e">
        <f t="shared" si="125"/>
        <v>#REF!</v>
      </c>
      <c r="BV67" s="2069" t="e">
        <f t="shared" si="125"/>
        <v>#REF!</v>
      </c>
      <c r="BW67" s="2069" t="e">
        <f t="shared" si="125"/>
        <v>#REF!</v>
      </c>
      <c r="BX67" s="2069" t="e">
        <f t="shared" si="125"/>
        <v>#REF!</v>
      </c>
      <c r="BY67" s="2069" t="e">
        <f t="shared" si="125"/>
        <v>#REF!</v>
      </c>
      <c r="BZ67" s="2069" t="e">
        <f t="shared" si="125"/>
        <v>#REF!</v>
      </c>
      <c r="CA67" s="2069" t="e">
        <f t="shared" si="125"/>
        <v>#REF!</v>
      </c>
      <c r="CB67" s="2069" t="e">
        <f t="shared" si="125"/>
        <v>#REF!</v>
      </c>
      <c r="CC67" s="2069" t="e">
        <f t="shared" si="125"/>
        <v>#REF!</v>
      </c>
      <c r="CD67" s="2069" t="e">
        <f t="shared" si="125"/>
        <v>#REF!</v>
      </c>
      <c r="CE67" s="2069"/>
      <c r="CF67" s="2069"/>
      <c r="CG67" s="2069"/>
      <c r="CH67" s="2069"/>
      <c r="CI67" s="2069"/>
      <c r="CJ67" s="2069"/>
      <c r="CK67" s="2069"/>
      <c r="CL67" s="2069"/>
      <c r="CM67" s="2069"/>
      <c r="CN67" s="2069"/>
      <c r="CO67" s="2069"/>
      <c r="CP67" s="2069"/>
      <c r="CQ67" s="2069"/>
      <c r="CR67" s="2069"/>
      <c r="CS67" s="2069"/>
      <c r="CT67" s="2069"/>
      <c r="CU67" s="2069"/>
      <c r="CV67" s="2069"/>
      <c r="CW67" s="2069"/>
      <c r="CX67" s="2069"/>
      <c r="CY67" s="2069"/>
      <c r="CZ67" s="2069"/>
      <c r="DA67" s="2069"/>
      <c r="DB67" s="2069"/>
      <c r="DC67" s="2069"/>
      <c r="DD67" s="2069"/>
      <c r="DE67" s="2069"/>
      <c r="DF67" s="2069"/>
      <c r="DG67" s="2069"/>
      <c r="DH67" s="2069">
        <f t="shared" ref="DH67:DP67" si="126">DH50</f>
        <v>15815</v>
      </c>
      <c r="DI67" s="2069" t="e">
        <f t="shared" si="126"/>
        <v>#REF!</v>
      </c>
      <c r="DJ67" s="2069" t="e">
        <f t="shared" si="126"/>
        <v>#REF!</v>
      </c>
      <c r="DK67" s="2069" t="e">
        <f t="shared" si="126"/>
        <v>#REF!</v>
      </c>
      <c r="DL67" s="2069">
        <f t="shared" si="126"/>
        <v>20185</v>
      </c>
      <c r="DM67" s="2069">
        <f t="shared" si="126"/>
        <v>22140</v>
      </c>
      <c r="DN67" s="2069">
        <f t="shared" si="126"/>
        <v>20185</v>
      </c>
      <c r="DO67" s="2069">
        <f t="shared" si="126"/>
        <v>22140</v>
      </c>
      <c r="DP67" s="2069">
        <f t="shared" si="126"/>
        <v>37320</v>
      </c>
      <c r="DQ67" s="2069"/>
      <c r="DR67" s="2069"/>
      <c r="DS67" s="2069">
        <f t="shared" ref="DS67:EF67" si="127">DS50</f>
        <v>20185</v>
      </c>
      <c r="DT67" s="2069" t="e">
        <f t="shared" si="127"/>
        <v>#REF!</v>
      </c>
      <c r="DU67" s="2069" t="e">
        <f t="shared" si="127"/>
        <v>#REF!</v>
      </c>
      <c r="DV67" s="2069" t="e">
        <f t="shared" si="127"/>
        <v>#REF!</v>
      </c>
      <c r="DW67" s="2069" t="e">
        <f t="shared" si="127"/>
        <v>#REF!</v>
      </c>
      <c r="DX67" s="2069" t="e">
        <f t="shared" si="127"/>
        <v>#REF!</v>
      </c>
      <c r="DY67" s="2069" t="e">
        <f t="shared" si="127"/>
        <v>#REF!</v>
      </c>
      <c r="DZ67" s="2069" t="e">
        <f t="shared" si="127"/>
        <v>#REF!</v>
      </c>
      <c r="EA67" s="2069" t="e">
        <f t="shared" si="127"/>
        <v>#REF!</v>
      </c>
      <c r="EB67" s="2069" t="e">
        <f t="shared" si="127"/>
        <v>#REF!</v>
      </c>
      <c r="EC67" s="2069" t="e">
        <f t="shared" si="127"/>
        <v>#REF!</v>
      </c>
      <c r="ED67" s="2069" t="e">
        <f t="shared" si="127"/>
        <v>#REF!</v>
      </c>
      <c r="EE67" s="2069" t="e">
        <f t="shared" si="127"/>
        <v>#REF!</v>
      </c>
      <c r="EF67" s="2069" t="e">
        <f t="shared" si="127"/>
        <v>#REF!</v>
      </c>
      <c r="EG67" s="2069"/>
      <c r="EH67" s="2069"/>
      <c r="EI67" s="2069"/>
      <c r="EJ67" s="2069"/>
      <c r="EK67" s="2069"/>
      <c r="EL67" s="2069"/>
      <c r="EM67" s="2069"/>
      <c r="EN67" s="2069"/>
      <c r="EO67" s="2069"/>
      <c r="EP67" s="2069"/>
      <c r="EQ67" s="2069"/>
      <c r="ER67" s="2069"/>
      <c r="ES67" s="2069"/>
      <c r="ET67" s="2069"/>
      <c r="EU67" s="2069"/>
      <c r="EV67" s="2069"/>
      <c r="EW67" s="2069"/>
      <c r="EX67" s="2069"/>
      <c r="EY67" s="2069"/>
      <c r="EZ67" s="2069"/>
      <c r="FA67" s="2069"/>
      <c r="FB67" s="2069"/>
      <c r="FC67" s="2069"/>
      <c r="FD67" s="2069"/>
      <c r="FE67" s="2066"/>
      <c r="FF67" s="2066"/>
      <c r="FG67" s="2066"/>
      <c r="FH67" s="2066"/>
      <c r="FI67" s="2066"/>
      <c r="FJ67" s="2066"/>
    </row>
    <row r="68" spans="1:241" s="1553" customFormat="1" ht="17.25" hidden="1" customHeight="1" outlineLevel="2">
      <c r="A68" s="1549">
        <v>65</v>
      </c>
      <c r="B68" s="1556" t="s">
        <v>206</v>
      </c>
      <c r="C68" s="1502"/>
      <c r="D68" s="1556" t="s">
        <v>206</v>
      </c>
      <c r="E68" s="1502" t="s">
        <v>1164</v>
      </c>
      <c r="F68" s="1502" t="e">
        <f>Покрытия_ПВХ!#REF!</f>
        <v>#REF!</v>
      </c>
      <c r="G68" s="1502"/>
      <c r="H68" s="2069"/>
      <c r="I68" s="2069"/>
      <c r="J68" s="2069"/>
      <c r="K68" s="2069"/>
      <c r="L68" s="2069"/>
      <c r="M68" s="2069"/>
      <c r="N68" s="2069"/>
      <c r="O68" s="2069"/>
      <c r="P68" s="2069"/>
      <c r="Q68" s="2069"/>
      <c r="R68" s="2069"/>
      <c r="S68" s="2069"/>
      <c r="T68" s="2069"/>
      <c r="U68" s="2069"/>
      <c r="V68" s="2069"/>
      <c r="W68" s="2069"/>
      <c r="X68" s="2069"/>
      <c r="Y68" s="2069"/>
      <c r="Z68" s="2069"/>
      <c r="AA68" s="2069"/>
      <c r="AB68" s="2069"/>
      <c r="AC68" s="2069"/>
      <c r="AD68" s="2069"/>
      <c r="AE68" s="2069"/>
      <c r="AF68" s="2069"/>
      <c r="AG68" s="2069"/>
      <c r="AH68" s="2069"/>
      <c r="AI68" s="2069"/>
      <c r="AJ68" s="2069"/>
      <c r="AK68" s="2069"/>
      <c r="AL68" s="2069"/>
      <c r="AM68" s="2069"/>
      <c r="AN68" s="2069"/>
      <c r="AO68" s="2069"/>
      <c r="AP68" s="2069"/>
      <c r="AQ68" s="2069"/>
      <c r="AR68" s="2069"/>
      <c r="AS68" s="2069"/>
      <c r="AT68" s="2069"/>
      <c r="AU68" s="2069"/>
      <c r="AV68" s="2069"/>
      <c r="AW68" s="2069"/>
      <c r="AX68" s="2069"/>
      <c r="AY68" s="2069"/>
      <c r="AZ68" s="2069"/>
      <c r="BA68" s="2069"/>
      <c r="BB68" s="2069"/>
      <c r="BC68" s="2069"/>
      <c r="BD68" s="2069"/>
      <c r="BE68" s="2069"/>
      <c r="BF68" s="2069"/>
      <c r="BG68" s="2069"/>
      <c r="BH68" s="2069"/>
      <c r="BI68" s="2069"/>
      <c r="BJ68" s="2069"/>
      <c r="BK68" s="2069"/>
      <c r="BL68" s="2069"/>
      <c r="BM68" s="2069"/>
      <c r="BN68" s="2069"/>
      <c r="BO68" s="2069"/>
      <c r="BP68" s="2069"/>
      <c r="BQ68" s="2069" t="e">
        <f t="shared" ref="BQ68:CD68" si="128">BQ50</f>
        <v>#REF!</v>
      </c>
      <c r="BR68" s="2069" t="e">
        <f t="shared" si="128"/>
        <v>#REF!</v>
      </c>
      <c r="BS68" s="2069" t="e">
        <f t="shared" si="128"/>
        <v>#REF!</v>
      </c>
      <c r="BT68" s="2069" t="e">
        <f t="shared" si="128"/>
        <v>#REF!</v>
      </c>
      <c r="BU68" s="2069" t="e">
        <f t="shared" si="128"/>
        <v>#REF!</v>
      </c>
      <c r="BV68" s="2069" t="e">
        <f t="shared" si="128"/>
        <v>#REF!</v>
      </c>
      <c r="BW68" s="2069" t="e">
        <f t="shared" si="128"/>
        <v>#REF!</v>
      </c>
      <c r="BX68" s="2069" t="e">
        <f t="shared" si="128"/>
        <v>#REF!</v>
      </c>
      <c r="BY68" s="2069" t="e">
        <f t="shared" si="128"/>
        <v>#REF!</v>
      </c>
      <c r="BZ68" s="2069" t="e">
        <f t="shared" si="128"/>
        <v>#REF!</v>
      </c>
      <c r="CA68" s="2069" t="e">
        <f t="shared" si="128"/>
        <v>#REF!</v>
      </c>
      <c r="CB68" s="2069" t="e">
        <f t="shared" si="128"/>
        <v>#REF!</v>
      </c>
      <c r="CC68" s="2069" t="e">
        <f t="shared" si="128"/>
        <v>#REF!</v>
      </c>
      <c r="CD68" s="2069" t="e">
        <f t="shared" si="128"/>
        <v>#REF!</v>
      </c>
      <c r="CE68" s="2069"/>
      <c r="CF68" s="2069"/>
      <c r="CG68" s="2069"/>
      <c r="CH68" s="2069"/>
      <c r="CI68" s="2069"/>
      <c r="CJ68" s="2069"/>
      <c r="CK68" s="2069"/>
      <c r="CL68" s="2069"/>
      <c r="CM68" s="2069"/>
      <c r="CN68" s="2069"/>
      <c r="CO68" s="2069"/>
      <c r="CP68" s="2069"/>
      <c r="CQ68" s="2069"/>
      <c r="CR68" s="2069"/>
      <c r="CS68" s="2069"/>
      <c r="CT68" s="2069"/>
      <c r="CU68" s="2069"/>
      <c r="CV68" s="2069"/>
      <c r="CW68" s="2069"/>
      <c r="CX68" s="2069"/>
      <c r="CY68" s="2069"/>
      <c r="CZ68" s="2069"/>
      <c r="DA68" s="2069"/>
      <c r="DB68" s="2069"/>
      <c r="DC68" s="2069"/>
      <c r="DD68" s="2069"/>
      <c r="DE68" s="2069"/>
      <c r="DF68" s="2069"/>
      <c r="DG68" s="2069"/>
      <c r="DH68" s="2069">
        <f t="shared" ref="DH68:DP68" si="129">DH50</f>
        <v>15815</v>
      </c>
      <c r="DI68" s="2069" t="e">
        <f t="shared" si="129"/>
        <v>#REF!</v>
      </c>
      <c r="DJ68" s="2069" t="e">
        <f t="shared" si="129"/>
        <v>#REF!</v>
      </c>
      <c r="DK68" s="2069" t="e">
        <f t="shared" si="129"/>
        <v>#REF!</v>
      </c>
      <c r="DL68" s="2069">
        <f t="shared" si="129"/>
        <v>20185</v>
      </c>
      <c r="DM68" s="2069">
        <f t="shared" si="129"/>
        <v>22140</v>
      </c>
      <c r="DN68" s="2069">
        <f t="shared" si="129"/>
        <v>20185</v>
      </c>
      <c r="DO68" s="2069">
        <f t="shared" si="129"/>
        <v>22140</v>
      </c>
      <c r="DP68" s="2069">
        <f t="shared" si="129"/>
        <v>37320</v>
      </c>
      <c r="DQ68" s="2069"/>
      <c r="DR68" s="2069"/>
      <c r="DS68" s="2069">
        <f t="shared" ref="DS68:EF68" si="130">DS50</f>
        <v>20185</v>
      </c>
      <c r="DT68" s="2069" t="e">
        <f t="shared" si="130"/>
        <v>#REF!</v>
      </c>
      <c r="DU68" s="2069" t="e">
        <f t="shared" si="130"/>
        <v>#REF!</v>
      </c>
      <c r="DV68" s="2069" t="e">
        <f t="shared" si="130"/>
        <v>#REF!</v>
      </c>
      <c r="DW68" s="2069" t="e">
        <f t="shared" si="130"/>
        <v>#REF!</v>
      </c>
      <c r="DX68" s="2069" t="e">
        <f t="shared" si="130"/>
        <v>#REF!</v>
      </c>
      <c r="DY68" s="2069" t="e">
        <f t="shared" si="130"/>
        <v>#REF!</v>
      </c>
      <c r="DZ68" s="2069" t="e">
        <f t="shared" si="130"/>
        <v>#REF!</v>
      </c>
      <c r="EA68" s="2069" t="e">
        <f t="shared" si="130"/>
        <v>#REF!</v>
      </c>
      <c r="EB68" s="2069" t="e">
        <f t="shared" si="130"/>
        <v>#REF!</v>
      </c>
      <c r="EC68" s="2069" t="e">
        <f t="shared" si="130"/>
        <v>#REF!</v>
      </c>
      <c r="ED68" s="2069" t="e">
        <f t="shared" si="130"/>
        <v>#REF!</v>
      </c>
      <c r="EE68" s="2069" t="e">
        <f t="shared" si="130"/>
        <v>#REF!</v>
      </c>
      <c r="EF68" s="2069" t="e">
        <f t="shared" si="130"/>
        <v>#REF!</v>
      </c>
      <c r="EG68" s="2069"/>
      <c r="EH68" s="2069"/>
      <c r="EI68" s="2069"/>
      <c r="EJ68" s="2069"/>
      <c r="EK68" s="2069"/>
      <c r="EL68" s="2069"/>
      <c r="EM68" s="2069"/>
      <c r="EN68" s="2069"/>
      <c r="EO68" s="2069"/>
      <c r="EP68" s="2069"/>
      <c r="EQ68" s="2069"/>
      <c r="ER68" s="2069"/>
      <c r="ES68" s="2069"/>
      <c r="ET68" s="2069"/>
      <c r="EU68" s="2069"/>
      <c r="EV68" s="2069"/>
      <c r="EW68" s="2069"/>
      <c r="EX68" s="2069"/>
      <c r="EY68" s="2069"/>
      <c r="EZ68" s="2069"/>
      <c r="FA68" s="2069"/>
      <c r="FB68" s="2069"/>
      <c r="FC68" s="2069"/>
      <c r="FD68" s="2069"/>
      <c r="FE68" s="2066"/>
      <c r="FF68" s="2066"/>
      <c r="FG68" s="2066"/>
      <c r="FH68" s="2066"/>
      <c r="FI68" s="2066"/>
      <c r="FJ68" s="2066"/>
    </row>
    <row r="69" spans="1:241" s="1553" customFormat="1" ht="17.25" hidden="1" customHeight="1" outlineLevel="2">
      <c r="A69" s="1552">
        <v>66</v>
      </c>
      <c r="B69" s="1556" t="s">
        <v>206</v>
      </c>
      <c r="C69" s="1502"/>
      <c r="D69" s="1556" t="s">
        <v>206</v>
      </c>
      <c r="E69" s="1502" t="s">
        <v>1164</v>
      </c>
      <c r="F69" s="1502" t="e">
        <f>Покрытия_ПВХ!#REF!</f>
        <v>#REF!</v>
      </c>
      <c r="G69" s="1502"/>
      <c r="H69" s="2069"/>
      <c r="I69" s="2069"/>
      <c r="J69" s="2069"/>
      <c r="K69" s="2069"/>
      <c r="L69" s="2069"/>
      <c r="M69" s="2069"/>
      <c r="N69" s="2069"/>
      <c r="O69" s="2069"/>
      <c r="P69" s="2069"/>
      <c r="Q69" s="2069"/>
      <c r="R69" s="2069"/>
      <c r="S69" s="2069"/>
      <c r="T69" s="2069"/>
      <c r="U69" s="2069"/>
      <c r="V69" s="2069"/>
      <c r="W69" s="2069"/>
      <c r="X69" s="2069"/>
      <c r="Y69" s="2069"/>
      <c r="Z69" s="2069"/>
      <c r="AA69" s="2069"/>
      <c r="AB69" s="2069"/>
      <c r="AC69" s="2069"/>
      <c r="AD69" s="2069"/>
      <c r="AE69" s="2069"/>
      <c r="AF69" s="2069"/>
      <c r="AG69" s="2069"/>
      <c r="AH69" s="2069"/>
      <c r="AI69" s="2069"/>
      <c r="AJ69" s="2069"/>
      <c r="AK69" s="2069"/>
      <c r="AL69" s="2069"/>
      <c r="AM69" s="2069"/>
      <c r="AN69" s="2069"/>
      <c r="AO69" s="2069"/>
      <c r="AP69" s="2069"/>
      <c r="AQ69" s="2069"/>
      <c r="AR69" s="2069"/>
      <c r="AS69" s="2069"/>
      <c r="AT69" s="2069"/>
      <c r="AU69" s="2069"/>
      <c r="AV69" s="2069"/>
      <c r="AW69" s="2069"/>
      <c r="AX69" s="2069"/>
      <c r="AY69" s="2069"/>
      <c r="AZ69" s="2069"/>
      <c r="BA69" s="2069"/>
      <c r="BB69" s="2069"/>
      <c r="BC69" s="2069"/>
      <c r="BD69" s="2069"/>
      <c r="BE69" s="2069"/>
      <c r="BF69" s="2069"/>
      <c r="BG69" s="2069"/>
      <c r="BH69" s="2069"/>
      <c r="BI69" s="2069"/>
      <c r="BJ69" s="2069"/>
      <c r="BK69" s="2069"/>
      <c r="BL69" s="2069"/>
      <c r="BM69" s="2069"/>
      <c r="BN69" s="2069"/>
      <c r="BO69" s="2069"/>
      <c r="BP69" s="2069"/>
      <c r="BQ69" s="2069" t="e">
        <f t="shared" ref="BQ69:CD69" si="131">BQ50</f>
        <v>#REF!</v>
      </c>
      <c r="BR69" s="2069" t="e">
        <f t="shared" si="131"/>
        <v>#REF!</v>
      </c>
      <c r="BS69" s="2069" t="e">
        <f t="shared" si="131"/>
        <v>#REF!</v>
      </c>
      <c r="BT69" s="2069" t="e">
        <f t="shared" si="131"/>
        <v>#REF!</v>
      </c>
      <c r="BU69" s="2069" t="e">
        <f t="shared" si="131"/>
        <v>#REF!</v>
      </c>
      <c r="BV69" s="2069" t="e">
        <f t="shared" si="131"/>
        <v>#REF!</v>
      </c>
      <c r="BW69" s="2069" t="e">
        <f t="shared" si="131"/>
        <v>#REF!</v>
      </c>
      <c r="BX69" s="2069" t="e">
        <f t="shared" si="131"/>
        <v>#REF!</v>
      </c>
      <c r="BY69" s="2069" t="e">
        <f t="shared" si="131"/>
        <v>#REF!</v>
      </c>
      <c r="BZ69" s="2069" t="e">
        <f t="shared" si="131"/>
        <v>#REF!</v>
      </c>
      <c r="CA69" s="2069" t="e">
        <f t="shared" si="131"/>
        <v>#REF!</v>
      </c>
      <c r="CB69" s="2069" t="e">
        <f t="shared" si="131"/>
        <v>#REF!</v>
      </c>
      <c r="CC69" s="2069" t="e">
        <f t="shared" si="131"/>
        <v>#REF!</v>
      </c>
      <c r="CD69" s="2069" t="e">
        <f t="shared" si="131"/>
        <v>#REF!</v>
      </c>
      <c r="CE69" s="2069"/>
      <c r="CF69" s="2069"/>
      <c r="CG69" s="2069"/>
      <c r="CH69" s="2069"/>
      <c r="CI69" s="2069"/>
      <c r="CJ69" s="2069"/>
      <c r="CK69" s="2069"/>
      <c r="CL69" s="2069"/>
      <c r="CM69" s="2069"/>
      <c r="CN69" s="2069"/>
      <c r="CO69" s="2069"/>
      <c r="CP69" s="2069"/>
      <c r="CQ69" s="2069"/>
      <c r="CR69" s="2069"/>
      <c r="CS69" s="2069"/>
      <c r="CT69" s="2069"/>
      <c r="CU69" s="2069"/>
      <c r="CV69" s="2069"/>
      <c r="CW69" s="2069"/>
      <c r="CX69" s="2069"/>
      <c r="CY69" s="2069"/>
      <c r="CZ69" s="2069"/>
      <c r="DA69" s="2069"/>
      <c r="DB69" s="2069"/>
      <c r="DC69" s="2069"/>
      <c r="DD69" s="2069"/>
      <c r="DE69" s="2069"/>
      <c r="DF69" s="2069"/>
      <c r="DG69" s="2069"/>
      <c r="DH69" s="2069">
        <f t="shared" ref="DH69:DP69" si="132">DH50</f>
        <v>15815</v>
      </c>
      <c r="DI69" s="2069" t="e">
        <f t="shared" si="132"/>
        <v>#REF!</v>
      </c>
      <c r="DJ69" s="2069" t="e">
        <f t="shared" si="132"/>
        <v>#REF!</v>
      </c>
      <c r="DK69" s="2069" t="e">
        <f t="shared" si="132"/>
        <v>#REF!</v>
      </c>
      <c r="DL69" s="2069">
        <f t="shared" si="132"/>
        <v>20185</v>
      </c>
      <c r="DM69" s="2069">
        <f t="shared" si="132"/>
        <v>22140</v>
      </c>
      <c r="DN69" s="2069">
        <f t="shared" si="132"/>
        <v>20185</v>
      </c>
      <c r="DO69" s="2069">
        <f t="shared" si="132"/>
        <v>22140</v>
      </c>
      <c r="DP69" s="2069">
        <f t="shared" si="132"/>
        <v>37320</v>
      </c>
      <c r="DQ69" s="2069"/>
      <c r="DR69" s="2069"/>
      <c r="DS69" s="2069">
        <f t="shared" ref="DS69:EF69" si="133">DS50</f>
        <v>20185</v>
      </c>
      <c r="DT69" s="2069" t="e">
        <f t="shared" si="133"/>
        <v>#REF!</v>
      </c>
      <c r="DU69" s="2069" t="e">
        <f t="shared" si="133"/>
        <v>#REF!</v>
      </c>
      <c r="DV69" s="2069" t="e">
        <f t="shared" si="133"/>
        <v>#REF!</v>
      </c>
      <c r="DW69" s="2069" t="e">
        <f t="shared" si="133"/>
        <v>#REF!</v>
      </c>
      <c r="DX69" s="2069" t="e">
        <f t="shared" si="133"/>
        <v>#REF!</v>
      </c>
      <c r="DY69" s="2069" t="e">
        <f t="shared" si="133"/>
        <v>#REF!</v>
      </c>
      <c r="DZ69" s="2069" t="e">
        <f t="shared" si="133"/>
        <v>#REF!</v>
      </c>
      <c r="EA69" s="2069" t="e">
        <f t="shared" si="133"/>
        <v>#REF!</v>
      </c>
      <c r="EB69" s="2069" t="e">
        <f t="shared" si="133"/>
        <v>#REF!</v>
      </c>
      <c r="EC69" s="2069" t="e">
        <f t="shared" si="133"/>
        <v>#REF!</v>
      </c>
      <c r="ED69" s="2069" t="e">
        <f t="shared" si="133"/>
        <v>#REF!</v>
      </c>
      <c r="EE69" s="2069" t="e">
        <f t="shared" si="133"/>
        <v>#REF!</v>
      </c>
      <c r="EF69" s="2069" t="e">
        <f t="shared" si="133"/>
        <v>#REF!</v>
      </c>
      <c r="EG69" s="2069"/>
      <c r="EH69" s="2069"/>
      <c r="EI69" s="2069"/>
      <c r="EJ69" s="2069"/>
      <c r="EK69" s="2069"/>
      <c r="EL69" s="2069"/>
      <c r="EM69" s="2069"/>
      <c r="EN69" s="2069"/>
      <c r="EO69" s="2069"/>
      <c r="EP69" s="2069"/>
      <c r="EQ69" s="2069"/>
      <c r="ER69" s="2069"/>
      <c r="ES69" s="2069"/>
      <c r="ET69" s="2069"/>
      <c r="EU69" s="2069"/>
      <c r="EV69" s="2069"/>
      <c r="EW69" s="2069"/>
      <c r="EX69" s="2069"/>
      <c r="EY69" s="2069"/>
      <c r="EZ69" s="2069"/>
      <c r="FA69" s="2069"/>
      <c r="FB69" s="2069"/>
      <c r="FC69" s="2069"/>
      <c r="FD69" s="2069"/>
      <c r="FE69" s="2066"/>
      <c r="FF69" s="2066"/>
      <c r="FG69" s="2066"/>
      <c r="FH69" s="2066"/>
      <c r="FI69" s="2066"/>
      <c r="FJ69" s="2066"/>
    </row>
    <row r="70" spans="1:241" s="1553" customFormat="1" ht="17.25" hidden="1" customHeight="1" outlineLevel="2">
      <c r="A70" s="1549">
        <v>67</v>
      </c>
      <c r="B70" s="1556" t="s">
        <v>206</v>
      </c>
      <c r="C70" s="1502"/>
      <c r="D70" s="1556" t="s">
        <v>206</v>
      </c>
      <c r="E70" s="1502" t="s">
        <v>1164</v>
      </c>
      <c r="F70" s="1502" t="e">
        <f>Покрытия_ПВХ!#REF!</f>
        <v>#REF!</v>
      </c>
      <c r="G70" s="1502"/>
      <c r="H70" s="2069"/>
      <c r="I70" s="2069"/>
      <c r="J70" s="2069"/>
      <c r="K70" s="2069"/>
      <c r="L70" s="2069"/>
      <c r="M70" s="2069"/>
      <c r="N70" s="2069"/>
      <c r="O70" s="2069"/>
      <c r="P70" s="2069"/>
      <c r="Q70" s="2069"/>
      <c r="R70" s="2069"/>
      <c r="S70" s="2069"/>
      <c r="T70" s="2069"/>
      <c r="U70" s="2069"/>
      <c r="V70" s="2069"/>
      <c r="W70" s="2069"/>
      <c r="X70" s="2069"/>
      <c r="Y70" s="2069"/>
      <c r="Z70" s="2069"/>
      <c r="AA70" s="2069"/>
      <c r="AB70" s="2069"/>
      <c r="AC70" s="2069"/>
      <c r="AD70" s="2069"/>
      <c r="AE70" s="2069"/>
      <c r="AF70" s="2069"/>
      <c r="AG70" s="2069"/>
      <c r="AH70" s="2069"/>
      <c r="AI70" s="2069"/>
      <c r="AJ70" s="2069"/>
      <c r="AK70" s="2069"/>
      <c r="AL70" s="2069"/>
      <c r="AM70" s="2069"/>
      <c r="AN70" s="2069"/>
      <c r="AO70" s="2069"/>
      <c r="AP70" s="2069"/>
      <c r="AQ70" s="2069"/>
      <c r="AR70" s="2069"/>
      <c r="AS70" s="2069"/>
      <c r="AT70" s="2069"/>
      <c r="AU70" s="2069"/>
      <c r="AV70" s="2069"/>
      <c r="AW70" s="2069"/>
      <c r="AX70" s="2069"/>
      <c r="AY70" s="2069"/>
      <c r="AZ70" s="2069"/>
      <c r="BA70" s="2069"/>
      <c r="BB70" s="2069"/>
      <c r="BC70" s="2069"/>
      <c r="BD70" s="2069"/>
      <c r="BE70" s="2069"/>
      <c r="BF70" s="2069"/>
      <c r="BG70" s="2069"/>
      <c r="BH70" s="2069"/>
      <c r="BI70" s="2069"/>
      <c r="BJ70" s="2069"/>
      <c r="BK70" s="2069"/>
      <c r="BL70" s="2069"/>
      <c r="BM70" s="2069"/>
      <c r="BN70" s="2069"/>
      <c r="BO70" s="2069"/>
      <c r="BP70" s="2069"/>
      <c r="BQ70" s="2069" t="e">
        <f t="shared" ref="BQ70:CD70" si="134">BQ50</f>
        <v>#REF!</v>
      </c>
      <c r="BR70" s="2069" t="e">
        <f t="shared" si="134"/>
        <v>#REF!</v>
      </c>
      <c r="BS70" s="2069" t="e">
        <f t="shared" si="134"/>
        <v>#REF!</v>
      </c>
      <c r="BT70" s="2069" t="e">
        <f t="shared" si="134"/>
        <v>#REF!</v>
      </c>
      <c r="BU70" s="2069" t="e">
        <f t="shared" si="134"/>
        <v>#REF!</v>
      </c>
      <c r="BV70" s="2069" t="e">
        <f t="shared" si="134"/>
        <v>#REF!</v>
      </c>
      <c r="BW70" s="2069" t="e">
        <f t="shared" si="134"/>
        <v>#REF!</v>
      </c>
      <c r="BX70" s="2069" t="e">
        <f t="shared" si="134"/>
        <v>#REF!</v>
      </c>
      <c r="BY70" s="2069" t="e">
        <f t="shared" si="134"/>
        <v>#REF!</v>
      </c>
      <c r="BZ70" s="2069" t="e">
        <f t="shared" si="134"/>
        <v>#REF!</v>
      </c>
      <c r="CA70" s="2069" t="e">
        <f t="shared" si="134"/>
        <v>#REF!</v>
      </c>
      <c r="CB70" s="2069" t="e">
        <f t="shared" si="134"/>
        <v>#REF!</v>
      </c>
      <c r="CC70" s="2069" t="e">
        <f t="shared" si="134"/>
        <v>#REF!</v>
      </c>
      <c r="CD70" s="2069" t="e">
        <f t="shared" si="134"/>
        <v>#REF!</v>
      </c>
      <c r="CE70" s="2069"/>
      <c r="CF70" s="2069"/>
      <c r="CG70" s="2069"/>
      <c r="CH70" s="2069"/>
      <c r="CI70" s="2069"/>
      <c r="CJ70" s="2069"/>
      <c r="CK70" s="2069"/>
      <c r="CL70" s="2069"/>
      <c r="CM70" s="2069"/>
      <c r="CN70" s="2069"/>
      <c r="CO70" s="2069"/>
      <c r="CP70" s="2069"/>
      <c r="CQ70" s="2069"/>
      <c r="CR70" s="2069"/>
      <c r="CS70" s="2069"/>
      <c r="CT70" s="2069"/>
      <c r="CU70" s="2069"/>
      <c r="CV70" s="2069"/>
      <c r="CW70" s="2069"/>
      <c r="CX70" s="2069"/>
      <c r="CY70" s="2069"/>
      <c r="CZ70" s="2069"/>
      <c r="DA70" s="2069"/>
      <c r="DB70" s="2069"/>
      <c r="DC70" s="2069"/>
      <c r="DD70" s="2069"/>
      <c r="DE70" s="2069"/>
      <c r="DF70" s="2069"/>
      <c r="DG70" s="2069"/>
      <c r="DH70" s="2069">
        <f t="shared" ref="DH70:DP70" si="135">DH50</f>
        <v>15815</v>
      </c>
      <c r="DI70" s="2069" t="e">
        <f t="shared" si="135"/>
        <v>#REF!</v>
      </c>
      <c r="DJ70" s="2069" t="e">
        <f t="shared" si="135"/>
        <v>#REF!</v>
      </c>
      <c r="DK70" s="2069" t="e">
        <f t="shared" si="135"/>
        <v>#REF!</v>
      </c>
      <c r="DL70" s="2069">
        <f t="shared" si="135"/>
        <v>20185</v>
      </c>
      <c r="DM70" s="2069">
        <f t="shared" si="135"/>
        <v>22140</v>
      </c>
      <c r="DN70" s="2069">
        <f t="shared" si="135"/>
        <v>20185</v>
      </c>
      <c r="DO70" s="2069">
        <f t="shared" si="135"/>
        <v>22140</v>
      </c>
      <c r="DP70" s="2069">
        <f t="shared" si="135"/>
        <v>37320</v>
      </c>
      <c r="DQ70" s="2069"/>
      <c r="DR70" s="2069"/>
      <c r="DS70" s="2069">
        <f t="shared" ref="DS70:EF70" si="136">DS50</f>
        <v>20185</v>
      </c>
      <c r="DT70" s="2069" t="e">
        <f t="shared" si="136"/>
        <v>#REF!</v>
      </c>
      <c r="DU70" s="2069" t="e">
        <f t="shared" si="136"/>
        <v>#REF!</v>
      </c>
      <c r="DV70" s="2069" t="e">
        <f t="shared" si="136"/>
        <v>#REF!</v>
      </c>
      <c r="DW70" s="2069" t="e">
        <f t="shared" si="136"/>
        <v>#REF!</v>
      </c>
      <c r="DX70" s="2069" t="e">
        <f t="shared" si="136"/>
        <v>#REF!</v>
      </c>
      <c r="DY70" s="2069" t="e">
        <f t="shared" si="136"/>
        <v>#REF!</v>
      </c>
      <c r="DZ70" s="2069" t="e">
        <f t="shared" si="136"/>
        <v>#REF!</v>
      </c>
      <c r="EA70" s="2069" t="e">
        <f t="shared" si="136"/>
        <v>#REF!</v>
      </c>
      <c r="EB70" s="2069" t="e">
        <f t="shared" si="136"/>
        <v>#REF!</v>
      </c>
      <c r="EC70" s="2069" t="e">
        <f t="shared" si="136"/>
        <v>#REF!</v>
      </c>
      <c r="ED70" s="2069" t="e">
        <f t="shared" si="136"/>
        <v>#REF!</v>
      </c>
      <c r="EE70" s="2069" t="e">
        <f t="shared" si="136"/>
        <v>#REF!</v>
      </c>
      <c r="EF70" s="2069" t="e">
        <f t="shared" si="136"/>
        <v>#REF!</v>
      </c>
      <c r="EG70" s="2069"/>
      <c r="EH70" s="2069"/>
      <c r="EI70" s="2069"/>
      <c r="EJ70" s="2069"/>
      <c r="EK70" s="2069"/>
      <c r="EL70" s="2069"/>
      <c r="EM70" s="2069"/>
      <c r="EN70" s="2069"/>
      <c r="EO70" s="2069"/>
      <c r="EP70" s="2069"/>
      <c r="EQ70" s="2069"/>
      <c r="ER70" s="2069"/>
      <c r="ES70" s="2069"/>
      <c r="ET70" s="2069"/>
      <c r="EU70" s="2069"/>
      <c r="EV70" s="2069"/>
      <c r="EW70" s="2069"/>
      <c r="EX70" s="2069"/>
      <c r="EY70" s="2069"/>
      <c r="EZ70" s="2069"/>
      <c r="FA70" s="2069"/>
      <c r="FB70" s="2069"/>
      <c r="FC70" s="2069"/>
      <c r="FD70" s="2069"/>
      <c r="FE70" s="2066"/>
      <c r="FF70" s="2066"/>
      <c r="FG70" s="2066"/>
      <c r="FH70" s="2066"/>
      <c r="FI70" s="2066"/>
      <c r="FJ70" s="2066"/>
    </row>
    <row r="71" spans="1:241" s="1553" customFormat="1" ht="17.25" hidden="1" customHeight="1" outlineLevel="2">
      <c r="A71" s="1552">
        <v>68</v>
      </c>
      <c r="B71" s="1556" t="s">
        <v>206</v>
      </c>
      <c r="C71" s="1502"/>
      <c r="D71" s="1556" t="s">
        <v>206</v>
      </c>
      <c r="E71" s="1502" t="s">
        <v>1164</v>
      </c>
      <c r="F71" s="1502" t="e">
        <f>Покрытия_ПВХ!#REF!</f>
        <v>#REF!</v>
      </c>
      <c r="G71" s="1502"/>
      <c r="H71" s="2069"/>
      <c r="I71" s="2069"/>
      <c r="J71" s="2069"/>
      <c r="K71" s="2069"/>
      <c r="L71" s="2069"/>
      <c r="M71" s="2069"/>
      <c r="N71" s="2069"/>
      <c r="O71" s="2069"/>
      <c r="P71" s="2069"/>
      <c r="Q71" s="2069"/>
      <c r="R71" s="2069"/>
      <c r="S71" s="2069"/>
      <c r="T71" s="2069"/>
      <c r="U71" s="2069"/>
      <c r="V71" s="2069"/>
      <c r="W71" s="2069"/>
      <c r="X71" s="2069"/>
      <c r="Y71" s="2069"/>
      <c r="Z71" s="2069"/>
      <c r="AA71" s="2069"/>
      <c r="AB71" s="2069"/>
      <c r="AC71" s="2069"/>
      <c r="AD71" s="2069"/>
      <c r="AE71" s="2069"/>
      <c r="AF71" s="2069"/>
      <c r="AG71" s="2069"/>
      <c r="AH71" s="2069"/>
      <c r="AI71" s="2069"/>
      <c r="AJ71" s="2069"/>
      <c r="AK71" s="2069"/>
      <c r="AL71" s="2069"/>
      <c r="AM71" s="2069"/>
      <c r="AN71" s="2069"/>
      <c r="AO71" s="2069"/>
      <c r="AP71" s="2069"/>
      <c r="AQ71" s="2069"/>
      <c r="AR71" s="2069"/>
      <c r="AS71" s="2069"/>
      <c r="AT71" s="2069"/>
      <c r="AU71" s="2069"/>
      <c r="AV71" s="2069"/>
      <c r="AW71" s="2069"/>
      <c r="AX71" s="2069"/>
      <c r="AY71" s="2069"/>
      <c r="AZ71" s="2069"/>
      <c r="BA71" s="2069"/>
      <c r="BB71" s="2069"/>
      <c r="BC71" s="2069"/>
      <c r="BD71" s="2069"/>
      <c r="BE71" s="2069"/>
      <c r="BF71" s="2069"/>
      <c r="BG71" s="2069"/>
      <c r="BH71" s="2069"/>
      <c r="BI71" s="2069"/>
      <c r="BJ71" s="2069"/>
      <c r="BK71" s="2069"/>
      <c r="BL71" s="2069"/>
      <c r="BM71" s="2069"/>
      <c r="BN71" s="2069"/>
      <c r="BO71" s="2069"/>
      <c r="BP71" s="2069"/>
      <c r="BQ71" s="2069" t="e">
        <f t="shared" ref="BQ71:CD71" si="137">BQ50</f>
        <v>#REF!</v>
      </c>
      <c r="BR71" s="2069" t="e">
        <f t="shared" si="137"/>
        <v>#REF!</v>
      </c>
      <c r="BS71" s="2069" t="e">
        <f t="shared" si="137"/>
        <v>#REF!</v>
      </c>
      <c r="BT71" s="2069" t="e">
        <f t="shared" si="137"/>
        <v>#REF!</v>
      </c>
      <c r="BU71" s="2069" t="e">
        <f t="shared" si="137"/>
        <v>#REF!</v>
      </c>
      <c r="BV71" s="2069" t="e">
        <f t="shared" si="137"/>
        <v>#REF!</v>
      </c>
      <c r="BW71" s="2069" t="e">
        <f t="shared" si="137"/>
        <v>#REF!</v>
      </c>
      <c r="BX71" s="2069" t="e">
        <f t="shared" si="137"/>
        <v>#REF!</v>
      </c>
      <c r="BY71" s="2069" t="e">
        <f t="shared" si="137"/>
        <v>#REF!</v>
      </c>
      <c r="BZ71" s="2069" t="e">
        <f t="shared" si="137"/>
        <v>#REF!</v>
      </c>
      <c r="CA71" s="2069" t="e">
        <f t="shared" si="137"/>
        <v>#REF!</v>
      </c>
      <c r="CB71" s="2069" t="e">
        <f t="shared" si="137"/>
        <v>#REF!</v>
      </c>
      <c r="CC71" s="2069" t="e">
        <f t="shared" si="137"/>
        <v>#REF!</v>
      </c>
      <c r="CD71" s="2069" t="e">
        <f t="shared" si="137"/>
        <v>#REF!</v>
      </c>
      <c r="CE71" s="2069"/>
      <c r="CF71" s="2069"/>
      <c r="CG71" s="2069"/>
      <c r="CH71" s="2069"/>
      <c r="CI71" s="2069"/>
      <c r="CJ71" s="2069"/>
      <c r="CK71" s="2069"/>
      <c r="CL71" s="2069"/>
      <c r="CM71" s="2069"/>
      <c r="CN71" s="2069"/>
      <c r="CO71" s="2069"/>
      <c r="CP71" s="2069"/>
      <c r="CQ71" s="2069"/>
      <c r="CR71" s="2069"/>
      <c r="CS71" s="2069"/>
      <c r="CT71" s="2069"/>
      <c r="CU71" s="2069"/>
      <c r="CV71" s="2069"/>
      <c r="CW71" s="2069"/>
      <c r="CX71" s="2069"/>
      <c r="CY71" s="2069"/>
      <c r="CZ71" s="2069"/>
      <c r="DA71" s="2069"/>
      <c r="DB71" s="2069"/>
      <c r="DC71" s="2069"/>
      <c r="DD71" s="2069"/>
      <c r="DE71" s="2069"/>
      <c r="DF71" s="2069"/>
      <c r="DG71" s="2069"/>
      <c r="DH71" s="2069">
        <f t="shared" ref="DH71:DP71" si="138">DH50</f>
        <v>15815</v>
      </c>
      <c r="DI71" s="2069" t="e">
        <f t="shared" si="138"/>
        <v>#REF!</v>
      </c>
      <c r="DJ71" s="2069" t="e">
        <f t="shared" si="138"/>
        <v>#REF!</v>
      </c>
      <c r="DK71" s="2069" t="e">
        <f t="shared" si="138"/>
        <v>#REF!</v>
      </c>
      <c r="DL71" s="2069">
        <f t="shared" si="138"/>
        <v>20185</v>
      </c>
      <c r="DM71" s="2069">
        <f t="shared" si="138"/>
        <v>22140</v>
      </c>
      <c r="DN71" s="2069">
        <f t="shared" si="138"/>
        <v>20185</v>
      </c>
      <c r="DO71" s="2069">
        <f t="shared" si="138"/>
        <v>22140</v>
      </c>
      <c r="DP71" s="2069">
        <f t="shared" si="138"/>
        <v>37320</v>
      </c>
      <c r="DQ71" s="2069"/>
      <c r="DR71" s="2069"/>
      <c r="DS71" s="2069">
        <f t="shared" ref="DS71:EF71" si="139">DS50</f>
        <v>20185</v>
      </c>
      <c r="DT71" s="2069" t="e">
        <f t="shared" si="139"/>
        <v>#REF!</v>
      </c>
      <c r="DU71" s="2069" t="e">
        <f t="shared" si="139"/>
        <v>#REF!</v>
      </c>
      <c r="DV71" s="2069" t="e">
        <f t="shared" si="139"/>
        <v>#REF!</v>
      </c>
      <c r="DW71" s="2069" t="e">
        <f t="shared" si="139"/>
        <v>#REF!</v>
      </c>
      <c r="DX71" s="2069" t="e">
        <f t="shared" si="139"/>
        <v>#REF!</v>
      </c>
      <c r="DY71" s="2069" t="e">
        <f t="shared" si="139"/>
        <v>#REF!</v>
      </c>
      <c r="DZ71" s="2069" t="e">
        <f t="shared" si="139"/>
        <v>#REF!</v>
      </c>
      <c r="EA71" s="2069" t="e">
        <f t="shared" si="139"/>
        <v>#REF!</v>
      </c>
      <c r="EB71" s="2069" t="e">
        <f t="shared" si="139"/>
        <v>#REF!</v>
      </c>
      <c r="EC71" s="2069" t="e">
        <f t="shared" si="139"/>
        <v>#REF!</v>
      </c>
      <c r="ED71" s="2069" t="e">
        <f t="shared" si="139"/>
        <v>#REF!</v>
      </c>
      <c r="EE71" s="2069" t="e">
        <f t="shared" si="139"/>
        <v>#REF!</v>
      </c>
      <c r="EF71" s="2069" t="e">
        <f t="shared" si="139"/>
        <v>#REF!</v>
      </c>
      <c r="EG71" s="2069"/>
      <c r="EH71" s="2069"/>
      <c r="EI71" s="2069"/>
      <c r="EJ71" s="2069"/>
      <c r="EK71" s="2069"/>
      <c r="EL71" s="2069"/>
      <c r="EM71" s="2069"/>
      <c r="EN71" s="2069"/>
      <c r="EO71" s="2069"/>
      <c r="EP71" s="2069"/>
      <c r="EQ71" s="2069"/>
      <c r="ER71" s="2069"/>
      <c r="ES71" s="2069"/>
      <c r="ET71" s="2069"/>
      <c r="EU71" s="2069"/>
      <c r="EV71" s="2069"/>
      <c r="EW71" s="2069"/>
      <c r="EX71" s="2069"/>
      <c r="EY71" s="2069"/>
      <c r="EZ71" s="2069"/>
      <c r="FA71" s="2069"/>
      <c r="FB71" s="2069"/>
      <c r="FC71" s="2069"/>
      <c r="FD71" s="2069"/>
      <c r="FE71" s="2066"/>
      <c r="FF71" s="2066"/>
      <c r="FG71" s="2066"/>
      <c r="FH71" s="2066"/>
      <c r="FI71" s="2066"/>
      <c r="FJ71" s="2066"/>
    </row>
    <row r="72" spans="1:241" s="1553" customFormat="1" ht="17.25" hidden="1" customHeight="1" outlineLevel="2">
      <c r="A72" s="1549">
        <v>69</v>
      </c>
      <c r="B72" s="1556" t="s">
        <v>206</v>
      </c>
      <c r="C72" s="1502"/>
      <c r="D72" s="1556" t="s">
        <v>206</v>
      </c>
      <c r="E72" s="1502" t="s">
        <v>1164</v>
      </c>
      <c r="F72" s="1502" t="e">
        <f>Покрытия_ПВХ!#REF!</f>
        <v>#REF!</v>
      </c>
      <c r="G72" s="1502"/>
      <c r="H72" s="2069"/>
      <c r="I72" s="2069"/>
      <c r="J72" s="2069"/>
      <c r="K72" s="2069"/>
      <c r="L72" s="2069"/>
      <c r="M72" s="2069"/>
      <c r="N72" s="2069"/>
      <c r="O72" s="2069"/>
      <c r="P72" s="2069"/>
      <c r="Q72" s="2069"/>
      <c r="R72" s="2069"/>
      <c r="S72" s="2069"/>
      <c r="T72" s="2069"/>
      <c r="U72" s="2069"/>
      <c r="V72" s="2069"/>
      <c r="W72" s="2069"/>
      <c r="X72" s="2069"/>
      <c r="Y72" s="2069"/>
      <c r="Z72" s="2069"/>
      <c r="AA72" s="2069"/>
      <c r="AB72" s="2069"/>
      <c r="AC72" s="2069"/>
      <c r="AD72" s="2069"/>
      <c r="AE72" s="2069"/>
      <c r="AF72" s="2069"/>
      <c r="AG72" s="2069"/>
      <c r="AH72" s="2069"/>
      <c r="AI72" s="2069"/>
      <c r="AJ72" s="2069"/>
      <c r="AK72" s="2069"/>
      <c r="AL72" s="2069"/>
      <c r="AM72" s="2069"/>
      <c r="AN72" s="2069"/>
      <c r="AO72" s="2069"/>
      <c r="AP72" s="2069"/>
      <c r="AQ72" s="2069"/>
      <c r="AR72" s="2069"/>
      <c r="AS72" s="2069"/>
      <c r="AT72" s="2069"/>
      <c r="AU72" s="2069"/>
      <c r="AV72" s="2069"/>
      <c r="AW72" s="2069"/>
      <c r="AX72" s="2069"/>
      <c r="AY72" s="2069"/>
      <c r="AZ72" s="2069"/>
      <c r="BA72" s="2069"/>
      <c r="BB72" s="2069"/>
      <c r="BC72" s="2069"/>
      <c r="BD72" s="2069"/>
      <c r="BE72" s="2069"/>
      <c r="BF72" s="2069"/>
      <c r="BG72" s="2069"/>
      <c r="BH72" s="2069"/>
      <c r="BI72" s="2069"/>
      <c r="BJ72" s="2069"/>
      <c r="BK72" s="2069"/>
      <c r="BL72" s="2069"/>
      <c r="BM72" s="2069"/>
      <c r="BN72" s="2069"/>
      <c r="BO72" s="2069"/>
      <c r="BP72" s="2069"/>
      <c r="BQ72" s="2069" t="e">
        <f t="shared" ref="BQ72:CD72" si="140">BQ50</f>
        <v>#REF!</v>
      </c>
      <c r="BR72" s="2069" t="e">
        <f t="shared" si="140"/>
        <v>#REF!</v>
      </c>
      <c r="BS72" s="2069" t="e">
        <f t="shared" si="140"/>
        <v>#REF!</v>
      </c>
      <c r="BT72" s="2069" t="e">
        <f t="shared" si="140"/>
        <v>#REF!</v>
      </c>
      <c r="BU72" s="2069" t="e">
        <f t="shared" si="140"/>
        <v>#REF!</v>
      </c>
      <c r="BV72" s="2069" t="e">
        <f t="shared" si="140"/>
        <v>#REF!</v>
      </c>
      <c r="BW72" s="2069" t="e">
        <f t="shared" si="140"/>
        <v>#REF!</v>
      </c>
      <c r="BX72" s="2069" t="e">
        <f t="shared" si="140"/>
        <v>#REF!</v>
      </c>
      <c r="BY72" s="2069" t="e">
        <f t="shared" si="140"/>
        <v>#REF!</v>
      </c>
      <c r="BZ72" s="2069" t="e">
        <f t="shared" si="140"/>
        <v>#REF!</v>
      </c>
      <c r="CA72" s="2069" t="e">
        <f t="shared" si="140"/>
        <v>#REF!</v>
      </c>
      <c r="CB72" s="2069" t="e">
        <f t="shared" si="140"/>
        <v>#REF!</v>
      </c>
      <c r="CC72" s="2069" t="e">
        <f t="shared" si="140"/>
        <v>#REF!</v>
      </c>
      <c r="CD72" s="2069" t="e">
        <f t="shared" si="140"/>
        <v>#REF!</v>
      </c>
      <c r="CE72" s="2069"/>
      <c r="CF72" s="2069"/>
      <c r="CG72" s="2069"/>
      <c r="CH72" s="2069"/>
      <c r="CI72" s="2069"/>
      <c r="CJ72" s="2069"/>
      <c r="CK72" s="2069"/>
      <c r="CL72" s="2069"/>
      <c r="CM72" s="2069"/>
      <c r="CN72" s="2069"/>
      <c r="CO72" s="2069"/>
      <c r="CP72" s="2069"/>
      <c r="CQ72" s="2069"/>
      <c r="CR72" s="2069"/>
      <c r="CS72" s="2069"/>
      <c r="CT72" s="2069"/>
      <c r="CU72" s="2069"/>
      <c r="CV72" s="2069"/>
      <c r="CW72" s="2069"/>
      <c r="CX72" s="2069"/>
      <c r="CY72" s="2069"/>
      <c r="CZ72" s="2069"/>
      <c r="DA72" s="2069"/>
      <c r="DB72" s="2069"/>
      <c r="DC72" s="2069"/>
      <c r="DD72" s="2069"/>
      <c r="DE72" s="2069"/>
      <c r="DF72" s="2069"/>
      <c r="DG72" s="2069"/>
      <c r="DH72" s="2069">
        <f t="shared" ref="DH72:DP72" si="141">DH50</f>
        <v>15815</v>
      </c>
      <c r="DI72" s="2069" t="e">
        <f t="shared" si="141"/>
        <v>#REF!</v>
      </c>
      <c r="DJ72" s="2069" t="e">
        <f t="shared" si="141"/>
        <v>#REF!</v>
      </c>
      <c r="DK72" s="2069" t="e">
        <f t="shared" si="141"/>
        <v>#REF!</v>
      </c>
      <c r="DL72" s="2069">
        <f t="shared" si="141"/>
        <v>20185</v>
      </c>
      <c r="DM72" s="2069">
        <f t="shared" si="141"/>
        <v>22140</v>
      </c>
      <c r="DN72" s="2069">
        <f t="shared" si="141"/>
        <v>20185</v>
      </c>
      <c r="DO72" s="2069">
        <f t="shared" si="141"/>
        <v>22140</v>
      </c>
      <c r="DP72" s="2069">
        <f t="shared" si="141"/>
        <v>37320</v>
      </c>
      <c r="DQ72" s="2069"/>
      <c r="DR72" s="2069"/>
      <c r="DS72" s="2069">
        <f t="shared" ref="DS72:EF72" si="142">DS50</f>
        <v>20185</v>
      </c>
      <c r="DT72" s="2069" t="e">
        <f t="shared" si="142"/>
        <v>#REF!</v>
      </c>
      <c r="DU72" s="2069" t="e">
        <f t="shared" si="142"/>
        <v>#REF!</v>
      </c>
      <c r="DV72" s="2069" t="e">
        <f t="shared" si="142"/>
        <v>#REF!</v>
      </c>
      <c r="DW72" s="2069" t="e">
        <f t="shared" si="142"/>
        <v>#REF!</v>
      </c>
      <c r="DX72" s="2069" t="e">
        <f t="shared" si="142"/>
        <v>#REF!</v>
      </c>
      <c r="DY72" s="2069" t="e">
        <f t="shared" si="142"/>
        <v>#REF!</v>
      </c>
      <c r="DZ72" s="2069" t="e">
        <f t="shared" si="142"/>
        <v>#REF!</v>
      </c>
      <c r="EA72" s="2069" t="e">
        <f t="shared" si="142"/>
        <v>#REF!</v>
      </c>
      <c r="EB72" s="2069" t="e">
        <f t="shared" si="142"/>
        <v>#REF!</v>
      </c>
      <c r="EC72" s="2069" t="e">
        <f t="shared" si="142"/>
        <v>#REF!</v>
      </c>
      <c r="ED72" s="2069" t="e">
        <f t="shared" si="142"/>
        <v>#REF!</v>
      </c>
      <c r="EE72" s="2069" t="e">
        <f t="shared" si="142"/>
        <v>#REF!</v>
      </c>
      <c r="EF72" s="2069" t="e">
        <f t="shared" si="142"/>
        <v>#REF!</v>
      </c>
      <c r="EG72" s="2069"/>
      <c r="EH72" s="2069"/>
      <c r="EI72" s="2069"/>
      <c r="EJ72" s="2069"/>
      <c r="EK72" s="2069"/>
      <c r="EL72" s="2069"/>
      <c r="EM72" s="2069"/>
      <c r="EN72" s="2069"/>
      <c r="EO72" s="2069"/>
      <c r="EP72" s="2069"/>
      <c r="EQ72" s="2069"/>
      <c r="ER72" s="2069"/>
      <c r="ES72" s="2069"/>
      <c r="ET72" s="2069"/>
      <c r="EU72" s="2069"/>
      <c r="EV72" s="2069"/>
      <c r="EW72" s="2069"/>
      <c r="EX72" s="2069"/>
      <c r="EY72" s="2069"/>
      <c r="EZ72" s="2069"/>
      <c r="FA72" s="2069"/>
      <c r="FB72" s="2069"/>
      <c r="FC72" s="2069"/>
      <c r="FD72" s="2069"/>
      <c r="FE72" s="2066"/>
      <c r="FF72" s="2066"/>
      <c r="FG72" s="2066"/>
      <c r="FH72" s="2066"/>
      <c r="FI72" s="2066"/>
      <c r="FJ72" s="2066"/>
    </row>
    <row r="73" spans="1:241" s="1553" customFormat="1" ht="17.25" hidden="1" customHeight="1" outlineLevel="2">
      <c r="A73" s="1552">
        <v>70</v>
      </c>
      <c r="B73" s="1557" t="s">
        <v>206</v>
      </c>
      <c r="C73" s="1503"/>
      <c r="D73" s="1557" t="s">
        <v>206</v>
      </c>
      <c r="E73" s="1503" t="s">
        <v>1164</v>
      </c>
      <c r="F73" s="1503" t="e">
        <f>Покрытия_ПВХ!#REF!</f>
        <v>#REF!</v>
      </c>
      <c r="G73" s="1503"/>
      <c r="H73" s="2070"/>
      <c r="I73" s="2070"/>
      <c r="J73" s="2070"/>
      <c r="K73" s="2070"/>
      <c r="L73" s="2070"/>
      <c r="M73" s="2070"/>
      <c r="N73" s="2070"/>
      <c r="O73" s="2070"/>
      <c r="P73" s="2070"/>
      <c r="Q73" s="2070"/>
      <c r="R73" s="2070"/>
      <c r="S73" s="2070"/>
      <c r="T73" s="2070"/>
      <c r="U73" s="2070"/>
      <c r="V73" s="2070"/>
      <c r="W73" s="2070"/>
      <c r="X73" s="2070"/>
      <c r="Y73" s="2070"/>
      <c r="Z73" s="2070"/>
      <c r="AA73" s="2070"/>
      <c r="AB73" s="2070"/>
      <c r="AC73" s="2070"/>
      <c r="AD73" s="2070"/>
      <c r="AE73" s="2070"/>
      <c r="AF73" s="2070"/>
      <c r="AG73" s="2070"/>
      <c r="AH73" s="2070"/>
      <c r="AI73" s="2070"/>
      <c r="AJ73" s="2070"/>
      <c r="AK73" s="2070"/>
      <c r="AL73" s="2070"/>
      <c r="AM73" s="2070"/>
      <c r="AN73" s="2070"/>
      <c r="AO73" s="2070"/>
      <c r="AP73" s="2070"/>
      <c r="AQ73" s="2070"/>
      <c r="AR73" s="2070"/>
      <c r="AS73" s="2070"/>
      <c r="AT73" s="2070"/>
      <c r="AU73" s="2070"/>
      <c r="AV73" s="2070"/>
      <c r="AW73" s="2070"/>
      <c r="AX73" s="2070"/>
      <c r="AY73" s="2070"/>
      <c r="AZ73" s="2070"/>
      <c r="BA73" s="2070"/>
      <c r="BB73" s="2070"/>
      <c r="BC73" s="2070"/>
      <c r="BD73" s="2070"/>
      <c r="BE73" s="2070"/>
      <c r="BF73" s="2070"/>
      <c r="BG73" s="2070"/>
      <c r="BH73" s="2070"/>
      <c r="BI73" s="2070"/>
      <c r="BJ73" s="2070"/>
      <c r="BK73" s="2070"/>
      <c r="BL73" s="2070"/>
      <c r="BM73" s="2070"/>
      <c r="BN73" s="2070"/>
      <c r="BO73" s="2070"/>
      <c r="BP73" s="2070"/>
      <c r="BQ73" s="2070" t="e">
        <f t="shared" ref="BQ73:CD73" si="143">BQ50</f>
        <v>#REF!</v>
      </c>
      <c r="BR73" s="2070" t="e">
        <f t="shared" si="143"/>
        <v>#REF!</v>
      </c>
      <c r="BS73" s="2070" t="e">
        <f t="shared" si="143"/>
        <v>#REF!</v>
      </c>
      <c r="BT73" s="2070" t="e">
        <f t="shared" si="143"/>
        <v>#REF!</v>
      </c>
      <c r="BU73" s="2070" t="e">
        <f t="shared" si="143"/>
        <v>#REF!</v>
      </c>
      <c r="BV73" s="2070" t="e">
        <f t="shared" si="143"/>
        <v>#REF!</v>
      </c>
      <c r="BW73" s="2070" t="e">
        <f t="shared" si="143"/>
        <v>#REF!</v>
      </c>
      <c r="BX73" s="2070" t="e">
        <f t="shared" si="143"/>
        <v>#REF!</v>
      </c>
      <c r="BY73" s="2070" t="e">
        <f t="shared" si="143"/>
        <v>#REF!</v>
      </c>
      <c r="BZ73" s="2070" t="e">
        <f t="shared" si="143"/>
        <v>#REF!</v>
      </c>
      <c r="CA73" s="2070" t="e">
        <f t="shared" si="143"/>
        <v>#REF!</v>
      </c>
      <c r="CB73" s="2070" t="e">
        <f t="shared" si="143"/>
        <v>#REF!</v>
      </c>
      <c r="CC73" s="2070" t="e">
        <f t="shared" si="143"/>
        <v>#REF!</v>
      </c>
      <c r="CD73" s="2070" t="e">
        <f t="shared" si="143"/>
        <v>#REF!</v>
      </c>
      <c r="CE73" s="2070"/>
      <c r="CF73" s="2070"/>
      <c r="CG73" s="2070"/>
      <c r="CH73" s="2070"/>
      <c r="CI73" s="2070"/>
      <c r="CJ73" s="2070"/>
      <c r="CK73" s="2070"/>
      <c r="CL73" s="2070"/>
      <c r="CM73" s="2070"/>
      <c r="CN73" s="2070"/>
      <c r="CO73" s="2070"/>
      <c r="CP73" s="2070"/>
      <c r="CQ73" s="2070"/>
      <c r="CR73" s="2070"/>
      <c r="CS73" s="2070"/>
      <c r="CT73" s="2070"/>
      <c r="CU73" s="2070"/>
      <c r="CV73" s="2070"/>
      <c r="CW73" s="2070"/>
      <c r="CX73" s="2070"/>
      <c r="CY73" s="2070"/>
      <c r="CZ73" s="2070"/>
      <c r="DA73" s="2070"/>
      <c r="DB73" s="2070"/>
      <c r="DC73" s="2070"/>
      <c r="DD73" s="2070"/>
      <c r="DE73" s="2070"/>
      <c r="DF73" s="2070"/>
      <c r="DG73" s="2070"/>
      <c r="DH73" s="2070">
        <f t="shared" ref="DH73:DP73" si="144">DH50</f>
        <v>15815</v>
      </c>
      <c r="DI73" s="2070" t="e">
        <f t="shared" si="144"/>
        <v>#REF!</v>
      </c>
      <c r="DJ73" s="2070" t="e">
        <f t="shared" si="144"/>
        <v>#REF!</v>
      </c>
      <c r="DK73" s="2070" t="e">
        <f t="shared" si="144"/>
        <v>#REF!</v>
      </c>
      <c r="DL73" s="2070">
        <f t="shared" si="144"/>
        <v>20185</v>
      </c>
      <c r="DM73" s="2070">
        <f t="shared" si="144"/>
        <v>22140</v>
      </c>
      <c r="DN73" s="2070">
        <f t="shared" si="144"/>
        <v>20185</v>
      </c>
      <c r="DO73" s="2070">
        <f t="shared" si="144"/>
        <v>22140</v>
      </c>
      <c r="DP73" s="2070">
        <f t="shared" si="144"/>
        <v>37320</v>
      </c>
      <c r="DQ73" s="2070"/>
      <c r="DR73" s="2070"/>
      <c r="DS73" s="2070">
        <f t="shared" ref="DS73:EF73" si="145">DS50</f>
        <v>20185</v>
      </c>
      <c r="DT73" s="2070" t="e">
        <f t="shared" si="145"/>
        <v>#REF!</v>
      </c>
      <c r="DU73" s="2070" t="e">
        <f t="shared" si="145"/>
        <v>#REF!</v>
      </c>
      <c r="DV73" s="2070" t="e">
        <f t="shared" si="145"/>
        <v>#REF!</v>
      </c>
      <c r="DW73" s="2070" t="e">
        <f t="shared" si="145"/>
        <v>#REF!</v>
      </c>
      <c r="DX73" s="2070" t="e">
        <f t="shared" si="145"/>
        <v>#REF!</v>
      </c>
      <c r="DY73" s="2070" t="e">
        <f t="shared" si="145"/>
        <v>#REF!</v>
      </c>
      <c r="DZ73" s="2070" t="e">
        <f t="shared" si="145"/>
        <v>#REF!</v>
      </c>
      <c r="EA73" s="2070" t="e">
        <f t="shared" si="145"/>
        <v>#REF!</v>
      </c>
      <c r="EB73" s="2070" t="e">
        <f t="shared" si="145"/>
        <v>#REF!</v>
      </c>
      <c r="EC73" s="2070" t="e">
        <f t="shared" si="145"/>
        <v>#REF!</v>
      </c>
      <c r="ED73" s="2070" t="e">
        <f t="shared" si="145"/>
        <v>#REF!</v>
      </c>
      <c r="EE73" s="2070" t="e">
        <f t="shared" si="145"/>
        <v>#REF!</v>
      </c>
      <c r="EF73" s="2070" t="e">
        <f t="shared" si="145"/>
        <v>#REF!</v>
      </c>
      <c r="EG73" s="2070"/>
      <c r="EH73" s="2070"/>
      <c r="EI73" s="2070"/>
      <c r="EJ73" s="2070"/>
      <c r="EK73" s="2070"/>
      <c r="EL73" s="2070"/>
      <c r="EM73" s="2070"/>
      <c r="EN73" s="2070"/>
      <c r="EO73" s="2070"/>
      <c r="EP73" s="2070"/>
      <c r="EQ73" s="2070"/>
      <c r="ER73" s="2070"/>
      <c r="ES73" s="2070"/>
      <c r="ET73" s="2070"/>
      <c r="EU73" s="2070"/>
      <c r="EV73" s="2070"/>
      <c r="EW73" s="2070"/>
      <c r="EX73" s="2070"/>
      <c r="EY73" s="2070"/>
      <c r="EZ73" s="2070"/>
      <c r="FA73" s="2070"/>
      <c r="FB73" s="2070"/>
      <c r="FC73" s="2070"/>
      <c r="FD73" s="2070"/>
      <c r="FE73" s="2066"/>
      <c r="FF73" s="2066"/>
      <c r="FG73" s="2066"/>
      <c r="FH73" s="2066"/>
      <c r="FI73" s="2066"/>
      <c r="FJ73" s="2066"/>
    </row>
    <row r="74" spans="1:241" s="1551" customFormat="1" ht="17.25" hidden="1" customHeight="1" outlineLevel="1" collapsed="1">
      <c r="A74" s="1549">
        <v>71</v>
      </c>
      <c r="B74" s="1558" t="s">
        <v>206</v>
      </c>
      <c r="C74" s="1506" t="s">
        <v>1425</v>
      </c>
      <c r="D74" s="1558" t="s">
        <v>206</v>
      </c>
      <c r="E74" s="1506" t="s">
        <v>278</v>
      </c>
      <c r="F74" s="1506" t="str">
        <f>Покрытия_ПВХ!E49</f>
        <v>Белая кожа</v>
      </c>
      <c r="G74" s="1506"/>
      <c r="H74" s="2071"/>
      <c r="I74" s="2071"/>
      <c r="J74" s="2071"/>
      <c r="K74" s="2071"/>
      <c r="L74" s="2071"/>
      <c r="M74" s="2071"/>
      <c r="N74" s="2071"/>
      <c r="O74" s="2071"/>
      <c r="P74" s="2071"/>
      <c r="Q74" s="2071"/>
      <c r="R74" s="2071"/>
      <c r="S74" s="2071"/>
      <c r="T74" s="2071"/>
      <c r="U74" s="2071"/>
      <c r="V74" s="2071"/>
      <c r="W74" s="2071"/>
      <c r="X74" s="2071"/>
      <c r="Y74" s="2071"/>
      <c r="Z74" s="2071"/>
      <c r="AA74" s="2071"/>
      <c r="AB74" s="2071"/>
      <c r="AC74" s="2071"/>
      <c r="AD74" s="2071"/>
      <c r="AE74" s="2071"/>
      <c r="AF74" s="2071"/>
      <c r="AG74" s="2071"/>
      <c r="AH74" s="2071"/>
      <c r="AI74" s="2071"/>
      <c r="AJ74" s="2071"/>
      <c r="AK74" s="2071"/>
      <c r="AL74" s="2071"/>
      <c r="AM74" s="2071"/>
      <c r="AN74" s="2071"/>
      <c r="AO74" s="2071"/>
      <c r="AP74" s="2071"/>
      <c r="AQ74" s="2071"/>
      <c r="AR74" s="2071"/>
      <c r="AS74" s="2071"/>
      <c r="AT74" s="2071"/>
      <c r="AU74" s="2071"/>
      <c r="AV74" s="2071"/>
      <c r="AW74" s="2071"/>
      <c r="AX74" s="2071"/>
      <c r="AY74" s="2071"/>
      <c r="AZ74" s="2071"/>
      <c r="BA74" s="2071"/>
      <c r="BB74" s="2071"/>
      <c r="BC74" s="2071"/>
      <c r="BD74" s="2071"/>
      <c r="BE74" s="2071"/>
      <c r="BF74" s="2071"/>
      <c r="BG74" s="2071"/>
      <c r="BH74" s="2071"/>
      <c r="BI74" s="2071"/>
      <c r="BJ74" s="2071"/>
      <c r="BK74" s="2071"/>
      <c r="BL74" s="2071"/>
      <c r="BM74" s="2071"/>
      <c r="BN74" s="2071"/>
      <c r="BO74" s="2071"/>
      <c r="BP74" s="2071"/>
      <c r="BQ74" s="2071" t="e">
        <f t="shared" ref="BQ74:DS74" si="146">CEILING(BQ4*1.2, 5)</f>
        <v>#REF!</v>
      </c>
      <c r="BR74" s="2071" t="e">
        <f t="shared" si="146"/>
        <v>#REF!</v>
      </c>
      <c r="BS74" s="2071" t="e">
        <f t="shared" si="146"/>
        <v>#REF!</v>
      </c>
      <c r="BT74" s="2071" t="e">
        <f t="shared" si="146"/>
        <v>#REF!</v>
      </c>
      <c r="BU74" s="2071" t="e">
        <f t="shared" si="146"/>
        <v>#REF!</v>
      </c>
      <c r="BV74" s="2071" t="e">
        <f t="shared" si="146"/>
        <v>#REF!</v>
      </c>
      <c r="BW74" s="2071" t="e">
        <f t="shared" si="146"/>
        <v>#REF!</v>
      </c>
      <c r="BX74" s="2071" t="e">
        <f t="shared" si="146"/>
        <v>#REF!</v>
      </c>
      <c r="BY74" s="2071" t="e">
        <f t="shared" si="146"/>
        <v>#REF!</v>
      </c>
      <c r="BZ74" s="2071" t="e">
        <f t="shared" si="146"/>
        <v>#REF!</v>
      </c>
      <c r="CA74" s="2071" t="e">
        <f t="shared" si="146"/>
        <v>#REF!</v>
      </c>
      <c r="CB74" s="2071" t="e">
        <f t="shared" si="146"/>
        <v>#REF!</v>
      </c>
      <c r="CC74" s="2071" t="e">
        <f t="shared" si="146"/>
        <v>#REF!</v>
      </c>
      <c r="CD74" s="2071" t="e">
        <f t="shared" si="146"/>
        <v>#REF!</v>
      </c>
      <c r="CE74" s="2071" t="e">
        <f t="shared" si="146"/>
        <v>#REF!</v>
      </c>
      <c r="CF74" s="2071" t="e">
        <f t="shared" si="146"/>
        <v>#REF!</v>
      </c>
      <c r="CG74" s="2071" t="e">
        <f t="shared" si="146"/>
        <v>#REF!</v>
      </c>
      <c r="CH74" s="2071" t="e">
        <f t="shared" si="146"/>
        <v>#REF!</v>
      </c>
      <c r="CI74" s="2071" t="e">
        <f t="shared" si="146"/>
        <v>#REF!</v>
      </c>
      <c r="CJ74" s="2071" t="e">
        <f t="shared" si="146"/>
        <v>#REF!</v>
      </c>
      <c r="CK74" s="2071"/>
      <c r="CL74" s="2071"/>
      <c r="CM74" s="2071"/>
      <c r="CN74" s="2071"/>
      <c r="CO74" s="2071" t="e">
        <f t="shared" si="146"/>
        <v>#REF!</v>
      </c>
      <c r="CP74" s="2071" t="e">
        <f t="shared" si="146"/>
        <v>#REF!</v>
      </c>
      <c r="CQ74" s="2071">
        <f>CEILING(CQ4*1.2, 5)</f>
        <v>0</v>
      </c>
      <c r="CR74" s="2071">
        <f>CEILING(CR4*1.2, 5)</f>
        <v>0</v>
      </c>
      <c r="CS74" s="2071" t="e">
        <f>CEILING(CS4*1.2, 5)</f>
        <v>#REF!</v>
      </c>
      <c r="CT74" s="2071">
        <f>CEILING(CT4*1.2, 5)</f>
        <v>0</v>
      </c>
      <c r="CU74" s="2071" t="e">
        <f>CEILING(CU4*1.2, 5)</f>
        <v>#REF!</v>
      </c>
      <c r="CV74" s="2071" t="e">
        <f t="shared" si="146"/>
        <v>#REF!</v>
      </c>
      <c r="CW74" s="2071" t="e">
        <f t="shared" si="146"/>
        <v>#REF!</v>
      </c>
      <c r="CX74" s="2071" t="e">
        <f t="shared" si="146"/>
        <v>#REF!</v>
      </c>
      <c r="CY74" s="2071" t="e">
        <f t="shared" si="146"/>
        <v>#REF!</v>
      </c>
      <c r="CZ74" s="2071" t="e">
        <f t="shared" si="146"/>
        <v>#REF!</v>
      </c>
      <c r="DA74" s="2071" t="e">
        <f>CEILING(DA4*1.2, 5)</f>
        <v>#REF!</v>
      </c>
      <c r="DB74" s="2071" t="e">
        <f t="shared" si="146"/>
        <v>#REF!</v>
      </c>
      <c r="DC74" s="2071" t="e">
        <f t="shared" si="146"/>
        <v>#REF!</v>
      </c>
      <c r="DD74" s="2071" t="e">
        <f t="shared" si="146"/>
        <v>#REF!</v>
      </c>
      <c r="DE74" s="2071" t="e">
        <f t="shared" si="146"/>
        <v>#REF!</v>
      </c>
      <c r="DF74" s="2071" t="e">
        <f t="shared" si="146"/>
        <v>#REF!</v>
      </c>
      <c r="DG74" s="2071" t="e">
        <f t="shared" si="146"/>
        <v>#REF!</v>
      </c>
      <c r="DH74" s="2071">
        <f t="shared" si="146"/>
        <v>16500</v>
      </c>
      <c r="DI74" s="2071" t="e">
        <f t="shared" si="146"/>
        <v>#REF!</v>
      </c>
      <c r="DJ74" s="2071" t="e">
        <f t="shared" si="146"/>
        <v>#REF!</v>
      </c>
      <c r="DK74" s="2071" t="e">
        <f t="shared" si="146"/>
        <v>#REF!</v>
      </c>
      <c r="DL74" s="2071">
        <f t="shared" si="146"/>
        <v>21060</v>
      </c>
      <c r="DM74" s="2071">
        <f t="shared" si="146"/>
        <v>23100</v>
      </c>
      <c r="DN74" s="2071">
        <f t="shared" si="146"/>
        <v>21060</v>
      </c>
      <c r="DO74" s="2071">
        <f t="shared" si="146"/>
        <v>23100</v>
      </c>
      <c r="DP74" s="2071">
        <f>CEILING(DP4*1.2, 5)</f>
        <v>38940</v>
      </c>
      <c r="DQ74" s="2071"/>
      <c r="DR74" s="2071"/>
      <c r="DS74" s="2071">
        <f t="shared" si="146"/>
        <v>21060</v>
      </c>
      <c r="DT74" s="2071" t="e">
        <f t="shared" ref="DT74:EF74" si="147">CEILING(DT4*1.2, 5)</f>
        <v>#REF!</v>
      </c>
      <c r="DU74" s="2071" t="e">
        <f t="shared" si="147"/>
        <v>#REF!</v>
      </c>
      <c r="DV74" s="2071" t="e">
        <f t="shared" si="147"/>
        <v>#REF!</v>
      </c>
      <c r="DW74" s="2071" t="e">
        <f t="shared" si="147"/>
        <v>#REF!</v>
      </c>
      <c r="DX74" s="2071" t="e">
        <f t="shared" si="147"/>
        <v>#REF!</v>
      </c>
      <c r="DY74" s="2071" t="e">
        <f t="shared" si="147"/>
        <v>#REF!</v>
      </c>
      <c r="DZ74" s="2071" t="e">
        <f t="shared" si="147"/>
        <v>#REF!</v>
      </c>
      <c r="EA74" s="2071" t="e">
        <f t="shared" si="147"/>
        <v>#REF!</v>
      </c>
      <c r="EB74" s="2071" t="e">
        <f t="shared" si="147"/>
        <v>#REF!</v>
      </c>
      <c r="EC74" s="2071" t="e">
        <f t="shared" si="147"/>
        <v>#REF!</v>
      </c>
      <c r="ED74" s="2071" t="e">
        <f t="shared" si="147"/>
        <v>#REF!</v>
      </c>
      <c r="EE74" s="2071" t="e">
        <f t="shared" si="147"/>
        <v>#REF!</v>
      </c>
      <c r="EF74" s="2071" t="e">
        <f t="shared" si="147"/>
        <v>#REF!</v>
      </c>
      <c r="EG74" s="2071"/>
      <c r="EH74" s="2071"/>
      <c r="EI74" s="2071"/>
      <c r="EJ74" s="2071"/>
      <c r="EK74" s="2071"/>
      <c r="EL74" s="2071"/>
      <c r="EM74" s="2071"/>
      <c r="EN74" s="2071"/>
      <c r="EO74" s="2071"/>
      <c r="EP74" s="2071"/>
      <c r="EQ74" s="2071"/>
      <c r="ER74" s="2071"/>
      <c r="ES74" s="2071"/>
      <c r="ET74" s="2071"/>
      <c r="EU74" s="2071"/>
      <c r="EV74" s="2071"/>
      <c r="EW74" s="2071"/>
      <c r="EX74" s="2071"/>
      <c r="EY74" s="2071"/>
      <c r="EZ74" s="2071"/>
      <c r="FA74" s="2071"/>
      <c r="FB74" s="2071"/>
      <c r="FC74" s="2071"/>
      <c r="FD74" s="2071"/>
      <c r="FE74" s="2064"/>
      <c r="FF74" s="2064"/>
      <c r="FG74" s="2064"/>
      <c r="FH74" s="2064"/>
      <c r="FI74" s="2064"/>
      <c r="FJ74" s="2064"/>
    </row>
    <row r="75" spans="1:241" s="1553" customFormat="1" ht="17.25" hidden="1" customHeight="1" outlineLevel="2">
      <c r="A75" s="1552">
        <v>72</v>
      </c>
      <c r="B75" s="1558" t="s">
        <v>206</v>
      </c>
      <c r="C75" s="1508" t="s">
        <v>1425</v>
      </c>
      <c r="D75" s="1558" t="s">
        <v>206</v>
      </c>
      <c r="E75" s="1508" t="s">
        <v>278</v>
      </c>
      <c r="F75" s="1508" t="str">
        <f>Покрытия_ПВХ!E50</f>
        <v>Молочная кожа</v>
      </c>
      <c r="G75" s="1508"/>
      <c r="H75" s="2072"/>
      <c r="I75" s="2072"/>
      <c r="J75" s="2072"/>
      <c r="K75" s="2072"/>
      <c r="L75" s="2072"/>
      <c r="M75" s="2072"/>
      <c r="N75" s="2072"/>
      <c r="O75" s="2072"/>
      <c r="P75" s="2072"/>
      <c r="Q75" s="2072"/>
      <c r="R75" s="2072"/>
      <c r="S75" s="2072"/>
      <c r="T75" s="2072"/>
      <c r="U75" s="2072"/>
      <c r="V75" s="2072"/>
      <c r="W75" s="2072"/>
      <c r="X75" s="2072"/>
      <c r="Y75" s="2072"/>
      <c r="Z75" s="2072"/>
      <c r="AA75" s="2072"/>
      <c r="AB75" s="2072"/>
      <c r="AC75" s="2072"/>
      <c r="AD75" s="2072"/>
      <c r="AE75" s="2072"/>
      <c r="AF75" s="2072"/>
      <c r="AG75" s="2072"/>
      <c r="AH75" s="2072"/>
      <c r="AI75" s="2072"/>
      <c r="AJ75" s="2072"/>
      <c r="AK75" s="2072"/>
      <c r="AL75" s="2072"/>
      <c r="AM75" s="2072"/>
      <c r="AN75" s="2072"/>
      <c r="AO75" s="2072"/>
      <c r="AP75" s="2072"/>
      <c r="AQ75" s="2072"/>
      <c r="AR75" s="2072"/>
      <c r="AS75" s="2072"/>
      <c r="AT75" s="2072"/>
      <c r="AU75" s="2072"/>
      <c r="AV75" s="2072"/>
      <c r="AW75" s="2072"/>
      <c r="AX75" s="2072"/>
      <c r="AY75" s="2072"/>
      <c r="AZ75" s="2072"/>
      <c r="BA75" s="2072"/>
      <c r="BB75" s="2072"/>
      <c r="BC75" s="2072"/>
      <c r="BD75" s="2072"/>
      <c r="BE75" s="2072"/>
      <c r="BF75" s="2072"/>
      <c r="BG75" s="2072"/>
      <c r="BH75" s="2072"/>
      <c r="BI75" s="2072"/>
      <c r="BJ75" s="2072"/>
      <c r="BK75" s="2072"/>
      <c r="BL75" s="2072"/>
      <c r="BM75" s="2072"/>
      <c r="BN75" s="2072"/>
      <c r="BO75" s="2072"/>
      <c r="BP75" s="2072"/>
      <c r="BQ75" s="2072" t="e">
        <f t="shared" ref="BQ75:CJ75" si="148">BQ74</f>
        <v>#REF!</v>
      </c>
      <c r="BR75" s="2072" t="e">
        <f t="shared" si="148"/>
        <v>#REF!</v>
      </c>
      <c r="BS75" s="2072" t="e">
        <f t="shared" si="148"/>
        <v>#REF!</v>
      </c>
      <c r="BT75" s="2072" t="e">
        <f t="shared" si="148"/>
        <v>#REF!</v>
      </c>
      <c r="BU75" s="2072" t="e">
        <f t="shared" si="148"/>
        <v>#REF!</v>
      </c>
      <c r="BV75" s="2072" t="e">
        <f t="shared" si="148"/>
        <v>#REF!</v>
      </c>
      <c r="BW75" s="2072" t="e">
        <f t="shared" si="148"/>
        <v>#REF!</v>
      </c>
      <c r="BX75" s="2072" t="e">
        <f t="shared" si="148"/>
        <v>#REF!</v>
      </c>
      <c r="BY75" s="2072" t="e">
        <f t="shared" si="148"/>
        <v>#REF!</v>
      </c>
      <c r="BZ75" s="2072" t="e">
        <f t="shared" si="148"/>
        <v>#REF!</v>
      </c>
      <c r="CA75" s="2072" t="e">
        <f t="shared" si="148"/>
        <v>#REF!</v>
      </c>
      <c r="CB75" s="2072" t="e">
        <f t="shared" si="148"/>
        <v>#REF!</v>
      </c>
      <c r="CC75" s="2072" t="e">
        <f t="shared" si="148"/>
        <v>#REF!</v>
      </c>
      <c r="CD75" s="2072" t="e">
        <f t="shared" si="148"/>
        <v>#REF!</v>
      </c>
      <c r="CE75" s="2072" t="e">
        <f t="shared" si="148"/>
        <v>#REF!</v>
      </c>
      <c r="CF75" s="2072" t="e">
        <f t="shared" si="148"/>
        <v>#REF!</v>
      </c>
      <c r="CG75" s="2072" t="e">
        <f t="shared" si="148"/>
        <v>#REF!</v>
      </c>
      <c r="CH75" s="2072" t="e">
        <f t="shared" si="148"/>
        <v>#REF!</v>
      </c>
      <c r="CI75" s="2072" t="e">
        <f t="shared" si="148"/>
        <v>#REF!</v>
      </c>
      <c r="CJ75" s="2072" t="e">
        <f t="shared" si="148"/>
        <v>#REF!</v>
      </c>
      <c r="CK75" s="2072"/>
      <c r="CL75" s="2072"/>
      <c r="CM75" s="2072"/>
      <c r="CN75" s="2072"/>
      <c r="CO75" s="2072" t="e">
        <f t="shared" ref="CO75:CZ75" si="149">CO74</f>
        <v>#REF!</v>
      </c>
      <c r="CP75" s="2072" t="e">
        <f t="shared" si="149"/>
        <v>#REF!</v>
      </c>
      <c r="CQ75" s="2072">
        <f t="shared" si="149"/>
        <v>0</v>
      </c>
      <c r="CR75" s="2072">
        <f t="shared" si="149"/>
        <v>0</v>
      </c>
      <c r="CS75" s="2072" t="e">
        <f t="shared" si="149"/>
        <v>#REF!</v>
      </c>
      <c r="CT75" s="2072">
        <f t="shared" si="149"/>
        <v>0</v>
      </c>
      <c r="CU75" s="2072" t="e">
        <f t="shared" si="149"/>
        <v>#REF!</v>
      </c>
      <c r="CV75" s="2072" t="e">
        <f t="shared" si="149"/>
        <v>#REF!</v>
      </c>
      <c r="CW75" s="2072" t="e">
        <f t="shared" si="149"/>
        <v>#REF!</v>
      </c>
      <c r="CX75" s="2072" t="e">
        <f t="shared" si="149"/>
        <v>#REF!</v>
      </c>
      <c r="CY75" s="2072" t="e">
        <f t="shared" si="149"/>
        <v>#REF!</v>
      </c>
      <c r="CZ75" s="2072" t="e">
        <f t="shared" si="149"/>
        <v>#REF!</v>
      </c>
      <c r="DA75" s="2072" t="e">
        <f t="shared" ref="DA75:DP75" si="150">DA74</f>
        <v>#REF!</v>
      </c>
      <c r="DB75" s="2072" t="e">
        <f t="shared" si="150"/>
        <v>#REF!</v>
      </c>
      <c r="DC75" s="2072" t="e">
        <f t="shared" si="150"/>
        <v>#REF!</v>
      </c>
      <c r="DD75" s="2072" t="e">
        <f t="shared" si="150"/>
        <v>#REF!</v>
      </c>
      <c r="DE75" s="2072" t="e">
        <f t="shared" si="150"/>
        <v>#REF!</v>
      </c>
      <c r="DF75" s="2072" t="e">
        <f t="shared" si="150"/>
        <v>#REF!</v>
      </c>
      <c r="DG75" s="2072" t="e">
        <f t="shared" si="150"/>
        <v>#REF!</v>
      </c>
      <c r="DH75" s="2072">
        <f t="shared" si="150"/>
        <v>16500</v>
      </c>
      <c r="DI75" s="2072" t="e">
        <f t="shared" si="150"/>
        <v>#REF!</v>
      </c>
      <c r="DJ75" s="2072" t="e">
        <f t="shared" si="150"/>
        <v>#REF!</v>
      </c>
      <c r="DK75" s="2072" t="e">
        <f t="shared" si="150"/>
        <v>#REF!</v>
      </c>
      <c r="DL75" s="2072">
        <f t="shared" si="150"/>
        <v>21060</v>
      </c>
      <c r="DM75" s="2072">
        <f t="shared" si="150"/>
        <v>23100</v>
      </c>
      <c r="DN75" s="2072">
        <f t="shared" si="150"/>
        <v>21060</v>
      </c>
      <c r="DO75" s="2072">
        <f t="shared" si="150"/>
        <v>23100</v>
      </c>
      <c r="DP75" s="2072">
        <f t="shared" si="150"/>
        <v>38940</v>
      </c>
      <c r="DQ75" s="2072"/>
      <c r="DR75" s="2072"/>
      <c r="DS75" s="2072">
        <f t="shared" ref="DS75:EF75" si="151">DS74</f>
        <v>21060</v>
      </c>
      <c r="DT75" s="2072" t="e">
        <f t="shared" si="151"/>
        <v>#REF!</v>
      </c>
      <c r="DU75" s="2072" t="e">
        <f t="shared" si="151"/>
        <v>#REF!</v>
      </c>
      <c r="DV75" s="2072" t="e">
        <f t="shared" si="151"/>
        <v>#REF!</v>
      </c>
      <c r="DW75" s="2072" t="e">
        <f t="shared" si="151"/>
        <v>#REF!</v>
      </c>
      <c r="DX75" s="2072" t="e">
        <f t="shared" si="151"/>
        <v>#REF!</v>
      </c>
      <c r="DY75" s="2072" t="e">
        <f t="shared" si="151"/>
        <v>#REF!</v>
      </c>
      <c r="DZ75" s="2072" t="e">
        <f t="shared" si="151"/>
        <v>#REF!</v>
      </c>
      <c r="EA75" s="2072" t="e">
        <f t="shared" si="151"/>
        <v>#REF!</v>
      </c>
      <c r="EB75" s="2072" t="e">
        <f t="shared" si="151"/>
        <v>#REF!</v>
      </c>
      <c r="EC75" s="2072" t="e">
        <f t="shared" si="151"/>
        <v>#REF!</v>
      </c>
      <c r="ED75" s="2072" t="e">
        <f t="shared" si="151"/>
        <v>#REF!</v>
      </c>
      <c r="EE75" s="2072" t="e">
        <f t="shared" si="151"/>
        <v>#REF!</v>
      </c>
      <c r="EF75" s="2072" t="e">
        <f t="shared" si="151"/>
        <v>#REF!</v>
      </c>
      <c r="EG75" s="2072"/>
      <c r="EH75" s="2072"/>
      <c r="EI75" s="2072"/>
      <c r="EJ75" s="2072"/>
      <c r="EK75" s="2072"/>
      <c r="EL75" s="2072"/>
      <c r="EM75" s="2072"/>
      <c r="EN75" s="2072"/>
      <c r="EO75" s="2072"/>
      <c r="EP75" s="2072"/>
      <c r="EQ75" s="2072"/>
      <c r="ER75" s="2072"/>
      <c r="ES75" s="2072"/>
      <c r="ET75" s="2072"/>
      <c r="EU75" s="2072"/>
      <c r="EV75" s="2072"/>
      <c r="EW75" s="2072"/>
      <c r="EX75" s="2072"/>
      <c r="EY75" s="2072"/>
      <c r="EZ75" s="2072"/>
      <c r="FA75" s="2072"/>
      <c r="FB75" s="2072"/>
      <c r="FC75" s="2072"/>
      <c r="FD75" s="2072"/>
      <c r="FE75" s="2066"/>
      <c r="FF75" s="2066"/>
      <c r="FG75" s="2066"/>
      <c r="FH75" s="2066"/>
      <c r="FI75" s="2066"/>
      <c r="FJ75" s="2066"/>
    </row>
    <row r="76" spans="1:241" s="1553" customFormat="1" ht="17.25" hidden="1" customHeight="1" outlineLevel="2">
      <c r="A76" s="1549">
        <v>73</v>
      </c>
      <c r="B76" s="1558" t="s">
        <v>206</v>
      </c>
      <c r="C76" s="1508" t="s">
        <v>1425</v>
      </c>
      <c r="D76" s="1558" t="s">
        <v>206</v>
      </c>
      <c r="E76" s="1508" t="s">
        <v>278</v>
      </c>
      <c r="F76" s="1508" t="str">
        <f>Покрытия_ПВХ!E51</f>
        <v>Коричневая кожа</v>
      </c>
      <c r="G76" s="1508"/>
      <c r="H76" s="2072"/>
      <c r="I76" s="2072"/>
      <c r="J76" s="2072"/>
      <c r="K76" s="2072"/>
      <c r="L76" s="2072"/>
      <c r="M76" s="2072"/>
      <c r="N76" s="2072"/>
      <c r="O76" s="2072"/>
      <c r="P76" s="2072"/>
      <c r="Q76" s="2072"/>
      <c r="R76" s="2072"/>
      <c r="S76" s="2072"/>
      <c r="T76" s="2072"/>
      <c r="U76" s="2072"/>
      <c r="V76" s="2072"/>
      <c r="W76" s="2072"/>
      <c r="X76" s="2072"/>
      <c r="Y76" s="2072"/>
      <c r="Z76" s="2072"/>
      <c r="AA76" s="2072"/>
      <c r="AB76" s="2072"/>
      <c r="AC76" s="2072"/>
      <c r="AD76" s="2072"/>
      <c r="AE76" s="2072"/>
      <c r="AF76" s="2072"/>
      <c r="AG76" s="2072"/>
      <c r="AH76" s="2072"/>
      <c r="AI76" s="2072"/>
      <c r="AJ76" s="2072"/>
      <c r="AK76" s="2072"/>
      <c r="AL76" s="2072"/>
      <c r="AM76" s="2072"/>
      <c r="AN76" s="2072"/>
      <c r="AO76" s="2072"/>
      <c r="AP76" s="2072"/>
      <c r="AQ76" s="2072"/>
      <c r="AR76" s="2072"/>
      <c r="AS76" s="2072"/>
      <c r="AT76" s="2072"/>
      <c r="AU76" s="2072"/>
      <c r="AV76" s="2072"/>
      <c r="AW76" s="2072"/>
      <c r="AX76" s="2072"/>
      <c r="AY76" s="2072"/>
      <c r="AZ76" s="2072"/>
      <c r="BA76" s="2072"/>
      <c r="BB76" s="2072"/>
      <c r="BC76" s="2072"/>
      <c r="BD76" s="2072"/>
      <c r="BE76" s="2072"/>
      <c r="BF76" s="2072"/>
      <c r="BG76" s="2072"/>
      <c r="BH76" s="2072"/>
      <c r="BI76" s="2072"/>
      <c r="BJ76" s="2072"/>
      <c r="BK76" s="2072"/>
      <c r="BL76" s="2072"/>
      <c r="BM76" s="2072"/>
      <c r="BN76" s="2072"/>
      <c r="BO76" s="2072"/>
      <c r="BP76" s="2072"/>
      <c r="BQ76" s="2072" t="e">
        <f t="shared" ref="BQ76:CJ76" si="152">BQ74</f>
        <v>#REF!</v>
      </c>
      <c r="BR76" s="2072" t="e">
        <f t="shared" si="152"/>
        <v>#REF!</v>
      </c>
      <c r="BS76" s="2072" t="e">
        <f t="shared" si="152"/>
        <v>#REF!</v>
      </c>
      <c r="BT76" s="2072" t="e">
        <f t="shared" si="152"/>
        <v>#REF!</v>
      </c>
      <c r="BU76" s="2072" t="e">
        <f t="shared" si="152"/>
        <v>#REF!</v>
      </c>
      <c r="BV76" s="2072" t="e">
        <f t="shared" si="152"/>
        <v>#REF!</v>
      </c>
      <c r="BW76" s="2072" t="e">
        <f t="shared" si="152"/>
        <v>#REF!</v>
      </c>
      <c r="BX76" s="2072" t="e">
        <f t="shared" si="152"/>
        <v>#REF!</v>
      </c>
      <c r="BY76" s="2072" t="e">
        <f t="shared" si="152"/>
        <v>#REF!</v>
      </c>
      <c r="BZ76" s="2072" t="e">
        <f t="shared" si="152"/>
        <v>#REF!</v>
      </c>
      <c r="CA76" s="2072" t="e">
        <f t="shared" si="152"/>
        <v>#REF!</v>
      </c>
      <c r="CB76" s="2072" t="e">
        <f t="shared" si="152"/>
        <v>#REF!</v>
      </c>
      <c r="CC76" s="2072" t="e">
        <f t="shared" si="152"/>
        <v>#REF!</v>
      </c>
      <c r="CD76" s="2072" t="e">
        <f t="shared" si="152"/>
        <v>#REF!</v>
      </c>
      <c r="CE76" s="2072" t="e">
        <f t="shared" si="152"/>
        <v>#REF!</v>
      </c>
      <c r="CF76" s="2072" t="e">
        <f t="shared" si="152"/>
        <v>#REF!</v>
      </c>
      <c r="CG76" s="2072" t="e">
        <f t="shared" si="152"/>
        <v>#REF!</v>
      </c>
      <c r="CH76" s="2072" t="e">
        <f t="shared" si="152"/>
        <v>#REF!</v>
      </c>
      <c r="CI76" s="2072" t="e">
        <f t="shared" si="152"/>
        <v>#REF!</v>
      </c>
      <c r="CJ76" s="2072" t="e">
        <f t="shared" si="152"/>
        <v>#REF!</v>
      </c>
      <c r="CK76" s="2072"/>
      <c r="CL76" s="2072"/>
      <c r="CM76" s="2072"/>
      <c r="CN76" s="2072"/>
      <c r="CO76" s="2072" t="e">
        <f t="shared" ref="CO76:CZ76" si="153">CO74</f>
        <v>#REF!</v>
      </c>
      <c r="CP76" s="2072" t="e">
        <f t="shared" si="153"/>
        <v>#REF!</v>
      </c>
      <c r="CQ76" s="2072">
        <f t="shared" si="153"/>
        <v>0</v>
      </c>
      <c r="CR76" s="2072">
        <f t="shared" si="153"/>
        <v>0</v>
      </c>
      <c r="CS76" s="2072" t="e">
        <f t="shared" si="153"/>
        <v>#REF!</v>
      </c>
      <c r="CT76" s="2072">
        <f t="shared" si="153"/>
        <v>0</v>
      </c>
      <c r="CU76" s="2072" t="e">
        <f t="shared" si="153"/>
        <v>#REF!</v>
      </c>
      <c r="CV76" s="2072" t="e">
        <f t="shared" si="153"/>
        <v>#REF!</v>
      </c>
      <c r="CW76" s="2072" t="e">
        <f t="shared" si="153"/>
        <v>#REF!</v>
      </c>
      <c r="CX76" s="2072" t="e">
        <f t="shared" si="153"/>
        <v>#REF!</v>
      </c>
      <c r="CY76" s="2072" t="e">
        <f t="shared" si="153"/>
        <v>#REF!</v>
      </c>
      <c r="CZ76" s="2072" t="e">
        <f t="shared" si="153"/>
        <v>#REF!</v>
      </c>
      <c r="DA76" s="2072" t="e">
        <f t="shared" ref="DA76:DP76" si="154">DA74</f>
        <v>#REF!</v>
      </c>
      <c r="DB76" s="2072" t="e">
        <f t="shared" si="154"/>
        <v>#REF!</v>
      </c>
      <c r="DC76" s="2072" t="e">
        <f t="shared" si="154"/>
        <v>#REF!</v>
      </c>
      <c r="DD76" s="2072" t="e">
        <f t="shared" si="154"/>
        <v>#REF!</v>
      </c>
      <c r="DE76" s="2072" t="e">
        <f t="shared" si="154"/>
        <v>#REF!</v>
      </c>
      <c r="DF76" s="2072" t="e">
        <f t="shared" si="154"/>
        <v>#REF!</v>
      </c>
      <c r="DG76" s="2072" t="e">
        <f t="shared" si="154"/>
        <v>#REF!</v>
      </c>
      <c r="DH76" s="2072">
        <f t="shared" si="154"/>
        <v>16500</v>
      </c>
      <c r="DI76" s="2072" t="e">
        <f t="shared" si="154"/>
        <v>#REF!</v>
      </c>
      <c r="DJ76" s="2072" t="e">
        <f t="shared" si="154"/>
        <v>#REF!</v>
      </c>
      <c r="DK76" s="2072" t="e">
        <f t="shared" si="154"/>
        <v>#REF!</v>
      </c>
      <c r="DL76" s="2072">
        <f t="shared" si="154"/>
        <v>21060</v>
      </c>
      <c r="DM76" s="2072">
        <f t="shared" si="154"/>
        <v>23100</v>
      </c>
      <c r="DN76" s="2072">
        <f t="shared" si="154"/>
        <v>21060</v>
      </c>
      <c r="DO76" s="2072">
        <f t="shared" si="154"/>
        <v>23100</v>
      </c>
      <c r="DP76" s="2072">
        <f t="shared" si="154"/>
        <v>38940</v>
      </c>
      <c r="DQ76" s="2072"/>
      <c r="DR76" s="2072"/>
      <c r="DS76" s="2072">
        <f t="shared" ref="DS76:EF76" si="155">DS74</f>
        <v>21060</v>
      </c>
      <c r="DT76" s="2072" t="e">
        <f t="shared" si="155"/>
        <v>#REF!</v>
      </c>
      <c r="DU76" s="2072" t="e">
        <f t="shared" si="155"/>
        <v>#REF!</v>
      </c>
      <c r="DV76" s="2072" t="e">
        <f t="shared" si="155"/>
        <v>#REF!</v>
      </c>
      <c r="DW76" s="2072" t="e">
        <f t="shared" si="155"/>
        <v>#REF!</v>
      </c>
      <c r="DX76" s="2072" t="e">
        <f t="shared" si="155"/>
        <v>#REF!</v>
      </c>
      <c r="DY76" s="2072" t="e">
        <f t="shared" si="155"/>
        <v>#REF!</v>
      </c>
      <c r="DZ76" s="2072" t="e">
        <f t="shared" si="155"/>
        <v>#REF!</v>
      </c>
      <c r="EA76" s="2072" t="e">
        <f t="shared" si="155"/>
        <v>#REF!</v>
      </c>
      <c r="EB76" s="2072" t="e">
        <f t="shared" si="155"/>
        <v>#REF!</v>
      </c>
      <c r="EC76" s="2072" t="e">
        <f t="shared" si="155"/>
        <v>#REF!</v>
      </c>
      <c r="ED76" s="2072" t="e">
        <f t="shared" si="155"/>
        <v>#REF!</v>
      </c>
      <c r="EE76" s="2072" t="e">
        <f t="shared" si="155"/>
        <v>#REF!</v>
      </c>
      <c r="EF76" s="2072" t="e">
        <f t="shared" si="155"/>
        <v>#REF!</v>
      </c>
      <c r="EG76" s="2072"/>
      <c r="EH76" s="2072"/>
      <c r="EI76" s="2072"/>
      <c r="EJ76" s="2072"/>
      <c r="EK76" s="2072"/>
      <c r="EL76" s="2072"/>
      <c r="EM76" s="2072"/>
      <c r="EN76" s="2072"/>
      <c r="EO76" s="2072"/>
      <c r="EP76" s="2072"/>
      <c r="EQ76" s="2072"/>
      <c r="ER76" s="2072"/>
      <c r="ES76" s="2072"/>
      <c r="ET76" s="2072"/>
      <c r="EU76" s="2072"/>
      <c r="EV76" s="2072"/>
      <c r="EW76" s="2072"/>
      <c r="EX76" s="2072"/>
      <c r="EY76" s="2072"/>
      <c r="EZ76" s="2072"/>
      <c r="FA76" s="2072"/>
      <c r="FB76" s="2072"/>
      <c r="FC76" s="2072"/>
      <c r="FD76" s="2072"/>
      <c r="FE76" s="2066"/>
      <c r="FF76" s="2066"/>
      <c r="FG76" s="2066"/>
      <c r="FH76" s="2066"/>
      <c r="FI76" s="2066"/>
      <c r="FJ76" s="2066"/>
    </row>
    <row r="77" spans="1:241" s="1553" customFormat="1" ht="17.25" hidden="1" customHeight="1" outlineLevel="2">
      <c r="A77" s="1552">
        <v>74</v>
      </c>
      <c r="B77" s="1558" t="s">
        <v>206</v>
      </c>
      <c r="C77" s="1508" t="s">
        <v>1425</v>
      </c>
      <c r="D77" s="1558" t="s">
        <v>206</v>
      </c>
      <c r="E77" s="1508" t="s">
        <v>281</v>
      </c>
      <c r="F77" s="1508" t="e">
        <f>Покрытия_ПВХ!#REF!</f>
        <v>#REF!</v>
      </c>
      <c r="G77" s="1508"/>
      <c r="H77" s="2072"/>
      <c r="I77" s="2072"/>
      <c r="J77" s="2072"/>
      <c r="K77" s="2072"/>
      <c r="L77" s="2072"/>
      <c r="M77" s="2072"/>
      <c r="N77" s="2072"/>
      <c r="O77" s="2072"/>
      <c r="P77" s="2072"/>
      <c r="Q77" s="2072"/>
      <c r="R77" s="2072"/>
      <c r="S77" s="2072"/>
      <c r="T77" s="2072"/>
      <c r="U77" s="2072"/>
      <c r="V77" s="2072"/>
      <c r="W77" s="2072"/>
      <c r="X77" s="2072"/>
      <c r="Y77" s="2072"/>
      <c r="Z77" s="2072"/>
      <c r="AA77" s="2072"/>
      <c r="AB77" s="2072"/>
      <c r="AC77" s="2072"/>
      <c r="AD77" s="2072"/>
      <c r="AE77" s="2072"/>
      <c r="AF77" s="2072"/>
      <c r="AG77" s="2072"/>
      <c r="AH77" s="2072"/>
      <c r="AI77" s="2072"/>
      <c r="AJ77" s="2072"/>
      <c r="AK77" s="2072"/>
      <c r="AL77" s="2072"/>
      <c r="AM77" s="2072"/>
      <c r="AN77" s="2072"/>
      <c r="AO77" s="2072"/>
      <c r="AP77" s="2072"/>
      <c r="AQ77" s="2072"/>
      <c r="AR77" s="2072"/>
      <c r="AS77" s="2072"/>
      <c r="AT77" s="2072"/>
      <c r="AU77" s="2072"/>
      <c r="AV77" s="2072"/>
      <c r="AW77" s="2072"/>
      <c r="AX77" s="2072"/>
      <c r="AY77" s="2072"/>
      <c r="AZ77" s="2072"/>
      <c r="BA77" s="2072"/>
      <c r="BB77" s="2072"/>
      <c r="BC77" s="2072"/>
      <c r="BD77" s="2072"/>
      <c r="BE77" s="2072"/>
      <c r="BF77" s="2072"/>
      <c r="BG77" s="2072"/>
      <c r="BH77" s="2072"/>
      <c r="BI77" s="2072"/>
      <c r="BJ77" s="2072"/>
      <c r="BK77" s="2072"/>
      <c r="BL77" s="2072"/>
      <c r="BM77" s="2072"/>
      <c r="BN77" s="2072"/>
      <c r="BO77" s="2072"/>
      <c r="BP77" s="2072"/>
      <c r="BQ77" s="2072" t="e">
        <f t="shared" ref="BQ77:CJ77" si="156">BQ74</f>
        <v>#REF!</v>
      </c>
      <c r="BR77" s="2072" t="e">
        <f t="shared" si="156"/>
        <v>#REF!</v>
      </c>
      <c r="BS77" s="2072" t="e">
        <f t="shared" si="156"/>
        <v>#REF!</v>
      </c>
      <c r="BT77" s="2072" t="e">
        <f t="shared" si="156"/>
        <v>#REF!</v>
      </c>
      <c r="BU77" s="2072" t="e">
        <f t="shared" si="156"/>
        <v>#REF!</v>
      </c>
      <c r="BV77" s="2072" t="e">
        <f t="shared" si="156"/>
        <v>#REF!</v>
      </c>
      <c r="BW77" s="2072" t="e">
        <f t="shared" si="156"/>
        <v>#REF!</v>
      </c>
      <c r="BX77" s="2072" t="e">
        <f t="shared" si="156"/>
        <v>#REF!</v>
      </c>
      <c r="BY77" s="2072" t="e">
        <f t="shared" si="156"/>
        <v>#REF!</v>
      </c>
      <c r="BZ77" s="2072" t="e">
        <f t="shared" si="156"/>
        <v>#REF!</v>
      </c>
      <c r="CA77" s="2072" t="e">
        <f t="shared" si="156"/>
        <v>#REF!</v>
      </c>
      <c r="CB77" s="2072" t="e">
        <f t="shared" si="156"/>
        <v>#REF!</v>
      </c>
      <c r="CC77" s="2072" t="e">
        <f t="shared" si="156"/>
        <v>#REF!</v>
      </c>
      <c r="CD77" s="2072" t="e">
        <f t="shared" si="156"/>
        <v>#REF!</v>
      </c>
      <c r="CE77" s="2072" t="e">
        <f t="shared" si="156"/>
        <v>#REF!</v>
      </c>
      <c r="CF77" s="2072" t="e">
        <f t="shared" si="156"/>
        <v>#REF!</v>
      </c>
      <c r="CG77" s="2072" t="e">
        <f t="shared" si="156"/>
        <v>#REF!</v>
      </c>
      <c r="CH77" s="2072" t="e">
        <f t="shared" si="156"/>
        <v>#REF!</v>
      </c>
      <c r="CI77" s="2072" t="e">
        <f t="shared" si="156"/>
        <v>#REF!</v>
      </c>
      <c r="CJ77" s="2072" t="e">
        <f t="shared" si="156"/>
        <v>#REF!</v>
      </c>
      <c r="CK77" s="2072"/>
      <c r="CL77" s="2072"/>
      <c r="CM77" s="2072"/>
      <c r="CN77" s="2072"/>
      <c r="CO77" s="2072" t="e">
        <f t="shared" ref="CO77:CZ77" si="157">CO74</f>
        <v>#REF!</v>
      </c>
      <c r="CP77" s="2072" t="e">
        <f t="shared" si="157"/>
        <v>#REF!</v>
      </c>
      <c r="CQ77" s="2072">
        <f t="shared" si="157"/>
        <v>0</v>
      </c>
      <c r="CR77" s="2072">
        <f t="shared" si="157"/>
        <v>0</v>
      </c>
      <c r="CS77" s="2072" t="e">
        <f t="shared" si="157"/>
        <v>#REF!</v>
      </c>
      <c r="CT77" s="2072">
        <f t="shared" si="157"/>
        <v>0</v>
      </c>
      <c r="CU77" s="2072" t="e">
        <f t="shared" si="157"/>
        <v>#REF!</v>
      </c>
      <c r="CV77" s="2072" t="e">
        <f t="shared" si="157"/>
        <v>#REF!</v>
      </c>
      <c r="CW77" s="2072" t="e">
        <f t="shared" si="157"/>
        <v>#REF!</v>
      </c>
      <c r="CX77" s="2072" t="e">
        <f t="shared" si="157"/>
        <v>#REF!</v>
      </c>
      <c r="CY77" s="2072" t="e">
        <f t="shared" si="157"/>
        <v>#REF!</v>
      </c>
      <c r="CZ77" s="2072" t="e">
        <f t="shared" si="157"/>
        <v>#REF!</v>
      </c>
      <c r="DA77" s="2072" t="e">
        <f t="shared" ref="DA77:DP77" si="158">DA74</f>
        <v>#REF!</v>
      </c>
      <c r="DB77" s="2072" t="e">
        <f t="shared" si="158"/>
        <v>#REF!</v>
      </c>
      <c r="DC77" s="2072" t="e">
        <f t="shared" si="158"/>
        <v>#REF!</v>
      </c>
      <c r="DD77" s="2072" t="e">
        <f t="shared" si="158"/>
        <v>#REF!</v>
      </c>
      <c r="DE77" s="2072" t="e">
        <f t="shared" si="158"/>
        <v>#REF!</v>
      </c>
      <c r="DF77" s="2072" t="e">
        <f t="shared" si="158"/>
        <v>#REF!</v>
      </c>
      <c r="DG77" s="2072" t="e">
        <f t="shared" si="158"/>
        <v>#REF!</v>
      </c>
      <c r="DH77" s="2072">
        <f t="shared" si="158"/>
        <v>16500</v>
      </c>
      <c r="DI77" s="2072" t="e">
        <f t="shared" si="158"/>
        <v>#REF!</v>
      </c>
      <c r="DJ77" s="2072" t="e">
        <f t="shared" si="158"/>
        <v>#REF!</v>
      </c>
      <c r="DK77" s="2072" t="e">
        <f t="shared" si="158"/>
        <v>#REF!</v>
      </c>
      <c r="DL77" s="2072">
        <f t="shared" si="158"/>
        <v>21060</v>
      </c>
      <c r="DM77" s="2072">
        <f t="shared" si="158"/>
        <v>23100</v>
      </c>
      <c r="DN77" s="2072">
        <f t="shared" si="158"/>
        <v>21060</v>
      </c>
      <c r="DO77" s="2072">
        <f t="shared" si="158"/>
        <v>23100</v>
      </c>
      <c r="DP77" s="2072">
        <f t="shared" si="158"/>
        <v>38940</v>
      </c>
      <c r="DQ77" s="2072"/>
      <c r="DR77" s="2072"/>
      <c r="DS77" s="2072">
        <f t="shared" ref="DS77:EF77" si="159">DS74</f>
        <v>21060</v>
      </c>
      <c r="DT77" s="2072" t="e">
        <f t="shared" si="159"/>
        <v>#REF!</v>
      </c>
      <c r="DU77" s="2072" t="e">
        <f t="shared" si="159"/>
        <v>#REF!</v>
      </c>
      <c r="DV77" s="2072" t="e">
        <f t="shared" si="159"/>
        <v>#REF!</v>
      </c>
      <c r="DW77" s="2072" t="e">
        <f t="shared" si="159"/>
        <v>#REF!</v>
      </c>
      <c r="DX77" s="2072" t="e">
        <f t="shared" si="159"/>
        <v>#REF!</v>
      </c>
      <c r="DY77" s="2072" t="e">
        <f t="shared" si="159"/>
        <v>#REF!</v>
      </c>
      <c r="DZ77" s="2072" t="e">
        <f t="shared" si="159"/>
        <v>#REF!</v>
      </c>
      <c r="EA77" s="2072" t="e">
        <f t="shared" si="159"/>
        <v>#REF!</v>
      </c>
      <c r="EB77" s="2072" t="e">
        <f t="shared" si="159"/>
        <v>#REF!</v>
      </c>
      <c r="EC77" s="2072" t="e">
        <f t="shared" si="159"/>
        <v>#REF!</v>
      </c>
      <c r="ED77" s="2072" t="e">
        <f t="shared" si="159"/>
        <v>#REF!</v>
      </c>
      <c r="EE77" s="2072" t="e">
        <f t="shared" si="159"/>
        <v>#REF!</v>
      </c>
      <c r="EF77" s="2072" t="e">
        <f t="shared" si="159"/>
        <v>#REF!</v>
      </c>
      <c r="EG77" s="2072"/>
      <c r="EH77" s="2072"/>
      <c r="EI77" s="2072"/>
      <c r="EJ77" s="2072"/>
      <c r="EK77" s="2072"/>
      <c r="EL77" s="2072"/>
      <c r="EM77" s="2072"/>
      <c r="EN77" s="2072"/>
      <c r="EO77" s="2072"/>
      <c r="EP77" s="2072"/>
      <c r="EQ77" s="2072"/>
      <c r="ER77" s="2072"/>
      <c r="ES77" s="2072"/>
      <c r="ET77" s="2072"/>
      <c r="EU77" s="2072"/>
      <c r="EV77" s="2072"/>
      <c r="EW77" s="2072"/>
      <c r="EX77" s="2072"/>
      <c r="EY77" s="2072"/>
      <c r="EZ77" s="2072"/>
      <c r="FA77" s="2072"/>
      <c r="FB77" s="2072"/>
      <c r="FC77" s="2072"/>
      <c r="FD77" s="2072"/>
      <c r="FE77" s="2066"/>
      <c r="FF77" s="2066"/>
      <c r="FG77" s="2066"/>
      <c r="FH77" s="2066"/>
      <c r="FI77" s="2066"/>
      <c r="FJ77" s="2066"/>
    </row>
    <row r="78" spans="1:241" s="1553" customFormat="1" ht="17.25" hidden="1" customHeight="1" outlineLevel="2">
      <c r="A78" s="1549">
        <v>75</v>
      </c>
      <c r="B78" s="1558" t="s">
        <v>206</v>
      </c>
      <c r="C78" s="1508" t="s">
        <v>1425</v>
      </c>
      <c r="D78" s="1558" t="s">
        <v>206</v>
      </c>
      <c r="E78" s="1508" t="s">
        <v>281</v>
      </c>
      <c r="F78" s="1508" t="e">
        <f>Покрытия_ПВХ!#REF!</f>
        <v>#REF!</v>
      </c>
      <c r="G78" s="1508"/>
      <c r="H78" s="2072"/>
      <c r="I78" s="2072"/>
      <c r="J78" s="2072"/>
      <c r="K78" s="2072"/>
      <c r="L78" s="2072"/>
      <c r="M78" s="2072"/>
      <c r="N78" s="2072"/>
      <c r="O78" s="2072"/>
      <c r="P78" s="2072"/>
      <c r="Q78" s="2072"/>
      <c r="R78" s="2072"/>
      <c r="S78" s="2072"/>
      <c r="T78" s="2072"/>
      <c r="U78" s="2072"/>
      <c r="V78" s="2072"/>
      <c r="W78" s="2072"/>
      <c r="X78" s="2072"/>
      <c r="Y78" s="2072"/>
      <c r="Z78" s="2072"/>
      <c r="AA78" s="2072"/>
      <c r="AB78" s="2072"/>
      <c r="AC78" s="2072"/>
      <c r="AD78" s="2072"/>
      <c r="AE78" s="2072"/>
      <c r="AF78" s="2072"/>
      <c r="AG78" s="2072"/>
      <c r="AH78" s="2072"/>
      <c r="AI78" s="2072"/>
      <c r="AJ78" s="2072"/>
      <c r="AK78" s="2072"/>
      <c r="AL78" s="2072"/>
      <c r="AM78" s="2072"/>
      <c r="AN78" s="2072"/>
      <c r="AO78" s="2072"/>
      <c r="AP78" s="2072"/>
      <c r="AQ78" s="2072"/>
      <c r="AR78" s="2072"/>
      <c r="AS78" s="2072"/>
      <c r="AT78" s="2072"/>
      <c r="AU78" s="2072"/>
      <c r="AV78" s="2072"/>
      <c r="AW78" s="2072"/>
      <c r="AX78" s="2072"/>
      <c r="AY78" s="2072"/>
      <c r="AZ78" s="2072"/>
      <c r="BA78" s="2072"/>
      <c r="BB78" s="2072"/>
      <c r="BC78" s="2072"/>
      <c r="BD78" s="2072"/>
      <c r="BE78" s="2072"/>
      <c r="BF78" s="2072"/>
      <c r="BG78" s="2072"/>
      <c r="BH78" s="2072"/>
      <c r="BI78" s="2072"/>
      <c r="BJ78" s="2072"/>
      <c r="BK78" s="2072"/>
      <c r="BL78" s="2072"/>
      <c r="BM78" s="2072"/>
      <c r="BN78" s="2072"/>
      <c r="BO78" s="2072"/>
      <c r="BP78" s="2072"/>
      <c r="BQ78" s="2072" t="e">
        <f t="shared" ref="BQ78:CJ78" si="160">BQ74</f>
        <v>#REF!</v>
      </c>
      <c r="BR78" s="2072" t="e">
        <f t="shared" si="160"/>
        <v>#REF!</v>
      </c>
      <c r="BS78" s="2072" t="e">
        <f t="shared" si="160"/>
        <v>#REF!</v>
      </c>
      <c r="BT78" s="2072" t="e">
        <f t="shared" si="160"/>
        <v>#REF!</v>
      </c>
      <c r="BU78" s="2072" t="e">
        <f t="shared" si="160"/>
        <v>#REF!</v>
      </c>
      <c r="BV78" s="2072" t="e">
        <f t="shared" si="160"/>
        <v>#REF!</v>
      </c>
      <c r="BW78" s="2072" t="e">
        <f t="shared" si="160"/>
        <v>#REF!</v>
      </c>
      <c r="BX78" s="2072" t="e">
        <f t="shared" si="160"/>
        <v>#REF!</v>
      </c>
      <c r="BY78" s="2072" t="e">
        <f t="shared" si="160"/>
        <v>#REF!</v>
      </c>
      <c r="BZ78" s="2072" t="e">
        <f t="shared" si="160"/>
        <v>#REF!</v>
      </c>
      <c r="CA78" s="2072" t="e">
        <f t="shared" si="160"/>
        <v>#REF!</v>
      </c>
      <c r="CB78" s="2072" t="e">
        <f t="shared" si="160"/>
        <v>#REF!</v>
      </c>
      <c r="CC78" s="2072" t="e">
        <f t="shared" si="160"/>
        <v>#REF!</v>
      </c>
      <c r="CD78" s="2072" t="e">
        <f t="shared" si="160"/>
        <v>#REF!</v>
      </c>
      <c r="CE78" s="2072" t="e">
        <f t="shared" si="160"/>
        <v>#REF!</v>
      </c>
      <c r="CF78" s="2072" t="e">
        <f t="shared" si="160"/>
        <v>#REF!</v>
      </c>
      <c r="CG78" s="2072" t="e">
        <f t="shared" si="160"/>
        <v>#REF!</v>
      </c>
      <c r="CH78" s="2072" t="e">
        <f t="shared" si="160"/>
        <v>#REF!</v>
      </c>
      <c r="CI78" s="2072" t="e">
        <f t="shared" si="160"/>
        <v>#REF!</v>
      </c>
      <c r="CJ78" s="2072" t="e">
        <f t="shared" si="160"/>
        <v>#REF!</v>
      </c>
      <c r="CK78" s="2072"/>
      <c r="CL78" s="2072"/>
      <c r="CM78" s="2072"/>
      <c r="CN78" s="2072"/>
      <c r="CO78" s="2072" t="e">
        <f t="shared" ref="CO78:CZ78" si="161">CO74</f>
        <v>#REF!</v>
      </c>
      <c r="CP78" s="2072" t="e">
        <f t="shared" si="161"/>
        <v>#REF!</v>
      </c>
      <c r="CQ78" s="2072">
        <f t="shared" si="161"/>
        <v>0</v>
      </c>
      <c r="CR78" s="2072">
        <f t="shared" si="161"/>
        <v>0</v>
      </c>
      <c r="CS78" s="2072" t="e">
        <f t="shared" si="161"/>
        <v>#REF!</v>
      </c>
      <c r="CT78" s="2072">
        <f t="shared" si="161"/>
        <v>0</v>
      </c>
      <c r="CU78" s="2072" t="e">
        <f t="shared" si="161"/>
        <v>#REF!</v>
      </c>
      <c r="CV78" s="2072" t="e">
        <f t="shared" si="161"/>
        <v>#REF!</v>
      </c>
      <c r="CW78" s="2072" t="e">
        <f t="shared" si="161"/>
        <v>#REF!</v>
      </c>
      <c r="CX78" s="2072" t="e">
        <f t="shared" si="161"/>
        <v>#REF!</v>
      </c>
      <c r="CY78" s="2072" t="e">
        <f t="shared" si="161"/>
        <v>#REF!</v>
      </c>
      <c r="CZ78" s="2072" t="e">
        <f t="shared" si="161"/>
        <v>#REF!</v>
      </c>
      <c r="DA78" s="2072" t="e">
        <f t="shared" ref="DA78:DP78" si="162">DA74</f>
        <v>#REF!</v>
      </c>
      <c r="DB78" s="2072" t="e">
        <f t="shared" si="162"/>
        <v>#REF!</v>
      </c>
      <c r="DC78" s="2072" t="e">
        <f t="shared" si="162"/>
        <v>#REF!</v>
      </c>
      <c r="DD78" s="2072" t="e">
        <f t="shared" si="162"/>
        <v>#REF!</v>
      </c>
      <c r="DE78" s="2072" t="e">
        <f t="shared" si="162"/>
        <v>#REF!</v>
      </c>
      <c r="DF78" s="2072" t="e">
        <f t="shared" si="162"/>
        <v>#REF!</v>
      </c>
      <c r="DG78" s="2072" t="e">
        <f t="shared" si="162"/>
        <v>#REF!</v>
      </c>
      <c r="DH78" s="2072">
        <f t="shared" si="162"/>
        <v>16500</v>
      </c>
      <c r="DI78" s="2072" t="e">
        <f t="shared" si="162"/>
        <v>#REF!</v>
      </c>
      <c r="DJ78" s="2072" t="e">
        <f t="shared" si="162"/>
        <v>#REF!</v>
      </c>
      <c r="DK78" s="2072" t="e">
        <f t="shared" si="162"/>
        <v>#REF!</v>
      </c>
      <c r="DL78" s="2072">
        <f t="shared" si="162"/>
        <v>21060</v>
      </c>
      <c r="DM78" s="2072">
        <f t="shared" si="162"/>
        <v>23100</v>
      </c>
      <c r="DN78" s="2072">
        <f t="shared" si="162"/>
        <v>21060</v>
      </c>
      <c r="DO78" s="2072">
        <f t="shared" si="162"/>
        <v>23100</v>
      </c>
      <c r="DP78" s="2072">
        <f t="shared" si="162"/>
        <v>38940</v>
      </c>
      <c r="DQ78" s="2072"/>
      <c r="DR78" s="2072"/>
      <c r="DS78" s="2072">
        <f t="shared" ref="DS78:EF78" si="163">DS74</f>
        <v>21060</v>
      </c>
      <c r="DT78" s="2072" t="e">
        <f t="shared" si="163"/>
        <v>#REF!</v>
      </c>
      <c r="DU78" s="2072" t="e">
        <f t="shared" si="163"/>
        <v>#REF!</v>
      </c>
      <c r="DV78" s="2072" t="e">
        <f t="shared" si="163"/>
        <v>#REF!</v>
      </c>
      <c r="DW78" s="2072" t="e">
        <f t="shared" si="163"/>
        <v>#REF!</v>
      </c>
      <c r="DX78" s="2072" t="e">
        <f t="shared" si="163"/>
        <v>#REF!</v>
      </c>
      <c r="DY78" s="2072" t="e">
        <f t="shared" si="163"/>
        <v>#REF!</v>
      </c>
      <c r="DZ78" s="2072" t="e">
        <f t="shared" si="163"/>
        <v>#REF!</v>
      </c>
      <c r="EA78" s="2072" t="e">
        <f t="shared" si="163"/>
        <v>#REF!</v>
      </c>
      <c r="EB78" s="2072" t="e">
        <f t="shared" si="163"/>
        <v>#REF!</v>
      </c>
      <c r="EC78" s="2072" t="e">
        <f t="shared" si="163"/>
        <v>#REF!</v>
      </c>
      <c r="ED78" s="2072" t="e">
        <f t="shared" si="163"/>
        <v>#REF!</v>
      </c>
      <c r="EE78" s="2072" t="e">
        <f t="shared" si="163"/>
        <v>#REF!</v>
      </c>
      <c r="EF78" s="2072" t="e">
        <f t="shared" si="163"/>
        <v>#REF!</v>
      </c>
      <c r="EG78" s="2072"/>
      <c r="EH78" s="2072"/>
      <c r="EI78" s="2072"/>
      <c r="EJ78" s="2072"/>
      <c r="EK78" s="2072"/>
      <c r="EL78" s="2072"/>
      <c r="EM78" s="2072"/>
      <c r="EN78" s="2072"/>
      <c r="EO78" s="2072"/>
      <c r="EP78" s="2072"/>
      <c r="EQ78" s="2072"/>
      <c r="ER78" s="2072"/>
      <c r="ES78" s="2072"/>
      <c r="ET78" s="2072"/>
      <c r="EU78" s="2072"/>
      <c r="EV78" s="2072"/>
      <c r="EW78" s="2072"/>
      <c r="EX78" s="2072"/>
      <c r="EY78" s="2072"/>
      <c r="EZ78" s="2072"/>
      <c r="FA78" s="2072"/>
      <c r="FB78" s="2072"/>
      <c r="FC78" s="2072"/>
      <c r="FD78" s="2072"/>
      <c r="FE78" s="2066"/>
      <c r="FF78" s="2066"/>
      <c r="FG78" s="2066"/>
      <c r="FH78" s="2066"/>
      <c r="FI78" s="2066"/>
      <c r="FJ78" s="2066"/>
    </row>
    <row r="79" spans="1:241" s="1553" customFormat="1" ht="17.25" hidden="1" customHeight="1" outlineLevel="2">
      <c r="A79" s="1552">
        <v>76</v>
      </c>
      <c r="B79" s="1558" t="s">
        <v>206</v>
      </c>
      <c r="C79" s="1508" t="s">
        <v>1425</v>
      </c>
      <c r="D79" s="1558" t="s">
        <v>206</v>
      </c>
      <c r="E79" s="1508" t="s">
        <v>281</v>
      </c>
      <c r="F79" s="1508" t="e">
        <f>Покрытия_ПВХ!#REF!</f>
        <v>#REF!</v>
      </c>
      <c r="G79" s="1508"/>
      <c r="H79" s="2072"/>
      <c r="I79" s="2072"/>
      <c r="J79" s="2072"/>
      <c r="K79" s="2072"/>
      <c r="L79" s="2072"/>
      <c r="M79" s="2072"/>
      <c r="N79" s="2072"/>
      <c r="O79" s="2072"/>
      <c r="P79" s="2072"/>
      <c r="Q79" s="2072"/>
      <c r="R79" s="2072"/>
      <c r="S79" s="2072"/>
      <c r="T79" s="2072"/>
      <c r="U79" s="2072"/>
      <c r="V79" s="2072"/>
      <c r="W79" s="2072"/>
      <c r="X79" s="2072"/>
      <c r="Y79" s="2072"/>
      <c r="Z79" s="2072"/>
      <c r="AA79" s="2072"/>
      <c r="AB79" s="2072"/>
      <c r="AC79" s="2072"/>
      <c r="AD79" s="2072"/>
      <c r="AE79" s="2072"/>
      <c r="AF79" s="2072"/>
      <c r="AG79" s="2072"/>
      <c r="AH79" s="2072"/>
      <c r="AI79" s="2072"/>
      <c r="AJ79" s="2072"/>
      <c r="AK79" s="2072"/>
      <c r="AL79" s="2072"/>
      <c r="AM79" s="2072"/>
      <c r="AN79" s="2072"/>
      <c r="AO79" s="2072"/>
      <c r="AP79" s="2072"/>
      <c r="AQ79" s="2072"/>
      <c r="AR79" s="2072"/>
      <c r="AS79" s="2072"/>
      <c r="AT79" s="2072"/>
      <c r="AU79" s="2072"/>
      <c r="AV79" s="2072"/>
      <c r="AW79" s="2072"/>
      <c r="AX79" s="2072"/>
      <c r="AY79" s="2072"/>
      <c r="AZ79" s="2072"/>
      <c r="BA79" s="2072"/>
      <c r="BB79" s="2072"/>
      <c r="BC79" s="2072"/>
      <c r="BD79" s="2072"/>
      <c r="BE79" s="2072"/>
      <c r="BF79" s="2072"/>
      <c r="BG79" s="2072"/>
      <c r="BH79" s="2072"/>
      <c r="BI79" s="2072"/>
      <c r="BJ79" s="2072"/>
      <c r="BK79" s="2072"/>
      <c r="BL79" s="2072"/>
      <c r="BM79" s="2072"/>
      <c r="BN79" s="2072"/>
      <c r="BO79" s="2072"/>
      <c r="BP79" s="2072"/>
      <c r="BQ79" s="2072" t="e">
        <f t="shared" ref="BQ79:CJ79" si="164">BQ74</f>
        <v>#REF!</v>
      </c>
      <c r="BR79" s="2072" t="e">
        <f t="shared" si="164"/>
        <v>#REF!</v>
      </c>
      <c r="BS79" s="2072" t="e">
        <f t="shared" si="164"/>
        <v>#REF!</v>
      </c>
      <c r="BT79" s="2072" t="e">
        <f t="shared" si="164"/>
        <v>#REF!</v>
      </c>
      <c r="BU79" s="2072" t="e">
        <f t="shared" si="164"/>
        <v>#REF!</v>
      </c>
      <c r="BV79" s="2072" t="e">
        <f t="shared" si="164"/>
        <v>#REF!</v>
      </c>
      <c r="BW79" s="2072" t="e">
        <f t="shared" si="164"/>
        <v>#REF!</v>
      </c>
      <c r="BX79" s="2072" t="e">
        <f t="shared" si="164"/>
        <v>#REF!</v>
      </c>
      <c r="BY79" s="2072" t="e">
        <f t="shared" si="164"/>
        <v>#REF!</v>
      </c>
      <c r="BZ79" s="2072" t="e">
        <f t="shared" si="164"/>
        <v>#REF!</v>
      </c>
      <c r="CA79" s="2072" t="e">
        <f t="shared" si="164"/>
        <v>#REF!</v>
      </c>
      <c r="CB79" s="2072" t="e">
        <f t="shared" si="164"/>
        <v>#REF!</v>
      </c>
      <c r="CC79" s="2072" t="e">
        <f t="shared" si="164"/>
        <v>#REF!</v>
      </c>
      <c r="CD79" s="2072" t="e">
        <f t="shared" si="164"/>
        <v>#REF!</v>
      </c>
      <c r="CE79" s="2072" t="e">
        <f t="shared" si="164"/>
        <v>#REF!</v>
      </c>
      <c r="CF79" s="2072" t="e">
        <f t="shared" si="164"/>
        <v>#REF!</v>
      </c>
      <c r="CG79" s="2072" t="e">
        <f t="shared" si="164"/>
        <v>#REF!</v>
      </c>
      <c r="CH79" s="2072" t="e">
        <f t="shared" si="164"/>
        <v>#REF!</v>
      </c>
      <c r="CI79" s="2072" t="e">
        <f t="shared" si="164"/>
        <v>#REF!</v>
      </c>
      <c r="CJ79" s="2072" t="e">
        <f t="shared" si="164"/>
        <v>#REF!</v>
      </c>
      <c r="CK79" s="2072"/>
      <c r="CL79" s="2072"/>
      <c r="CM79" s="2072"/>
      <c r="CN79" s="2072"/>
      <c r="CO79" s="2072" t="e">
        <f t="shared" ref="CO79:CZ79" si="165">CO74</f>
        <v>#REF!</v>
      </c>
      <c r="CP79" s="2072" t="e">
        <f t="shared" si="165"/>
        <v>#REF!</v>
      </c>
      <c r="CQ79" s="2072">
        <f t="shared" si="165"/>
        <v>0</v>
      </c>
      <c r="CR79" s="2072">
        <f t="shared" si="165"/>
        <v>0</v>
      </c>
      <c r="CS79" s="2072" t="e">
        <f t="shared" si="165"/>
        <v>#REF!</v>
      </c>
      <c r="CT79" s="2072">
        <f t="shared" si="165"/>
        <v>0</v>
      </c>
      <c r="CU79" s="2072" t="e">
        <f t="shared" si="165"/>
        <v>#REF!</v>
      </c>
      <c r="CV79" s="2072" t="e">
        <f t="shared" si="165"/>
        <v>#REF!</v>
      </c>
      <c r="CW79" s="2072" t="e">
        <f t="shared" si="165"/>
        <v>#REF!</v>
      </c>
      <c r="CX79" s="2072" t="e">
        <f t="shared" si="165"/>
        <v>#REF!</v>
      </c>
      <c r="CY79" s="2072" t="e">
        <f t="shared" si="165"/>
        <v>#REF!</v>
      </c>
      <c r="CZ79" s="2072" t="e">
        <f t="shared" si="165"/>
        <v>#REF!</v>
      </c>
      <c r="DA79" s="2072" t="e">
        <f t="shared" ref="DA79:DP79" si="166">DA74</f>
        <v>#REF!</v>
      </c>
      <c r="DB79" s="2072" t="e">
        <f t="shared" si="166"/>
        <v>#REF!</v>
      </c>
      <c r="DC79" s="2072" t="e">
        <f t="shared" si="166"/>
        <v>#REF!</v>
      </c>
      <c r="DD79" s="2072" t="e">
        <f t="shared" si="166"/>
        <v>#REF!</v>
      </c>
      <c r="DE79" s="2072" t="e">
        <f t="shared" si="166"/>
        <v>#REF!</v>
      </c>
      <c r="DF79" s="2072" t="e">
        <f t="shared" si="166"/>
        <v>#REF!</v>
      </c>
      <c r="DG79" s="2072" t="e">
        <f t="shared" si="166"/>
        <v>#REF!</v>
      </c>
      <c r="DH79" s="2072">
        <f t="shared" si="166"/>
        <v>16500</v>
      </c>
      <c r="DI79" s="2072" t="e">
        <f t="shared" si="166"/>
        <v>#REF!</v>
      </c>
      <c r="DJ79" s="2072" t="e">
        <f t="shared" si="166"/>
        <v>#REF!</v>
      </c>
      <c r="DK79" s="2072" t="e">
        <f t="shared" si="166"/>
        <v>#REF!</v>
      </c>
      <c r="DL79" s="2072">
        <f t="shared" si="166"/>
        <v>21060</v>
      </c>
      <c r="DM79" s="2072">
        <f t="shared" si="166"/>
        <v>23100</v>
      </c>
      <c r="DN79" s="2072">
        <f t="shared" si="166"/>
        <v>21060</v>
      </c>
      <c r="DO79" s="2072">
        <f t="shared" si="166"/>
        <v>23100</v>
      </c>
      <c r="DP79" s="2072">
        <f t="shared" si="166"/>
        <v>38940</v>
      </c>
      <c r="DQ79" s="2072"/>
      <c r="DR79" s="2072"/>
      <c r="DS79" s="2072">
        <f t="shared" ref="DS79:EF79" si="167">DS74</f>
        <v>21060</v>
      </c>
      <c r="DT79" s="2072" t="e">
        <f t="shared" si="167"/>
        <v>#REF!</v>
      </c>
      <c r="DU79" s="2072" t="e">
        <f t="shared" si="167"/>
        <v>#REF!</v>
      </c>
      <c r="DV79" s="2072" t="e">
        <f t="shared" si="167"/>
        <v>#REF!</v>
      </c>
      <c r="DW79" s="2072" t="e">
        <f t="shared" si="167"/>
        <v>#REF!</v>
      </c>
      <c r="DX79" s="2072" t="e">
        <f t="shared" si="167"/>
        <v>#REF!</v>
      </c>
      <c r="DY79" s="2072" t="e">
        <f t="shared" si="167"/>
        <v>#REF!</v>
      </c>
      <c r="DZ79" s="2072" t="e">
        <f t="shared" si="167"/>
        <v>#REF!</v>
      </c>
      <c r="EA79" s="2072" t="e">
        <f t="shared" si="167"/>
        <v>#REF!</v>
      </c>
      <c r="EB79" s="2072" t="e">
        <f t="shared" si="167"/>
        <v>#REF!</v>
      </c>
      <c r="EC79" s="2072" t="e">
        <f t="shared" si="167"/>
        <v>#REF!</v>
      </c>
      <c r="ED79" s="2072" t="e">
        <f t="shared" si="167"/>
        <v>#REF!</v>
      </c>
      <c r="EE79" s="2072" t="e">
        <f t="shared" si="167"/>
        <v>#REF!</v>
      </c>
      <c r="EF79" s="2072" t="e">
        <f t="shared" si="167"/>
        <v>#REF!</v>
      </c>
      <c r="EG79" s="2072"/>
      <c r="EH79" s="2072"/>
      <c r="EI79" s="2072"/>
      <c r="EJ79" s="2072"/>
      <c r="EK79" s="2072"/>
      <c r="EL79" s="2072"/>
      <c r="EM79" s="2072"/>
      <c r="EN79" s="2072"/>
      <c r="EO79" s="2072"/>
      <c r="EP79" s="2072"/>
      <c r="EQ79" s="2072"/>
      <c r="ER79" s="2072"/>
      <c r="ES79" s="2072"/>
      <c r="ET79" s="2072"/>
      <c r="EU79" s="2072"/>
      <c r="EV79" s="2072"/>
      <c r="EW79" s="2072"/>
      <c r="EX79" s="2072"/>
      <c r="EY79" s="2072"/>
      <c r="EZ79" s="2072"/>
      <c r="FA79" s="2072"/>
      <c r="FB79" s="2072"/>
      <c r="FC79" s="2072"/>
      <c r="FD79" s="2072"/>
      <c r="FE79" s="2066"/>
      <c r="FF79" s="2066"/>
      <c r="FG79" s="2066"/>
      <c r="FH79" s="2066"/>
      <c r="FI79" s="2066"/>
      <c r="FJ79" s="2066"/>
    </row>
    <row r="80" spans="1:241" s="1566" customFormat="1" ht="25.5" hidden="1" outlineLevel="1" collapsed="1">
      <c r="A80" s="1549">
        <v>77</v>
      </c>
      <c r="B80" s="1559" t="s">
        <v>303</v>
      </c>
      <c r="C80" s="1560" t="s">
        <v>1972</v>
      </c>
      <c r="D80" s="1561" t="s">
        <v>1780</v>
      </c>
      <c r="E80" s="1562" t="s">
        <v>1781</v>
      </c>
      <c r="F80" s="1563" t="s">
        <v>166</v>
      </c>
      <c r="G80" s="1564"/>
      <c r="H80" s="2073"/>
      <c r="I80" s="2074"/>
      <c r="J80" s="2075"/>
      <c r="K80" s="2075"/>
      <c r="L80" s="2074"/>
      <c r="M80" s="2074"/>
      <c r="N80" s="2076"/>
      <c r="O80" s="2074"/>
      <c r="P80" s="2075"/>
      <c r="Q80" s="2077"/>
      <c r="R80" s="2077"/>
      <c r="S80" s="2077"/>
      <c r="T80" s="2077"/>
      <c r="U80" s="2077"/>
      <c r="V80" s="2077"/>
      <c r="W80" s="2077"/>
      <c r="X80" s="2077"/>
      <c r="Y80" s="2077"/>
      <c r="Z80" s="2077"/>
      <c r="AA80" s="2077"/>
      <c r="AB80" s="2077"/>
      <c r="AC80" s="2077"/>
      <c r="AD80" s="2077"/>
      <c r="AE80" s="2077"/>
      <c r="AF80" s="2077"/>
      <c r="AG80" s="2077"/>
      <c r="AH80" s="2077"/>
      <c r="AI80" s="2077"/>
      <c r="AJ80" s="2077"/>
      <c r="AK80" s="2077"/>
      <c r="AL80" s="2077"/>
      <c r="AM80" s="2077"/>
      <c r="AN80" s="2077"/>
      <c r="AO80" s="2077"/>
      <c r="AP80" s="2077"/>
      <c r="AQ80" s="2077"/>
      <c r="AR80" s="2077"/>
      <c r="AS80" s="2077"/>
      <c r="AT80" s="2077"/>
      <c r="AU80" s="2077"/>
      <c r="AV80" s="2077"/>
      <c r="AW80" s="2077"/>
      <c r="AX80" s="2077"/>
      <c r="AY80" s="2078"/>
      <c r="AZ80" s="2078"/>
      <c r="BA80" s="2078"/>
      <c r="BB80" s="2078"/>
      <c r="BC80" s="2078"/>
      <c r="BD80" s="2078"/>
      <c r="BE80" s="2078"/>
      <c r="BF80" s="2078"/>
      <c r="BG80" s="2078"/>
      <c r="BH80" s="2078"/>
      <c r="BI80" s="2078"/>
      <c r="BJ80" s="2078"/>
      <c r="BK80" s="2078"/>
      <c r="BL80" s="2078"/>
      <c r="BM80" s="2078"/>
      <c r="BN80" s="2078"/>
      <c r="BO80" s="2078"/>
      <c r="BP80" s="2078"/>
      <c r="BQ80" s="2078"/>
      <c r="BR80" s="2078"/>
      <c r="BS80" s="2078"/>
      <c r="BT80" s="2078"/>
      <c r="BU80" s="2078"/>
      <c r="BV80" s="2078"/>
      <c r="BW80" s="2078"/>
      <c r="BX80" s="2078"/>
      <c r="BY80" s="2078"/>
      <c r="BZ80" s="2078"/>
      <c r="CA80" s="2078"/>
      <c r="CB80" s="2078"/>
      <c r="CC80" s="2078"/>
      <c r="CD80" s="2078"/>
      <c r="CE80" s="2079"/>
      <c r="CF80" s="2079"/>
      <c r="CG80" s="2079"/>
      <c r="CH80" s="2079"/>
      <c r="CI80" s="2079"/>
      <c r="CJ80" s="2079"/>
      <c r="CK80" s="2079"/>
      <c r="CL80" s="2079"/>
      <c r="CM80" s="2079"/>
      <c r="CN80" s="2079"/>
      <c r="CO80" s="2078"/>
      <c r="CP80" s="2078"/>
      <c r="CQ80" s="2079"/>
      <c r="CR80" s="2079"/>
      <c r="CS80" s="2078"/>
      <c r="CT80" s="2079"/>
      <c r="CU80" s="2078"/>
      <c r="CV80" s="2079"/>
      <c r="CW80" s="2078"/>
      <c r="CX80" s="2079"/>
      <c r="CY80" s="2078"/>
      <c r="CZ80" s="2078"/>
      <c r="DA80" s="2078"/>
      <c r="DB80" s="2078"/>
      <c r="DC80" s="2078"/>
      <c r="DD80" s="2078"/>
      <c r="DE80" s="2078"/>
      <c r="DF80" s="2078"/>
      <c r="DG80" s="2078"/>
      <c r="DH80" s="2080">
        <f>Techno_Porte!G19</f>
        <v>22200</v>
      </c>
      <c r="DI80" s="2080" t="e">
        <f>Techno_Porte!#REF!</f>
        <v>#REF!</v>
      </c>
      <c r="DJ80" s="2080" t="e">
        <f>Techno_Porte!#REF!</f>
        <v>#REF!</v>
      </c>
      <c r="DK80" s="2080" t="e">
        <f>Techno_Porte!#REF!</f>
        <v>#REF!</v>
      </c>
      <c r="DL80" s="2080">
        <f>Techno_Vetro!G16</f>
        <v>26000</v>
      </c>
      <c r="DM80" s="2080">
        <f>Techno_Vetro!H16</f>
        <v>27700</v>
      </c>
      <c r="DN80" s="2080">
        <f>Techno_Vetro!I16</f>
        <v>26000</v>
      </c>
      <c r="DO80" s="2080">
        <f>Techno_Vetro!J16</f>
        <v>27700</v>
      </c>
      <c r="DP80" s="2080">
        <f>Techno_Vetro!L16</f>
        <v>40900</v>
      </c>
      <c r="DQ80" s="2080"/>
      <c r="DR80" s="2080" t="e">
        <f>Techno_Vetro!#REF!</f>
        <v>#REF!</v>
      </c>
      <c r="DS80" s="2080">
        <f>Techno_Vetro!K16</f>
        <v>26000</v>
      </c>
      <c r="DT80" s="2080" t="e">
        <f>Techno_Vetro!#REF!</f>
        <v>#REF!</v>
      </c>
      <c r="DU80" s="2078"/>
      <c r="DV80" s="2078"/>
      <c r="DW80" s="2078"/>
      <c r="DX80" s="2078"/>
      <c r="DY80" s="2078"/>
      <c r="DZ80" s="2078"/>
      <c r="EA80" s="2078"/>
      <c r="EB80" s="2078"/>
      <c r="EC80" s="2078"/>
      <c r="ED80" s="2078"/>
      <c r="EE80" s="2078"/>
      <c r="EF80" s="2078"/>
      <c r="EG80" s="2078"/>
      <c r="EH80" s="2078"/>
      <c r="EI80" s="2078"/>
      <c r="EJ80" s="2078"/>
      <c r="EK80" s="2078"/>
      <c r="EL80" s="2078"/>
      <c r="EM80" s="2078"/>
      <c r="EN80" s="2078"/>
      <c r="EO80" s="2078"/>
      <c r="EP80" s="2078"/>
      <c r="EQ80" s="2078"/>
      <c r="ER80" s="2078"/>
      <c r="ES80" s="2078"/>
      <c r="ET80" s="2078"/>
      <c r="EU80" s="2078"/>
      <c r="EV80" s="2078"/>
      <c r="EW80" s="2078"/>
      <c r="EX80" s="2078"/>
      <c r="EY80" s="2078"/>
      <c r="EZ80" s="2078"/>
      <c r="FA80" s="2078"/>
      <c r="FB80" s="2078"/>
      <c r="FC80" s="2078"/>
      <c r="FD80" s="2078"/>
      <c r="FE80" s="2081"/>
      <c r="FF80" s="2082"/>
      <c r="FG80" s="2082"/>
      <c r="FH80" s="2082"/>
      <c r="FI80" s="2082"/>
      <c r="FJ80" s="2082"/>
      <c r="FK80" s="1565"/>
      <c r="FL80" s="1565"/>
      <c r="FM80" s="1565"/>
      <c r="FN80" s="1565"/>
      <c r="FO80" s="1565"/>
      <c r="FP80" s="1565"/>
      <c r="FQ80" s="1565"/>
      <c r="FR80" s="1565"/>
      <c r="FS80" s="1565"/>
      <c r="FT80" s="1565"/>
      <c r="FU80" s="1565"/>
      <c r="FV80" s="1565"/>
      <c r="FW80" s="1565"/>
      <c r="FX80" s="1565"/>
      <c r="FY80" s="1565"/>
      <c r="FZ80" s="1565"/>
      <c r="GA80" s="1565"/>
      <c r="GB80" s="1565"/>
      <c r="GC80" s="1565"/>
      <c r="GD80" s="1565"/>
      <c r="GE80" s="1565"/>
      <c r="GF80" s="1565"/>
      <c r="GG80" s="1565"/>
      <c r="GH80" s="1565"/>
      <c r="GI80" s="1565"/>
      <c r="GJ80" s="1565"/>
      <c r="GK80" s="1565"/>
      <c r="GL80" s="1565"/>
      <c r="GM80" s="1565"/>
      <c r="GN80" s="1565"/>
      <c r="GO80" s="1565"/>
      <c r="GP80" s="1565"/>
      <c r="GQ80" s="1565"/>
      <c r="GR80" s="1565"/>
      <c r="GS80" s="1565"/>
      <c r="GT80" s="1565"/>
      <c r="GU80" s="1565"/>
      <c r="GV80" s="1565"/>
      <c r="GW80" s="1565"/>
      <c r="GX80" s="1565"/>
      <c r="GY80" s="1565"/>
      <c r="GZ80" s="1565"/>
      <c r="HA80" s="1565"/>
      <c r="HB80" s="1565"/>
      <c r="HC80" s="1565"/>
      <c r="HD80" s="1565"/>
      <c r="HE80" s="1565"/>
      <c r="HF80" s="1565"/>
      <c r="HG80" s="1565"/>
      <c r="HH80" s="1565"/>
      <c r="HI80" s="1565"/>
      <c r="HJ80" s="1565"/>
      <c r="HK80" s="1565"/>
      <c r="HL80" s="1565"/>
      <c r="HM80" s="1565"/>
      <c r="HN80" s="1565"/>
      <c r="HO80" s="1565"/>
      <c r="HP80" s="1565"/>
      <c r="HQ80" s="1565"/>
      <c r="HR80" s="1565"/>
      <c r="HS80" s="1565"/>
      <c r="HT80" s="1565"/>
      <c r="HU80" s="1565"/>
      <c r="HV80" s="1565"/>
      <c r="HW80" s="1565"/>
      <c r="HX80" s="1565"/>
      <c r="HY80" s="1565"/>
      <c r="HZ80" s="1565"/>
      <c r="IA80" s="1565"/>
      <c r="IB80" s="1565"/>
      <c r="IC80" s="1565"/>
      <c r="ID80" s="1565"/>
      <c r="IE80" s="1565"/>
      <c r="IF80" s="1565"/>
      <c r="IG80" s="1565"/>
    </row>
    <row r="81" spans="1:241" s="1552" customFormat="1" ht="25.5" hidden="1" outlineLevel="2">
      <c r="A81" s="1552">
        <v>78</v>
      </c>
      <c r="B81" s="1567" t="s">
        <v>303</v>
      </c>
      <c r="C81" s="1568" t="s">
        <v>1972</v>
      </c>
      <c r="D81" s="1569" t="s">
        <v>1780</v>
      </c>
      <c r="E81" s="1570" t="s">
        <v>1781</v>
      </c>
      <c r="F81" s="1571" t="s">
        <v>1782</v>
      </c>
      <c r="G81" s="1572"/>
      <c r="H81" s="2073"/>
      <c r="I81" s="2083"/>
      <c r="J81" s="2084"/>
      <c r="K81" s="2084"/>
      <c r="L81" s="2083"/>
      <c r="M81" s="2083"/>
      <c r="N81" s="2085"/>
      <c r="O81" s="2083"/>
      <c r="P81" s="2084"/>
      <c r="Q81" s="2086"/>
      <c r="R81" s="2086"/>
      <c r="S81" s="2086"/>
      <c r="T81" s="2086"/>
      <c r="U81" s="2086"/>
      <c r="V81" s="2086"/>
      <c r="W81" s="2086"/>
      <c r="X81" s="2086"/>
      <c r="Y81" s="2086"/>
      <c r="Z81" s="2086"/>
      <c r="AA81" s="2086"/>
      <c r="AB81" s="2086"/>
      <c r="AC81" s="2086"/>
      <c r="AD81" s="2086"/>
      <c r="AE81" s="2086"/>
      <c r="AF81" s="2086"/>
      <c r="AG81" s="2086"/>
      <c r="AH81" s="2086"/>
      <c r="AI81" s="2086"/>
      <c r="AJ81" s="2086"/>
      <c r="AK81" s="2086"/>
      <c r="AL81" s="2086"/>
      <c r="AM81" s="2086"/>
      <c r="AN81" s="2086"/>
      <c r="AO81" s="2086"/>
      <c r="AP81" s="2086"/>
      <c r="AQ81" s="2086"/>
      <c r="AR81" s="2086"/>
      <c r="AS81" s="2086"/>
      <c r="AT81" s="2086"/>
      <c r="AU81" s="2086"/>
      <c r="AV81" s="2086"/>
      <c r="AW81" s="2086"/>
      <c r="AX81" s="2086"/>
      <c r="AY81" s="2087"/>
      <c r="AZ81" s="2087"/>
      <c r="BA81" s="2087"/>
      <c r="BB81" s="2087"/>
      <c r="BC81" s="2087"/>
      <c r="BD81" s="2087"/>
      <c r="BE81" s="2087"/>
      <c r="BF81" s="2087"/>
      <c r="BG81" s="2087"/>
      <c r="BH81" s="2087"/>
      <c r="BI81" s="2087"/>
      <c r="BJ81" s="2087"/>
      <c r="BK81" s="2087"/>
      <c r="BL81" s="2087"/>
      <c r="BM81" s="2087"/>
      <c r="BN81" s="2087"/>
      <c r="BO81" s="2087"/>
      <c r="BP81" s="2087"/>
      <c r="BQ81" s="2087"/>
      <c r="BR81" s="2087"/>
      <c r="BS81" s="2087"/>
      <c r="BT81" s="2087"/>
      <c r="BU81" s="2087"/>
      <c r="BV81" s="2087"/>
      <c r="BW81" s="2087"/>
      <c r="BX81" s="2087"/>
      <c r="BY81" s="2087"/>
      <c r="BZ81" s="2087"/>
      <c r="CA81" s="2087"/>
      <c r="CB81" s="2087"/>
      <c r="CC81" s="2087"/>
      <c r="CD81" s="2087"/>
      <c r="CE81" s="2088"/>
      <c r="CF81" s="2088"/>
      <c r="CG81" s="2088"/>
      <c r="CH81" s="2088"/>
      <c r="CI81" s="2088"/>
      <c r="CJ81" s="2088"/>
      <c r="CK81" s="2088"/>
      <c r="CL81" s="2088"/>
      <c r="CM81" s="2088"/>
      <c r="CN81" s="2088"/>
      <c r="CO81" s="2087"/>
      <c r="CP81" s="2087"/>
      <c r="CQ81" s="2088"/>
      <c r="CR81" s="2088"/>
      <c r="CS81" s="2087"/>
      <c r="CT81" s="2088"/>
      <c r="CU81" s="2087"/>
      <c r="CV81" s="2088"/>
      <c r="CW81" s="2087"/>
      <c r="CX81" s="2088"/>
      <c r="CY81" s="2087"/>
      <c r="CZ81" s="2087"/>
      <c r="DA81" s="2087"/>
      <c r="DB81" s="2087"/>
      <c r="DC81" s="2087"/>
      <c r="DD81" s="2087"/>
      <c r="DE81" s="2087"/>
      <c r="DF81" s="2087"/>
      <c r="DG81" s="2087"/>
      <c r="DH81" s="2088">
        <f>DH80</f>
        <v>22200</v>
      </c>
      <c r="DI81" s="2088" t="e">
        <f t="shared" ref="DI81:DT81" si="168">DI80</f>
        <v>#REF!</v>
      </c>
      <c r="DJ81" s="2088" t="e">
        <f t="shared" si="168"/>
        <v>#REF!</v>
      </c>
      <c r="DK81" s="2088" t="e">
        <f t="shared" si="168"/>
        <v>#REF!</v>
      </c>
      <c r="DL81" s="2088">
        <f t="shared" si="168"/>
        <v>26000</v>
      </c>
      <c r="DM81" s="2088">
        <f t="shared" si="168"/>
        <v>27700</v>
      </c>
      <c r="DN81" s="2088">
        <f t="shared" si="168"/>
        <v>26000</v>
      </c>
      <c r="DO81" s="2088">
        <f t="shared" si="168"/>
        <v>27700</v>
      </c>
      <c r="DP81" s="2088">
        <f t="shared" si="168"/>
        <v>40900</v>
      </c>
      <c r="DQ81" s="2088"/>
      <c r="DR81" s="2088" t="e">
        <f t="shared" si="168"/>
        <v>#REF!</v>
      </c>
      <c r="DS81" s="2088">
        <f t="shared" si="168"/>
        <v>26000</v>
      </c>
      <c r="DT81" s="2088" t="e">
        <f t="shared" si="168"/>
        <v>#REF!</v>
      </c>
      <c r="DU81" s="2087"/>
      <c r="DV81" s="2087"/>
      <c r="DW81" s="2087"/>
      <c r="DX81" s="2087"/>
      <c r="DY81" s="2087"/>
      <c r="DZ81" s="2087"/>
      <c r="EA81" s="2087"/>
      <c r="EB81" s="2087"/>
      <c r="EC81" s="2087"/>
      <c r="ED81" s="2087"/>
      <c r="EE81" s="2087"/>
      <c r="EF81" s="2087"/>
      <c r="EG81" s="2087"/>
      <c r="EH81" s="2087"/>
      <c r="EI81" s="2087"/>
      <c r="EJ81" s="2087"/>
      <c r="EK81" s="2087"/>
      <c r="EL81" s="2087"/>
      <c r="EM81" s="2087"/>
      <c r="EN81" s="2087"/>
      <c r="EO81" s="2087"/>
      <c r="EP81" s="2087"/>
      <c r="EQ81" s="2087"/>
      <c r="ER81" s="2087"/>
      <c r="ES81" s="2087"/>
      <c r="ET81" s="2087"/>
      <c r="EU81" s="2087"/>
      <c r="EV81" s="2087"/>
      <c r="EW81" s="2087"/>
      <c r="EX81" s="2087"/>
      <c r="EY81" s="2087"/>
      <c r="EZ81" s="2087"/>
      <c r="FA81" s="2087"/>
      <c r="FB81" s="2087"/>
      <c r="FC81" s="2087"/>
      <c r="FD81" s="2087"/>
      <c r="FE81" s="2081"/>
      <c r="FF81" s="2082"/>
      <c r="FG81" s="2082"/>
      <c r="FH81" s="2082"/>
      <c r="FI81" s="2082"/>
      <c r="FJ81" s="2082"/>
      <c r="FK81" s="1565"/>
      <c r="FL81" s="1565"/>
      <c r="FM81" s="1565"/>
      <c r="FN81" s="1565"/>
      <c r="FO81" s="1565"/>
      <c r="FP81" s="1565"/>
      <c r="FQ81" s="1565"/>
      <c r="FR81" s="1565"/>
      <c r="FS81" s="1565"/>
      <c r="FT81" s="1565"/>
      <c r="FU81" s="1565"/>
      <c r="FV81" s="1565"/>
      <c r="FW81" s="1565"/>
      <c r="FX81" s="1565"/>
      <c r="FY81" s="1565"/>
      <c r="FZ81" s="1565"/>
      <c r="GA81" s="1565"/>
      <c r="GB81" s="1565"/>
      <c r="GC81" s="1565"/>
      <c r="GD81" s="1565"/>
      <c r="GE81" s="1565"/>
      <c r="GF81" s="1565"/>
      <c r="GG81" s="1565"/>
      <c r="GH81" s="1565"/>
      <c r="GI81" s="1565"/>
      <c r="GJ81" s="1565"/>
      <c r="GK81" s="1565"/>
      <c r="GL81" s="1565"/>
      <c r="GM81" s="1565"/>
      <c r="GN81" s="1565"/>
      <c r="GO81" s="1565"/>
      <c r="GP81" s="1565"/>
      <c r="GQ81" s="1565"/>
      <c r="GR81" s="1565"/>
      <c r="GS81" s="1565"/>
      <c r="GT81" s="1565"/>
      <c r="GU81" s="1565"/>
      <c r="GV81" s="1565"/>
      <c r="GW81" s="1565"/>
      <c r="GX81" s="1565"/>
      <c r="GY81" s="1565"/>
      <c r="GZ81" s="1565"/>
      <c r="HA81" s="1565"/>
      <c r="HB81" s="1565"/>
      <c r="HC81" s="1565"/>
      <c r="HD81" s="1565"/>
      <c r="HE81" s="1565"/>
      <c r="HF81" s="1565"/>
      <c r="HG81" s="1565"/>
      <c r="HH81" s="1565"/>
      <c r="HI81" s="1565"/>
      <c r="HJ81" s="1565"/>
      <c r="HK81" s="1565"/>
      <c r="HL81" s="1565"/>
      <c r="HM81" s="1565"/>
      <c r="HN81" s="1565"/>
      <c r="HO81" s="1565"/>
      <c r="HP81" s="1565"/>
      <c r="HQ81" s="1565"/>
      <c r="HR81" s="1565"/>
      <c r="HS81" s="1565"/>
      <c r="HT81" s="1565"/>
      <c r="HU81" s="1565"/>
      <c r="HV81" s="1565"/>
      <c r="HW81" s="1565"/>
      <c r="HX81" s="1565"/>
      <c r="HY81" s="1565"/>
      <c r="HZ81" s="1565"/>
      <c r="IA81" s="1565"/>
      <c r="IB81" s="1565"/>
      <c r="IC81" s="1565"/>
      <c r="ID81" s="1565"/>
      <c r="IE81" s="1565"/>
      <c r="IF81" s="1565"/>
      <c r="IG81" s="1565"/>
    </row>
    <row r="82" spans="1:241" s="1552" customFormat="1" ht="25.5" hidden="1" outlineLevel="2">
      <c r="A82" s="1549">
        <v>79</v>
      </c>
      <c r="B82" s="1567" t="s">
        <v>303</v>
      </c>
      <c r="C82" s="1568" t="s">
        <v>1972</v>
      </c>
      <c r="D82" s="1569" t="s">
        <v>1780</v>
      </c>
      <c r="E82" s="1570" t="s">
        <v>1781</v>
      </c>
      <c r="F82" s="1571" t="s">
        <v>238</v>
      </c>
      <c r="G82" s="1572"/>
      <c r="H82" s="2073"/>
      <c r="I82" s="2083"/>
      <c r="J82" s="2084"/>
      <c r="K82" s="2084"/>
      <c r="L82" s="2083"/>
      <c r="M82" s="2083"/>
      <c r="N82" s="2085"/>
      <c r="O82" s="2083"/>
      <c r="P82" s="2084"/>
      <c r="Q82" s="2086"/>
      <c r="R82" s="2086"/>
      <c r="S82" s="2086"/>
      <c r="T82" s="2086"/>
      <c r="U82" s="2086"/>
      <c r="V82" s="2086"/>
      <c r="W82" s="2086"/>
      <c r="X82" s="2086"/>
      <c r="Y82" s="2086"/>
      <c r="Z82" s="2086"/>
      <c r="AA82" s="2086"/>
      <c r="AB82" s="2086"/>
      <c r="AC82" s="2086"/>
      <c r="AD82" s="2086"/>
      <c r="AE82" s="2086"/>
      <c r="AF82" s="2086"/>
      <c r="AG82" s="2086"/>
      <c r="AH82" s="2086"/>
      <c r="AI82" s="2086"/>
      <c r="AJ82" s="2086"/>
      <c r="AK82" s="2086"/>
      <c r="AL82" s="2086"/>
      <c r="AM82" s="2086"/>
      <c r="AN82" s="2086"/>
      <c r="AO82" s="2086"/>
      <c r="AP82" s="2086"/>
      <c r="AQ82" s="2086"/>
      <c r="AR82" s="2086"/>
      <c r="AS82" s="2086"/>
      <c r="AT82" s="2086"/>
      <c r="AU82" s="2086"/>
      <c r="AV82" s="2086"/>
      <c r="AW82" s="2086"/>
      <c r="AX82" s="2086"/>
      <c r="AY82" s="2087"/>
      <c r="AZ82" s="2087"/>
      <c r="BA82" s="2087"/>
      <c r="BB82" s="2087"/>
      <c r="BC82" s="2087"/>
      <c r="BD82" s="2087"/>
      <c r="BE82" s="2087"/>
      <c r="BF82" s="2087"/>
      <c r="BG82" s="2087"/>
      <c r="BH82" s="2087"/>
      <c r="BI82" s="2087"/>
      <c r="BJ82" s="2087"/>
      <c r="BK82" s="2087"/>
      <c r="BL82" s="2087"/>
      <c r="BM82" s="2087"/>
      <c r="BN82" s="2087"/>
      <c r="BO82" s="2087"/>
      <c r="BP82" s="2087"/>
      <c r="BQ82" s="2087"/>
      <c r="BR82" s="2087"/>
      <c r="BS82" s="2087"/>
      <c r="BT82" s="2087"/>
      <c r="BU82" s="2087"/>
      <c r="BV82" s="2087"/>
      <c r="BW82" s="2087"/>
      <c r="BX82" s="2087"/>
      <c r="BY82" s="2087"/>
      <c r="BZ82" s="2087"/>
      <c r="CA82" s="2087"/>
      <c r="CB82" s="2087"/>
      <c r="CC82" s="2087"/>
      <c r="CD82" s="2087"/>
      <c r="CE82" s="2088"/>
      <c r="CF82" s="2088"/>
      <c r="CG82" s="2088"/>
      <c r="CH82" s="2088"/>
      <c r="CI82" s="2088"/>
      <c r="CJ82" s="2088"/>
      <c r="CK82" s="2088"/>
      <c r="CL82" s="2088"/>
      <c r="CM82" s="2088"/>
      <c r="CN82" s="2088"/>
      <c r="CO82" s="2087"/>
      <c r="CP82" s="2087"/>
      <c r="CQ82" s="2088"/>
      <c r="CR82" s="2088"/>
      <c r="CS82" s="2087"/>
      <c r="CT82" s="2088"/>
      <c r="CU82" s="2087"/>
      <c r="CV82" s="2088"/>
      <c r="CW82" s="2087"/>
      <c r="CX82" s="2088"/>
      <c r="CY82" s="2087"/>
      <c r="CZ82" s="2087"/>
      <c r="DA82" s="2087"/>
      <c r="DB82" s="2087"/>
      <c r="DC82" s="2087"/>
      <c r="DD82" s="2087"/>
      <c r="DE82" s="2087"/>
      <c r="DF82" s="2087"/>
      <c r="DG82" s="2087"/>
      <c r="DH82" s="2088">
        <f>DH80</f>
        <v>22200</v>
      </c>
      <c r="DI82" s="2088" t="e">
        <f t="shared" ref="DI82:DT82" si="169">DI80</f>
        <v>#REF!</v>
      </c>
      <c r="DJ82" s="2088" t="e">
        <f t="shared" si="169"/>
        <v>#REF!</v>
      </c>
      <c r="DK82" s="2088" t="e">
        <f t="shared" si="169"/>
        <v>#REF!</v>
      </c>
      <c r="DL82" s="2088">
        <f t="shared" si="169"/>
        <v>26000</v>
      </c>
      <c r="DM82" s="2088">
        <f t="shared" si="169"/>
        <v>27700</v>
      </c>
      <c r="DN82" s="2088">
        <f t="shared" si="169"/>
        <v>26000</v>
      </c>
      <c r="DO82" s="2088">
        <f t="shared" si="169"/>
        <v>27700</v>
      </c>
      <c r="DP82" s="2088">
        <f t="shared" si="169"/>
        <v>40900</v>
      </c>
      <c r="DQ82" s="2088"/>
      <c r="DR82" s="2088" t="e">
        <f t="shared" si="169"/>
        <v>#REF!</v>
      </c>
      <c r="DS82" s="2088">
        <f t="shared" si="169"/>
        <v>26000</v>
      </c>
      <c r="DT82" s="2088" t="e">
        <f t="shared" si="169"/>
        <v>#REF!</v>
      </c>
      <c r="DU82" s="2087"/>
      <c r="DV82" s="2087"/>
      <c r="DW82" s="2087"/>
      <c r="DX82" s="2087"/>
      <c r="DY82" s="2087"/>
      <c r="DZ82" s="2087"/>
      <c r="EA82" s="2087"/>
      <c r="EB82" s="2087"/>
      <c r="EC82" s="2087"/>
      <c r="ED82" s="2087"/>
      <c r="EE82" s="2087"/>
      <c r="EF82" s="2087"/>
      <c r="EG82" s="2087"/>
      <c r="EH82" s="2087"/>
      <c r="EI82" s="2087"/>
      <c r="EJ82" s="2087"/>
      <c r="EK82" s="2087"/>
      <c r="EL82" s="2087"/>
      <c r="EM82" s="2087"/>
      <c r="EN82" s="2087"/>
      <c r="EO82" s="2087"/>
      <c r="EP82" s="2087"/>
      <c r="EQ82" s="2087"/>
      <c r="ER82" s="2087"/>
      <c r="ES82" s="2087"/>
      <c r="ET82" s="2087"/>
      <c r="EU82" s="2087"/>
      <c r="EV82" s="2087"/>
      <c r="EW82" s="2087"/>
      <c r="EX82" s="2087"/>
      <c r="EY82" s="2087"/>
      <c r="EZ82" s="2087"/>
      <c r="FA82" s="2087"/>
      <c r="FB82" s="2087"/>
      <c r="FC82" s="2087"/>
      <c r="FD82" s="2087"/>
      <c r="FE82" s="2081"/>
      <c r="FF82" s="2082"/>
      <c r="FG82" s="2082"/>
      <c r="FH82" s="2082"/>
      <c r="FI82" s="2082"/>
      <c r="FJ82" s="2082"/>
      <c r="FK82" s="1565"/>
      <c r="FL82" s="1565"/>
      <c r="FM82" s="1565"/>
      <c r="FN82" s="1565"/>
      <c r="FO82" s="1565"/>
      <c r="FP82" s="1565"/>
      <c r="FQ82" s="1565"/>
      <c r="FR82" s="1565"/>
      <c r="FS82" s="1565"/>
      <c r="FT82" s="1565"/>
      <c r="FU82" s="1565"/>
      <c r="FV82" s="1565"/>
      <c r="FW82" s="1565"/>
      <c r="FX82" s="1565"/>
      <c r="FY82" s="1565"/>
      <c r="FZ82" s="1565"/>
      <c r="GA82" s="1565"/>
      <c r="GB82" s="1565"/>
      <c r="GC82" s="1565"/>
      <c r="GD82" s="1565"/>
      <c r="GE82" s="1565"/>
      <c r="GF82" s="1565"/>
      <c r="GG82" s="1565"/>
      <c r="GH82" s="1565"/>
      <c r="GI82" s="1565"/>
      <c r="GJ82" s="1565"/>
      <c r="GK82" s="1565"/>
      <c r="GL82" s="1565"/>
      <c r="GM82" s="1565"/>
      <c r="GN82" s="1565"/>
      <c r="GO82" s="1565"/>
      <c r="GP82" s="1565"/>
      <c r="GQ82" s="1565"/>
      <c r="GR82" s="1565"/>
      <c r="GS82" s="1565"/>
      <c r="GT82" s="1565"/>
      <c r="GU82" s="1565"/>
      <c r="GV82" s="1565"/>
      <c r="GW82" s="1565"/>
      <c r="GX82" s="1565"/>
      <c r="GY82" s="1565"/>
      <c r="GZ82" s="1565"/>
      <c r="HA82" s="1565"/>
      <c r="HB82" s="1565"/>
      <c r="HC82" s="1565"/>
      <c r="HD82" s="1565"/>
      <c r="HE82" s="1565"/>
      <c r="HF82" s="1565"/>
      <c r="HG82" s="1565"/>
      <c r="HH82" s="1565"/>
      <c r="HI82" s="1565"/>
      <c r="HJ82" s="1565"/>
      <c r="HK82" s="1565"/>
      <c r="HL82" s="1565"/>
      <c r="HM82" s="1565"/>
      <c r="HN82" s="1565"/>
      <c r="HO82" s="1565"/>
      <c r="HP82" s="1565"/>
      <c r="HQ82" s="1565"/>
      <c r="HR82" s="1565"/>
      <c r="HS82" s="1565"/>
      <c r="HT82" s="1565"/>
      <c r="HU82" s="1565"/>
      <c r="HV82" s="1565"/>
      <c r="HW82" s="1565"/>
      <c r="HX82" s="1565"/>
      <c r="HY82" s="1565"/>
      <c r="HZ82" s="1565"/>
      <c r="IA82" s="1565"/>
      <c r="IB82" s="1565"/>
      <c r="IC82" s="1565"/>
      <c r="ID82" s="1565"/>
      <c r="IE82" s="1565"/>
      <c r="IF82" s="1565"/>
      <c r="IG82" s="1565"/>
    </row>
    <row r="83" spans="1:241" s="1552" customFormat="1" ht="25.5" hidden="1" outlineLevel="2">
      <c r="A83" s="1552">
        <v>80</v>
      </c>
      <c r="B83" s="1567" t="s">
        <v>303</v>
      </c>
      <c r="C83" s="1568" t="s">
        <v>1972</v>
      </c>
      <c r="D83" s="1569" t="s">
        <v>1780</v>
      </c>
      <c r="E83" s="1570" t="s">
        <v>1781</v>
      </c>
      <c r="F83" s="1571" t="s">
        <v>1783</v>
      </c>
      <c r="G83" s="1572"/>
      <c r="H83" s="2073"/>
      <c r="I83" s="2083"/>
      <c r="J83" s="2084"/>
      <c r="K83" s="2084"/>
      <c r="L83" s="2083"/>
      <c r="M83" s="2083"/>
      <c r="N83" s="2085"/>
      <c r="O83" s="2083"/>
      <c r="P83" s="2084"/>
      <c r="Q83" s="2086"/>
      <c r="R83" s="2086"/>
      <c r="S83" s="2086"/>
      <c r="T83" s="2086"/>
      <c r="U83" s="2086"/>
      <c r="V83" s="2086"/>
      <c r="W83" s="2086"/>
      <c r="X83" s="2086"/>
      <c r="Y83" s="2086"/>
      <c r="Z83" s="2086"/>
      <c r="AA83" s="2086"/>
      <c r="AB83" s="2086"/>
      <c r="AC83" s="2086"/>
      <c r="AD83" s="2086"/>
      <c r="AE83" s="2086"/>
      <c r="AF83" s="2086"/>
      <c r="AG83" s="2086"/>
      <c r="AH83" s="2086"/>
      <c r="AI83" s="2086"/>
      <c r="AJ83" s="2086"/>
      <c r="AK83" s="2086"/>
      <c r="AL83" s="2086"/>
      <c r="AM83" s="2086"/>
      <c r="AN83" s="2086"/>
      <c r="AO83" s="2086"/>
      <c r="AP83" s="2086"/>
      <c r="AQ83" s="2086"/>
      <c r="AR83" s="2086"/>
      <c r="AS83" s="2086"/>
      <c r="AT83" s="2086"/>
      <c r="AU83" s="2086"/>
      <c r="AV83" s="2086"/>
      <c r="AW83" s="2086"/>
      <c r="AX83" s="2086"/>
      <c r="AY83" s="2087"/>
      <c r="AZ83" s="2087"/>
      <c r="BA83" s="2087"/>
      <c r="BB83" s="2087"/>
      <c r="BC83" s="2087"/>
      <c r="BD83" s="2087"/>
      <c r="BE83" s="2087"/>
      <c r="BF83" s="2087"/>
      <c r="BG83" s="2087"/>
      <c r="BH83" s="2087"/>
      <c r="BI83" s="2087"/>
      <c r="BJ83" s="2087"/>
      <c r="BK83" s="2087"/>
      <c r="BL83" s="2087"/>
      <c r="BM83" s="2087"/>
      <c r="BN83" s="2087"/>
      <c r="BO83" s="2087"/>
      <c r="BP83" s="2087"/>
      <c r="BQ83" s="2087"/>
      <c r="BR83" s="2087"/>
      <c r="BS83" s="2087"/>
      <c r="BT83" s="2087"/>
      <c r="BU83" s="2087"/>
      <c r="BV83" s="2087"/>
      <c r="BW83" s="2087"/>
      <c r="BX83" s="2087"/>
      <c r="BY83" s="2087"/>
      <c r="BZ83" s="2087"/>
      <c r="CA83" s="2087"/>
      <c r="CB83" s="2087"/>
      <c r="CC83" s="2087"/>
      <c r="CD83" s="2087"/>
      <c r="CE83" s="2088"/>
      <c r="CF83" s="2088"/>
      <c r="CG83" s="2088"/>
      <c r="CH83" s="2088"/>
      <c r="CI83" s="2088"/>
      <c r="CJ83" s="2088"/>
      <c r="CK83" s="2088"/>
      <c r="CL83" s="2088"/>
      <c r="CM83" s="2088"/>
      <c r="CN83" s="2088"/>
      <c r="CO83" s="2087"/>
      <c r="CP83" s="2087"/>
      <c r="CQ83" s="2088"/>
      <c r="CR83" s="2088"/>
      <c r="CS83" s="2087"/>
      <c r="CT83" s="2088"/>
      <c r="CU83" s="2087"/>
      <c r="CV83" s="2088"/>
      <c r="CW83" s="2087"/>
      <c r="CX83" s="2088"/>
      <c r="CY83" s="2087"/>
      <c r="CZ83" s="2087"/>
      <c r="DA83" s="2087"/>
      <c r="DB83" s="2087"/>
      <c r="DC83" s="2087"/>
      <c r="DD83" s="2087"/>
      <c r="DE83" s="2087"/>
      <c r="DF83" s="2087"/>
      <c r="DG83" s="2087"/>
      <c r="DH83" s="2088">
        <f>DH80</f>
        <v>22200</v>
      </c>
      <c r="DI83" s="2088" t="e">
        <f t="shared" ref="DI83:DT83" si="170">DI80</f>
        <v>#REF!</v>
      </c>
      <c r="DJ83" s="2088" t="e">
        <f t="shared" si="170"/>
        <v>#REF!</v>
      </c>
      <c r="DK83" s="2088" t="e">
        <f t="shared" si="170"/>
        <v>#REF!</v>
      </c>
      <c r="DL83" s="2088">
        <f t="shared" si="170"/>
        <v>26000</v>
      </c>
      <c r="DM83" s="2088">
        <f t="shared" si="170"/>
        <v>27700</v>
      </c>
      <c r="DN83" s="2088">
        <f t="shared" si="170"/>
        <v>26000</v>
      </c>
      <c r="DO83" s="2088">
        <f t="shared" si="170"/>
        <v>27700</v>
      </c>
      <c r="DP83" s="2088">
        <f t="shared" si="170"/>
        <v>40900</v>
      </c>
      <c r="DQ83" s="2088"/>
      <c r="DR83" s="2088" t="e">
        <f t="shared" si="170"/>
        <v>#REF!</v>
      </c>
      <c r="DS83" s="2088">
        <f t="shared" si="170"/>
        <v>26000</v>
      </c>
      <c r="DT83" s="2088" t="e">
        <f t="shared" si="170"/>
        <v>#REF!</v>
      </c>
      <c r="DU83" s="2087"/>
      <c r="DV83" s="2087"/>
      <c r="DW83" s="2087"/>
      <c r="DX83" s="2087"/>
      <c r="DY83" s="2087"/>
      <c r="DZ83" s="2087"/>
      <c r="EA83" s="2087"/>
      <c r="EB83" s="2087"/>
      <c r="EC83" s="2087"/>
      <c r="ED83" s="2087"/>
      <c r="EE83" s="2087"/>
      <c r="EF83" s="2087"/>
      <c r="EG83" s="2087"/>
      <c r="EH83" s="2087"/>
      <c r="EI83" s="2087"/>
      <c r="EJ83" s="2087"/>
      <c r="EK83" s="2087"/>
      <c r="EL83" s="2087"/>
      <c r="EM83" s="2087"/>
      <c r="EN83" s="2087"/>
      <c r="EO83" s="2087"/>
      <c r="EP83" s="2087"/>
      <c r="EQ83" s="2087"/>
      <c r="ER83" s="2087"/>
      <c r="ES83" s="2087"/>
      <c r="ET83" s="2087"/>
      <c r="EU83" s="2087"/>
      <c r="EV83" s="2087"/>
      <c r="EW83" s="2087"/>
      <c r="EX83" s="2087"/>
      <c r="EY83" s="2087"/>
      <c r="EZ83" s="2087"/>
      <c r="FA83" s="2087"/>
      <c r="FB83" s="2087"/>
      <c r="FC83" s="2087"/>
      <c r="FD83" s="2087"/>
      <c r="FE83" s="2081"/>
      <c r="FF83" s="2082"/>
      <c r="FG83" s="2082"/>
      <c r="FH83" s="2082"/>
      <c r="FI83" s="2082"/>
      <c r="FJ83" s="2082"/>
      <c r="FK83" s="1565"/>
      <c r="FL83" s="1565"/>
      <c r="FM83" s="1565"/>
      <c r="FN83" s="1565"/>
      <c r="FO83" s="1565"/>
      <c r="FP83" s="1565"/>
      <c r="FQ83" s="1565"/>
      <c r="FR83" s="1565"/>
      <c r="FS83" s="1565"/>
      <c r="FT83" s="1565"/>
      <c r="FU83" s="1565"/>
      <c r="FV83" s="1565"/>
      <c r="FW83" s="1565"/>
      <c r="FX83" s="1565"/>
      <c r="FY83" s="1565"/>
      <c r="FZ83" s="1565"/>
      <c r="GA83" s="1565"/>
      <c r="GB83" s="1565"/>
      <c r="GC83" s="1565"/>
      <c r="GD83" s="1565"/>
      <c r="GE83" s="1565"/>
      <c r="GF83" s="1565"/>
      <c r="GG83" s="1565"/>
      <c r="GH83" s="1565"/>
      <c r="GI83" s="1565"/>
      <c r="GJ83" s="1565"/>
      <c r="GK83" s="1565"/>
      <c r="GL83" s="1565"/>
      <c r="GM83" s="1565"/>
      <c r="GN83" s="1565"/>
      <c r="GO83" s="1565"/>
      <c r="GP83" s="1565"/>
      <c r="GQ83" s="1565"/>
      <c r="GR83" s="1565"/>
      <c r="GS83" s="1565"/>
      <c r="GT83" s="1565"/>
      <c r="GU83" s="1565"/>
      <c r="GV83" s="1565"/>
      <c r="GW83" s="1565"/>
      <c r="GX83" s="1565"/>
      <c r="GY83" s="1565"/>
      <c r="GZ83" s="1565"/>
      <c r="HA83" s="1565"/>
      <c r="HB83" s="1565"/>
      <c r="HC83" s="1565"/>
      <c r="HD83" s="1565"/>
      <c r="HE83" s="1565"/>
      <c r="HF83" s="1565"/>
      <c r="HG83" s="1565"/>
      <c r="HH83" s="1565"/>
      <c r="HI83" s="1565"/>
      <c r="HJ83" s="1565"/>
      <c r="HK83" s="1565"/>
      <c r="HL83" s="1565"/>
      <c r="HM83" s="1565"/>
      <c r="HN83" s="1565"/>
      <c r="HO83" s="1565"/>
      <c r="HP83" s="1565"/>
      <c r="HQ83" s="1565"/>
      <c r="HR83" s="1565"/>
      <c r="HS83" s="1565"/>
      <c r="HT83" s="1565"/>
      <c r="HU83" s="1565"/>
      <c r="HV83" s="1565"/>
      <c r="HW83" s="1565"/>
      <c r="HX83" s="1565"/>
      <c r="HY83" s="1565"/>
      <c r="HZ83" s="1565"/>
      <c r="IA83" s="1565"/>
      <c r="IB83" s="1565"/>
      <c r="IC83" s="1565"/>
      <c r="ID83" s="1565"/>
      <c r="IE83" s="1565"/>
      <c r="IF83" s="1565"/>
      <c r="IG83" s="1565"/>
    </row>
    <row r="84" spans="1:241" s="1552" customFormat="1" ht="25.5" hidden="1" outlineLevel="2">
      <c r="A84" s="1549">
        <v>81</v>
      </c>
      <c r="B84" s="1567" t="s">
        <v>303</v>
      </c>
      <c r="C84" s="1568" t="s">
        <v>1972</v>
      </c>
      <c r="D84" s="1569" t="s">
        <v>1780</v>
      </c>
      <c r="E84" s="1570" t="s">
        <v>1781</v>
      </c>
      <c r="F84" s="1571" t="s">
        <v>1784</v>
      </c>
      <c r="G84" s="1572"/>
      <c r="H84" s="2073"/>
      <c r="I84" s="2083"/>
      <c r="J84" s="2084"/>
      <c r="K84" s="2084"/>
      <c r="L84" s="2083"/>
      <c r="M84" s="2083"/>
      <c r="N84" s="2085"/>
      <c r="O84" s="2083"/>
      <c r="P84" s="2084"/>
      <c r="Q84" s="2086"/>
      <c r="R84" s="2086"/>
      <c r="S84" s="2086"/>
      <c r="T84" s="2086"/>
      <c r="U84" s="2086"/>
      <c r="V84" s="2086"/>
      <c r="W84" s="2086"/>
      <c r="X84" s="2086"/>
      <c r="Y84" s="2086"/>
      <c r="Z84" s="2086"/>
      <c r="AA84" s="2086"/>
      <c r="AB84" s="2086"/>
      <c r="AC84" s="2086"/>
      <c r="AD84" s="2086"/>
      <c r="AE84" s="2086"/>
      <c r="AF84" s="2086"/>
      <c r="AG84" s="2086"/>
      <c r="AH84" s="2086"/>
      <c r="AI84" s="2086"/>
      <c r="AJ84" s="2086"/>
      <c r="AK84" s="2086"/>
      <c r="AL84" s="2086"/>
      <c r="AM84" s="2086"/>
      <c r="AN84" s="2086"/>
      <c r="AO84" s="2086"/>
      <c r="AP84" s="2086"/>
      <c r="AQ84" s="2086"/>
      <c r="AR84" s="2086"/>
      <c r="AS84" s="2086"/>
      <c r="AT84" s="2086"/>
      <c r="AU84" s="2086"/>
      <c r="AV84" s="2086"/>
      <c r="AW84" s="2086"/>
      <c r="AX84" s="2086"/>
      <c r="AY84" s="2087"/>
      <c r="AZ84" s="2087"/>
      <c r="BA84" s="2087"/>
      <c r="BB84" s="2087"/>
      <c r="BC84" s="2087"/>
      <c r="BD84" s="2087"/>
      <c r="BE84" s="2087"/>
      <c r="BF84" s="2087"/>
      <c r="BG84" s="2087"/>
      <c r="BH84" s="2087"/>
      <c r="BI84" s="2087"/>
      <c r="BJ84" s="2087"/>
      <c r="BK84" s="2087"/>
      <c r="BL84" s="2087"/>
      <c r="BM84" s="2087"/>
      <c r="BN84" s="2087"/>
      <c r="BO84" s="2087"/>
      <c r="BP84" s="2087"/>
      <c r="BQ84" s="2087"/>
      <c r="BR84" s="2087"/>
      <c r="BS84" s="2087"/>
      <c r="BT84" s="2087"/>
      <c r="BU84" s="2087"/>
      <c r="BV84" s="2087"/>
      <c r="BW84" s="2087"/>
      <c r="BX84" s="2087"/>
      <c r="BY84" s="2087"/>
      <c r="BZ84" s="2087"/>
      <c r="CA84" s="2087"/>
      <c r="CB84" s="2087"/>
      <c r="CC84" s="2087"/>
      <c r="CD84" s="2087"/>
      <c r="CE84" s="2088"/>
      <c r="CF84" s="2088"/>
      <c r="CG84" s="2088"/>
      <c r="CH84" s="2088"/>
      <c r="CI84" s="2088"/>
      <c r="CJ84" s="2088"/>
      <c r="CK84" s="2088"/>
      <c r="CL84" s="2088"/>
      <c r="CM84" s="2088"/>
      <c r="CN84" s="2088"/>
      <c r="CO84" s="2087"/>
      <c r="CP84" s="2087"/>
      <c r="CQ84" s="2088"/>
      <c r="CR84" s="2088"/>
      <c r="CS84" s="2087"/>
      <c r="CT84" s="2088"/>
      <c r="CU84" s="2087"/>
      <c r="CV84" s="2088"/>
      <c r="CW84" s="2087"/>
      <c r="CX84" s="2088"/>
      <c r="CY84" s="2087"/>
      <c r="CZ84" s="2087"/>
      <c r="DA84" s="2087"/>
      <c r="DB84" s="2087"/>
      <c r="DC84" s="2087"/>
      <c r="DD84" s="2087"/>
      <c r="DE84" s="2087"/>
      <c r="DF84" s="2087"/>
      <c r="DG84" s="2087"/>
      <c r="DH84" s="2088">
        <f>DH80</f>
        <v>22200</v>
      </c>
      <c r="DI84" s="2088" t="e">
        <f t="shared" ref="DI84:DT84" si="171">DI80</f>
        <v>#REF!</v>
      </c>
      <c r="DJ84" s="2088" t="e">
        <f t="shared" si="171"/>
        <v>#REF!</v>
      </c>
      <c r="DK84" s="2088" t="e">
        <f t="shared" si="171"/>
        <v>#REF!</v>
      </c>
      <c r="DL84" s="2088">
        <f t="shared" si="171"/>
        <v>26000</v>
      </c>
      <c r="DM84" s="2088">
        <f t="shared" si="171"/>
        <v>27700</v>
      </c>
      <c r="DN84" s="2088">
        <f t="shared" si="171"/>
        <v>26000</v>
      </c>
      <c r="DO84" s="2088">
        <f t="shared" si="171"/>
        <v>27700</v>
      </c>
      <c r="DP84" s="2088">
        <f t="shared" si="171"/>
        <v>40900</v>
      </c>
      <c r="DQ84" s="2088"/>
      <c r="DR84" s="2088" t="e">
        <f t="shared" si="171"/>
        <v>#REF!</v>
      </c>
      <c r="DS84" s="2088">
        <f t="shared" si="171"/>
        <v>26000</v>
      </c>
      <c r="DT84" s="2088" t="e">
        <f t="shared" si="171"/>
        <v>#REF!</v>
      </c>
      <c r="DU84" s="2087"/>
      <c r="DV84" s="2087"/>
      <c r="DW84" s="2087"/>
      <c r="DX84" s="2087"/>
      <c r="DY84" s="2087"/>
      <c r="DZ84" s="2087"/>
      <c r="EA84" s="2087"/>
      <c r="EB84" s="2087"/>
      <c r="EC84" s="2087"/>
      <c r="ED84" s="2087"/>
      <c r="EE84" s="2087"/>
      <c r="EF84" s="2087"/>
      <c r="EG84" s="2087"/>
      <c r="EH84" s="2087"/>
      <c r="EI84" s="2087"/>
      <c r="EJ84" s="2087"/>
      <c r="EK84" s="2087"/>
      <c r="EL84" s="2087"/>
      <c r="EM84" s="2087"/>
      <c r="EN84" s="2087"/>
      <c r="EO84" s="2087"/>
      <c r="EP84" s="2087"/>
      <c r="EQ84" s="2087"/>
      <c r="ER84" s="2087"/>
      <c r="ES84" s="2087"/>
      <c r="ET84" s="2087"/>
      <c r="EU84" s="2087"/>
      <c r="EV84" s="2087"/>
      <c r="EW84" s="2087"/>
      <c r="EX84" s="2087"/>
      <c r="EY84" s="2087"/>
      <c r="EZ84" s="2087"/>
      <c r="FA84" s="2087"/>
      <c r="FB84" s="2087"/>
      <c r="FC84" s="2087"/>
      <c r="FD84" s="2087"/>
      <c r="FE84" s="2081"/>
      <c r="FF84" s="2082"/>
      <c r="FG84" s="2082"/>
      <c r="FH84" s="2082"/>
      <c r="FI84" s="2082"/>
      <c r="FJ84" s="2082"/>
      <c r="FK84" s="1565"/>
      <c r="FL84" s="1565"/>
      <c r="FM84" s="1565"/>
      <c r="FN84" s="1565"/>
      <c r="FO84" s="1565"/>
      <c r="FP84" s="1565"/>
      <c r="FQ84" s="1565"/>
      <c r="FR84" s="1565"/>
      <c r="FS84" s="1565"/>
      <c r="FT84" s="1565"/>
      <c r="FU84" s="1565"/>
      <c r="FV84" s="1565"/>
      <c r="FW84" s="1565"/>
      <c r="FX84" s="1565"/>
      <c r="FY84" s="1565"/>
      <c r="FZ84" s="1565"/>
      <c r="GA84" s="1565"/>
      <c r="GB84" s="1565"/>
      <c r="GC84" s="1565"/>
      <c r="GD84" s="1565"/>
      <c r="GE84" s="1565"/>
      <c r="GF84" s="1565"/>
      <c r="GG84" s="1565"/>
      <c r="GH84" s="1565"/>
      <c r="GI84" s="1565"/>
      <c r="GJ84" s="1565"/>
      <c r="GK84" s="1565"/>
      <c r="GL84" s="1565"/>
      <c r="GM84" s="1565"/>
      <c r="GN84" s="1565"/>
      <c r="GO84" s="1565"/>
      <c r="GP84" s="1565"/>
      <c r="GQ84" s="1565"/>
      <c r="GR84" s="1565"/>
      <c r="GS84" s="1565"/>
      <c r="GT84" s="1565"/>
      <c r="GU84" s="1565"/>
      <c r="GV84" s="1565"/>
      <c r="GW84" s="1565"/>
      <c r="GX84" s="1565"/>
      <c r="GY84" s="1565"/>
      <c r="GZ84" s="1565"/>
      <c r="HA84" s="1565"/>
      <c r="HB84" s="1565"/>
      <c r="HC84" s="1565"/>
      <c r="HD84" s="1565"/>
      <c r="HE84" s="1565"/>
      <c r="HF84" s="1565"/>
      <c r="HG84" s="1565"/>
      <c r="HH84" s="1565"/>
      <c r="HI84" s="1565"/>
      <c r="HJ84" s="1565"/>
      <c r="HK84" s="1565"/>
      <c r="HL84" s="1565"/>
      <c r="HM84" s="1565"/>
      <c r="HN84" s="1565"/>
      <c r="HO84" s="1565"/>
      <c r="HP84" s="1565"/>
      <c r="HQ84" s="1565"/>
      <c r="HR84" s="1565"/>
      <c r="HS84" s="1565"/>
      <c r="HT84" s="1565"/>
      <c r="HU84" s="1565"/>
      <c r="HV84" s="1565"/>
      <c r="HW84" s="1565"/>
      <c r="HX84" s="1565"/>
      <c r="HY84" s="1565"/>
      <c r="HZ84" s="1565"/>
      <c r="IA84" s="1565"/>
      <c r="IB84" s="1565"/>
      <c r="IC84" s="1565"/>
      <c r="ID84" s="1565"/>
      <c r="IE84" s="1565"/>
      <c r="IF84" s="1565"/>
      <c r="IG84" s="1565"/>
    </row>
    <row r="85" spans="1:241" s="1552" customFormat="1" ht="25.5" hidden="1" outlineLevel="2">
      <c r="A85" s="1552">
        <v>82</v>
      </c>
      <c r="B85" s="1567" t="s">
        <v>303</v>
      </c>
      <c r="C85" s="1568" t="s">
        <v>1972</v>
      </c>
      <c r="D85" s="1569" t="s">
        <v>1780</v>
      </c>
      <c r="E85" s="1570" t="s">
        <v>1781</v>
      </c>
      <c r="F85" s="1571" t="s">
        <v>1785</v>
      </c>
      <c r="G85" s="1572"/>
      <c r="H85" s="2073"/>
      <c r="I85" s="2083"/>
      <c r="J85" s="2084"/>
      <c r="K85" s="2084"/>
      <c r="L85" s="2083"/>
      <c r="M85" s="2083"/>
      <c r="N85" s="2085"/>
      <c r="O85" s="2083"/>
      <c r="P85" s="2084"/>
      <c r="Q85" s="2086"/>
      <c r="R85" s="2086"/>
      <c r="S85" s="2086"/>
      <c r="T85" s="2086"/>
      <c r="U85" s="2086"/>
      <c r="V85" s="2086"/>
      <c r="W85" s="2086"/>
      <c r="X85" s="2086"/>
      <c r="Y85" s="2086"/>
      <c r="Z85" s="2086"/>
      <c r="AA85" s="2086"/>
      <c r="AB85" s="2086"/>
      <c r="AC85" s="2086"/>
      <c r="AD85" s="2086"/>
      <c r="AE85" s="2086"/>
      <c r="AF85" s="2086"/>
      <c r="AG85" s="2086"/>
      <c r="AH85" s="2086"/>
      <c r="AI85" s="2086"/>
      <c r="AJ85" s="2086"/>
      <c r="AK85" s="2086"/>
      <c r="AL85" s="2086"/>
      <c r="AM85" s="2086"/>
      <c r="AN85" s="2086"/>
      <c r="AO85" s="2086"/>
      <c r="AP85" s="2086"/>
      <c r="AQ85" s="2086"/>
      <c r="AR85" s="2086"/>
      <c r="AS85" s="2086"/>
      <c r="AT85" s="2086"/>
      <c r="AU85" s="2086"/>
      <c r="AV85" s="2086"/>
      <c r="AW85" s="2086"/>
      <c r="AX85" s="2086"/>
      <c r="AY85" s="2087"/>
      <c r="AZ85" s="2087"/>
      <c r="BA85" s="2087"/>
      <c r="BB85" s="2087"/>
      <c r="BC85" s="2087"/>
      <c r="BD85" s="2087"/>
      <c r="BE85" s="2087"/>
      <c r="BF85" s="2087"/>
      <c r="BG85" s="2087"/>
      <c r="BH85" s="2087"/>
      <c r="BI85" s="2087"/>
      <c r="BJ85" s="2087"/>
      <c r="BK85" s="2087"/>
      <c r="BL85" s="2087"/>
      <c r="BM85" s="2087"/>
      <c r="BN85" s="2087"/>
      <c r="BO85" s="2087"/>
      <c r="BP85" s="2087"/>
      <c r="BQ85" s="2087"/>
      <c r="BR85" s="2087"/>
      <c r="BS85" s="2087"/>
      <c r="BT85" s="2087"/>
      <c r="BU85" s="2087"/>
      <c r="BV85" s="2087"/>
      <c r="BW85" s="2087"/>
      <c r="BX85" s="2087"/>
      <c r="BY85" s="2087"/>
      <c r="BZ85" s="2087"/>
      <c r="CA85" s="2087"/>
      <c r="CB85" s="2087"/>
      <c r="CC85" s="2087"/>
      <c r="CD85" s="2087"/>
      <c r="CE85" s="2088"/>
      <c r="CF85" s="2088"/>
      <c r="CG85" s="2088"/>
      <c r="CH85" s="2088"/>
      <c r="CI85" s="2088"/>
      <c r="CJ85" s="2088"/>
      <c r="CK85" s="2088"/>
      <c r="CL85" s="2088"/>
      <c r="CM85" s="2088"/>
      <c r="CN85" s="2088"/>
      <c r="CO85" s="2087"/>
      <c r="CP85" s="2087"/>
      <c r="CQ85" s="2088"/>
      <c r="CR85" s="2088"/>
      <c r="CS85" s="2087"/>
      <c r="CT85" s="2088"/>
      <c r="CU85" s="2087"/>
      <c r="CV85" s="2088"/>
      <c r="CW85" s="2087"/>
      <c r="CX85" s="2088"/>
      <c r="CY85" s="2087"/>
      <c r="CZ85" s="2087"/>
      <c r="DA85" s="2087"/>
      <c r="DB85" s="2087"/>
      <c r="DC85" s="2087"/>
      <c r="DD85" s="2087"/>
      <c r="DE85" s="2087"/>
      <c r="DF85" s="2087"/>
      <c r="DG85" s="2087"/>
      <c r="DH85" s="2088">
        <f>DH80</f>
        <v>22200</v>
      </c>
      <c r="DI85" s="2088" t="e">
        <f t="shared" ref="DI85:DT85" si="172">DI80</f>
        <v>#REF!</v>
      </c>
      <c r="DJ85" s="2088" t="e">
        <f t="shared" si="172"/>
        <v>#REF!</v>
      </c>
      <c r="DK85" s="2088" t="e">
        <f t="shared" si="172"/>
        <v>#REF!</v>
      </c>
      <c r="DL85" s="2088">
        <f t="shared" si="172"/>
        <v>26000</v>
      </c>
      <c r="DM85" s="2088">
        <f t="shared" si="172"/>
        <v>27700</v>
      </c>
      <c r="DN85" s="2088">
        <f t="shared" si="172"/>
        <v>26000</v>
      </c>
      <c r="DO85" s="2088">
        <f t="shared" si="172"/>
        <v>27700</v>
      </c>
      <c r="DP85" s="2088">
        <f t="shared" si="172"/>
        <v>40900</v>
      </c>
      <c r="DQ85" s="2088"/>
      <c r="DR85" s="2088" t="e">
        <f t="shared" si="172"/>
        <v>#REF!</v>
      </c>
      <c r="DS85" s="2088">
        <f t="shared" si="172"/>
        <v>26000</v>
      </c>
      <c r="DT85" s="2088" t="e">
        <f t="shared" si="172"/>
        <v>#REF!</v>
      </c>
      <c r="DU85" s="2087"/>
      <c r="DV85" s="2087"/>
      <c r="DW85" s="2087"/>
      <c r="DX85" s="2087"/>
      <c r="DY85" s="2087"/>
      <c r="DZ85" s="2087"/>
      <c r="EA85" s="2087"/>
      <c r="EB85" s="2087"/>
      <c r="EC85" s="2087"/>
      <c r="ED85" s="2087"/>
      <c r="EE85" s="2087"/>
      <c r="EF85" s="2087"/>
      <c r="EG85" s="2087"/>
      <c r="EH85" s="2087"/>
      <c r="EI85" s="2087"/>
      <c r="EJ85" s="2087"/>
      <c r="EK85" s="2087"/>
      <c r="EL85" s="2087"/>
      <c r="EM85" s="2087"/>
      <c r="EN85" s="2087"/>
      <c r="EO85" s="2087"/>
      <c r="EP85" s="2087"/>
      <c r="EQ85" s="2087"/>
      <c r="ER85" s="2087"/>
      <c r="ES85" s="2087"/>
      <c r="ET85" s="2087"/>
      <c r="EU85" s="2087"/>
      <c r="EV85" s="2087"/>
      <c r="EW85" s="2087"/>
      <c r="EX85" s="2087"/>
      <c r="EY85" s="2087"/>
      <c r="EZ85" s="2087"/>
      <c r="FA85" s="2087"/>
      <c r="FB85" s="2087"/>
      <c r="FC85" s="2087"/>
      <c r="FD85" s="2087"/>
      <c r="FE85" s="2081"/>
      <c r="FF85" s="2082"/>
      <c r="FG85" s="2082"/>
      <c r="FH85" s="2082"/>
      <c r="FI85" s="2082"/>
      <c r="FJ85" s="2082"/>
      <c r="FK85" s="1565"/>
      <c r="FL85" s="1565"/>
      <c r="FM85" s="1565"/>
      <c r="FN85" s="1565"/>
      <c r="FO85" s="1565"/>
      <c r="FP85" s="1565"/>
      <c r="FQ85" s="1565"/>
      <c r="FR85" s="1565"/>
      <c r="FS85" s="1565"/>
      <c r="FT85" s="1565"/>
      <c r="FU85" s="1565"/>
      <c r="FV85" s="1565"/>
      <c r="FW85" s="1565"/>
      <c r="FX85" s="1565"/>
      <c r="FY85" s="1565"/>
      <c r="FZ85" s="1565"/>
      <c r="GA85" s="1565"/>
      <c r="GB85" s="1565"/>
      <c r="GC85" s="1565"/>
      <c r="GD85" s="1565"/>
      <c r="GE85" s="1565"/>
      <c r="GF85" s="1565"/>
      <c r="GG85" s="1565"/>
      <c r="GH85" s="1565"/>
      <c r="GI85" s="1565"/>
      <c r="GJ85" s="1565"/>
      <c r="GK85" s="1565"/>
      <c r="GL85" s="1565"/>
      <c r="GM85" s="1565"/>
      <c r="GN85" s="1565"/>
      <c r="GO85" s="1565"/>
      <c r="GP85" s="1565"/>
      <c r="GQ85" s="1565"/>
      <c r="GR85" s="1565"/>
      <c r="GS85" s="1565"/>
      <c r="GT85" s="1565"/>
      <c r="GU85" s="1565"/>
      <c r="GV85" s="1565"/>
      <c r="GW85" s="1565"/>
      <c r="GX85" s="1565"/>
      <c r="GY85" s="1565"/>
      <c r="GZ85" s="1565"/>
      <c r="HA85" s="1565"/>
      <c r="HB85" s="1565"/>
      <c r="HC85" s="1565"/>
      <c r="HD85" s="1565"/>
      <c r="HE85" s="1565"/>
      <c r="HF85" s="1565"/>
      <c r="HG85" s="1565"/>
      <c r="HH85" s="1565"/>
      <c r="HI85" s="1565"/>
      <c r="HJ85" s="1565"/>
      <c r="HK85" s="1565"/>
      <c r="HL85" s="1565"/>
      <c r="HM85" s="1565"/>
      <c r="HN85" s="1565"/>
      <c r="HO85" s="1565"/>
      <c r="HP85" s="1565"/>
      <c r="HQ85" s="1565"/>
      <c r="HR85" s="1565"/>
      <c r="HS85" s="1565"/>
      <c r="HT85" s="1565"/>
      <c r="HU85" s="1565"/>
      <c r="HV85" s="1565"/>
      <c r="HW85" s="1565"/>
      <c r="HX85" s="1565"/>
      <c r="HY85" s="1565"/>
      <c r="HZ85" s="1565"/>
      <c r="IA85" s="1565"/>
      <c r="IB85" s="1565"/>
      <c r="IC85" s="1565"/>
      <c r="ID85" s="1565"/>
      <c r="IE85" s="1565"/>
      <c r="IF85" s="1565"/>
      <c r="IG85" s="1565"/>
    </row>
    <row r="86" spans="1:241" s="1552" customFormat="1" ht="25.5" hidden="1" outlineLevel="2">
      <c r="A86" s="1549">
        <v>83</v>
      </c>
      <c r="B86" s="1567" t="s">
        <v>303</v>
      </c>
      <c r="C86" s="1568" t="s">
        <v>1972</v>
      </c>
      <c r="D86" s="1569" t="s">
        <v>1780</v>
      </c>
      <c r="E86" s="1570" t="s">
        <v>1781</v>
      </c>
      <c r="F86" s="1571" t="s">
        <v>168</v>
      </c>
      <c r="G86" s="1572"/>
      <c r="H86" s="2073"/>
      <c r="I86" s="2083"/>
      <c r="J86" s="2084"/>
      <c r="K86" s="2084"/>
      <c r="L86" s="2083"/>
      <c r="M86" s="2083"/>
      <c r="N86" s="2085"/>
      <c r="O86" s="2083"/>
      <c r="P86" s="2084"/>
      <c r="Q86" s="2086"/>
      <c r="R86" s="2086"/>
      <c r="S86" s="2086"/>
      <c r="T86" s="2086"/>
      <c r="U86" s="2086"/>
      <c r="V86" s="2086"/>
      <c r="W86" s="2086"/>
      <c r="X86" s="2086"/>
      <c r="Y86" s="2086"/>
      <c r="Z86" s="2086"/>
      <c r="AA86" s="2086"/>
      <c r="AB86" s="2086"/>
      <c r="AC86" s="2086"/>
      <c r="AD86" s="2086"/>
      <c r="AE86" s="2086"/>
      <c r="AF86" s="2086"/>
      <c r="AG86" s="2086"/>
      <c r="AH86" s="2086"/>
      <c r="AI86" s="2086"/>
      <c r="AJ86" s="2086"/>
      <c r="AK86" s="2086"/>
      <c r="AL86" s="2086"/>
      <c r="AM86" s="2086"/>
      <c r="AN86" s="2086"/>
      <c r="AO86" s="2086"/>
      <c r="AP86" s="2086"/>
      <c r="AQ86" s="2086"/>
      <c r="AR86" s="2086"/>
      <c r="AS86" s="2086"/>
      <c r="AT86" s="2086"/>
      <c r="AU86" s="2086"/>
      <c r="AV86" s="2086"/>
      <c r="AW86" s="2086"/>
      <c r="AX86" s="2086"/>
      <c r="AY86" s="2087"/>
      <c r="AZ86" s="2087"/>
      <c r="BA86" s="2087"/>
      <c r="BB86" s="2087"/>
      <c r="BC86" s="2087"/>
      <c r="BD86" s="2087"/>
      <c r="BE86" s="2087"/>
      <c r="BF86" s="2087"/>
      <c r="BG86" s="2087"/>
      <c r="BH86" s="2087"/>
      <c r="BI86" s="2087"/>
      <c r="BJ86" s="2087"/>
      <c r="BK86" s="2087"/>
      <c r="BL86" s="2087"/>
      <c r="BM86" s="2087"/>
      <c r="BN86" s="2087"/>
      <c r="BO86" s="2087"/>
      <c r="BP86" s="2087"/>
      <c r="BQ86" s="2087"/>
      <c r="BR86" s="2087"/>
      <c r="BS86" s="2087"/>
      <c r="BT86" s="2087"/>
      <c r="BU86" s="2087"/>
      <c r="BV86" s="2087"/>
      <c r="BW86" s="2087"/>
      <c r="BX86" s="2087"/>
      <c r="BY86" s="2087"/>
      <c r="BZ86" s="2087"/>
      <c r="CA86" s="2087"/>
      <c r="CB86" s="2087"/>
      <c r="CC86" s="2087"/>
      <c r="CD86" s="2087"/>
      <c r="CE86" s="2088"/>
      <c r="CF86" s="2088"/>
      <c r="CG86" s="2088"/>
      <c r="CH86" s="2088"/>
      <c r="CI86" s="2088"/>
      <c r="CJ86" s="2088"/>
      <c r="CK86" s="2088"/>
      <c r="CL86" s="2088"/>
      <c r="CM86" s="2088"/>
      <c r="CN86" s="2088"/>
      <c r="CO86" s="2087"/>
      <c r="CP86" s="2087"/>
      <c r="CQ86" s="2088"/>
      <c r="CR86" s="2088"/>
      <c r="CS86" s="2087"/>
      <c r="CT86" s="2088"/>
      <c r="CU86" s="2087"/>
      <c r="CV86" s="2088"/>
      <c r="CW86" s="2087"/>
      <c r="CX86" s="2088"/>
      <c r="CY86" s="2087"/>
      <c r="CZ86" s="2087"/>
      <c r="DA86" s="2087"/>
      <c r="DB86" s="2087"/>
      <c r="DC86" s="2087"/>
      <c r="DD86" s="2087"/>
      <c r="DE86" s="2087"/>
      <c r="DF86" s="2087"/>
      <c r="DG86" s="2087"/>
      <c r="DH86" s="2088">
        <f>DH80</f>
        <v>22200</v>
      </c>
      <c r="DI86" s="2088" t="e">
        <f t="shared" ref="DI86:DT86" si="173">DI80</f>
        <v>#REF!</v>
      </c>
      <c r="DJ86" s="2088" t="e">
        <f t="shared" si="173"/>
        <v>#REF!</v>
      </c>
      <c r="DK86" s="2088" t="e">
        <f t="shared" si="173"/>
        <v>#REF!</v>
      </c>
      <c r="DL86" s="2088">
        <f t="shared" si="173"/>
        <v>26000</v>
      </c>
      <c r="DM86" s="2088">
        <f t="shared" si="173"/>
        <v>27700</v>
      </c>
      <c r="DN86" s="2088">
        <f t="shared" si="173"/>
        <v>26000</v>
      </c>
      <c r="DO86" s="2088">
        <f t="shared" si="173"/>
        <v>27700</v>
      </c>
      <c r="DP86" s="2088">
        <f t="shared" si="173"/>
        <v>40900</v>
      </c>
      <c r="DQ86" s="2088"/>
      <c r="DR86" s="2088" t="e">
        <f t="shared" si="173"/>
        <v>#REF!</v>
      </c>
      <c r="DS86" s="2088">
        <f t="shared" si="173"/>
        <v>26000</v>
      </c>
      <c r="DT86" s="2088" t="e">
        <f t="shared" si="173"/>
        <v>#REF!</v>
      </c>
      <c r="DU86" s="2087"/>
      <c r="DV86" s="2087"/>
      <c r="DW86" s="2087"/>
      <c r="DX86" s="2087"/>
      <c r="DY86" s="2087"/>
      <c r="DZ86" s="2087"/>
      <c r="EA86" s="2087"/>
      <c r="EB86" s="2087"/>
      <c r="EC86" s="2087"/>
      <c r="ED86" s="2087"/>
      <c r="EE86" s="2087"/>
      <c r="EF86" s="2087"/>
      <c r="EG86" s="2087"/>
      <c r="EH86" s="2087"/>
      <c r="EI86" s="2087"/>
      <c r="EJ86" s="2087"/>
      <c r="EK86" s="2087"/>
      <c r="EL86" s="2087"/>
      <c r="EM86" s="2087"/>
      <c r="EN86" s="2087"/>
      <c r="EO86" s="2087"/>
      <c r="EP86" s="2087"/>
      <c r="EQ86" s="2087"/>
      <c r="ER86" s="2087"/>
      <c r="ES86" s="2087"/>
      <c r="ET86" s="2087"/>
      <c r="EU86" s="2087"/>
      <c r="EV86" s="2087"/>
      <c r="EW86" s="2087"/>
      <c r="EX86" s="2087"/>
      <c r="EY86" s="2087"/>
      <c r="EZ86" s="2087"/>
      <c r="FA86" s="2087"/>
      <c r="FB86" s="2087"/>
      <c r="FC86" s="2087"/>
      <c r="FD86" s="2087"/>
      <c r="FE86" s="2081"/>
      <c r="FF86" s="2082"/>
      <c r="FG86" s="2082"/>
      <c r="FH86" s="2082"/>
      <c r="FI86" s="2082"/>
      <c r="FJ86" s="2082"/>
      <c r="FK86" s="1565"/>
      <c r="FL86" s="1565"/>
      <c r="FM86" s="1565"/>
      <c r="FN86" s="1565"/>
      <c r="FO86" s="1565"/>
      <c r="FP86" s="1565"/>
      <c r="FQ86" s="1565"/>
      <c r="FR86" s="1565"/>
      <c r="FS86" s="1565"/>
      <c r="FT86" s="1565"/>
      <c r="FU86" s="1565"/>
      <c r="FV86" s="1565"/>
      <c r="FW86" s="1565"/>
      <c r="FX86" s="1565"/>
      <c r="FY86" s="1565"/>
      <c r="FZ86" s="1565"/>
      <c r="GA86" s="1565"/>
      <c r="GB86" s="1565"/>
      <c r="GC86" s="1565"/>
      <c r="GD86" s="1565"/>
      <c r="GE86" s="1565"/>
      <c r="GF86" s="1565"/>
      <c r="GG86" s="1565"/>
      <c r="GH86" s="1565"/>
      <c r="GI86" s="1565"/>
      <c r="GJ86" s="1565"/>
      <c r="GK86" s="1565"/>
      <c r="GL86" s="1565"/>
      <c r="GM86" s="1565"/>
      <c r="GN86" s="1565"/>
      <c r="GO86" s="1565"/>
      <c r="GP86" s="1565"/>
      <c r="GQ86" s="1565"/>
      <c r="GR86" s="1565"/>
      <c r="GS86" s="1565"/>
      <c r="GT86" s="1565"/>
      <c r="GU86" s="1565"/>
      <c r="GV86" s="1565"/>
      <c r="GW86" s="1565"/>
      <c r="GX86" s="1565"/>
      <c r="GY86" s="1565"/>
      <c r="GZ86" s="1565"/>
      <c r="HA86" s="1565"/>
      <c r="HB86" s="1565"/>
      <c r="HC86" s="1565"/>
      <c r="HD86" s="1565"/>
      <c r="HE86" s="1565"/>
      <c r="HF86" s="1565"/>
      <c r="HG86" s="1565"/>
      <c r="HH86" s="1565"/>
      <c r="HI86" s="1565"/>
      <c r="HJ86" s="1565"/>
      <c r="HK86" s="1565"/>
      <c r="HL86" s="1565"/>
      <c r="HM86" s="1565"/>
      <c r="HN86" s="1565"/>
      <c r="HO86" s="1565"/>
      <c r="HP86" s="1565"/>
      <c r="HQ86" s="1565"/>
      <c r="HR86" s="1565"/>
      <c r="HS86" s="1565"/>
      <c r="HT86" s="1565"/>
      <c r="HU86" s="1565"/>
      <c r="HV86" s="1565"/>
      <c r="HW86" s="1565"/>
      <c r="HX86" s="1565"/>
      <c r="HY86" s="1565"/>
      <c r="HZ86" s="1565"/>
      <c r="IA86" s="1565"/>
      <c r="IB86" s="1565"/>
      <c r="IC86" s="1565"/>
      <c r="ID86" s="1565"/>
      <c r="IE86" s="1565"/>
      <c r="IF86" s="1565"/>
      <c r="IG86" s="1565"/>
    </row>
    <row r="87" spans="1:241" s="1552" customFormat="1" ht="25.5" hidden="1" outlineLevel="2">
      <c r="A87" s="1552">
        <v>84</v>
      </c>
      <c r="B87" s="1567" t="s">
        <v>303</v>
      </c>
      <c r="C87" s="1568" t="s">
        <v>1972</v>
      </c>
      <c r="D87" s="1569" t="s">
        <v>1780</v>
      </c>
      <c r="E87" s="1570" t="s">
        <v>1781</v>
      </c>
      <c r="F87" s="1571" t="s">
        <v>1786</v>
      </c>
      <c r="G87" s="1572"/>
      <c r="H87" s="2073"/>
      <c r="I87" s="2083"/>
      <c r="J87" s="2084"/>
      <c r="K87" s="2084"/>
      <c r="L87" s="2083"/>
      <c r="M87" s="2083"/>
      <c r="N87" s="2085"/>
      <c r="O87" s="2083"/>
      <c r="P87" s="2084"/>
      <c r="Q87" s="2086"/>
      <c r="R87" s="2086"/>
      <c r="S87" s="2086"/>
      <c r="T87" s="2086"/>
      <c r="U87" s="2086"/>
      <c r="V87" s="2086"/>
      <c r="W87" s="2086"/>
      <c r="X87" s="2086"/>
      <c r="Y87" s="2086"/>
      <c r="Z87" s="2086"/>
      <c r="AA87" s="2086"/>
      <c r="AB87" s="2086"/>
      <c r="AC87" s="2086"/>
      <c r="AD87" s="2086"/>
      <c r="AE87" s="2086"/>
      <c r="AF87" s="2086"/>
      <c r="AG87" s="2086"/>
      <c r="AH87" s="2086"/>
      <c r="AI87" s="2086"/>
      <c r="AJ87" s="2086"/>
      <c r="AK87" s="2086"/>
      <c r="AL87" s="2086"/>
      <c r="AM87" s="2086"/>
      <c r="AN87" s="2086"/>
      <c r="AO87" s="2086"/>
      <c r="AP87" s="2086"/>
      <c r="AQ87" s="2086"/>
      <c r="AR87" s="2086"/>
      <c r="AS87" s="2086"/>
      <c r="AT87" s="2086"/>
      <c r="AU87" s="2086"/>
      <c r="AV87" s="2086"/>
      <c r="AW87" s="2086"/>
      <c r="AX87" s="2086"/>
      <c r="AY87" s="2087"/>
      <c r="AZ87" s="2087"/>
      <c r="BA87" s="2087"/>
      <c r="BB87" s="2087"/>
      <c r="BC87" s="2087"/>
      <c r="BD87" s="2087"/>
      <c r="BE87" s="2087"/>
      <c r="BF87" s="2087"/>
      <c r="BG87" s="2087"/>
      <c r="BH87" s="2087"/>
      <c r="BI87" s="2087"/>
      <c r="BJ87" s="2087"/>
      <c r="BK87" s="2087"/>
      <c r="BL87" s="2087"/>
      <c r="BM87" s="2087"/>
      <c r="BN87" s="2087"/>
      <c r="BO87" s="2087"/>
      <c r="BP87" s="2087"/>
      <c r="BQ87" s="2087"/>
      <c r="BR87" s="2087"/>
      <c r="BS87" s="2087"/>
      <c r="BT87" s="2087"/>
      <c r="BU87" s="2087"/>
      <c r="BV87" s="2087"/>
      <c r="BW87" s="2087"/>
      <c r="BX87" s="2087"/>
      <c r="BY87" s="2087"/>
      <c r="BZ87" s="2087"/>
      <c r="CA87" s="2087"/>
      <c r="CB87" s="2087"/>
      <c r="CC87" s="2087"/>
      <c r="CD87" s="2087"/>
      <c r="CE87" s="2088"/>
      <c r="CF87" s="2088"/>
      <c r="CG87" s="2088"/>
      <c r="CH87" s="2088"/>
      <c r="CI87" s="2088"/>
      <c r="CJ87" s="2088"/>
      <c r="CK87" s="2088"/>
      <c r="CL87" s="2088"/>
      <c r="CM87" s="2088"/>
      <c r="CN87" s="2088"/>
      <c r="CO87" s="2087"/>
      <c r="CP87" s="2087"/>
      <c r="CQ87" s="2088"/>
      <c r="CR87" s="2088"/>
      <c r="CS87" s="2087"/>
      <c r="CT87" s="2088"/>
      <c r="CU87" s="2087"/>
      <c r="CV87" s="2088"/>
      <c r="CW87" s="2087"/>
      <c r="CX87" s="2088"/>
      <c r="CY87" s="2087"/>
      <c r="CZ87" s="2087"/>
      <c r="DA87" s="2087"/>
      <c r="DB87" s="2087"/>
      <c r="DC87" s="2087"/>
      <c r="DD87" s="2087"/>
      <c r="DE87" s="2087"/>
      <c r="DF87" s="2087"/>
      <c r="DG87" s="2087"/>
      <c r="DH87" s="2088">
        <f>DH80</f>
        <v>22200</v>
      </c>
      <c r="DI87" s="2088" t="e">
        <f t="shared" ref="DI87:DT87" si="174">DI80</f>
        <v>#REF!</v>
      </c>
      <c r="DJ87" s="2088" t="e">
        <f t="shared" si="174"/>
        <v>#REF!</v>
      </c>
      <c r="DK87" s="2088" t="e">
        <f t="shared" si="174"/>
        <v>#REF!</v>
      </c>
      <c r="DL87" s="2088">
        <f t="shared" si="174"/>
        <v>26000</v>
      </c>
      <c r="DM87" s="2088">
        <f t="shared" si="174"/>
        <v>27700</v>
      </c>
      <c r="DN87" s="2088">
        <f t="shared" si="174"/>
        <v>26000</v>
      </c>
      <c r="DO87" s="2088">
        <f t="shared" si="174"/>
        <v>27700</v>
      </c>
      <c r="DP87" s="2088">
        <f t="shared" si="174"/>
        <v>40900</v>
      </c>
      <c r="DQ87" s="2088"/>
      <c r="DR87" s="2088" t="e">
        <f t="shared" si="174"/>
        <v>#REF!</v>
      </c>
      <c r="DS87" s="2088">
        <f t="shared" si="174"/>
        <v>26000</v>
      </c>
      <c r="DT87" s="2088" t="e">
        <f t="shared" si="174"/>
        <v>#REF!</v>
      </c>
      <c r="DU87" s="2087"/>
      <c r="DV87" s="2087"/>
      <c r="DW87" s="2087"/>
      <c r="DX87" s="2087"/>
      <c r="DY87" s="2087"/>
      <c r="DZ87" s="2087"/>
      <c r="EA87" s="2087"/>
      <c r="EB87" s="2087"/>
      <c r="EC87" s="2087"/>
      <c r="ED87" s="2087"/>
      <c r="EE87" s="2087"/>
      <c r="EF87" s="2087"/>
      <c r="EG87" s="2087"/>
      <c r="EH87" s="2087"/>
      <c r="EI87" s="2087"/>
      <c r="EJ87" s="2087"/>
      <c r="EK87" s="2087"/>
      <c r="EL87" s="2087"/>
      <c r="EM87" s="2087"/>
      <c r="EN87" s="2087"/>
      <c r="EO87" s="2087"/>
      <c r="EP87" s="2087"/>
      <c r="EQ87" s="2087"/>
      <c r="ER87" s="2087"/>
      <c r="ES87" s="2087"/>
      <c r="ET87" s="2087"/>
      <c r="EU87" s="2087"/>
      <c r="EV87" s="2087"/>
      <c r="EW87" s="2087"/>
      <c r="EX87" s="2087"/>
      <c r="EY87" s="2087"/>
      <c r="EZ87" s="2087"/>
      <c r="FA87" s="2087"/>
      <c r="FB87" s="2087"/>
      <c r="FC87" s="2087"/>
      <c r="FD87" s="2087"/>
      <c r="FE87" s="2081"/>
      <c r="FF87" s="2082"/>
      <c r="FG87" s="2082"/>
      <c r="FH87" s="2082"/>
      <c r="FI87" s="2082"/>
      <c r="FJ87" s="2082"/>
      <c r="FK87" s="1565"/>
      <c r="FL87" s="1565"/>
      <c r="FM87" s="1565"/>
      <c r="FN87" s="1565"/>
      <c r="FO87" s="1565"/>
      <c r="FP87" s="1565"/>
      <c r="FQ87" s="1565"/>
      <c r="FR87" s="1565"/>
      <c r="FS87" s="1565"/>
      <c r="FT87" s="1565"/>
      <c r="FU87" s="1565"/>
      <c r="FV87" s="1565"/>
      <c r="FW87" s="1565"/>
      <c r="FX87" s="1565"/>
      <c r="FY87" s="1565"/>
      <c r="FZ87" s="1565"/>
      <c r="GA87" s="1565"/>
      <c r="GB87" s="1565"/>
      <c r="GC87" s="1565"/>
      <c r="GD87" s="1565"/>
      <c r="GE87" s="1565"/>
      <c r="GF87" s="1565"/>
      <c r="GG87" s="1565"/>
      <c r="GH87" s="1565"/>
      <c r="GI87" s="1565"/>
      <c r="GJ87" s="1565"/>
      <c r="GK87" s="1565"/>
      <c r="GL87" s="1565"/>
      <c r="GM87" s="1565"/>
      <c r="GN87" s="1565"/>
      <c r="GO87" s="1565"/>
      <c r="GP87" s="1565"/>
      <c r="GQ87" s="1565"/>
      <c r="GR87" s="1565"/>
      <c r="GS87" s="1565"/>
      <c r="GT87" s="1565"/>
      <c r="GU87" s="1565"/>
      <c r="GV87" s="1565"/>
      <c r="GW87" s="1565"/>
      <c r="GX87" s="1565"/>
      <c r="GY87" s="1565"/>
      <c r="GZ87" s="1565"/>
      <c r="HA87" s="1565"/>
      <c r="HB87" s="1565"/>
      <c r="HC87" s="1565"/>
      <c r="HD87" s="1565"/>
      <c r="HE87" s="1565"/>
      <c r="HF87" s="1565"/>
      <c r="HG87" s="1565"/>
      <c r="HH87" s="1565"/>
      <c r="HI87" s="1565"/>
      <c r="HJ87" s="1565"/>
      <c r="HK87" s="1565"/>
      <c r="HL87" s="1565"/>
      <c r="HM87" s="1565"/>
      <c r="HN87" s="1565"/>
      <c r="HO87" s="1565"/>
      <c r="HP87" s="1565"/>
      <c r="HQ87" s="1565"/>
      <c r="HR87" s="1565"/>
      <c r="HS87" s="1565"/>
      <c r="HT87" s="1565"/>
      <c r="HU87" s="1565"/>
      <c r="HV87" s="1565"/>
      <c r="HW87" s="1565"/>
      <c r="HX87" s="1565"/>
      <c r="HY87" s="1565"/>
      <c r="HZ87" s="1565"/>
      <c r="IA87" s="1565"/>
      <c r="IB87" s="1565"/>
      <c r="IC87" s="1565"/>
      <c r="ID87" s="1565"/>
      <c r="IE87" s="1565"/>
      <c r="IF87" s="1565"/>
      <c r="IG87" s="1565"/>
    </row>
    <row r="88" spans="1:241" s="1552" customFormat="1" ht="25.5" hidden="1" outlineLevel="2">
      <c r="A88" s="1549">
        <v>85</v>
      </c>
      <c r="B88" s="1567" t="s">
        <v>303</v>
      </c>
      <c r="C88" s="1568" t="s">
        <v>1972</v>
      </c>
      <c r="D88" s="1569" t="s">
        <v>1780</v>
      </c>
      <c r="E88" s="1570" t="s">
        <v>1781</v>
      </c>
      <c r="F88" s="1571" t="s">
        <v>302</v>
      </c>
      <c r="G88" s="1572"/>
      <c r="H88" s="2073"/>
      <c r="I88" s="2083"/>
      <c r="J88" s="2084"/>
      <c r="K88" s="2084"/>
      <c r="L88" s="2083"/>
      <c r="M88" s="2083"/>
      <c r="N88" s="2085"/>
      <c r="O88" s="2083"/>
      <c r="P88" s="2084"/>
      <c r="Q88" s="2086"/>
      <c r="R88" s="2086"/>
      <c r="S88" s="2086"/>
      <c r="T88" s="2086"/>
      <c r="U88" s="2086"/>
      <c r="V88" s="2086"/>
      <c r="W88" s="2086"/>
      <c r="X88" s="2086"/>
      <c r="Y88" s="2086"/>
      <c r="Z88" s="2086"/>
      <c r="AA88" s="2086"/>
      <c r="AB88" s="2086"/>
      <c r="AC88" s="2086"/>
      <c r="AD88" s="2086"/>
      <c r="AE88" s="2086"/>
      <c r="AF88" s="2086"/>
      <c r="AG88" s="2086"/>
      <c r="AH88" s="2086"/>
      <c r="AI88" s="2086"/>
      <c r="AJ88" s="2086"/>
      <c r="AK88" s="2086"/>
      <c r="AL88" s="2086"/>
      <c r="AM88" s="2086"/>
      <c r="AN88" s="2086"/>
      <c r="AO88" s="2086"/>
      <c r="AP88" s="2086"/>
      <c r="AQ88" s="2086"/>
      <c r="AR88" s="2086"/>
      <c r="AS88" s="2086"/>
      <c r="AT88" s="2086"/>
      <c r="AU88" s="2086"/>
      <c r="AV88" s="2086"/>
      <c r="AW88" s="2086"/>
      <c r="AX88" s="2086"/>
      <c r="AY88" s="2087"/>
      <c r="AZ88" s="2087"/>
      <c r="BA88" s="2087"/>
      <c r="BB88" s="2087"/>
      <c r="BC88" s="2087"/>
      <c r="BD88" s="2087"/>
      <c r="BE88" s="2087"/>
      <c r="BF88" s="2087"/>
      <c r="BG88" s="2087"/>
      <c r="BH88" s="2087"/>
      <c r="BI88" s="2087"/>
      <c r="BJ88" s="2087"/>
      <c r="BK88" s="2087"/>
      <c r="BL88" s="2087"/>
      <c r="BM88" s="2087"/>
      <c r="BN88" s="2087"/>
      <c r="BO88" s="2087"/>
      <c r="BP88" s="2087"/>
      <c r="BQ88" s="2087"/>
      <c r="BR88" s="2087"/>
      <c r="BS88" s="2087"/>
      <c r="BT88" s="2087"/>
      <c r="BU88" s="2087"/>
      <c r="BV88" s="2087"/>
      <c r="BW88" s="2087"/>
      <c r="BX88" s="2087"/>
      <c r="BY88" s="2087"/>
      <c r="BZ88" s="2087"/>
      <c r="CA88" s="2087"/>
      <c r="CB88" s="2087"/>
      <c r="CC88" s="2087"/>
      <c r="CD88" s="2087"/>
      <c r="CE88" s="2088"/>
      <c r="CF88" s="2088"/>
      <c r="CG88" s="2088"/>
      <c r="CH88" s="2088"/>
      <c r="CI88" s="2088"/>
      <c r="CJ88" s="2088"/>
      <c r="CK88" s="2088"/>
      <c r="CL88" s="2088"/>
      <c r="CM88" s="2088"/>
      <c r="CN88" s="2088"/>
      <c r="CO88" s="2087"/>
      <c r="CP88" s="2087"/>
      <c r="CQ88" s="2088"/>
      <c r="CR88" s="2088"/>
      <c r="CS88" s="2087"/>
      <c r="CT88" s="2088"/>
      <c r="CU88" s="2087"/>
      <c r="CV88" s="2088"/>
      <c r="CW88" s="2087"/>
      <c r="CX88" s="2088"/>
      <c r="CY88" s="2087"/>
      <c r="CZ88" s="2087"/>
      <c r="DA88" s="2087"/>
      <c r="DB88" s="2087"/>
      <c r="DC88" s="2087"/>
      <c r="DD88" s="2087"/>
      <c r="DE88" s="2087"/>
      <c r="DF88" s="2087"/>
      <c r="DG88" s="2087"/>
      <c r="DH88" s="2088">
        <f>DH80</f>
        <v>22200</v>
      </c>
      <c r="DI88" s="2088" t="e">
        <f t="shared" ref="DI88:DT88" si="175">DI80</f>
        <v>#REF!</v>
      </c>
      <c r="DJ88" s="2088" t="e">
        <f t="shared" si="175"/>
        <v>#REF!</v>
      </c>
      <c r="DK88" s="2088" t="e">
        <f t="shared" si="175"/>
        <v>#REF!</v>
      </c>
      <c r="DL88" s="2088">
        <f t="shared" si="175"/>
        <v>26000</v>
      </c>
      <c r="DM88" s="2088">
        <f t="shared" si="175"/>
        <v>27700</v>
      </c>
      <c r="DN88" s="2088">
        <f t="shared" si="175"/>
        <v>26000</v>
      </c>
      <c r="DO88" s="2088">
        <f t="shared" si="175"/>
        <v>27700</v>
      </c>
      <c r="DP88" s="2088">
        <f t="shared" si="175"/>
        <v>40900</v>
      </c>
      <c r="DQ88" s="2088"/>
      <c r="DR88" s="2088" t="e">
        <f t="shared" si="175"/>
        <v>#REF!</v>
      </c>
      <c r="DS88" s="2088">
        <f t="shared" si="175"/>
        <v>26000</v>
      </c>
      <c r="DT88" s="2088" t="e">
        <f t="shared" si="175"/>
        <v>#REF!</v>
      </c>
      <c r="DU88" s="2087"/>
      <c r="DV88" s="2087"/>
      <c r="DW88" s="2087"/>
      <c r="DX88" s="2087"/>
      <c r="DY88" s="2087"/>
      <c r="DZ88" s="2087"/>
      <c r="EA88" s="2087"/>
      <c r="EB88" s="2087"/>
      <c r="EC88" s="2087"/>
      <c r="ED88" s="2087"/>
      <c r="EE88" s="2087"/>
      <c r="EF88" s="2087"/>
      <c r="EG88" s="2087"/>
      <c r="EH88" s="2087"/>
      <c r="EI88" s="2087"/>
      <c r="EJ88" s="2087"/>
      <c r="EK88" s="2087"/>
      <c r="EL88" s="2087"/>
      <c r="EM88" s="2087"/>
      <c r="EN88" s="2087"/>
      <c r="EO88" s="2087"/>
      <c r="EP88" s="2087"/>
      <c r="EQ88" s="2087"/>
      <c r="ER88" s="2087"/>
      <c r="ES88" s="2087"/>
      <c r="ET88" s="2087"/>
      <c r="EU88" s="2087"/>
      <c r="EV88" s="2087"/>
      <c r="EW88" s="2087"/>
      <c r="EX88" s="2087"/>
      <c r="EY88" s="2087"/>
      <c r="EZ88" s="2087"/>
      <c r="FA88" s="2087"/>
      <c r="FB88" s="2087"/>
      <c r="FC88" s="2087"/>
      <c r="FD88" s="2087"/>
      <c r="FE88" s="2081"/>
      <c r="FF88" s="2082"/>
      <c r="FG88" s="2082"/>
      <c r="FH88" s="2082"/>
      <c r="FI88" s="2082"/>
      <c r="FJ88" s="2082"/>
      <c r="FK88" s="1565"/>
      <c r="FL88" s="1565"/>
      <c r="FM88" s="1565"/>
      <c r="FN88" s="1565"/>
      <c r="FO88" s="1565"/>
      <c r="FP88" s="1565"/>
      <c r="FQ88" s="1565"/>
      <c r="FR88" s="1565"/>
      <c r="FS88" s="1565"/>
      <c r="FT88" s="1565"/>
      <c r="FU88" s="1565"/>
      <c r="FV88" s="1565"/>
      <c r="FW88" s="1565"/>
      <c r="FX88" s="1565"/>
      <c r="FY88" s="1565"/>
      <c r="FZ88" s="1565"/>
      <c r="GA88" s="1565"/>
      <c r="GB88" s="1565"/>
      <c r="GC88" s="1565"/>
      <c r="GD88" s="1565"/>
      <c r="GE88" s="1565"/>
      <c r="GF88" s="1565"/>
      <c r="GG88" s="1565"/>
      <c r="GH88" s="1565"/>
      <c r="GI88" s="1565"/>
      <c r="GJ88" s="1565"/>
      <c r="GK88" s="1565"/>
      <c r="GL88" s="1565"/>
      <c r="GM88" s="1565"/>
      <c r="GN88" s="1565"/>
      <c r="GO88" s="1565"/>
      <c r="GP88" s="1565"/>
      <c r="GQ88" s="1565"/>
      <c r="GR88" s="1565"/>
      <c r="GS88" s="1565"/>
      <c r="GT88" s="1565"/>
      <c r="GU88" s="1565"/>
      <c r="GV88" s="1565"/>
      <c r="GW88" s="1565"/>
      <c r="GX88" s="1565"/>
      <c r="GY88" s="1565"/>
      <c r="GZ88" s="1565"/>
      <c r="HA88" s="1565"/>
      <c r="HB88" s="1565"/>
      <c r="HC88" s="1565"/>
      <c r="HD88" s="1565"/>
      <c r="HE88" s="1565"/>
      <c r="HF88" s="1565"/>
      <c r="HG88" s="1565"/>
      <c r="HH88" s="1565"/>
      <c r="HI88" s="1565"/>
      <c r="HJ88" s="1565"/>
      <c r="HK88" s="1565"/>
      <c r="HL88" s="1565"/>
      <c r="HM88" s="1565"/>
      <c r="HN88" s="1565"/>
      <c r="HO88" s="1565"/>
      <c r="HP88" s="1565"/>
      <c r="HQ88" s="1565"/>
      <c r="HR88" s="1565"/>
      <c r="HS88" s="1565"/>
      <c r="HT88" s="1565"/>
      <c r="HU88" s="1565"/>
      <c r="HV88" s="1565"/>
      <c r="HW88" s="1565"/>
      <c r="HX88" s="1565"/>
      <c r="HY88" s="1565"/>
      <c r="HZ88" s="1565"/>
      <c r="IA88" s="1565"/>
      <c r="IB88" s="1565"/>
      <c r="IC88" s="1565"/>
      <c r="ID88" s="1565"/>
      <c r="IE88" s="1565"/>
      <c r="IF88" s="1565"/>
      <c r="IG88" s="1565"/>
    </row>
    <row r="89" spans="1:241" s="1552" customFormat="1" ht="25.5" hidden="1" outlineLevel="2">
      <c r="A89" s="1552">
        <v>86</v>
      </c>
      <c r="B89" s="1567" t="s">
        <v>303</v>
      </c>
      <c r="C89" s="1567" t="s">
        <v>303</v>
      </c>
      <c r="D89" s="1569" t="s">
        <v>1780</v>
      </c>
      <c r="E89" s="1570" t="s">
        <v>1781</v>
      </c>
      <c r="F89" s="1571" t="s">
        <v>1787</v>
      </c>
      <c r="G89" s="1572"/>
      <c r="H89" s="2073"/>
      <c r="I89" s="2083"/>
      <c r="J89" s="2084"/>
      <c r="K89" s="2084"/>
      <c r="L89" s="2083"/>
      <c r="M89" s="2083"/>
      <c r="N89" s="2085"/>
      <c r="O89" s="2083"/>
      <c r="P89" s="2084"/>
      <c r="Q89" s="2086"/>
      <c r="R89" s="2086"/>
      <c r="S89" s="2086"/>
      <c r="T89" s="2086"/>
      <c r="U89" s="2086"/>
      <c r="V89" s="2086"/>
      <c r="W89" s="2086"/>
      <c r="X89" s="2086"/>
      <c r="Y89" s="2086"/>
      <c r="Z89" s="2086"/>
      <c r="AA89" s="2086"/>
      <c r="AB89" s="2086"/>
      <c r="AC89" s="2086"/>
      <c r="AD89" s="2086"/>
      <c r="AE89" s="2086"/>
      <c r="AF89" s="2086"/>
      <c r="AG89" s="2086"/>
      <c r="AH89" s="2086"/>
      <c r="AI89" s="2086"/>
      <c r="AJ89" s="2086"/>
      <c r="AK89" s="2086"/>
      <c r="AL89" s="2086"/>
      <c r="AM89" s="2086"/>
      <c r="AN89" s="2086"/>
      <c r="AO89" s="2086"/>
      <c r="AP89" s="2086"/>
      <c r="AQ89" s="2086"/>
      <c r="AR89" s="2086"/>
      <c r="AS89" s="2086"/>
      <c r="AT89" s="2086"/>
      <c r="AU89" s="2086"/>
      <c r="AV89" s="2086"/>
      <c r="AW89" s="2086"/>
      <c r="AX89" s="2086"/>
      <c r="AY89" s="2087"/>
      <c r="AZ89" s="2087"/>
      <c r="BA89" s="2087"/>
      <c r="BB89" s="2087"/>
      <c r="BC89" s="2087"/>
      <c r="BD89" s="2087"/>
      <c r="BE89" s="2087"/>
      <c r="BF89" s="2087"/>
      <c r="BG89" s="2087"/>
      <c r="BH89" s="2087"/>
      <c r="BI89" s="2087"/>
      <c r="BJ89" s="2087"/>
      <c r="BK89" s="2087"/>
      <c r="BL89" s="2087"/>
      <c r="BM89" s="2087"/>
      <c r="BN89" s="2087"/>
      <c r="BO89" s="2087"/>
      <c r="BP89" s="2087"/>
      <c r="BQ89" s="2087"/>
      <c r="BR89" s="2087"/>
      <c r="BS89" s="2087"/>
      <c r="BT89" s="2087"/>
      <c r="BU89" s="2087"/>
      <c r="BV89" s="2087"/>
      <c r="BW89" s="2087"/>
      <c r="BX89" s="2087"/>
      <c r="BY89" s="2087"/>
      <c r="BZ89" s="2087"/>
      <c r="CA89" s="2087"/>
      <c r="CB89" s="2087"/>
      <c r="CC89" s="2087"/>
      <c r="CD89" s="2087"/>
      <c r="CE89" s="2088"/>
      <c r="CF89" s="2088"/>
      <c r="CG89" s="2088"/>
      <c r="CH89" s="2088"/>
      <c r="CI89" s="2088"/>
      <c r="CJ89" s="2088"/>
      <c r="CK89" s="2088"/>
      <c r="CL89" s="2088"/>
      <c r="CM89" s="2088"/>
      <c r="CN89" s="2088"/>
      <c r="CO89" s="2087"/>
      <c r="CP89" s="2087"/>
      <c r="CQ89" s="2088"/>
      <c r="CR89" s="2088"/>
      <c r="CS89" s="2087"/>
      <c r="CT89" s="2088"/>
      <c r="CU89" s="2087"/>
      <c r="CV89" s="2088"/>
      <c r="CW89" s="2087"/>
      <c r="CX89" s="2088"/>
      <c r="CY89" s="2087"/>
      <c r="CZ89" s="2087"/>
      <c r="DA89" s="2087"/>
      <c r="DB89" s="2087"/>
      <c r="DC89" s="2087"/>
      <c r="DD89" s="2087"/>
      <c r="DE89" s="2087"/>
      <c r="DF89" s="2087"/>
      <c r="DG89" s="2087"/>
      <c r="DH89" s="2088">
        <f>DH80</f>
        <v>22200</v>
      </c>
      <c r="DI89" s="2088" t="e">
        <f t="shared" ref="DI89:DT89" si="176">DI80</f>
        <v>#REF!</v>
      </c>
      <c r="DJ89" s="2088" t="e">
        <f t="shared" si="176"/>
        <v>#REF!</v>
      </c>
      <c r="DK89" s="2088" t="e">
        <f t="shared" si="176"/>
        <v>#REF!</v>
      </c>
      <c r="DL89" s="2088">
        <f t="shared" si="176"/>
        <v>26000</v>
      </c>
      <c r="DM89" s="2088">
        <f t="shared" si="176"/>
        <v>27700</v>
      </c>
      <c r="DN89" s="2088">
        <f t="shared" si="176"/>
        <v>26000</v>
      </c>
      <c r="DO89" s="2088">
        <f t="shared" si="176"/>
        <v>27700</v>
      </c>
      <c r="DP89" s="2088">
        <f t="shared" si="176"/>
        <v>40900</v>
      </c>
      <c r="DQ89" s="2088"/>
      <c r="DR89" s="2088" t="e">
        <f t="shared" si="176"/>
        <v>#REF!</v>
      </c>
      <c r="DS89" s="2088">
        <f t="shared" si="176"/>
        <v>26000</v>
      </c>
      <c r="DT89" s="2088" t="e">
        <f t="shared" si="176"/>
        <v>#REF!</v>
      </c>
      <c r="DU89" s="2087"/>
      <c r="DV89" s="2087"/>
      <c r="DW89" s="2087"/>
      <c r="DX89" s="2087"/>
      <c r="DY89" s="2087"/>
      <c r="DZ89" s="2087"/>
      <c r="EA89" s="2087"/>
      <c r="EB89" s="2087"/>
      <c r="EC89" s="2087"/>
      <c r="ED89" s="2087"/>
      <c r="EE89" s="2087"/>
      <c r="EF89" s="2087"/>
      <c r="EG89" s="2087"/>
      <c r="EH89" s="2087"/>
      <c r="EI89" s="2087"/>
      <c r="EJ89" s="2087"/>
      <c r="EK89" s="2087"/>
      <c r="EL89" s="2087"/>
      <c r="EM89" s="2087"/>
      <c r="EN89" s="2087"/>
      <c r="EO89" s="2087"/>
      <c r="EP89" s="2087"/>
      <c r="EQ89" s="2087"/>
      <c r="ER89" s="2087"/>
      <c r="ES89" s="2087"/>
      <c r="ET89" s="2087"/>
      <c r="EU89" s="2087"/>
      <c r="EV89" s="2087"/>
      <c r="EW89" s="2087"/>
      <c r="EX89" s="2087"/>
      <c r="EY89" s="2087"/>
      <c r="EZ89" s="2087"/>
      <c r="FA89" s="2087"/>
      <c r="FB89" s="2087"/>
      <c r="FC89" s="2087"/>
      <c r="FD89" s="2087"/>
      <c r="FE89" s="2081"/>
      <c r="FF89" s="2082"/>
      <c r="FG89" s="2082"/>
      <c r="FH89" s="2082"/>
      <c r="FI89" s="2082"/>
      <c r="FJ89" s="2082"/>
      <c r="FK89" s="1565"/>
      <c r="FL89" s="1565"/>
      <c r="FM89" s="1565"/>
      <c r="FN89" s="1565"/>
      <c r="FO89" s="1565"/>
      <c r="FP89" s="1565"/>
      <c r="FQ89" s="1565"/>
      <c r="FR89" s="1565"/>
      <c r="FS89" s="1565"/>
      <c r="FT89" s="1565"/>
      <c r="FU89" s="1565"/>
      <c r="FV89" s="1565"/>
      <c r="FW89" s="1565"/>
      <c r="FX89" s="1565"/>
      <c r="FY89" s="1565"/>
      <c r="FZ89" s="1565"/>
      <c r="GA89" s="1565"/>
      <c r="GB89" s="1565"/>
      <c r="GC89" s="1565"/>
      <c r="GD89" s="1565"/>
      <c r="GE89" s="1565"/>
      <c r="GF89" s="1565"/>
      <c r="GG89" s="1565"/>
      <c r="GH89" s="1565"/>
      <c r="GI89" s="1565"/>
      <c r="GJ89" s="1565"/>
      <c r="GK89" s="1565"/>
      <c r="GL89" s="1565"/>
      <c r="GM89" s="1565"/>
      <c r="GN89" s="1565"/>
      <c r="GO89" s="1565"/>
      <c r="GP89" s="1565"/>
      <c r="GQ89" s="1565"/>
      <c r="GR89" s="1565"/>
      <c r="GS89" s="1565"/>
      <c r="GT89" s="1565"/>
      <c r="GU89" s="1565"/>
      <c r="GV89" s="1565"/>
      <c r="GW89" s="1565"/>
      <c r="GX89" s="1565"/>
      <c r="GY89" s="1565"/>
      <c r="GZ89" s="1565"/>
      <c r="HA89" s="1565"/>
      <c r="HB89" s="1565"/>
      <c r="HC89" s="1565"/>
      <c r="HD89" s="1565"/>
      <c r="HE89" s="1565"/>
      <c r="HF89" s="1565"/>
      <c r="HG89" s="1565"/>
      <c r="HH89" s="1565"/>
      <c r="HI89" s="1565"/>
      <c r="HJ89" s="1565"/>
      <c r="HK89" s="1565"/>
      <c r="HL89" s="1565"/>
      <c r="HM89" s="1565"/>
      <c r="HN89" s="1565"/>
      <c r="HO89" s="1565"/>
      <c r="HP89" s="1565"/>
      <c r="HQ89" s="1565"/>
      <c r="HR89" s="1565"/>
      <c r="HS89" s="1565"/>
      <c r="HT89" s="1565"/>
      <c r="HU89" s="1565"/>
      <c r="HV89" s="1565"/>
      <c r="HW89" s="1565"/>
      <c r="HX89" s="1565"/>
      <c r="HY89" s="1565"/>
      <c r="HZ89" s="1565"/>
      <c r="IA89" s="1565"/>
      <c r="IB89" s="1565"/>
      <c r="IC89" s="1565"/>
      <c r="ID89" s="1565"/>
      <c r="IE89" s="1565"/>
      <c r="IF89" s="1565"/>
      <c r="IG89" s="1565"/>
    </row>
    <row r="90" spans="1:241" s="1552" customFormat="1" ht="25.5" hidden="1" outlineLevel="2">
      <c r="A90" s="1549">
        <v>87</v>
      </c>
      <c r="B90" s="1567" t="s">
        <v>303</v>
      </c>
      <c r="C90" s="1567" t="s">
        <v>303</v>
      </c>
      <c r="D90" s="1569" t="s">
        <v>1780</v>
      </c>
      <c r="E90" s="1570" t="s">
        <v>1781</v>
      </c>
      <c r="F90" s="1571" t="s">
        <v>998</v>
      </c>
      <c r="G90" s="1572"/>
      <c r="H90" s="2073"/>
      <c r="I90" s="2083"/>
      <c r="J90" s="2084"/>
      <c r="K90" s="2084"/>
      <c r="L90" s="2083"/>
      <c r="M90" s="2083"/>
      <c r="N90" s="2085"/>
      <c r="O90" s="2083"/>
      <c r="P90" s="2084"/>
      <c r="Q90" s="2086"/>
      <c r="R90" s="2086"/>
      <c r="S90" s="2086"/>
      <c r="T90" s="2086"/>
      <c r="U90" s="2086"/>
      <c r="V90" s="2086"/>
      <c r="W90" s="2086"/>
      <c r="X90" s="2086"/>
      <c r="Y90" s="2086"/>
      <c r="Z90" s="2086"/>
      <c r="AA90" s="2086"/>
      <c r="AB90" s="2086"/>
      <c r="AC90" s="2086"/>
      <c r="AD90" s="2086"/>
      <c r="AE90" s="2086"/>
      <c r="AF90" s="2086"/>
      <c r="AG90" s="2086"/>
      <c r="AH90" s="2086"/>
      <c r="AI90" s="2086"/>
      <c r="AJ90" s="2086"/>
      <c r="AK90" s="2086"/>
      <c r="AL90" s="2086"/>
      <c r="AM90" s="2086"/>
      <c r="AN90" s="2086"/>
      <c r="AO90" s="2086"/>
      <c r="AP90" s="2086"/>
      <c r="AQ90" s="2086"/>
      <c r="AR90" s="2086"/>
      <c r="AS90" s="2086"/>
      <c r="AT90" s="2086"/>
      <c r="AU90" s="2086"/>
      <c r="AV90" s="2086"/>
      <c r="AW90" s="2086"/>
      <c r="AX90" s="2086"/>
      <c r="AY90" s="2087"/>
      <c r="AZ90" s="2087"/>
      <c r="BA90" s="2087"/>
      <c r="BB90" s="2087"/>
      <c r="BC90" s="2087"/>
      <c r="BD90" s="2087"/>
      <c r="BE90" s="2087"/>
      <c r="BF90" s="2087"/>
      <c r="BG90" s="2087"/>
      <c r="BH90" s="2087"/>
      <c r="BI90" s="2087"/>
      <c r="BJ90" s="2087"/>
      <c r="BK90" s="2087"/>
      <c r="BL90" s="2087"/>
      <c r="BM90" s="2087"/>
      <c r="BN90" s="2087"/>
      <c r="BO90" s="2087"/>
      <c r="BP90" s="2087"/>
      <c r="BQ90" s="2087"/>
      <c r="BR90" s="2087"/>
      <c r="BS90" s="2087"/>
      <c r="BT90" s="2087"/>
      <c r="BU90" s="2087"/>
      <c r="BV90" s="2087"/>
      <c r="BW90" s="2087"/>
      <c r="BX90" s="2087"/>
      <c r="BY90" s="2087"/>
      <c r="BZ90" s="2087"/>
      <c r="CA90" s="2087"/>
      <c r="CB90" s="2087"/>
      <c r="CC90" s="2087"/>
      <c r="CD90" s="2087"/>
      <c r="CE90" s="2088"/>
      <c r="CF90" s="2088"/>
      <c r="CG90" s="2088"/>
      <c r="CH90" s="2088"/>
      <c r="CI90" s="2088"/>
      <c r="CJ90" s="2088"/>
      <c r="CK90" s="2088"/>
      <c r="CL90" s="2088"/>
      <c r="CM90" s="2088"/>
      <c r="CN90" s="2088"/>
      <c r="CO90" s="2087"/>
      <c r="CP90" s="2087"/>
      <c r="CQ90" s="2088"/>
      <c r="CR90" s="2088"/>
      <c r="CS90" s="2087"/>
      <c r="CT90" s="2088"/>
      <c r="CU90" s="2087"/>
      <c r="CV90" s="2088"/>
      <c r="CW90" s="2087"/>
      <c r="CX90" s="2088"/>
      <c r="CY90" s="2087"/>
      <c r="CZ90" s="2087"/>
      <c r="DA90" s="2087"/>
      <c r="DB90" s="2087"/>
      <c r="DC90" s="2087"/>
      <c r="DD90" s="2087"/>
      <c r="DE90" s="2087"/>
      <c r="DF90" s="2087"/>
      <c r="DG90" s="2087"/>
      <c r="DH90" s="2088">
        <f>DH80</f>
        <v>22200</v>
      </c>
      <c r="DI90" s="2088" t="e">
        <f t="shared" ref="DI90:DT90" si="177">DI80</f>
        <v>#REF!</v>
      </c>
      <c r="DJ90" s="2088" t="e">
        <f t="shared" si="177"/>
        <v>#REF!</v>
      </c>
      <c r="DK90" s="2088" t="e">
        <f t="shared" si="177"/>
        <v>#REF!</v>
      </c>
      <c r="DL90" s="2088">
        <f t="shared" si="177"/>
        <v>26000</v>
      </c>
      <c r="DM90" s="2088">
        <f t="shared" si="177"/>
        <v>27700</v>
      </c>
      <c r="DN90" s="2088">
        <f t="shared" si="177"/>
        <v>26000</v>
      </c>
      <c r="DO90" s="2088">
        <f t="shared" si="177"/>
        <v>27700</v>
      </c>
      <c r="DP90" s="2088">
        <f t="shared" si="177"/>
        <v>40900</v>
      </c>
      <c r="DQ90" s="2088"/>
      <c r="DR90" s="2088" t="e">
        <f t="shared" si="177"/>
        <v>#REF!</v>
      </c>
      <c r="DS90" s="2088">
        <f t="shared" si="177"/>
        <v>26000</v>
      </c>
      <c r="DT90" s="2088" t="e">
        <f t="shared" si="177"/>
        <v>#REF!</v>
      </c>
      <c r="DU90" s="2087"/>
      <c r="DV90" s="2087"/>
      <c r="DW90" s="2087"/>
      <c r="DX90" s="2087"/>
      <c r="DY90" s="2087"/>
      <c r="DZ90" s="2087"/>
      <c r="EA90" s="2087"/>
      <c r="EB90" s="2087"/>
      <c r="EC90" s="2087"/>
      <c r="ED90" s="2087"/>
      <c r="EE90" s="2087"/>
      <c r="EF90" s="2087"/>
      <c r="EG90" s="2087"/>
      <c r="EH90" s="2087"/>
      <c r="EI90" s="2087"/>
      <c r="EJ90" s="2087"/>
      <c r="EK90" s="2087"/>
      <c r="EL90" s="2087"/>
      <c r="EM90" s="2087"/>
      <c r="EN90" s="2087"/>
      <c r="EO90" s="2087"/>
      <c r="EP90" s="2087"/>
      <c r="EQ90" s="2087"/>
      <c r="ER90" s="2087"/>
      <c r="ES90" s="2087"/>
      <c r="ET90" s="2087"/>
      <c r="EU90" s="2087"/>
      <c r="EV90" s="2087"/>
      <c r="EW90" s="2087"/>
      <c r="EX90" s="2087"/>
      <c r="EY90" s="2087"/>
      <c r="EZ90" s="2087"/>
      <c r="FA90" s="2087"/>
      <c r="FB90" s="2087"/>
      <c r="FC90" s="2087"/>
      <c r="FD90" s="2087"/>
      <c r="FE90" s="2081"/>
      <c r="FF90" s="2082"/>
      <c r="FG90" s="2082"/>
      <c r="FH90" s="2082"/>
      <c r="FI90" s="2082"/>
      <c r="FJ90" s="2082"/>
      <c r="FK90" s="1565"/>
      <c r="FL90" s="1565"/>
      <c r="FM90" s="1565"/>
      <c r="FN90" s="1565"/>
      <c r="FO90" s="1565"/>
      <c r="FP90" s="1565"/>
      <c r="FQ90" s="1565"/>
      <c r="FR90" s="1565"/>
      <c r="FS90" s="1565"/>
      <c r="FT90" s="1565"/>
      <c r="FU90" s="1565"/>
      <c r="FV90" s="1565"/>
      <c r="FW90" s="1565"/>
      <c r="FX90" s="1565"/>
      <c r="FY90" s="1565"/>
      <c r="FZ90" s="1565"/>
      <c r="GA90" s="1565"/>
      <c r="GB90" s="1565"/>
      <c r="GC90" s="1565"/>
      <c r="GD90" s="1565"/>
      <c r="GE90" s="1565"/>
      <c r="GF90" s="1565"/>
      <c r="GG90" s="1565"/>
      <c r="GH90" s="1565"/>
      <c r="GI90" s="1565"/>
      <c r="GJ90" s="1565"/>
      <c r="GK90" s="1565"/>
      <c r="GL90" s="1565"/>
      <c r="GM90" s="1565"/>
      <c r="GN90" s="1565"/>
      <c r="GO90" s="1565"/>
      <c r="GP90" s="1565"/>
      <c r="GQ90" s="1565"/>
      <c r="GR90" s="1565"/>
      <c r="GS90" s="1565"/>
      <c r="GT90" s="1565"/>
      <c r="GU90" s="1565"/>
      <c r="GV90" s="1565"/>
      <c r="GW90" s="1565"/>
      <c r="GX90" s="1565"/>
      <c r="GY90" s="1565"/>
      <c r="GZ90" s="1565"/>
      <c r="HA90" s="1565"/>
      <c r="HB90" s="1565"/>
      <c r="HC90" s="1565"/>
      <c r="HD90" s="1565"/>
      <c r="HE90" s="1565"/>
      <c r="HF90" s="1565"/>
      <c r="HG90" s="1565"/>
      <c r="HH90" s="1565"/>
      <c r="HI90" s="1565"/>
      <c r="HJ90" s="1565"/>
      <c r="HK90" s="1565"/>
      <c r="HL90" s="1565"/>
      <c r="HM90" s="1565"/>
      <c r="HN90" s="1565"/>
      <c r="HO90" s="1565"/>
      <c r="HP90" s="1565"/>
      <c r="HQ90" s="1565"/>
      <c r="HR90" s="1565"/>
      <c r="HS90" s="1565"/>
      <c r="HT90" s="1565"/>
      <c r="HU90" s="1565"/>
      <c r="HV90" s="1565"/>
      <c r="HW90" s="1565"/>
      <c r="HX90" s="1565"/>
      <c r="HY90" s="1565"/>
      <c r="HZ90" s="1565"/>
      <c r="IA90" s="1565"/>
      <c r="IB90" s="1565"/>
      <c r="IC90" s="1565"/>
      <c r="ID90" s="1565"/>
      <c r="IE90" s="1565"/>
      <c r="IF90" s="1565"/>
      <c r="IG90" s="1565"/>
    </row>
    <row r="91" spans="1:241" s="1552" customFormat="1" ht="25.5" hidden="1" outlineLevel="2">
      <c r="A91" s="1552">
        <v>88</v>
      </c>
      <c r="B91" s="1567" t="s">
        <v>303</v>
      </c>
      <c r="C91" s="1567" t="s">
        <v>303</v>
      </c>
      <c r="D91" s="1569" t="s">
        <v>1780</v>
      </c>
      <c r="E91" s="1570" t="s">
        <v>1781</v>
      </c>
      <c r="F91" s="1571" t="s">
        <v>1788</v>
      </c>
      <c r="G91" s="1572"/>
      <c r="H91" s="2073"/>
      <c r="I91" s="2083"/>
      <c r="J91" s="2084"/>
      <c r="K91" s="2084"/>
      <c r="L91" s="2083"/>
      <c r="M91" s="2083"/>
      <c r="N91" s="2085"/>
      <c r="O91" s="2083"/>
      <c r="P91" s="2084"/>
      <c r="Q91" s="2086"/>
      <c r="R91" s="2086"/>
      <c r="S91" s="2086"/>
      <c r="T91" s="2086"/>
      <c r="U91" s="2086"/>
      <c r="V91" s="2086"/>
      <c r="W91" s="2086"/>
      <c r="X91" s="2086"/>
      <c r="Y91" s="2086"/>
      <c r="Z91" s="2086"/>
      <c r="AA91" s="2086"/>
      <c r="AB91" s="2086"/>
      <c r="AC91" s="2086"/>
      <c r="AD91" s="2086"/>
      <c r="AE91" s="2086"/>
      <c r="AF91" s="2086"/>
      <c r="AG91" s="2086"/>
      <c r="AH91" s="2086"/>
      <c r="AI91" s="2086"/>
      <c r="AJ91" s="2086"/>
      <c r="AK91" s="2086"/>
      <c r="AL91" s="2086"/>
      <c r="AM91" s="2086"/>
      <c r="AN91" s="2086"/>
      <c r="AO91" s="2086"/>
      <c r="AP91" s="2086"/>
      <c r="AQ91" s="2086"/>
      <c r="AR91" s="2086"/>
      <c r="AS91" s="2086"/>
      <c r="AT91" s="2086"/>
      <c r="AU91" s="2086"/>
      <c r="AV91" s="2086"/>
      <c r="AW91" s="2086"/>
      <c r="AX91" s="2086"/>
      <c r="AY91" s="2087"/>
      <c r="AZ91" s="2087"/>
      <c r="BA91" s="2087"/>
      <c r="BB91" s="2087"/>
      <c r="BC91" s="2087"/>
      <c r="BD91" s="2087"/>
      <c r="BE91" s="2087"/>
      <c r="BF91" s="2087"/>
      <c r="BG91" s="2087"/>
      <c r="BH91" s="2087"/>
      <c r="BI91" s="2087"/>
      <c r="BJ91" s="2087"/>
      <c r="BK91" s="2087"/>
      <c r="BL91" s="2087"/>
      <c r="BM91" s="2087"/>
      <c r="BN91" s="2087"/>
      <c r="BO91" s="2087"/>
      <c r="BP91" s="2087"/>
      <c r="BQ91" s="2087"/>
      <c r="BR91" s="2087"/>
      <c r="BS91" s="2087"/>
      <c r="BT91" s="2087"/>
      <c r="BU91" s="2087"/>
      <c r="BV91" s="2087"/>
      <c r="BW91" s="2087"/>
      <c r="BX91" s="2087"/>
      <c r="BY91" s="2087"/>
      <c r="BZ91" s="2087"/>
      <c r="CA91" s="2087"/>
      <c r="CB91" s="2087"/>
      <c r="CC91" s="2087"/>
      <c r="CD91" s="2087"/>
      <c r="CE91" s="2088"/>
      <c r="CF91" s="2088"/>
      <c r="CG91" s="2088"/>
      <c r="CH91" s="2088"/>
      <c r="CI91" s="2088"/>
      <c r="CJ91" s="2088"/>
      <c r="CK91" s="2088"/>
      <c r="CL91" s="2088"/>
      <c r="CM91" s="2088"/>
      <c r="CN91" s="2088"/>
      <c r="CO91" s="2087"/>
      <c r="CP91" s="2087"/>
      <c r="CQ91" s="2088"/>
      <c r="CR91" s="2088"/>
      <c r="CS91" s="2087"/>
      <c r="CT91" s="2088"/>
      <c r="CU91" s="2087"/>
      <c r="CV91" s="2088"/>
      <c r="CW91" s="2087"/>
      <c r="CX91" s="2088"/>
      <c r="CY91" s="2087"/>
      <c r="CZ91" s="2087"/>
      <c r="DA91" s="2087"/>
      <c r="DB91" s="2087"/>
      <c r="DC91" s="2087"/>
      <c r="DD91" s="2087"/>
      <c r="DE91" s="2087"/>
      <c r="DF91" s="2087"/>
      <c r="DG91" s="2087"/>
      <c r="DH91" s="2088">
        <f>DH80</f>
        <v>22200</v>
      </c>
      <c r="DI91" s="2088" t="e">
        <f t="shared" ref="DI91:DT91" si="178">DI80</f>
        <v>#REF!</v>
      </c>
      <c r="DJ91" s="2088" t="e">
        <f t="shared" si="178"/>
        <v>#REF!</v>
      </c>
      <c r="DK91" s="2088" t="e">
        <f t="shared" si="178"/>
        <v>#REF!</v>
      </c>
      <c r="DL91" s="2088">
        <f t="shared" si="178"/>
        <v>26000</v>
      </c>
      <c r="DM91" s="2088">
        <f t="shared" si="178"/>
        <v>27700</v>
      </c>
      <c r="DN91" s="2088">
        <f t="shared" si="178"/>
        <v>26000</v>
      </c>
      <c r="DO91" s="2088">
        <f t="shared" si="178"/>
        <v>27700</v>
      </c>
      <c r="DP91" s="2088">
        <f t="shared" si="178"/>
        <v>40900</v>
      </c>
      <c r="DQ91" s="2088"/>
      <c r="DR91" s="2088" t="e">
        <f t="shared" si="178"/>
        <v>#REF!</v>
      </c>
      <c r="DS91" s="2088">
        <f t="shared" si="178"/>
        <v>26000</v>
      </c>
      <c r="DT91" s="2088" t="e">
        <f t="shared" si="178"/>
        <v>#REF!</v>
      </c>
      <c r="DU91" s="2087"/>
      <c r="DV91" s="2087"/>
      <c r="DW91" s="2087"/>
      <c r="DX91" s="2087"/>
      <c r="DY91" s="2087"/>
      <c r="DZ91" s="2087"/>
      <c r="EA91" s="2087"/>
      <c r="EB91" s="2087"/>
      <c r="EC91" s="2087"/>
      <c r="ED91" s="2087"/>
      <c r="EE91" s="2087"/>
      <c r="EF91" s="2087"/>
      <c r="EG91" s="2087"/>
      <c r="EH91" s="2087"/>
      <c r="EI91" s="2087"/>
      <c r="EJ91" s="2087"/>
      <c r="EK91" s="2087"/>
      <c r="EL91" s="2087"/>
      <c r="EM91" s="2087"/>
      <c r="EN91" s="2087"/>
      <c r="EO91" s="2087"/>
      <c r="EP91" s="2087"/>
      <c r="EQ91" s="2087"/>
      <c r="ER91" s="2087"/>
      <c r="ES91" s="2087"/>
      <c r="ET91" s="2087"/>
      <c r="EU91" s="2087"/>
      <c r="EV91" s="2087"/>
      <c r="EW91" s="2087"/>
      <c r="EX91" s="2087"/>
      <c r="EY91" s="2087"/>
      <c r="EZ91" s="2087"/>
      <c r="FA91" s="2087"/>
      <c r="FB91" s="2087"/>
      <c r="FC91" s="2087"/>
      <c r="FD91" s="2087"/>
      <c r="FE91" s="2081"/>
      <c r="FF91" s="2082"/>
      <c r="FG91" s="2082"/>
      <c r="FH91" s="2082"/>
      <c r="FI91" s="2082"/>
      <c r="FJ91" s="2082"/>
      <c r="FK91" s="1565"/>
      <c r="FL91" s="1565"/>
      <c r="FM91" s="1565"/>
      <c r="FN91" s="1565"/>
      <c r="FO91" s="1565"/>
      <c r="FP91" s="1565"/>
      <c r="FQ91" s="1565"/>
      <c r="FR91" s="1565"/>
      <c r="FS91" s="1565"/>
      <c r="FT91" s="1565"/>
      <c r="FU91" s="1565"/>
      <c r="FV91" s="1565"/>
      <c r="FW91" s="1565"/>
      <c r="FX91" s="1565"/>
      <c r="FY91" s="1565"/>
      <c r="FZ91" s="1565"/>
      <c r="GA91" s="1565"/>
      <c r="GB91" s="1565"/>
      <c r="GC91" s="1565"/>
      <c r="GD91" s="1565"/>
      <c r="GE91" s="1565"/>
      <c r="GF91" s="1565"/>
      <c r="GG91" s="1565"/>
      <c r="GH91" s="1565"/>
      <c r="GI91" s="1565"/>
      <c r="GJ91" s="1565"/>
      <c r="GK91" s="1565"/>
      <c r="GL91" s="1565"/>
      <c r="GM91" s="1565"/>
      <c r="GN91" s="1565"/>
      <c r="GO91" s="1565"/>
      <c r="GP91" s="1565"/>
      <c r="GQ91" s="1565"/>
      <c r="GR91" s="1565"/>
      <c r="GS91" s="1565"/>
      <c r="GT91" s="1565"/>
      <c r="GU91" s="1565"/>
      <c r="GV91" s="1565"/>
      <c r="GW91" s="1565"/>
      <c r="GX91" s="1565"/>
      <c r="GY91" s="1565"/>
      <c r="GZ91" s="1565"/>
      <c r="HA91" s="1565"/>
      <c r="HB91" s="1565"/>
      <c r="HC91" s="1565"/>
      <c r="HD91" s="1565"/>
      <c r="HE91" s="1565"/>
      <c r="HF91" s="1565"/>
      <c r="HG91" s="1565"/>
      <c r="HH91" s="1565"/>
      <c r="HI91" s="1565"/>
      <c r="HJ91" s="1565"/>
      <c r="HK91" s="1565"/>
      <c r="HL91" s="1565"/>
      <c r="HM91" s="1565"/>
      <c r="HN91" s="1565"/>
      <c r="HO91" s="1565"/>
      <c r="HP91" s="1565"/>
      <c r="HQ91" s="1565"/>
      <c r="HR91" s="1565"/>
      <c r="HS91" s="1565"/>
      <c r="HT91" s="1565"/>
      <c r="HU91" s="1565"/>
      <c r="HV91" s="1565"/>
      <c r="HW91" s="1565"/>
      <c r="HX91" s="1565"/>
      <c r="HY91" s="1565"/>
      <c r="HZ91" s="1565"/>
      <c r="IA91" s="1565"/>
      <c r="IB91" s="1565"/>
      <c r="IC91" s="1565"/>
      <c r="ID91" s="1565"/>
      <c r="IE91" s="1565"/>
      <c r="IF91" s="1565"/>
      <c r="IG91" s="1565"/>
    </row>
    <row r="92" spans="1:241" s="1552" customFormat="1" ht="25.5" hidden="1" outlineLevel="1" collapsed="1">
      <c r="A92" s="1549">
        <v>89</v>
      </c>
      <c r="B92" s="1573" t="s">
        <v>303</v>
      </c>
      <c r="C92" s="1574" t="s">
        <v>1973</v>
      </c>
      <c r="D92" s="1574" t="s">
        <v>1789</v>
      </c>
      <c r="E92" s="1575" t="s">
        <v>1781</v>
      </c>
      <c r="F92" s="1576" t="s">
        <v>1790</v>
      </c>
      <c r="G92" s="1577"/>
      <c r="H92" s="2089"/>
      <c r="I92" s="2090"/>
      <c r="J92" s="2091"/>
      <c r="K92" s="2091"/>
      <c r="L92" s="2090"/>
      <c r="M92" s="2090"/>
      <c r="N92" s="2092"/>
      <c r="O92" s="2090"/>
      <c r="P92" s="2091"/>
      <c r="Q92" s="2093"/>
      <c r="R92" s="2093"/>
      <c r="S92" s="2093"/>
      <c r="T92" s="2093"/>
      <c r="U92" s="2093"/>
      <c r="V92" s="2093"/>
      <c r="W92" s="2093"/>
      <c r="X92" s="2093"/>
      <c r="Y92" s="2093"/>
      <c r="Z92" s="2093"/>
      <c r="AA92" s="2093"/>
      <c r="AB92" s="2093"/>
      <c r="AC92" s="2093"/>
      <c r="AD92" s="2093"/>
      <c r="AE92" s="2093"/>
      <c r="AF92" s="2093"/>
      <c r="AG92" s="2093"/>
      <c r="AH92" s="2093"/>
      <c r="AI92" s="2093"/>
      <c r="AJ92" s="2093"/>
      <c r="AK92" s="2093"/>
      <c r="AL92" s="2093"/>
      <c r="AM92" s="2093"/>
      <c r="AN92" s="2093"/>
      <c r="AO92" s="2093"/>
      <c r="AP92" s="2093"/>
      <c r="AQ92" s="2093"/>
      <c r="AR92" s="2093"/>
      <c r="AS92" s="2093"/>
      <c r="AT92" s="2093"/>
      <c r="AU92" s="2093"/>
      <c r="AV92" s="2093"/>
      <c r="AW92" s="2093"/>
      <c r="AX92" s="2093"/>
      <c r="AY92" s="2094"/>
      <c r="AZ92" s="2094"/>
      <c r="BA92" s="2094"/>
      <c r="BB92" s="2094"/>
      <c r="BC92" s="2094"/>
      <c r="BD92" s="2094"/>
      <c r="BE92" s="2094"/>
      <c r="BF92" s="2094"/>
      <c r="BG92" s="2094"/>
      <c r="BH92" s="2094"/>
      <c r="BI92" s="2094"/>
      <c r="BJ92" s="2094"/>
      <c r="BK92" s="2094"/>
      <c r="BL92" s="2094"/>
      <c r="BM92" s="2094"/>
      <c r="BN92" s="2094"/>
      <c r="BO92" s="2094"/>
      <c r="BP92" s="2094"/>
      <c r="BQ92" s="2094"/>
      <c r="BR92" s="2094"/>
      <c r="BS92" s="2094"/>
      <c r="BT92" s="2094"/>
      <c r="BU92" s="2094"/>
      <c r="BV92" s="2094"/>
      <c r="BW92" s="2094"/>
      <c r="BX92" s="2094"/>
      <c r="BY92" s="2094"/>
      <c r="BZ92" s="2094"/>
      <c r="CA92" s="2094"/>
      <c r="CB92" s="2094"/>
      <c r="CC92" s="2094"/>
      <c r="CD92" s="2094"/>
      <c r="CE92" s="2095"/>
      <c r="CF92" s="2095"/>
      <c r="CG92" s="2095"/>
      <c r="CH92" s="2095"/>
      <c r="CI92" s="2095"/>
      <c r="CJ92" s="2095"/>
      <c r="CK92" s="2095"/>
      <c r="CL92" s="2095"/>
      <c r="CM92" s="2095"/>
      <c r="CN92" s="2095"/>
      <c r="CO92" s="2094"/>
      <c r="CP92" s="2094"/>
      <c r="CQ92" s="2095"/>
      <c r="CR92" s="2095"/>
      <c r="CS92" s="2094"/>
      <c r="CT92" s="2095"/>
      <c r="CU92" s="2094"/>
      <c r="CV92" s="2095"/>
      <c r="CW92" s="2094"/>
      <c r="CX92" s="2095"/>
      <c r="CY92" s="2094"/>
      <c r="CZ92" s="2094"/>
      <c r="DA92" s="2094"/>
      <c r="DB92" s="2094"/>
      <c r="DC92" s="2094"/>
      <c r="DD92" s="2094"/>
      <c r="DE92" s="2094"/>
      <c r="DF92" s="2094"/>
      <c r="DG92" s="2094"/>
      <c r="DH92" s="2096" t="e">
        <f>Techno_Porte!#REF!</f>
        <v>#REF!</v>
      </c>
      <c r="DI92" s="2096" t="e">
        <f>Techno_Porte!#REF!</f>
        <v>#REF!</v>
      </c>
      <c r="DJ92" s="2096" t="e">
        <f>Techno_Porte!#REF!</f>
        <v>#REF!</v>
      </c>
      <c r="DK92" s="2096" t="e">
        <f>Techno_Porte!#REF!</f>
        <v>#REF!</v>
      </c>
      <c r="DL92" s="2096">
        <f>Techno_Vetro!G16</f>
        <v>26000</v>
      </c>
      <c r="DM92" s="2096">
        <f>Techno_Vetro!H16</f>
        <v>27700</v>
      </c>
      <c r="DN92" s="2096">
        <f>Techno_Vetro!I16</f>
        <v>26000</v>
      </c>
      <c r="DO92" s="2096">
        <f>Techno_Vetro!J16</f>
        <v>27700</v>
      </c>
      <c r="DP92" s="2096">
        <f>Techno_Vetro!L16</f>
        <v>40900</v>
      </c>
      <c r="DQ92" s="2096"/>
      <c r="DR92" s="2096" t="e">
        <f>Techno_Vetro!#REF!</f>
        <v>#REF!</v>
      </c>
      <c r="DS92" s="2096">
        <f>Techno_Vetro!K16</f>
        <v>26000</v>
      </c>
      <c r="DT92" s="2096" t="e">
        <f>Techno_Vetro!#REF!</f>
        <v>#REF!</v>
      </c>
      <c r="DU92" s="2094"/>
      <c r="DV92" s="2094"/>
      <c r="DW92" s="2094"/>
      <c r="DX92" s="2094"/>
      <c r="DY92" s="2094"/>
      <c r="DZ92" s="2094"/>
      <c r="EA92" s="2094"/>
      <c r="EB92" s="2094"/>
      <c r="EC92" s="2094"/>
      <c r="ED92" s="2094"/>
      <c r="EE92" s="2094"/>
      <c r="EF92" s="2094"/>
      <c r="EG92" s="2094"/>
      <c r="EH92" s="2094"/>
      <c r="EI92" s="2094"/>
      <c r="EJ92" s="2094"/>
      <c r="EK92" s="2094"/>
      <c r="EL92" s="2094"/>
      <c r="EM92" s="2094"/>
      <c r="EN92" s="2094"/>
      <c r="EO92" s="2094"/>
      <c r="EP92" s="2094"/>
      <c r="EQ92" s="2094"/>
      <c r="ER92" s="2094"/>
      <c r="ES92" s="2094"/>
      <c r="ET92" s="2094"/>
      <c r="EU92" s="2094"/>
      <c r="EV92" s="2094"/>
      <c r="EW92" s="2094"/>
      <c r="EX92" s="2094"/>
      <c r="EY92" s="2094"/>
      <c r="EZ92" s="2094"/>
      <c r="FA92" s="2094"/>
      <c r="FB92" s="2094"/>
      <c r="FC92" s="2094"/>
      <c r="FD92" s="2094"/>
      <c r="FE92" s="2097"/>
      <c r="FF92" s="2082"/>
      <c r="FG92" s="2082"/>
      <c r="FH92" s="2082"/>
      <c r="FI92" s="2082"/>
      <c r="FJ92" s="2082"/>
      <c r="FK92" s="1565"/>
      <c r="FL92" s="1565"/>
      <c r="FM92" s="1565"/>
      <c r="FN92" s="1565"/>
      <c r="FO92" s="1565"/>
      <c r="FP92" s="1565"/>
      <c r="FQ92" s="1565"/>
      <c r="FR92" s="1565"/>
      <c r="FS92" s="1565"/>
      <c r="FT92" s="1565"/>
      <c r="FU92" s="1565"/>
      <c r="FV92" s="1565"/>
      <c r="FW92" s="1565"/>
      <c r="FX92" s="1565"/>
      <c r="FY92" s="1565"/>
      <c r="FZ92" s="1565"/>
      <c r="GA92" s="1565"/>
      <c r="GB92" s="1565"/>
      <c r="GC92" s="1565"/>
      <c r="GD92" s="1565"/>
      <c r="GE92" s="1565"/>
      <c r="GF92" s="1565"/>
      <c r="GG92" s="1565"/>
      <c r="GH92" s="1565"/>
      <c r="GI92" s="1565"/>
      <c r="GJ92" s="1565"/>
      <c r="GK92" s="1565"/>
      <c r="GL92" s="1565"/>
      <c r="GM92" s="1565"/>
      <c r="GN92" s="1565"/>
      <c r="GO92" s="1565"/>
      <c r="GP92" s="1565"/>
      <c r="GQ92" s="1565"/>
      <c r="GR92" s="1565"/>
      <c r="GS92" s="1565"/>
      <c r="GT92" s="1565"/>
      <c r="GU92" s="1565"/>
      <c r="GV92" s="1565"/>
      <c r="GW92" s="1565"/>
      <c r="GX92" s="1565"/>
      <c r="GY92" s="1565"/>
      <c r="GZ92" s="1565"/>
      <c r="HA92" s="1565"/>
      <c r="HB92" s="1565"/>
      <c r="HC92" s="1565"/>
      <c r="HD92" s="1565"/>
      <c r="HE92" s="1565"/>
      <c r="HF92" s="1565"/>
      <c r="HG92" s="1565"/>
      <c r="HH92" s="1565"/>
      <c r="HI92" s="1565"/>
      <c r="HJ92" s="1565"/>
      <c r="HK92" s="1565"/>
      <c r="HL92" s="1565"/>
      <c r="HM92" s="1565"/>
      <c r="HN92" s="1565"/>
      <c r="HO92" s="1565"/>
      <c r="HP92" s="1565"/>
      <c r="HQ92" s="1565"/>
      <c r="HR92" s="1565"/>
      <c r="HS92" s="1565"/>
      <c r="HT92" s="1565"/>
      <c r="HU92" s="1565"/>
      <c r="HV92" s="1565"/>
      <c r="HW92" s="1565"/>
      <c r="HX92" s="1565"/>
      <c r="HY92" s="1565"/>
      <c r="HZ92" s="1565"/>
      <c r="IA92" s="1565"/>
      <c r="IB92" s="1565"/>
      <c r="IC92" s="1565"/>
      <c r="ID92" s="1565"/>
      <c r="IE92" s="1565"/>
      <c r="IF92" s="1565"/>
      <c r="IG92" s="1565"/>
    </row>
    <row r="93" spans="1:241" s="1552" customFormat="1" ht="36" hidden="1" outlineLevel="2">
      <c r="A93" s="1552">
        <v>90</v>
      </c>
      <c r="B93" s="1573" t="s">
        <v>303</v>
      </c>
      <c r="C93" s="1574" t="s">
        <v>1974</v>
      </c>
      <c r="D93" s="1576" t="s">
        <v>1789</v>
      </c>
      <c r="E93" s="1575" t="s">
        <v>1781</v>
      </c>
      <c r="F93" s="1576" t="s">
        <v>1791</v>
      </c>
      <c r="G93" s="1577"/>
      <c r="H93" s="2089"/>
      <c r="I93" s="2090"/>
      <c r="J93" s="2091"/>
      <c r="K93" s="2091"/>
      <c r="L93" s="2090"/>
      <c r="M93" s="2090"/>
      <c r="N93" s="2092"/>
      <c r="O93" s="2090"/>
      <c r="P93" s="2091"/>
      <c r="Q93" s="2093"/>
      <c r="R93" s="2093"/>
      <c r="S93" s="2093"/>
      <c r="T93" s="2093"/>
      <c r="U93" s="2093"/>
      <c r="V93" s="2093"/>
      <c r="W93" s="2093"/>
      <c r="X93" s="2093"/>
      <c r="Y93" s="2093"/>
      <c r="Z93" s="2093"/>
      <c r="AA93" s="2093"/>
      <c r="AB93" s="2093"/>
      <c r="AC93" s="2093"/>
      <c r="AD93" s="2093"/>
      <c r="AE93" s="2093"/>
      <c r="AF93" s="2093"/>
      <c r="AG93" s="2093"/>
      <c r="AH93" s="2093"/>
      <c r="AI93" s="2093"/>
      <c r="AJ93" s="2093"/>
      <c r="AK93" s="2093"/>
      <c r="AL93" s="2093"/>
      <c r="AM93" s="2093"/>
      <c r="AN93" s="2093"/>
      <c r="AO93" s="2093"/>
      <c r="AP93" s="2093"/>
      <c r="AQ93" s="2093"/>
      <c r="AR93" s="2093"/>
      <c r="AS93" s="2093"/>
      <c r="AT93" s="2093"/>
      <c r="AU93" s="2093"/>
      <c r="AV93" s="2093"/>
      <c r="AW93" s="2093"/>
      <c r="AX93" s="2093"/>
      <c r="AY93" s="2094"/>
      <c r="AZ93" s="2094"/>
      <c r="BA93" s="2094"/>
      <c r="BB93" s="2094"/>
      <c r="BC93" s="2094"/>
      <c r="BD93" s="2094"/>
      <c r="BE93" s="2094"/>
      <c r="BF93" s="2094"/>
      <c r="BG93" s="2094"/>
      <c r="BH93" s="2094"/>
      <c r="BI93" s="2094"/>
      <c r="BJ93" s="2094"/>
      <c r="BK93" s="2094"/>
      <c r="BL93" s="2094"/>
      <c r="BM93" s="2094"/>
      <c r="BN93" s="2094"/>
      <c r="BO93" s="2094"/>
      <c r="BP93" s="2094"/>
      <c r="BQ93" s="2094"/>
      <c r="BR93" s="2094"/>
      <c r="BS93" s="2094"/>
      <c r="BT93" s="2094"/>
      <c r="BU93" s="2094"/>
      <c r="BV93" s="2094"/>
      <c r="BW93" s="2094"/>
      <c r="BX93" s="2094"/>
      <c r="BY93" s="2094"/>
      <c r="BZ93" s="2094"/>
      <c r="CA93" s="2094"/>
      <c r="CB93" s="2094"/>
      <c r="CC93" s="2094"/>
      <c r="CD93" s="2094"/>
      <c r="CE93" s="2095"/>
      <c r="CF93" s="2095"/>
      <c r="CG93" s="2095"/>
      <c r="CH93" s="2095"/>
      <c r="CI93" s="2095"/>
      <c r="CJ93" s="2095"/>
      <c r="CK93" s="2095"/>
      <c r="CL93" s="2095"/>
      <c r="CM93" s="2095"/>
      <c r="CN93" s="2095"/>
      <c r="CO93" s="2094"/>
      <c r="CP93" s="2094"/>
      <c r="CQ93" s="2095"/>
      <c r="CR93" s="2095"/>
      <c r="CS93" s="2094"/>
      <c r="CT93" s="2095"/>
      <c r="CU93" s="2094"/>
      <c r="CV93" s="2095"/>
      <c r="CW93" s="2094"/>
      <c r="CX93" s="2095"/>
      <c r="CY93" s="2094"/>
      <c r="CZ93" s="2094"/>
      <c r="DA93" s="2094"/>
      <c r="DB93" s="2094"/>
      <c r="DC93" s="2094"/>
      <c r="DD93" s="2094"/>
      <c r="DE93" s="2094"/>
      <c r="DF93" s="2094"/>
      <c r="DG93" s="2094"/>
      <c r="DH93" s="2095" t="e">
        <f>DH92</f>
        <v>#REF!</v>
      </c>
      <c r="DI93" s="2095" t="e">
        <f t="shared" ref="DI93:DT93" si="179">DI92</f>
        <v>#REF!</v>
      </c>
      <c r="DJ93" s="2095" t="e">
        <f t="shared" si="179"/>
        <v>#REF!</v>
      </c>
      <c r="DK93" s="2095" t="e">
        <f t="shared" si="179"/>
        <v>#REF!</v>
      </c>
      <c r="DL93" s="2095">
        <f t="shared" si="179"/>
        <v>26000</v>
      </c>
      <c r="DM93" s="2095">
        <f t="shared" si="179"/>
        <v>27700</v>
      </c>
      <c r="DN93" s="2095">
        <f t="shared" si="179"/>
        <v>26000</v>
      </c>
      <c r="DO93" s="2095">
        <f t="shared" si="179"/>
        <v>27700</v>
      </c>
      <c r="DP93" s="2095">
        <f t="shared" si="179"/>
        <v>40900</v>
      </c>
      <c r="DQ93" s="2095"/>
      <c r="DR93" s="2095" t="e">
        <f t="shared" si="179"/>
        <v>#REF!</v>
      </c>
      <c r="DS93" s="2095">
        <f t="shared" si="179"/>
        <v>26000</v>
      </c>
      <c r="DT93" s="2095" t="e">
        <f t="shared" si="179"/>
        <v>#REF!</v>
      </c>
      <c r="DU93" s="2094"/>
      <c r="DV93" s="2094"/>
      <c r="DW93" s="2094"/>
      <c r="DX93" s="2094"/>
      <c r="DY93" s="2094"/>
      <c r="DZ93" s="2094"/>
      <c r="EA93" s="2094"/>
      <c r="EB93" s="2094"/>
      <c r="EC93" s="2094"/>
      <c r="ED93" s="2094"/>
      <c r="EE93" s="2094"/>
      <c r="EF93" s="2094"/>
      <c r="EG93" s="2094"/>
      <c r="EH93" s="2094"/>
      <c r="EI93" s="2094"/>
      <c r="EJ93" s="2094"/>
      <c r="EK93" s="2094"/>
      <c r="EL93" s="2094"/>
      <c r="EM93" s="2094"/>
      <c r="EN93" s="2094"/>
      <c r="EO93" s="2094"/>
      <c r="EP93" s="2094"/>
      <c r="EQ93" s="2094"/>
      <c r="ER93" s="2094"/>
      <c r="ES93" s="2094"/>
      <c r="ET93" s="2094"/>
      <c r="EU93" s="2094"/>
      <c r="EV93" s="2094"/>
      <c r="EW93" s="2094"/>
      <c r="EX93" s="2094"/>
      <c r="EY93" s="2094"/>
      <c r="EZ93" s="2094"/>
      <c r="FA93" s="2094"/>
      <c r="FB93" s="2094"/>
      <c r="FC93" s="2094"/>
      <c r="FD93" s="2094"/>
      <c r="FE93" s="2097"/>
      <c r="FF93" s="2082"/>
      <c r="FG93" s="2082"/>
      <c r="FH93" s="2082"/>
      <c r="FI93" s="2082"/>
      <c r="FJ93" s="2082"/>
      <c r="FK93" s="1565"/>
      <c r="FL93" s="1565"/>
      <c r="FM93" s="1565"/>
      <c r="FN93" s="1565"/>
      <c r="FO93" s="1565"/>
      <c r="FP93" s="1565"/>
      <c r="FQ93" s="1565"/>
      <c r="FR93" s="1565"/>
      <c r="FS93" s="1565"/>
      <c r="FT93" s="1565"/>
      <c r="FU93" s="1565"/>
      <c r="FV93" s="1565"/>
      <c r="FW93" s="1565"/>
      <c r="FX93" s="1565"/>
      <c r="FY93" s="1565"/>
      <c r="FZ93" s="1565"/>
      <c r="GA93" s="1565"/>
      <c r="GB93" s="1565"/>
      <c r="GC93" s="1565"/>
      <c r="GD93" s="1565"/>
      <c r="GE93" s="1565"/>
      <c r="GF93" s="1565"/>
      <c r="GG93" s="1565"/>
      <c r="GH93" s="1565"/>
      <c r="GI93" s="1565"/>
      <c r="GJ93" s="1565"/>
      <c r="GK93" s="1565"/>
      <c r="GL93" s="1565"/>
      <c r="GM93" s="1565"/>
      <c r="GN93" s="1565"/>
      <c r="GO93" s="1565"/>
      <c r="GP93" s="1565"/>
      <c r="GQ93" s="1565"/>
      <c r="GR93" s="1565"/>
      <c r="GS93" s="1565"/>
      <c r="GT93" s="1565"/>
      <c r="GU93" s="1565"/>
      <c r="GV93" s="1565"/>
      <c r="GW93" s="1565"/>
      <c r="GX93" s="1565"/>
      <c r="GY93" s="1565"/>
      <c r="GZ93" s="1565"/>
      <c r="HA93" s="1565"/>
      <c r="HB93" s="1565"/>
      <c r="HC93" s="1565"/>
      <c r="HD93" s="1565"/>
      <c r="HE93" s="1565"/>
      <c r="HF93" s="1565"/>
      <c r="HG93" s="1565"/>
      <c r="HH93" s="1565"/>
      <c r="HI93" s="1565"/>
      <c r="HJ93" s="1565"/>
      <c r="HK93" s="1565"/>
      <c r="HL93" s="1565"/>
      <c r="HM93" s="1565"/>
      <c r="HN93" s="1565"/>
      <c r="HO93" s="1565"/>
      <c r="HP93" s="1565"/>
      <c r="HQ93" s="1565"/>
      <c r="HR93" s="1565"/>
      <c r="HS93" s="1565"/>
      <c r="HT93" s="1565"/>
      <c r="HU93" s="1565"/>
      <c r="HV93" s="1565"/>
      <c r="HW93" s="1565"/>
      <c r="HX93" s="1565"/>
      <c r="HY93" s="1565"/>
      <c r="HZ93" s="1565"/>
      <c r="IA93" s="1565"/>
      <c r="IB93" s="1565"/>
      <c r="IC93" s="1565"/>
      <c r="ID93" s="1565"/>
      <c r="IE93" s="1565"/>
      <c r="IF93" s="1565"/>
      <c r="IG93" s="1565"/>
    </row>
    <row r="94" spans="1:241" s="1552" customFormat="1" ht="36" hidden="1" outlineLevel="2">
      <c r="A94" s="1549">
        <v>91</v>
      </c>
      <c r="B94" s="1573" t="s">
        <v>303</v>
      </c>
      <c r="C94" s="1574" t="s">
        <v>1974</v>
      </c>
      <c r="D94" s="1576" t="s">
        <v>1789</v>
      </c>
      <c r="E94" s="1575" t="s">
        <v>1781</v>
      </c>
      <c r="F94" s="1576" t="s">
        <v>1792</v>
      </c>
      <c r="G94" s="1577"/>
      <c r="H94" s="2089"/>
      <c r="I94" s="2090"/>
      <c r="J94" s="2091"/>
      <c r="K94" s="2091"/>
      <c r="L94" s="2090"/>
      <c r="M94" s="2090"/>
      <c r="N94" s="2092"/>
      <c r="O94" s="2090"/>
      <c r="P94" s="2091"/>
      <c r="Q94" s="2093"/>
      <c r="R94" s="2093"/>
      <c r="S94" s="2093"/>
      <c r="T94" s="2093"/>
      <c r="U94" s="2093"/>
      <c r="V94" s="2093"/>
      <c r="W94" s="2093"/>
      <c r="X94" s="2093"/>
      <c r="Y94" s="2093"/>
      <c r="Z94" s="2093"/>
      <c r="AA94" s="2093"/>
      <c r="AB94" s="2093"/>
      <c r="AC94" s="2093"/>
      <c r="AD94" s="2093"/>
      <c r="AE94" s="2093"/>
      <c r="AF94" s="2093"/>
      <c r="AG94" s="2093"/>
      <c r="AH94" s="2093"/>
      <c r="AI94" s="2093"/>
      <c r="AJ94" s="2093"/>
      <c r="AK94" s="2093"/>
      <c r="AL94" s="2093"/>
      <c r="AM94" s="2093"/>
      <c r="AN94" s="2093"/>
      <c r="AO94" s="2093"/>
      <c r="AP94" s="2093"/>
      <c r="AQ94" s="2093"/>
      <c r="AR94" s="2093"/>
      <c r="AS94" s="2093"/>
      <c r="AT94" s="2093"/>
      <c r="AU94" s="2093"/>
      <c r="AV94" s="2093"/>
      <c r="AW94" s="2093"/>
      <c r="AX94" s="2093"/>
      <c r="AY94" s="2094"/>
      <c r="AZ94" s="2094"/>
      <c r="BA94" s="2094"/>
      <c r="BB94" s="2094"/>
      <c r="BC94" s="2094"/>
      <c r="BD94" s="2094"/>
      <c r="BE94" s="2094"/>
      <c r="BF94" s="2094"/>
      <c r="BG94" s="2094"/>
      <c r="BH94" s="2094"/>
      <c r="BI94" s="2094"/>
      <c r="BJ94" s="2094"/>
      <c r="BK94" s="2094"/>
      <c r="BL94" s="2094"/>
      <c r="BM94" s="2094"/>
      <c r="BN94" s="2094"/>
      <c r="BO94" s="2094"/>
      <c r="BP94" s="2094"/>
      <c r="BQ94" s="2094"/>
      <c r="BR94" s="2094"/>
      <c r="BS94" s="2094"/>
      <c r="BT94" s="2094"/>
      <c r="BU94" s="2094"/>
      <c r="BV94" s="2094"/>
      <c r="BW94" s="2094"/>
      <c r="BX94" s="2094"/>
      <c r="BY94" s="2094"/>
      <c r="BZ94" s="2094"/>
      <c r="CA94" s="2094"/>
      <c r="CB94" s="2094"/>
      <c r="CC94" s="2094"/>
      <c r="CD94" s="2094"/>
      <c r="CE94" s="2095"/>
      <c r="CF94" s="2095"/>
      <c r="CG94" s="2095"/>
      <c r="CH94" s="2095"/>
      <c r="CI94" s="2095"/>
      <c r="CJ94" s="2095"/>
      <c r="CK94" s="2095"/>
      <c r="CL94" s="2095"/>
      <c r="CM94" s="2095"/>
      <c r="CN94" s="2095"/>
      <c r="CO94" s="2094"/>
      <c r="CP94" s="2094"/>
      <c r="CQ94" s="2095"/>
      <c r="CR94" s="2095"/>
      <c r="CS94" s="2094"/>
      <c r="CT94" s="2095"/>
      <c r="CU94" s="2094"/>
      <c r="CV94" s="2095"/>
      <c r="CW94" s="2094"/>
      <c r="CX94" s="2095"/>
      <c r="CY94" s="2094"/>
      <c r="CZ94" s="2094"/>
      <c r="DA94" s="2094"/>
      <c r="DB94" s="2094"/>
      <c r="DC94" s="2094"/>
      <c r="DD94" s="2094"/>
      <c r="DE94" s="2094"/>
      <c r="DF94" s="2094"/>
      <c r="DG94" s="2094"/>
      <c r="DH94" s="2095" t="e">
        <f>DH92</f>
        <v>#REF!</v>
      </c>
      <c r="DI94" s="2095" t="e">
        <f t="shared" ref="DI94:DT94" si="180">DI92</f>
        <v>#REF!</v>
      </c>
      <c r="DJ94" s="2095" t="e">
        <f t="shared" si="180"/>
        <v>#REF!</v>
      </c>
      <c r="DK94" s="2095" t="e">
        <f t="shared" si="180"/>
        <v>#REF!</v>
      </c>
      <c r="DL94" s="2095">
        <f t="shared" si="180"/>
        <v>26000</v>
      </c>
      <c r="DM94" s="2095">
        <f t="shared" si="180"/>
        <v>27700</v>
      </c>
      <c r="DN94" s="2095">
        <f t="shared" si="180"/>
        <v>26000</v>
      </c>
      <c r="DO94" s="2095">
        <f t="shared" si="180"/>
        <v>27700</v>
      </c>
      <c r="DP94" s="2095">
        <f t="shared" si="180"/>
        <v>40900</v>
      </c>
      <c r="DQ94" s="2095"/>
      <c r="DR94" s="2095" t="e">
        <f t="shared" si="180"/>
        <v>#REF!</v>
      </c>
      <c r="DS94" s="2095">
        <f t="shared" si="180"/>
        <v>26000</v>
      </c>
      <c r="DT94" s="2095" t="e">
        <f t="shared" si="180"/>
        <v>#REF!</v>
      </c>
      <c r="DU94" s="2094"/>
      <c r="DV94" s="2094"/>
      <c r="DW94" s="2094"/>
      <c r="DX94" s="2094"/>
      <c r="DY94" s="2094"/>
      <c r="DZ94" s="2094"/>
      <c r="EA94" s="2094"/>
      <c r="EB94" s="2094"/>
      <c r="EC94" s="2094"/>
      <c r="ED94" s="2094"/>
      <c r="EE94" s="2094"/>
      <c r="EF94" s="2094"/>
      <c r="EG94" s="2094"/>
      <c r="EH94" s="2094"/>
      <c r="EI94" s="2094"/>
      <c r="EJ94" s="2094"/>
      <c r="EK94" s="2094"/>
      <c r="EL94" s="2094"/>
      <c r="EM94" s="2094"/>
      <c r="EN94" s="2094"/>
      <c r="EO94" s="2094"/>
      <c r="EP94" s="2094"/>
      <c r="EQ94" s="2094"/>
      <c r="ER94" s="2094"/>
      <c r="ES94" s="2094"/>
      <c r="ET94" s="2094"/>
      <c r="EU94" s="2094"/>
      <c r="EV94" s="2094"/>
      <c r="EW94" s="2094"/>
      <c r="EX94" s="2094"/>
      <c r="EY94" s="2094"/>
      <c r="EZ94" s="2094"/>
      <c r="FA94" s="2094"/>
      <c r="FB94" s="2094"/>
      <c r="FC94" s="2094"/>
      <c r="FD94" s="2094"/>
      <c r="FE94" s="2097"/>
      <c r="FF94" s="2082"/>
      <c r="FG94" s="2082"/>
      <c r="FH94" s="2082"/>
      <c r="FI94" s="2082"/>
      <c r="FJ94" s="2082"/>
      <c r="FK94" s="1565"/>
      <c r="FL94" s="1565"/>
      <c r="FM94" s="1565"/>
      <c r="FN94" s="1565"/>
      <c r="FO94" s="1565"/>
      <c r="FP94" s="1565"/>
      <c r="FQ94" s="1565"/>
      <c r="FR94" s="1565"/>
      <c r="FS94" s="1565"/>
      <c r="FT94" s="1565"/>
      <c r="FU94" s="1565"/>
      <c r="FV94" s="1565"/>
      <c r="FW94" s="1565"/>
      <c r="FX94" s="1565"/>
      <c r="FY94" s="1565"/>
      <c r="FZ94" s="1565"/>
      <c r="GA94" s="1565"/>
      <c r="GB94" s="1565"/>
      <c r="GC94" s="1565"/>
      <c r="GD94" s="1565"/>
      <c r="GE94" s="1565"/>
      <c r="GF94" s="1565"/>
      <c r="GG94" s="1565"/>
      <c r="GH94" s="1565"/>
      <c r="GI94" s="1565"/>
      <c r="GJ94" s="1565"/>
      <c r="GK94" s="1565"/>
      <c r="GL94" s="1565"/>
      <c r="GM94" s="1565"/>
      <c r="GN94" s="1565"/>
      <c r="GO94" s="1565"/>
      <c r="GP94" s="1565"/>
      <c r="GQ94" s="1565"/>
      <c r="GR94" s="1565"/>
      <c r="GS94" s="1565"/>
      <c r="GT94" s="1565"/>
      <c r="GU94" s="1565"/>
      <c r="GV94" s="1565"/>
      <c r="GW94" s="1565"/>
      <c r="GX94" s="1565"/>
      <c r="GY94" s="1565"/>
      <c r="GZ94" s="1565"/>
      <c r="HA94" s="1565"/>
      <c r="HB94" s="1565"/>
      <c r="HC94" s="1565"/>
      <c r="HD94" s="1565"/>
      <c r="HE94" s="1565"/>
      <c r="HF94" s="1565"/>
      <c r="HG94" s="1565"/>
      <c r="HH94" s="1565"/>
      <c r="HI94" s="1565"/>
      <c r="HJ94" s="1565"/>
      <c r="HK94" s="1565"/>
      <c r="HL94" s="1565"/>
      <c r="HM94" s="1565"/>
      <c r="HN94" s="1565"/>
      <c r="HO94" s="1565"/>
      <c r="HP94" s="1565"/>
      <c r="HQ94" s="1565"/>
      <c r="HR94" s="1565"/>
      <c r="HS94" s="1565"/>
      <c r="HT94" s="1565"/>
      <c r="HU94" s="1565"/>
      <c r="HV94" s="1565"/>
      <c r="HW94" s="1565"/>
      <c r="HX94" s="1565"/>
      <c r="HY94" s="1565"/>
      <c r="HZ94" s="1565"/>
      <c r="IA94" s="1565"/>
      <c r="IB94" s="1565"/>
      <c r="IC94" s="1565"/>
      <c r="ID94" s="1565"/>
      <c r="IE94" s="1565"/>
      <c r="IF94" s="1565"/>
      <c r="IG94" s="1565"/>
    </row>
    <row r="95" spans="1:241" s="1552" customFormat="1" ht="25.5" hidden="1" outlineLevel="1" collapsed="1">
      <c r="A95" s="1552">
        <v>92</v>
      </c>
      <c r="B95" s="1556" t="s">
        <v>303</v>
      </c>
      <c r="C95" s="1578" t="s">
        <v>1975</v>
      </c>
      <c r="D95" s="1579" t="s">
        <v>1789</v>
      </c>
      <c r="E95" s="1580" t="s">
        <v>1781</v>
      </c>
      <c r="F95" s="1579" t="s">
        <v>1793</v>
      </c>
      <c r="G95" s="1502"/>
      <c r="H95" s="2070"/>
      <c r="I95" s="2070"/>
      <c r="J95" s="2098"/>
      <c r="K95" s="2098"/>
      <c r="L95" s="2070"/>
      <c r="M95" s="2070"/>
      <c r="N95" s="2099"/>
      <c r="O95" s="2070"/>
      <c r="P95" s="2098"/>
      <c r="Q95" s="2100"/>
      <c r="R95" s="2100"/>
      <c r="S95" s="2100"/>
      <c r="T95" s="2100"/>
      <c r="U95" s="2100"/>
      <c r="V95" s="2100"/>
      <c r="W95" s="2100"/>
      <c r="X95" s="2100"/>
      <c r="Y95" s="2100"/>
      <c r="Z95" s="2100"/>
      <c r="AA95" s="2100"/>
      <c r="AB95" s="2100"/>
      <c r="AC95" s="2100"/>
      <c r="AD95" s="2100"/>
      <c r="AE95" s="2100"/>
      <c r="AF95" s="2100"/>
      <c r="AG95" s="2100"/>
      <c r="AH95" s="2100"/>
      <c r="AI95" s="2100"/>
      <c r="AJ95" s="2100"/>
      <c r="AK95" s="2100"/>
      <c r="AL95" s="2100"/>
      <c r="AM95" s="2100"/>
      <c r="AN95" s="2100"/>
      <c r="AO95" s="2100"/>
      <c r="AP95" s="2100"/>
      <c r="AQ95" s="2100"/>
      <c r="AR95" s="2100"/>
      <c r="AS95" s="2100"/>
      <c r="AT95" s="2100"/>
      <c r="AU95" s="2100"/>
      <c r="AV95" s="2100"/>
      <c r="AW95" s="2100"/>
      <c r="AX95" s="2100"/>
      <c r="AY95" s="2101"/>
      <c r="AZ95" s="2101"/>
      <c r="BA95" s="2101"/>
      <c r="BB95" s="2101"/>
      <c r="BC95" s="2101"/>
      <c r="BD95" s="2101"/>
      <c r="BE95" s="2101"/>
      <c r="BF95" s="2101"/>
      <c r="BG95" s="2101"/>
      <c r="BH95" s="2101"/>
      <c r="BI95" s="2101"/>
      <c r="BJ95" s="2101"/>
      <c r="BK95" s="2101"/>
      <c r="BL95" s="2101"/>
      <c r="BM95" s="2101"/>
      <c r="BN95" s="2101"/>
      <c r="BO95" s="2101"/>
      <c r="BP95" s="2101"/>
      <c r="BQ95" s="2101"/>
      <c r="BR95" s="2101"/>
      <c r="BS95" s="2101"/>
      <c r="BT95" s="2101"/>
      <c r="BU95" s="2101"/>
      <c r="BV95" s="2101"/>
      <c r="BW95" s="2101"/>
      <c r="BX95" s="2101"/>
      <c r="BY95" s="2101"/>
      <c r="BZ95" s="2101"/>
      <c r="CA95" s="2101"/>
      <c r="CB95" s="2101"/>
      <c r="CC95" s="2101"/>
      <c r="CD95" s="2101"/>
      <c r="CE95" s="2102"/>
      <c r="CF95" s="2102"/>
      <c r="CG95" s="2102"/>
      <c r="CH95" s="2102"/>
      <c r="CI95" s="2102"/>
      <c r="CJ95" s="2102"/>
      <c r="CK95" s="2102"/>
      <c r="CL95" s="2102"/>
      <c r="CM95" s="2102"/>
      <c r="CN95" s="2102"/>
      <c r="CO95" s="2101"/>
      <c r="CP95" s="2101"/>
      <c r="CQ95" s="2102"/>
      <c r="CR95" s="2102"/>
      <c r="CS95" s="2101"/>
      <c r="CT95" s="2102"/>
      <c r="CU95" s="2101"/>
      <c r="CV95" s="2102"/>
      <c r="CW95" s="2101"/>
      <c r="CX95" s="2102"/>
      <c r="CY95" s="2101"/>
      <c r="CZ95" s="2101"/>
      <c r="DA95" s="2101"/>
      <c r="DB95" s="2101"/>
      <c r="DC95" s="2101"/>
      <c r="DD95" s="2101"/>
      <c r="DE95" s="2101"/>
      <c r="DF95" s="2101"/>
      <c r="DG95" s="2101"/>
      <c r="DH95" s="2103">
        <f>Techno_Porte!G22</f>
        <v>23850</v>
      </c>
      <c r="DI95" s="2103" t="e">
        <f>Techno_Porte!#REF!</f>
        <v>#REF!</v>
      </c>
      <c r="DJ95" s="2103" t="e">
        <f>Techno_Porte!#REF!</f>
        <v>#REF!</v>
      </c>
      <c r="DK95" s="2103" t="e">
        <f>Techno_Porte!#REF!</f>
        <v>#REF!</v>
      </c>
      <c r="DL95" s="2103">
        <f>Techno_Vetro!G19</f>
        <v>27650</v>
      </c>
      <c r="DM95" s="2103">
        <f>Techno_Vetro!H19</f>
        <v>29350</v>
      </c>
      <c r="DN95" s="2103">
        <f>Techno_Vetro!I19</f>
        <v>27650</v>
      </c>
      <c r="DO95" s="2103">
        <f>Techno_Vetro!J19</f>
        <v>29350</v>
      </c>
      <c r="DP95" s="2103">
        <f>Techno_Vetro!L19</f>
        <v>42550</v>
      </c>
      <c r="DQ95" s="2103"/>
      <c r="DR95" s="2103" t="e">
        <f>Techno_Vetro!#REF!</f>
        <v>#REF!</v>
      </c>
      <c r="DS95" s="2103">
        <f>Techno_Vetro!K19</f>
        <v>27650</v>
      </c>
      <c r="DT95" s="2103" t="e">
        <f>Techno_Vetro!#REF!</f>
        <v>#REF!</v>
      </c>
      <c r="DU95" s="2101"/>
      <c r="DV95" s="2101"/>
      <c r="DW95" s="2101"/>
      <c r="DX95" s="2101"/>
      <c r="DY95" s="2101"/>
      <c r="DZ95" s="2101"/>
      <c r="EA95" s="2101"/>
      <c r="EB95" s="2101"/>
      <c r="EC95" s="2101"/>
      <c r="ED95" s="2101"/>
      <c r="EE95" s="2101"/>
      <c r="EF95" s="2101"/>
      <c r="EG95" s="2101"/>
      <c r="EH95" s="2101"/>
      <c r="EI95" s="2101"/>
      <c r="EJ95" s="2101"/>
      <c r="EK95" s="2101"/>
      <c r="EL95" s="2101"/>
      <c r="EM95" s="2101"/>
      <c r="EN95" s="2101"/>
      <c r="EO95" s="2101"/>
      <c r="EP95" s="2101"/>
      <c r="EQ95" s="2101"/>
      <c r="ER95" s="2101"/>
      <c r="ES95" s="2101"/>
      <c r="ET95" s="2101"/>
      <c r="EU95" s="2101"/>
      <c r="EV95" s="2101"/>
      <c r="EW95" s="2101"/>
      <c r="EX95" s="2101"/>
      <c r="EY95" s="2101"/>
      <c r="EZ95" s="2101"/>
      <c r="FA95" s="2101"/>
      <c r="FB95" s="2101"/>
      <c r="FC95" s="2101"/>
      <c r="FD95" s="2101"/>
      <c r="FE95" s="2104"/>
      <c r="FF95" s="2082"/>
      <c r="FG95" s="2082"/>
      <c r="FH95" s="2082"/>
      <c r="FI95" s="2082"/>
      <c r="FJ95" s="2082"/>
      <c r="FK95" s="1565"/>
      <c r="FL95" s="1565"/>
      <c r="FM95" s="1565"/>
      <c r="FN95" s="1565"/>
      <c r="FO95" s="1565"/>
      <c r="FP95" s="1565"/>
      <c r="FQ95" s="1565"/>
      <c r="FR95" s="1565"/>
      <c r="FS95" s="1565"/>
      <c r="FT95" s="1565"/>
      <c r="FU95" s="1565"/>
      <c r="FV95" s="1565"/>
      <c r="FW95" s="1565"/>
      <c r="FX95" s="1565"/>
      <c r="FY95" s="1565"/>
      <c r="FZ95" s="1565"/>
      <c r="GA95" s="1565"/>
      <c r="GB95" s="1565"/>
      <c r="GC95" s="1565"/>
      <c r="GD95" s="1565"/>
      <c r="GE95" s="1565"/>
      <c r="GF95" s="1565"/>
      <c r="GG95" s="1565"/>
      <c r="GH95" s="1565"/>
      <c r="GI95" s="1565"/>
      <c r="GJ95" s="1565"/>
      <c r="GK95" s="1565"/>
      <c r="GL95" s="1565"/>
      <c r="GM95" s="1565"/>
      <c r="GN95" s="1565"/>
      <c r="GO95" s="1565"/>
      <c r="GP95" s="1565"/>
      <c r="GQ95" s="1565"/>
      <c r="GR95" s="1565"/>
      <c r="GS95" s="1565"/>
      <c r="GT95" s="1565"/>
      <c r="GU95" s="1565"/>
      <c r="GV95" s="1565"/>
      <c r="GW95" s="1565"/>
      <c r="GX95" s="1565"/>
      <c r="GY95" s="1565"/>
      <c r="GZ95" s="1565"/>
      <c r="HA95" s="1565"/>
      <c r="HB95" s="1565"/>
      <c r="HC95" s="1565"/>
      <c r="HD95" s="1565"/>
      <c r="HE95" s="1565"/>
      <c r="HF95" s="1565"/>
      <c r="HG95" s="1565"/>
      <c r="HH95" s="1565"/>
      <c r="HI95" s="1565"/>
      <c r="HJ95" s="1565"/>
      <c r="HK95" s="1565"/>
      <c r="HL95" s="1565"/>
      <c r="HM95" s="1565"/>
      <c r="HN95" s="1565"/>
      <c r="HO95" s="1565"/>
      <c r="HP95" s="1565"/>
      <c r="HQ95" s="1565"/>
      <c r="HR95" s="1565"/>
      <c r="HS95" s="1565"/>
      <c r="HT95" s="1565"/>
      <c r="HU95" s="1565"/>
      <c r="HV95" s="1565"/>
      <c r="HW95" s="1565"/>
      <c r="HX95" s="1565"/>
      <c r="HY95" s="1565"/>
      <c r="HZ95" s="1565"/>
      <c r="IA95" s="1565"/>
      <c r="IB95" s="1565"/>
      <c r="IC95" s="1565"/>
      <c r="ID95" s="1565"/>
      <c r="IE95" s="1565"/>
      <c r="IF95" s="1565"/>
      <c r="IG95" s="1565"/>
    </row>
    <row r="96" spans="1:241" s="1552" customFormat="1" ht="36" hidden="1" outlineLevel="2">
      <c r="A96" s="1549">
        <v>93</v>
      </c>
      <c r="B96" s="1556" t="s">
        <v>303</v>
      </c>
      <c r="C96" s="1578" t="s">
        <v>1974</v>
      </c>
      <c r="D96" s="1579" t="s">
        <v>1789</v>
      </c>
      <c r="E96" s="1580" t="s">
        <v>1781</v>
      </c>
      <c r="F96" s="1579" t="s">
        <v>1794</v>
      </c>
      <c r="G96" s="1502"/>
      <c r="H96" s="2070"/>
      <c r="I96" s="2070"/>
      <c r="J96" s="2098"/>
      <c r="K96" s="2098"/>
      <c r="L96" s="2070"/>
      <c r="M96" s="2070"/>
      <c r="N96" s="2099"/>
      <c r="O96" s="2070"/>
      <c r="P96" s="2098"/>
      <c r="Q96" s="2100"/>
      <c r="R96" s="2100"/>
      <c r="S96" s="2100"/>
      <c r="T96" s="2100"/>
      <c r="U96" s="2100"/>
      <c r="V96" s="2100"/>
      <c r="W96" s="2100"/>
      <c r="X96" s="2100"/>
      <c r="Y96" s="2100"/>
      <c r="Z96" s="2100"/>
      <c r="AA96" s="2100"/>
      <c r="AB96" s="2100"/>
      <c r="AC96" s="2100"/>
      <c r="AD96" s="2100"/>
      <c r="AE96" s="2100"/>
      <c r="AF96" s="2100"/>
      <c r="AG96" s="2100"/>
      <c r="AH96" s="2100"/>
      <c r="AI96" s="2100"/>
      <c r="AJ96" s="2100"/>
      <c r="AK96" s="2100"/>
      <c r="AL96" s="2100"/>
      <c r="AM96" s="2100"/>
      <c r="AN96" s="2100"/>
      <c r="AO96" s="2100"/>
      <c r="AP96" s="2100"/>
      <c r="AQ96" s="2100"/>
      <c r="AR96" s="2100"/>
      <c r="AS96" s="2100"/>
      <c r="AT96" s="2100"/>
      <c r="AU96" s="2100"/>
      <c r="AV96" s="2100"/>
      <c r="AW96" s="2100"/>
      <c r="AX96" s="2100"/>
      <c r="AY96" s="2101"/>
      <c r="AZ96" s="2101"/>
      <c r="BA96" s="2101"/>
      <c r="BB96" s="2101"/>
      <c r="BC96" s="2101"/>
      <c r="BD96" s="2101"/>
      <c r="BE96" s="2101"/>
      <c r="BF96" s="2101"/>
      <c r="BG96" s="2101"/>
      <c r="BH96" s="2101"/>
      <c r="BI96" s="2101"/>
      <c r="BJ96" s="2101"/>
      <c r="BK96" s="2101"/>
      <c r="BL96" s="2101"/>
      <c r="BM96" s="2101"/>
      <c r="BN96" s="2101"/>
      <c r="BO96" s="2101"/>
      <c r="BP96" s="2101"/>
      <c r="BQ96" s="2101"/>
      <c r="BR96" s="2101"/>
      <c r="BS96" s="2101"/>
      <c r="BT96" s="2101"/>
      <c r="BU96" s="2101"/>
      <c r="BV96" s="2101"/>
      <c r="BW96" s="2101"/>
      <c r="BX96" s="2101"/>
      <c r="BY96" s="2101"/>
      <c r="BZ96" s="2101"/>
      <c r="CA96" s="2101"/>
      <c r="CB96" s="2101"/>
      <c r="CC96" s="2101"/>
      <c r="CD96" s="2101"/>
      <c r="CE96" s="2102"/>
      <c r="CF96" s="2102"/>
      <c r="CG96" s="2102"/>
      <c r="CH96" s="2102"/>
      <c r="CI96" s="2102"/>
      <c r="CJ96" s="2102"/>
      <c r="CK96" s="2102"/>
      <c r="CL96" s="2102"/>
      <c r="CM96" s="2102"/>
      <c r="CN96" s="2102"/>
      <c r="CO96" s="2101"/>
      <c r="CP96" s="2101"/>
      <c r="CQ96" s="2102"/>
      <c r="CR96" s="2102"/>
      <c r="CS96" s="2101"/>
      <c r="CT96" s="2102"/>
      <c r="CU96" s="2101"/>
      <c r="CV96" s="2102"/>
      <c r="CW96" s="2101"/>
      <c r="CX96" s="2102"/>
      <c r="CY96" s="2101"/>
      <c r="CZ96" s="2101"/>
      <c r="DA96" s="2101"/>
      <c r="DB96" s="2101"/>
      <c r="DC96" s="2101"/>
      <c r="DD96" s="2101"/>
      <c r="DE96" s="2101"/>
      <c r="DF96" s="2101"/>
      <c r="DG96" s="2101"/>
      <c r="DH96" s="2102">
        <f>DH95</f>
        <v>23850</v>
      </c>
      <c r="DI96" s="2102" t="e">
        <f t="shared" ref="DI96:DP96" si="181">DI95</f>
        <v>#REF!</v>
      </c>
      <c r="DJ96" s="2102" t="e">
        <f t="shared" si="181"/>
        <v>#REF!</v>
      </c>
      <c r="DK96" s="2102" t="e">
        <f t="shared" si="181"/>
        <v>#REF!</v>
      </c>
      <c r="DL96" s="2102">
        <f t="shared" si="181"/>
        <v>27650</v>
      </c>
      <c r="DM96" s="2102">
        <f t="shared" si="181"/>
        <v>29350</v>
      </c>
      <c r="DN96" s="2102">
        <f t="shared" si="181"/>
        <v>27650</v>
      </c>
      <c r="DO96" s="2102">
        <f t="shared" si="181"/>
        <v>29350</v>
      </c>
      <c r="DP96" s="2102">
        <f t="shared" si="181"/>
        <v>42550</v>
      </c>
      <c r="DQ96" s="2102"/>
      <c r="DR96" s="2102" t="e">
        <f>DR95</f>
        <v>#REF!</v>
      </c>
      <c r="DS96" s="2102">
        <f>DS95</f>
        <v>27650</v>
      </c>
      <c r="DT96" s="2102" t="e">
        <f>DT95</f>
        <v>#REF!</v>
      </c>
      <c r="DU96" s="2101"/>
      <c r="DV96" s="2101"/>
      <c r="DW96" s="2101"/>
      <c r="DX96" s="2101"/>
      <c r="DY96" s="2101"/>
      <c r="DZ96" s="2101"/>
      <c r="EA96" s="2101"/>
      <c r="EB96" s="2101"/>
      <c r="EC96" s="2101"/>
      <c r="ED96" s="2101"/>
      <c r="EE96" s="2101"/>
      <c r="EF96" s="2101"/>
      <c r="EG96" s="2101"/>
      <c r="EH96" s="2101"/>
      <c r="EI96" s="2101"/>
      <c r="EJ96" s="2101"/>
      <c r="EK96" s="2101"/>
      <c r="EL96" s="2101"/>
      <c r="EM96" s="2101"/>
      <c r="EN96" s="2101"/>
      <c r="EO96" s="2101"/>
      <c r="EP96" s="2101"/>
      <c r="EQ96" s="2101"/>
      <c r="ER96" s="2101"/>
      <c r="ES96" s="2101"/>
      <c r="ET96" s="2101"/>
      <c r="EU96" s="2101"/>
      <c r="EV96" s="2101"/>
      <c r="EW96" s="2101"/>
      <c r="EX96" s="2101"/>
      <c r="EY96" s="2101"/>
      <c r="EZ96" s="2101"/>
      <c r="FA96" s="2101"/>
      <c r="FB96" s="2101"/>
      <c r="FC96" s="2101"/>
      <c r="FD96" s="2101"/>
      <c r="FE96" s="2104"/>
      <c r="FF96" s="2082"/>
      <c r="FG96" s="2082"/>
      <c r="FH96" s="2082"/>
      <c r="FI96" s="2082"/>
      <c r="FJ96" s="2082"/>
      <c r="FK96" s="1565"/>
      <c r="FL96" s="1565"/>
      <c r="FM96" s="1565"/>
      <c r="FN96" s="1565"/>
      <c r="FO96" s="1565"/>
      <c r="FP96" s="1565"/>
      <c r="FQ96" s="1565"/>
      <c r="FR96" s="1565"/>
      <c r="FS96" s="1565"/>
      <c r="FT96" s="1565"/>
      <c r="FU96" s="1565"/>
      <c r="FV96" s="1565"/>
      <c r="FW96" s="1565"/>
      <c r="FX96" s="1565"/>
      <c r="FY96" s="1565"/>
      <c r="FZ96" s="1565"/>
      <c r="GA96" s="1565"/>
      <c r="GB96" s="1565"/>
      <c r="GC96" s="1565"/>
      <c r="GD96" s="1565"/>
      <c r="GE96" s="1565"/>
      <c r="GF96" s="1565"/>
      <c r="GG96" s="1565"/>
      <c r="GH96" s="1565"/>
      <c r="GI96" s="1565"/>
      <c r="GJ96" s="1565"/>
      <c r="GK96" s="1565"/>
      <c r="GL96" s="1565"/>
      <c r="GM96" s="1565"/>
      <c r="GN96" s="1565"/>
      <c r="GO96" s="1565"/>
      <c r="GP96" s="1565"/>
      <c r="GQ96" s="1565"/>
      <c r="GR96" s="1565"/>
      <c r="GS96" s="1565"/>
      <c r="GT96" s="1565"/>
      <c r="GU96" s="1565"/>
      <c r="GV96" s="1565"/>
      <c r="GW96" s="1565"/>
      <c r="GX96" s="1565"/>
      <c r="GY96" s="1565"/>
      <c r="GZ96" s="1565"/>
      <c r="HA96" s="1565"/>
      <c r="HB96" s="1565"/>
      <c r="HC96" s="1565"/>
      <c r="HD96" s="1565"/>
      <c r="HE96" s="1565"/>
      <c r="HF96" s="1565"/>
      <c r="HG96" s="1565"/>
      <c r="HH96" s="1565"/>
      <c r="HI96" s="1565"/>
      <c r="HJ96" s="1565"/>
      <c r="HK96" s="1565"/>
      <c r="HL96" s="1565"/>
      <c r="HM96" s="1565"/>
      <c r="HN96" s="1565"/>
      <c r="HO96" s="1565"/>
      <c r="HP96" s="1565"/>
      <c r="HQ96" s="1565"/>
      <c r="HR96" s="1565"/>
      <c r="HS96" s="1565"/>
      <c r="HT96" s="1565"/>
      <c r="HU96" s="1565"/>
      <c r="HV96" s="1565"/>
      <c r="HW96" s="1565"/>
      <c r="HX96" s="1565"/>
      <c r="HY96" s="1565"/>
      <c r="HZ96" s="1565"/>
      <c r="IA96" s="1565"/>
      <c r="IB96" s="1565"/>
      <c r="IC96" s="1565"/>
      <c r="ID96" s="1565"/>
      <c r="IE96" s="1565"/>
      <c r="IF96" s="1565"/>
      <c r="IG96" s="1565"/>
    </row>
    <row r="97" spans="1:241" s="1552" customFormat="1" ht="25.5" hidden="1" outlineLevel="2">
      <c r="A97" s="1552">
        <v>94</v>
      </c>
      <c r="B97" s="1556" t="s">
        <v>303</v>
      </c>
      <c r="C97" s="1578" t="s">
        <v>1975</v>
      </c>
      <c r="D97" s="1579" t="s">
        <v>1789</v>
      </c>
      <c r="E97" s="1580" t="s">
        <v>1781</v>
      </c>
      <c r="F97" s="1579" t="s">
        <v>1795</v>
      </c>
      <c r="G97" s="1502"/>
      <c r="H97" s="2070"/>
      <c r="I97" s="2070"/>
      <c r="J97" s="2098"/>
      <c r="K97" s="2098"/>
      <c r="L97" s="2070"/>
      <c r="M97" s="2070"/>
      <c r="N97" s="2099"/>
      <c r="O97" s="2070"/>
      <c r="P97" s="2098"/>
      <c r="Q97" s="2100"/>
      <c r="R97" s="2100"/>
      <c r="S97" s="2100"/>
      <c r="T97" s="2100"/>
      <c r="U97" s="2100"/>
      <c r="V97" s="2100"/>
      <c r="W97" s="2100"/>
      <c r="X97" s="2100"/>
      <c r="Y97" s="2100"/>
      <c r="Z97" s="2100"/>
      <c r="AA97" s="2100"/>
      <c r="AB97" s="2100"/>
      <c r="AC97" s="2100"/>
      <c r="AD97" s="2100"/>
      <c r="AE97" s="2100"/>
      <c r="AF97" s="2100"/>
      <c r="AG97" s="2100"/>
      <c r="AH97" s="2100"/>
      <c r="AI97" s="2100"/>
      <c r="AJ97" s="2100"/>
      <c r="AK97" s="2100"/>
      <c r="AL97" s="2100"/>
      <c r="AM97" s="2100"/>
      <c r="AN97" s="2100"/>
      <c r="AO97" s="2100"/>
      <c r="AP97" s="2100"/>
      <c r="AQ97" s="2100"/>
      <c r="AR97" s="2100"/>
      <c r="AS97" s="2100"/>
      <c r="AT97" s="2100"/>
      <c r="AU97" s="2100"/>
      <c r="AV97" s="2100"/>
      <c r="AW97" s="2100"/>
      <c r="AX97" s="2100"/>
      <c r="AY97" s="2101"/>
      <c r="AZ97" s="2101"/>
      <c r="BA97" s="2101"/>
      <c r="BB97" s="2101"/>
      <c r="BC97" s="2101"/>
      <c r="BD97" s="2101"/>
      <c r="BE97" s="2101"/>
      <c r="BF97" s="2101"/>
      <c r="BG97" s="2101"/>
      <c r="BH97" s="2101"/>
      <c r="BI97" s="2101"/>
      <c r="BJ97" s="2101"/>
      <c r="BK97" s="2101"/>
      <c r="BL97" s="2101"/>
      <c r="BM97" s="2101"/>
      <c r="BN97" s="2101"/>
      <c r="BO97" s="2101"/>
      <c r="BP97" s="2101"/>
      <c r="BQ97" s="2101"/>
      <c r="BR97" s="2101"/>
      <c r="BS97" s="2101"/>
      <c r="BT97" s="2101"/>
      <c r="BU97" s="2101"/>
      <c r="BV97" s="2101"/>
      <c r="BW97" s="2101"/>
      <c r="BX97" s="2101"/>
      <c r="BY97" s="2101"/>
      <c r="BZ97" s="2101"/>
      <c r="CA97" s="2101"/>
      <c r="CB97" s="2101"/>
      <c r="CC97" s="2101"/>
      <c r="CD97" s="2101"/>
      <c r="CE97" s="2102"/>
      <c r="CF97" s="2102"/>
      <c r="CG97" s="2102"/>
      <c r="CH97" s="2102"/>
      <c r="CI97" s="2102"/>
      <c r="CJ97" s="2102"/>
      <c r="CK97" s="2102"/>
      <c r="CL97" s="2102"/>
      <c r="CM97" s="2102"/>
      <c r="CN97" s="2102"/>
      <c r="CO97" s="2101"/>
      <c r="CP97" s="2101"/>
      <c r="CQ97" s="2102"/>
      <c r="CR97" s="2102"/>
      <c r="CS97" s="2101"/>
      <c r="CT97" s="2102"/>
      <c r="CU97" s="2101"/>
      <c r="CV97" s="2102"/>
      <c r="CW97" s="2101"/>
      <c r="CX97" s="2102"/>
      <c r="CY97" s="2101"/>
      <c r="CZ97" s="2101"/>
      <c r="DA97" s="2101"/>
      <c r="DB97" s="2101"/>
      <c r="DC97" s="2101"/>
      <c r="DD97" s="2101"/>
      <c r="DE97" s="2101"/>
      <c r="DF97" s="2101"/>
      <c r="DG97" s="2101"/>
      <c r="DH97" s="2102">
        <f>DH95</f>
        <v>23850</v>
      </c>
      <c r="DI97" s="2102" t="e">
        <f t="shared" ref="DI97:DP97" si="182">DI95</f>
        <v>#REF!</v>
      </c>
      <c r="DJ97" s="2102" t="e">
        <f t="shared" si="182"/>
        <v>#REF!</v>
      </c>
      <c r="DK97" s="2102" t="e">
        <f t="shared" si="182"/>
        <v>#REF!</v>
      </c>
      <c r="DL97" s="2102">
        <f t="shared" si="182"/>
        <v>27650</v>
      </c>
      <c r="DM97" s="2102">
        <f t="shared" si="182"/>
        <v>29350</v>
      </c>
      <c r="DN97" s="2102">
        <f t="shared" si="182"/>
        <v>27650</v>
      </c>
      <c r="DO97" s="2102">
        <f t="shared" si="182"/>
        <v>29350</v>
      </c>
      <c r="DP97" s="2102">
        <f t="shared" si="182"/>
        <v>42550</v>
      </c>
      <c r="DQ97" s="2102"/>
      <c r="DR97" s="2102" t="e">
        <f>DR95</f>
        <v>#REF!</v>
      </c>
      <c r="DS97" s="2102">
        <f>DS95</f>
        <v>27650</v>
      </c>
      <c r="DT97" s="2102" t="e">
        <f>DT95</f>
        <v>#REF!</v>
      </c>
      <c r="DU97" s="2101"/>
      <c r="DV97" s="2101"/>
      <c r="DW97" s="2101"/>
      <c r="DX97" s="2101"/>
      <c r="DY97" s="2101"/>
      <c r="DZ97" s="2101"/>
      <c r="EA97" s="2101"/>
      <c r="EB97" s="2101"/>
      <c r="EC97" s="2101"/>
      <c r="ED97" s="2101"/>
      <c r="EE97" s="2101"/>
      <c r="EF97" s="2101"/>
      <c r="EG97" s="2101"/>
      <c r="EH97" s="2101"/>
      <c r="EI97" s="2101"/>
      <c r="EJ97" s="2101"/>
      <c r="EK97" s="2101"/>
      <c r="EL97" s="2101"/>
      <c r="EM97" s="2101"/>
      <c r="EN97" s="2101"/>
      <c r="EO97" s="2101"/>
      <c r="EP97" s="2101"/>
      <c r="EQ97" s="2101"/>
      <c r="ER97" s="2101"/>
      <c r="ES97" s="2101"/>
      <c r="ET97" s="2101"/>
      <c r="EU97" s="2101"/>
      <c r="EV97" s="2101"/>
      <c r="EW97" s="2101"/>
      <c r="EX97" s="2101"/>
      <c r="EY97" s="2101"/>
      <c r="EZ97" s="2101"/>
      <c r="FA97" s="2101"/>
      <c r="FB97" s="2101"/>
      <c r="FC97" s="2101"/>
      <c r="FD97" s="2101"/>
      <c r="FE97" s="2104"/>
      <c r="FF97" s="2082"/>
      <c r="FG97" s="2082"/>
      <c r="FH97" s="2082"/>
      <c r="FI97" s="2082"/>
      <c r="FJ97" s="2082"/>
      <c r="FK97" s="1565"/>
      <c r="FL97" s="1565"/>
      <c r="FM97" s="1565"/>
      <c r="FN97" s="1565"/>
      <c r="FO97" s="1565"/>
      <c r="FP97" s="1565"/>
      <c r="FQ97" s="1565"/>
      <c r="FR97" s="1565"/>
      <c r="FS97" s="1565"/>
      <c r="FT97" s="1565"/>
      <c r="FU97" s="1565"/>
      <c r="FV97" s="1565"/>
      <c r="FW97" s="1565"/>
      <c r="FX97" s="1565"/>
      <c r="FY97" s="1565"/>
      <c r="FZ97" s="1565"/>
      <c r="GA97" s="1565"/>
      <c r="GB97" s="1565"/>
      <c r="GC97" s="1565"/>
      <c r="GD97" s="1565"/>
      <c r="GE97" s="1565"/>
      <c r="GF97" s="1565"/>
      <c r="GG97" s="1565"/>
      <c r="GH97" s="1565"/>
      <c r="GI97" s="1565"/>
      <c r="GJ97" s="1565"/>
      <c r="GK97" s="1565"/>
      <c r="GL97" s="1565"/>
      <c r="GM97" s="1565"/>
      <c r="GN97" s="1565"/>
      <c r="GO97" s="1565"/>
      <c r="GP97" s="1565"/>
      <c r="GQ97" s="1565"/>
      <c r="GR97" s="1565"/>
      <c r="GS97" s="1565"/>
      <c r="GT97" s="1565"/>
      <c r="GU97" s="1565"/>
      <c r="GV97" s="1565"/>
      <c r="GW97" s="1565"/>
      <c r="GX97" s="1565"/>
      <c r="GY97" s="1565"/>
      <c r="GZ97" s="1565"/>
      <c r="HA97" s="1565"/>
      <c r="HB97" s="1565"/>
      <c r="HC97" s="1565"/>
      <c r="HD97" s="1565"/>
      <c r="HE97" s="1565"/>
      <c r="HF97" s="1565"/>
      <c r="HG97" s="1565"/>
      <c r="HH97" s="1565"/>
      <c r="HI97" s="1565"/>
      <c r="HJ97" s="1565"/>
      <c r="HK97" s="1565"/>
      <c r="HL97" s="1565"/>
      <c r="HM97" s="1565"/>
      <c r="HN97" s="1565"/>
      <c r="HO97" s="1565"/>
      <c r="HP97" s="1565"/>
      <c r="HQ97" s="1565"/>
      <c r="HR97" s="1565"/>
      <c r="HS97" s="1565"/>
      <c r="HT97" s="1565"/>
      <c r="HU97" s="1565"/>
      <c r="HV97" s="1565"/>
      <c r="HW97" s="1565"/>
      <c r="HX97" s="1565"/>
      <c r="HY97" s="1565"/>
      <c r="HZ97" s="1565"/>
      <c r="IA97" s="1565"/>
      <c r="IB97" s="1565"/>
      <c r="IC97" s="1565"/>
      <c r="ID97" s="1565"/>
      <c r="IE97" s="1565"/>
      <c r="IF97" s="1565"/>
      <c r="IG97" s="1565"/>
    </row>
    <row r="98" spans="1:241" s="1552" customFormat="1" ht="36" hidden="1" outlineLevel="2">
      <c r="A98" s="1549">
        <v>95</v>
      </c>
      <c r="B98" s="1556" t="s">
        <v>303</v>
      </c>
      <c r="C98" s="1578" t="s">
        <v>1974</v>
      </c>
      <c r="D98" s="1579" t="s">
        <v>1789</v>
      </c>
      <c r="E98" s="1580" t="s">
        <v>1781</v>
      </c>
      <c r="F98" s="1579" t="s">
        <v>1796</v>
      </c>
      <c r="G98" s="1502"/>
      <c r="H98" s="2070"/>
      <c r="I98" s="2070"/>
      <c r="J98" s="2098"/>
      <c r="K98" s="2098"/>
      <c r="L98" s="2070"/>
      <c r="M98" s="2070"/>
      <c r="N98" s="2099"/>
      <c r="O98" s="2070"/>
      <c r="P98" s="2098"/>
      <c r="Q98" s="2100"/>
      <c r="R98" s="2100"/>
      <c r="S98" s="2100"/>
      <c r="T98" s="2100"/>
      <c r="U98" s="2100"/>
      <c r="V98" s="2100"/>
      <c r="W98" s="2100"/>
      <c r="X98" s="2100"/>
      <c r="Y98" s="2100"/>
      <c r="Z98" s="2100"/>
      <c r="AA98" s="2100"/>
      <c r="AB98" s="2100"/>
      <c r="AC98" s="2100"/>
      <c r="AD98" s="2100"/>
      <c r="AE98" s="2100"/>
      <c r="AF98" s="2100"/>
      <c r="AG98" s="2100"/>
      <c r="AH98" s="2100"/>
      <c r="AI98" s="2100"/>
      <c r="AJ98" s="2100"/>
      <c r="AK98" s="2100"/>
      <c r="AL98" s="2100"/>
      <c r="AM98" s="2100"/>
      <c r="AN98" s="2100"/>
      <c r="AO98" s="2100"/>
      <c r="AP98" s="2100"/>
      <c r="AQ98" s="2100"/>
      <c r="AR98" s="2100"/>
      <c r="AS98" s="2100"/>
      <c r="AT98" s="2100"/>
      <c r="AU98" s="2100"/>
      <c r="AV98" s="2100"/>
      <c r="AW98" s="2100"/>
      <c r="AX98" s="2100"/>
      <c r="AY98" s="2101"/>
      <c r="AZ98" s="2101"/>
      <c r="BA98" s="2101"/>
      <c r="BB98" s="2101"/>
      <c r="BC98" s="2101"/>
      <c r="BD98" s="2101"/>
      <c r="BE98" s="2101"/>
      <c r="BF98" s="2101"/>
      <c r="BG98" s="2101"/>
      <c r="BH98" s="2101"/>
      <c r="BI98" s="2101"/>
      <c r="BJ98" s="2101"/>
      <c r="BK98" s="2101"/>
      <c r="BL98" s="2101"/>
      <c r="BM98" s="2101"/>
      <c r="BN98" s="2101"/>
      <c r="BO98" s="2101"/>
      <c r="BP98" s="2101"/>
      <c r="BQ98" s="2101"/>
      <c r="BR98" s="2101"/>
      <c r="BS98" s="2101"/>
      <c r="BT98" s="2101"/>
      <c r="BU98" s="2101"/>
      <c r="BV98" s="2101"/>
      <c r="BW98" s="2101"/>
      <c r="BX98" s="2101"/>
      <c r="BY98" s="2101"/>
      <c r="BZ98" s="2101"/>
      <c r="CA98" s="2101"/>
      <c r="CB98" s="2101"/>
      <c r="CC98" s="2101"/>
      <c r="CD98" s="2101"/>
      <c r="CE98" s="2102"/>
      <c r="CF98" s="2102"/>
      <c r="CG98" s="2102"/>
      <c r="CH98" s="2102"/>
      <c r="CI98" s="2102"/>
      <c r="CJ98" s="2102"/>
      <c r="CK98" s="2102"/>
      <c r="CL98" s="2102"/>
      <c r="CM98" s="2102"/>
      <c r="CN98" s="2102"/>
      <c r="CO98" s="2101"/>
      <c r="CP98" s="2101"/>
      <c r="CQ98" s="2102"/>
      <c r="CR98" s="2102"/>
      <c r="CS98" s="2101"/>
      <c r="CT98" s="2102"/>
      <c r="CU98" s="2101"/>
      <c r="CV98" s="2102"/>
      <c r="CW98" s="2101"/>
      <c r="CX98" s="2102"/>
      <c r="CY98" s="2101"/>
      <c r="CZ98" s="2101"/>
      <c r="DA98" s="2101"/>
      <c r="DB98" s="2101"/>
      <c r="DC98" s="2101"/>
      <c r="DD98" s="2101"/>
      <c r="DE98" s="2101"/>
      <c r="DF98" s="2101"/>
      <c r="DG98" s="2101"/>
      <c r="DH98" s="2102">
        <f>DH95</f>
        <v>23850</v>
      </c>
      <c r="DI98" s="2102" t="e">
        <f t="shared" ref="DI98:DP98" si="183">DI95</f>
        <v>#REF!</v>
      </c>
      <c r="DJ98" s="2102" t="e">
        <f t="shared" si="183"/>
        <v>#REF!</v>
      </c>
      <c r="DK98" s="2102" t="e">
        <f t="shared" si="183"/>
        <v>#REF!</v>
      </c>
      <c r="DL98" s="2102">
        <f t="shared" si="183"/>
        <v>27650</v>
      </c>
      <c r="DM98" s="2102">
        <f t="shared" si="183"/>
        <v>29350</v>
      </c>
      <c r="DN98" s="2102">
        <f t="shared" si="183"/>
        <v>27650</v>
      </c>
      <c r="DO98" s="2102">
        <f t="shared" si="183"/>
        <v>29350</v>
      </c>
      <c r="DP98" s="2102">
        <f t="shared" si="183"/>
        <v>42550</v>
      </c>
      <c r="DQ98" s="2102"/>
      <c r="DR98" s="2102" t="e">
        <f>DR95</f>
        <v>#REF!</v>
      </c>
      <c r="DS98" s="2102">
        <f>DS95</f>
        <v>27650</v>
      </c>
      <c r="DT98" s="2102" t="e">
        <f>DT95</f>
        <v>#REF!</v>
      </c>
      <c r="DU98" s="2101"/>
      <c r="DV98" s="2101"/>
      <c r="DW98" s="2101"/>
      <c r="DX98" s="2101"/>
      <c r="DY98" s="2101"/>
      <c r="DZ98" s="2101"/>
      <c r="EA98" s="2101"/>
      <c r="EB98" s="2101"/>
      <c r="EC98" s="2101"/>
      <c r="ED98" s="2101"/>
      <c r="EE98" s="2101"/>
      <c r="EF98" s="2101"/>
      <c r="EG98" s="2101"/>
      <c r="EH98" s="2101"/>
      <c r="EI98" s="2101"/>
      <c r="EJ98" s="2101"/>
      <c r="EK98" s="2101"/>
      <c r="EL98" s="2101"/>
      <c r="EM98" s="2101"/>
      <c r="EN98" s="2101"/>
      <c r="EO98" s="2101"/>
      <c r="EP98" s="2101"/>
      <c r="EQ98" s="2101"/>
      <c r="ER98" s="2101"/>
      <c r="ES98" s="2101"/>
      <c r="ET98" s="2101"/>
      <c r="EU98" s="2101"/>
      <c r="EV98" s="2101"/>
      <c r="EW98" s="2101"/>
      <c r="EX98" s="2101"/>
      <c r="EY98" s="2101"/>
      <c r="EZ98" s="2101"/>
      <c r="FA98" s="2101"/>
      <c r="FB98" s="2101"/>
      <c r="FC98" s="2101"/>
      <c r="FD98" s="2101"/>
      <c r="FE98" s="2104"/>
      <c r="FF98" s="2082"/>
      <c r="FG98" s="2082"/>
      <c r="FH98" s="2082"/>
      <c r="FI98" s="2082"/>
      <c r="FJ98" s="2082"/>
      <c r="FK98" s="1565"/>
      <c r="FL98" s="1565"/>
      <c r="FM98" s="1565"/>
      <c r="FN98" s="1565"/>
      <c r="FO98" s="1565"/>
      <c r="FP98" s="1565"/>
      <c r="FQ98" s="1565"/>
      <c r="FR98" s="1565"/>
      <c r="FS98" s="1565"/>
      <c r="FT98" s="1565"/>
      <c r="FU98" s="1565"/>
      <c r="FV98" s="1565"/>
      <c r="FW98" s="1565"/>
      <c r="FX98" s="1565"/>
      <c r="FY98" s="1565"/>
      <c r="FZ98" s="1565"/>
      <c r="GA98" s="1565"/>
      <c r="GB98" s="1565"/>
      <c r="GC98" s="1565"/>
      <c r="GD98" s="1565"/>
      <c r="GE98" s="1565"/>
      <c r="GF98" s="1565"/>
      <c r="GG98" s="1565"/>
      <c r="GH98" s="1565"/>
      <c r="GI98" s="1565"/>
      <c r="GJ98" s="1565"/>
      <c r="GK98" s="1565"/>
      <c r="GL98" s="1565"/>
      <c r="GM98" s="1565"/>
      <c r="GN98" s="1565"/>
      <c r="GO98" s="1565"/>
      <c r="GP98" s="1565"/>
      <c r="GQ98" s="1565"/>
      <c r="GR98" s="1565"/>
      <c r="GS98" s="1565"/>
      <c r="GT98" s="1565"/>
      <c r="GU98" s="1565"/>
      <c r="GV98" s="1565"/>
      <c r="GW98" s="1565"/>
      <c r="GX98" s="1565"/>
      <c r="GY98" s="1565"/>
      <c r="GZ98" s="1565"/>
      <c r="HA98" s="1565"/>
      <c r="HB98" s="1565"/>
      <c r="HC98" s="1565"/>
      <c r="HD98" s="1565"/>
      <c r="HE98" s="1565"/>
      <c r="HF98" s="1565"/>
      <c r="HG98" s="1565"/>
      <c r="HH98" s="1565"/>
      <c r="HI98" s="1565"/>
      <c r="HJ98" s="1565"/>
      <c r="HK98" s="1565"/>
      <c r="HL98" s="1565"/>
      <c r="HM98" s="1565"/>
      <c r="HN98" s="1565"/>
      <c r="HO98" s="1565"/>
      <c r="HP98" s="1565"/>
      <c r="HQ98" s="1565"/>
      <c r="HR98" s="1565"/>
      <c r="HS98" s="1565"/>
      <c r="HT98" s="1565"/>
      <c r="HU98" s="1565"/>
      <c r="HV98" s="1565"/>
      <c r="HW98" s="1565"/>
      <c r="HX98" s="1565"/>
      <c r="HY98" s="1565"/>
      <c r="HZ98" s="1565"/>
      <c r="IA98" s="1565"/>
      <c r="IB98" s="1565"/>
      <c r="IC98" s="1565"/>
      <c r="ID98" s="1565"/>
      <c r="IE98" s="1565"/>
      <c r="IF98" s="1565"/>
      <c r="IG98" s="1565"/>
    </row>
    <row r="99" spans="1:241" s="1552" customFormat="1" ht="36" hidden="1" outlineLevel="2">
      <c r="A99" s="1552">
        <v>96</v>
      </c>
      <c r="B99" s="1556" t="s">
        <v>303</v>
      </c>
      <c r="C99" s="1578" t="s">
        <v>1974</v>
      </c>
      <c r="D99" s="1579" t="s">
        <v>1789</v>
      </c>
      <c r="E99" s="1580" t="s">
        <v>1781</v>
      </c>
      <c r="F99" s="1579" t="s">
        <v>1797</v>
      </c>
      <c r="G99" s="1502"/>
      <c r="H99" s="2070"/>
      <c r="I99" s="2070"/>
      <c r="J99" s="2098"/>
      <c r="K99" s="2098"/>
      <c r="L99" s="2070"/>
      <c r="M99" s="2070"/>
      <c r="N99" s="2099"/>
      <c r="O99" s="2070"/>
      <c r="P99" s="2098"/>
      <c r="Q99" s="2100"/>
      <c r="R99" s="2100"/>
      <c r="S99" s="2100"/>
      <c r="T99" s="2100"/>
      <c r="U99" s="2100"/>
      <c r="V99" s="2100"/>
      <c r="W99" s="2100"/>
      <c r="X99" s="2100"/>
      <c r="Y99" s="2100"/>
      <c r="Z99" s="2100"/>
      <c r="AA99" s="2100"/>
      <c r="AB99" s="2100"/>
      <c r="AC99" s="2100"/>
      <c r="AD99" s="2100"/>
      <c r="AE99" s="2100"/>
      <c r="AF99" s="2100"/>
      <c r="AG99" s="2100"/>
      <c r="AH99" s="2100"/>
      <c r="AI99" s="2100"/>
      <c r="AJ99" s="2100"/>
      <c r="AK99" s="2100"/>
      <c r="AL99" s="2100"/>
      <c r="AM99" s="2100"/>
      <c r="AN99" s="2100"/>
      <c r="AO99" s="2100"/>
      <c r="AP99" s="2100"/>
      <c r="AQ99" s="2100"/>
      <c r="AR99" s="2100"/>
      <c r="AS99" s="2100"/>
      <c r="AT99" s="2100"/>
      <c r="AU99" s="2100"/>
      <c r="AV99" s="2100"/>
      <c r="AW99" s="2100"/>
      <c r="AX99" s="2100"/>
      <c r="AY99" s="2101"/>
      <c r="AZ99" s="2101"/>
      <c r="BA99" s="2101"/>
      <c r="BB99" s="2101"/>
      <c r="BC99" s="2101"/>
      <c r="BD99" s="2101"/>
      <c r="BE99" s="2101"/>
      <c r="BF99" s="2101"/>
      <c r="BG99" s="2101"/>
      <c r="BH99" s="2101"/>
      <c r="BI99" s="2101"/>
      <c r="BJ99" s="2101"/>
      <c r="BK99" s="2101"/>
      <c r="BL99" s="2101"/>
      <c r="BM99" s="2101"/>
      <c r="BN99" s="2101"/>
      <c r="BO99" s="2101"/>
      <c r="BP99" s="2101"/>
      <c r="BQ99" s="2101"/>
      <c r="BR99" s="2101"/>
      <c r="BS99" s="2101"/>
      <c r="BT99" s="2101"/>
      <c r="BU99" s="2101"/>
      <c r="BV99" s="2101"/>
      <c r="BW99" s="2101"/>
      <c r="BX99" s="2101"/>
      <c r="BY99" s="2101"/>
      <c r="BZ99" s="2101"/>
      <c r="CA99" s="2101"/>
      <c r="CB99" s="2101"/>
      <c r="CC99" s="2101"/>
      <c r="CD99" s="2101"/>
      <c r="CE99" s="2102"/>
      <c r="CF99" s="2102"/>
      <c r="CG99" s="2102"/>
      <c r="CH99" s="2102"/>
      <c r="CI99" s="2102"/>
      <c r="CJ99" s="2102"/>
      <c r="CK99" s="2102"/>
      <c r="CL99" s="2102"/>
      <c r="CM99" s="2102"/>
      <c r="CN99" s="2102"/>
      <c r="CO99" s="2101"/>
      <c r="CP99" s="2101"/>
      <c r="CQ99" s="2102"/>
      <c r="CR99" s="2102"/>
      <c r="CS99" s="2101"/>
      <c r="CT99" s="2102"/>
      <c r="CU99" s="2101"/>
      <c r="CV99" s="2102"/>
      <c r="CW99" s="2101"/>
      <c r="CX99" s="2102"/>
      <c r="CY99" s="2101"/>
      <c r="CZ99" s="2101"/>
      <c r="DA99" s="2101"/>
      <c r="DB99" s="2101"/>
      <c r="DC99" s="2101"/>
      <c r="DD99" s="2101"/>
      <c r="DE99" s="2101"/>
      <c r="DF99" s="2101"/>
      <c r="DG99" s="2101"/>
      <c r="DH99" s="2102">
        <f>DH95</f>
        <v>23850</v>
      </c>
      <c r="DI99" s="2102" t="e">
        <f t="shared" ref="DI99:DP99" si="184">DI95</f>
        <v>#REF!</v>
      </c>
      <c r="DJ99" s="2102" t="e">
        <f t="shared" si="184"/>
        <v>#REF!</v>
      </c>
      <c r="DK99" s="2102" t="e">
        <f t="shared" si="184"/>
        <v>#REF!</v>
      </c>
      <c r="DL99" s="2102">
        <f t="shared" si="184"/>
        <v>27650</v>
      </c>
      <c r="DM99" s="2102">
        <f t="shared" si="184"/>
        <v>29350</v>
      </c>
      <c r="DN99" s="2102">
        <f t="shared" si="184"/>
        <v>27650</v>
      </c>
      <c r="DO99" s="2102">
        <f t="shared" si="184"/>
        <v>29350</v>
      </c>
      <c r="DP99" s="2102">
        <f t="shared" si="184"/>
        <v>42550</v>
      </c>
      <c r="DQ99" s="2102"/>
      <c r="DR99" s="2102" t="e">
        <f>DR95</f>
        <v>#REF!</v>
      </c>
      <c r="DS99" s="2102">
        <f>DS95</f>
        <v>27650</v>
      </c>
      <c r="DT99" s="2102" t="e">
        <f>DT95</f>
        <v>#REF!</v>
      </c>
      <c r="DU99" s="2101"/>
      <c r="DV99" s="2101"/>
      <c r="DW99" s="2101"/>
      <c r="DX99" s="2101"/>
      <c r="DY99" s="2101"/>
      <c r="DZ99" s="2101"/>
      <c r="EA99" s="2101"/>
      <c r="EB99" s="2101"/>
      <c r="EC99" s="2101"/>
      <c r="ED99" s="2101"/>
      <c r="EE99" s="2101"/>
      <c r="EF99" s="2101"/>
      <c r="EG99" s="2101"/>
      <c r="EH99" s="2101"/>
      <c r="EI99" s="2101"/>
      <c r="EJ99" s="2101"/>
      <c r="EK99" s="2101"/>
      <c r="EL99" s="2101"/>
      <c r="EM99" s="2101"/>
      <c r="EN99" s="2101"/>
      <c r="EO99" s="2101"/>
      <c r="EP99" s="2101"/>
      <c r="EQ99" s="2101"/>
      <c r="ER99" s="2101"/>
      <c r="ES99" s="2101"/>
      <c r="ET99" s="2101"/>
      <c r="EU99" s="2101"/>
      <c r="EV99" s="2101"/>
      <c r="EW99" s="2101"/>
      <c r="EX99" s="2101"/>
      <c r="EY99" s="2101"/>
      <c r="EZ99" s="2101"/>
      <c r="FA99" s="2101"/>
      <c r="FB99" s="2101"/>
      <c r="FC99" s="2101"/>
      <c r="FD99" s="2101"/>
      <c r="FE99" s="2104"/>
      <c r="FF99" s="2082"/>
      <c r="FG99" s="2082"/>
      <c r="FH99" s="2082"/>
      <c r="FI99" s="2082"/>
      <c r="FJ99" s="2082"/>
      <c r="FK99" s="1565"/>
      <c r="FL99" s="1565"/>
      <c r="FM99" s="1565"/>
      <c r="FN99" s="1565"/>
      <c r="FO99" s="1565"/>
      <c r="FP99" s="1565"/>
      <c r="FQ99" s="1565"/>
      <c r="FR99" s="1565"/>
      <c r="FS99" s="1565"/>
      <c r="FT99" s="1565"/>
      <c r="FU99" s="1565"/>
      <c r="FV99" s="1565"/>
      <c r="FW99" s="1565"/>
      <c r="FX99" s="1565"/>
      <c r="FY99" s="1565"/>
      <c r="FZ99" s="1565"/>
      <c r="GA99" s="1565"/>
      <c r="GB99" s="1565"/>
      <c r="GC99" s="1565"/>
      <c r="GD99" s="1565"/>
      <c r="GE99" s="1565"/>
      <c r="GF99" s="1565"/>
      <c r="GG99" s="1565"/>
      <c r="GH99" s="1565"/>
      <c r="GI99" s="1565"/>
      <c r="GJ99" s="1565"/>
      <c r="GK99" s="1565"/>
      <c r="GL99" s="1565"/>
      <c r="GM99" s="1565"/>
      <c r="GN99" s="1565"/>
      <c r="GO99" s="1565"/>
      <c r="GP99" s="1565"/>
      <c r="GQ99" s="1565"/>
      <c r="GR99" s="1565"/>
      <c r="GS99" s="1565"/>
      <c r="GT99" s="1565"/>
      <c r="GU99" s="1565"/>
      <c r="GV99" s="1565"/>
      <c r="GW99" s="1565"/>
      <c r="GX99" s="1565"/>
      <c r="GY99" s="1565"/>
      <c r="GZ99" s="1565"/>
      <c r="HA99" s="1565"/>
      <c r="HB99" s="1565"/>
      <c r="HC99" s="1565"/>
      <c r="HD99" s="1565"/>
      <c r="HE99" s="1565"/>
      <c r="HF99" s="1565"/>
      <c r="HG99" s="1565"/>
      <c r="HH99" s="1565"/>
      <c r="HI99" s="1565"/>
      <c r="HJ99" s="1565"/>
      <c r="HK99" s="1565"/>
      <c r="HL99" s="1565"/>
      <c r="HM99" s="1565"/>
      <c r="HN99" s="1565"/>
      <c r="HO99" s="1565"/>
      <c r="HP99" s="1565"/>
      <c r="HQ99" s="1565"/>
      <c r="HR99" s="1565"/>
      <c r="HS99" s="1565"/>
      <c r="HT99" s="1565"/>
      <c r="HU99" s="1565"/>
      <c r="HV99" s="1565"/>
      <c r="HW99" s="1565"/>
      <c r="HX99" s="1565"/>
      <c r="HY99" s="1565"/>
      <c r="HZ99" s="1565"/>
      <c r="IA99" s="1565"/>
      <c r="IB99" s="1565"/>
      <c r="IC99" s="1565"/>
      <c r="ID99" s="1565"/>
      <c r="IE99" s="1565"/>
      <c r="IF99" s="1565"/>
      <c r="IG99" s="1565"/>
    </row>
    <row r="100" spans="1:241" s="1552" customFormat="1" ht="36" hidden="1" outlineLevel="2">
      <c r="A100" s="1549">
        <v>97</v>
      </c>
      <c r="B100" s="1556" t="s">
        <v>303</v>
      </c>
      <c r="C100" s="1578" t="s">
        <v>1974</v>
      </c>
      <c r="D100" s="1579" t="s">
        <v>1789</v>
      </c>
      <c r="E100" s="1580" t="s">
        <v>1781</v>
      </c>
      <c r="F100" s="1579" t="s">
        <v>1803</v>
      </c>
      <c r="G100" s="1502"/>
      <c r="H100" s="2070"/>
      <c r="I100" s="2070"/>
      <c r="J100" s="2098"/>
      <c r="K100" s="2098"/>
      <c r="L100" s="2070"/>
      <c r="M100" s="2070"/>
      <c r="N100" s="2099"/>
      <c r="O100" s="2070"/>
      <c r="P100" s="2098"/>
      <c r="Q100" s="2100"/>
      <c r="R100" s="2100"/>
      <c r="S100" s="2100"/>
      <c r="T100" s="2100"/>
      <c r="U100" s="2100"/>
      <c r="V100" s="2100"/>
      <c r="W100" s="2100"/>
      <c r="X100" s="2100"/>
      <c r="Y100" s="2100"/>
      <c r="Z100" s="2100"/>
      <c r="AA100" s="2100"/>
      <c r="AB100" s="2100"/>
      <c r="AC100" s="2100"/>
      <c r="AD100" s="2100"/>
      <c r="AE100" s="2100"/>
      <c r="AF100" s="2100"/>
      <c r="AG100" s="2100"/>
      <c r="AH100" s="2100"/>
      <c r="AI100" s="2100"/>
      <c r="AJ100" s="2100"/>
      <c r="AK100" s="2100"/>
      <c r="AL100" s="2100"/>
      <c r="AM100" s="2100"/>
      <c r="AN100" s="2100"/>
      <c r="AO100" s="2100"/>
      <c r="AP100" s="2100"/>
      <c r="AQ100" s="2100"/>
      <c r="AR100" s="2100"/>
      <c r="AS100" s="2100"/>
      <c r="AT100" s="2100"/>
      <c r="AU100" s="2100"/>
      <c r="AV100" s="2100"/>
      <c r="AW100" s="2100"/>
      <c r="AX100" s="2100"/>
      <c r="AY100" s="2101"/>
      <c r="AZ100" s="2101"/>
      <c r="BA100" s="2101"/>
      <c r="BB100" s="2101"/>
      <c r="BC100" s="2101"/>
      <c r="BD100" s="2101"/>
      <c r="BE100" s="2101"/>
      <c r="BF100" s="2101"/>
      <c r="BG100" s="2101"/>
      <c r="BH100" s="2101"/>
      <c r="BI100" s="2101"/>
      <c r="BJ100" s="2101"/>
      <c r="BK100" s="2101"/>
      <c r="BL100" s="2101"/>
      <c r="BM100" s="2101"/>
      <c r="BN100" s="2101"/>
      <c r="BO100" s="2101"/>
      <c r="BP100" s="2101"/>
      <c r="BQ100" s="2101"/>
      <c r="BR100" s="2101"/>
      <c r="BS100" s="2101"/>
      <c r="BT100" s="2101"/>
      <c r="BU100" s="2101"/>
      <c r="BV100" s="2101"/>
      <c r="BW100" s="2101"/>
      <c r="BX100" s="2101"/>
      <c r="BY100" s="2101"/>
      <c r="BZ100" s="2101"/>
      <c r="CA100" s="2101"/>
      <c r="CB100" s="2101"/>
      <c r="CC100" s="2101"/>
      <c r="CD100" s="2101"/>
      <c r="CE100" s="2102"/>
      <c r="CF100" s="2102"/>
      <c r="CG100" s="2102"/>
      <c r="CH100" s="2102"/>
      <c r="CI100" s="2102"/>
      <c r="CJ100" s="2102"/>
      <c r="CK100" s="2102"/>
      <c r="CL100" s="2102"/>
      <c r="CM100" s="2102"/>
      <c r="CN100" s="2102"/>
      <c r="CO100" s="2101"/>
      <c r="CP100" s="2101"/>
      <c r="CQ100" s="2102"/>
      <c r="CR100" s="2102"/>
      <c r="CS100" s="2101"/>
      <c r="CT100" s="2102"/>
      <c r="CU100" s="2101"/>
      <c r="CV100" s="2102"/>
      <c r="CW100" s="2101"/>
      <c r="CX100" s="2102"/>
      <c r="CY100" s="2101"/>
      <c r="CZ100" s="2101"/>
      <c r="DA100" s="2101"/>
      <c r="DB100" s="2101"/>
      <c r="DC100" s="2101"/>
      <c r="DD100" s="2101"/>
      <c r="DE100" s="2101"/>
      <c r="DF100" s="2101"/>
      <c r="DG100" s="2101"/>
      <c r="DH100" s="2102">
        <f>DH95</f>
        <v>23850</v>
      </c>
      <c r="DI100" s="2102" t="e">
        <f t="shared" ref="DI100:DP100" si="185">DI95</f>
        <v>#REF!</v>
      </c>
      <c r="DJ100" s="2102" t="e">
        <f t="shared" si="185"/>
        <v>#REF!</v>
      </c>
      <c r="DK100" s="2102" t="e">
        <f t="shared" si="185"/>
        <v>#REF!</v>
      </c>
      <c r="DL100" s="2102">
        <f t="shared" si="185"/>
        <v>27650</v>
      </c>
      <c r="DM100" s="2102">
        <f t="shared" si="185"/>
        <v>29350</v>
      </c>
      <c r="DN100" s="2102">
        <f t="shared" si="185"/>
        <v>27650</v>
      </c>
      <c r="DO100" s="2102">
        <f t="shared" si="185"/>
        <v>29350</v>
      </c>
      <c r="DP100" s="2102">
        <f t="shared" si="185"/>
        <v>42550</v>
      </c>
      <c r="DQ100" s="2102"/>
      <c r="DR100" s="2102" t="e">
        <f>DR95</f>
        <v>#REF!</v>
      </c>
      <c r="DS100" s="2102">
        <f>DS95</f>
        <v>27650</v>
      </c>
      <c r="DT100" s="2102" t="e">
        <f>DT95</f>
        <v>#REF!</v>
      </c>
      <c r="DU100" s="2101"/>
      <c r="DV100" s="2101"/>
      <c r="DW100" s="2101"/>
      <c r="DX100" s="2101"/>
      <c r="DY100" s="2101"/>
      <c r="DZ100" s="2101"/>
      <c r="EA100" s="2101"/>
      <c r="EB100" s="2101"/>
      <c r="EC100" s="2101"/>
      <c r="ED100" s="2101"/>
      <c r="EE100" s="2101"/>
      <c r="EF100" s="2101"/>
      <c r="EG100" s="2101"/>
      <c r="EH100" s="2101"/>
      <c r="EI100" s="2101"/>
      <c r="EJ100" s="2101"/>
      <c r="EK100" s="2101"/>
      <c r="EL100" s="2101"/>
      <c r="EM100" s="2101"/>
      <c r="EN100" s="2101"/>
      <c r="EO100" s="2101"/>
      <c r="EP100" s="2101"/>
      <c r="EQ100" s="2101"/>
      <c r="ER100" s="2101"/>
      <c r="ES100" s="2101"/>
      <c r="ET100" s="2101"/>
      <c r="EU100" s="2101"/>
      <c r="EV100" s="2101"/>
      <c r="EW100" s="2101"/>
      <c r="EX100" s="2101"/>
      <c r="EY100" s="2101"/>
      <c r="EZ100" s="2101"/>
      <c r="FA100" s="2101"/>
      <c r="FB100" s="2101"/>
      <c r="FC100" s="2101"/>
      <c r="FD100" s="2101"/>
      <c r="FE100" s="2104"/>
      <c r="FF100" s="2082"/>
      <c r="FG100" s="2082"/>
      <c r="FH100" s="2082"/>
      <c r="FI100" s="2082"/>
      <c r="FJ100" s="2082"/>
      <c r="FK100" s="1565"/>
      <c r="FL100" s="1565"/>
      <c r="FM100" s="1565"/>
      <c r="FN100" s="1565"/>
      <c r="FO100" s="1565"/>
      <c r="FP100" s="1565"/>
      <c r="FQ100" s="1565"/>
      <c r="FR100" s="1565"/>
      <c r="FS100" s="1565"/>
      <c r="FT100" s="1565"/>
      <c r="FU100" s="1565"/>
      <c r="FV100" s="1565"/>
      <c r="FW100" s="1565"/>
      <c r="FX100" s="1565"/>
      <c r="FY100" s="1565"/>
      <c r="FZ100" s="1565"/>
      <c r="GA100" s="1565"/>
      <c r="GB100" s="1565"/>
      <c r="GC100" s="1565"/>
      <c r="GD100" s="1565"/>
      <c r="GE100" s="1565"/>
      <c r="GF100" s="1565"/>
      <c r="GG100" s="1565"/>
      <c r="GH100" s="1565"/>
      <c r="GI100" s="1565"/>
      <c r="GJ100" s="1565"/>
      <c r="GK100" s="1565"/>
      <c r="GL100" s="1565"/>
      <c r="GM100" s="1565"/>
      <c r="GN100" s="1565"/>
      <c r="GO100" s="1565"/>
      <c r="GP100" s="1565"/>
      <c r="GQ100" s="1565"/>
      <c r="GR100" s="1565"/>
      <c r="GS100" s="1565"/>
      <c r="GT100" s="1565"/>
      <c r="GU100" s="1565"/>
      <c r="GV100" s="1565"/>
      <c r="GW100" s="1565"/>
      <c r="GX100" s="1565"/>
      <c r="GY100" s="1565"/>
      <c r="GZ100" s="1565"/>
      <c r="HA100" s="1565"/>
      <c r="HB100" s="1565"/>
      <c r="HC100" s="1565"/>
      <c r="HD100" s="1565"/>
      <c r="HE100" s="1565"/>
      <c r="HF100" s="1565"/>
      <c r="HG100" s="1565"/>
      <c r="HH100" s="1565"/>
      <c r="HI100" s="1565"/>
      <c r="HJ100" s="1565"/>
      <c r="HK100" s="1565"/>
      <c r="HL100" s="1565"/>
      <c r="HM100" s="1565"/>
      <c r="HN100" s="1565"/>
      <c r="HO100" s="1565"/>
      <c r="HP100" s="1565"/>
      <c r="HQ100" s="1565"/>
      <c r="HR100" s="1565"/>
      <c r="HS100" s="1565"/>
      <c r="HT100" s="1565"/>
      <c r="HU100" s="1565"/>
      <c r="HV100" s="1565"/>
      <c r="HW100" s="1565"/>
      <c r="HX100" s="1565"/>
      <c r="HY100" s="1565"/>
      <c r="HZ100" s="1565"/>
      <c r="IA100" s="1565"/>
      <c r="IB100" s="1565"/>
      <c r="IC100" s="1565"/>
      <c r="ID100" s="1565"/>
      <c r="IE100" s="1565"/>
      <c r="IF100" s="1565"/>
      <c r="IG100" s="1565"/>
    </row>
    <row r="101" spans="1:241" s="1552" customFormat="1" ht="36" hidden="1" outlineLevel="2">
      <c r="A101" s="1552">
        <v>98</v>
      </c>
      <c r="B101" s="1556" t="s">
        <v>303</v>
      </c>
      <c r="C101" s="1578" t="s">
        <v>1974</v>
      </c>
      <c r="D101" s="1579" t="s">
        <v>1789</v>
      </c>
      <c r="E101" s="1580" t="s">
        <v>1781</v>
      </c>
      <c r="F101" s="1579" t="s">
        <v>1798</v>
      </c>
      <c r="G101" s="1502"/>
      <c r="H101" s="2070"/>
      <c r="I101" s="2070"/>
      <c r="J101" s="2098"/>
      <c r="K101" s="2098"/>
      <c r="L101" s="2070"/>
      <c r="M101" s="2070"/>
      <c r="N101" s="2099"/>
      <c r="O101" s="2070"/>
      <c r="P101" s="2098"/>
      <c r="Q101" s="2100"/>
      <c r="R101" s="2100"/>
      <c r="S101" s="2100"/>
      <c r="T101" s="2100"/>
      <c r="U101" s="2100"/>
      <c r="V101" s="2100"/>
      <c r="W101" s="2100"/>
      <c r="X101" s="2100"/>
      <c r="Y101" s="2100"/>
      <c r="Z101" s="2100"/>
      <c r="AA101" s="2100"/>
      <c r="AB101" s="2100"/>
      <c r="AC101" s="2100"/>
      <c r="AD101" s="2100"/>
      <c r="AE101" s="2100"/>
      <c r="AF101" s="2100"/>
      <c r="AG101" s="2100"/>
      <c r="AH101" s="2100"/>
      <c r="AI101" s="2100"/>
      <c r="AJ101" s="2100"/>
      <c r="AK101" s="2100"/>
      <c r="AL101" s="2100"/>
      <c r="AM101" s="2100"/>
      <c r="AN101" s="2100"/>
      <c r="AO101" s="2100"/>
      <c r="AP101" s="2100"/>
      <c r="AQ101" s="2100"/>
      <c r="AR101" s="2100"/>
      <c r="AS101" s="2100"/>
      <c r="AT101" s="2100"/>
      <c r="AU101" s="2100"/>
      <c r="AV101" s="2100"/>
      <c r="AW101" s="2100"/>
      <c r="AX101" s="2100"/>
      <c r="AY101" s="2101"/>
      <c r="AZ101" s="2101"/>
      <c r="BA101" s="2101"/>
      <c r="BB101" s="2101"/>
      <c r="BC101" s="2101"/>
      <c r="BD101" s="2101"/>
      <c r="BE101" s="2101"/>
      <c r="BF101" s="2101"/>
      <c r="BG101" s="2101"/>
      <c r="BH101" s="2101"/>
      <c r="BI101" s="2101"/>
      <c r="BJ101" s="2101"/>
      <c r="BK101" s="2101"/>
      <c r="BL101" s="2101"/>
      <c r="BM101" s="2101"/>
      <c r="BN101" s="2101"/>
      <c r="BO101" s="2101"/>
      <c r="BP101" s="2101"/>
      <c r="BQ101" s="2101"/>
      <c r="BR101" s="2101"/>
      <c r="BS101" s="2101"/>
      <c r="BT101" s="2101"/>
      <c r="BU101" s="2101"/>
      <c r="BV101" s="2101"/>
      <c r="BW101" s="2101"/>
      <c r="BX101" s="2101"/>
      <c r="BY101" s="2101"/>
      <c r="BZ101" s="2101"/>
      <c r="CA101" s="2101"/>
      <c r="CB101" s="2101"/>
      <c r="CC101" s="2101"/>
      <c r="CD101" s="2101"/>
      <c r="CE101" s="2102"/>
      <c r="CF101" s="2102"/>
      <c r="CG101" s="2102"/>
      <c r="CH101" s="2102"/>
      <c r="CI101" s="2102"/>
      <c r="CJ101" s="2102"/>
      <c r="CK101" s="2102"/>
      <c r="CL101" s="2102"/>
      <c r="CM101" s="2102"/>
      <c r="CN101" s="2102"/>
      <c r="CO101" s="2101"/>
      <c r="CP101" s="2101"/>
      <c r="CQ101" s="2102"/>
      <c r="CR101" s="2102"/>
      <c r="CS101" s="2101"/>
      <c r="CT101" s="2102"/>
      <c r="CU101" s="2101"/>
      <c r="CV101" s="2102"/>
      <c r="CW101" s="2101"/>
      <c r="CX101" s="2102"/>
      <c r="CY101" s="2101"/>
      <c r="CZ101" s="2101"/>
      <c r="DA101" s="2101"/>
      <c r="DB101" s="2101"/>
      <c r="DC101" s="2101"/>
      <c r="DD101" s="2101"/>
      <c r="DE101" s="2101"/>
      <c r="DF101" s="2101"/>
      <c r="DG101" s="2101"/>
      <c r="DH101" s="2102">
        <f>DH97</f>
        <v>23850</v>
      </c>
      <c r="DI101" s="2102" t="e">
        <f t="shared" ref="DI101:DP101" si="186">DI97</f>
        <v>#REF!</v>
      </c>
      <c r="DJ101" s="2102" t="e">
        <f t="shared" si="186"/>
        <v>#REF!</v>
      </c>
      <c r="DK101" s="2102" t="e">
        <f t="shared" si="186"/>
        <v>#REF!</v>
      </c>
      <c r="DL101" s="2102">
        <f t="shared" si="186"/>
        <v>27650</v>
      </c>
      <c r="DM101" s="2102">
        <f t="shared" si="186"/>
        <v>29350</v>
      </c>
      <c r="DN101" s="2102">
        <f t="shared" si="186"/>
        <v>27650</v>
      </c>
      <c r="DO101" s="2102">
        <f t="shared" si="186"/>
        <v>29350</v>
      </c>
      <c r="DP101" s="2102">
        <f t="shared" si="186"/>
        <v>42550</v>
      </c>
      <c r="DQ101" s="2102"/>
      <c r="DR101" s="2102" t="e">
        <f t="shared" ref="DR101:DT105" si="187">DR97</f>
        <v>#REF!</v>
      </c>
      <c r="DS101" s="2102">
        <f t="shared" si="187"/>
        <v>27650</v>
      </c>
      <c r="DT101" s="2102" t="e">
        <f t="shared" si="187"/>
        <v>#REF!</v>
      </c>
      <c r="DU101" s="2101"/>
      <c r="DV101" s="2101"/>
      <c r="DW101" s="2101"/>
      <c r="DX101" s="2101"/>
      <c r="DY101" s="2101"/>
      <c r="DZ101" s="2101"/>
      <c r="EA101" s="2101"/>
      <c r="EB101" s="2101"/>
      <c r="EC101" s="2101"/>
      <c r="ED101" s="2101"/>
      <c r="EE101" s="2101"/>
      <c r="EF101" s="2101"/>
      <c r="EG101" s="2101"/>
      <c r="EH101" s="2101"/>
      <c r="EI101" s="2101"/>
      <c r="EJ101" s="2101"/>
      <c r="EK101" s="2101"/>
      <c r="EL101" s="2101"/>
      <c r="EM101" s="2101"/>
      <c r="EN101" s="2101"/>
      <c r="EO101" s="2101"/>
      <c r="EP101" s="2101"/>
      <c r="EQ101" s="2101"/>
      <c r="ER101" s="2101"/>
      <c r="ES101" s="2101"/>
      <c r="ET101" s="2101"/>
      <c r="EU101" s="2101"/>
      <c r="EV101" s="2101"/>
      <c r="EW101" s="2101"/>
      <c r="EX101" s="2101"/>
      <c r="EY101" s="2101"/>
      <c r="EZ101" s="2101"/>
      <c r="FA101" s="2101"/>
      <c r="FB101" s="2101"/>
      <c r="FC101" s="2101"/>
      <c r="FD101" s="2101"/>
      <c r="FE101" s="2104"/>
      <c r="FF101" s="2082"/>
      <c r="FG101" s="2082"/>
      <c r="FH101" s="2082"/>
      <c r="FI101" s="2082"/>
      <c r="FJ101" s="2082"/>
      <c r="FK101" s="1565"/>
      <c r="FL101" s="1565"/>
      <c r="FM101" s="1565"/>
      <c r="FN101" s="1565"/>
      <c r="FO101" s="1565"/>
      <c r="FP101" s="1565"/>
      <c r="FQ101" s="1565"/>
      <c r="FR101" s="1565"/>
      <c r="FS101" s="1565"/>
      <c r="FT101" s="1565"/>
      <c r="FU101" s="1565"/>
      <c r="FV101" s="1565"/>
      <c r="FW101" s="1565"/>
      <c r="FX101" s="1565"/>
      <c r="FY101" s="1565"/>
      <c r="FZ101" s="1565"/>
      <c r="GA101" s="1565"/>
      <c r="GB101" s="1565"/>
      <c r="GC101" s="1565"/>
      <c r="GD101" s="1565"/>
      <c r="GE101" s="1565"/>
      <c r="GF101" s="1565"/>
      <c r="GG101" s="1565"/>
      <c r="GH101" s="1565"/>
      <c r="GI101" s="1565"/>
      <c r="GJ101" s="1565"/>
      <c r="GK101" s="1565"/>
      <c r="GL101" s="1565"/>
      <c r="GM101" s="1565"/>
      <c r="GN101" s="1565"/>
      <c r="GO101" s="1565"/>
      <c r="GP101" s="1565"/>
      <c r="GQ101" s="1565"/>
      <c r="GR101" s="1565"/>
      <c r="GS101" s="1565"/>
      <c r="GT101" s="1565"/>
      <c r="GU101" s="1565"/>
      <c r="GV101" s="1565"/>
      <c r="GW101" s="1565"/>
      <c r="GX101" s="1565"/>
      <c r="GY101" s="1565"/>
      <c r="GZ101" s="1565"/>
      <c r="HA101" s="1565"/>
      <c r="HB101" s="1565"/>
      <c r="HC101" s="1565"/>
      <c r="HD101" s="1565"/>
      <c r="HE101" s="1565"/>
      <c r="HF101" s="1565"/>
      <c r="HG101" s="1565"/>
      <c r="HH101" s="1565"/>
      <c r="HI101" s="1565"/>
      <c r="HJ101" s="1565"/>
      <c r="HK101" s="1565"/>
      <c r="HL101" s="1565"/>
      <c r="HM101" s="1565"/>
      <c r="HN101" s="1565"/>
      <c r="HO101" s="1565"/>
      <c r="HP101" s="1565"/>
      <c r="HQ101" s="1565"/>
      <c r="HR101" s="1565"/>
      <c r="HS101" s="1565"/>
      <c r="HT101" s="1565"/>
      <c r="HU101" s="1565"/>
      <c r="HV101" s="1565"/>
      <c r="HW101" s="1565"/>
      <c r="HX101" s="1565"/>
      <c r="HY101" s="1565"/>
      <c r="HZ101" s="1565"/>
      <c r="IA101" s="1565"/>
      <c r="IB101" s="1565"/>
      <c r="IC101" s="1565"/>
      <c r="ID101" s="1565"/>
      <c r="IE101" s="1565"/>
      <c r="IF101" s="1565"/>
      <c r="IG101" s="1565"/>
    </row>
    <row r="102" spans="1:241" s="1552" customFormat="1" ht="36" hidden="1" outlineLevel="2">
      <c r="A102" s="1549">
        <v>99</v>
      </c>
      <c r="B102" s="1556" t="s">
        <v>303</v>
      </c>
      <c r="C102" s="1578" t="s">
        <v>1974</v>
      </c>
      <c r="D102" s="1579" t="s">
        <v>1789</v>
      </c>
      <c r="E102" s="1580" t="s">
        <v>1781</v>
      </c>
      <c r="F102" s="1579" t="s">
        <v>1799</v>
      </c>
      <c r="G102" s="1502"/>
      <c r="H102" s="2070"/>
      <c r="I102" s="2070"/>
      <c r="J102" s="2098"/>
      <c r="K102" s="2098"/>
      <c r="L102" s="2070"/>
      <c r="M102" s="2070"/>
      <c r="N102" s="2099"/>
      <c r="O102" s="2070"/>
      <c r="P102" s="2098"/>
      <c r="Q102" s="2100"/>
      <c r="R102" s="2100"/>
      <c r="S102" s="2100"/>
      <c r="T102" s="2100"/>
      <c r="U102" s="2100"/>
      <c r="V102" s="2100"/>
      <c r="W102" s="2100"/>
      <c r="X102" s="2100"/>
      <c r="Y102" s="2100"/>
      <c r="Z102" s="2100"/>
      <c r="AA102" s="2100"/>
      <c r="AB102" s="2100"/>
      <c r="AC102" s="2100"/>
      <c r="AD102" s="2100"/>
      <c r="AE102" s="2100"/>
      <c r="AF102" s="2100"/>
      <c r="AG102" s="2100"/>
      <c r="AH102" s="2100"/>
      <c r="AI102" s="2100"/>
      <c r="AJ102" s="2100"/>
      <c r="AK102" s="2100"/>
      <c r="AL102" s="2100"/>
      <c r="AM102" s="2100"/>
      <c r="AN102" s="2100"/>
      <c r="AO102" s="2100"/>
      <c r="AP102" s="2100"/>
      <c r="AQ102" s="2100"/>
      <c r="AR102" s="2100"/>
      <c r="AS102" s="2100"/>
      <c r="AT102" s="2100"/>
      <c r="AU102" s="2100"/>
      <c r="AV102" s="2100"/>
      <c r="AW102" s="2100"/>
      <c r="AX102" s="2100"/>
      <c r="AY102" s="2101"/>
      <c r="AZ102" s="2101"/>
      <c r="BA102" s="2101"/>
      <c r="BB102" s="2101"/>
      <c r="BC102" s="2101"/>
      <c r="BD102" s="2101"/>
      <c r="BE102" s="2101"/>
      <c r="BF102" s="2101"/>
      <c r="BG102" s="2101"/>
      <c r="BH102" s="2101"/>
      <c r="BI102" s="2101"/>
      <c r="BJ102" s="2101"/>
      <c r="BK102" s="2101"/>
      <c r="BL102" s="2101"/>
      <c r="BM102" s="2101"/>
      <c r="BN102" s="2101"/>
      <c r="BO102" s="2101"/>
      <c r="BP102" s="2101"/>
      <c r="BQ102" s="2101"/>
      <c r="BR102" s="2101"/>
      <c r="BS102" s="2101"/>
      <c r="BT102" s="2101"/>
      <c r="BU102" s="2101"/>
      <c r="BV102" s="2101"/>
      <c r="BW102" s="2101"/>
      <c r="BX102" s="2101"/>
      <c r="BY102" s="2101"/>
      <c r="BZ102" s="2101"/>
      <c r="CA102" s="2101"/>
      <c r="CB102" s="2101"/>
      <c r="CC102" s="2101"/>
      <c r="CD102" s="2101"/>
      <c r="CE102" s="2102"/>
      <c r="CF102" s="2102"/>
      <c r="CG102" s="2102"/>
      <c r="CH102" s="2102"/>
      <c r="CI102" s="2102"/>
      <c r="CJ102" s="2102"/>
      <c r="CK102" s="2102"/>
      <c r="CL102" s="2102"/>
      <c r="CM102" s="2102"/>
      <c r="CN102" s="2102"/>
      <c r="CO102" s="2101"/>
      <c r="CP102" s="2101"/>
      <c r="CQ102" s="2102"/>
      <c r="CR102" s="2102"/>
      <c r="CS102" s="2101"/>
      <c r="CT102" s="2102"/>
      <c r="CU102" s="2101"/>
      <c r="CV102" s="2102"/>
      <c r="CW102" s="2101"/>
      <c r="CX102" s="2102"/>
      <c r="CY102" s="2101"/>
      <c r="CZ102" s="2101"/>
      <c r="DA102" s="2101"/>
      <c r="DB102" s="2101"/>
      <c r="DC102" s="2101"/>
      <c r="DD102" s="2101"/>
      <c r="DE102" s="2101"/>
      <c r="DF102" s="2101"/>
      <c r="DG102" s="2101"/>
      <c r="DH102" s="2102">
        <f>DH98</f>
        <v>23850</v>
      </c>
      <c r="DI102" s="2102" t="e">
        <f t="shared" ref="DI102:DP102" si="188">DI98</f>
        <v>#REF!</v>
      </c>
      <c r="DJ102" s="2102" t="e">
        <f t="shared" si="188"/>
        <v>#REF!</v>
      </c>
      <c r="DK102" s="2102" t="e">
        <f t="shared" si="188"/>
        <v>#REF!</v>
      </c>
      <c r="DL102" s="2102">
        <f t="shared" si="188"/>
        <v>27650</v>
      </c>
      <c r="DM102" s="2102">
        <f t="shared" si="188"/>
        <v>29350</v>
      </c>
      <c r="DN102" s="2102">
        <f t="shared" si="188"/>
        <v>27650</v>
      </c>
      <c r="DO102" s="2102">
        <f t="shared" si="188"/>
        <v>29350</v>
      </c>
      <c r="DP102" s="2102">
        <f t="shared" si="188"/>
        <v>42550</v>
      </c>
      <c r="DQ102" s="2102"/>
      <c r="DR102" s="2102" t="e">
        <f t="shared" si="187"/>
        <v>#REF!</v>
      </c>
      <c r="DS102" s="2102">
        <f t="shared" si="187"/>
        <v>27650</v>
      </c>
      <c r="DT102" s="2102" t="e">
        <f t="shared" si="187"/>
        <v>#REF!</v>
      </c>
      <c r="DU102" s="2101"/>
      <c r="DV102" s="2101"/>
      <c r="DW102" s="2101"/>
      <c r="DX102" s="2101"/>
      <c r="DY102" s="2101"/>
      <c r="DZ102" s="2101"/>
      <c r="EA102" s="2101"/>
      <c r="EB102" s="2101"/>
      <c r="EC102" s="2101"/>
      <c r="ED102" s="2101"/>
      <c r="EE102" s="2101"/>
      <c r="EF102" s="2101"/>
      <c r="EG102" s="2101"/>
      <c r="EH102" s="2101"/>
      <c r="EI102" s="2101"/>
      <c r="EJ102" s="2101"/>
      <c r="EK102" s="2101"/>
      <c r="EL102" s="2101"/>
      <c r="EM102" s="2101"/>
      <c r="EN102" s="2101"/>
      <c r="EO102" s="2101"/>
      <c r="EP102" s="2101"/>
      <c r="EQ102" s="2101"/>
      <c r="ER102" s="2101"/>
      <c r="ES102" s="2101"/>
      <c r="ET102" s="2101"/>
      <c r="EU102" s="2101"/>
      <c r="EV102" s="2101"/>
      <c r="EW102" s="2101"/>
      <c r="EX102" s="2101"/>
      <c r="EY102" s="2101"/>
      <c r="EZ102" s="2101"/>
      <c r="FA102" s="2101"/>
      <c r="FB102" s="2101"/>
      <c r="FC102" s="2101"/>
      <c r="FD102" s="2101"/>
      <c r="FE102" s="2104"/>
      <c r="FF102" s="2082"/>
      <c r="FG102" s="2082"/>
      <c r="FH102" s="2082"/>
      <c r="FI102" s="2082"/>
      <c r="FJ102" s="2082"/>
      <c r="FK102" s="1565"/>
      <c r="FL102" s="1565"/>
      <c r="FM102" s="1565"/>
      <c r="FN102" s="1565"/>
      <c r="FO102" s="1565"/>
      <c r="FP102" s="1565"/>
      <c r="FQ102" s="1565"/>
      <c r="FR102" s="1565"/>
      <c r="FS102" s="1565"/>
      <c r="FT102" s="1565"/>
      <c r="FU102" s="1565"/>
      <c r="FV102" s="1565"/>
      <c r="FW102" s="1565"/>
      <c r="FX102" s="1565"/>
      <c r="FY102" s="1565"/>
      <c r="FZ102" s="1565"/>
      <c r="GA102" s="1565"/>
      <c r="GB102" s="1565"/>
      <c r="GC102" s="1565"/>
      <c r="GD102" s="1565"/>
      <c r="GE102" s="1565"/>
      <c r="GF102" s="1565"/>
      <c r="GG102" s="1565"/>
      <c r="GH102" s="1565"/>
      <c r="GI102" s="1565"/>
      <c r="GJ102" s="1565"/>
      <c r="GK102" s="1565"/>
      <c r="GL102" s="1565"/>
      <c r="GM102" s="1565"/>
      <c r="GN102" s="1565"/>
      <c r="GO102" s="1565"/>
      <c r="GP102" s="1565"/>
      <c r="GQ102" s="1565"/>
      <c r="GR102" s="1565"/>
      <c r="GS102" s="1565"/>
      <c r="GT102" s="1565"/>
      <c r="GU102" s="1565"/>
      <c r="GV102" s="1565"/>
      <c r="GW102" s="1565"/>
      <c r="GX102" s="1565"/>
      <c r="GY102" s="1565"/>
      <c r="GZ102" s="1565"/>
      <c r="HA102" s="1565"/>
      <c r="HB102" s="1565"/>
      <c r="HC102" s="1565"/>
      <c r="HD102" s="1565"/>
      <c r="HE102" s="1565"/>
      <c r="HF102" s="1565"/>
      <c r="HG102" s="1565"/>
      <c r="HH102" s="1565"/>
      <c r="HI102" s="1565"/>
      <c r="HJ102" s="1565"/>
      <c r="HK102" s="1565"/>
      <c r="HL102" s="1565"/>
      <c r="HM102" s="1565"/>
      <c r="HN102" s="1565"/>
      <c r="HO102" s="1565"/>
      <c r="HP102" s="1565"/>
      <c r="HQ102" s="1565"/>
      <c r="HR102" s="1565"/>
      <c r="HS102" s="1565"/>
      <c r="HT102" s="1565"/>
      <c r="HU102" s="1565"/>
      <c r="HV102" s="1565"/>
      <c r="HW102" s="1565"/>
      <c r="HX102" s="1565"/>
      <c r="HY102" s="1565"/>
      <c r="HZ102" s="1565"/>
      <c r="IA102" s="1565"/>
      <c r="IB102" s="1565"/>
      <c r="IC102" s="1565"/>
      <c r="ID102" s="1565"/>
      <c r="IE102" s="1565"/>
      <c r="IF102" s="1565"/>
      <c r="IG102" s="1565"/>
    </row>
    <row r="103" spans="1:241" s="1552" customFormat="1" ht="36" hidden="1" outlineLevel="2">
      <c r="A103" s="1552">
        <v>100</v>
      </c>
      <c r="B103" s="1556" t="s">
        <v>303</v>
      </c>
      <c r="C103" s="1578" t="s">
        <v>1974</v>
      </c>
      <c r="D103" s="1579" t="s">
        <v>1789</v>
      </c>
      <c r="E103" s="1580" t="s">
        <v>1781</v>
      </c>
      <c r="F103" s="1579" t="s">
        <v>1800</v>
      </c>
      <c r="G103" s="1502"/>
      <c r="H103" s="2070"/>
      <c r="I103" s="2070"/>
      <c r="J103" s="2098"/>
      <c r="K103" s="2098"/>
      <c r="L103" s="2070"/>
      <c r="M103" s="2070"/>
      <c r="N103" s="2099"/>
      <c r="O103" s="2070"/>
      <c r="P103" s="2098"/>
      <c r="Q103" s="2100"/>
      <c r="R103" s="2100"/>
      <c r="S103" s="2100"/>
      <c r="T103" s="2100"/>
      <c r="U103" s="2100"/>
      <c r="V103" s="2100"/>
      <c r="W103" s="2100"/>
      <c r="X103" s="2100"/>
      <c r="Y103" s="2100"/>
      <c r="Z103" s="2100"/>
      <c r="AA103" s="2100"/>
      <c r="AB103" s="2100"/>
      <c r="AC103" s="2100"/>
      <c r="AD103" s="2100"/>
      <c r="AE103" s="2100"/>
      <c r="AF103" s="2100"/>
      <c r="AG103" s="2100"/>
      <c r="AH103" s="2100"/>
      <c r="AI103" s="2100"/>
      <c r="AJ103" s="2100"/>
      <c r="AK103" s="2100"/>
      <c r="AL103" s="2100"/>
      <c r="AM103" s="2100"/>
      <c r="AN103" s="2100"/>
      <c r="AO103" s="2100"/>
      <c r="AP103" s="2100"/>
      <c r="AQ103" s="2100"/>
      <c r="AR103" s="2100"/>
      <c r="AS103" s="2100"/>
      <c r="AT103" s="2100"/>
      <c r="AU103" s="2100"/>
      <c r="AV103" s="2100"/>
      <c r="AW103" s="2100"/>
      <c r="AX103" s="2100"/>
      <c r="AY103" s="2101"/>
      <c r="AZ103" s="2101"/>
      <c r="BA103" s="2101"/>
      <c r="BB103" s="2101"/>
      <c r="BC103" s="2101"/>
      <c r="BD103" s="2101"/>
      <c r="BE103" s="2101"/>
      <c r="BF103" s="2101"/>
      <c r="BG103" s="2101"/>
      <c r="BH103" s="2101"/>
      <c r="BI103" s="2101"/>
      <c r="BJ103" s="2101"/>
      <c r="BK103" s="2101"/>
      <c r="BL103" s="2101"/>
      <c r="BM103" s="2101"/>
      <c r="BN103" s="2101"/>
      <c r="BO103" s="2101"/>
      <c r="BP103" s="2101"/>
      <c r="BQ103" s="2101"/>
      <c r="BR103" s="2101"/>
      <c r="BS103" s="2101"/>
      <c r="BT103" s="2101"/>
      <c r="BU103" s="2101"/>
      <c r="BV103" s="2101"/>
      <c r="BW103" s="2101"/>
      <c r="BX103" s="2101"/>
      <c r="BY103" s="2101"/>
      <c r="BZ103" s="2101"/>
      <c r="CA103" s="2101"/>
      <c r="CB103" s="2101"/>
      <c r="CC103" s="2101"/>
      <c r="CD103" s="2101"/>
      <c r="CE103" s="2102"/>
      <c r="CF103" s="2102"/>
      <c r="CG103" s="2102"/>
      <c r="CH103" s="2102"/>
      <c r="CI103" s="2102"/>
      <c r="CJ103" s="2102"/>
      <c r="CK103" s="2102"/>
      <c r="CL103" s="2102"/>
      <c r="CM103" s="2102"/>
      <c r="CN103" s="2102"/>
      <c r="CO103" s="2101"/>
      <c r="CP103" s="2101"/>
      <c r="CQ103" s="2102"/>
      <c r="CR103" s="2102"/>
      <c r="CS103" s="2101"/>
      <c r="CT103" s="2102"/>
      <c r="CU103" s="2101"/>
      <c r="CV103" s="2102"/>
      <c r="CW103" s="2101"/>
      <c r="CX103" s="2102"/>
      <c r="CY103" s="2101"/>
      <c r="CZ103" s="2101"/>
      <c r="DA103" s="2101"/>
      <c r="DB103" s="2101"/>
      <c r="DC103" s="2101"/>
      <c r="DD103" s="2101"/>
      <c r="DE103" s="2101"/>
      <c r="DF103" s="2101"/>
      <c r="DG103" s="2101"/>
      <c r="DH103" s="2102">
        <f>DH99</f>
        <v>23850</v>
      </c>
      <c r="DI103" s="2102" t="e">
        <f t="shared" ref="DI103:DP103" si="189">DI99</f>
        <v>#REF!</v>
      </c>
      <c r="DJ103" s="2102" t="e">
        <f t="shared" si="189"/>
        <v>#REF!</v>
      </c>
      <c r="DK103" s="2102" t="e">
        <f t="shared" si="189"/>
        <v>#REF!</v>
      </c>
      <c r="DL103" s="2102">
        <f t="shared" si="189"/>
        <v>27650</v>
      </c>
      <c r="DM103" s="2102">
        <f t="shared" si="189"/>
        <v>29350</v>
      </c>
      <c r="DN103" s="2102">
        <f t="shared" si="189"/>
        <v>27650</v>
      </c>
      <c r="DO103" s="2102">
        <f t="shared" si="189"/>
        <v>29350</v>
      </c>
      <c r="DP103" s="2102">
        <f t="shared" si="189"/>
        <v>42550</v>
      </c>
      <c r="DQ103" s="2102"/>
      <c r="DR103" s="2102" t="e">
        <f t="shared" si="187"/>
        <v>#REF!</v>
      </c>
      <c r="DS103" s="2102">
        <f t="shared" si="187"/>
        <v>27650</v>
      </c>
      <c r="DT103" s="2102" t="e">
        <f t="shared" si="187"/>
        <v>#REF!</v>
      </c>
      <c r="DU103" s="2101"/>
      <c r="DV103" s="2101"/>
      <c r="DW103" s="2101"/>
      <c r="DX103" s="2101"/>
      <c r="DY103" s="2101"/>
      <c r="DZ103" s="2101"/>
      <c r="EA103" s="2101"/>
      <c r="EB103" s="2101"/>
      <c r="EC103" s="2101"/>
      <c r="ED103" s="2101"/>
      <c r="EE103" s="2101"/>
      <c r="EF103" s="2101"/>
      <c r="EG103" s="2101"/>
      <c r="EH103" s="2101"/>
      <c r="EI103" s="2101"/>
      <c r="EJ103" s="2101"/>
      <c r="EK103" s="2101"/>
      <c r="EL103" s="2101"/>
      <c r="EM103" s="2101"/>
      <c r="EN103" s="2101"/>
      <c r="EO103" s="2101"/>
      <c r="EP103" s="2101"/>
      <c r="EQ103" s="2101"/>
      <c r="ER103" s="2101"/>
      <c r="ES103" s="2101"/>
      <c r="ET103" s="2101"/>
      <c r="EU103" s="2101"/>
      <c r="EV103" s="2101"/>
      <c r="EW103" s="2101"/>
      <c r="EX103" s="2101"/>
      <c r="EY103" s="2101"/>
      <c r="EZ103" s="2101"/>
      <c r="FA103" s="2101"/>
      <c r="FB103" s="2101"/>
      <c r="FC103" s="2101"/>
      <c r="FD103" s="2101"/>
      <c r="FE103" s="2104"/>
      <c r="FF103" s="2082"/>
      <c r="FG103" s="2082"/>
      <c r="FH103" s="2082"/>
      <c r="FI103" s="2082"/>
      <c r="FJ103" s="2082"/>
      <c r="FK103" s="1565"/>
      <c r="FL103" s="1565"/>
      <c r="FM103" s="1565"/>
      <c r="FN103" s="1565"/>
      <c r="FO103" s="1565"/>
      <c r="FP103" s="1565"/>
      <c r="FQ103" s="1565"/>
      <c r="FR103" s="1565"/>
      <c r="FS103" s="1565"/>
      <c r="FT103" s="1565"/>
      <c r="FU103" s="1565"/>
      <c r="FV103" s="1565"/>
      <c r="FW103" s="1565"/>
      <c r="FX103" s="1565"/>
      <c r="FY103" s="1565"/>
      <c r="FZ103" s="1565"/>
      <c r="GA103" s="1565"/>
      <c r="GB103" s="1565"/>
      <c r="GC103" s="1565"/>
      <c r="GD103" s="1565"/>
      <c r="GE103" s="1565"/>
      <c r="GF103" s="1565"/>
      <c r="GG103" s="1565"/>
      <c r="GH103" s="1565"/>
      <c r="GI103" s="1565"/>
      <c r="GJ103" s="1565"/>
      <c r="GK103" s="1565"/>
      <c r="GL103" s="1565"/>
      <c r="GM103" s="1565"/>
      <c r="GN103" s="1565"/>
      <c r="GO103" s="1565"/>
      <c r="GP103" s="1565"/>
      <c r="GQ103" s="1565"/>
      <c r="GR103" s="1565"/>
      <c r="GS103" s="1565"/>
      <c r="GT103" s="1565"/>
      <c r="GU103" s="1565"/>
      <c r="GV103" s="1565"/>
      <c r="GW103" s="1565"/>
      <c r="GX103" s="1565"/>
      <c r="GY103" s="1565"/>
      <c r="GZ103" s="1565"/>
      <c r="HA103" s="1565"/>
      <c r="HB103" s="1565"/>
      <c r="HC103" s="1565"/>
      <c r="HD103" s="1565"/>
      <c r="HE103" s="1565"/>
      <c r="HF103" s="1565"/>
      <c r="HG103" s="1565"/>
      <c r="HH103" s="1565"/>
      <c r="HI103" s="1565"/>
      <c r="HJ103" s="1565"/>
      <c r="HK103" s="1565"/>
      <c r="HL103" s="1565"/>
      <c r="HM103" s="1565"/>
      <c r="HN103" s="1565"/>
      <c r="HO103" s="1565"/>
      <c r="HP103" s="1565"/>
      <c r="HQ103" s="1565"/>
      <c r="HR103" s="1565"/>
      <c r="HS103" s="1565"/>
      <c r="HT103" s="1565"/>
      <c r="HU103" s="1565"/>
      <c r="HV103" s="1565"/>
      <c r="HW103" s="1565"/>
      <c r="HX103" s="1565"/>
      <c r="HY103" s="1565"/>
      <c r="HZ103" s="1565"/>
      <c r="IA103" s="1565"/>
      <c r="IB103" s="1565"/>
      <c r="IC103" s="1565"/>
      <c r="ID103" s="1565"/>
      <c r="IE103" s="1565"/>
      <c r="IF103" s="1565"/>
      <c r="IG103" s="1565"/>
    </row>
    <row r="104" spans="1:241" s="1552" customFormat="1" ht="36" hidden="1" outlineLevel="2">
      <c r="A104" s="1549">
        <v>101</v>
      </c>
      <c r="B104" s="1556" t="s">
        <v>303</v>
      </c>
      <c r="C104" s="1578" t="s">
        <v>1974</v>
      </c>
      <c r="D104" s="1579" t="s">
        <v>1789</v>
      </c>
      <c r="E104" s="1580" t="s">
        <v>1781</v>
      </c>
      <c r="F104" s="1579" t="s">
        <v>1801</v>
      </c>
      <c r="G104" s="1502"/>
      <c r="H104" s="2070"/>
      <c r="I104" s="2070"/>
      <c r="J104" s="2098"/>
      <c r="K104" s="2098"/>
      <c r="L104" s="2070"/>
      <c r="M104" s="2070"/>
      <c r="N104" s="2099"/>
      <c r="O104" s="2070"/>
      <c r="P104" s="2098"/>
      <c r="Q104" s="2100"/>
      <c r="R104" s="2100"/>
      <c r="S104" s="2100"/>
      <c r="T104" s="2100"/>
      <c r="U104" s="2100"/>
      <c r="V104" s="2100"/>
      <c r="W104" s="2100"/>
      <c r="X104" s="2100"/>
      <c r="Y104" s="2100"/>
      <c r="Z104" s="2100"/>
      <c r="AA104" s="2100"/>
      <c r="AB104" s="2100"/>
      <c r="AC104" s="2100"/>
      <c r="AD104" s="2100"/>
      <c r="AE104" s="2100"/>
      <c r="AF104" s="2100"/>
      <c r="AG104" s="2100"/>
      <c r="AH104" s="2100"/>
      <c r="AI104" s="2100"/>
      <c r="AJ104" s="2100"/>
      <c r="AK104" s="2100"/>
      <c r="AL104" s="2100"/>
      <c r="AM104" s="2100"/>
      <c r="AN104" s="2100"/>
      <c r="AO104" s="2100"/>
      <c r="AP104" s="2100"/>
      <c r="AQ104" s="2100"/>
      <c r="AR104" s="2100"/>
      <c r="AS104" s="2100"/>
      <c r="AT104" s="2100"/>
      <c r="AU104" s="2100"/>
      <c r="AV104" s="2100"/>
      <c r="AW104" s="2100"/>
      <c r="AX104" s="2100"/>
      <c r="AY104" s="2101"/>
      <c r="AZ104" s="2101"/>
      <c r="BA104" s="2101"/>
      <c r="BB104" s="2101"/>
      <c r="BC104" s="2101"/>
      <c r="BD104" s="2101"/>
      <c r="BE104" s="2101"/>
      <c r="BF104" s="2101"/>
      <c r="BG104" s="2101"/>
      <c r="BH104" s="2101"/>
      <c r="BI104" s="2101"/>
      <c r="BJ104" s="2101"/>
      <c r="BK104" s="2101"/>
      <c r="BL104" s="2101"/>
      <c r="BM104" s="2101"/>
      <c r="BN104" s="2101"/>
      <c r="BO104" s="2101"/>
      <c r="BP104" s="2101"/>
      <c r="BQ104" s="2101"/>
      <c r="BR104" s="2101"/>
      <c r="BS104" s="2101"/>
      <c r="BT104" s="2101"/>
      <c r="BU104" s="2101"/>
      <c r="BV104" s="2101"/>
      <c r="BW104" s="2101"/>
      <c r="BX104" s="2101"/>
      <c r="BY104" s="2101"/>
      <c r="BZ104" s="2101"/>
      <c r="CA104" s="2101"/>
      <c r="CB104" s="2101"/>
      <c r="CC104" s="2101"/>
      <c r="CD104" s="2101"/>
      <c r="CE104" s="2102"/>
      <c r="CF104" s="2102"/>
      <c r="CG104" s="2102"/>
      <c r="CH104" s="2102"/>
      <c r="CI104" s="2102"/>
      <c r="CJ104" s="2102"/>
      <c r="CK104" s="2102"/>
      <c r="CL104" s="2102"/>
      <c r="CM104" s="2102"/>
      <c r="CN104" s="2102"/>
      <c r="CO104" s="2101"/>
      <c r="CP104" s="2101"/>
      <c r="CQ104" s="2102"/>
      <c r="CR104" s="2102"/>
      <c r="CS104" s="2101"/>
      <c r="CT104" s="2102"/>
      <c r="CU104" s="2101"/>
      <c r="CV104" s="2102"/>
      <c r="CW104" s="2101"/>
      <c r="CX104" s="2102"/>
      <c r="CY104" s="2101"/>
      <c r="CZ104" s="2101"/>
      <c r="DA104" s="2101"/>
      <c r="DB104" s="2101"/>
      <c r="DC104" s="2101"/>
      <c r="DD104" s="2101"/>
      <c r="DE104" s="2101"/>
      <c r="DF104" s="2101"/>
      <c r="DG104" s="2101"/>
      <c r="DH104" s="2102">
        <f>DH100</f>
        <v>23850</v>
      </c>
      <c r="DI104" s="2102" t="e">
        <f t="shared" ref="DI104:DP104" si="190">DI100</f>
        <v>#REF!</v>
      </c>
      <c r="DJ104" s="2102" t="e">
        <f t="shared" si="190"/>
        <v>#REF!</v>
      </c>
      <c r="DK104" s="2102" t="e">
        <f t="shared" si="190"/>
        <v>#REF!</v>
      </c>
      <c r="DL104" s="2102">
        <f t="shared" si="190"/>
        <v>27650</v>
      </c>
      <c r="DM104" s="2102">
        <f t="shared" si="190"/>
        <v>29350</v>
      </c>
      <c r="DN104" s="2102">
        <f t="shared" si="190"/>
        <v>27650</v>
      </c>
      <c r="DO104" s="2102">
        <f t="shared" si="190"/>
        <v>29350</v>
      </c>
      <c r="DP104" s="2102">
        <f t="shared" si="190"/>
        <v>42550</v>
      </c>
      <c r="DQ104" s="2102"/>
      <c r="DR104" s="2102" t="e">
        <f t="shared" si="187"/>
        <v>#REF!</v>
      </c>
      <c r="DS104" s="2102">
        <f t="shared" si="187"/>
        <v>27650</v>
      </c>
      <c r="DT104" s="2102" t="e">
        <f t="shared" si="187"/>
        <v>#REF!</v>
      </c>
      <c r="DU104" s="2101"/>
      <c r="DV104" s="2101"/>
      <c r="DW104" s="2101"/>
      <c r="DX104" s="2101"/>
      <c r="DY104" s="2101"/>
      <c r="DZ104" s="2101"/>
      <c r="EA104" s="2101"/>
      <c r="EB104" s="2101"/>
      <c r="EC104" s="2101"/>
      <c r="ED104" s="2101"/>
      <c r="EE104" s="2101"/>
      <c r="EF104" s="2101"/>
      <c r="EG104" s="2101"/>
      <c r="EH104" s="2101"/>
      <c r="EI104" s="2101"/>
      <c r="EJ104" s="2101"/>
      <c r="EK104" s="2101"/>
      <c r="EL104" s="2101"/>
      <c r="EM104" s="2101"/>
      <c r="EN104" s="2101"/>
      <c r="EO104" s="2101"/>
      <c r="EP104" s="2101"/>
      <c r="EQ104" s="2101"/>
      <c r="ER104" s="2101"/>
      <c r="ES104" s="2101"/>
      <c r="ET104" s="2101"/>
      <c r="EU104" s="2101"/>
      <c r="EV104" s="2101"/>
      <c r="EW104" s="2101"/>
      <c r="EX104" s="2101"/>
      <c r="EY104" s="2101"/>
      <c r="EZ104" s="2101"/>
      <c r="FA104" s="2101"/>
      <c r="FB104" s="2101"/>
      <c r="FC104" s="2101"/>
      <c r="FD104" s="2101"/>
      <c r="FE104" s="2104"/>
      <c r="FF104" s="2082"/>
      <c r="FG104" s="2082"/>
      <c r="FH104" s="2082"/>
      <c r="FI104" s="2082"/>
      <c r="FJ104" s="2082"/>
      <c r="FK104" s="1565"/>
      <c r="FL104" s="1565"/>
      <c r="FM104" s="1565"/>
      <c r="FN104" s="1565"/>
      <c r="FO104" s="1565"/>
      <c r="FP104" s="1565"/>
      <c r="FQ104" s="1565"/>
      <c r="FR104" s="1565"/>
      <c r="FS104" s="1565"/>
      <c r="FT104" s="1565"/>
      <c r="FU104" s="1565"/>
      <c r="FV104" s="1565"/>
      <c r="FW104" s="1565"/>
      <c r="FX104" s="1565"/>
      <c r="FY104" s="1565"/>
      <c r="FZ104" s="1565"/>
      <c r="GA104" s="1565"/>
      <c r="GB104" s="1565"/>
      <c r="GC104" s="1565"/>
      <c r="GD104" s="1565"/>
      <c r="GE104" s="1565"/>
      <c r="GF104" s="1565"/>
      <c r="GG104" s="1565"/>
      <c r="GH104" s="1565"/>
      <c r="GI104" s="1565"/>
      <c r="GJ104" s="1565"/>
      <c r="GK104" s="1565"/>
      <c r="GL104" s="1565"/>
      <c r="GM104" s="1565"/>
      <c r="GN104" s="1565"/>
      <c r="GO104" s="1565"/>
      <c r="GP104" s="1565"/>
      <c r="GQ104" s="1565"/>
      <c r="GR104" s="1565"/>
      <c r="GS104" s="1565"/>
      <c r="GT104" s="1565"/>
      <c r="GU104" s="1565"/>
      <c r="GV104" s="1565"/>
      <c r="GW104" s="1565"/>
      <c r="GX104" s="1565"/>
      <c r="GY104" s="1565"/>
      <c r="GZ104" s="1565"/>
      <c r="HA104" s="1565"/>
      <c r="HB104" s="1565"/>
      <c r="HC104" s="1565"/>
      <c r="HD104" s="1565"/>
      <c r="HE104" s="1565"/>
      <c r="HF104" s="1565"/>
      <c r="HG104" s="1565"/>
      <c r="HH104" s="1565"/>
      <c r="HI104" s="1565"/>
      <c r="HJ104" s="1565"/>
      <c r="HK104" s="1565"/>
      <c r="HL104" s="1565"/>
      <c r="HM104" s="1565"/>
      <c r="HN104" s="1565"/>
      <c r="HO104" s="1565"/>
      <c r="HP104" s="1565"/>
      <c r="HQ104" s="1565"/>
      <c r="HR104" s="1565"/>
      <c r="HS104" s="1565"/>
      <c r="HT104" s="1565"/>
      <c r="HU104" s="1565"/>
      <c r="HV104" s="1565"/>
      <c r="HW104" s="1565"/>
      <c r="HX104" s="1565"/>
      <c r="HY104" s="1565"/>
      <c r="HZ104" s="1565"/>
      <c r="IA104" s="1565"/>
      <c r="IB104" s="1565"/>
      <c r="IC104" s="1565"/>
      <c r="ID104" s="1565"/>
      <c r="IE104" s="1565"/>
      <c r="IF104" s="1565"/>
      <c r="IG104" s="1565"/>
    </row>
    <row r="105" spans="1:241" s="1552" customFormat="1" ht="36" hidden="1" outlineLevel="2">
      <c r="A105" s="1552">
        <v>102</v>
      </c>
      <c r="B105" s="1556" t="s">
        <v>303</v>
      </c>
      <c r="C105" s="1578" t="s">
        <v>1974</v>
      </c>
      <c r="D105" s="1579" t="s">
        <v>1789</v>
      </c>
      <c r="E105" s="1580" t="s">
        <v>1781</v>
      </c>
      <c r="F105" s="1579" t="s">
        <v>1802</v>
      </c>
      <c r="G105" s="1502"/>
      <c r="H105" s="2070"/>
      <c r="I105" s="2070"/>
      <c r="J105" s="2098"/>
      <c r="K105" s="2098"/>
      <c r="L105" s="2070"/>
      <c r="M105" s="2070"/>
      <c r="N105" s="2099"/>
      <c r="O105" s="2070"/>
      <c r="P105" s="2098"/>
      <c r="Q105" s="2100"/>
      <c r="R105" s="2100"/>
      <c r="S105" s="2100"/>
      <c r="T105" s="2100"/>
      <c r="U105" s="2100"/>
      <c r="V105" s="2100"/>
      <c r="W105" s="2100"/>
      <c r="X105" s="2100"/>
      <c r="Y105" s="2100"/>
      <c r="Z105" s="2100"/>
      <c r="AA105" s="2100"/>
      <c r="AB105" s="2100"/>
      <c r="AC105" s="2100"/>
      <c r="AD105" s="2100"/>
      <c r="AE105" s="2100"/>
      <c r="AF105" s="2100"/>
      <c r="AG105" s="2100"/>
      <c r="AH105" s="2100"/>
      <c r="AI105" s="2100"/>
      <c r="AJ105" s="2100"/>
      <c r="AK105" s="2100"/>
      <c r="AL105" s="2100"/>
      <c r="AM105" s="2100"/>
      <c r="AN105" s="2100"/>
      <c r="AO105" s="2100"/>
      <c r="AP105" s="2100"/>
      <c r="AQ105" s="2100"/>
      <c r="AR105" s="2100"/>
      <c r="AS105" s="2100"/>
      <c r="AT105" s="2100"/>
      <c r="AU105" s="2100"/>
      <c r="AV105" s="2100"/>
      <c r="AW105" s="2100"/>
      <c r="AX105" s="2100"/>
      <c r="AY105" s="2101"/>
      <c r="AZ105" s="2101"/>
      <c r="BA105" s="2101"/>
      <c r="BB105" s="2101"/>
      <c r="BC105" s="2101"/>
      <c r="BD105" s="2101"/>
      <c r="BE105" s="2101"/>
      <c r="BF105" s="2101"/>
      <c r="BG105" s="2101"/>
      <c r="BH105" s="2101"/>
      <c r="BI105" s="2101"/>
      <c r="BJ105" s="2101"/>
      <c r="BK105" s="2101"/>
      <c r="BL105" s="2101"/>
      <c r="BM105" s="2101"/>
      <c r="BN105" s="2101"/>
      <c r="BO105" s="2101"/>
      <c r="BP105" s="2101"/>
      <c r="BQ105" s="2101"/>
      <c r="BR105" s="2101"/>
      <c r="BS105" s="2101"/>
      <c r="BT105" s="2101"/>
      <c r="BU105" s="2101"/>
      <c r="BV105" s="2101"/>
      <c r="BW105" s="2101"/>
      <c r="BX105" s="2101"/>
      <c r="BY105" s="2101"/>
      <c r="BZ105" s="2101"/>
      <c r="CA105" s="2101"/>
      <c r="CB105" s="2101"/>
      <c r="CC105" s="2101"/>
      <c r="CD105" s="2101"/>
      <c r="CE105" s="2102"/>
      <c r="CF105" s="2102"/>
      <c r="CG105" s="2102"/>
      <c r="CH105" s="2102"/>
      <c r="CI105" s="2102"/>
      <c r="CJ105" s="2102"/>
      <c r="CK105" s="2102"/>
      <c r="CL105" s="2102"/>
      <c r="CM105" s="2102"/>
      <c r="CN105" s="2102"/>
      <c r="CO105" s="2101"/>
      <c r="CP105" s="2101"/>
      <c r="CQ105" s="2102"/>
      <c r="CR105" s="2102"/>
      <c r="CS105" s="2101"/>
      <c r="CT105" s="2102"/>
      <c r="CU105" s="2101"/>
      <c r="CV105" s="2102"/>
      <c r="CW105" s="2101"/>
      <c r="CX105" s="2102"/>
      <c r="CY105" s="2101"/>
      <c r="CZ105" s="2101"/>
      <c r="DA105" s="2101"/>
      <c r="DB105" s="2101"/>
      <c r="DC105" s="2101"/>
      <c r="DD105" s="2101"/>
      <c r="DE105" s="2101"/>
      <c r="DF105" s="2101"/>
      <c r="DG105" s="2101"/>
      <c r="DH105" s="2102">
        <f>DH101</f>
        <v>23850</v>
      </c>
      <c r="DI105" s="2102" t="e">
        <f t="shared" ref="DI105:DP105" si="191">DI101</f>
        <v>#REF!</v>
      </c>
      <c r="DJ105" s="2102" t="e">
        <f t="shared" si="191"/>
        <v>#REF!</v>
      </c>
      <c r="DK105" s="2102" t="e">
        <f t="shared" si="191"/>
        <v>#REF!</v>
      </c>
      <c r="DL105" s="2102">
        <f t="shared" si="191"/>
        <v>27650</v>
      </c>
      <c r="DM105" s="2102">
        <f t="shared" si="191"/>
        <v>29350</v>
      </c>
      <c r="DN105" s="2102">
        <f t="shared" si="191"/>
        <v>27650</v>
      </c>
      <c r="DO105" s="2102">
        <f t="shared" si="191"/>
        <v>29350</v>
      </c>
      <c r="DP105" s="2102">
        <f t="shared" si="191"/>
        <v>42550</v>
      </c>
      <c r="DQ105" s="2102"/>
      <c r="DR105" s="2102" t="e">
        <f t="shared" si="187"/>
        <v>#REF!</v>
      </c>
      <c r="DS105" s="2102">
        <f t="shared" si="187"/>
        <v>27650</v>
      </c>
      <c r="DT105" s="2102" t="e">
        <f t="shared" si="187"/>
        <v>#REF!</v>
      </c>
      <c r="DU105" s="2101"/>
      <c r="DV105" s="2101"/>
      <c r="DW105" s="2101"/>
      <c r="DX105" s="2101"/>
      <c r="DY105" s="2101"/>
      <c r="DZ105" s="2101"/>
      <c r="EA105" s="2101"/>
      <c r="EB105" s="2101"/>
      <c r="EC105" s="2101"/>
      <c r="ED105" s="2101"/>
      <c r="EE105" s="2101"/>
      <c r="EF105" s="2101"/>
      <c r="EG105" s="2101"/>
      <c r="EH105" s="2101"/>
      <c r="EI105" s="2101"/>
      <c r="EJ105" s="2101"/>
      <c r="EK105" s="2101"/>
      <c r="EL105" s="2101"/>
      <c r="EM105" s="2101"/>
      <c r="EN105" s="2101"/>
      <c r="EO105" s="2101"/>
      <c r="EP105" s="2101"/>
      <c r="EQ105" s="2101"/>
      <c r="ER105" s="2101"/>
      <c r="ES105" s="2101"/>
      <c r="ET105" s="2101"/>
      <c r="EU105" s="2101"/>
      <c r="EV105" s="2101"/>
      <c r="EW105" s="2101"/>
      <c r="EX105" s="2101"/>
      <c r="EY105" s="2101"/>
      <c r="EZ105" s="2101"/>
      <c r="FA105" s="2101"/>
      <c r="FB105" s="2101"/>
      <c r="FC105" s="2101"/>
      <c r="FD105" s="2101"/>
      <c r="FE105" s="2104"/>
      <c r="FF105" s="2082"/>
      <c r="FG105" s="2082"/>
      <c r="FH105" s="2082"/>
      <c r="FI105" s="2082"/>
      <c r="FJ105" s="2082"/>
      <c r="FK105" s="1565"/>
      <c r="FL105" s="1565"/>
      <c r="FM105" s="1565"/>
      <c r="FN105" s="1565"/>
      <c r="FO105" s="1565"/>
      <c r="FP105" s="1565"/>
      <c r="FQ105" s="1565"/>
      <c r="FR105" s="1565"/>
      <c r="FS105" s="1565"/>
      <c r="FT105" s="1565"/>
      <c r="FU105" s="1565"/>
      <c r="FV105" s="1565"/>
      <c r="FW105" s="1565"/>
      <c r="FX105" s="1565"/>
      <c r="FY105" s="1565"/>
      <c r="FZ105" s="1565"/>
      <c r="GA105" s="1565"/>
      <c r="GB105" s="1565"/>
      <c r="GC105" s="1565"/>
      <c r="GD105" s="1565"/>
      <c r="GE105" s="1565"/>
      <c r="GF105" s="1565"/>
      <c r="GG105" s="1565"/>
      <c r="GH105" s="1565"/>
      <c r="GI105" s="1565"/>
      <c r="GJ105" s="1565"/>
      <c r="GK105" s="1565"/>
      <c r="GL105" s="1565"/>
      <c r="GM105" s="1565"/>
      <c r="GN105" s="1565"/>
      <c r="GO105" s="1565"/>
      <c r="GP105" s="1565"/>
      <c r="GQ105" s="1565"/>
      <c r="GR105" s="1565"/>
      <c r="GS105" s="1565"/>
      <c r="GT105" s="1565"/>
      <c r="GU105" s="1565"/>
      <c r="GV105" s="1565"/>
      <c r="GW105" s="1565"/>
      <c r="GX105" s="1565"/>
      <c r="GY105" s="1565"/>
      <c r="GZ105" s="1565"/>
      <c r="HA105" s="1565"/>
      <c r="HB105" s="1565"/>
      <c r="HC105" s="1565"/>
      <c r="HD105" s="1565"/>
      <c r="HE105" s="1565"/>
      <c r="HF105" s="1565"/>
      <c r="HG105" s="1565"/>
      <c r="HH105" s="1565"/>
      <c r="HI105" s="1565"/>
      <c r="HJ105" s="1565"/>
      <c r="HK105" s="1565"/>
      <c r="HL105" s="1565"/>
      <c r="HM105" s="1565"/>
      <c r="HN105" s="1565"/>
      <c r="HO105" s="1565"/>
      <c r="HP105" s="1565"/>
      <c r="HQ105" s="1565"/>
      <c r="HR105" s="1565"/>
      <c r="HS105" s="1565"/>
      <c r="HT105" s="1565"/>
      <c r="HU105" s="1565"/>
      <c r="HV105" s="1565"/>
      <c r="HW105" s="1565"/>
      <c r="HX105" s="1565"/>
      <c r="HY105" s="1565"/>
      <c r="HZ105" s="1565"/>
      <c r="IA105" s="1565"/>
      <c r="IB105" s="1565"/>
      <c r="IC105" s="1565"/>
      <c r="ID105" s="1565"/>
      <c r="IE105" s="1565"/>
      <c r="IF105" s="1565"/>
      <c r="IG105" s="1565"/>
    </row>
    <row r="106" spans="1:241" s="1566" customFormat="1" ht="15.75" hidden="1" outlineLevel="1" collapsed="1">
      <c r="A106" s="1549">
        <v>103</v>
      </c>
      <c r="B106" s="1559" t="s">
        <v>303</v>
      </c>
      <c r="C106" s="1560" t="s">
        <v>1972</v>
      </c>
      <c r="D106" s="1561" t="s">
        <v>1780</v>
      </c>
      <c r="E106" s="1562" t="s">
        <v>1804</v>
      </c>
      <c r="F106" s="1563" t="s">
        <v>166</v>
      </c>
      <c r="G106" s="1564"/>
      <c r="H106" s="2073"/>
      <c r="I106" s="2074"/>
      <c r="J106" s="2075"/>
      <c r="K106" s="2075"/>
      <c r="L106" s="2074"/>
      <c r="M106" s="2074"/>
      <c r="N106" s="2076"/>
      <c r="O106" s="2074"/>
      <c r="P106" s="2075"/>
      <c r="Q106" s="2077"/>
      <c r="R106" s="2077"/>
      <c r="S106" s="2077"/>
      <c r="T106" s="2077"/>
      <c r="U106" s="2077"/>
      <c r="V106" s="2077"/>
      <c r="W106" s="2077"/>
      <c r="X106" s="2077"/>
      <c r="Y106" s="2077"/>
      <c r="Z106" s="2077"/>
      <c r="AA106" s="2077"/>
      <c r="AB106" s="2077"/>
      <c r="AC106" s="2077"/>
      <c r="AD106" s="2077"/>
      <c r="AE106" s="2077"/>
      <c r="AF106" s="2077"/>
      <c r="AG106" s="2077"/>
      <c r="AH106" s="2077"/>
      <c r="AI106" s="2077"/>
      <c r="AJ106" s="2077"/>
      <c r="AK106" s="2077"/>
      <c r="AL106" s="2077"/>
      <c r="AM106" s="2077"/>
      <c r="AN106" s="2077"/>
      <c r="AO106" s="2077"/>
      <c r="AP106" s="2077"/>
      <c r="AQ106" s="2077"/>
      <c r="AR106" s="2077"/>
      <c r="AS106" s="2077"/>
      <c r="AT106" s="2077"/>
      <c r="AU106" s="2077"/>
      <c r="AV106" s="2077"/>
      <c r="AW106" s="2077"/>
      <c r="AX106" s="2077"/>
      <c r="AY106" s="2078"/>
      <c r="AZ106" s="2078"/>
      <c r="BA106" s="2078"/>
      <c r="BB106" s="2078"/>
      <c r="BC106" s="2078"/>
      <c r="BD106" s="2078"/>
      <c r="BE106" s="2078"/>
      <c r="BF106" s="2078"/>
      <c r="BG106" s="2078"/>
      <c r="BH106" s="2078"/>
      <c r="BI106" s="2078"/>
      <c r="BJ106" s="2078"/>
      <c r="BK106" s="2078"/>
      <c r="BL106" s="2078"/>
      <c r="BM106" s="2078"/>
      <c r="BN106" s="2078"/>
      <c r="BO106" s="2078"/>
      <c r="BP106" s="2078"/>
      <c r="BQ106" s="2078"/>
      <c r="BR106" s="2078"/>
      <c r="BS106" s="2078"/>
      <c r="BT106" s="2078"/>
      <c r="BU106" s="2078"/>
      <c r="BV106" s="2078"/>
      <c r="BW106" s="2078"/>
      <c r="BX106" s="2078"/>
      <c r="BY106" s="2078"/>
      <c r="BZ106" s="2078"/>
      <c r="CA106" s="2078"/>
      <c r="CB106" s="2078"/>
      <c r="CC106" s="2078"/>
      <c r="CD106" s="2078"/>
      <c r="CE106" s="2079"/>
      <c r="CF106" s="2079"/>
      <c r="CG106" s="2079"/>
      <c r="CH106" s="2079"/>
      <c r="CI106" s="2079"/>
      <c r="CJ106" s="2079"/>
      <c r="CK106" s="2079"/>
      <c r="CL106" s="2079"/>
      <c r="CM106" s="2079"/>
      <c r="CN106" s="2079"/>
      <c r="CO106" s="2078"/>
      <c r="CP106" s="2078"/>
      <c r="CQ106" s="2079"/>
      <c r="CR106" s="2079"/>
      <c r="CS106" s="2078"/>
      <c r="CT106" s="2079"/>
      <c r="CU106" s="2078"/>
      <c r="CV106" s="2079"/>
      <c r="CW106" s="2078"/>
      <c r="CX106" s="2079"/>
      <c r="CY106" s="2078"/>
      <c r="CZ106" s="2078"/>
      <c r="DA106" s="2078"/>
      <c r="DB106" s="2078"/>
      <c r="DC106" s="2078"/>
      <c r="DD106" s="2078"/>
      <c r="DE106" s="2078"/>
      <c r="DF106" s="2078"/>
      <c r="DG106" s="2078"/>
      <c r="DH106" s="2080">
        <f t="shared" ref="DH106:DT106" si="192">CEILING(DH80*1.15, 5)</f>
        <v>25530</v>
      </c>
      <c r="DI106" s="2080" t="e">
        <f t="shared" si="192"/>
        <v>#REF!</v>
      </c>
      <c r="DJ106" s="2080" t="e">
        <f t="shared" si="192"/>
        <v>#REF!</v>
      </c>
      <c r="DK106" s="2080" t="e">
        <f t="shared" si="192"/>
        <v>#REF!</v>
      </c>
      <c r="DL106" s="2080">
        <f t="shared" si="192"/>
        <v>29900</v>
      </c>
      <c r="DM106" s="2080">
        <f t="shared" si="192"/>
        <v>31855</v>
      </c>
      <c r="DN106" s="2080">
        <f t="shared" si="192"/>
        <v>29900</v>
      </c>
      <c r="DO106" s="2080">
        <f t="shared" si="192"/>
        <v>31855</v>
      </c>
      <c r="DP106" s="2080">
        <f t="shared" si="192"/>
        <v>47035</v>
      </c>
      <c r="DQ106" s="2080">
        <f t="shared" si="192"/>
        <v>0</v>
      </c>
      <c r="DR106" s="2080" t="e">
        <f t="shared" si="192"/>
        <v>#REF!</v>
      </c>
      <c r="DS106" s="2080">
        <f t="shared" si="192"/>
        <v>29900</v>
      </c>
      <c r="DT106" s="2080" t="e">
        <f t="shared" si="192"/>
        <v>#REF!</v>
      </c>
      <c r="DU106" s="2078"/>
      <c r="DV106" s="2078"/>
      <c r="DW106" s="2078"/>
      <c r="DX106" s="2078"/>
      <c r="DY106" s="2078"/>
      <c r="DZ106" s="2078"/>
      <c r="EA106" s="2078"/>
      <c r="EB106" s="2078"/>
      <c r="EC106" s="2078"/>
      <c r="ED106" s="2078"/>
      <c r="EE106" s="2078"/>
      <c r="EF106" s="2078"/>
      <c r="EG106" s="2078"/>
      <c r="EH106" s="2078"/>
      <c r="EI106" s="2078"/>
      <c r="EJ106" s="2078"/>
      <c r="EK106" s="2078"/>
      <c r="EL106" s="2078"/>
      <c r="EM106" s="2078"/>
      <c r="EN106" s="2078"/>
      <c r="EO106" s="2078"/>
      <c r="EP106" s="2078"/>
      <c r="EQ106" s="2078"/>
      <c r="ER106" s="2078"/>
      <c r="ES106" s="2078"/>
      <c r="ET106" s="2078"/>
      <c r="EU106" s="2078"/>
      <c r="EV106" s="2078"/>
      <c r="EW106" s="2078"/>
      <c r="EX106" s="2078"/>
      <c r="EY106" s="2078"/>
      <c r="EZ106" s="2078"/>
      <c r="FA106" s="2078"/>
      <c r="FB106" s="2078"/>
      <c r="FC106" s="2078"/>
      <c r="FD106" s="2078"/>
      <c r="FE106" s="2081"/>
      <c r="FF106" s="2082"/>
      <c r="FG106" s="2082"/>
      <c r="FH106" s="2082"/>
      <c r="FI106" s="2082"/>
      <c r="FJ106" s="2082"/>
      <c r="FK106" s="1565"/>
      <c r="FL106" s="1565"/>
      <c r="FM106" s="1565"/>
      <c r="FN106" s="1565"/>
      <c r="FO106" s="1565"/>
      <c r="FP106" s="1565"/>
      <c r="FQ106" s="1565"/>
      <c r="FR106" s="1565"/>
      <c r="FS106" s="1565"/>
      <c r="FT106" s="1565"/>
      <c r="FU106" s="1565"/>
      <c r="FV106" s="1565"/>
      <c r="FW106" s="1565"/>
      <c r="FX106" s="1565"/>
      <c r="FY106" s="1565"/>
      <c r="FZ106" s="1565"/>
      <c r="GA106" s="1565"/>
      <c r="GB106" s="1565"/>
      <c r="GC106" s="1565"/>
      <c r="GD106" s="1565"/>
      <c r="GE106" s="1565"/>
      <c r="GF106" s="1565"/>
      <c r="GG106" s="1565"/>
      <c r="GH106" s="1565"/>
      <c r="GI106" s="1565"/>
      <c r="GJ106" s="1565"/>
      <c r="GK106" s="1565"/>
      <c r="GL106" s="1565"/>
      <c r="GM106" s="1565"/>
      <c r="GN106" s="1565"/>
      <c r="GO106" s="1565"/>
      <c r="GP106" s="1565"/>
      <c r="GQ106" s="1565"/>
      <c r="GR106" s="1565"/>
      <c r="GS106" s="1565"/>
      <c r="GT106" s="1565"/>
      <c r="GU106" s="1565"/>
      <c r="GV106" s="1565"/>
      <c r="GW106" s="1565"/>
      <c r="GX106" s="1565"/>
      <c r="GY106" s="1565"/>
      <c r="GZ106" s="1565"/>
      <c r="HA106" s="1565"/>
      <c r="HB106" s="1565"/>
      <c r="HC106" s="1565"/>
      <c r="HD106" s="1565"/>
      <c r="HE106" s="1565"/>
      <c r="HF106" s="1565"/>
      <c r="HG106" s="1565"/>
      <c r="HH106" s="1565"/>
      <c r="HI106" s="1565"/>
      <c r="HJ106" s="1565"/>
      <c r="HK106" s="1565"/>
      <c r="HL106" s="1565"/>
      <c r="HM106" s="1565"/>
      <c r="HN106" s="1565"/>
      <c r="HO106" s="1565"/>
      <c r="HP106" s="1565"/>
      <c r="HQ106" s="1565"/>
      <c r="HR106" s="1565"/>
      <c r="HS106" s="1565"/>
      <c r="HT106" s="1565"/>
      <c r="HU106" s="1565"/>
      <c r="HV106" s="1565"/>
      <c r="HW106" s="1565"/>
      <c r="HX106" s="1565"/>
      <c r="HY106" s="1565"/>
      <c r="HZ106" s="1565"/>
      <c r="IA106" s="1565"/>
      <c r="IB106" s="1565"/>
      <c r="IC106" s="1565"/>
      <c r="ID106" s="1565"/>
      <c r="IE106" s="1565"/>
      <c r="IF106" s="1565"/>
      <c r="IG106" s="1565"/>
    </row>
    <row r="107" spans="1:241" s="1552" customFormat="1" ht="15.75" hidden="1" outlineLevel="2">
      <c r="A107" s="1552">
        <v>104</v>
      </c>
      <c r="B107" s="1567" t="s">
        <v>303</v>
      </c>
      <c r="C107" s="1568" t="s">
        <v>1972</v>
      </c>
      <c r="D107" s="1569" t="s">
        <v>1780</v>
      </c>
      <c r="E107" s="1570" t="s">
        <v>1804</v>
      </c>
      <c r="F107" s="1571" t="s">
        <v>1782</v>
      </c>
      <c r="G107" s="1572"/>
      <c r="H107" s="2073"/>
      <c r="I107" s="2083"/>
      <c r="J107" s="2084"/>
      <c r="K107" s="2084"/>
      <c r="L107" s="2083"/>
      <c r="M107" s="2083"/>
      <c r="N107" s="2085"/>
      <c r="O107" s="2083"/>
      <c r="P107" s="2084"/>
      <c r="Q107" s="2086"/>
      <c r="R107" s="2086"/>
      <c r="S107" s="2086"/>
      <c r="T107" s="2086"/>
      <c r="U107" s="2086"/>
      <c r="V107" s="2086"/>
      <c r="W107" s="2086"/>
      <c r="X107" s="2086"/>
      <c r="Y107" s="2086"/>
      <c r="Z107" s="2086"/>
      <c r="AA107" s="2086"/>
      <c r="AB107" s="2086"/>
      <c r="AC107" s="2086"/>
      <c r="AD107" s="2086"/>
      <c r="AE107" s="2086"/>
      <c r="AF107" s="2086"/>
      <c r="AG107" s="2086"/>
      <c r="AH107" s="2086"/>
      <c r="AI107" s="2086"/>
      <c r="AJ107" s="2086"/>
      <c r="AK107" s="2086"/>
      <c r="AL107" s="2086"/>
      <c r="AM107" s="2086"/>
      <c r="AN107" s="2086"/>
      <c r="AO107" s="2086"/>
      <c r="AP107" s="2086"/>
      <c r="AQ107" s="2086"/>
      <c r="AR107" s="2086"/>
      <c r="AS107" s="2086"/>
      <c r="AT107" s="2086"/>
      <c r="AU107" s="2086"/>
      <c r="AV107" s="2086"/>
      <c r="AW107" s="2086"/>
      <c r="AX107" s="2086"/>
      <c r="AY107" s="2087"/>
      <c r="AZ107" s="2087"/>
      <c r="BA107" s="2087"/>
      <c r="BB107" s="2087"/>
      <c r="BC107" s="2087"/>
      <c r="BD107" s="2087"/>
      <c r="BE107" s="2087"/>
      <c r="BF107" s="2087"/>
      <c r="BG107" s="2087"/>
      <c r="BH107" s="2087"/>
      <c r="BI107" s="2087"/>
      <c r="BJ107" s="2087"/>
      <c r="BK107" s="2087"/>
      <c r="BL107" s="2087"/>
      <c r="BM107" s="2087"/>
      <c r="BN107" s="2087"/>
      <c r="BO107" s="2087"/>
      <c r="BP107" s="2087"/>
      <c r="BQ107" s="2087"/>
      <c r="BR107" s="2087"/>
      <c r="BS107" s="2087"/>
      <c r="BT107" s="2087"/>
      <c r="BU107" s="2087"/>
      <c r="BV107" s="2087"/>
      <c r="BW107" s="2087"/>
      <c r="BX107" s="2087"/>
      <c r="BY107" s="2087"/>
      <c r="BZ107" s="2087"/>
      <c r="CA107" s="2087"/>
      <c r="CB107" s="2087"/>
      <c r="CC107" s="2087"/>
      <c r="CD107" s="2087"/>
      <c r="CE107" s="2088"/>
      <c r="CF107" s="2088"/>
      <c r="CG107" s="2088"/>
      <c r="CH107" s="2088"/>
      <c r="CI107" s="2088"/>
      <c r="CJ107" s="2088"/>
      <c r="CK107" s="2088"/>
      <c r="CL107" s="2088"/>
      <c r="CM107" s="2088"/>
      <c r="CN107" s="2088"/>
      <c r="CO107" s="2087"/>
      <c r="CP107" s="2087"/>
      <c r="CQ107" s="2088"/>
      <c r="CR107" s="2088"/>
      <c r="CS107" s="2087"/>
      <c r="CT107" s="2088"/>
      <c r="CU107" s="2087"/>
      <c r="CV107" s="2088"/>
      <c r="CW107" s="2087"/>
      <c r="CX107" s="2088"/>
      <c r="CY107" s="2087"/>
      <c r="CZ107" s="2087"/>
      <c r="DA107" s="2087"/>
      <c r="DB107" s="2087"/>
      <c r="DC107" s="2087"/>
      <c r="DD107" s="2087"/>
      <c r="DE107" s="2087"/>
      <c r="DF107" s="2087"/>
      <c r="DG107" s="2087"/>
      <c r="DH107" s="2088">
        <f>DH106</f>
        <v>25530</v>
      </c>
      <c r="DI107" s="2088" t="e">
        <f t="shared" ref="DI107:DP107" si="193">DI106</f>
        <v>#REF!</v>
      </c>
      <c r="DJ107" s="2088" t="e">
        <f t="shared" si="193"/>
        <v>#REF!</v>
      </c>
      <c r="DK107" s="2088" t="e">
        <f t="shared" si="193"/>
        <v>#REF!</v>
      </c>
      <c r="DL107" s="2088">
        <f t="shared" si="193"/>
        <v>29900</v>
      </c>
      <c r="DM107" s="2088">
        <f t="shared" si="193"/>
        <v>31855</v>
      </c>
      <c r="DN107" s="2088">
        <f t="shared" si="193"/>
        <v>29900</v>
      </c>
      <c r="DO107" s="2088">
        <f t="shared" si="193"/>
        <v>31855</v>
      </c>
      <c r="DP107" s="2088">
        <f t="shared" si="193"/>
        <v>47035</v>
      </c>
      <c r="DQ107" s="2088"/>
      <c r="DR107" s="2088" t="e">
        <f>DR106</f>
        <v>#REF!</v>
      </c>
      <c r="DS107" s="2088">
        <f>DS106</f>
        <v>29900</v>
      </c>
      <c r="DT107" s="2088" t="e">
        <f>DT106</f>
        <v>#REF!</v>
      </c>
      <c r="DU107" s="2087"/>
      <c r="DV107" s="2087"/>
      <c r="DW107" s="2087"/>
      <c r="DX107" s="2087"/>
      <c r="DY107" s="2087"/>
      <c r="DZ107" s="2087"/>
      <c r="EA107" s="2087"/>
      <c r="EB107" s="2087"/>
      <c r="EC107" s="2087"/>
      <c r="ED107" s="2087"/>
      <c r="EE107" s="2087"/>
      <c r="EF107" s="2087"/>
      <c r="EG107" s="2087"/>
      <c r="EH107" s="2087"/>
      <c r="EI107" s="2087"/>
      <c r="EJ107" s="2087"/>
      <c r="EK107" s="2087"/>
      <c r="EL107" s="2087"/>
      <c r="EM107" s="2087"/>
      <c r="EN107" s="2087"/>
      <c r="EO107" s="2087"/>
      <c r="EP107" s="2087"/>
      <c r="EQ107" s="2087"/>
      <c r="ER107" s="2087"/>
      <c r="ES107" s="2087"/>
      <c r="ET107" s="2087"/>
      <c r="EU107" s="2087"/>
      <c r="EV107" s="2087"/>
      <c r="EW107" s="2087"/>
      <c r="EX107" s="2087"/>
      <c r="EY107" s="2087"/>
      <c r="EZ107" s="2087"/>
      <c r="FA107" s="2087"/>
      <c r="FB107" s="2087"/>
      <c r="FC107" s="2087"/>
      <c r="FD107" s="2087"/>
      <c r="FE107" s="2081"/>
      <c r="FF107" s="2082"/>
      <c r="FG107" s="2082"/>
      <c r="FH107" s="2082"/>
      <c r="FI107" s="2082"/>
      <c r="FJ107" s="2082"/>
      <c r="FK107" s="1565"/>
      <c r="FL107" s="1565"/>
      <c r="FM107" s="1565"/>
      <c r="FN107" s="1565"/>
      <c r="FO107" s="1565"/>
      <c r="FP107" s="1565"/>
      <c r="FQ107" s="1565"/>
      <c r="FR107" s="1565"/>
      <c r="FS107" s="1565"/>
      <c r="FT107" s="1565"/>
      <c r="FU107" s="1565"/>
      <c r="FV107" s="1565"/>
      <c r="FW107" s="1565"/>
      <c r="FX107" s="1565"/>
      <c r="FY107" s="1565"/>
      <c r="FZ107" s="1565"/>
      <c r="GA107" s="1565"/>
      <c r="GB107" s="1565"/>
      <c r="GC107" s="1565"/>
      <c r="GD107" s="1565"/>
      <c r="GE107" s="1565"/>
      <c r="GF107" s="1565"/>
      <c r="GG107" s="1565"/>
      <c r="GH107" s="1565"/>
      <c r="GI107" s="1565"/>
      <c r="GJ107" s="1565"/>
      <c r="GK107" s="1565"/>
      <c r="GL107" s="1565"/>
      <c r="GM107" s="1565"/>
      <c r="GN107" s="1565"/>
      <c r="GO107" s="1565"/>
      <c r="GP107" s="1565"/>
      <c r="GQ107" s="1565"/>
      <c r="GR107" s="1565"/>
      <c r="GS107" s="1565"/>
      <c r="GT107" s="1565"/>
      <c r="GU107" s="1565"/>
      <c r="GV107" s="1565"/>
      <c r="GW107" s="1565"/>
      <c r="GX107" s="1565"/>
      <c r="GY107" s="1565"/>
      <c r="GZ107" s="1565"/>
      <c r="HA107" s="1565"/>
      <c r="HB107" s="1565"/>
      <c r="HC107" s="1565"/>
      <c r="HD107" s="1565"/>
      <c r="HE107" s="1565"/>
      <c r="HF107" s="1565"/>
      <c r="HG107" s="1565"/>
      <c r="HH107" s="1565"/>
      <c r="HI107" s="1565"/>
      <c r="HJ107" s="1565"/>
      <c r="HK107" s="1565"/>
      <c r="HL107" s="1565"/>
      <c r="HM107" s="1565"/>
      <c r="HN107" s="1565"/>
      <c r="HO107" s="1565"/>
      <c r="HP107" s="1565"/>
      <c r="HQ107" s="1565"/>
      <c r="HR107" s="1565"/>
      <c r="HS107" s="1565"/>
      <c r="HT107" s="1565"/>
      <c r="HU107" s="1565"/>
      <c r="HV107" s="1565"/>
      <c r="HW107" s="1565"/>
      <c r="HX107" s="1565"/>
      <c r="HY107" s="1565"/>
      <c r="HZ107" s="1565"/>
      <c r="IA107" s="1565"/>
      <c r="IB107" s="1565"/>
      <c r="IC107" s="1565"/>
      <c r="ID107" s="1565"/>
      <c r="IE107" s="1565"/>
      <c r="IF107" s="1565"/>
      <c r="IG107" s="1565"/>
    </row>
    <row r="108" spans="1:241" s="1552" customFormat="1" ht="15.75" hidden="1" outlineLevel="2">
      <c r="A108" s="1549">
        <v>105</v>
      </c>
      <c r="B108" s="1567" t="s">
        <v>303</v>
      </c>
      <c r="C108" s="1568" t="s">
        <v>1972</v>
      </c>
      <c r="D108" s="1569" t="s">
        <v>1780</v>
      </c>
      <c r="E108" s="1570" t="s">
        <v>1804</v>
      </c>
      <c r="F108" s="1571" t="s">
        <v>238</v>
      </c>
      <c r="G108" s="1572"/>
      <c r="H108" s="2073"/>
      <c r="I108" s="2083"/>
      <c r="J108" s="2084"/>
      <c r="K108" s="2084"/>
      <c r="L108" s="2083"/>
      <c r="M108" s="2083"/>
      <c r="N108" s="2085"/>
      <c r="O108" s="2083"/>
      <c r="P108" s="2084"/>
      <c r="Q108" s="2086"/>
      <c r="R108" s="2086"/>
      <c r="S108" s="2086"/>
      <c r="T108" s="2086"/>
      <c r="U108" s="2086"/>
      <c r="V108" s="2086"/>
      <c r="W108" s="2086"/>
      <c r="X108" s="2086"/>
      <c r="Y108" s="2086"/>
      <c r="Z108" s="2086"/>
      <c r="AA108" s="2086"/>
      <c r="AB108" s="2086"/>
      <c r="AC108" s="2086"/>
      <c r="AD108" s="2086"/>
      <c r="AE108" s="2086"/>
      <c r="AF108" s="2086"/>
      <c r="AG108" s="2086"/>
      <c r="AH108" s="2086"/>
      <c r="AI108" s="2086"/>
      <c r="AJ108" s="2086"/>
      <c r="AK108" s="2086"/>
      <c r="AL108" s="2086"/>
      <c r="AM108" s="2086"/>
      <c r="AN108" s="2086"/>
      <c r="AO108" s="2086"/>
      <c r="AP108" s="2086"/>
      <c r="AQ108" s="2086"/>
      <c r="AR108" s="2086"/>
      <c r="AS108" s="2086"/>
      <c r="AT108" s="2086"/>
      <c r="AU108" s="2086"/>
      <c r="AV108" s="2086"/>
      <c r="AW108" s="2086"/>
      <c r="AX108" s="2086"/>
      <c r="AY108" s="2087"/>
      <c r="AZ108" s="2087"/>
      <c r="BA108" s="2087"/>
      <c r="BB108" s="2087"/>
      <c r="BC108" s="2087"/>
      <c r="BD108" s="2087"/>
      <c r="BE108" s="2087"/>
      <c r="BF108" s="2087"/>
      <c r="BG108" s="2087"/>
      <c r="BH108" s="2087"/>
      <c r="BI108" s="2087"/>
      <c r="BJ108" s="2087"/>
      <c r="BK108" s="2087"/>
      <c r="BL108" s="2087"/>
      <c r="BM108" s="2087"/>
      <c r="BN108" s="2087"/>
      <c r="BO108" s="2087"/>
      <c r="BP108" s="2087"/>
      <c r="BQ108" s="2087"/>
      <c r="BR108" s="2087"/>
      <c r="BS108" s="2087"/>
      <c r="BT108" s="2087"/>
      <c r="BU108" s="2087"/>
      <c r="BV108" s="2087"/>
      <c r="BW108" s="2087"/>
      <c r="BX108" s="2087"/>
      <c r="BY108" s="2087"/>
      <c r="BZ108" s="2087"/>
      <c r="CA108" s="2087"/>
      <c r="CB108" s="2087"/>
      <c r="CC108" s="2087"/>
      <c r="CD108" s="2087"/>
      <c r="CE108" s="2088"/>
      <c r="CF108" s="2088"/>
      <c r="CG108" s="2088"/>
      <c r="CH108" s="2088"/>
      <c r="CI108" s="2088"/>
      <c r="CJ108" s="2088"/>
      <c r="CK108" s="2088"/>
      <c r="CL108" s="2088"/>
      <c r="CM108" s="2088"/>
      <c r="CN108" s="2088"/>
      <c r="CO108" s="2087"/>
      <c r="CP108" s="2087"/>
      <c r="CQ108" s="2088"/>
      <c r="CR108" s="2088"/>
      <c r="CS108" s="2087"/>
      <c r="CT108" s="2088"/>
      <c r="CU108" s="2087"/>
      <c r="CV108" s="2088"/>
      <c r="CW108" s="2087"/>
      <c r="CX108" s="2088"/>
      <c r="CY108" s="2087"/>
      <c r="CZ108" s="2087"/>
      <c r="DA108" s="2087"/>
      <c r="DB108" s="2087"/>
      <c r="DC108" s="2087"/>
      <c r="DD108" s="2087"/>
      <c r="DE108" s="2087"/>
      <c r="DF108" s="2087"/>
      <c r="DG108" s="2087"/>
      <c r="DH108" s="2088">
        <f>DH106</f>
        <v>25530</v>
      </c>
      <c r="DI108" s="2088" t="e">
        <f t="shared" ref="DI108:DP108" si="194">DI106</f>
        <v>#REF!</v>
      </c>
      <c r="DJ108" s="2088" t="e">
        <f t="shared" si="194"/>
        <v>#REF!</v>
      </c>
      <c r="DK108" s="2088" t="e">
        <f t="shared" si="194"/>
        <v>#REF!</v>
      </c>
      <c r="DL108" s="2088">
        <f t="shared" si="194"/>
        <v>29900</v>
      </c>
      <c r="DM108" s="2088">
        <f t="shared" si="194"/>
        <v>31855</v>
      </c>
      <c r="DN108" s="2088">
        <f t="shared" si="194"/>
        <v>29900</v>
      </c>
      <c r="DO108" s="2088">
        <f t="shared" si="194"/>
        <v>31855</v>
      </c>
      <c r="DP108" s="2088">
        <f t="shared" si="194"/>
        <v>47035</v>
      </c>
      <c r="DQ108" s="2088"/>
      <c r="DR108" s="2088" t="e">
        <f>DR106</f>
        <v>#REF!</v>
      </c>
      <c r="DS108" s="2088">
        <f>DS106</f>
        <v>29900</v>
      </c>
      <c r="DT108" s="2088" t="e">
        <f>DT106</f>
        <v>#REF!</v>
      </c>
      <c r="DU108" s="2087"/>
      <c r="DV108" s="2087"/>
      <c r="DW108" s="2087"/>
      <c r="DX108" s="2087"/>
      <c r="DY108" s="2087"/>
      <c r="DZ108" s="2087"/>
      <c r="EA108" s="2087"/>
      <c r="EB108" s="2087"/>
      <c r="EC108" s="2087"/>
      <c r="ED108" s="2087"/>
      <c r="EE108" s="2087"/>
      <c r="EF108" s="2087"/>
      <c r="EG108" s="2087"/>
      <c r="EH108" s="2087"/>
      <c r="EI108" s="2087"/>
      <c r="EJ108" s="2087"/>
      <c r="EK108" s="2087"/>
      <c r="EL108" s="2087"/>
      <c r="EM108" s="2087"/>
      <c r="EN108" s="2087"/>
      <c r="EO108" s="2087"/>
      <c r="EP108" s="2087"/>
      <c r="EQ108" s="2087"/>
      <c r="ER108" s="2087"/>
      <c r="ES108" s="2087"/>
      <c r="ET108" s="2087"/>
      <c r="EU108" s="2087"/>
      <c r="EV108" s="2087"/>
      <c r="EW108" s="2087"/>
      <c r="EX108" s="2087"/>
      <c r="EY108" s="2087"/>
      <c r="EZ108" s="2087"/>
      <c r="FA108" s="2087"/>
      <c r="FB108" s="2087"/>
      <c r="FC108" s="2087"/>
      <c r="FD108" s="2087"/>
      <c r="FE108" s="2081"/>
      <c r="FF108" s="2082"/>
      <c r="FG108" s="2082"/>
      <c r="FH108" s="2082"/>
      <c r="FI108" s="2082"/>
      <c r="FJ108" s="2082"/>
      <c r="FK108" s="1565"/>
      <c r="FL108" s="1565"/>
      <c r="FM108" s="1565"/>
      <c r="FN108" s="1565"/>
      <c r="FO108" s="1565"/>
      <c r="FP108" s="1565"/>
      <c r="FQ108" s="1565"/>
      <c r="FR108" s="1565"/>
      <c r="FS108" s="1565"/>
      <c r="FT108" s="1565"/>
      <c r="FU108" s="1565"/>
      <c r="FV108" s="1565"/>
      <c r="FW108" s="1565"/>
      <c r="FX108" s="1565"/>
      <c r="FY108" s="1565"/>
      <c r="FZ108" s="1565"/>
      <c r="GA108" s="1565"/>
      <c r="GB108" s="1565"/>
      <c r="GC108" s="1565"/>
      <c r="GD108" s="1565"/>
      <c r="GE108" s="1565"/>
      <c r="GF108" s="1565"/>
      <c r="GG108" s="1565"/>
      <c r="GH108" s="1565"/>
      <c r="GI108" s="1565"/>
      <c r="GJ108" s="1565"/>
      <c r="GK108" s="1565"/>
      <c r="GL108" s="1565"/>
      <c r="GM108" s="1565"/>
      <c r="GN108" s="1565"/>
      <c r="GO108" s="1565"/>
      <c r="GP108" s="1565"/>
      <c r="GQ108" s="1565"/>
      <c r="GR108" s="1565"/>
      <c r="GS108" s="1565"/>
      <c r="GT108" s="1565"/>
      <c r="GU108" s="1565"/>
      <c r="GV108" s="1565"/>
      <c r="GW108" s="1565"/>
      <c r="GX108" s="1565"/>
      <c r="GY108" s="1565"/>
      <c r="GZ108" s="1565"/>
      <c r="HA108" s="1565"/>
      <c r="HB108" s="1565"/>
      <c r="HC108" s="1565"/>
      <c r="HD108" s="1565"/>
      <c r="HE108" s="1565"/>
      <c r="HF108" s="1565"/>
      <c r="HG108" s="1565"/>
      <c r="HH108" s="1565"/>
      <c r="HI108" s="1565"/>
      <c r="HJ108" s="1565"/>
      <c r="HK108" s="1565"/>
      <c r="HL108" s="1565"/>
      <c r="HM108" s="1565"/>
      <c r="HN108" s="1565"/>
      <c r="HO108" s="1565"/>
      <c r="HP108" s="1565"/>
      <c r="HQ108" s="1565"/>
      <c r="HR108" s="1565"/>
      <c r="HS108" s="1565"/>
      <c r="HT108" s="1565"/>
      <c r="HU108" s="1565"/>
      <c r="HV108" s="1565"/>
      <c r="HW108" s="1565"/>
      <c r="HX108" s="1565"/>
      <c r="HY108" s="1565"/>
      <c r="HZ108" s="1565"/>
      <c r="IA108" s="1565"/>
      <c r="IB108" s="1565"/>
      <c r="IC108" s="1565"/>
      <c r="ID108" s="1565"/>
      <c r="IE108" s="1565"/>
      <c r="IF108" s="1565"/>
      <c r="IG108" s="1565"/>
    </row>
    <row r="109" spans="1:241" s="1552" customFormat="1" ht="15.75" hidden="1" outlineLevel="2">
      <c r="A109" s="1552">
        <v>106</v>
      </c>
      <c r="B109" s="1567" t="s">
        <v>303</v>
      </c>
      <c r="C109" s="1568" t="s">
        <v>1972</v>
      </c>
      <c r="D109" s="1569" t="s">
        <v>1780</v>
      </c>
      <c r="E109" s="1570" t="s">
        <v>1804</v>
      </c>
      <c r="F109" s="1571" t="s">
        <v>1783</v>
      </c>
      <c r="G109" s="1572"/>
      <c r="H109" s="2073"/>
      <c r="I109" s="2083"/>
      <c r="J109" s="2084"/>
      <c r="K109" s="2084"/>
      <c r="L109" s="2083"/>
      <c r="M109" s="2083"/>
      <c r="N109" s="2085"/>
      <c r="O109" s="2083"/>
      <c r="P109" s="2084"/>
      <c r="Q109" s="2086"/>
      <c r="R109" s="2086"/>
      <c r="S109" s="2086"/>
      <c r="T109" s="2086"/>
      <c r="U109" s="2086"/>
      <c r="V109" s="2086"/>
      <c r="W109" s="2086"/>
      <c r="X109" s="2086"/>
      <c r="Y109" s="2086"/>
      <c r="Z109" s="2086"/>
      <c r="AA109" s="2086"/>
      <c r="AB109" s="2086"/>
      <c r="AC109" s="2086"/>
      <c r="AD109" s="2086"/>
      <c r="AE109" s="2086"/>
      <c r="AF109" s="2086"/>
      <c r="AG109" s="2086"/>
      <c r="AH109" s="2086"/>
      <c r="AI109" s="2086"/>
      <c r="AJ109" s="2086"/>
      <c r="AK109" s="2086"/>
      <c r="AL109" s="2086"/>
      <c r="AM109" s="2086"/>
      <c r="AN109" s="2086"/>
      <c r="AO109" s="2086"/>
      <c r="AP109" s="2086"/>
      <c r="AQ109" s="2086"/>
      <c r="AR109" s="2086"/>
      <c r="AS109" s="2086"/>
      <c r="AT109" s="2086"/>
      <c r="AU109" s="2086"/>
      <c r="AV109" s="2086"/>
      <c r="AW109" s="2086"/>
      <c r="AX109" s="2086"/>
      <c r="AY109" s="2087"/>
      <c r="AZ109" s="2087"/>
      <c r="BA109" s="2087"/>
      <c r="BB109" s="2087"/>
      <c r="BC109" s="2087"/>
      <c r="BD109" s="2087"/>
      <c r="BE109" s="2087"/>
      <c r="BF109" s="2087"/>
      <c r="BG109" s="2087"/>
      <c r="BH109" s="2087"/>
      <c r="BI109" s="2087"/>
      <c r="BJ109" s="2087"/>
      <c r="BK109" s="2087"/>
      <c r="BL109" s="2087"/>
      <c r="BM109" s="2087"/>
      <c r="BN109" s="2087"/>
      <c r="BO109" s="2087"/>
      <c r="BP109" s="2087"/>
      <c r="BQ109" s="2087"/>
      <c r="BR109" s="2087"/>
      <c r="BS109" s="2087"/>
      <c r="BT109" s="2087"/>
      <c r="BU109" s="2087"/>
      <c r="BV109" s="2087"/>
      <c r="BW109" s="2087"/>
      <c r="BX109" s="2087"/>
      <c r="BY109" s="2087"/>
      <c r="BZ109" s="2087"/>
      <c r="CA109" s="2087"/>
      <c r="CB109" s="2087"/>
      <c r="CC109" s="2087"/>
      <c r="CD109" s="2087"/>
      <c r="CE109" s="2088"/>
      <c r="CF109" s="2088"/>
      <c r="CG109" s="2088"/>
      <c r="CH109" s="2088"/>
      <c r="CI109" s="2088"/>
      <c r="CJ109" s="2088"/>
      <c r="CK109" s="2088"/>
      <c r="CL109" s="2088"/>
      <c r="CM109" s="2088"/>
      <c r="CN109" s="2088"/>
      <c r="CO109" s="2087"/>
      <c r="CP109" s="2087"/>
      <c r="CQ109" s="2088"/>
      <c r="CR109" s="2088"/>
      <c r="CS109" s="2087"/>
      <c r="CT109" s="2088"/>
      <c r="CU109" s="2087"/>
      <c r="CV109" s="2088"/>
      <c r="CW109" s="2087"/>
      <c r="CX109" s="2088"/>
      <c r="CY109" s="2087"/>
      <c r="CZ109" s="2087"/>
      <c r="DA109" s="2087"/>
      <c r="DB109" s="2087"/>
      <c r="DC109" s="2087"/>
      <c r="DD109" s="2087"/>
      <c r="DE109" s="2087"/>
      <c r="DF109" s="2087"/>
      <c r="DG109" s="2087"/>
      <c r="DH109" s="2088">
        <f>DH106</f>
        <v>25530</v>
      </c>
      <c r="DI109" s="2088" t="e">
        <f t="shared" ref="DI109:DP109" si="195">DI106</f>
        <v>#REF!</v>
      </c>
      <c r="DJ109" s="2088" t="e">
        <f t="shared" si="195"/>
        <v>#REF!</v>
      </c>
      <c r="DK109" s="2088" t="e">
        <f t="shared" si="195"/>
        <v>#REF!</v>
      </c>
      <c r="DL109" s="2088">
        <f t="shared" si="195"/>
        <v>29900</v>
      </c>
      <c r="DM109" s="2088">
        <f t="shared" si="195"/>
        <v>31855</v>
      </c>
      <c r="DN109" s="2088">
        <f t="shared" si="195"/>
        <v>29900</v>
      </c>
      <c r="DO109" s="2088">
        <f t="shared" si="195"/>
        <v>31855</v>
      </c>
      <c r="DP109" s="2088">
        <f t="shared" si="195"/>
        <v>47035</v>
      </c>
      <c r="DQ109" s="2088"/>
      <c r="DR109" s="2088" t="e">
        <f>DR106</f>
        <v>#REF!</v>
      </c>
      <c r="DS109" s="2088">
        <f>DS106</f>
        <v>29900</v>
      </c>
      <c r="DT109" s="2088" t="e">
        <f>DT106</f>
        <v>#REF!</v>
      </c>
      <c r="DU109" s="2087"/>
      <c r="DV109" s="2087"/>
      <c r="DW109" s="2087"/>
      <c r="DX109" s="2087"/>
      <c r="DY109" s="2087"/>
      <c r="DZ109" s="2087"/>
      <c r="EA109" s="2087"/>
      <c r="EB109" s="2087"/>
      <c r="EC109" s="2087"/>
      <c r="ED109" s="2087"/>
      <c r="EE109" s="2087"/>
      <c r="EF109" s="2087"/>
      <c r="EG109" s="2087"/>
      <c r="EH109" s="2087"/>
      <c r="EI109" s="2087"/>
      <c r="EJ109" s="2087"/>
      <c r="EK109" s="2087"/>
      <c r="EL109" s="2087"/>
      <c r="EM109" s="2087"/>
      <c r="EN109" s="2087"/>
      <c r="EO109" s="2087"/>
      <c r="EP109" s="2087"/>
      <c r="EQ109" s="2087"/>
      <c r="ER109" s="2087"/>
      <c r="ES109" s="2087"/>
      <c r="ET109" s="2087"/>
      <c r="EU109" s="2087"/>
      <c r="EV109" s="2087"/>
      <c r="EW109" s="2087"/>
      <c r="EX109" s="2087"/>
      <c r="EY109" s="2087"/>
      <c r="EZ109" s="2087"/>
      <c r="FA109" s="2087"/>
      <c r="FB109" s="2087"/>
      <c r="FC109" s="2087"/>
      <c r="FD109" s="2087"/>
      <c r="FE109" s="2081"/>
      <c r="FF109" s="2082"/>
      <c r="FG109" s="2082"/>
      <c r="FH109" s="2082"/>
      <c r="FI109" s="2082"/>
      <c r="FJ109" s="2082"/>
      <c r="FK109" s="1565"/>
      <c r="FL109" s="1565"/>
      <c r="FM109" s="1565"/>
      <c r="FN109" s="1565"/>
      <c r="FO109" s="1565"/>
      <c r="FP109" s="1565"/>
      <c r="FQ109" s="1565"/>
      <c r="FR109" s="1565"/>
      <c r="FS109" s="1565"/>
      <c r="FT109" s="1565"/>
      <c r="FU109" s="1565"/>
      <c r="FV109" s="1565"/>
      <c r="FW109" s="1565"/>
      <c r="FX109" s="1565"/>
      <c r="FY109" s="1565"/>
      <c r="FZ109" s="1565"/>
      <c r="GA109" s="1565"/>
      <c r="GB109" s="1565"/>
      <c r="GC109" s="1565"/>
      <c r="GD109" s="1565"/>
      <c r="GE109" s="1565"/>
      <c r="GF109" s="1565"/>
      <c r="GG109" s="1565"/>
      <c r="GH109" s="1565"/>
      <c r="GI109" s="1565"/>
      <c r="GJ109" s="1565"/>
      <c r="GK109" s="1565"/>
      <c r="GL109" s="1565"/>
      <c r="GM109" s="1565"/>
      <c r="GN109" s="1565"/>
      <c r="GO109" s="1565"/>
      <c r="GP109" s="1565"/>
      <c r="GQ109" s="1565"/>
      <c r="GR109" s="1565"/>
      <c r="GS109" s="1565"/>
      <c r="GT109" s="1565"/>
      <c r="GU109" s="1565"/>
      <c r="GV109" s="1565"/>
      <c r="GW109" s="1565"/>
      <c r="GX109" s="1565"/>
      <c r="GY109" s="1565"/>
      <c r="GZ109" s="1565"/>
      <c r="HA109" s="1565"/>
      <c r="HB109" s="1565"/>
      <c r="HC109" s="1565"/>
      <c r="HD109" s="1565"/>
      <c r="HE109" s="1565"/>
      <c r="HF109" s="1565"/>
      <c r="HG109" s="1565"/>
      <c r="HH109" s="1565"/>
      <c r="HI109" s="1565"/>
      <c r="HJ109" s="1565"/>
      <c r="HK109" s="1565"/>
      <c r="HL109" s="1565"/>
      <c r="HM109" s="1565"/>
      <c r="HN109" s="1565"/>
      <c r="HO109" s="1565"/>
      <c r="HP109" s="1565"/>
      <c r="HQ109" s="1565"/>
      <c r="HR109" s="1565"/>
      <c r="HS109" s="1565"/>
      <c r="HT109" s="1565"/>
      <c r="HU109" s="1565"/>
      <c r="HV109" s="1565"/>
      <c r="HW109" s="1565"/>
      <c r="HX109" s="1565"/>
      <c r="HY109" s="1565"/>
      <c r="HZ109" s="1565"/>
      <c r="IA109" s="1565"/>
      <c r="IB109" s="1565"/>
      <c r="IC109" s="1565"/>
      <c r="ID109" s="1565"/>
      <c r="IE109" s="1565"/>
      <c r="IF109" s="1565"/>
      <c r="IG109" s="1565"/>
    </row>
    <row r="110" spans="1:241" s="1552" customFormat="1" ht="15.75" hidden="1" outlineLevel="2">
      <c r="A110" s="1549">
        <v>107</v>
      </c>
      <c r="B110" s="1567" t="s">
        <v>303</v>
      </c>
      <c r="C110" s="1568" t="s">
        <v>1972</v>
      </c>
      <c r="D110" s="1569" t="s">
        <v>1780</v>
      </c>
      <c r="E110" s="1570" t="s">
        <v>1804</v>
      </c>
      <c r="F110" s="1571" t="s">
        <v>1784</v>
      </c>
      <c r="G110" s="1572"/>
      <c r="H110" s="2073"/>
      <c r="I110" s="2083"/>
      <c r="J110" s="2084"/>
      <c r="K110" s="2084"/>
      <c r="L110" s="2083"/>
      <c r="M110" s="2083"/>
      <c r="N110" s="2085"/>
      <c r="O110" s="2083"/>
      <c r="P110" s="2084"/>
      <c r="Q110" s="2086"/>
      <c r="R110" s="2086"/>
      <c r="S110" s="2086"/>
      <c r="T110" s="2086"/>
      <c r="U110" s="2086"/>
      <c r="V110" s="2086"/>
      <c r="W110" s="2086"/>
      <c r="X110" s="2086"/>
      <c r="Y110" s="2086"/>
      <c r="Z110" s="2086"/>
      <c r="AA110" s="2086"/>
      <c r="AB110" s="2086"/>
      <c r="AC110" s="2086"/>
      <c r="AD110" s="2086"/>
      <c r="AE110" s="2086"/>
      <c r="AF110" s="2086"/>
      <c r="AG110" s="2086"/>
      <c r="AH110" s="2086"/>
      <c r="AI110" s="2086"/>
      <c r="AJ110" s="2086"/>
      <c r="AK110" s="2086"/>
      <c r="AL110" s="2086"/>
      <c r="AM110" s="2086"/>
      <c r="AN110" s="2086"/>
      <c r="AO110" s="2086"/>
      <c r="AP110" s="2086"/>
      <c r="AQ110" s="2086"/>
      <c r="AR110" s="2086"/>
      <c r="AS110" s="2086"/>
      <c r="AT110" s="2086"/>
      <c r="AU110" s="2086"/>
      <c r="AV110" s="2086"/>
      <c r="AW110" s="2086"/>
      <c r="AX110" s="2086"/>
      <c r="AY110" s="2087"/>
      <c r="AZ110" s="2087"/>
      <c r="BA110" s="2087"/>
      <c r="BB110" s="2087"/>
      <c r="BC110" s="2087"/>
      <c r="BD110" s="2087"/>
      <c r="BE110" s="2087"/>
      <c r="BF110" s="2087"/>
      <c r="BG110" s="2087"/>
      <c r="BH110" s="2087"/>
      <c r="BI110" s="2087"/>
      <c r="BJ110" s="2087"/>
      <c r="BK110" s="2087"/>
      <c r="BL110" s="2087"/>
      <c r="BM110" s="2087"/>
      <c r="BN110" s="2087"/>
      <c r="BO110" s="2087"/>
      <c r="BP110" s="2087"/>
      <c r="BQ110" s="2087"/>
      <c r="BR110" s="2087"/>
      <c r="BS110" s="2087"/>
      <c r="BT110" s="2087"/>
      <c r="BU110" s="2087"/>
      <c r="BV110" s="2087"/>
      <c r="BW110" s="2087"/>
      <c r="BX110" s="2087"/>
      <c r="BY110" s="2087"/>
      <c r="BZ110" s="2087"/>
      <c r="CA110" s="2087"/>
      <c r="CB110" s="2087"/>
      <c r="CC110" s="2087"/>
      <c r="CD110" s="2087"/>
      <c r="CE110" s="2088"/>
      <c r="CF110" s="2088"/>
      <c r="CG110" s="2088"/>
      <c r="CH110" s="2088"/>
      <c r="CI110" s="2088"/>
      <c r="CJ110" s="2088"/>
      <c r="CK110" s="2088"/>
      <c r="CL110" s="2088"/>
      <c r="CM110" s="2088"/>
      <c r="CN110" s="2088"/>
      <c r="CO110" s="2087"/>
      <c r="CP110" s="2087"/>
      <c r="CQ110" s="2088"/>
      <c r="CR110" s="2088"/>
      <c r="CS110" s="2087"/>
      <c r="CT110" s="2088"/>
      <c r="CU110" s="2087"/>
      <c r="CV110" s="2088"/>
      <c r="CW110" s="2087"/>
      <c r="CX110" s="2088"/>
      <c r="CY110" s="2087"/>
      <c r="CZ110" s="2087"/>
      <c r="DA110" s="2087"/>
      <c r="DB110" s="2087"/>
      <c r="DC110" s="2087"/>
      <c r="DD110" s="2087"/>
      <c r="DE110" s="2087"/>
      <c r="DF110" s="2087"/>
      <c r="DG110" s="2087"/>
      <c r="DH110" s="2088">
        <f>DH106</f>
        <v>25530</v>
      </c>
      <c r="DI110" s="2088" t="e">
        <f t="shared" ref="DI110:DP110" si="196">DI106</f>
        <v>#REF!</v>
      </c>
      <c r="DJ110" s="2088" t="e">
        <f t="shared" si="196"/>
        <v>#REF!</v>
      </c>
      <c r="DK110" s="2088" t="e">
        <f t="shared" si="196"/>
        <v>#REF!</v>
      </c>
      <c r="DL110" s="2088">
        <f t="shared" si="196"/>
        <v>29900</v>
      </c>
      <c r="DM110" s="2088">
        <f t="shared" si="196"/>
        <v>31855</v>
      </c>
      <c r="DN110" s="2088">
        <f t="shared" si="196"/>
        <v>29900</v>
      </c>
      <c r="DO110" s="2088">
        <f t="shared" si="196"/>
        <v>31855</v>
      </c>
      <c r="DP110" s="2088">
        <f t="shared" si="196"/>
        <v>47035</v>
      </c>
      <c r="DQ110" s="2088"/>
      <c r="DR110" s="2088" t="e">
        <f>DR106</f>
        <v>#REF!</v>
      </c>
      <c r="DS110" s="2088">
        <f>DS106</f>
        <v>29900</v>
      </c>
      <c r="DT110" s="2088" t="e">
        <f>DT106</f>
        <v>#REF!</v>
      </c>
      <c r="DU110" s="2087"/>
      <c r="DV110" s="2087"/>
      <c r="DW110" s="2087"/>
      <c r="DX110" s="2087"/>
      <c r="DY110" s="2087"/>
      <c r="DZ110" s="2087"/>
      <c r="EA110" s="2087"/>
      <c r="EB110" s="2087"/>
      <c r="EC110" s="2087"/>
      <c r="ED110" s="2087"/>
      <c r="EE110" s="2087"/>
      <c r="EF110" s="2087"/>
      <c r="EG110" s="2087"/>
      <c r="EH110" s="2087"/>
      <c r="EI110" s="2087"/>
      <c r="EJ110" s="2087"/>
      <c r="EK110" s="2087"/>
      <c r="EL110" s="2087"/>
      <c r="EM110" s="2087"/>
      <c r="EN110" s="2087"/>
      <c r="EO110" s="2087"/>
      <c r="EP110" s="2087"/>
      <c r="EQ110" s="2087"/>
      <c r="ER110" s="2087"/>
      <c r="ES110" s="2087"/>
      <c r="ET110" s="2087"/>
      <c r="EU110" s="2087"/>
      <c r="EV110" s="2087"/>
      <c r="EW110" s="2087"/>
      <c r="EX110" s="2087"/>
      <c r="EY110" s="2087"/>
      <c r="EZ110" s="2087"/>
      <c r="FA110" s="2087"/>
      <c r="FB110" s="2087"/>
      <c r="FC110" s="2087"/>
      <c r="FD110" s="2087"/>
      <c r="FE110" s="2081"/>
      <c r="FF110" s="2082"/>
      <c r="FG110" s="2082"/>
      <c r="FH110" s="2082"/>
      <c r="FI110" s="2082"/>
      <c r="FJ110" s="2082"/>
      <c r="FK110" s="1565"/>
      <c r="FL110" s="1565"/>
      <c r="FM110" s="1565"/>
      <c r="FN110" s="1565"/>
      <c r="FO110" s="1565"/>
      <c r="FP110" s="1565"/>
      <c r="FQ110" s="1565"/>
      <c r="FR110" s="1565"/>
      <c r="FS110" s="1565"/>
      <c r="FT110" s="1565"/>
      <c r="FU110" s="1565"/>
      <c r="FV110" s="1565"/>
      <c r="FW110" s="1565"/>
      <c r="FX110" s="1565"/>
      <c r="FY110" s="1565"/>
      <c r="FZ110" s="1565"/>
      <c r="GA110" s="1565"/>
      <c r="GB110" s="1565"/>
      <c r="GC110" s="1565"/>
      <c r="GD110" s="1565"/>
      <c r="GE110" s="1565"/>
      <c r="GF110" s="1565"/>
      <c r="GG110" s="1565"/>
      <c r="GH110" s="1565"/>
      <c r="GI110" s="1565"/>
      <c r="GJ110" s="1565"/>
      <c r="GK110" s="1565"/>
      <c r="GL110" s="1565"/>
      <c r="GM110" s="1565"/>
      <c r="GN110" s="1565"/>
      <c r="GO110" s="1565"/>
      <c r="GP110" s="1565"/>
      <c r="GQ110" s="1565"/>
      <c r="GR110" s="1565"/>
      <c r="GS110" s="1565"/>
      <c r="GT110" s="1565"/>
      <c r="GU110" s="1565"/>
      <c r="GV110" s="1565"/>
      <c r="GW110" s="1565"/>
      <c r="GX110" s="1565"/>
      <c r="GY110" s="1565"/>
      <c r="GZ110" s="1565"/>
      <c r="HA110" s="1565"/>
      <c r="HB110" s="1565"/>
      <c r="HC110" s="1565"/>
      <c r="HD110" s="1565"/>
      <c r="HE110" s="1565"/>
      <c r="HF110" s="1565"/>
      <c r="HG110" s="1565"/>
      <c r="HH110" s="1565"/>
      <c r="HI110" s="1565"/>
      <c r="HJ110" s="1565"/>
      <c r="HK110" s="1565"/>
      <c r="HL110" s="1565"/>
      <c r="HM110" s="1565"/>
      <c r="HN110" s="1565"/>
      <c r="HO110" s="1565"/>
      <c r="HP110" s="1565"/>
      <c r="HQ110" s="1565"/>
      <c r="HR110" s="1565"/>
      <c r="HS110" s="1565"/>
      <c r="HT110" s="1565"/>
      <c r="HU110" s="1565"/>
      <c r="HV110" s="1565"/>
      <c r="HW110" s="1565"/>
      <c r="HX110" s="1565"/>
      <c r="HY110" s="1565"/>
      <c r="HZ110" s="1565"/>
      <c r="IA110" s="1565"/>
      <c r="IB110" s="1565"/>
      <c r="IC110" s="1565"/>
      <c r="ID110" s="1565"/>
      <c r="IE110" s="1565"/>
      <c r="IF110" s="1565"/>
      <c r="IG110" s="1565"/>
    </row>
    <row r="111" spans="1:241" s="1552" customFormat="1" ht="15.75" hidden="1" outlineLevel="2">
      <c r="A111" s="1552">
        <v>108</v>
      </c>
      <c r="B111" s="1567" t="s">
        <v>303</v>
      </c>
      <c r="C111" s="1568" t="s">
        <v>1972</v>
      </c>
      <c r="D111" s="1569" t="s">
        <v>1780</v>
      </c>
      <c r="E111" s="1570" t="s">
        <v>1804</v>
      </c>
      <c r="F111" s="1571" t="s">
        <v>1785</v>
      </c>
      <c r="G111" s="1572"/>
      <c r="H111" s="2073"/>
      <c r="I111" s="2083"/>
      <c r="J111" s="2084"/>
      <c r="K111" s="2084"/>
      <c r="L111" s="2083"/>
      <c r="M111" s="2083"/>
      <c r="N111" s="2085"/>
      <c r="O111" s="2083"/>
      <c r="P111" s="2084"/>
      <c r="Q111" s="2086"/>
      <c r="R111" s="2086"/>
      <c r="S111" s="2086"/>
      <c r="T111" s="2086"/>
      <c r="U111" s="2086"/>
      <c r="V111" s="2086"/>
      <c r="W111" s="2086"/>
      <c r="X111" s="2086"/>
      <c r="Y111" s="2086"/>
      <c r="Z111" s="2086"/>
      <c r="AA111" s="2086"/>
      <c r="AB111" s="2086"/>
      <c r="AC111" s="2086"/>
      <c r="AD111" s="2086"/>
      <c r="AE111" s="2086"/>
      <c r="AF111" s="2086"/>
      <c r="AG111" s="2086"/>
      <c r="AH111" s="2086"/>
      <c r="AI111" s="2086"/>
      <c r="AJ111" s="2086"/>
      <c r="AK111" s="2086"/>
      <c r="AL111" s="2086"/>
      <c r="AM111" s="2086"/>
      <c r="AN111" s="2086"/>
      <c r="AO111" s="2086"/>
      <c r="AP111" s="2086"/>
      <c r="AQ111" s="2086"/>
      <c r="AR111" s="2086"/>
      <c r="AS111" s="2086"/>
      <c r="AT111" s="2086"/>
      <c r="AU111" s="2086"/>
      <c r="AV111" s="2086"/>
      <c r="AW111" s="2086"/>
      <c r="AX111" s="2086"/>
      <c r="AY111" s="2087"/>
      <c r="AZ111" s="2087"/>
      <c r="BA111" s="2087"/>
      <c r="BB111" s="2087"/>
      <c r="BC111" s="2087"/>
      <c r="BD111" s="2087"/>
      <c r="BE111" s="2087"/>
      <c r="BF111" s="2087"/>
      <c r="BG111" s="2087"/>
      <c r="BH111" s="2087"/>
      <c r="BI111" s="2087"/>
      <c r="BJ111" s="2087"/>
      <c r="BK111" s="2087"/>
      <c r="BL111" s="2087"/>
      <c r="BM111" s="2087"/>
      <c r="BN111" s="2087"/>
      <c r="BO111" s="2087"/>
      <c r="BP111" s="2087"/>
      <c r="BQ111" s="2087"/>
      <c r="BR111" s="2087"/>
      <c r="BS111" s="2087"/>
      <c r="BT111" s="2087"/>
      <c r="BU111" s="2087"/>
      <c r="BV111" s="2087"/>
      <c r="BW111" s="2087"/>
      <c r="BX111" s="2087"/>
      <c r="BY111" s="2087"/>
      <c r="BZ111" s="2087"/>
      <c r="CA111" s="2087"/>
      <c r="CB111" s="2087"/>
      <c r="CC111" s="2087"/>
      <c r="CD111" s="2087"/>
      <c r="CE111" s="2088"/>
      <c r="CF111" s="2088"/>
      <c r="CG111" s="2088"/>
      <c r="CH111" s="2088"/>
      <c r="CI111" s="2088"/>
      <c r="CJ111" s="2088"/>
      <c r="CK111" s="2088"/>
      <c r="CL111" s="2088"/>
      <c r="CM111" s="2088"/>
      <c r="CN111" s="2088"/>
      <c r="CO111" s="2087"/>
      <c r="CP111" s="2087"/>
      <c r="CQ111" s="2088"/>
      <c r="CR111" s="2088"/>
      <c r="CS111" s="2087"/>
      <c r="CT111" s="2088"/>
      <c r="CU111" s="2087"/>
      <c r="CV111" s="2088"/>
      <c r="CW111" s="2087"/>
      <c r="CX111" s="2088"/>
      <c r="CY111" s="2087"/>
      <c r="CZ111" s="2087"/>
      <c r="DA111" s="2087"/>
      <c r="DB111" s="2087"/>
      <c r="DC111" s="2087"/>
      <c r="DD111" s="2087"/>
      <c r="DE111" s="2087"/>
      <c r="DF111" s="2087"/>
      <c r="DG111" s="2087"/>
      <c r="DH111" s="2088">
        <f>DH106</f>
        <v>25530</v>
      </c>
      <c r="DI111" s="2088" t="e">
        <f t="shared" ref="DI111:DP111" si="197">DI106</f>
        <v>#REF!</v>
      </c>
      <c r="DJ111" s="2088" t="e">
        <f t="shared" si="197"/>
        <v>#REF!</v>
      </c>
      <c r="DK111" s="2088" t="e">
        <f t="shared" si="197"/>
        <v>#REF!</v>
      </c>
      <c r="DL111" s="2088">
        <f t="shared" si="197"/>
        <v>29900</v>
      </c>
      <c r="DM111" s="2088">
        <f t="shared" si="197"/>
        <v>31855</v>
      </c>
      <c r="DN111" s="2088">
        <f t="shared" si="197"/>
        <v>29900</v>
      </c>
      <c r="DO111" s="2088">
        <f t="shared" si="197"/>
        <v>31855</v>
      </c>
      <c r="DP111" s="2088">
        <f t="shared" si="197"/>
        <v>47035</v>
      </c>
      <c r="DQ111" s="2088"/>
      <c r="DR111" s="2088" t="e">
        <f>DR106</f>
        <v>#REF!</v>
      </c>
      <c r="DS111" s="2088">
        <f>DS106</f>
        <v>29900</v>
      </c>
      <c r="DT111" s="2088" t="e">
        <f>DT106</f>
        <v>#REF!</v>
      </c>
      <c r="DU111" s="2087"/>
      <c r="DV111" s="2087"/>
      <c r="DW111" s="2087"/>
      <c r="DX111" s="2087"/>
      <c r="DY111" s="2087"/>
      <c r="DZ111" s="2087"/>
      <c r="EA111" s="2087"/>
      <c r="EB111" s="2087"/>
      <c r="EC111" s="2087"/>
      <c r="ED111" s="2087"/>
      <c r="EE111" s="2087"/>
      <c r="EF111" s="2087"/>
      <c r="EG111" s="2087"/>
      <c r="EH111" s="2087"/>
      <c r="EI111" s="2087"/>
      <c r="EJ111" s="2087"/>
      <c r="EK111" s="2087"/>
      <c r="EL111" s="2087"/>
      <c r="EM111" s="2087"/>
      <c r="EN111" s="2087"/>
      <c r="EO111" s="2087"/>
      <c r="EP111" s="2087"/>
      <c r="EQ111" s="2087"/>
      <c r="ER111" s="2087"/>
      <c r="ES111" s="2087"/>
      <c r="ET111" s="2087"/>
      <c r="EU111" s="2087"/>
      <c r="EV111" s="2087"/>
      <c r="EW111" s="2087"/>
      <c r="EX111" s="2087"/>
      <c r="EY111" s="2087"/>
      <c r="EZ111" s="2087"/>
      <c r="FA111" s="2087"/>
      <c r="FB111" s="2087"/>
      <c r="FC111" s="2087"/>
      <c r="FD111" s="2087"/>
      <c r="FE111" s="2081"/>
      <c r="FF111" s="2082"/>
      <c r="FG111" s="2082"/>
      <c r="FH111" s="2082"/>
      <c r="FI111" s="2082"/>
      <c r="FJ111" s="2082"/>
      <c r="FK111" s="1565"/>
      <c r="FL111" s="1565"/>
      <c r="FM111" s="1565"/>
      <c r="FN111" s="1565"/>
      <c r="FO111" s="1565"/>
      <c r="FP111" s="1565"/>
      <c r="FQ111" s="1565"/>
      <c r="FR111" s="1565"/>
      <c r="FS111" s="1565"/>
      <c r="FT111" s="1565"/>
      <c r="FU111" s="1565"/>
      <c r="FV111" s="1565"/>
      <c r="FW111" s="1565"/>
      <c r="FX111" s="1565"/>
      <c r="FY111" s="1565"/>
      <c r="FZ111" s="1565"/>
      <c r="GA111" s="1565"/>
      <c r="GB111" s="1565"/>
      <c r="GC111" s="1565"/>
      <c r="GD111" s="1565"/>
      <c r="GE111" s="1565"/>
      <c r="GF111" s="1565"/>
      <c r="GG111" s="1565"/>
      <c r="GH111" s="1565"/>
      <c r="GI111" s="1565"/>
      <c r="GJ111" s="1565"/>
      <c r="GK111" s="1565"/>
      <c r="GL111" s="1565"/>
      <c r="GM111" s="1565"/>
      <c r="GN111" s="1565"/>
      <c r="GO111" s="1565"/>
      <c r="GP111" s="1565"/>
      <c r="GQ111" s="1565"/>
      <c r="GR111" s="1565"/>
      <c r="GS111" s="1565"/>
      <c r="GT111" s="1565"/>
      <c r="GU111" s="1565"/>
      <c r="GV111" s="1565"/>
      <c r="GW111" s="1565"/>
      <c r="GX111" s="1565"/>
      <c r="GY111" s="1565"/>
      <c r="GZ111" s="1565"/>
      <c r="HA111" s="1565"/>
      <c r="HB111" s="1565"/>
      <c r="HC111" s="1565"/>
      <c r="HD111" s="1565"/>
      <c r="HE111" s="1565"/>
      <c r="HF111" s="1565"/>
      <c r="HG111" s="1565"/>
      <c r="HH111" s="1565"/>
      <c r="HI111" s="1565"/>
      <c r="HJ111" s="1565"/>
      <c r="HK111" s="1565"/>
      <c r="HL111" s="1565"/>
      <c r="HM111" s="1565"/>
      <c r="HN111" s="1565"/>
      <c r="HO111" s="1565"/>
      <c r="HP111" s="1565"/>
      <c r="HQ111" s="1565"/>
      <c r="HR111" s="1565"/>
      <c r="HS111" s="1565"/>
      <c r="HT111" s="1565"/>
      <c r="HU111" s="1565"/>
      <c r="HV111" s="1565"/>
      <c r="HW111" s="1565"/>
      <c r="HX111" s="1565"/>
      <c r="HY111" s="1565"/>
      <c r="HZ111" s="1565"/>
      <c r="IA111" s="1565"/>
      <c r="IB111" s="1565"/>
      <c r="IC111" s="1565"/>
      <c r="ID111" s="1565"/>
      <c r="IE111" s="1565"/>
      <c r="IF111" s="1565"/>
      <c r="IG111" s="1565"/>
    </row>
    <row r="112" spans="1:241" s="1552" customFormat="1" ht="15.75" hidden="1" outlineLevel="2">
      <c r="A112" s="1549">
        <v>109</v>
      </c>
      <c r="B112" s="1567" t="s">
        <v>303</v>
      </c>
      <c r="C112" s="1568" t="s">
        <v>1972</v>
      </c>
      <c r="D112" s="1569" t="s">
        <v>1780</v>
      </c>
      <c r="E112" s="1570" t="s">
        <v>1804</v>
      </c>
      <c r="F112" s="1571" t="s">
        <v>168</v>
      </c>
      <c r="G112" s="1572"/>
      <c r="H112" s="2073"/>
      <c r="I112" s="2083"/>
      <c r="J112" s="2084"/>
      <c r="K112" s="2084"/>
      <c r="L112" s="2083"/>
      <c r="M112" s="2083"/>
      <c r="N112" s="2085"/>
      <c r="O112" s="2083"/>
      <c r="P112" s="2084"/>
      <c r="Q112" s="2086"/>
      <c r="R112" s="2086"/>
      <c r="S112" s="2086"/>
      <c r="T112" s="2086"/>
      <c r="U112" s="2086"/>
      <c r="V112" s="2086"/>
      <c r="W112" s="2086"/>
      <c r="X112" s="2086"/>
      <c r="Y112" s="2086"/>
      <c r="Z112" s="2086"/>
      <c r="AA112" s="2086"/>
      <c r="AB112" s="2086"/>
      <c r="AC112" s="2086"/>
      <c r="AD112" s="2086"/>
      <c r="AE112" s="2086"/>
      <c r="AF112" s="2086"/>
      <c r="AG112" s="2086"/>
      <c r="AH112" s="2086"/>
      <c r="AI112" s="2086"/>
      <c r="AJ112" s="2086"/>
      <c r="AK112" s="2086"/>
      <c r="AL112" s="2086"/>
      <c r="AM112" s="2086"/>
      <c r="AN112" s="2086"/>
      <c r="AO112" s="2086"/>
      <c r="AP112" s="2086"/>
      <c r="AQ112" s="2086"/>
      <c r="AR112" s="2086"/>
      <c r="AS112" s="2086"/>
      <c r="AT112" s="2086"/>
      <c r="AU112" s="2086"/>
      <c r="AV112" s="2086"/>
      <c r="AW112" s="2086"/>
      <c r="AX112" s="2086"/>
      <c r="AY112" s="2087"/>
      <c r="AZ112" s="2087"/>
      <c r="BA112" s="2087"/>
      <c r="BB112" s="2087"/>
      <c r="BC112" s="2087"/>
      <c r="BD112" s="2087"/>
      <c r="BE112" s="2087"/>
      <c r="BF112" s="2087"/>
      <c r="BG112" s="2087"/>
      <c r="BH112" s="2087"/>
      <c r="BI112" s="2087"/>
      <c r="BJ112" s="2087"/>
      <c r="BK112" s="2087"/>
      <c r="BL112" s="2087"/>
      <c r="BM112" s="2087"/>
      <c r="BN112" s="2087"/>
      <c r="BO112" s="2087"/>
      <c r="BP112" s="2087"/>
      <c r="BQ112" s="2087"/>
      <c r="BR112" s="2087"/>
      <c r="BS112" s="2087"/>
      <c r="BT112" s="2087"/>
      <c r="BU112" s="2087"/>
      <c r="BV112" s="2087"/>
      <c r="BW112" s="2087"/>
      <c r="BX112" s="2087"/>
      <c r="BY112" s="2087"/>
      <c r="BZ112" s="2087"/>
      <c r="CA112" s="2087"/>
      <c r="CB112" s="2087"/>
      <c r="CC112" s="2087"/>
      <c r="CD112" s="2087"/>
      <c r="CE112" s="2088"/>
      <c r="CF112" s="2088"/>
      <c r="CG112" s="2088"/>
      <c r="CH112" s="2088"/>
      <c r="CI112" s="2088"/>
      <c r="CJ112" s="2088"/>
      <c r="CK112" s="2088"/>
      <c r="CL112" s="2088"/>
      <c r="CM112" s="2088"/>
      <c r="CN112" s="2088"/>
      <c r="CO112" s="2087"/>
      <c r="CP112" s="2087"/>
      <c r="CQ112" s="2088"/>
      <c r="CR112" s="2088"/>
      <c r="CS112" s="2087"/>
      <c r="CT112" s="2088"/>
      <c r="CU112" s="2087"/>
      <c r="CV112" s="2088"/>
      <c r="CW112" s="2087"/>
      <c r="CX112" s="2088"/>
      <c r="CY112" s="2087"/>
      <c r="CZ112" s="2087"/>
      <c r="DA112" s="2087"/>
      <c r="DB112" s="2087"/>
      <c r="DC112" s="2087"/>
      <c r="DD112" s="2087"/>
      <c r="DE112" s="2087"/>
      <c r="DF112" s="2087"/>
      <c r="DG112" s="2087"/>
      <c r="DH112" s="2088">
        <f>DH106</f>
        <v>25530</v>
      </c>
      <c r="DI112" s="2088" t="e">
        <f t="shared" ref="DI112:DP112" si="198">DI106</f>
        <v>#REF!</v>
      </c>
      <c r="DJ112" s="2088" t="e">
        <f t="shared" si="198"/>
        <v>#REF!</v>
      </c>
      <c r="DK112" s="2088" t="e">
        <f t="shared" si="198"/>
        <v>#REF!</v>
      </c>
      <c r="DL112" s="2088">
        <f t="shared" si="198"/>
        <v>29900</v>
      </c>
      <c r="DM112" s="2088">
        <f t="shared" si="198"/>
        <v>31855</v>
      </c>
      <c r="DN112" s="2088">
        <f t="shared" si="198"/>
        <v>29900</v>
      </c>
      <c r="DO112" s="2088">
        <f t="shared" si="198"/>
        <v>31855</v>
      </c>
      <c r="DP112" s="2088">
        <f t="shared" si="198"/>
        <v>47035</v>
      </c>
      <c r="DQ112" s="2088"/>
      <c r="DR112" s="2088" t="e">
        <f>DR106</f>
        <v>#REF!</v>
      </c>
      <c r="DS112" s="2088">
        <f>DS106</f>
        <v>29900</v>
      </c>
      <c r="DT112" s="2088" t="e">
        <f>DT106</f>
        <v>#REF!</v>
      </c>
      <c r="DU112" s="2087"/>
      <c r="DV112" s="2087"/>
      <c r="DW112" s="2087"/>
      <c r="DX112" s="2087"/>
      <c r="DY112" s="2087"/>
      <c r="DZ112" s="2087"/>
      <c r="EA112" s="2087"/>
      <c r="EB112" s="2087"/>
      <c r="EC112" s="2087"/>
      <c r="ED112" s="2087"/>
      <c r="EE112" s="2087"/>
      <c r="EF112" s="2087"/>
      <c r="EG112" s="2087"/>
      <c r="EH112" s="2087"/>
      <c r="EI112" s="2087"/>
      <c r="EJ112" s="2087"/>
      <c r="EK112" s="2087"/>
      <c r="EL112" s="2087"/>
      <c r="EM112" s="2087"/>
      <c r="EN112" s="2087"/>
      <c r="EO112" s="2087"/>
      <c r="EP112" s="2087"/>
      <c r="EQ112" s="2087"/>
      <c r="ER112" s="2087"/>
      <c r="ES112" s="2087"/>
      <c r="ET112" s="2087"/>
      <c r="EU112" s="2087"/>
      <c r="EV112" s="2087"/>
      <c r="EW112" s="2087"/>
      <c r="EX112" s="2087"/>
      <c r="EY112" s="2087"/>
      <c r="EZ112" s="2087"/>
      <c r="FA112" s="2087"/>
      <c r="FB112" s="2087"/>
      <c r="FC112" s="2087"/>
      <c r="FD112" s="2087"/>
      <c r="FE112" s="2081"/>
      <c r="FF112" s="2082"/>
      <c r="FG112" s="2082"/>
      <c r="FH112" s="2082"/>
      <c r="FI112" s="2082"/>
      <c r="FJ112" s="2082"/>
      <c r="FK112" s="1565"/>
      <c r="FL112" s="1565"/>
      <c r="FM112" s="1565"/>
      <c r="FN112" s="1565"/>
      <c r="FO112" s="1565"/>
      <c r="FP112" s="1565"/>
      <c r="FQ112" s="1565"/>
      <c r="FR112" s="1565"/>
      <c r="FS112" s="1565"/>
      <c r="FT112" s="1565"/>
      <c r="FU112" s="1565"/>
      <c r="FV112" s="1565"/>
      <c r="FW112" s="1565"/>
      <c r="FX112" s="1565"/>
      <c r="FY112" s="1565"/>
      <c r="FZ112" s="1565"/>
      <c r="GA112" s="1565"/>
      <c r="GB112" s="1565"/>
      <c r="GC112" s="1565"/>
      <c r="GD112" s="1565"/>
      <c r="GE112" s="1565"/>
      <c r="GF112" s="1565"/>
      <c r="GG112" s="1565"/>
      <c r="GH112" s="1565"/>
      <c r="GI112" s="1565"/>
      <c r="GJ112" s="1565"/>
      <c r="GK112" s="1565"/>
      <c r="GL112" s="1565"/>
      <c r="GM112" s="1565"/>
      <c r="GN112" s="1565"/>
      <c r="GO112" s="1565"/>
      <c r="GP112" s="1565"/>
      <c r="GQ112" s="1565"/>
      <c r="GR112" s="1565"/>
      <c r="GS112" s="1565"/>
      <c r="GT112" s="1565"/>
      <c r="GU112" s="1565"/>
      <c r="GV112" s="1565"/>
      <c r="GW112" s="1565"/>
      <c r="GX112" s="1565"/>
      <c r="GY112" s="1565"/>
      <c r="GZ112" s="1565"/>
      <c r="HA112" s="1565"/>
      <c r="HB112" s="1565"/>
      <c r="HC112" s="1565"/>
      <c r="HD112" s="1565"/>
      <c r="HE112" s="1565"/>
      <c r="HF112" s="1565"/>
      <c r="HG112" s="1565"/>
      <c r="HH112" s="1565"/>
      <c r="HI112" s="1565"/>
      <c r="HJ112" s="1565"/>
      <c r="HK112" s="1565"/>
      <c r="HL112" s="1565"/>
      <c r="HM112" s="1565"/>
      <c r="HN112" s="1565"/>
      <c r="HO112" s="1565"/>
      <c r="HP112" s="1565"/>
      <c r="HQ112" s="1565"/>
      <c r="HR112" s="1565"/>
      <c r="HS112" s="1565"/>
      <c r="HT112" s="1565"/>
      <c r="HU112" s="1565"/>
      <c r="HV112" s="1565"/>
      <c r="HW112" s="1565"/>
      <c r="HX112" s="1565"/>
      <c r="HY112" s="1565"/>
      <c r="HZ112" s="1565"/>
      <c r="IA112" s="1565"/>
      <c r="IB112" s="1565"/>
      <c r="IC112" s="1565"/>
      <c r="ID112" s="1565"/>
      <c r="IE112" s="1565"/>
      <c r="IF112" s="1565"/>
      <c r="IG112" s="1565"/>
    </row>
    <row r="113" spans="1:241" s="1552" customFormat="1" ht="15.75" hidden="1" outlineLevel="2">
      <c r="A113" s="1552">
        <v>110</v>
      </c>
      <c r="B113" s="1567" t="s">
        <v>303</v>
      </c>
      <c r="C113" s="1568" t="s">
        <v>1972</v>
      </c>
      <c r="D113" s="1569" t="s">
        <v>1780</v>
      </c>
      <c r="E113" s="1570" t="s">
        <v>1804</v>
      </c>
      <c r="F113" s="1571" t="s">
        <v>1786</v>
      </c>
      <c r="G113" s="1572"/>
      <c r="H113" s="2073"/>
      <c r="I113" s="2083"/>
      <c r="J113" s="2084"/>
      <c r="K113" s="2084"/>
      <c r="L113" s="2083"/>
      <c r="M113" s="2083"/>
      <c r="N113" s="2085"/>
      <c r="O113" s="2083"/>
      <c r="P113" s="2084"/>
      <c r="Q113" s="2086"/>
      <c r="R113" s="2086"/>
      <c r="S113" s="2086"/>
      <c r="T113" s="2086"/>
      <c r="U113" s="2086"/>
      <c r="V113" s="2086"/>
      <c r="W113" s="2086"/>
      <c r="X113" s="2086"/>
      <c r="Y113" s="2086"/>
      <c r="Z113" s="2086"/>
      <c r="AA113" s="2086"/>
      <c r="AB113" s="2086"/>
      <c r="AC113" s="2086"/>
      <c r="AD113" s="2086"/>
      <c r="AE113" s="2086"/>
      <c r="AF113" s="2086"/>
      <c r="AG113" s="2086"/>
      <c r="AH113" s="2086"/>
      <c r="AI113" s="2086"/>
      <c r="AJ113" s="2086"/>
      <c r="AK113" s="2086"/>
      <c r="AL113" s="2086"/>
      <c r="AM113" s="2086"/>
      <c r="AN113" s="2086"/>
      <c r="AO113" s="2086"/>
      <c r="AP113" s="2086"/>
      <c r="AQ113" s="2086"/>
      <c r="AR113" s="2086"/>
      <c r="AS113" s="2086"/>
      <c r="AT113" s="2086"/>
      <c r="AU113" s="2086"/>
      <c r="AV113" s="2086"/>
      <c r="AW113" s="2086"/>
      <c r="AX113" s="2086"/>
      <c r="AY113" s="2087"/>
      <c r="AZ113" s="2087"/>
      <c r="BA113" s="2087"/>
      <c r="BB113" s="2087"/>
      <c r="BC113" s="2087"/>
      <c r="BD113" s="2087"/>
      <c r="BE113" s="2087"/>
      <c r="BF113" s="2087"/>
      <c r="BG113" s="2087"/>
      <c r="BH113" s="2087"/>
      <c r="BI113" s="2087"/>
      <c r="BJ113" s="2087"/>
      <c r="BK113" s="2087"/>
      <c r="BL113" s="2087"/>
      <c r="BM113" s="2087"/>
      <c r="BN113" s="2087"/>
      <c r="BO113" s="2087"/>
      <c r="BP113" s="2087"/>
      <c r="BQ113" s="2087"/>
      <c r="BR113" s="2087"/>
      <c r="BS113" s="2087"/>
      <c r="BT113" s="2087"/>
      <c r="BU113" s="2087"/>
      <c r="BV113" s="2087"/>
      <c r="BW113" s="2087"/>
      <c r="BX113" s="2087"/>
      <c r="BY113" s="2087"/>
      <c r="BZ113" s="2087"/>
      <c r="CA113" s="2087"/>
      <c r="CB113" s="2087"/>
      <c r="CC113" s="2087"/>
      <c r="CD113" s="2087"/>
      <c r="CE113" s="2088"/>
      <c r="CF113" s="2088"/>
      <c r="CG113" s="2088"/>
      <c r="CH113" s="2088"/>
      <c r="CI113" s="2088"/>
      <c r="CJ113" s="2088"/>
      <c r="CK113" s="2088"/>
      <c r="CL113" s="2088"/>
      <c r="CM113" s="2088"/>
      <c r="CN113" s="2088"/>
      <c r="CO113" s="2087"/>
      <c r="CP113" s="2087"/>
      <c r="CQ113" s="2088"/>
      <c r="CR113" s="2088"/>
      <c r="CS113" s="2087"/>
      <c r="CT113" s="2088"/>
      <c r="CU113" s="2087"/>
      <c r="CV113" s="2088"/>
      <c r="CW113" s="2087"/>
      <c r="CX113" s="2088"/>
      <c r="CY113" s="2087"/>
      <c r="CZ113" s="2087"/>
      <c r="DA113" s="2087"/>
      <c r="DB113" s="2087"/>
      <c r="DC113" s="2087"/>
      <c r="DD113" s="2087"/>
      <c r="DE113" s="2087"/>
      <c r="DF113" s="2087"/>
      <c r="DG113" s="2087"/>
      <c r="DH113" s="2088">
        <f>DH106</f>
        <v>25530</v>
      </c>
      <c r="DI113" s="2088" t="e">
        <f t="shared" ref="DI113:DP113" si="199">DI106</f>
        <v>#REF!</v>
      </c>
      <c r="DJ113" s="2088" t="e">
        <f t="shared" si="199"/>
        <v>#REF!</v>
      </c>
      <c r="DK113" s="2088" t="e">
        <f t="shared" si="199"/>
        <v>#REF!</v>
      </c>
      <c r="DL113" s="2088">
        <f t="shared" si="199"/>
        <v>29900</v>
      </c>
      <c r="DM113" s="2088">
        <f t="shared" si="199"/>
        <v>31855</v>
      </c>
      <c r="DN113" s="2088">
        <f t="shared" si="199"/>
        <v>29900</v>
      </c>
      <c r="DO113" s="2088">
        <f t="shared" si="199"/>
        <v>31855</v>
      </c>
      <c r="DP113" s="2088">
        <f t="shared" si="199"/>
        <v>47035</v>
      </c>
      <c r="DQ113" s="2088"/>
      <c r="DR113" s="2088" t="e">
        <f>DR106</f>
        <v>#REF!</v>
      </c>
      <c r="DS113" s="2088">
        <f>DS106</f>
        <v>29900</v>
      </c>
      <c r="DT113" s="2088" t="e">
        <f>DT106</f>
        <v>#REF!</v>
      </c>
      <c r="DU113" s="2087"/>
      <c r="DV113" s="2087"/>
      <c r="DW113" s="2087"/>
      <c r="DX113" s="2087"/>
      <c r="DY113" s="2087"/>
      <c r="DZ113" s="2087"/>
      <c r="EA113" s="2087"/>
      <c r="EB113" s="2087"/>
      <c r="EC113" s="2087"/>
      <c r="ED113" s="2087"/>
      <c r="EE113" s="2087"/>
      <c r="EF113" s="2087"/>
      <c r="EG113" s="2087"/>
      <c r="EH113" s="2087"/>
      <c r="EI113" s="2087"/>
      <c r="EJ113" s="2087"/>
      <c r="EK113" s="2087"/>
      <c r="EL113" s="2087"/>
      <c r="EM113" s="2087"/>
      <c r="EN113" s="2087"/>
      <c r="EO113" s="2087"/>
      <c r="EP113" s="2087"/>
      <c r="EQ113" s="2087"/>
      <c r="ER113" s="2087"/>
      <c r="ES113" s="2087"/>
      <c r="ET113" s="2087"/>
      <c r="EU113" s="2087"/>
      <c r="EV113" s="2087"/>
      <c r="EW113" s="2087"/>
      <c r="EX113" s="2087"/>
      <c r="EY113" s="2087"/>
      <c r="EZ113" s="2087"/>
      <c r="FA113" s="2087"/>
      <c r="FB113" s="2087"/>
      <c r="FC113" s="2087"/>
      <c r="FD113" s="2087"/>
      <c r="FE113" s="2081"/>
      <c r="FF113" s="2082"/>
      <c r="FG113" s="2082"/>
      <c r="FH113" s="2082"/>
      <c r="FI113" s="2082"/>
      <c r="FJ113" s="2082"/>
      <c r="FK113" s="1565"/>
      <c r="FL113" s="1565"/>
      <c r="FM113" s="1565"/>
      <c r="FN113" s="1565"/>
      <c r="FO113" s="1565"/>
      <c r="FP113" s="1565"/>
      <c r="FQ113" s="1565"/>
      <c r="FR113" s="1565"/>
      <c r="FS113" s="1565"/>
      <c r="FT113" s="1565"/>
      <c r="FU113" s="1565"/>
      <c r="FV113" s="1565"/>
      <c r="FW113" s="1565"/>
      <c r="FX113" s="1565"/>
      <c r="FY113" s="1565"/>
      <c r="FZ113" s="1565"/>
      <c r="GA113" s="1565"/>
      <c r="GB113" s="1565"/>
      <c r="GC113" s="1565"/>
      <c r="GD113" s="1565"/>
      <c r="GE113" s="1565"/>
      <c r="GF113" s="1565"/>
      <c r="GG113" s="1565"/>
      <c r="GH113" s="1565"/>
      <c r="GI113" s="1565"/>
      <c r="GJ113" s="1565"/>
      <c r="GK113" s="1565"/>
      <c r="GL113" s="1565"/>
      <c r="GM113" s="1565"/>
      <c r="GN113" s="1565"/>
      <c r="GO113" s="1565"/>
      <c r="GP113" s="1565"/>
      <c r="GQ113" s="1565"/>
      <c r="GR113" s="1565"/>
      <c r="GS113" s="1565"/>
      <c r="GT113" s="1565"/>
      <c r="GU113" s="1565"/>
      <c r="GV113" s="1565"/>
      <c r="GW113" s="1565"/>
      <c r="GX113" s="1565"/>
      <c r="GY113" s="1565"/>
      <c r="GZ113" s="1565"/>
      <c r="HA113" s="1565"/>
      <c r="HB113" s="1565"/>
      <c r="HC113" s="1565"/>
      <c r="HD113" s="1565"/>
      <c r="HE113" s="1565"/>
      <c r="HF113" s="1565"/>
      <c r="HG113" s="1565"/>
      <c r="HH113" s="1565"/>
      <c r="HI113" s="1565"/>
      <c r="HJ113" s="1565"/>
      <c r="HK113" s="1565"/>
      <c r="HL113" s="1565"/>
      <c r="HM113" s="1565"/>
      <c r="HN113" s="1565"/>
      <c r="HO113" s="1565"/>
      <c r="HP113" s="1565"/>
      <c r="HQ113" s="1565"/>
      <c r="HR113" s="1565"/>
      <c r="HS113" s="1565"/>
      <c r="HT113" s="1565"/>
      <c r="HU113" s="1565"/>
      <c r="HV113" s="1565"/>
      <c r="HW113" s="1565"/>
      <c r="HX113" s="1565"/>
      <c r="HY113" s="1565"/>
      <c r="HZ113" s="1565"/>
      <c r="IA113" s="1565"/>
      <c r="IB113" s="1565"/>
      <c r="IC113" s="1565"/>
      <c r="ID113" s="1565"/>
      <c r="IE113" s="1565"/>
      <c r="IF113" s="1565"/>
      <c r="IG113" s="1565"/>
    </row>
    <row r="114" spans="1:241" s="1552" customFormat="1" ht="15.75" hidden="1" outlineLevel="2">
      <c r="A114" s="1549">
        <v>111</v>
      </c>
      <c r="B114" s="1567" t="s">
        <v>303</v>
      </c>
      <c r="C114" s="1568" t="s">
        <v>1972</v>
      </c>
      <c r="D114" s="1569" t="s">
        <v>1780</v>
      </c>
      <c r="E114" s="1570" t="s">
        <v>1804</v>
      </c>
      <c r="F114" s="1571" t="s">
        <v>302</v>
      </c>
      <c r="G114" s="1572"/>
      <c r="H114" s="2073"/>
      <c r="I114" s="2083"/>
      <c r="J114" s="2084"/>
      <c r="K114" s="2084"/>
      <c r="L114" s="2083"/>
      <c r="M114" s="2083"/>
      <c r="N114" s="2085"/>
      <c r="O114" s="2083"/>
      <c r="P114" s="2084"/>
      <c r="Q114" s="2086"/>
      <c r="R114" s="2086"/>
      <c r="S114" s="2086"/>
      <c r="T114" s="2086"/>
      <c r="U114" s="2086"/>
      <c r="V114" s="2086"/>
      <c r="W114" s="2086"/>
      <c r="X114" s="2086"/>
      <c r="Y114" s="2086"/>
      <c r="Z114" s="2086"/>
      <c r="AA114" s="2086"/>
      <c r="AB114" s="2086"/>
      <c r="AC114" s="2086"/>
      <c r="AD114" s="2086"/>
      <c r="AE114" s="2086"/>
      <c r="AF114" s="2086"/>
      <c r="AG114" s="2086"/>
      <c r="AH114" s="2086"/>
      <c r="AI114" s="2086"/>
      <c r="AJ114" s="2086"/>
      <c r="AK114" s="2086"/>
      <c r="AL114" s="2086"/>
      <c r="AM114" s="2086"/>
      <c r="AN114" s="2086"/>
      <c r="AO114" s="2086"/>
      <c r="AP114" s="2086"/>
      <c r="AQ114" s="2086"/>
      <c r="AR114" s="2086"/>
      <c r="AS114" s="2086"/>
      <c r="AT114" s="2086"/>
      <c r="AU114" s="2086"/>
      <c r="AV114" s="2086"/>
      <c r="AW114" s="2086"/>
      <c r="AX114" s="2086"/>
      <c r="AY114" s="2087"/>
      <c r="AZ114" s="2087"/>
      <c r="BA114" s="2087"/>
      <c r="BB114" s="2087"/>
      <c r="BC114" s="2087"/>
      <c r="BD114" s="2087"/>
      <c r="BE114" s="2087"/>
      <c r="BF114" s="2087"/>
      <c r="BG114" s="2087"/>
      <c r="BH114" s="2087"/>
      <c r="BI114" s="2087"/>
      <c r="BJ114" s="2087"/>
      <c r="BK114" s="2087"/>
      <c r="BL114" s="2087"/>
      <c r="BM114" s="2087"/>
      <c r="BN114" s="2087"/>
      <c r="BO114" s="2087"/>
      <c r="BP114" s="2087"/>
      <c r="BQ114" s="2087"/>
      <c r="BR114" s="2087"/>
      <c r="BS114" s="2087"/>
      <c r="BT114" s="2087"/>
      <c r="BU114" s="2087"/>
      <c r="BV114" s="2087"/>
      <c r="BW114" s="2087"/>
      <c r="BX114" s="2087"/>
      <c r="BY114" s="2087"/>
      <c r="BZ114" s="2087"/>
      <c r="CA114" s="2087"/>
      <c r="CB114" s="2087"/>
      <c r="CC114" s="2087"/>
      <c r="CD114" s="2087"/>
      <c r="CE114" s="2088"/>
      <c r="CF114" s="2088"/>
      <c r="CG114" s="2088"/>
      <c r="CH114" s="2088"/>
      <c r="CI114" s="2088"/>
      <c r="CJ114" s="2088"/>
      <c r="CK114" s="2088"/>
      <c r="CL114" s="2088"/>
      <c r="CM114" s="2088"/>
      <c r="CN114" s="2088"/>
      <c r="CO114" s="2087"/>
      <c r="CP114" s="2087"/>
      <c r="CQ114" s="2088"/>
      <c r="CR114" s="2088"/>
      <c r="CS114" s="2087"/>
      <c r="CT114" s="2088"/>
      <c r="CU114" s="2087"/>
      <c r="CV114" s="2088"/>
      <c r="CW114" s="2087"/>
      <c r="CX114" s="2088"/>
      <c r="CY114" s="2087"/>
      <c r="CZ114" s="2087"/>
      <c r="DA114" s="2087"/>
      <c r="DB114" s="2087"/>
      <c r="DC114" s="2087"/>
      <c r="DD114" s="2087"/>
      <c r="DE114" s="2087"/>
      <c r="DF114" s="2087"/>
      <c r="DG114" s="2087"/>
      <c r="DH114" s="2088">
        <f>DH106</f>
        <v>25530</v>
      </c>
      <c r="DI114" s="2088" t="e">
        <f t="shared" ref="DI114:DP114" si="200">DI106</f>
        <v>#REF!</v>
      </c>
      <c r="DJ114" s="2088" t="e">
        <f t="shared" si="200"/>
        <v>#REF!</v>
      </c>
      <c r="DK114" s="2088" t="e">
        <f t="shared" si="200"/>
        <v>#REF!</v>
      </c>
      <c r="DL114" s="2088">
        <f t="shared" si="200"/>
        <v>29900</v>
      </c>
      <c r="DM114" s="2088">
        <f t="shared" si="200"/>
        <v>31855</v>
      </c>
      <c r="DN114" s="2088">
        <f t="shared" si="200"/>
        <v>29900</v>
      </c>
      <c r="DO114" s="2088">
        <f t="shared" si="200"/>
        <v>31855</v>
      </c>
      <c r="DP114" s="2088">
        <f t="shared" si="200"/>
        <v>47035</v>
      </c>
      <c r="DQ114" s="2088"/>
      <c r="DR114" s="2088" t="e">
        <f>DR106</f>
        <v>#REF!</v>
      </c>
      <c r="DS114" s="2088">
        <f>DS106</f>
        <v>29900</v>
      </c>
      <c r="DT114" s="2088" t="e">
        <f>DT106</f>
        <v>#REF!</v>
      </c>
      <c r="DU114" s="2087"/>
      <c r="DV114" s="2087"/>
      <c r="DW114" s="2087"/>
      <c r="DX114" s="2087"/>
      <c r="DY114" s="2087"/>
      <c r="DZ114" s="2087"/>
      <c r="EA114" s="2087"/>
      <c r="EB114" s="2087"/>
      <c r="EC114" s="2087"/>
      <c r="ED114" s="2087"/>
      <c r="EE114" s="2087"/>
      <c r="EF114" s="2087"/>
      <c r="EG114" s="2087"/>
      <c r="EH114" s="2087"/>
      <c r="EI114" s="2087"/>
      <c r="EJ114" s="2087"/>
      <c r="EK114" s="2087"/>
      <c r="EL114" s="2087"/>
      <c r="EM114" s="2087"/>
      <c r="EN114" s="2087"/>
      <c r="EO114" s="2087"/>
      <c r="EP114" s="2087"/>
      <c r="EQ114" s="2087"/>
      <c r="ER114" s="2087"/>
      <c r="ES114" s="2087"/>
      <c r="ET114" s="2087"/>
      <c r="EU114" s="2087"/>
      <c r="EV114" s="2087"/>
      <c r="EW114" s="2087"/>
      <c r="EX114" s="2087"/>
      <c r="EY114" s="2087"/>
      <c r="EZ114" s="2087"/>
      <c r="FA114" s="2087"/>
      <c r="FB114" s="2087"/>
      <c r="FC114" s="2087"/>
      <c r="FD114" s="2087"/>
      <c r="FE114" s="2081"/>
      <c r="FF114" s="2082"/>
      <c r="FG114" s="2082"/>
      <c r="FH114" s="2082"/>
      <c r="FI114" s="2082"/>
      <c r="FJ114" s="2082"/>
      <c r="FK114" s="1565"/>
      <c r="FL114" s="1565"/>
      <c r="FM114" s="1565"/>
      <c r="FN114" s="1565"/>
      <c r="FO114" s="1565"/>
      <c r="FP114" s="1565"/>
      <c r="FQ114" s="1565"/>
      <c r="FR114" s="1565"/>
      <c r="FS114" s="1565"/>
      <c r="FT114" s="1565"/>
      <c r="FU114" s="1565"/>
      <c r="FV114" s="1565"/>
      <c r="FW114" s="1565"/>
      <c r="FX114" s="1565"/>
      <c r="FY114" s="1565"/>
      <c r="FZ114" s="1565"/>
      <c r="GA114" s="1565"/>
      <c r="GB114" s="1565"/>
      <c r="GC114" s="1565"/>
      <c r="GD114" s="1565"/>
      <c r="GE114" s="1565"/>
      <c r="GF114" s="1565"/>
      <c r="GG114" s="1565"/>
      <c r="GH114" s="1565"/>
      <c r="GI114" s="1565"/>
      <c r="GJ114" s="1565"/>
      <c r="GK114" s="1565"/>
      <c r="GL114" s="1565"/>
      <c r="GM114" s="1565"/>
      <c r="GN114" s="1565"/>
      <c r="GO114" s="1565"/>
      <c r="GP114" s="1565"/>
      <c r="GQ114" s="1565"/>
      <c r="GR114" s="1565"/>
      <c r="GS114" s="1565"/>
      <c r="GT114" s="1565"/>
      <c r="GU114" s="1565"/>
      <c r="GV114" s="1565"/>
      <c r="GW114" s="1565"/>
      <c r="GX114" s="1565"/>
      <c r="GY114" s="1565"/>
      <c r="GZ114" s="1565"/>
      <c r="HA114" s="1565"/>
      <c r="HB114" s="1565"/>
      <c r="HC114" s="1565"/>
      <c r="HD114" s="1565"/>
      <c r="HE114" s="1565"/>
      <c r="HF114" s="1565"/>
      <c r="HG114" s="1565"/>
      <c r="HH114" s="1565"/>
      <c r="HI114" s="1565"/>
      <c r="HJ114" s="1565"/>
      <c r="HK114" s="1565"/>
      <c r="HL114" s="1565"/>
      <c r="HM114" s="1565"/>
      <c r="HN114" s="1565"/>
      <c r="HO114" s="1565"/>
      <c r="HP114" s="1565"/>
      <c r="HQ114" s="1565"/>
      <c r="HR114" s="1565"/>
      <c r="HS114" s="1565"/>
      <c r="HT114" s="1565"/>
      <c r="HU114" s="1565"/>
      <c r="HV114" s="1565"/>
      <c r="HW114" s="1565"/>
      <c r="HX114" s="1565"/>
      <c r="HY114" s="1565"/>
      <c r="HZ114" s="1565"/>
      <c r="IA114" s="1565"/>
      <c r="IB114" s="1565"/>
      <c r="IC114" s="1565"/>
      <c r="ID114" s="1565"/>
      <c r="IE114" s="1565"/>
      <c r="IF114" s="1565"/>
      <c r="IG114" s="1565"/>
    </row>
    <row r="115" spans="1:241" s="1552" customFormat="1" ht="15.75" hidden="1" outlineLevel="2">
      <c r="A115" s="1552">
        <v>112</v>
      </c>
      <c r="B115" s="1567" t="s">
        <v>303</v>
      </c>
      <c r="C115" s="1567" t="s">
        <v>1972</v>
      </c>
      <c r="D115" s="1569" t="s">
        <v>1780</v>
      </c>
      <c r="E115" s="1570" t="s">
        <v>1804</v>
      </c>
      <c r="F115" s="1571" t="s">
        <v>1787</v>
      </c>
      <c r="G115" s="1572"/>
      <c r="H115" s="2073"/>
      <c r="I115" s="2083"/>
      <c r="J115" s="2084"/>
      <c r="K115" s="2084"/>
      <c r="L115" s="2083"/>
      <c r="M115" s="2083"/>
      <c r="N115" s="2085"/>
      <c r="O115" s="2083"/>
      <c r="P115" s="2084"/>
      <c r="Q115" s="2086"/>
      <c r="R115" s="2086"/>
      <c r="S115" s="2086"/>
      <c r="T115" s="2086"/>
      <c r="U115" s="2086"/>
      <c r="V115" s="2086"/>
      <c r="W115" s="2086"/>
      <c r="X115" s="2086"/>
      <c r="Y115" s="2086"/>
      <c r="Z115" s="2086"/>
      <c r="AA115" s="2086"/>
      <c r="AB115" s="2086"/>
      <c r="AC115" s="2086"/>
      <c r="AD115" s="2086"/>
      <c r="AE115" s="2086"/>
      <c r="AF115" s="2086"/>
      <c r="AG115" s="2086"/>
      <c r="AH115" s="2086"/>
      <c r="AI115" s="2086"/>
      <c r="AJ115" s="2086"/>
      <c r="AK115" s="2086"/>
      <c r="AL115" s="2086"/>
      <c r="AM115" s="2086"/>
      <c r="AN115" s="2086"/>
      <c r="AO115" s="2086"/>
      <c r="AP115" s="2086"/>
      <c r="AQ115" s="2086"/>
      <c r="AR115" s="2086"/>
      <c r="AS115" s="2086"/>
      <c r="AT115" s="2086"/>
      <c r="AU115" s="2086"/>
      <c r="AV115" s="2086"/>
      <c r="AW115" s="2086"/>
      <c r="AX115" s="2086"/>
      <c r="AY115" s="2087"/>
      <c r="AZ115" s="2087"/>
      <c r="BA115" s="2087"/>
      <c r="BB115" s="2087"/>
      <c r="BC115" s="2087"/>
      <c r="BD115" s="2087"/>
      <c r="BE115" s="2087"/>
      <c r="BF115" s="2087"/>
      <c r="BG115" s="2087"/>
      <c r="BH115" s="2087"/>
      <c r="BI115" s="2087"/>
      <c r="BJ115" s="2087"/>
      <c r="BK115" s="2087"/>
      <c r="BL115" s="2087"/>
      <c r="BM115" s="2087"/>
      <c r="BN115" s="2087"/>
      <c r="BO115" s="2087"/>
      <c r="BP115" s="2087"/>
      <c r="BQ115" s="2087"/>
      <c r="BR115" s="2087"/>
      <c r="BS115" s="2087"/>
      <c r="BT115" s="2087"/>
      <c r="BU115" s="2087"/>
      <c r="BV115" s="2087"/>
      <c r="BW115" s="2087"/>
      <c r="BX115" s="2087"/>
      <c r="BY115" s="2087"/>
      <c r="BZ115" s="2087"/>
      <c r="CA115" s="2087"/>
      <c r="CB115" s="2087"/>
      <c r="CC115" s="2087"/>
      <c r="CD115" s="2087"/>
      <c r="CE115" s="2088"/>
      <c r="CF115" s="2088"/>
      <c r="CG115" s="2088"/>
      <c r="CH115" s="2088"/>
      <c r="CI115" s="2088"/>
      <c r="CJ115" s="2088"/>
      <c r="CK115" s="2088"/>
      <c r="CL115" s="2088"/>
      <c r="CM115" s="2088"/>
      <c r="CN115" s="2088"/>
      <c r="CO115" s="2087"/>
      <c r="CP115" s="2087"/>
      <c r="CQ115" s="2088"/>
      <c r="CR115" s="2088"/>
      <c r="CS115" s="2087"/>
      <c r="CT115" s="2088"/>
      <c r="CU115" s="2087"/>
      <c r="CV115" s="2088"/>
      <c r="CW115" s="2087"/>
      <c r="CX115" s="2088"/>
      <c r="CY115" s="2087"/>
      <c r="CZ115" s="2087"/>
      <c r="DA115" s="2087"/>
      <c r="DB115" s="2087"/>
      <c r="DC115" s="2087"/>
      <c r="DD115" s="2087"/>
      <c r="DE115" s="2087"/>
      <c r="DF115" s="2087"/>
      <c r="DG115" s="2087"/>
      <c r="DH115" s="2088">
        <f>DH106</f>
        <v>25530</v>
      </c>
      <c r="DI115" s="2088" t="e">
        <f t="shared" ref="DI115:DP115" si="201">DI106</f>
        <v>#REF!</v>
      </c>
      <c r="DJ115" s="2088" t="e">
        <f t="shared" si="201"/>
        <v>#REF!</v>
      </c>
      <c r="DK115" s="2088" t="e">
        <f t="shared" si="201"/>
        <v>#REF!</v>
      </c>
      <c r="DL115" s="2088">
        <f t="shared" si="201"/>
        <v>29900</v>
      </c>
      <c r="DM115" s="2088">
        <f t="shared" si="201"/>
        <v>31855</v>
      </c>
      <c r="DN115" s="2088">
        <f t="shared" si="201"/>
        <v>29900</v>
      </c>
      <c r="DO115" s="2088">
        <f t="shared" si="201"/>
        <v>31855</v>
      </c>
      <c r="DP115" s="2088">
        <f t="shared" si="201"/>
        <v>47035</v>
      </c>
      <c r="DQ115" s="2088"/>
      <c r="DR115" s="2088" t="e">
        <f>DR106</f>
        <v>#REF!</v>
      </c>
      <c r="DS115" s="2088">
        <f>DS106</f>
        <v>29900</v>
      </c>
      <c r="DT115" s="2088" t="e">
        <f>DT106</f>
        <v>#REF!</v>
      </c>
      <c r="DU115" s="2087"/>
      <c r="DV115" s="2087"/>
      <c r="DW115" s="2087"/>
      <c r="DX115" s="2087"/>
      <c r="DY115" s="2087"/>
      <c r="DZ115" s="2087"/>
      <c r="EA115" s="2087"/>
      <c r="EB115" s="2087"/>
      <c r="EC115" s="2087"/>
      <c r="ED115" s="2087"/>
      <c r="EE115" s="2087"/>
      <c r="EF115" s="2087"/>
      <c r="EG115" s="2087"/>
      <c r="EH115" s="2087"/>
      <c r="EI115" s="2087"/>
      <c r="EJ115" s="2087"/>
      <c r="EK115" s="2087"/>
      <c r="EL115" s="2087"/>
      <c r="EM115" s="2087"/>
      <c r="EN115" s="2087"/>
      <c r="EO115" s="2087"/>
      <c r="EP115" s="2087"/>
      <c r="EQ115" s="2087"/>
      <c r="ER115" s="2087"/>
      <c r="ES115" s="2087"/>
      <c r="ET115" s="2087"/>
      <c r="EU115" s="2087"/>
      <c r="EV115" s="2087"/>
      <c r="EW115" s="2087"/>
      <c r="EX115" s="2087"/>
      <c r="EY115" s="2087"/>
      <c r="EZ115" s="2087"/>
      <c r="FA115" s="2087"/>
      <c r="FB115" s="2087"/>
      <c r="FC115" s="2087"/>
      <c r="FD115" s="2087"/>
      <c r="FE115" s="2081"/>
      <c r="FF115" s="2082"/>
      <c r="FG115" s="2082"/>
      <c r="FH115" s="2082"/>
      <c r="FI115" s="2082"/>
      <c r="FJ115" s="2082"/>
      <c r="FK115" s="1565"/>
      <c r="FL115" s="1565"/>
      <c r="FM115" s="1565"/>
      <c r="FN115" s="1565"/>
      <c r="FO115" s="1565"/>
      <c r="FP115" s="1565"/>
      <c r="FQ115" s="1565"/>
      <c r="FR115" s="1565"/>
      <c r="FS115" s="1565"/>
      <c r="FT115" s="1565"/>
      <c r="FU115" s="1565"/>
      <c r="FV115" s="1565"/>
      <c r="FW115" s="1565"/>
      <c r="FX115" s="1565"/>
      <c r="FY115" s="1565"/>
      <c r="FZ115" s="1565"/>
      <c r="GA115" s="1565"/>
      <c r="GB115" s="1565"/>
      <c r="GC115" s="1565"/>
      <c r="GD115" s="1565"/>
      <c r="GE115" s="1565"/>
      <c r="GF115" s="1565"/>
      <c r="GG115" s="1565"/>
      <c r="GH115" s="1565"/>
      <c r="GI115" s="1565"/>
      <c r="GJ115" s="1565"/>
      <c r="GK115" s="1565"/>
      <c r="GL115" s="1565"/>
      <c r="GM115" s="1565"/>
      <c r="GN115" s="1565"/>
      <c r="GO115" s="1565"/>
      <c r="GP115" s="1565"/>
      <c r="GQ115" s="1565"/>
      <c r="GR115" s="1565"/>
      <c r="GS115" s="1565"/>
      <c r="GT115" s="1565"/>
      <c r="GU115" s="1565"/>
      <c r="GV115" s="1565"/>
      <c r="GW115" s="1565"/>
      <c r="GX115" s="1565"/>
      <c r="GY115" s="1565"/>
      <c r="GZ115" s="1565"/>
      <c r="HA115" s="1565"/>
      <c r="HB115" s="1565"/>
      <c r="HC115" s="1565"/>
      <c r="HD115" s="1565"/>
      <c r="HE115" s="1565"/>
      <c r="HF115" s="1565"/>
      <c r="HG115" s="1565"/>
      <c r="HH115" s="1565"/>
      <c r="HI115" s="1565"/>
      <c r="HJ115" s="1565"/>
      <c r="HK115" s="1565"/>
      <c r="HL115" s="1565"/>
      <c r="HM115" s="1565"/>
      <c r="HN115" s="1565"/>
      <c r="HO115" s="1565"/>
      <c r="HP115" s="1565"/>
      <c r="HQ115" s="1565"/>
      <c r="HR115" s="1565"/>
      <c r="HS115" s="1565"/>
      <c r="HT115" s="1565"/>
      <c r="HU115" s="1565"/>
      <c r="HV115" s="1565"/>
      <c r="HW115" s="1565"/>
      <c r="HX115" s="1565"/>
      <c r="HY115" s="1565"/>
      <c r="HZ115" s="1565"/>
      <c r="IA115" s="1565"/>
      <c r="IB115" s="1565"/>
      <c r="IC115" s="1565"/>
      <c r="ID115" s="1565"/>
      <c r="IE115" s="1565"/>
      <c r="IF115" s="1565"/>
      <c r="IG115" s="1565"/>
    </row>
    <row r="116" spans="1:241" s="1552" customFormat="1" ht="15.75" hidden="1" outlineLevel="2">
      <c r="A116" s="1549">
        <v>113</v>
      </c>
      <c r="B116" s="1567" t="s">
        <v>303</v>
      </c>
      <c r="C116" s="1567" t="s">
        <v>1972</v>
      </c>
      <c r="D116" s="1569" t="s">
        <v>1780</v>
      </c>
      <c r="E116" s="1570" t="s">
        <v>1804</v>
      </c>
      <c r="F116" s="1571" t="s">
        <v>998</v>
      </c>
      <c r="G116" s="1572"/>
      <c r="H116" s="2073"/>
      <c r="I116" s="2083"/>
      <c r="J116" s="2084"/>
      <c r="K116" s="2084"/>
      <c r="L116" s="2083"/>
      <c r="M116" s="2083"/>
      <c r="N116" s="2085"/>
      <c r="O116" s="2083"/>
      <c r="P116" s="2084"/>
      <c r="Q116" s="2086"/>
      <c r="R116" s="2086"/>
      <c r="S116" s="2086"/>
      <c r="T116" s="2086"/>
      <c r="U116" s="2086"/>
      <c r="V116" s="2086"/>
      <c r="W116" s="2086"/>
      <c r="X116" s="2086"/>
      <c r="Y116" s="2086"/>
      <c r="Z116" s="2086"/>
      <c r="AA116" s="2086"/>
      <c r="AB116" s="2086"/>
      <c r="AC116" s="2086"/>
      <c r="AD116" s="2086"/>
      <c r="AE116" s="2086"/>
      <c r="AF116" s="2086"/>
      <c r="AG116" s="2086"/>
      <c r="AH116" s="2086"/>
      <c r="AI116" s="2086"/>
      <c r="AJ116" s="2086"/>
      <c r="AK116" s="2086"/>
      <c r="AL116" s="2086"/>
      <c r="AM116" s="2086"/>
      <c r="AN116" s="2086"/>
      <c r="AO116" s="2086"/>
      <c r="AP116" s="2086"/>
      <c r="AQ116" s="2086"/>
      <c r="AR116" s="2086"/>
      <c r="AS116" s="2086"/>
      <c r="AT116" s="2086"/>
      <c r="AU116" s="2086"/>
      <c r="AV116" s="2086"/>
      <c r="AW116" s="2086"/>
      <c r="AX116" s="2086"/>
      <c r="AY116" s="2087"/>
      <c r="AZ116" s="2087"/>
      <c r="BA116" s="2087"/>
      <c r="BB116" s="2087"/>
      <c r="BC116" s="2087"/>
      <c r="BD116" s="2087"/>
      <c r="BE116" s="2087"/>
      <c r="BF116" s="2087"/>
      <c r="BG116" s="2087"/>
      <c r="BH116" s="2087"/>
      <c r="BI116" s="2087"/>
      <c r="BJ116" s="2087"/>
      <c r="BK116" s="2087"/>
      <c r="BL116" s="2087"/>
      <c r="BM116" s="2087"/>
      <c r="BN116" s="2087"/>
      <c r="BO116" s="2087"/>
      <c r="BP116" s="2087"/>
      <c r="BQ116" s="2087"/>
      <c r="BR116" s="2087"/>
      <c r="BS116" s="2087"/>
      <c r="BT116" s="2087"/>
      <c r="BU116" s="2087"/>
      <c r="BV116" s="2087"/>
      <c r="BW116" s="2087"/>
      <c r="BX116" s="2087"/>
      <c r="BY116" s="2087"/>
      <c r="BZ116" s="2087"/>
      <c r="CA116" s="2087"/>
      <c r="CB116" s="2087"/>
      <c r="CC116" s="2087"/>
      <c r="CD116" s="2087"/>
      <c r="CE116" s="2088"/>
      <c r="CF116" s="2088"/>
      <c r="CG116" s="2088"/>
      <c r="CH116" s="2088"/>
      <c r="CI116" s="2088"/>
      <c r="CJ116" s="2088"/>
      <c r="CK116" s="2088"/>
      <c r="CL116" s="2088"/>
      <c r="CM116" s="2088"/>
      <c r="CN116" s="2088"/>
      <c r="CO116" s="2087"/>
      <c r="CP116" s="2087"/>
      <c r="CQ116" s="2088"/>
      <c r="CR116" s="2088"/>
      <c r="CS116" s="2087"/>
      <c r="CT116" s="2088"/>
      <c r="CU116" s="2087"/>
      <c r="CV116" s="2088"/>
      <c r="CW116" s="2087"/>
      <c r="CX116" s="2088"/>
      <c r="CY116" s="2087"/>
      <c r="CZ116" s="2087"/>
      <c r="DA116" s="2087"/>
      <c r="DB116" s="2087"/>
      <c r="DC116" s="2087"/>
      <c r="DD116" s="2087"/>
      <c r="DE116" s="2087"/>
      <c r="DF116" s="2087"/>
      <c r="DG116" s="2087"/>
      <c r="DH116" s="2088">
        <f>DH106</f>
        <v>25530</v>
      </c>
      <c r="DI116" s="2088" t="e">
        <f t="shared" ref="DI116:DP116" si="202">DI106</f>
        <v>#REF!</v>
      </c>
      <c r="DJ116" s="2088" t="e">
        <f t="shared" si="202"/>
        <v>#REF!</v>
      </c>
      <c r="DK116" s="2088" t="e">
        <f t="shared" si="202"/>
        <v>#REF!</v>
      </c>
      <c r="DL116" s="2088">
        <f t="shared" si="202"/>
        <v>29900</v>
      </c>
      <c r="DM116" s="2088">
        <f t="shared" si="202"/>
        <v>31855</v>
      </c>
      <c r="DN116" s="2088">
        <f t="shared" si="202"/>
        <v>29900</v>
      </c>
      <c r="DO116" s="2088">
        <f t="shared" si="202"/>
        <v>31855</v>
      </c>
      <c r="DP116" s="2088">
        <f t="shared" si="202"/>
        <v>47035</v>
      </c>
      <c r="DQ116" s="2088"/>
      <c r="DR116" s="2088" t="e">
        <f>DR106</f>
        <v>#REF!</v>
      </c>
      <c r="DS116" s="2088">
        <f>DS106</f>
        <v>29900</v>
      </c>
      <c r="DT116" s="2088" t="e">
        <f>DT106</f>
        <v>#REF!</v>
      </c>
      <c r="DU116" s="2087"/>
      <c r="DV116" s="2087"/>
      <c r="DW116" s="2087"/>
      <c r="DX116" s="2087"/>
      <c r="DY116" s="2087"/>
      <c r="DZ116" s="2087"/>
      <c r="EA116" s="2087"/>
      <c r="EB116" s="2087"/>
      <c r="EC116" s="2087"/>
      <c r="ED116" s="2087"/>
      <c r="EE116" s="2087"/>
      <c r="EF116" s="2087"/>
      <c r="EG116" s="2087"/>
      <c r="EH116" s="2087"/>
      <c r="EI116" s="2087"/>
      <c r="EJ116" s="2087"/>
      <c r="EK116" s="2087"/>
      <c r="EL116" s="2087"/>
      <c r="EM116" s="2087"/>
      <c r="EN116" s="2087"/>
      <c r="EO116" s="2087"/>
      <c r="EP116" s="2087"/>
      <c r="EQ116" s="2087"/>
      <c r="ER116" s="2087"/>
      <c r="ES116" s="2087"/>
      <c r="ET116" s="2087"/>
      <c r="EU116" s="2087"/>
      <c r="EV116" s="2087"/>
      <c r="EW116" s="2087"/>
      <c r="EX116" s="2087"/>
      <c r="EY116" s="2087"/>
      <c r="EZ116" s="2087"/>
      <c r="FA116" s="2087"/>
      <c r="FB116" s="2087"/>
      <c r="FC116" s="2087"/>
      <c r="FD116" s="2087"/>
      <c r="FE116" s="2081"/>
      <c r="FF116" s="2082"/>
      <c r="FG116" s="2082"/>
      <c r="FH116" s="2082"/>
      <c r="FI116" s="2082"/>
      <c r="FJ116" s="2082"/>
      <c r="FK116" s="1565"/>
      <c r="FL116" s="1565"/>
      <c r="FM116" s="1565"/>
      <c r="FN116" s="1565"/>
      <c r="FO116" s="1565"/>
      <c r="FP116" s="1565"/>
      <c r="FQ116" s="1565"/>
      <c r="FR116" s="1565"/>
      <c r="FS116" s="1565"/>
      <c r="FT116" s="1565"/>
      <c r="FU116" s="1565"/>
      <c r="FV116" s="1565"/>
      <c r="FW116" s="1565"/>
      <c r="FX116" s="1565"/>
      <c r="FY116" s="1565"/>
      <c r="FZ116" s="1565"/>
      <c r="GA116" s="1565"/>
      <c r="GB116" s="1565"/>
      <c r="GC116" s="1565"/>
      <c r="GD116" s="1565"/>
      <c r="GE116" s="1565"/>
      <c r="GF116" s="1565"/>
      <c r="GG116" s="1565"/>
      <c r="GH116" s="1565"/>
      <c r="GI116" s="1565"/>
      <c r="GJ116" s="1565"/>
      <c r="GK116" s="1565"/>
      <c r="GL116" s="1565"/>
      <c r="GM116" s="1565"/>
      <c r="GN116" s="1565"/>
      <c r="GO116" s="1565"/>
      <c r="GP116" s="1565"/>
      <c r="GQ116" s="1565"/>
      <c r="GR116" s="1565"/>
      <c r="GS116" s="1565"/>
      <c r="GT116" s="1565"/>
      <c r="GU116" s="1565"/>
      <c r="GV116" s="1565"/>
      <c r="GW116" s="1565"/>
      <c r="GX116" s="1565"/>
      <c r="GY116" s="1565"/>
      <c r="GZ116" s="1565"/>
      <c r="HA116" s="1565"/>
      <c r="HB116" s="1565"/>
      <c r="HC116" s="1565"/>
      <c r="HD116" s="1565"/>
      <c r="HE116" s="1565"/>
      <c r="HF116" s="1565"/>
      <c r="HG116" s="1565"/>
      <c r="HH116" s="1565"/>
      <c r="HI116" s="1565"/>
      <c r="HJ116" s="1565"/>
      <c r="HK116" s="1565"/>
      <c r="HL116" s="1565"/>
      <c r="HM116" s="1565"/>
      <c r="HN116" s="1565"/>
      <c r="HO116" s="1565"/>
      <c r="HP116" s="1565"/>
      <c r="HQ116" s="1565"/>
      <c r="HR116" s="1565"/>
      <c r="HS116" s="1565"/>
      <c r="HT116" s="1565"/>
      <c r="HU116" s="1565"/>
      <c r="HV116" s="1565"/>
      <c r="HW116" s="1565"/>
      <c r="HX116" s="1565"/>
      <c r="HY116" s="1565"/>
      <c r="HZ116" s="1565"/>
      <c r="IA116" s="1565"/>
      <c r="IB116" s="1565"/>
      <c r="IC116" s="1565"/>
      <c r="ID116" s="1565"/>
      <c r="IE116" s="1565"/>
      <c r="IF116" s="1565"/>
      <c r="IG116" s="1565"/>
    </row>
    <row r="117" spans="1:241" s="1552" customFormat="1" ht="15.75" hidden="1" outlineLevel="2">
      <c r="A117" s="1552">
        <v>114</v>
      </c>
      <c r="B117" s="1567" t="s">
        <v>303</v>
      </c>
      <c r="C117" s="1567" t="s">
        <v>1972</v>
      </c>
      <c r="D117" s="1569" t="s">
        <v>1780</v>
      </c>
      <c r="E117" s="1570" t="s">
        <v>1804</v>
      </c>
      <c r="F117" s="1571" t="s">
        <v>1788</v>
      </c>
      <c r="G117" s="1572"/>
      <c r="H117" s="2073"/>
      <c r="I117" s="2083"/>
      <c r="J117" s="2084"/>
      <c r="K117" s="2084"/>
      <c r="L117" s="2083"/>
      <c r="M117" s="2083"/>
      <c r="N117" s="2085"/>
      <c r="O117" s="2083"/>
      <c r="P117" s="2084"/>
      <c r="Q117" s="2086"/>
      <c r="R117" s="2086"/>
      <c r="S117" s="2086"/>
      <c r="T117" s="2086"/>
      <c r="U117" s="2086"/>
      <c r="V117" s="2086"/>
      <c r="W117" s="2086"/>
      <c r="X117" s="2086"/>
      <c r="Y117" s="2086"/>
      <c r="Z117" s="2086"/>
      <c r="AA117" s="2086"/>
      <c r="AB117" s="2086"/>
      <c r="AC117" s="2086"/>
      <c r="AD117" s="2086"/>
      <c r="AE117" s="2086"/>
      <c r="AF117" s="2086"/>
      <c r="AG117" s="2086"/>
      <c r="AH117" s="2086"/>
      <c r="AI117" s="2086"/>
      <c r="AJ117" s="2086"/>
      <c r="AK117" s="2086"/>
      <c r="AL117" s="2086"/>
      <c r="AM117" s="2086"/>
      <c r="AN117" s="2086"/>
      <c r="AO117" s="2086"/>
      <c r="AP117" s="2086"/>
      <c r="AQ117" s="2086"/>
      <c r="AR117" s="2086"/>
      <c r="AS117" s="2086"/>
      <c r="AT117" s="2086"/>
      <c r="AU117" s="2086"/>
      <c r="AV117" s="2086"/>
      <c r="AW117" s="2086"/>
      <c r="AX117" s="2086"/>
      <c r="AY117" s="2087"/>
      <c r="AZ117" s="2087"/>
      <c r="BA117" s="2087"/>
      <c r="BB117" s="2087"/>
      <c r="BC117" s="2087"/>
      <c r="BD117" s="2087"/>
      <c r="BE117" s="2087"/>
      <c r="BF117" s="2087"/>
      <c r="BG117" s="2087"/>
      <c r="BH117" s="2087"/>
      <c r="BI117" s="2087"/>
      <c r="BJ117" s="2087"/>
      <c r="BK117" s="2087"/>
      <c r="BL117" s="2087"/>
      <c r="BM117" s="2087"/>
      <c r="BN117" s="2087"/>
      <c r="BO117" s="2087"/>
      <c r="BP117" s="2087"/>
      <c r="BQ117" s="2087"/>
      <c r="BR117" s="2087"/>
      <c r="BS117" s="2087"/>
      <c r="BT117" s="2087"/>
      <c r="BU117" s="2087"/>
      <c r="BV117" s="2087"/>
      <c r="BW117" s="2087"/>
      <c r="BX117" s="2087"/>
      <c r="BY117" s="2087"/>
      <c r="BZ117" s="2087"/>
      <c r="CA117" s="2087"/>
      <c r="CB117" s="2087"/>
      <c r="CC117" s="2087"/>
      <c r="CD117" s="2087"/>
      <c r="CE117" s="2088"/>
      <c r="CF117" s="2088"/>
      <c r="CG117" s="2088"/>
      <c r="CH117" s="2088"/>
      <c r="CI117" s="2088"/>
      <c r="CJ117" s="2088"/>
      <c r="CK117" s="2088"/>
      <c r="CL117" s="2088"/>
      <c r="CM117" s="2088"/>
      <c r="CN117" s="2088"/>
      <c r="CO117" s="2087"/>
      <c r="CP117" s="2087"/>
      <c r="CQ117" s="2088"/>
      <c r="CR117" s="2088"/>
      <c r="CS117" s="2087"/>
      <c r="CT117" s="2088"/>
      <c r="CU117" s="2087"/>
      <c r="CV117" s="2088"/>
      <c r="CW117" s="2087"/>
      <c r="CX117" s="2088"/>
      <c r="CY117" s="2087"/>
      <c r="CZ117" s="2087"/>
      <c r="DA117" s="2087"/>
      <c r="DB117" s="2087"/>
      <c r="DC117" s="2087"/>
      <c r="DD117" s="2087"/>
      <c r="DE117" s="2087"/>
      <c r="DF117" s="2087"/>
      <c r="DG117" s="2087"/>
      <c r="DH117" s="2088">
        <f>DH115*1.2</f>
        <v>30636</v>
      </c>
      <c r="DI117" s="2088" t="e">
        <f t="shared" ref="DI117:DP117" si="203">DI115*1.2</f>
        <v>#REF!</v>
      </c>
      <c r="DJ117" s="2088" t="e">
        <f t="shared" si="203"/>
        <v>#REF!</v>
      </c>
      <c r="DK117" s="2088" t="e">
        <f t="shared" si="203"/>
        <v>#REF!</v>
      </c>
      <c r="DL117" s="2088">
        <f t="shared" si="203"/>
        <v>35880</v>
      </c>
      <c r="DM117" s="2088">
        <f t="shared" si="203"/>
        <v>38226</v>
      </c>
      <c r="DN117" s="2088">
        <f t="shared" si="203"/>
        <v>35880</v>
      </c>
      <c r="DO117" s="2088">
        <f t="shared" si="203"/>
        <v>38226</v>
      </c>
      <c r="DP117" s="2088">
        <f t="shared" si="203"/>
        <v>56442</v>
      </c>
      <c r="DQ117" s="2088"/>
      <c r="DR117" s="2088" t="e">
        <f>DR115*1.2</f>
        <v>#REF!</v>
      </c>
      <c r="DS117" s="2088">
        <f>DS115*1.2</f>
        <v>35880</v>
      </c>
      <c r="DT117" s="2088" t="e">
        <f>DT115*1.2</f>
        <v>#REF!</v>
      </c>
      <c r="DU117" s="2087"/>
      <c r="DV117" s="2087"/>
      <c r="DW117" s="2087"/>
      <c r="DX117" s="2087"/>
      <c r="DY117" s="2087"/>
      <c r="DZ117" s="2087"/>
      <c r="EA117" s="2087"/>
      <c r="EB117" s="2087"/>
      <c r="EC117" s="2087"/>
      <c r="ED117" s="2087"/>
      <c r="EE117" s="2087"/>
      <c r="EF117" s="2087"/>
      <c r="EG117" s="2087"/>
      <c r="EH117" s="2087"/>
      <c r="EI117" s="2087"/>
      <c r="EJ117" s="2087"/>
      <c r="EK117" s="2087"/>
      <c r="EL117" s="2087"/>
      <c r="EM117" s="2087"/>
      <c r="EN117" s="2087"/>
      <c r="EO117" s="2087"/>
      <c r="EP117" s="2087"/>
      <c r="EQ117" s="2087"/>
      <c r="ER117" s="2087"/>
      <c r="ES117" s="2087"/>
      <c r="ET117" s="2087"/>
      <c r="EU117" s="2087"/>
      <c r="EV117" s="2087"/>
      <c r="EW117" s="2087"/>
      <c r="EX117" s="2087"/>
      <c r="EY117" s="2087"/>
      <c r="EZ117" s="2087"/>
      <c r="FA117" s="2087"/>
      <c r="FB117" s="2087"/>
      <c r="FC117" s="2087"/>
      <c r="FD117" s="2087"/>
      <c r="FE117" s="2081"/>
      <c r="FF117" s="2082"/>
      <c r="FG117" s="2082"/>
      <c r="FH117" s="2082"/>
      <c r="FI117" s="2082"/>
      <c r="FJ117" s="2082"/>
      <c r="FK117" s="1565"/>
      <c r="FL117" s="1565"/>
      <c r="FM117" s="1565"/>
      <c r="FN117" s="1565"/>
      <c r="FO117" s="1565"/>
      <c r="FP117" s="1565"/>
      <c r="FQ117" s="1565"/>
      <c r="FR117" s="1565"/>
      <c r="FS117" s="1565"/>
      <c r="FT117" s="1565"/>
      <c r="FU117" s="1565"/>
      <c r="FV117" s="1565"/>
      <c r="FW117" s="1565"/>
      <c r="FX117" s="1565"/>
      <c r="FY117" s="1565"/>
      <c r="FZ117" s="1565"/>
      <c r="GA117" s="1565"/>
      <c r="GB117" s="1565"/>
      <c r="GC117" s="1565"/>
      <c r="GD117" s="1565"/>
      <c r="GE117" s="1565"/>
      <c r="GF117" s="1565"/>
      <c r="GG117" s="1565"/>
      <c r="GH117" s="1565"/>
      <c r="GI117" s="1565"/>
      <c r="GJ117" s="1565"/>
      <c r="GK117" s="1565"/>
      <c r="GL117" s="1565"/>
      <c r="GM117" s="1565"/>
      <c r="GN117" s="1565"/>
      <c r="GO117" s="1565"/>
      <c r="GP117" s="1565"/>
      <c r="GQ117" s="1565"/>
      <c r="GR117" s="1565"/>
      <c r="GS117" s="1565"/>
      <c r="GT117" s="1565"/>
      <c r="GU117" s="1565"/>
      <c r="GV117" s="1565"/>
      <c r="GW117" s="1565"/>
      <c r="GX117" s="1565"/>
      <c r="GY117" s="1565"/>
      <c r="GZ117" s="1565"/>
      <c r="HA117" s="1565"/>
      <c r="HB117" s="1565"/>
      <c r="HC117" s="1565"/>
      <c r="HD117" s="1565"/>
      <c r="HE117" s="1565"/>
      <c r="HF117" s="1565"/>
      <c r="HG117" s="1565"/>
      <c r="HH117" s="1565"/>
      <c r="HI117" s="1565"/>
      <c r="HJ117" s="1565"/>
      <c r="HK117" s="1565"/>
      <c r="HL117" s="1565"/>
      <c r="HM117" s="1565"/>
      <c r="HN117" s="1565"/>
      <c r="HO117" s="1565"/>
      <c r="HP117" s="1565"/>
      <c r="HQ117" s="1565"/>
      <c r="HR117" s="1565"/>
      <c r="HS117" s="1565"/>
      <c r="HT117" s="1565"/>
      <c r="HU117" s="1565"/>
      <c r="HV117" s="1565"/>
      <c r="HW117" s="1565"/>
      <c r="HX117" s="1565"/>
      <c r="HY117" s="1565"/>
      <c r="HZ117" s="1565"/>
      <c r="IA117" s="1565"/>
      <c r="IB117" s="1565"/>
      <c r="IC117" s="1565"/>
      <c r="ID117" s="1565"/>
      <c r="IE117" s="1565"/>
      <c r="IF117" s="1565"/>
      <c r="IG117" s="1565"/>
    </row>
    <row r="118" spans="1:241" s="1552" customFormat="1" ht="24" hidden="1" outlineLevel="1" collapsed="1">
      <c r="A118" s="1549">
        <v>115</v>
      </c>
      <c r="B118" s="1573" t="s">
        <v>303</v>
      </c>
      <c r="C118" s="1574" t="s">
        <v>1973</v>
      </c>
      <c r="D118" s="1574" t="s">
        <v>1789</v>
      </c>
      <c r="E118" s="1575" t="s">
        <v>1804</v>
      </c>
      <c r="F118" s="1576" t="s">
        <v>1790</v>
      </c>
      <c r="G118" s="1577"/>
      <c r="H118" s="2089"/>
      <c r="I118" s="2090"/>
      <c r="J118" s="2091"/>
      <c r="K118" s="2091"/>
      <c r="L118" s="2090"/>
      <c r="M118" s="2090"/>
      <c r="N118" s="2092"/>
      <c r="O118" s="2090"/>
      <c r="P118" s="2091"/>
      <c r="Q118" s="2093"/>
      <c r="R118" s="2093"/>
      <c r="S118" s="2093"/>
      <c r="T118" s="2093"/>
      <c r="U118" s="2093"/>
      <c r="V118" s="2093"/>
      <c r="W118" s="2093"/>
      <c r="X118" s="2093"/>
      <c r="Y118" s="2093"/>
      <c r="Z118" s="2093"/>
      <c r="AA118" s="2093"/>
      <c r="AB118" s="2093"/>
      <c r="AC118" s="2093"/>
      <c r="AD118" s="2093"/>
      <c r="AE118" s="2093"/>
      <c r="AF118" s="2093"/>
      <c r="AG118" s="2093"/>
      <c r="AH118" s="2093"/>
      <c r="AI118" s="2093"/>
      <c r="AJ118" s="2093"/>
      <c r="AK118" s="2093"/>
      <c r="AL118" s="2093"/>
      <c r="AM118" s="2093"/>
      <c r="AN118" s="2093"/>
      <c r="AO118" s="2093"/>
      <c r="AP118" s="2093"/>
      <c r="AQ118" s="2093"/>
      <c r="AR118" s="2093"/>
      <c r="AS118" s="2093"/>
      <c r="AT118" s="2093"/>
      <c r="AU118" s="2093"/>
      <c r="AV118" s="2093"/>
      <c r="AW118" s="2093"/>
      <c r="AX118" s="2093"/>
      <c r="AY118" s="2094"/>
      <c r="AZ118" s="2094"/>
      <c r="BA118" s="2094"/>
      <c r="BB118" s="2094"/>
      <c r="BC118" s="2094"/>
      <c r="BD118" s="2094"/>
      <c r="BE118" s="2094"/>
      <c r="BF118" s="2094"/>
      <c r="BG118" s="2094"/>
      <c r="BH118" s="2094"/>
      <c r="BI118" s="2094"/>
      <c r="BJ118" s="2094"/>
      <c r="BK118" s="2094"/>
      <c r="BL118" s="2094"/>
      <c r="BM118" s="2094"/>
      <c r="BN118" s="2094"/>
      <c r="BO118" s="2094"/>
      <c r="BP118" s="2094"/>
      <c r="BQ118" s="2094"/>
      <c r="BR118" s="2094"/>
      <c r="BS118" s="2094"/>
      <c r="BT118" s="2094"/>
      <c r="BU118" s="2094"/>
      <c r="BV118" s="2094"/>
      <c r="BW118" s="2094"/>
      <c r="BX118" s="2094"/>
      <c r="BY118" s="2094"/>
      <c r="BZ118" s="2094"/>
      <c r="CA118" s="2094"/>
      <c r="CB118" s="2094"/>
      <c r="CC118" s="2094"/>
      <c r="CD118" s="2094"/>
      <c r="CE118" s="2095"/>
      <c r="CF118" s="2095"/>
      <c r="CG118" s="2095"/>
      <c r="CH118" s="2095"/>
      <c r="CI118" s="2095"/>
      <c r="CJ118" s="2095"/>
      <c r="CK118" s="2095"/>
      <c r="CL118" s="2095"/>
      <c r="CM118" s="2095"/>
      <c r="CN118" s="2095"/>
      <c r="CO118" s="2094"/>
      <c r="CP118" s="2094"/>
      <c r="CQ118" s="2095"/>
      <c r="CR118" s="2095"/>
      <c r="CS118" s="2094"/>
      <c r="CT118" s="2095"/>
      <c r="CU118" s="2094"/>
      <c r="CV118" s="2095"/>
      <c r="CW118" s="2094"/>
      <c r="CX118" s="2095"/>
      <c r="CY118" s="2094"/>
      <c r="CZ118" s="2094"/>
      <c r="DA118" s="2094"/>
      <c r="DB118" s="2094"/>
      <c r="DC118" s="2094"/>
      <c r="DD118" s="2094"/>
      <c r="DE118" s="2094"/>
      <c r="DF118" s="2094"/>
      <c r="DG118" s="2094"/>
      <c r="DH118" s="2096" t="e">
        <f t="shared" ref="DH118:DT118" si="204">CEILING(DH92*1.15, 5)</f>
        <v>#REF!</v>
      </c>
      <c r="DI118" s="2096" t="e">
        <f t="shared" si="204"/>
        <v>#REF!</v>
      </c>
      <c r="DJ118" s="2096" t="e">
        <f t="shared" si="204"/>
        <v>#REF!</v>
      </c>
      <c r="DK118" s="2096" t="e">
        <f t="shared" si="204"/>
        <v>#REF!</v>
      </c>
      <c r="DL118" s="2096">
        <f t="shared" si="204"/>
        <v>29900</v>
      </c>
      <c r="DM118" s="2096">
        <f t="shared" si="204"/>
        <v>31855</v>
      </c>
      <c r="DN118" s="2096">
        <f t="shared" si="204"/>
        <v>29900</v>
      </c>
      <c r="DO118" s="2096">
        <f t="shared" si="204"/>
        <v>31855</v>
      </c>
      <c r="DP118" s="2096">
        <f t="shared" si="204"/>
        <v>47035</v>
      </c>
      <c r="DQ118" s="2096">
        <f t="shared" si="204"/>
        <v>0</v>
      </c>
      <c r="DR118" s="2096" t="e">
        <f t="shared" si="204"/>
        <v>#REF!</v>
      </c>
      <c r="DS118" s="2096">
        <f t="shared" si="204"/>
        <v>29900</v>
      </c>
      <c r="DT118" s="2096" t="e">
        <f t="shared" si="204"/>
        <v>#REF!</v>
      </c>
      <c r="DU118" s="2094"/>
      <c r="DV118" s="2094"/>
      <c r="DW118" s="2094"/>
      <c r="DX118" s="2094"/>
      <c r="DY118" s="2094"/>
      <c r="DZ118" s="2094"/>
      <c r="EA118" s="2094"/>
      <c r="EB118" s="2094"/>
      <c r="EC118" s="2094"/>
      <c r="ED118" s="2094"/>
      <c r="EE118" s="2094"/>
      <c r="EF118" s="2094"/>
      <c r="EG118" s="2094"/>
      <c r="EH118" s="2094"/>
      <c r="EI118" s="2094"/>
      <c r="EJ118" s="2094"/>
      <c r="EK118" s="2094"/>
      <c r="EL118" s="2094"/>
      <c r="EM118" s="2094"/>
      <c r="EN118" s="2094"/>
      <c r="EO118" s="2094"/>
      <c r="EP118" s="2094"/>
      <c r="EQ118" s="2094"/>
      <c r="ER118" s="2094"/>
      <c r="ES118" s="2094"/>
      <c r="ET118" s="2094"/>
      <c r="EU118" s="2094"/>
      <c r="EV118" s="2094"/>
      <c r="EW118" s="2094"/>
      <c r="EX118" s="2094"/>
      <c r="EY118" s="2094"/>
      <c r="EZ118" s="2094"/>
      <c r="FA118" s="2094"/>
      <c r="FB118" s="2094"/>
      <c r="FC118" s="2094"/>
      <c r="FD118" s="2094"/>
      <c r="FE118" s="2097"/>
      <c r="FF118" s="2082"/>
      <c r="FG118" s="2082"/>
      <c r="FH118" s="2082"/>
      <c r="FI118" s="2082"/>
      <c r="FJ118" s="2082"/>
      <c r="FK118" s="1565"/>
      <c r="FL118" s="1565"/>
      <c r="FM118" s="1565"/>
      <c r="FN118" s="1565"/>
      <c r="FO118" s="1565"/>
      <c r="FP118" s="1565"/>
      <c r="FQ118" s="1565"/>
      <c r="FR118" s="1565"/>
      <c r="FS118" s="1565"/>
      <c r="FT118" s="1565"/>
      <c r="FU118" s="1565"/>
      <c r="FV118" s="1565"/>
      <c r="FW118" s="1565"/>
      <c r="FX118" s="1565"/>
      <c r="FY118" s="1565"/>
      <c r="FZ118" s="1565"/>
      <c r="GA118" s="1565"/>
      <c r="GB118" s="1565"/>
      <c r="GC118" s="1565"/>
      <c r="GD118" s="1565"/>
      <c r="GE118" s="1565"/>
      <c r="GF118" s="1565"/>
      <c r="GG118" s="1565"/>
      <c r="GH118" s="1565"/>
      <c r="GI118" s="1565"/>
      <c r="GJ118" s="1565"/>
      <c r="GK118" s="1565"/>
      <c r="GL118" s="1565"/>
      <c r="GM118" s="1565"/>
      <c r="GN118" s="1565"/>
      <c r="GO118" s="1565"/>
      <c r="GP118" s="1565"/>
      <c r="GQ118" s="1565"/>
      <c r="GR118" s="1565"/>
      <c r="GS118" s="1565"/>
      <c r="GT118" s="1565"/>
      <c r="GU118" s="1565"/>
      <c r="GV118" s="1565"/>
      <c r="GW118" s="1565"/>
      <c r="GX118" s="1565"/>
      <c r="GY118" s="1565"/>
      <c r="GZ118" s="1565"/>
      <c r="HA118" s="1565"/>
      <c r="HB118" s="1565"/>
      <c r="HC118" s="1565"/>
      <c r="HD118" s="1565"/>
      <c r="HE118" s="1565"/>
      <c r="HF118" s="1565"/>
      <c r="HG118" s="1565"/>
      <c r="HH118" s="1565"/>
      <c r="HI118" s="1565"/>
      <c r="HJ118" s="1565"/>
      <c r="HK118" s="1565"/>
      <c r="HL118" s="1565"/>
      <c r="HM118" s="1565"/>
      <c r="HN118" s="1565"/>
      <c r="HO118" s="1565"/>
      <c r="HP118" s="1565"/>
      <c r="HQ118" s="1565"/>
      <c r="HR118" s="1565"/>
      <c r="HS118" s="1565"/>
      <c r="HT118" s="1565"/>
      <c r="HU118" s="1565"/>
      <c r="HV118" s="1565"/>
      <c r="HW118" s="1565"/>
      <c r="HX118" s="1565"/>
      <c r="HY118" s="1565"/>
      <c r="HZ118" s="1565"/>
      <c r="IA118" s="1565"/>
      <c r="IB118" s="1565"/>
      <c r="IC118" s="1565"/>
      <c r="ID118" s="1565"/>
      <c r="IE118" s="1565"/>
      <c r="IF118" s="1565"/>
      <c r="IG118" s="1565"/>
    </row>
    <row r="119" spans="1:241" s="1552" customFormat="1" ht="36" hidden="1" outlineLevel="2">
      <c r="A119" s="1552">
        <v>116</v>
      </c>
      <c r="B119" s="1573" t="s">
        <v>303</v>
      </c>
      <c r="C119" s="1574" t="s">
        <v>1974</v>
      </c>
      <c r="D119" s="1576" t="s">
        <v>1789</v>
      </c>
      <c r="E119" s="1575" t="s">
        <v>1804</v>
      </c>
      <c r="F119" s="1576" t="s">
        <v>1791</v>
      </c>
      <c r="G119" s="1577"/>
      <c r="H119" s="2089"/>
      <c r="I119" s="2090"/>
      <c r="J119" s="2091"/>
      <c r="K119" s="2091"/>
      <c r="L119" s="2090"/>
      <c r="M119" s="2090"/>
      <c r="N119" s="2092"/>
      <c r="O119" s="2090"/>
      <c r="P119" s="2091"/>
      <c r="Q119" s="2093"/>
      <c r="R119" s="2093"/>
      <c r="S119" s="2093"/>
      <c r="T119" s="2093"/>
      <c r="U119" s="2093"/>
      <c r="V119" s="2093"/>
      <c r="W119" s="2093"/>
      <c r="X119" s="2093"/>
      <c r="Y119" s="2093"/>
      <c r="Z119" s="2093"/>
      <c r="AA119" s="2093"/>
      <c r="AB119" s="2093"/>
      <c r="AC119" s="2093"/>
      <c r="AD119" s="2093"/>
      <c r="AE119" s="2093"/>
      <c r="AF119" s="2093"/>
      <c r="AG119" s="2093"/>
      <c r="AH119" s="2093"/>
      <c r="AI119" s="2093"/>
      <c r="AJ119" s="2093"/>
      <c r="AK119" s="2093"/>
      <c r="AL119" s="2093"/>
      <c r="AM119" s="2093"/>
      <c r="AN119" s="2093"/>
      <c r="AO119" s="2093"/>
      <c r="AP119" s="2093"/>
      <c r="AQ119" s="2093"/>
      <c r="AR119" s="2093"/>
      <c r="AS119" s="2093"/>
      <c r="AT119" s="2093"/>
      <c r="AU119" s="2093"/>
      <c r="AV119" s="2093"/>
      <c r="AW119" s="2093"/>
      <c r="AX119" s="2093"/>
      <c r="AY119" s="2094"/>
      <c r="AZ119" s="2094"/>
      <c r="BA119" s="2094"/>
      <c r="BB119" s="2094"/>
      <c r="BC119" s="2094"/>
      <c r="BD119" s="2094"/>
      <c r="BE119" s="2094"/>
      <c r="BF119" s="2094"/>
      <c r="BG119" s="2094"/>
      <c r="BH119" s="2094"/>
      <c r="BI119" s="2094"/>
      <c r="BJ119" s="2094"/>
      <c r="BK119" s="2094"/>
      <c r="BL119" s="2094"/>
      <c r="BM119" s="2094"/>
      <c r="BN119" s="2094"/>
      <c r="BO119" s="2094"/>
      <c r="BP119" s="2094"/>
      <c r="BQ119" s="2094"/>
      <c r="BR119" s="2094"/>
      <c r="BS119" s="2094"/>
      <c r="BT119" s="2094"/>
      <c r="BU119" s="2094"/>
      <c r="BV119" s="2094"/>
      <c r="BW119" s="2094"/>
      <c r="BX119" s="2094"/>
      <c r="BY119" s="2094"/>
      <c r="BZ119" s="2094"/>
      <c r="CA119" s="2094"/>
      <c r="CB119" s="2094"/>
      <c r="CC119" s="2094"/>
      <c r="CD119" s="2094"/>
      <c r="CE119" s="2095"/>
      <c r="CF119" s="2095"/>
      <c r="CG119" s="2095"/>
      <c r="CH119" s="2095"/>
      <c r="CI119" s="2095"/>
      <c r="CJ119" s="2095"/>
      <c r="CK119" s="2095"/>
      <c r="CL119" s="2095"/>
      <c r="CM119" s="2095"/>
      <c r="CN119" s="2095"/>
      <c r="CO119" s="2094"/>
      <c r="CP119" s="2094"/>
      <c r="CQ119" s="2095"/>
      <c r="CR119" s="2095"/>
      <c r="CS119" s="2094"/>
      <c r="CT119" s="2095"/>
      <c r="CU119" s="2094"/>
      <c r="CV119" s="2095"/>
      <c r="CW119" s="2094"/>
      <c r="CX119" s="2095"/>
      <c r="CY119" s="2094"/>
      <c r="CZ119" s="2094"/>
      <c r="DA119" s="2094"/>
      <c r="DB119" s="2094"/>
      <c r="DC119" s="2094"/>
      <c r="DD119" s="2094"/>
      <c r="DE119" s="2094"/>
      <c r="DF119" s="2094"/>
      <c r="DG119" s="2094"/>
      <c r="DH119" s="2095" t="e">
        <f>DH118</f>
        <v>#REF!</v>
      </c>
      <c r="DI119" s="2095" t="e">
        <f t="shared" ref="DI119:DT119" si="205">DI118</f>
        <v>#REF!</v>
      </c>
      <c r="DJ119" s="2095" t="e">
        <f t="shared" si="205"/>
        <v>#REF!</v>
      </c>
      <c r="DK119" s="2095" t="e">
        <f t="shared" si="205"/>
        <v>#REF!</v>
      </c>
      <c r="DL119" s="2095">
        <f t="shared" si="205"/>
        <v>29900</v>
      </c>
      <c r="DM119" s="2095">
        <f t="shared" si="205"/>
        <v>31855</v>
      </c>
      <c r="DN119" s="2095">
        <f t="shared" si="205"/>
        <v>29900</v>
      </c>
      <c r="DO119" s="2095">
        <f t="shared" si="205"/>
        <v>31855</v>
      </c>
      <c r="DP119" s="2095">
        <f t="shared" si="205"/>
        <v>47035</v>
      </c>
      <c r="DQ119" s="2095"/>
      <c r="DR119" s="2095" t="e">
        <f t="shared" si="205"/>
        <v>#REF!</v>
      </c>
      <c r="DS119" s="2095">
        <f t="shared" si="205"/>
        <v>29900</v>
      </c>
      <c r="DT119" s="2095" t="e">
        <f t="shared" si="205"/>
        <v>#REF!</v>
      </c>
      <c r="DU119" s="2094"/>
      <c r="DV119" s="2094"/>
      <c r="DW119" s="2094"/>
      <c r="DX119" s="2094"/>
      <c r="DY119" s="2094"/>
      <c r="DZ119" s="2094"/>
      <c r="EA119" s="2094"/>
      <c r="EB119" s="2094"/>
      <c r="EC119" s="2094"/>
      <c r="ED119" s="2094"/>
      <c r="EE119" s="2094"/>
      <c r="EF119" s="2094"/>
      <c r="EG119" s="2094"/>
      <c r="EH119" s="2094"/>
      <c r="EI119" s="2094"/>
      <c r="EJ119" s="2094"/>
      <c r="EK119" s="2094"/>
      <c r="EL119" s="2094"/>
      <c r="EM119" s="2094"/>
      <c r="EN119" s="2094"/>
      <c r="EO119" s="2094"/>
      <c r="EP119" s="2094"/>
      <c r="EQ119" s="2094"/>
      <c r="ER119" s="2094"/>
      <c r="ES119" s="2094"/>
      <c r="ET119" s="2094"/>
      <c r="EU119" s="2094"/>
      <c r="EV119" s="2094"/>
      <c r="EW119" s="2094"/>
      <c r="EX119" s="2094"/>
      <c r="EY119" s="2094"/>
      <c r="EZ119" s="2094"/>
      <c r="FA119" s="2094"/>
      <c r="FB119" s="2094"/>
      <c r="FC119" s="2094"/>
      <c r="FD119" s="2094"/>
      <c r="FE119" s="2097"/>
      <c r="FF119" s="2082"/>
      <c r="FG119" s="2082"/>
      <c r="FH119" s="2082"/>
      <c r="FI119" s="2082"/>
      <c r="FJ119" s="2082"/>
      <c r="FK119" s="1565"/>
      <c r="FL119" s="1565"/>
      <c r="FM119" s="1565"/>
      <c r="FN119" s="1565"/>
      <c r="FO119" s="1565"/>
      <c r="FP119" s="1565"/>
      <c r="FQ119" s="1565"/>
      <c r="FR119" s="1565"/>
      <c r="FS119" s="1565"/>
      <c r="FT119" s="1565"/>
      <c r="FU119" s="1565"/>
      <c r="FV119" s="1565"/>
      <c r="FW119" s="1565"/>
      <c r="FX119" s="1565"/>
      <c r="FY119" s="1565"/>
      <c r="FZ119" s="1565"/>
      <c r="GA119" s="1565"/>
      <c r="GB119" s="1565"/>
      <c r="GC119" s="1565"/>
      <c r="GD119" s="1565"/>
      <c r="GE119" s="1565"/>
      <c r="GF119" s="1565"/>
      <c r="GG119" s="1565"/>
      <c r="GH119" s="1565"/>
      <c r="GI119" s="1565"/>
      <c r="GJ119" s="1565"/>
      <c r="GK119" s="1565"/>
      <c r="GL119" s="1565"/>
      <c r="GM119" s="1565"/>
      <c r="GN119" s="1565"/>
      <c r="GO119" s="1565"/>
      <c r="GP119" s="1565"/>
      <c r="GQ119" s="1565"/>
      <c r="GR119" s="1565"/>
      <c r="GS119" s="1565"/>
      <c r="GT119" s="1565"/>
      <c r="GU119" s="1565"/>
      <c r="GV119" s="1565"/>
      <c r="GW119" s="1565"/>
      <c r="GX119" s="1565"/>
      <c r="GY119" s="1565"/>
      <c r="GZ119" s="1565"/>
      <c r="HA119" s="1565"/>
      <c r="HB119" s="1565"/>
      <c r="HC119" s="1565"/>
      <c r="HD119" s="1565"/>
      <c r="HE119" s="1565"/>
      <c r="HF119" s="1565"/>
      <c r="HG119" s="1565"/>
      <c r="HH119" s="1565"/>
      <c r="HI119" s="1565"/>
      <c r="HJ119" s="1565"/>
      <c r="HK119" s="1565"/>
      <c r="HL119" s="1565"/>
      <c r="HM119" s="1565"/>
      <c r="HN119" s="1565"/>
      <c r="HO119" s="1565"/>
      <c r="HP119" s="1565"/>
      <c r="HQ119" s="1565"/>
      <c r="HR119" s="1565"/>
      <c r="HS119" s="1565"/>
      <c r="HT119" s="1565"/>
      <c r="HU119" s="1565"/>
      <c r="HV119" s="1565"/>
      <c r="HW119" s="1565"/>
      <c r="HX119" s="1565"/>
      <c r="HY119" s="1565"/>
      <c r="HZ119" s="1565"/>
      <c r="IA119" s="1565"/>
      <c r="IB119" s="1565"/>
      <c r="IC119" s="1565"/>
      <c r="ID119" s="1565"/>
      <c r="IE119" s="1565"/>
      <c r="IF119" s="1565"/>
      <c r="IG119" s="1565"/>
    </row>
    <row r="120" spans="1:241" s="1552" customFormat="1" ht="36" hidden="1" outlineLevel="2">
      <c r="A120" s="1549">
        <v>117</v>
      </c>
      <c r="B120" s="1573" t="s">
        <v>303</v>
      </c>
      <c r="C120" s="1574" t="s">
        <v>1974</v>
      </c>
      <c r="D120" s="1576" t="s">
        <v>1789</v>
      </c>
      <c r="E120" s="1575" t="s">
        <v>1804</v>
      </c>
      <c r="F120" s="1576" t="s">
        <v>1792</v>
      </c>
      <c r="G120" s="1577"/>
      <c r="H120" s="2089"/>
      <c r="I120" s="2090"/>
      <c r="J120" s="2091"/>
      <c r="K120" s="2091"/>
      <c r="L120" s="2090"/>
      <c r="M120" s="2090"/>
      <c r="N120" s="2092"/>
      <c r="O120" s="2090"/>
      <c r="P120" s="2091"/>
      <c r="Q120" s="2093"/>
      <c r="R120" s="2093"/>
      <c r="S120" s="2093"/>
      <c r="T120" s="2093"/>
      <c r="U120" s="2093"/>
      <c r="V120" s="2093"/>
      <c r="W120" s="2093"/>
      <c r="X120" s="2093"/>
      <c r="Y120" s="2093"/>
      <c r="Z120" s="2093"/>
      <c r="AA120" s="2093"/>
      <c r="AB120" s="2093"/>
      <c r="AC120" s="2093"/>
      <c r="AD120" s="2093"/>
      <c r="AE120" s="2093"/>
      <c r="AF120" s="2093"/>
      <c r="AG120" s="2093"/>
      <c r="AH120" s="2093"/>
      <c r="AI120" s="2093"/>
      <c r="AJ120" s="2093"/>
      <c r="AK120" s="2093"/>
      <c r="AL120" s="2093"/>
      <c r="AM120" s="2093"/>
      <c r="AN120" s="2093"/>
      <c r="AO120" s="2093"/>
      <c r="AP120" s="2093"/>
      <c r="AQ120" s="2093"/>
      <c r="AR120" s="2093"/>
      <c r="AS120" s="2093"/>
      <c r="AT120" s="2093"/>
      <c r="AU120" s="2093"/>
      <c r="AV120" s="2093"/>
      <c r="AW120" s="2093"/>
      <c r="AX120" s="2093"/>
      <c r="AY120" s="2094"/>
      <c r="AZ120" s="2094"/>
      <c r="BA120" s="2094"/>
      <c r="BB120" s="2094"/>
      <c r="BC120" s="2094"/>
      <c r="BD120" s="2094"/>
      <c r="BE120" s="2094"/>
      <c r="BF120" s="2094"/>
      <c r="BG120" s="2094"/>
      <c r="BH120" s="2094"/>
      <c r="BI120" s="2094"/>
      <c r="BJ120" s="2094"/>
      <c r="BK120" s="2094"/>
      <c r="BL120" s="2094"/>
      <c r="BM120" s="2094"/>
      <c r="BN120" s="2094"/>
      <c r="BO120" s="2094"/>
      <c r="BP120" s="2094"/>
      <c r="BQ120" s="2094"/>
      <c r="BR120" s="2094"/>
      <c r="BS120" s="2094"/>
      <c r="BT120" s="2094"/>
      <c r="BU120" s="2094"/>
      <c r="BV120" s="2094"/>
      <c r="BW120" s="2094"/>
      <c r="BX120" s="2094"/>
      <c r="BY120" s="2094"/>
      <c r="BZ120" s="2094"/>
      <c r="CA120" s="2094"/>
      <c r="CB120" s="2094"/>
      <c r="CC120" s="2094"/>
      <c r="CD120" s="2094"/>
      <c r="CE120" s="2095"/>
      <c r="CF120" s="2095"/>
      <c r="CG120" s="2095"/>
      <c r="CH120" s="2095"/>
      <c r="CI120" s="2095"/>
      <c r="CJ120" s="2095"/>
      <c r="CK120" s="2095"/>
      <c r="CL120" s="2095"/>
      <c r="CM120" s="2095"/>
      <c r="CN120" s="2095"/>
      <c r="CO120" s="2094"/>
      <c r="CP120" s="2094"/>
      <c r="CQ120" s="2095"/>
      <c r="CR120" s="2095"/>
      <c r="CS120" s="2094"/>
      <c r="CT120" s="2095"/>
      <c r="CU120" s="2094"/>
      <c r="CV120" s="2095"/>
      <c r="CW120" s="2094"/>
      <c r="CX120" s="2095"/>
      <c r="CY120" s="2094"/>
      <c r="CZ120" s="2094"/>
      <c r="DA120" s="2094"/>
      <c r="DB120" s="2094"/>
      <c r="DC120" s="2094"/>
      <c r="DD120" s="2094"/>
      <c r="DE120" s="2094"/>
      <c r="DF120" s="2094"/>
      <c r="DG120" s="2094"/>
      <c r="DH120" s="2095" t="e">
        <f>DH118</f>
        <v>#REF!</v>
      </c>
      <c r="DI120" s="2095" t="e">
        <f t="shared" ref="DI120:DT120" si="206">DI118</f>
        <v>#REF!</v>
      </c>
      <c r="DJ120" s="2095" t="e">
        <f t="shared" si="206"/>
        <v>#REF!</v>
      </c>
      <c r="DK120" s="2095" t="e">
        <f t="shared" si="206"/>
        <v>#REF!</v>
      </c>
      <c r="DL120" s="2095">
        <f t="shared" si="206"/>
        <v>29900</v>
      </c>
      <c r="DM120" s="2095">
        <f t="shared" si="206"/>
        <v>31855</v>
      </c>
      <c r="DN120" s="2095">
        <f t="shared" si="206"/>
        <v>29900</v>
      </c>
      <c r="DO120" s="2095">
        <f t="shared" si="206"/>
        <v>31855</v>
      </c>
      <c r="DP120" s="2095">
        <f t="shared" si="206"/>
        <v>47035</v>
      </c>
      <c r="DQ120" s="2095"/>
      <c r="DR120" s="2095" t="e">
        <f t="shared" si="206"/>
        <v>#REF!</v>
      </c>
      <c r="DS120" s="2095">
        <f t="shared" si="206"/>
        <v>29900</v>
      </c>
      <c r="DT120" s="2095" t="e">
        <f t="shared" si="206"/>
        <v>#REF!</v>
      </c>
      <c r="DU120" s="2094"/>
      <c r="DV120" s="2094"/>
      <c r="DW120" s="2094"/>
      <c r="DX120" s="2094"/>
      <c r="DY120" s="2094"/>
      <c r="DZ120" s="2094"/>
      <c r="EA120" s="2094"/>
      <c r="EB120" s="2094"/>
      <c r="EC120" s="2094"/>
      <c r="ED120" s="2094"/>
      <c r="EE120" s="2094"/>
      <c r="EF120" s="2094"/>
      <c r="EG120" s="2094"/>
      <c r="EH120" s="2094"/>
      <c r="EI120" s="2094"/>
      <c r="EJ120" s="2094"/>
      <c r="EK120" s="2094"/>
      <c r="EL120" s="2094"/>
      <c r="EM120" s="2094"/>
      <c r="EN120" s="2094"/>
      <c r="EO120" s="2094"/>
      <c r="EP120" s="2094"/>
      <c r="EQ120" s="2094"/>
      <c r="ER120" s="2094"/>
      <c r="ES120" s="2094"/>
      <c r="ET120" s="2094"/>
      <c r="EU120" s="2094"/>
      <c r="EV120" s="2094"/>
      <c r="EW120" s="2094"/>
      <c r="EX120" s="2094"/>
      <c r="EY120" s="2094"/>
      <c r="EZ120" s="2094"/>
      <c r="FA120" s="2094"/>
      <c r="FB120" s="2094"/>
      <c r="FC120" s="2094"/>
      <c r="FD120" s="2094"/>
      <c r="FE120" s="2097"/>
      <c r="FF120" s="2082"/>
      <c r="FG120" s="2082"/>
      <c r="FH120" s="2082"/>
      <c r="FI120" s="2082"/>
      <c r="FJ120" s="2082"/>
      <c r="FK120" s="1565"/>
      <c r="FL120" s="1565"/>
      <c r="FM120" s="1565"/>
      <c r="FN120" s="1565"/>
      <c r="FO120" s="1565"/>
      <c r="FP120" s="1565"/>
      <c r="FQ120" s="1565"/>
      <c r="FR120" s="1565"/>
      <c r="FS120" s="1565"/>
      <c r="FT120" s="1565"/>
      <c r="FU120" s="1565"/>
      <c r="FV120" s="1565"/>
      <c r="FW120" s="1565"/>
      <c r="FX120" s="1565"/>
      <c r="FY120" s="1565"/>
      <c r="FZ120" s="1565"/>
      <c r="GA120" s="1565"/>
      <c r="GB120" s="1565"/>
      <c r="GC120" s="1565"/>
      <c r="GD120" s="1565"/>
      <c r="GE120" s="1565"/>
      <c r="GF120" s="1565"/>
      <c r="GG120" s="1565"/>
      <c r="GH120" s="1565"/>
      <c r="GI120" s="1565"/>
      <c r="GJ120" s="1565"/>
      <c r="GK120" s="1565"/>
      <c r="GL120" s="1565"/>
      <c r="GM120" s="1565"/>
      <c r="GN120" s="1565"/>
      <c r="GO120" s="1565"/>
      <c r="GP120" s="1565"/>
      <c r="GQ120" s="1565"/>
      <c r="GR120" s="1565"/>
      <c r="GS120" s="1565"/>
      <c r="GT120" s="1565"/>
      <c r="GU120" s="1565"/>
      <c r="GV120" s="1565"/>
      <c r="GW120" s="1565"/>
      <c r="GX120" s="1565"/>
      <c r="GY120" s="1565"/>
      <c r="GZ120" s="1565"/>
      <c r="HA120" s="1565"/>
      <c r="HB120" s="1565"/>
      <c r="HC120" s="1565"/>
      <c r="HD120" s="1565"/>
      <c r="HE120" s="1565"/>
      <c r="HF120" s="1565"/>
      <c r="HG120" s="1565"/>
      <c r="HH120" s="1565"/>
      <c r="HI120" s="1565"/>
      <c r="HJ120" s="1565"/>
      <c r="HK120" s="1565"/>
      <c r="HL120" s="1565"/>
      <c r="HM120" s="1565"/>
      <c r="HN120" s="1565"/>
      <c r="HO120" s="1565"/>
      <c r="HP120" s="1565"/>
      <c r="HQ120" s="1565"/>
      <c r="HR120" s="1565"/>
      <c r="HS120" s="1565"/>
      <c r="HT120" s="1565"/>
      <c r="HU120" s="1565"/>
      <c r="HV120" s="1565"/>
      <c r="HW120" s="1565"/>
      <c r="HX120" s="1565"/>
      <c r="HY120" s="1565"/>
      <c r="HZ120" s="1565"/>
      <c r="IA120" s="1565"/>
      <c r="IB120" s="1565"/>
      <c r="IC120" s="1565"/>
      <c r="ID120" s="1565"/>
      <c r="IE120" s="1565"/>
      <c r="IF120" s="1565"/>
      <c r="IG120" s="1565"/>
    </row>
    <row r="121" spans="1:241" s="1552" customFormat="1" ht="15.75" hidden="1" outlineLevel="1" collapsed="1">
      <c r="A121" s="1552">
        <v>118</v>
      </c>
      <c r="B121" s="1556" t="s">
        <v>303</v>
      </c>
      <c r="C121" s="1578" t="s">
        <v>1975</v>
      </c>
      <c r="D121" s="1579" t="s">
        <v>1789</v>
      </c>
      <c r="E121" s="1580" t="s">
        <v>1804</v>
      </c>
      <c r="F121" s="1579" t="s">
        <v>1793</v>
      </c>
      <c r="G121" s="1502"/>
      <c r="H121" s="2070"/>
      <c r="I121" s="2070"/>
      <c r="J121" s="2098"/>
      <c r="K121" s="2098"/>
      <c r="L121" s="2070"/>
      <c r="M121" s="2070"/>
      <c r="N121" s="2099"/>
      <c r="O121" s="2070"/>
      <c r="P121" s="2098"/>
      <c r="Q121" s="2100"/>
      <c r="R121" s="2100"/>
      <c r="S121" s="2100"/>
      <c r="T121" s="2100"/>
      <c r="U121" s="2100"/>
      <c r="V121" s="2100"/>
      <c r="W121" s="2100"/>
      <c r="X121" s="2100"/>
      <c r="Y121" s="2100"/>
      <c r="Z121" s="2100"/>
      <c r="AA121" s="2100"/>
      <c r="AB121" s="2100"/>
      <c r="AC121" s="2100"/>
      <c r="AD121" s="2100"/>
      <c r="AE121" s="2100"/>
      <c r="AF121" s="2100"/>
      <c r="AG121" s="2100"/>
      <c r="AH121" s="2100"/>
      <c r="AI121" s="2100"/>
      <c r="AJ121" s="2100"/>
      <c r="AK121" s="2100"/>
      <c r="AL121" s="2100"/>
      <c r="AM121" s="2100"/>
      <c r="AN121" s="2100"/>
      <c r="AO121" s="2100"/>
      <c r="AP121" s="2100"/>
      <c r="AQ121" s="2100"/>
      <c r="AR121" s="2100"/>
      <c r="AS121" s="2100"/>
      <c r="AT121" s="2100"/>
      <c r="AU121" s="2100"/>
      <c r="AV121" s="2100"/>
      <c r="AW121" s="2100"/>
      <c r="AX121" s="2100"/>
      <c r="AY121" s="2101"/>
      <c r="AZ121" s="2101"/>
      <c r="BA121" s="2101"/>
      <c r="BB121" s="2101"/>
      <c r="BC121" s="2101"/>
      <c r="BD121" s="2101"/>
      <c r="BE121" s="2101"/>
      <c r="BF121" s="2101"/>
      <c r="BG121" s="2101"/>
      <c r="BH121" s="2101"/>
      <c r="BI121" s="2101"/>
      <c r="BJ121" s="2101"/>
      <c r="BK121" s="2101"/>
      <c r="BL121" s="2101"/>
      <c r="BM121" s="2101"/>
      <c r="BN121" s="2101"/>
      <c r="BO121" s="2101"/>
      <c r="BP121" s="2101"/>
      <c r="BQ121" s="2101"/>
      <c r="BR121" s="2101"/>
      <c r="BS121" s="2101"/>
      <c r="BT121" s="2101"/>
      <c r="BU121" s="2101"/>
      <c r="BV121" s="2101"/>
      <c r="BW121" s="2101"/>
      <c r="BX121" s="2101"/>
      <c r="BY121" s="2101"/>
      <c r="BZ121" s="2101"/>
      <c r="CA121" s="2101"/>
      <c r="CB121" s="2101"/>
      <c r="CC121" s="2101"/>
      <c r="CD121" s="2101"/>
      <c r="CE121" s="2102"/>
      <c r="CF121" s="2102"/>
      <c r="CG121" s="2102"/>
      <c r="CH121" s="2102"/>
      <c r="CI121" s="2102"/>
      <c r="CJ121" s="2102"/>
      <c r="CK121" s="2102"/>
      <c r="CL121" s="2102"/>
      <c r="CM121" s="2102"/>
      <c r="CN121" s="2102"/>
      <c r="CO121" s="2101"/>
      <c r="CP121" s="2101"/>
      <c r="CQ121" s="2102"/>
      <c r="CR121" s="2102"/>
      <c r="CS121" s="2101"/>
      <c r="CT121" s="2102"/>
      <c r="CU121" s="2101"/>
      <c r="CV121" s="2102"/>
      <c r="CW121" s="2101"/>
      <c r="CX121" s="2102"/>
      <c r="CY121" s="2101"/>
      <c r="CZ121" s="2101"/>
      <c r="DA121" s="2101"/>
      <c r="DB121" s="2101"/>
      <c r="DC121" s="2101"/>
      <c r="DD121" s="2101"/>
      <c r="DE121" s="2101"/>
      <c r="DF121" s="2101"/>
      <c r="DG121" s="2101"/>
      <c r="DH121" s="2103">
        <f t="shared" ref="DH121:DT121" si="207">CEILING(DH95*1.15, 5)</f>
        <v>27430</v>
      </c>
      <c r="DI121" s="2103" t="e">
        <f t="shared" si="207"/>
        <v>#REF!</v>
      </c>
      <c r="DJ121" s="2103" t="e">
        <f t="shared" si="207"/>
        <v>#REF!</v>
      </c>
      <c r="DK121" s="2103" t="e">
        <f t="shared" si="207"/>
        <v>#REF!</v>
      </c>
      <c r="DL121" s="2103">
        <f t="shared" si="207"/>
        <v>31800</v>
      </c>
      <c r="DM121" s="2103">
        <f t="shared" si="207"/>
        <v>33755</v>
      </c>
      <c r="DN121" s="2103">
        <f t="shared" si="207"/>
        <v>31800</v>
      </c>
      <c r="DO121" s="2103">
        <f t="shared" si="207"/>
        <v>33755</v>
      </c>
      <c r="DP121" s="2103">
        <f t="shared" si="207"/>
        <v>48935</v>
      </c>
      <c r="DQ121" s="2103">
        <f t="shared" si="207"/>
        <v>0</v>
      </c>
      <c r="DR121" s="2103" t="e">
        <f t="shared" si="207"/>
        <v>#REF!</v>
      </c>
      <c r="DS121" s="2103">
        <f t="shared" si="207"/>
        <v>31800</v>
      </c>
      <c r="DT121" s="2103" t="e">
        <f t="shared" si="207"/>
        <v>#REF!</v>
      </c>
      <c r="DU121" s="2101"/>
      <c r="DV121" s="2101"/>
      <c r="DW121" s="2101"/>
      <c r="DX121" s="2101"/>
      <c r="DY121" s="2101"/>
      <c r="DZ121" s="2101"/>
      <c r="EA121" s="2101"/>
      <c r="EB121" s="2101"/>
      <c r="EC121" s="2101"/>
      <c r="ED121" s="2101"/>
      <c r="EE121" s="2101"/>
      <c r="EF121" s="2101"/>
      <c r="EG121" s="2101"/>
      <c r="EH121" s="2101"/>
      <c r="EI121" s="2101"/>
      <c r="EJ121" s="2101"/>
      <c r="EK121" s="2101"/>
      <c r="EL121" s="2101"/>
      <c r="EM121" s="2101"/>
      <c r="EN121" s="2101"/>
      <c r="EO121" s="2101"/>
      <c r="EP121" s="2101"/>
      <c r="EQ121" s="2101"/>
      <c r="ER121" s="2101"/>
      <c r="ES121" s="2101"/>
      <c r="ET121" s="2101"/>
      <c r="EU121" s="2101"/>
      <c r="EV121" s="2101"/>
      <c r="EW121" s="2101"/>
      <c r="EX121" s="2101"/>
      <c r="EY121" s="2101"/>
      <c r="EZ121" s="2101"/>
      <c r="FA121" s="2101"/>
      <c r="FB121" s="2101"/>
      <c r="FC121" s="2101"/>
      <c r="FD121" s="2101"/>
      <c r="FE121" s="2104"/>
      <c r="FF121" s="2082"/>
      <c r="FG121" s="2082"/>
      <c r="FH121" s="2082"/>
      <c r="FI121" s="2082"/>
      <c r="FJ121" s="2082"/>
      <c r="FK121" s="1565"/>
      <c r="FL121" s="1565"/>
      <c r="FM121" s="1565"/>
      <c r="FN121" s="1565"/>
      <c r="FO121" s="1565"/>
      <c r="FP121" s="1565"/>
      <c r="FQ121" s="1565"/>
      <c r="FR121" s="1565"/>
      <c r="FS121" s="1565"/>
      <c r="FT121" s="1565"/>
      <c r="FU121" s="1565"/>
      <c r="FV121" s="1565"/>
      <c r="FW121" s="1565"/>
      <c r="FX121" s="1565"/>
      <c r="FY121" s="1565"/>
      <c r="FZ121" s="1565"/>
      <c r="GA121" s="1565"/>
      <c r="GB121" s="1565"/>
      <c r="GC121" s="1565"/>
      <c r="GD121" s="1565"/>
      <c r="GE121" s="1565"/>
      <c r="GF121" s="1565"/>
      <c r="GG121" s="1565"/>
      <c r="GH121" s="1565"/>
      <c r="GI121" s="1565"/>
      <c r="GJ121" s="1565"/>
      <c r="GK121" s="1565"/>
      <c r="GL121" s="1565"/>
      <c r="GM121" s="1565"/>
      <c r="GN121" s="1565"/>
      <c r="GO121" s="1565"/>
      <c r="GP121" s="1565"/>
      <c r="GQ121" s="1565"/>
      <c r="GR121" s="1565"/>
      <c r="GS121" s="1565"/>
      <c r="GT121" s="1565"/>
      <c r="GU121" s="1565"/>
      <c r="GV121" s="1565"/>
      <c r="GW121" s="1565"/>
      <c r="GX121" s="1565"/>
      <c r="GY121" s="1565"/>
      <c r="GZ121" s="1565"/>
      <c r="HA121" s="1565"/>
      <c r="HB121" s="1565"/>
      <c r="HC121" s="1565"/>
      <c r="HD121" s="1565"/>
      <c r="HE121" s="1565"/>
      <c r="HF121" s="1565"/>
      <c r="HG121" s="1565"/>
      <c r="HH121" s="1565"/>
      <c r="HI121" s="1565"/>
      <c r="HJ121" s="1565"/>
      <c r="HK121" s="1565"/>
      <c r="HL121" s="1565"/>
      <c r="HM121" s="1565"/>
      <c r="HN121" s="1565"/>
      <c r="HO121" s="1565"/>
      <c r="HP121" s="1565"/>
      <c r="HQ121" s="1565"/>
      <c r="HR121" s="1565"/>
      <c r="HS121" s="1565"/>
      <c r="HT121" s="1565"/>
      <c r="HU121" s="1565"/>
      <c r="HV121" s="1565"/>
      <c r="HW121" s="1565"/>
      <c r="HX121" s="1565"/>
      <c r="HY121" s="1565"/>
      <c r="HZ121" s="1565"/>
      <c r="IA121" s="1565"/>
      <c r="IB121" s="1565"/>
      <c r="IC121" s="1565"/>
      <c r="ID121" s="1565"/>
      <c r="IE121" s="1565"/>
      <c r="IF121" s="1565"/>
      <c r="IG121" s="1565"/>
    </row>
    <row r="122" spans="1:241" s="1552" customFormat="1" ht="36" hidden="1" outlineLevel="2">
      <c r="A122" s="1549">
        <v>119</v>
      </c>
      <c r="B122" s="1556" t="s">
        <v>303</v>
      </c>
      <c r="C122" s="1578" t="s">
        <v>1974</v>
      </c>
      <c r="D122" s="1579" t="s">
        <v>1789</v>
      </c>
      <c r="E122" s="1580" t="s">
        <v>1804</v>
      </c>
      <c r="F122" s="1579" t="s">
        <v>1794</v>
      </c>
      <c r="G122" s="1502"/>
      <c r="H122" s="2070"/>
      <c r="I122" s="2070"/>
      <c r="J122" s="2098"/>
      <c r="K122" s="2098"/>
      <c r="L122" s="2070"/>
      <c r="M122" s="2070"/>
      <c r="N122" s="2099"/>
      <c r="O122" s="2070"/>
      <c r="P122" s="2098"/>
      <c r="Q122" s="2100"/>
      <c r="R122" s="2100"/>
      <c r="S122" s="2100"/>
      <c r="T122" s="2100"/>
      <c r="U122" s="2100"/>
      <c r="V122" s="2100"/>
      <c r="W122" s="2100"/>
      <c r="X122" s="2100"/>
      <c r="Y122" s="2100"/>
      <c r="Z122" s="2100"/>
      <c r="AA122" s="2100"/>
      <c r="AB122" s="2100"/>
      <c r="AC122" s="2100"/>
      <c r="AD122" s="2100"/>
      <c r="AE122" s="2100"/>
      <c r="AF122" s="2100"/>
      <c r="AG122" s="2100"/>
      <c r="AH122" s="2100"/>
      <c r="AI122" s="2100"/>
      <c r="AJ122" s="2100"/>
      <c r="AK122" s="2100"/>
      <c r="AL122" s="2100"/>
      <c r="AM122" s="2100"/>
      <c r="AN122" s="2100"/>
      <c r="AO122" s="2100"/>
      <c r="AP122" s="2100"/>
      <c r="AQ122" s="2100"/>
      <c r="AR122" s="2100"/>
      <c r="AS122" s="2100"/>
      <c r="AT122" s="2100"/>
      <c r="AU122" s="2100"/>
      <c r="AV122" s="2100"/>
      <c r="AW122" s="2100"/>
      <c r="AX122" s="2100"/>
      <c r="AY122" s="2101"/>
      <c r="AZ122" s="2101"/>
      <c r="BA122" s="2101"/>
      <c r="BB122" s="2101"/>
      <c r="BC122" s="2101"/>
      <c r="BD122" s="2101"/>
      <c r="BE122" s="2101"/>
      <c r="BF122" s="2101"/>
      <c r="BG122" s="2101"/>
      <c r="BH122" s="2101"/>
      <c r="BI122" s="2101"/>
      <c r="BJ122" s="2101"/>
      <c r="BK122" s="2101"/>
      <c r="BL122" s="2101"/>
      <c r="BM122" s="2101"/>
      <c r="BN122" s="2101"/>
      <c r="BO122" s="2101"/>
      <c r="BP122" s="2101"/>
      <c r="BQ122" s="2101"/>
      <c r="BR122" s="2101"/>
      <c r="BS122" s="2101"/>
      <c r="BT122" s="2101"/>
      <c r="BU122" s="2101"/>
      <c r="BV122" s="2101"/>
      <c r="BW122" s="2101"/>
      <c r="BX122" s="2101"/>
      <c r="BY122" s="2101"/>
      <c r="BZ122" s="2101"/>
      <c r="CA122" s="2101"/>
      <c r="CB122" s="2101"/>
      <c r="CC122" s="2101"/>
      <c r="CD122" s="2101"/>
      <c r="CE122" s="2102"/>
      <c r="CF122" s="2102"/>
      <c r="CG122" s="2102"/>
      <c r="CH122" s="2102"/>
      <c r="CI122" s="2102"/>
      <c r="CJ122" s="2102"/>
      <c r="CK122" s="2102"/>
      <c r="CL122" s="2102"/>
      <c r="CM122" s="2102"/>
      <c r="CN122" s="2102"/>
      <c r="CO122" s="2101"/>
      <c r="CP122" s="2101"/>
      <c r="CQ122" s="2102"/>
      <c r="CR122" s="2102"/>
      <c r="CS122" s="2101"/>
      <c r="CT122" s="2102"/>
      <c r="CU122" s="2101"/>
      <c r="CV122" s="2102"/>
      <c r="CW122" s="2101"/>
      <c r="CX122" s="2102"/>
      <c r="CY122" s="2101"/>
      <c r="CZ122" s="2101"/>
      <c r="DA122" s="2101"/>
      <c r="DB122" s="2101"/>
      <c r="DC122" s="2101"/>
      <c r="DD122" s="2101"/>
      <c r="DE122" s="2101"/>
      <c r="DF122" s="2101"/>
      <c r="DG122" s="2101"/>
      <c r="DH122" s="2102">
        <f>DH121</f>
        <v>27430</v>
      </c>
      <c r="DI122" s="2102" t="e">
        <f t="shared" ref="DI122:DT122" si="208">DI121</f>
        <v>#REF!</v>
      </c>
      <c r="DJ122" s="2102" t="e">
        <f t="shared" si="208"/>
        <v>#REF!</v>
      </c>
      <c r="DK122" s="2102" t="e">
        <f t="shared" si="208"/>
        <v>#REF!</v>
      </c>
      <c r="DL122" s="2102">
        <f t="shared" si="208"/>
        <v>31800</v>
      </c>
      <c r="DM122" s="2102">
        <f t="shared" si="208"/>
        <v>33755</v>
      </c>
      <c r="DN122" s="2102">
        <f t="shared" si="208"/>
        <v>31800</v>
      </c>
      <c r="DO122" s="2102">
        <f t="shared" si="208"/>
        <v>33755</v>
      </c>
      <c r="DP122" s="2102">
        <f t="shared" si="208"/>
        <v>48935</v>
      </c>
      <c r="DQ122" s="2102"/>
      <c r="DR122" s="2102" t="e">
        <f t="shared" si="208"/>
        <v>#REF!</v>
      </c>
      <c r="DS122" s="2102">
        <f t="shared" si="208"/>
        <v>31800</v>
      </c>
      <c r="DT122" s="2102" t="e">
        <f t="shared" si="208"/>
        <v>#REF!</v>
      </c>
      <c r="DU122" s="2101"/>
      <c r="DV122" s="2101"/>
      <c r="DW122" s="2101"/>
      <c r="DX122" s="2101"/>
      <c r="DY122" s="2101"/>
      <c r="DZ122" s="2101"/>
      <c r="EA122" s="2101"/>
      <c r="EB122" s="2101"/>
      <c r="EC122" s="2101"/>
      <c r="ED122" s="2101"/>
      <c r="EE122" s="2101"/>
      <c r="EF122" s="2101"/>
      <c r="EG122" s="2101"/>
      <c r="EH122" s="2101"/>
      <c r="EI122" s="2101"/>
      <c r="EJ122" s="2101"/>
      <c r="EK122" s="2101"/>
      <c r="EL122" s="2101"/>
      <c r="EM122" s="2101"/>
      <c r="EN122" s="2101"/>
      <c r="EO122" s="2101"/>
      <c r="EP122" s="2101"/>
      <c r="EQ122" s="2101"/>
      <c r="ER122" s="2101"/>
      <c r="ES122" s="2101"/>
      <c r="ET122" s="2101"/>
      <c r="EU122" s="2101"/>
      <c r="EV122" s="2101"/>
      <c r="EW122" s="2101"/>
      <c r="EX122" s="2101"/>
      <c r="EY122" s="2101"/>
      <c r="EZ122" s="2101"/>
      <c r="FA122" s="2101"/>
      <c r="FB122" s="2101"/>
      <c r="FC122" s="2101"/>
      <c r="FD122" s="2101"/>
      <c r="FE122" s="2104"/>
      <c r="FF122" s="2082"/>
      <c r="FG122" s="2082"/>
      <c r="FH122" s="2082"/>
      <c r="FI122" s="2082"/>
      <c r="FJ122" s="2082"/>
      <c r="FK122" s="1565"/>
      <c r="FL122" s="1565"/>
      <c r="FM122" s="1565"/>
      <c r="FN122" s="1565"/>
      <c r="FO122" s="1565"/>
      <c r="FP122" s="1565"/>
      <c r="FQ122" s="1565"/>
      <c r="FR122" s="1565"/>
      <c r="FS122" s="1565"/>
      <c r="FT122" s="1565"/>
      <c r="FU122" s="1565"/>
      <c r="FV122" s="1565"/>
      <c r="FW122" s="1565"/>
      <c r="FX122" s="1565"/>
      <c r="FY122" s="1565"/>
      <c r="FZ122" s="1565"/>
      <c r="GA122" s="1565"/>
      <c r="GB122" s="1565"/>
      <c r="GC122" s="1565"/>
      <c r="GD122" s="1565"/>
      <c r="GE122" s="1565"/>
      <c r="GF122" s="1565"/>
      <c r="GG122" s="1565"/>
      <c r="GH122" s="1565"/>
      <c r="GI122" s="1565"/>
      <c r="GJ122" s="1565"/>
      <c r="GK122" s="1565"/>
      <c r="GL122" s="1565"/>
      <c r="GM122" s="1565"/>
      <c r="GN122" s="1565"/>
      <c r="GO122" s="1565"/>
      <c r="GP122" s="1565"/>
      <c r="GQ122" s="1565"/>
      <c r="GR122" s="1565"/>
      <c r="GS122" s="1565"/>
      <c r="GT122" s="1565"/>
      <c r="GU122" s="1565"/>
      <c r="GV122" s="1565"/>
      <c r="GW122" s="1565"/>
      <c r="GX122" s="1565"/>
      <c r="GY122" s="1565"/>
      <c r="GZ122" s="1565"/>
      <c r="HA122" s="1565"/>
      <c r="HB122" s="1565"/>
      <c r="HC122" s="1565"/>
      <c r="HD122" s="1565"/>
      <c r="HE122" s="1565"/>
      <c r="HF122" s="1565"/>
      <c r="HG122" s="1565"/>
      <c r="HH122" s="1565"/>
      <c r="HI122" s="1565"/>
      <c r="HJ122" s="1565"/>
      <c r="HK122" s="1565"/>
      <c r="HL122" s="1565"/>
      <c r="HM122" s="1565"/>
      <c r="HN122" s="1565"/>
      <c r="HO122" s="1565"/>
      <c r="HP122" s="1565"/>
      <c r="HQ122" s="1565"/>
      <c r="HR122" s="1565"/>
      <c r="HS122" s="1565"/>
      <c r="HT122" s="1565"/>
      <c r="HU122" s="1565"/>
      <c r="HV122" s="1565"/>
      <c r="HW122" s="1565"/>
      <c r="HX122" s="1565"/>
      <c r="HY122" s="1565"/>
      <c r="HZ122" s="1565"/>
      <c r="IA122" s="1565"/>
      <c r="IB122" s="1565"/>
      <c r="IC122" s="1565"/>
      <c r="ID122" s="1565"/>
      <c r="IE122" s="1565"/>
      <c r="IF122" s="1565"/>
      <c r="IG122" s="1565"/>
    </row>
    <row r="123" spans="1:241" s="1552" customFormat="1" ht="15.75" hidden="1" outlineLevel="2">
      <c r="A123" s="1552">
        <v>120</v>
      </c>
      <c r="B123" s="1556" t="s">
        <v>303</v>
      </c>
      <c r="C123" s="1578" t="s">
        <v>1975</v>
      </c>
      <c r="D123" s="1579" t="s">
        <v>1789</v>
      </c>
      <c r="E123" s="1580" t="s">
        <v>1804</v>
      </c>
      <c r="F123" s="1579" t="s">
        <v>1795</v>
      </c>
      <c r="G123" s="1502"/>
      <c r="H123" s="2070"/>
      <c r="I123" s="2070"/>
      <c r="J123" s="2098"/>
      <c r="K123" s="2098"/>
      <c r="L123" s="2070"/>
      <c r="M123" s="2070"/>
      <c r="N123" s="2099"/>
      <c r="O123" s="2070"/>
      <c r="P123" s="2098"/>
      <c r="Q123" s="2100"/>
      <c r="R123" s="2100"/>
      <c r="S123" s="2100"/>
      <c r="T123" s="2100"/>
      <c r="U123" s="2100"/>
      <c r="V123" s="2100"/>
      <c r="W123" s="2100"/>
      <c r="X123" s="2100"/>
      <c r="Y123" s="2100"/>
      <c r="Z123" s="2100"/>
      <c r="AA123" s="2100"/>
      <c r="AB123" s="2100"/>
      <c r="AC123" s="2100"/>
      <c r="AD123" s="2100"/>
      <c r="AE123" s="2100"/>
      <c r="AF123" s="2100"/>
      <c r="AG123" s="2100"/>
      <c r="AH123" s="2100"/>
      <c r="AI123" s="2100"/>
      <c r="AJ123" s="2100"/>
      <c r="AK123" s="2100"/>
      <c r="AL123" s="2100"/>
      <c r="AM123" s="2100"/>
      <c r="AN123" s="2100"/>
      <c r="AO123" s="2100"/>
      <c r="AP123" s="2100"/>
      <c r="AQ123" s="2100"/>
      <c r="AR123" s="2100"/>
      <c r="AS123" s="2100"/>
      <c r="AT123" s="2100"/>
      <c r="AU123" s="2100"/>
      <c r="AV123" s="2100"/>
      <c r="AW123" s="2100"/>
      <c r="AX123" s="2100"/>
      <c r="AY123" s="2101"/>
      <c r="AZ123" s="2101"/>
      <c r="BA123" s="2101"/>
      <c r="BB123" s="2101"/>
      <c r="BC123" s="2101"/>
      <c r="BD123" s="2101"/>
      <c r="BE123" s="2101"/>
      <c r="BF123" s="2101"/>
      <c r="BG123" s="2101"/>
      <c r="BH123" s="2101"/>
      <c r="BI123" s="2101"/>
      <c r="BJ123" s="2101"/>
      <c r="BK123" s="2101"/>
      <c r="BL123" s="2101"/>
      <c r="BM123" s="2101"/>
      <c r="BN123" s="2101"/>
      <c r="BO123" s="2101"/>
      <c r="BP123" s="2101"/>
      <c r="BQ123" s="2101"/>
      <c r="BR123" s="2101"/>
      <c r="BS123" s="2101"/>
      <c r="BT123" s="2101"/>
      <c r="BU123" s="2101"/>
      <c r="BV123" s="2101"/>
      <c r="BW123" s="2101"/>
      <c r="BX123" s="2101"/>
      <c r="BY123" s="2101"/>
      <c r="BZ123" s="2101"/>
      <c r="CA123" s="2101"/>
      <c r="CB123" s="2101"/>
      <c r="CC123" s="2101"/>
      <c r="CD123" s="2101"/>
      <c r="CE123" s="2102"/>
      <c r="CF123" s="2102"/>
      <c r="CG123" s="2102"/>
      <c r="CH123" s="2102"/>
      <c r="CI123" s="2102"/>
      <c r="CJ123" s="2102"/>
      <c r="CK123" s="2102"/>
      <c r="CL123" s="2102"/>
      <c r="CM123" s="2102"/>
      <c r="CN123" s="2102"/>
      <c r="CO123" s="2101"/>
      <c r="CP123" s="2101"/>
      <c r="CQ123" s="2102"/>
      <c r="CR123" s="2102"/>
      <c r="CS123" s="2101"/>
      <c r="CT123" s="2102"/>
      <c r="CU123" s="2101"/>
      <c r="CV123" s="2102"/>
      <c r="CW123" s="2101"/>
      <c r="CX123" s="2102"/>
      <c r="CY123" s="2101"/>
      <c r="CZ123" s="2101"/>
      <c r="DA123" s="2101"/>
      <c r="DB123" s="2101"/>
      <c r="DC123" s="2101"/>
      <c r="DD123" s="2101"/>
      <c r="DE123" s="2101"/>
      <c r="DF123" s="2101"/>
      <c r="DG123" s="2101"/>
      <c r="DH123" s="2102">
        <f>DH121</f>
        <v>27430</v>
      </c>
      <c r="DI123" s="2102" t="e">
        <f t="shared" ref="DI123:DT123" si="209">DI121</f>
        <v>#REF!</v>
      </c>
      <c r="DJ123" s="2102" t="e">
        <f t="shared" si="209"/>
        <v>#REF!</v>
      </c>
      <c r="DK123" s="2102" t="e">
        <f t="shared" si="209"/>
        <v>#REF!</v>
      </c>
      <c r="DL123" s="2102">
        <f t="shared" si="209"/>
        <v>31800</v>
      </c>
      <c r="DM123" s="2102">
        <f t="shared" si="209"/>
        <v>33755</v>
      </c>
      <c r="DN123" s="2102">
        <f t="shared" si="209"/>
        <v>31800</v>
      </c>
      <c r="DO123" s="2102">
        <f t="shared" si="209"/>
        <v>33755</v>
      </c>
      <c r="DP123" s="2102">
        <f t="shared" si="209"/>
        <v>48935</v>
      </c>
      <c r="DQ123" s="2102"/>
      <c r="DR123" s="2102" t="e">
        <f t="shared" si="209"/>
        <v>#REF!</v>
      </c>
      <c r="DS123" s="2102">
        <f t="shared" si="209"/>
        <v>31800</v>
      </c>
      <c r="DT123" s="2102" t="e">
        <f t="shared" si="209"/>
        <v>#REF!</v>
      </c>
      <c r="DU123" s="2101"/>
      <c r="DV123" s="2101"/>
      <c r="DW123" s="2101"/>
      <c r="DX123" s="2101"/>
      <c r="DY123" s="2101"/>
      <c r="DZ123" s="2101"/>
      <c r="EA123" s="2101"/>
      <c r="EB123" s="2101"/>
      <c r="EC123" s="2101"/>
      <c r="ED123" s="2101"/>
      <c r="EE123" s="2101"/>
      <c r="EF123" s="2101"/>
      <c r="EG123" s="2101"/>
      <c r="EH123" s="2101"/>
      <c r="EI123" s="2101"/>
      <c r="EJ123" s="2101"/>
      <c r="EK123" s="2101"/>
      <c r="EL123" s="2101"/>
      <c r="EM123" s="2101"/>
      <c r="EN123" s="2101"/>
      <c r="EO123" s="2101"/>
      <c r="EP123" s="2101"/>
      <c r="EQ123" s="2101"/>
      <c r="ER123" s="2101"/>
      <c r="ES123" s="2101"/>
      <c r="ET123" s="2101"/>
      <c r="EU123" s="2101"/>
      <c r="EV123" s="2101"/>
      <c r="EW123" s="2101"/>
      <c r="EX123" s="2101"/>
      <c r="EY123" s="2101"/>
      <c r="EZ123" s="2101"/>
      <c r="FA123" s="2101"/>
      <c r="FB123" s="2101"/>
      <c r="FC123" s="2101"/>
      <c r="FD123" s="2101"/>
      <c r="FE123" s="2104"/>
      <c r="FF123" s="2082"/>
      <c r="FG123" s="2082"/>
      <c r="FH123" s="2082"/>
      <c r="FI123" s="2082"/>
      <c r="FJ123" s="2082"/>
      <c r="FK123" s="1565"/>
      <c r="FL123" s="1565"/>
      <c r="FM123" s="1565"/>
      <c r="FN123" s="1565"/>
      <c r="FO123" s="1565"/>
      <c r="FP123" s="1565"/>
      <c r="FQ123" s="1565"/>
      <c r="FR123" s="1565"/>
      <c r="FS123" s="1565"/>
      <c r="FT123" s="1565"/>
      <c r="FU123" s="1565"/>
      <c r="FV123" s="1565"/>
      <c r="FW123" s="1565"/>
      <c r="FX123" s="1565"/>
      <c r="FY123" s="1565"/>
      <c r="FZ123" s="1565"/>
      <c r="GA123" s="1565"/>
      <c r="GB123" s="1565"/>
      <c r="GC123" s="1565"/>
      <c r="GD123" s="1565"/>
      <c r="GE123" s="1565"/>
      <c r="GF123" s="1565"/>
      <c r="GG123" s="1565"/>
      <c r="GH123" s="1565"/>
      <c r="GI123" s="1565"/>
      <c r="GJ123" s="1565"/>
      <c r="GK123" s="1565"/>
      <c r="GL123" s="1565"/>
      <c r="GM123" s="1565"/>
      <c r="GN123" s="1565"/>
      <c r="GO123" s="1565"/>
      <c r="GP123" s="1565"/>
      <c r="GQ123" s="1565"/>
      <c r="GR123" s="1565"/>
      <c r="GS123" s="1565"/>
      <c r="GT123" s="1565"/>
      <c r="GU123" s="1565"/>
      <c r="GV123" s="1565"/>
      <c r="GW123" s="1565"/>
      <c r="GX123" s="1565"/>
      <c r="GY123" s="1565"/>
      <c r="GZ123" s="1565"/>
      <c r="HA123" s="1565"/>
      <c r="HB123" s="1565"/>
      <c r="HC123" s="1565"/>
      <c r="HD123" s="1565"/>
      <c r="HE123" s="1565"/>
      <c r="HF123" s="1565"/>
      <c r="HG123" s="1565"/>
      <c r="HH123" s="1565"/>
      <c r="HI123" s="1565"/>
      <c r="HJ123" s="1565"/>
      <c r="HK123" s="1565"/>
      <c r="HL123" s="1565"/>
      <c r="HM123" s="1565"/>
      <c r="HN123" s="1565"/>
      <c r="HO123" s="1565"/>
      <c r="HP123" s="1565"/>
      <c r="HQ123" s="1565"/>
      <c r="HR123" s="1565"/>
      <c r="HS123" s="1565"/>
      <c r="HT123" s="1565"/>
      <c r="HU123" s="1565"/>
      <c r="HV123" s="1565"/>
      <c r="HW123" s="1565"/>
      <c r="HX123" s="1565"/>
      <c r="HY123" s="1565"/>
      <c r="HZ123" s="1565"/>
      <c r="IA123" s="1565"/>
      <c r="IB123" s="1565"/>
      <c r="IC123" s="1565"/>
      <c r="ID123" s="1565"/>
      <c r="IE123" s="1565"/>
      <c r="IF123" s="1565"/>
      <c r="IG123" s="1565"/>
    </row>
    <row r="124" spans="1:241" s="1552" customFormat="1" ht="36" hidden="1" outlineLevel="2">
      <c r="A124" s="1549">
        <v>121</v>
      </c>
      <c r="B124" s="1556" t="s">
        <v>303</v>
      </c>
      <c r="C124" s="1578" t="s">
        <v>1974</v>
      </c>
      <c r="D124" s="1579" t="s">
        <v>1789</v>
      </c>
      <c r="E124" s="1580" t="s">
        <v>1804</v>
      </c>
      <c r="F124" s="1579" t="s">
        <v>1796</v>
      </c>
      <c r="G124" s="1502"/>
      <c r="H124" s="2070"/>
      <c r="I124" s="2070"/>
      <c r="J124" s="2098"/>
      <c r="K124" s="2098"/>
      <c r="L124" s="2070"/>
      <c r="M124" s="2070"/>
      <c r="N124" s="2099"/>
      <c r="O124" s="2070"/>
      <c r="P124" s="2098"/>
      <c r="Q124" s="2100"/>
      <c r="R124" s="2100"/>
      <c r="S124" s="2100"/>
      <c r="T124" s="2100"/>
      <c r="U124" s="2100"/>
      <c r="V124" s="2100"/>
      <c r="W124" s="2100"/>
      <c r="X124" s="2100"/>
      <c r="Y124" s="2100"/>
      <c r="Z124" s="2100"/>
      <c r="AA124" s="2100"/>
      <c r="AB124" s="2100"/>
      <c r="AC124" s="2100"/>
      <c r="AD124" s="2100"/>
      <c r="AE124" s="2100"/>
      <c r="AF124" s="2100"/>
      <c r="AG124" s="2100"/>
      <c r="AH124" s="2100"/>
      <c r="AI124" s="2100"/>
      <c r="AJ124" s="2100"/>
      <c r="AK124" s="2100"/>
      <c r="AL124" s="2100"/>
      <c r="AM124" s="2100"/>
      <c r="AN124" s="2100"/>
      <c r="AO124" s="2100"/>
      <c r="AP124" s="2100"/>
      <c r="AQ124" s="2100"/>
      <c r="AR124" s="2100"/>
      <c r="AS124" s="2100"/>
      <c r="AT124" s="2100"/>
      <c r="AU124" s="2100"/>
      <c r="AV124" s="2100"/>
      <c r="AW124" s="2100"/>
      <c r="AX124" s="2100"/>
      <c r="AY124" s="2101"/>
      <c r="AZ124" s="2101"/>
      <c r="BA124" s="2101"/>
      <c r="BB124" s="2101"/>
      <c r="BC124" s="2101"/>
      <c r="BD124" s="2101"/>
      <c r="BE124" s="2101"/>
      <c r="BF124" s="2101"/>
      <c r="BG124" s="2101"/>
      <c r="BH124" s="2101"/>
      <c r="BI124" s="2101"/>
      <c r="BJ124" s="2101"/>
      <c r="BK124" s="2101"/>
      <c r="BL124" s="2101"/>
      <c r="BM124" s="2101"/>
      <c r="BN124" s="2101"/>
      <c r="BO124" s="2101"/>
      <c r="BP124" s="2101"/>
      <c r="BQ124" s="2101"/>
      <c r="BR124" s="2101"/>
      <c r="BS124" s="2101"/>
      <c r="BT124" s="2101"/>
      <c r="BU124" s="2101"/>
      <c r="BV124" s="2101"/>
      <c r="BW124" s="2101"/>
      <c r="BX124" s="2101"/>
      <c r="BY124" s="2101"/>
      <c r="BZ124" s="2101"/>
      <c r="CA124" s="2101"/>
      <c r="CB124" s="2101"/>
      <c r="CC124" s="2101"/>
      <c r="CD124" s="2101"/>
      <c r="CE124" s="2102"/>
      <c r="CF124" s="2102"/>
      <c r="CG124" s="2102"/>
      <c r="CH124" s="2102"/>
      <c r="CI124" s="2102"/>
      <c r="CJ124" s="2102"/>
      <c r="CK124" s="2102"/>
      <c r="CL124" s="2102"/>
      <c r="CM124" s="2102"/>
      <c r="CN124" s="2102"/>
      <c r="CO124" s="2101"/>
      <c r="CP124" s="2101"/>
      <c r="CQ124" s="2102"/>
      <c r="CR124" s="2102"/>
      <c r="CS124" s="2101"/>
      <c r="CT124" s="2102"/>
      <c r="CU124" s="2101"/>
      <c r="CV124" s="2102"/>
      <c r="CW124" s="2101"/>
      <c r="CX124" s="2102"/>
      <c r="CY124" s="2101"/>
      <c r="CZ124" s="2101"/>
      <c r="DA124" s="2101"/>
      <c r="DB124" s="2101"/>
      <c r="DC124" s="2101"/>
      <c r="DD124" s="2101"/>
      <c r="DE124" s="2101"/>
      <c r="DF124" s="2101"/>
      <c r="DG124" s="2101"/>
      <c r="DH124" s="2102">
        <f>DH121</f>
        <v>27430</v>
      </c>
      <c r="DI124" s="2102" t="e">
        <f t="shared" ref="DI124:DT124" si="210">DI121</f>
        <v>#REF!</v>
      </c>
      <c r="DJ124" s="2102" t="e">
        <f t="shared" si="210"/>
        <v>#REF!</v>
      </c>
      <c r="DK124" s="2102" t="e">
        <f t="shared" si="210"/>
        <v>#REF!</v>
      </c>
      <c r="DL124" s="2102">
        <f t="shared" si="210"/>
        <v>31800</v>
      </c>
      <c r="DM124" s="2102">
        <f t="shared" si="210"/>
        <v>33755</v>
      </c>
      <c r="DN124" s="2102">
        <f t="shared" si="210"/>
        <v>31800</v>
      </c>
      <c r="DO124" s="2102">
        <f t="shared" si="210"/>
        <v>33755</v>
      </c>
      <c r="DP124" s="2102">
        <f t="shared" si="210"/>
        <v>48935</v>
      </c>
      <c r="DQ124" s="2102"/>
      <c r="DR124" s="2102" t="e">
        <f t="shared" si="210"/>
        <v>#REF!</v>
      </c>
      <c r="DS124" s="2102">
        <f t="shared" si="210"/>
        <v>31800</v>
      </c>
      <c r="DT124" s="2102" t="e">
        <f t="shared" si="210"/>
        <v>#REF!</v>
      </c>
      <c r="DU124" s="2101"/>
      <c r="DV124" s="2101"/>
      <c r="DW124" s="2101"/>
      <c r="DX124" s="2101"/>
      <c r="DY124" s="2101"/>
      <c r="DZ124" s="2101"/>
      <c r="EA124" s="2101"/>
      <c r="EB124" s="2101"/>
      <c r="EC124" s="2101"/>
      <c r="ED124" s="2101"/>
      <c r="EE124" s="2101"/>
      <c r="EF124" s="2101"/>
      <c r="EG124" s="2101"/>
      <c r="EH124" s="2101"/>
      <c r="EI124" s="2101"/>
      <c r="EJ124" s="2101"/>
      <c r="EK124" s="2101"/>
      <c r="EL124" s="2101"/>
      <c r="EM124" s="2101"/>
      <c r="EN124" s="2101"/>
      <c r="EO124" s="2101"/>
      <c r="EP124" s="2101"/>
      <c r="EQ124" s="2101"/>
      <c r="ER124" s="2101"/>
      <c r="ES124" s="2101"/>
      <c r="ET124" s="2101"/>
      <c r="EU124" s="2101"/>
      <c r="EV124" s="2101"/>
      <c r="EW124" s="2101"/>
      <c r="EX124" s="2101"/>
      <c r="EY124" s="2101"/>
      <c r="EZ124" s="2101"/>
      <c r="FA124" s="2101"/>
      <c r="FB124" s="2101"/>
      <c r="FC124" s="2101"/>
      <c r="FD124" s="2101"/>
      <c r="FE124" s="2104"/>
      <c r="FF124" s="2082"/>
      <c r="FG124" s="2082"/>
      <c r="FH124" s="2082"/>
      <c r="FI124" s="2082"/>
      <c r="FJ124" s="2082"/>
      <c r="FK124" s="1565"/>
      <c r="FL124" s="1565"/>
      <c r="FM124" s="1565"/>
      <c r="FN124" s="1565"/>
      <c r="FO124" s="1565"/>
      <c r="FP124" s="1565"/>
      <c r="FQ124" s="1565"/>
      <c r="FR124" s="1565"/>
      <c r="FS124" s="1565"/>
      <c r="FT124" s="1565"/>
      <c r="FU124" s="1565"/>
      <c r="FV124" s="1565"/>
      <c r="FW124" s="1565"/>
      <c r="FX124" s="1565"/>
      <c r="FY124" s="1565"/>
      <c r="FZ124" s="1565"/>
      <c r="GA124" s="1565"/>
      <c r="GB124" s="1565"/>
      <c r="GC124" s="1565"/>
      <c r="GD124" s="1565"/>
      <c r="GE124" s="1565"/>
      <c r="GF124" s="1565"/>
      <c r="GG124" s="1565"/>
      <c r="GH124" s="1565"/>
      <c r="GI124" s="1565"/>
      <c r="GJ124" s="1565"/>
      <c r="GK124" s="1565"/>
      <c r="GL124" s="1565"/>
      <c r="GM124" s="1565"/>
      <c r="GN124" s="1565"/>
      <c r="GO124" s="1565"/>
      <c r="GP124" s="1565"/>
      <c r="GQ124" s="1565"/>
      <c r="GR124" s="1565"/>
      <c r="GS124" s="1565"/>
      <c r="GT124" s="1565"/>
      <c r="GU124" s="1565"/>
      <c r="GV124" s="1565"/>
      <c r="GW124" s="1565"/>
      <c r="GX124" s="1565"/>
      <c r="GY124" s="1565"/>
      <c r="GZ124" s="1565"/>
      <c r="HA124" s="1565"/>
      <c r="HB124" s="1565"/>
      <c r="HC124" s="1565"/>
      <c r="HD124" s="1565"/>
      <c r="HE124" s="1565"/>
      <c r="HF124" s="1565"/>
      <c r="HG124" s="1565"/>
      <c r="HH124" s="1565"/>
      <c r="HI124" s="1565"/>
      <c r="HJ124" s="1565"/>
      <c r="HK124" s="1565"/>
      <c r="HL124" s="1565"/>
      <c r="HM124" s="1565"/>
      <c r="HN124" s="1565"/>
      <c r="HO124" s="1565"/>
      <c r="HP124" s="1565"/>
      <c r="HQ124" s="1565"/>
      <c r="HR124" s="1565"/>
      <c r="HS124" s="1565"/>
      <c r="HT124" s="1565"/>
      <c r="HU124" s="1565"/>
      <c r="HV124" s="1565"/>
      <c r="HW124" s="1565"/>
      <c r="HX124" s="1565"/>
      <c r="HY124" s="1565"/>
      <c r="HZ124" s="1565"/>
      <c r="IA124" s="1565"/>
      <c r="IB124" s="1565"/>
      <c r="IC124" s="1565"/>
      <c r="ID124" s="1565"/>
      <c r="IE124" s="1565"/>
      <c r="IF124" s="1565"/>
      <c r="IG124" s="1565"/>
    </row>
    <row r="125" spans="1:241" s="1552" customFormat="1" ht="36" hidden="1" outlineLevel="2">
      <c r="A125" s="1552">
        <v>122</v>
      </c>
      <c r="B125" s="1556" t="s">
        <v>303</v>
      </c>
      <c r="C125" s="1578" t="s">
        <v>1974</v>
      </c>
      <c r="D125" s="1579" t="s">
        <v>1789</v>
      </c>
      <c r="E125" s="1580" t="s">
        <v>1804</v>
      </c>
      <c r="F125" s="1579" t="s">
        <v>1797</v>
      </c>
      <c r="G125" s="1502"/>
      <c r="H125" s="2070"/>
      <c r="I125" s="2070"/>
      <c r="J125" s="2098"/>
      <c r="K125" s="2098"/>
      <c r="L125" s="2070"/>
      <c r="M125" s="2070"/>
      <c r="N125" s="2099"/>
      <c r="O125" s="2070"/>
      <c r="P125" s="2098"/>
      <c r="Q125" s="2100"/>
      <c r="R125" s="2100"/>
      <c r="S125" s="2100"/>
      <c r="T125" s="2100"/>
      <c r="U125" s="2100"/>
      <c r="V125" s="2100"/>
      <c r="W125" s="2100"/>
      <c r="X125" s="2100"/>
      <c r="Y125" s="2100"/>
      <c r="Z125" s="2100"/>
      <c r="AA125" s="2100"/>
      <c r="AB125" s="2100"/>
      <c r="AC125" s="2100"/>
      <c r="AD125" s="2100"/>
      <c r="AE125" s="2100"/>
      <c r="AF125" s="2100"/>
      <c r="AG125" s="2100"/>
      <c r="AH125" s="2100"/>
      <c r="AI125" s="2100"/>
      <c r="AJ125" s="2100"/>
      <c r="AK125" s="2100"/>
      <c r="AL125" s="2100"/>
      <c r="AM125" s="2100"/>
      <c r="AN125" s="2100"/>
      <c r="AO125" s="2100"/>
      <c r="AP125" s="2100"/>
      <c r="AQ125" s="2100"/>
      <c r="AR125" s="2100"/>
      <c r="AS125" s="2100"/>
      <c r="AT125" s="2100"/>
      <c r="AU125" s="2100"/>
      <c r="AV125" s="2100"/>
      <c r="AW125" s="2100"/>
      <c r="AX125" s="2100"/>
      <c r="AY125" s="2101"/>
      <c r="AZ125" s="2101"/>
      <c r="BA125" s="2101"/>
      <c r="BB125" s="2101"/>
      <c r="BC125" s="2101"/>
      <c r="BD125" s="2101"/>
      <c r="BE125" s="2101"/>
      <c r="BF125" s="2101"/>
      <c r="BG125" s="2101"/>
      <c r="BH125" s="2101"/>
      <c r="BI125" s="2101"/>
      <c r="BJ125" s="2101"/>
      <c r="BK125" s="2101"/>
      <c r="BL125" s="2101"/>
      <c r="BM125" s="2101"/>
      <c r="BN125" s="2101"/>
      <c r="BO125" s="2101"/>
      <c r="BP125" s="2101"/>
      <c r="BQ125" s="2101"/>
      <c r="BR125" s="2101"/>
      <c r="BS125" s="2101"/>
      <c r="BT125" s="2101"/>
      <c r="BU125" s="2101"/>
      <c r="BV125" s="2101"/>
      <c r="BW125" s="2101"/>
      <c r="BX125" s="2101"/>
      <c r="BY125" s="2101"/>
      <c r="BZ125" s="2101"/>
      <c r="CA125" s="2101"/>
      <c r="CB125" s="2101"/>
      <c r="CC125" s="2101"/>
      <c r="CD125" s="2101"/>
      <c r="CE125" s="2102"/>
      <c r="CF125" s="2102"/>
      <c r="CG125" s="2102"/>
      <c r="CH125" s="2102"/>
      <c r="CI125" s="2102"/>
      <c r="CJ125" s="2102"/>
      <c r="CK125" s="2102"/>
      <c r="CL125" s="2102"/>
      <c r="CM125" s="2102"/>
      <c r="CN125" s="2102"/>
      <c r="CO125" s="2101"/>
      <c r="CP125" s="2101"/>
      <c r="CQ125" s="2102"/>
      <c r="CR125" s="2102"/>
      <c r="CS125" s="2101"/>
      <c r="CT125" s="2102"/>
      <c r="CU125" s="2101"/>
      <c r="CV125" s="2102"/>
      <c r="CW125" s="2101"/>
      <c r="CX125" s="2102"/>
      <c r="CY125" s="2101"/>
      <c r="CZ125" s="2101"/>
      <c r="DA125" s="2101"/>
      <c r="DB125" s="2101"/>
      <c r="DC125" s="2101"/>
      <c r="DD125" s="2101"/>
      <c r="DE125" s="2101"/>
      <c r="DF125" s="2101"/>
      <c r="DG125" s="2101"/>
      <c r="DH125" s="2102">
        <f>DH121</f>
        <v>27430</v>
      </c>
      <c r="DI125" s="2102" t="e">
        <f t="shared" ref="DI125:DT125" si="211">DI121</f>
        <v>#REF!</v>
      </c>
      <c r="DJ125" s="2102" t="e">
        <f t="shared" si="211"/>
        <v>#REF!</v>
      </c>
      <c r="DK125" s="2102" t="e">
        <f t="shared" si="211"/>
        <v>#REF!</v>
      </c>
      <c r="DL125" s="2102">
        <f t="shared" si="211"/>
        <v>31800</v>
      </c>
      <c r="DM125" s="2102">
        <f t="shared" si="211"/>
        <v>33755</v>
      </c>
      <c r="DN125" s="2102">
        <f t="shared" si="211"/>
        <v>31800</v>
      </c>
      <c r="DO125" s="2102">
        <f t="shared" si="211"/>
        <v>33755</v>
      </c>
      <c r="DP125" s="2102">
        <f t="shared" si="211"/>
        <v>48935</v>
      </c>
      <c r="DQ125" s="2102"/>
      <c r="DR125" s="2102" t="e">
        <f t="shared" si="211"/>
        <v>#REF!</v>
      </c>
      <c r="DS125" s="2102">
        <f t="shared" si="211"/>
        <v>31800</v>
      </c>
      <c r="DT125" s="2102" t="e">
        <f t="shared" si="211"/>
        <v>#REF!</v>
      </c>
      <c r="DU125" s="2101"/>
      <c r="DV125" s="2101"/>
      <c r="DW125" s="2101"/>
      <c r="DX125" s="2101"/>
      <c r="DY125" s="2101"/>
      <c r="DZ125" s="2101"/>
      <c r="EA125" s="2101"/>
      <c r="EB125" s="2101"/>
      <c r="EC125" s="2101"/>
      <c r="ED125" s="2101"/>
      <c r="EE125" s="2101"/>
      <c r="EF125" s="2101"/>
      <c r="EG125" s="2101"/>
      <c r="EH125" s="2101"/>
      <c r="EI125" s="2101"/>
      <c r="EJ125" s="2101"/>
      <c r="EK125" s="2101"/>
      <c r="EL125" s="2101"/>
      <c r="EM125" s="2101"/>
      <c r="EN125" s="2101"/>
      <c r="EO125" s="2101"/>
      <c r="EP125" s="2101"/>
      <c r="EQ125" s="2101"/>
      <c r="ER125" s="2101"/>
      <c r="ES125" s="2101"/>
      <c r="ET125" s="2101"/>
      <c r="EU125" s="2101"/>
      <c r="EV125" s="2101"/>
      <c r="EW125" s="2101"/>
      <c r="EX125" s="2101"/>
      <c r="EY125" s="2101"/>
      <c r="EZ125" s="2101"/>
      <c r="FA125" s="2101"/>
      <c r="FB125" s="2101"/>
      <c r="FC125" s="2101"/>
      <c r="FD125" s="2101"/>
      <c r="FE125" s="2104"/>
      <c r="FF125" s="2082"/>
      <c r="FG125" s="2082"/>
      <c r="FH125" s="2082"/>
      <c r="FI125" s="2082"/>
      <c r="FJ125" s="2082"/>
      <c r="FK125" s="1565"/>
      <c r="FL125" s="1565"/>
      <c r="FM125" s="1565"/>
      <c r="FN125" s="1565"/>
      <c r="FO125" s="1565"/>
      <c r="FP125" s="1565"/>
      <c r="FQ125" s="1565"/>
      <c r="FR125" s="1565"/>
      <c r="FS125" s="1565"/>
      <c r="FT125" s="1565"/>
      <c r="FU125" s="1565"/>
      <c r="FV125" s="1565"/>
      <c r="FW125" s="1565"/>
      <c r="FX125" s="1565"/>
      <c r="FY125" s="1565"/>
      <c r="FZ125" s="1565"/>
      <c r="GA125" s="1565"/>
      <c r="GB125" s="1565"/>
      <c r="GC125" s="1565"/>
      <c r="GD125" s="1565"/>
      <c r="GE125" s="1565"/>
      <c r="GF125" s="1565"/>
      <c r="GG125" s="1565"/>
      <c r="GH125" s="1565"/>
      <c r="GI125" s="1565"/>
      <c r="GJ125" s="1565"/>
      <c r="GK125" s="1565"/>
      <c r="GL125" s="1565"/>
      <c r="GM125" s="1565"/>
      <c r="GN125" s="1565"/>
      <c r="GO125" s="1565"/>
      <c r="GP125" s="1565"/>
      <c r="GQ125" s="1565"/>
      <c r="GR125" s="1565"/>
      <c r="GS125" s="1565"/>
      <c r="GT125" s="1565"/>
      <c r="GU125" s="1565"/>
      <c r="GV125" s="1565"/>
      <c r="GW125" s="1565"/>
      <c r="GX125" s="1565"/>
      <c r="GY125" s="1565"/>
      <c r="GZ125" s="1565"/>
      <c r="HA125" s="1565"/>
      <c r="HB125" s="1565"/>
      <c r="HC125" s="1565"/>
      <c r="HD125" s="1565"/>
      <c r="HE125" s="1565"/>
      <c r="HF125" s="1565"/>
      <c r="HG125" s="1565"/>
      <c r="HH125" s="1565"/>
      <c r="HI125" s="1565"/>
      <c r="HJ125" s="1565"/>
      <c r="HK125" s="1565"/>
      <c r="HL125" s="1565"/>
      <c r="HM125" s="1565"/>
      <c r="HN125" s="1565"/>
      <c r="HO125" s="1565"/>
      <c r="HP125" s="1565"/>
      <c r="HQ125" s="1565"/>
      <c r="HR125" s="1565"/>
      <c r="HS125" s="1565"/>
      <c r="HT125" s="1565"/>
      <c r="HU125" s="1565"/>
      <c r="HV125" s="1565"/>
      <c r="HW125" s="1565"/>
      <c r="HX125" s="1565"/>
      <c r="HY125" s="1565"/>
      <c r="HZ125" s="1565"/>
      <c r="IA125" s="1565"/>
      <c r="IB125" s="1565"/>
      <c r="IC125" s="1565"/>
      <c r="ID125" s="1565"/>
      <c r="IE125" s="1565"/>
      <c r="IF125" s="1565"/>
      <c r="IG125" s="1565"/>
    </row>
    <row r="126" spans="1:241" s="1552" customFormat="1" ht="36" hidden="1" outlineLevel="2">
      <c r="A126" s="1549">
        <v>123</v>
      </c>
      <c r="B126" s="1556" t="s">
        <v>303</v>
      </c>
      <c r="C126" s="1578" t="s">
        <v>1974</v>
      </c>
      <c r="D126" s="1579" t="s">
        <v>1789</v>
      </c>
      <c r="E126" s="1580" t="s">
        <v>1804</v>
      </c>
      <c r="F126" s="1579" t="s">
        <v>1798</v>
      </c>
      <c r="G126" s="1502"/>
      <c r="H126" s="2070"/>
      <c r="I126" s="2070"/>
      <c r="J126" s="2098"/>
      <c r="K126" s="2098"/>
      <c r="L126" s="2070"/>
      <c r="M126" s="2070"/>
      <c r="N126" s="2099"/>
      <c r="O126" s="2070"/>
      <c r="P126" s="2098"/>
      <c r="Q126" s="2100"/>
      <c r="R126" s="2100"/>
      <c r="S126" s="2100"/>
      <c r="T126" s="2100"/>
      <c r="U126" s="2100"/>
      <c r="V126" s="2100"/>
      <c r="W126" s="2100"/>
      <c r="X126" s="2100"/>
      <c r="Y126" s="2100"/>
      <c r="Z126" s="2100"/>
      <c r="AA126" s="2100"/>
      <c r="AB126" s="2100"/>
      <c r="AC126" s="2100"/>
      <c r="AD126" s="2100"/>
      <c r="AE126" s="2100"/>
      <c r="AF126" s="2100"/>
      <c r="AG126" s="2100"/>
      <c r="AH126" s="2100"/>
      <c r="AI126" s="2100"/>
      <c r="AJ126" s="2100"/>
      <c r="AK126" s="2100"/>
      <c r="AL126" s="2100"/>
      <c r="AM126" s="2100"/>
      <c r="AN126" s="2100"/>
      <c r="AO126" s="2100"/>
      <c r="AP126" s="2100"/>
      <c r="AQ126" s="2100"/>
      <c r="AR126" s="2100"/>
      <c r="AS126" s="2100"/>
      <c r="AT126" s="2100"/>
      <c r="AU126" s="2100"/>
      <c r="AV126" s="2100"/>
      <c r="AW126" s="2100"/>
      <c r="AX126" s="2100"/>
      <c r="AY126" s="2101"/>
      <c r="AZ126" s="2101"/>
      <c r="BA126" s="2101"/>
      <c r="BB126" s="2101"/>
      <c r="BC126" s="2101"/>
      <c r="BD126" s="2101"/>
      <c r="BE126" s="2101"/>
      <c r="BF126" s="2101"/>
      <c r="BG126" s="2101"/>
      <c r="BH126" s="2101"/>
      <c r="BI126" s="2101"/>
      <c r="BJ126" s="2101"/>
      <c r="BK126" s="2101"/>
      <c r="BL126" s="2101"/>
      <c r="BM126" s="2101"/>
      <c r="BN126" s="2101"/>
      <c r="BO126" s="2101"/>
      <c r="BP126" s="2101"/>
      <c r="BQ126" s="2101"/>
      <c r="BR126" s="2101"/>
      <c r="BS126" s="2101"/>
      <c r="BT126" s="2101"/>
      <c r="BU126" s="2101"/>
      <c r="BV126" s="2101"/>
      <c r="BW126" s="2101"/>
      <c r="BX126" s="2101"/>
      <c r="BY126" s="2101"/>
      <c r="BZ126" s="2101"/>
      <c r="CA126" s="2101"/>
      <c r="CB126" s="2101"/>
      <c r="CC126" s="2101"/>
      <c r="CD126" s="2101"/>
      <c r="CE126" s="2102"/>
      <c r="CF126" s="2102"/>
      <c r="CG126" s="2102"/>
      <c r="CH126" s="2102"/>
      <c r="CI126" s="2102"/>
      <c r="CJ126" s="2102"/>
      <c r="CK126" s="2102"/>
      <c r="CL126" s="2102"/>
      <c r="CM126" s="2102"/>
      <c r="CN126" s="2102"/>
      <c r="CO126" s="2101"/>
      <c r="CP126" s="2101"/>
      <c r="CQ126" s="2102"/>
      <c r="CR126" s="2102"/>
      <c r="CS126" s="2101"/>
      <c r="CT126" s="2102"/>
      <c r="CU126" s="2101"/>
      <c r="CV126" s="2102"/>
      <c r="CW126" s="2101"/>
      <c r="CX126" s="2102"/>
      <c r="CY126" s="2101"/>
      <c r="CZ126" s="2101"/>
      <c r="DA126" s="2101"/>
      <c r="DB126" s="2101"/>
      <c r="DC126" s="2101"/>
      <c r="DD126" s="2101"/>
      <c r="DE126" s="2101"/>
      <c r="DF126" s="2101"/>
      <c r="DG126" s="2101"/>
      <c r="DH126" s="2102">
        <f>DH122</f>
        <v>27430</v>
      </c>
      <c r="DI126" s="2102" t="e">
        <f t="shared" ref="DI126:DT126" si="212">DI122</f>
        <v>#REF!</v>
      </c>
      <c r="DJ126" s="2102" t="e">
        <f t="shared" si="212"/>
        <v>#REF!</v>
      </c>
      <c r="DK126" s="2102" t="e">
        <f t="shared" si="212"/>
        <v>#REF!</v>
      </c>
      <c r="DL126" s="2102">
        <f t="shared" si="212"/>
        <v>31800</v>
      </c>
      <c r="DM126" s="2102">
        <f t="shared" si="212"/>
        <v>33755</v>
      </c>
      <c r="DN126" s="2102">
        <f t="shared" si="212"/>
        <v>31800</v>
      </c>
      <c r="DO126" s="2102">
        <f t="shared" si="212"/>
        <v>33755</v>
      </c>
      <c r="DP126" s="2102">
        <f t="shared" si="212"/>
        <v>48935</v>
      </c>
      <c r="DQ126" s="2102"/>
      <c r="DR126" s="2102" t="e">
        <f t="shared" si="212"/>
        <v>#REF!</v>
      </c>
      <c r="DS126" s="2102">
        <f t="shared" si="212"/>
        <v>31800</v>
      </c>
      <c r="DT126" s="2102" t="e">
        <f t="shared" si="212"/>
        <v>#REF!</v>
      </c>
      <c r="DU126" s="2101"/>
      <c r="DV126" s="2101"/>
      <c r="DW126" s="2101"/>
      <c r="DX126" s="2101"/>
      <c r="DY126" s="2101"/>
      <c r="DZ126" s="2101"/>
      <c r="EA126" s="2101"/>
      <c r="EB126" s="2101"/>
      <c r="EC126" s="2101"/>
      <c r="ED126" s="2101"/>
      <c r="EE126" s="2101"/>
      <c r="EF126" s="2101"/>
      <c r="EG126" s="2101"/>
      <c r="EH126" s="2101"/>
      <c r="EI126" s="2101"/>
      <c r="EJ126" s="2101"/>
      <c r="EK126" s="2101"/>
      <c r="EL126" s="2101"/>
      <c r="EM126" s="2101"/>
      <c r="EN126" s="2101"/>
      <c r="EO126" s="2101"/>
      <c r="EP126" s="2101"/>
      <c r="EQ126" s="2101"/>
      <c r="ER126" s="2101"/>
      <c r="ES126" s="2101"/>
      <c r="ET126" s="2101"/>
      <c r="EU126" s="2101"/>
      <c r="EV126" s="2101"/>
      <c r="EW126" s="2101"/>
      <c r="EX126" s="2101"/>
      <c r="EY126" s="2101"/>
      <c r="EZ126" s="2101"/>
      <c r="FA126" s="2101"/>
      <c r="FB126" s="2101"/>
      <c r="FC126" s="2101"/>
      <c r="FD126" s="2101"/>
      <c r="FE126" s="2104"/>
      <c r="FF126" s="2082"/>
      <c r="FG126" s="2082"/>
      <c r="FH126" s="2082"/>
      <c r="FI126" s="2082"/>
      <c r="FJ126" s="2082"/>
      <c r="FK126" s="1565"/>
      <c r="FL126" s="1565"/>
      <c r="FM126" s="1565"/>
      <c r="FN126" s="1565"/>
      <c r="FO126" s="1565"/>
      <c r="FP126" s="1565"/>
      <c r="FQ126" s="1565"/>
      <c r="FR126" s="1565"/>
      <c r="FS126" s="1565"/>
      <c r="FT126" s="1565"/>
      <c r="FU126" s="1565"/>
      <c r="FV126" s="1565"/>
      <c r="FW126" s="1565"/>
      <c r="FX126" s="1565"/>
      <c r="FY126" s="1565"/>
      <c r="FZ126" s="1565"/>
      <c r="GA126" s="1565"/>
      <c r="GB126" s="1565"/>
      <c r="GC126" s="1565"/>
      <c r="GD126" s="1565"/>
      <c r="GE126" s="1565"/>
      <c r="GF126" s="1565"/>
      <c r="GG126" s="1565"/>
      <c r="GH126" s="1565"/>
      <c r="GI126" s="1565"/>
      <c r="GJ126" s="1565"/>
      <c r="GK126" s="1565"/>
      <c r="GL126" s="1565"/>
      <c r="GM126" s="1565"/>
      <c r="GN126" s="1565"/>
      <c r="GO126" s="1565"/>
      <c r="GP126" s="1565"/>
      <c r="GQ126" s="1565"/>
      <c r="GR126" s="1565"/>
      <c r="GS126" s="1565"/>
      <c r="GT126" s="1565"/>
      <c r="GU126" s="1565"/>
      <c r="GV126" s="1565"/>
      <c r="GW126" s="1565"/>
      <c r="GX126" s="1565"/>
      <c r="GY126" s="1565"/>
      <c r="GZ126" s="1565"/>
      <c r="HA126" s="1565"/>
      <c r="HB126" s="1565"/>
      <c r="HC126" s="1565"/>
      <c r="HD126" s="1565"/>
      <c r="HE126" s="1565"/>
      <c r="HF126" s="1565"/>
      <c r="HG126" s="1565"/>
      <c r="HH126" s="1565"/>
      <c r="HI126" s="1565"/>
      <c r="HJ126" s="1565"/>
      <c r="HK126" s="1565"/>
      <c r="HL126" s="1565"/>
      <c r="HM126" s="1565"/>
      <c r="HN126" s="1565"/>
      <c r="HO126" s="1565"/>
      <c r="HP126" s="1565"/>
      <c r="HQ126" s="1565"/>
      <c r="HR126" s="1565"/>
      <c r="HS126" s="1565"/>
      <c r="HT126" s="1565"/>
      <c r="HU126" s="1565"/>
      <c r="HV126" s="1565"/>
      <c r="HW126" s="1565"/>
      <c r="HX126" s="1565"/>
      <c r="HY126" s="1565"/>
      <c r="HZ126" s="1565"/>
      <c r="IA126" s="1565"/>
      <c r="IB126" s="1565"/>
      <c r="IC126" s="1565"/>
      <c r="ID126" s="1565"/>
      <c r="IE126" s="1565"/>
      <c r="IF126" s="1565"/>
      <c r="IG126" s="1565"/>
    </row>
    <row r="127" spans="1:241" s="1552" customFormat="1" ht="36" hidden="1" outlineLevel="2">
      <c r="A127" s="1552">
        <v>124</v>
      </c>
      <c r="B127" s="1556" t="s">
        <v>303</v>
      </c>
      <c r="C127" s="1578" t="s">
        <v>1974</v>
      </c>
      <c r="D127" s="1579" t="s">
        <v>1789</v>
      </c>
      <c r="E127" s="1580" t="s">
        <v>1804</v>
      </c>
      <c r="F127" s="1579" t="s">
        <v>1799</v>
      </c>
      <c r="G127" s="1502"/>
      <c r="H127" s="2070"/>
      <c r="I127" s="2070"/>
      <c r="J127" s="2098"/>
      <c r="K127" s="2098"/>
      <c r="L127" s="2070"/>
      <c r="M127" s="2070"/>
      <c r="N127" s="2099"/>
      <c r="O127" s="2070"/>
      <c r="P127" s="2098"/>
      <c r="Q127" s="2100"/>
      <c r="R127" s="2100"/>
      <c r="S127" s="2100"/>
      <c r="T127" s="2100"/>
      <c r="U127" s="2100"/>
      <c r="V127" s="2100"/>
      <c r="W127" s="2100"/>
      <c r="X127" s="2100"/>
      <c r="Y127" s="2100"/>
      <c r="Z127" s="2100"/>
      <c r="AA127" s="2100"/>
      <c r="AB127" s="2100"/>
      <c r="AC127" s="2100"/>
      <c r="AD127" s="2100"/>
      <c r="AE127" s="2100"/>
      <c r="AF127" s="2100"/>
      <c r="AG127" s="2100"/>
      <c r="AH127" s="2100"/>
      <c r="AI127" s="2100"/>
      <c r="AJ127" s="2100"/>
      <c r="AK127" s="2100"/>
      <c r="AL127" s="2100"/>
      <c r="AM127" s="2100"/>
      <c r="AN127" s="2100"/>
      <c r="AO127" s="2100"/>
      <c r="AP127" s="2100"/>
      <c r="AQ127" s="2100"/>
      <c r="AR127" s="2100"/>
      <c r="AS127" s="2100"/>
      <c r="AT127" s="2100"/>
      <c r="AU127" s="2100"/>
      <c r="AV127" s="2100"/>
      <c r="AW127" s="2100"/>
      <c r="AX127" s="2100"/>
      <c r="AY127" s="2101"/>
      <c r="AZ127" s="2101"/>
      <c r="BA127" s="2101"/>
      <c r="BB127" s="2101"/>
      <c r="BC127" s="2101"/>
      <c r="BD127" s="2101"/>
      <c r="BE127" s="2101"/>
      <c r="BF127" s="2101"/>
      <c r="BG127" s="2101"/>
      <c r="BH127" s="2101"/>
      <c r="BI127" s="2101"/>
      <c r="BJ127" s="2101"/>
      <c r="BK127" s="2101"/>
      <c r="BL127" s="2101"/>
      <c r="BM127" s="2101"/>
      <c r="BN127" s="2101"/>
      <c r="BO127" s="2101"/>
      <c r="BP127" s="2101"/>
      <c r="BQ127" s="2101"/>
      <c r="BR127" s="2101"/>
      <c r="BS127" s="2101"/>
      <c r="BT127" s="2101"/>
      <c r="BU127" s="2101"/>
      <c r="BV127" s="2101"/>
      <c r="BW127" s="2101"/>
      <c r="BX127" s="2101"/>
      <c r="BY127" s="2101"/>
      <c r="BZ127" s="2101"/>
      <c r="CA127" s="2101"/>
      <c r="CB127" s="2101"/>
      <c r="CC127" s="2101"/>
      <c r="CD127" s="2101"/>
      <c r="CE127" s="2102"/>
      <c r="CF127" s="2102"/>
      <c r="CG127" s="2102"/>
      <c r="CH127" s="2102"/>
      <c r="CI127" s="2102"/>
      <c r="CJ127" s="2102"/>
      <c r="CK127" s="2102"/>
      <c r="CL127" s="2102"/>
      <c r="CM127" s="2102"/>
      <c r="CN127" s="2102"/>
      <c r="CO127" s="2101"/>
      <c r="CP127" s="2101"/>
      <c r="CQ127" s="2102"/>
      <c r="CR127" s="2102"/>
      <c r="CS127" s="2101"/>
      <c r="CT127" s="2102"/>
      <c r="CU127" s="2101"/>
      <c r="CV127" s="2102"/>
      <c r="CW127" s="2101"/>
      <c r="CX127" s="2102"/>
      <c r="CY127" s="2101"/>
      <c r="CZ127" s="2101"/>
      <c r="DA127" s="2101"/>
      <c r="DB127" s="2101"/>
      <c r="DC127" s="2101"/>
      <c r="DD127" s="2101"/>
      <c r="DE127" s="2101"/>
      <c r="DF127" s="2101"/>
      <c r="DG127" s="2101"/>
      <c r="DH127" s="2102">
        <f>DH124</f>
        <v>27430</v>
      </c>
      <c r="DI127" s="2102" t="e">
        <f t="shared" ref="DI127:DT127" si="213">DI124</f>
        <v>#REF!</v>
      </c>
      <c r="DJ127" s="2102" t="e">
        <f t="shared" si="213"/>
        <v>#REF!</v>
      </c>
      <c r="DK127" s="2102" t="e">
        <f t="shared" si="213"/>
        <v>#REF!</v>
      </c>
      <c r="DL127" s="2102">
        <f t="shared" si="213"/>
        <v>31800</v>
      </c>
      <c r="DM127" s="2102">
        <f t="shared" si="213"/>
        <v>33755</v>
      </c>
      <c r="DN127" s="2102">
        <f t="shared" si="213"/>
        <v>31800</v>
      </c>
      <c r="DO127" s="2102">
        <f t="shared" si="213"/>
        <v>33755</v>
      </c>
      <c r="DP127" s="2102">
        <f t="shared" si="213"/>
        <v>48935</v>
      </c>
      <c r="DQ127" s="2102"/>
      <c r="DR127" s="2102" t="e">
        <f t="shared" si="213"/>
        <v>#REF!</v>
      </c>
      <c r="DS127" s="2102">
        <f t="shared" si="213"/>
        <v>31800</v>
      </c>
      <c r="DT127" s="2102" t="e">
        <f t="shared" si="213"/>
        <v>#REF!</v>
      </c>
      <c r="DU127" s="2101"/>
      <c r="DV127" s="2101"/>
      <c r="DW127" s="2101"/>
      <c r="DX127" s="2101"/>
      <c r="DY127" s="2101"/>
      <c r="DZ127" s="2101"/>
      <c r="EA127" s="2101"/>
      <c r="EB127" s="2101"/>
      <c r="EC127" s="2101"/>
      <c r="ED127" s="2101"/>
      <c r="EE127" s="2101"/>
      <c r="EF127" s="2101"/>
      <c r="EG127" s="2101"/>
      <c r="EH127" s="2101"/>
      <c r="EI127" s="2101"/>
      <c r="EJ127" s="2101"/>
      <c r="EK127" s="2101"/>
      <c r="EL127" s="2101"/>
      <c r="EM127" s="2101"/>
      <c r="EN127" s="2101"/>
      <c r="EO127" s="2101"/>
      <c r="EP127" s="2101"/>
      <c r="EQ127" s="2101"/>
      <c r="ER127" s="2101"/>
      <c r="ES127" s="2101"/>
      <c r="ET127" s="2101"/>
      <c r="EU127" s="2101"/>
      <c r="EV127" s="2101"/>
      <c r="EW127" s="2101"/>
      <c r="EX127" s="2101"/>
      <c r="EY127" s="2101"/>
      <c r="EZ127" s="2101"/>
      <c r="FA127" s="2101"/>
      <c r="FB127" s="2101"/>
      <c r="FC127" s="2101"/>
      <c r="FD127" s="2101"/>
      <c r="FE127" s="2104"/>
      <c r="FF127" s="2082"/>
      <c r="FG127" s="2082"/>
      <c r="FH127" s="2082"/>
      <c r="FI127" s="2082"/>
      <c r="FJ127" s="2082"/>
      <c r="FK127" s="1565"/>
      <c r="FL127" s="1565"/>
      <c r="FM127" s="1565"/>
      <c r="FN127" s="1565"/>
      <c r="FO127" s="1565"/>
      <c r="FP127" s="1565"/>
      <c r="FQ127" s="1565"/>
      <c r="FR127" s="1565"/>
      <c r="FS127" s="1565"/>
      <c r="FT127" s="1565"/>
      <c r="FU127" s="1565"/>
      <c r="FV127" s="1565"/>
      <c r="FW127" s="1565"/>
      <c r="FX127" s="1565"/>
      <c r="FY127" s="1565"/>
      <c r="FZ127" s="1565"/>
      <c r="GA127" s="1565"/>
      <c r="GB127" s="1565"/>
      <c r="GC127" s="1565"/>
      <c r="GD127" s="1565"/>
      <c r="GE127" s="1565"/>
      <c r="GF127" s="1565"/>
      <c r="GG127" s="1565"/>
      <c r="GH127" s="1565"/>
      <c r="GI127" s="1565"/>
      <c r="GJ127" s="1565"/>
      <c r="GK127" s="1565"/>
      <c r="GL127" s="1565"/>
      <c r="GM127" s="1565"/>
      <c r="GN127" s="1565"/>
      <c r="GO127" s="1565"/>
      <c r="GP127" s="1565"/>
      <c r="GQ127" s="1565"/>
      <c r="GR127" s="1565"/>
      <c r="GS127" s="1565"/>
      <c r="GT127" s="1565"/>
      <c r="GU127" s="1565"/>
      <c r="GV127" s="1565"/>
      <c r="GW127" s="1565"/>
      <c r="GX127" s="1565"/>
      <c r="GY127" s="1565"/>
      <c r="GZ127" s="1565"/>
      <c r="HA127" s="1565"/>
      <c r="HB127" s="1565"/>
      <c r="HC127" s="1565"/>
      <c r="HD127" s="1565"/>
      <c r="HE127" s="1565"/>
      <c r="HF127" s="1565"/>
      <c r="HG127" s="1565"/>
      <c r="HH127" s="1565"/>
      <c r="HI127" s="1565"/>
      <c r="HJ127" s="1565"/>
      <c r="HK127" s="1565"/>
      <c r="HL127" s="1565"/>
      <c r="HM127" s="1565"/>
      <c r="HN127" s="1565"/>
      <c r="HO127" s="1565"/>
      <c r="HP127" s="1565"/>
      <c r="HQ127" s="1565"/>
      <c r="HR127" s="1565"/>
      <c r="HS127" s="1565"/>
      <c r="HT127" s="1565"/>
      <c r="HU127" s="1565"/>
      <c r="HV127" s="1565"/>
      <c r="HW127" s="1565"/>
      <c r="HX127" s="1565"/>
      <c r="HY127" s="1565"/>
      <c r="HZ127" s="1565"/>
      <c r="IA127" s="1565"/>
      <c r="IB127" s="1565"/>
      <c r="IC127" s="1565"/>
      <c r="ID127" s="1565"/>
      <c r="IE127" s="1565"/>
      <c r="IF127" s="1565"/>
      <c r="IG127" s="1565"/>
    </row>
    <row r="128" spans="1:241" s="1552" customFormat="1" ht="36" hidden="1" outlineLevel="2">
      <c r="A128" s="1549">
        <v>125</v>
      </c>
      <c r="B128" s="1556" t="s">
        <v>303</v>
      </c>
      <c r="C128" s="1578" t="s">
        <v>1974</v>
      </c>
      <c r="D128" s="1579" t="s">
        <v>1789</v>
      </c>
      <c r="E128" s="1580" t="s">
        <v>1804</v>
      </c>
      <c r="F128" s="1579" t="s">
        <v>1800</v>
      </c>
      <c r="G128" s="1502"/>
      <c r="H128" s="2070"/>
      <c r="I128" s="2070"/>
      <c r="J128" s="2098"/>
      <c r="K128" s="2098"/>
      <c r="L128" s="2070"/>
      <c r="M128" s="2070"/>
      <c r="N128" s="2099"/>
      <c r="O128" s="2070"/>
      <c r="P128" s="2098"/>
      <c r="Q128" s="2100"/>
      <c r="R128" s="2100"/>
      <c r="S128" s="2100"/>
      <c r="T128" s="2100"/>
      <c r="U128" s="2100"/>
      <c r="V128" s="2100"/>
      <c r="W128" s="2100"/>
      <c r="X128" s="2100"/>
      <c r="Y128" s="2100"/>
      <c r="Z128" s="2100"/>
      <c r="AA128" s="2100"/>
      <c r="AB128" s="2100"/>
      <c r="AC128" s="2100"/>
      <c r="AD128" s="2100"/>
      <c r="AE128" s="2100"/>
      <c r="AF128" s="2100"/>
      <c r="AG128" s="2100"/>
      <c r="AH128" s="2100"/>
      <c r="AI128" s="2100"/>
      <c r="AJ128" s="2100"/>
      <c r="AK128" s="2100"/>
      <c r="AL128" s="2100"/>
      <c r="AM128" s="2100"/>
      <c r="AN128" s="2100"/>
      <c r="AO128" s="2100"/>
      <c r="AP128" s="2100"/>
      <c r="AQ128" s="2100"/>
      <c r="AR128" s="2100"/>
      <c r="AS128" s="2100"/>
      <c r="AT128" s="2100"/>
      <c r="AU128" s="2100"/>
      <c r="AV128" s="2100"/>
      <c r="AW128" s="2100"/>
      <c r="AX128" s="2100"/>
      <c r="AY128" s="2101"/>
      <c r="AZ128" s="2101"/>
      <c r="BA128" s="2101"/>
      <c r="BB128" s="2101"/>
      <c r="BC128" s="2101"/>
      <c r="BD128" s="2101"/>
      <c r="BE128" s="2101"/>
      <c r="BF128" s="2101"/>
      <c r="BG128" s="2101"/>
      <c r="BH128" s="2101"/>
      <c r="BI128" s="2101"/>
      <c r="BJ128" s="2101"/>
      <c r="BK128" s="2101"/>
      <c r="BL128" s="2101"/>
      <c r="BM128" s="2101"/>
      <c r="BN128" s="2101"/>
      <c r="BO128" s="2101"/>
      <c r="BP128" s="2101"/>
      <c r="BQ128" s="2101"/>
      <c r="BR128" s="2101"/>
      <c r="BS128" s="2101"/>
      <c r="BT128" s="2101"/>
      <c r="BU128" s="2101"/>
      <c r="BV128" s="2101"/>
      <c r="BW128" s="2101"/>
      <c r="BX128" s="2101"/>
      <c r="BY128" s="2101"/>
      <c r="BZ128" s="2101"/>
      <c r="CA128" s="2101"/>
      <c r="CB128" s="2101"/>
      <c r="CC128" s="2101"/>
      <c r="CD128" s="2101"/>
      <c r="CE128" s="2102"/>
      <c r="CF128" s="2102"/>
      <c r="CG128" s="2102"/>
      <c r="CH128" s="2102"/>
      <c r="CI128" s="2102"/>
      <c r="CJ128" s="2102"/>
      <c r="CK128" s="2102"/>
      <c r="CL128" s="2102"/>
      <c r="CM128" s="2102"/>
      <c r="CN128" s="2102"/>
      <c r="CO128" s="2101"/>
      <c r="CP128" s="2101"/>
      <c r="CQ128" s="2102"/>
      <c r="CR128" s="2102"/>
      <c r="CS128" s="2101"/>
      <c r="CT128" s="2102"/>
      <c r="CU128" s="2101"/>
      <c r="CV128" s="2102"/>
      <c r="CW128" s="2101"/>
      <c r="CX128" s="2102"/>
      <c r="CY128" s="2101"/>
      <c r="CZ128" s="2101"/>
      <c r="DA128" s="2101"/>
      <c r="DB128" s="2101"/>
      <c r="DC128" s="2101"/>
      <c r="DD128" s="2101"/>
      <c r="DE128" s="2101"/>
      <c r="DF128" s="2101"/>
      <c r="DG128" s="2101"/>
      <c r="DH128" s="2102">
        <f>DH125</f>
        <v>27430</v>
      </c>
      <c r="DI128" s="2102" t="e">
        <f t="shared" ref="DI128:DT128" si="214">DI125</f>
        <v>#REF!</v>
      </c>
      <c r="DJ128" s="2102" t="e">
        <f t="shared" si="214"/>
        <v>#REF!</v>
      </c>
      <c r="DK128" s="2102" t="e">
        <f t="shared" si="214"/>
        <v>#REF!</v>
      </c>
      <c r="DL128" s="2102">
        <f t="shared" si="214"/>
        <v>31800</v>
      </c>
      <c r="DM128" s="2102">
        <f t="shared" si="214"/>
        <v>33755</v>
      </c>
      <c r="DN128" s="2102">
        <f t="shared" si="214"/>
        <v>31800</v>
      </c>
      <c r="DO128" s="2102">
        <f t="shared" si="214"/>
        <v>33755</v>
      </c>
      <c r="DP128" s="2102">
        <f t="shared" si="214"/>
        <v>48935</v>
      </c>
      <c r="DQ128" s="2102"/>
      <c r="DR128" s="2102" t="e">
        <f t="shared" si="214"/>
        <v>#REF!</v>
      </c>
      <c r="DS128" s="2102">
        <f t="shared" si="214"/>
        <v>31800</v>
      </c>
      <c r="DT128" s="2102" t="e">
        <f t="shared" si="214"/>
        <v>#REF!</v>
      </c>
      <c r="DU128" s="2101"/>
      <c r="DV128" s="2101"/>
      <c r="DW128" s="2101"/>
      <c r="DX128" s="2101"/>
      <c r="DY128" s="2101"/>
      <c r="DZ128" s="2101"/>
      <c r="EA128" s="2101"/>
      <c r="EB128" s="2101"/>
      <c r="EC128" s="2101"/>
      <c r="ED128" s="2101"/>
      <c r="EE128" s="2101"/>
      <c r="EF128" s="2101"/>
      <c r="EG128" s="2101"/>
      <c r="EH128" s="2101"/>
      <c r="EI128" s="2101"/>
      <c r="EJ128" s="2101"/>
      <c r="EK128" s="2101"/>
      <c r="EL128" s="2101"/>
      <c r="EM128" s="2101"/>
      <c r="EN128" s="2101"/>
      <c r="EO128" s="2101"/>
      <c r="EP128" s="2101"/>
      <c r="EQ128" s="2101"/>
      <c r="ER128" s="2101"/>
      <c r="ES128" s="2101"/>
      <c r="ET128" s="2101"/>
      <c r="EU128" s="2101"/>
      <c r="EV128" s="2101"/>
      <c r="EW128" s="2101"/>
      <c r="EX128" s="2101"/>
      <c r="EY128" s="2101"/>
      <c r="EZ128" s="2101"/>
      <c r="FA128" s="2101"/>
      <c r="FB128" s="2101"/>
      <c r="FC128" s="2101"/>
      <c r="FD128" s="2101"/>
      <c r="FE128" s="2104"/>
      <c r="FF128" s="2082"/>
      <c r="FG128" s="2082"/>
      <c r="FH128" s="2082"/>
      <c r="FI128" s="2082"/>
      <c r="FJ128" s="2082"/>
      <c r="FK128" s="1565"/>
      <c r="FL128" s="1565"/>
      <c r="FM128" s="1565"/>
      <c r="FN128" s="1565"/>
      <c r="FO128" s="1565"/>
      <c r="FP128" s="1565"/>
      <c r="FQ128" s="1565"/>
      <c r="FR128" s="1565"/>
      <c r="FS128" s="1565"/>
      <c r="FT128" s="1565"/>
      <c r="FU128" s="1565"/>
      <c r="FV128" s="1565"/>
      <c r="FW128" s="1565"/>
      <c r="FX128" s="1565"/>
      <c r="FY128" s="1565"/>
      <c r="FZ128" s="1565"/>
      <c r="GA128" s="1565"/>
      <c r="GB128" s="1565"/>
      <c r="GC128" s="1565"/>
      <c r="GD128" s="1565"/>
      <c r="GE128" s="1565"/>
      <c r="GF128" s="1565"/>
      <c r="GG128" s="1565"/>
      <c r="GH128" s="1565"/>
      <c r="GI128" s="1565"/>
      <c r="GJ128" s="1565"/>
      <c r="GK128" s="1565"/>
      <c r="GL128" s="1565"/>
      <c r="GM128" s="1565"/>
      <c r="GN128" s="1565"/>
      <c r="GO128" s="1565"/>
      <c r="GP128" s="1565"/>
      <c r="GQ128" s="1565"/>
      <c r="GR128" s="1565"/>
      <c r="GS128" s="1565"/>
      <c r="GT128" s="1565"/>
      <c r="GU128" s="1565"/>
      <c r="GV128" s="1565"/>
      <c r="GW128" s="1565"/>
      <c r="GX128" s="1565"/>
      <c r="GY128" s="1565"/>
      <c r="GZ128" s="1565"/>
      <c r="HA128" s="1565"/>
      <c r="HB128" s="1565"/>
      <c r="HC128" s="1565"/>
      <c r="HD128" s="1565"/>
      <c r="HE128" s="1565"/>
      <c r="HF128" s="1565"/>
      <c r="HG128" s="1565"/>
      <c r="HH128" s="1565"/>
      <c r="HI128" s="1565"/>
      <c r="HJ128" s="1565"/>
      <c r="HK128" s="1565"/>
      <c r="HL128" s="1565"/>
      <c r="HM128" s="1565"/>
      <c r="HN128" s="1565"/>
      <c r="HO128" s="1565"/>
      <c r="HP128" s="1565"/>
      <c r="HQ128" s="1565"/>
      <c r="HR128" s="1565"/>
      <c r="HS128" s="1565"/>
      <c r="HT128" s="1565"/>
      <c r="HU128" s="1565"/>
      <c r="HV128" s="1565"/>
      <c r="HW128" s="1565"/>
      <c r="HX128" s="1565"/>
      <c r="HY128" s="1565"/>
      <c r="HZ128" s="1565"/>
      <c r="IA128" s="1565"/>
      <c r="IB128" s="1565"/>
      <c r="IC128" s="1565"/>
      <c r="ID128" s="1565"/>
      <c r="IE128" s="1565"/>
      <c r="IF128" s="1565"/>
      <c r="IG128" s="1565"/>
    </row>
    <row r="129" spans="1:241" s="1552" customFormat="1" ht="36" hidden="1" outlineLevel="2">
      <c r="A129" s="1552">
        <v>126</v>
      </c>
      <c r="B129" s="1556" t="s">
        <v>303</v>
      </c>
      <c r="C129" s="1578" t="s">
        <v>1974</v>
      </c>
      <c r="D129" s="1579" t="s">
        <v>1789</v>
      </c>
      <c r="E129" s="1580" t="s">
        <v>1804</v>
      </c>
      <c r="F129" s="1579" t="s">
        <v>1801</v>
      </c>
      <c r="G129" s="1502"/>
      <c r="H129" s="2070"/>
      <c r="I129" s="2070"/>
      <c r="J129" s="2098"/>
      <c r="K129" s="2098"/>
      <c r="L129" s="2070"/>
      <c r="M129" s="2070"/>
      <c r="N129" s="2099"/>
      <c r="O129" s="2070"/>
      <c r="P129" s="2098"/>
      <c r="Q129" s="2100"/>
      <c r="R129" s="2100"/>
      <c r="S129" s="2100"/>
      <c r="T129" s="2100"/>
      <c r="U129" s="2100"/>
      <c r="V129" s="2100"/>
      <c r="W129" s="2100"/>
      <c r="X129" s="2100"/>
      <c r="Y129" s="2100"/>
      <c r="Z129" s="2100"/>
      <c r="AA129" s="2100"/>
      <c r="AB129" s="2100"/>
      <c r="AC129" s="2100"/>
      <c r="AD129" s="2100"/>
      <c r="AE129" s="2100"/>
      <c r="AF129" s="2100"/>
      <c r="AG129" s="2100"/>
      <c r="AH129" s="2100"/>
      <c r="AI129" s="2100"/>
      <c r="AJ129" s="2100"/>
      <c r="AK129" s="2100"/>
      <c r="AL129" s="2100"/>
      <c r="AM129" s="2100"/>
      <c r="AN129" s="2100"/>
      <c r="AO129" s="2100"/>
      <c r="AP129" s="2100"/>
      <c r="AQ129" s="2100"/>
      <c r="AR129" s="2100"/>
      <c r="AS129" s="2100"/>
      <c r="AT129" s="2100"/>
      <c r="AU129" s="2100"/>
      <c r="AV129" s="2100"/>
      <c r="AW129" s="2100"/>
      <c r="AX129" s="2100"/>
      <c r="AY129" s="2101"/>
      <c r="AZ129" s="2101"/>
      <c r="BA129" s="2101"/>
      <c r="BB129" s="2101"/>
      <c r="BC129" s="2101"/>
      <c r="BD129" s="2101"/>
      <c r="BE129" s="2101"/>
      <c r="BF129" s="2101"/>
      <c r="BG129" s="2101"/>
      <c r="BH129" s="2101"/>
      <c r="BI129" s="2101"/>
      <c r="BJ129" s="2101"/>
      <c r="BK129" s="2101"/>
      <c r="BL129" s="2101"/>
      <c r="BM129" s="2101"/>
      <c r="BN129" s="2101"/>
      <c r="BO129" s="2101"/>
      <c r="BP129" s="2101"/>
      <c r="BQ129" s="2101"/>
      <c r="BR129" s="2101"/>
      <c r="BS129" s="2101"/>
      <c r="BT129" s="2101"/>
      <c r="BU129" s="2101"/>
      <c r="BV129" s="2101"/>
      <c r="BW129" s="2101"/>
      <c r="BX129" s="2101"/>
      <c r="BY129" s="2101"/>
      <c r="BZ129" s="2101"/>
      <c r="CA129" s="2101"/>
      <c r="CB129" s="2101"/>
      <c r="CC129" s="2101"/>
      <c r="CD129" s="2101"/>
      <c r="CE129" s="2102"/>
      <c r="CF129" s="2102"/>
      <c r="CG129" s="2102"/>
      <c r="CH129" s="2102"/>
      <c r="CI129" s="2102"/>
      <c r="CJ129" s="2102"/>
      <c r="CK129" s="2102"/>
      <c r="CL129" s="2102"/>
      <c r="CM129" s="2102"/>
      <c r="CN129" s="2102"/>
      <c r="CO129" s="2101"/>
      <c r="CP129" s="2101"/>
      <c r="CQ129" s="2102"/>
      <c r="CR129" s="2102"/>
      <c r="CS129" s="2101"/>
      <c r="CT129" s="2102"/>
      <c r="CU129" s="2101"/>
      <c r="CV129" s="2102"/>
      <c r="CW129" s="2101"/>
      <c r="CX129" s="2102"/>
      <c r="CY129" s="2101"/>
      <c r="CZ129" s="2101"/>
      <c r="DA129" s="2101"/>
      <c r="DB129" s="2101"/>
      <c r="DC129" s="2101"/>
      <c r="DD129" s="2101"/>
      <c r="DE129" s="2101"/>
      <c r="DF129" s="2101"/>
      <c r="DG129" s="2101"/>
      <c r="DH129" s="2102">
        <f>DH121</f>
        <v>27430</v>
      </c>
      <c r="DI129" s="2102" t="e">
        <f t="shared" ref="DI129:DT129" si="215">DI121</f>
        <v>#REF!</v>
      </c>
      <c r="DJ129" s="2102" t="e">
        <f t="shared" si="215"/>
        <v>#REF!</v>
      </c>
      <c r="DK129" s="2102" t="e">
        <f t="shared" si="215"/>
        <v>#REF!</v>
      </c>
      <c r="DL129" s="2102">
        <f t="shared" si="215"/>
        <v>31800</v>
      </c>
      <c r="DM129" s="2102">
        <f t="shared" si="215"/>
        <v>33755</v>
      </c>
      <c r="DN129" s="2102">
        <f t="shared" si="215"/>
        <v>31800</v>
      </c>
      <c r="DO129" s="2102">
        <f t="shared" si="215"/>
        <v>33755</v>
      </c>
      <c r="DP129" s="2102">
        <f t="shared" si="215"/>
        <v>48935</v>
      </c>
      <c r="DQ129" s="2102"/>
      <c r="DR129" s="2102" t="e">
        <f t="shared" si="215"/>
        <v>#REF!</v>
      </c>
      <c r="DS129" s="2102">
        <f t="shared" si="215"/>
        <v>31800</v>
      </c>
      <c r="DT129" s="2102" t="e">
        <f t="shared" si="215"/>
        <v>#REF!</v>
      </c>
      <c r="DU129" s="2101"/>
      <c r="DV129" s="2101"/>
      <c r="DW129" s="2101"/>
      <c r="DX129" s="2101"/>
      <c r="DY129" s="2101"/>
      <c r="DZ129" s="2101"/>
      <c r="EA129" s="2101"/>
      <c r="EB129" s="2101"/>
      <c r="EC129" s="2101"/>
      <c r="ED129" s="2101"/>
      <c r="EE129" s="2101"/>
      <c r="EF129" s="2101"/>
      <c r="EG129" s="2101"/>
      <c r="EH129" s="2101"/>
      <c r="EI129" s="2101"/>
      <c r="EJ129" s="2101"/>
      <c r="EK129" s="2101"/>
      <c r="EL129" s="2101"/>
      <c r="EM129" s="2101"/>
      <c r="EN129" s="2101"/>
      <c r="EO129" s="2101"/>
      <c r="EP129" s="2101"/>
      <c r="EQ129" s="2101"/>
      <c r="ER129" s="2101"/>
      <c r="ES129" s="2101"/>
      <c r="ET129" s="2101"/>
      <c r="EU129" s="2101"/>
      <c r="EV129" s="2101"/>
      <c r="EW129" s="2101"/>
      <c r="EX129" s="2101"/>
      <c r="EY129" s="2101"/>
      <c r="EZ129" s="2101"/>
      <c r="FA129" s="2101"/>
      <c r="FB129" s="2101"/>
      <c r="FC129" s="2101"/>
      <c r="FD129" s="2101"/>
      <c r="FE129" s="2104"/>
      <c r="FF129" s="2082"/>
      <c r="FG129" s="2082"/>
      <c r="FH129" s="2082"/>
      <c r="FI129" s="2082"/>
      <c r="FJ129" s="2082"/>
      <c r="FK129" s="1565"/>
      <c r="FL129" s="1565"/>
      <c r="FM129" s="1565"/>
      <c r="FN129" s="1565"/>
      <c r="FO129" s="1565"/>
      <c r="FP129" s="1565"/>
      <c r="FQ129" s="1565"/>
      <c r="FR129" s="1565"/>
      <c r="FS129" s="1565"/>
      <c r="FT129" s="1565"/>
      <c r="FU129" s="1565"/>
      <c r="FV129" s="1565"/>
      <c r="FW129" s="1565"/>
      <c r="FX129" s="1565"/>
      <c r="FY129" s="1565"/>
      <c r="FZ129" s="1565"/>
      <c r="GA129" s="1565"/>
      <c r="GB129" s="1565"/>
      <c r="GC129" s="1565"/>
      <c r="GD129" s="1565"/>
      <c r="GE129" s="1565"/>
      <c r="GF129" s="1565"/>
      <c r="GG129" s="1565"/>
      <c r="GH129" s="1565"/>
      <c r="GI129" s="1565"/>
      <c r="GJ129" s="1565"/>
      <c r="GK129" s="1565"/>
      <c r="GL129" s="1565"/>
      <c r="GM129" s="1565"/>
      <c r="GN129" s="1565"/>
      <c r="GO129" s="1565"/>
      <c r="GP129" s="1565"/>
      <c r="GQ129" s="1565"/>
      <c r="GR129" s="1565"/>
      <c r="GS129" s="1565"/>
      <c r="GT129" s="1565"/>
      <c r="GU129" s="1565"/>
      <c r="GV129" s="1565"/>
      <c r="GW129" s="1565"/>
      <c r="GX129" s="1565"/>
      <c r="GY129" s="1565"/>
      <c r="GZ129" s="1565"/>
      <c r="HA129" s="1565"/>
      <c r="HB129" s="1565"/>
      <c r="HC129" s="1565"/>
      <c r="HD129" s="1565"/>
      <c r="HE129" s="1565"/>
      <c r="HF129" s="1565"/>
      <c r="HG129" s="1565"/>
      <c r="HH129" s="1565"/>
      <c r="HI129" s="1565"/>
      <c r="HJ129" s="1565"/>
      <c r="HK129" s="1565"/>
      <c r="HL129" s="1565"/>
      <c r="HM129" s="1565"/>
      <c r="HN129" s="1565"/>
      <c r="HO129" s="1565"/>
      <c r="HP129" s="1565"/>
      <c r="HQ129" s="1565"/>
      <c r="HR129" s="1565"/>
      <c r="HS129" s="1565"/>
      <c r="HT129" s="1565"/>
      <c r="HU129" s="1565"/>
      <c r="HV129" s="1565"/>
      <c r="HW129" s="1565"/>
      <c r="HX129" s="1565"/>
      <c r="HY129" s="1565"/>
      <c r="HZ129" s="1565"/>
      <c r="IA129" s="1565"/>
      <c r="IB129" s="1565"/>
      <c r="IC129" s="1565"/>
      <c r="ID129" s="1565"/>
      <c r="IE129" s="1565"/>
      <c r="IF129" s="1565"/>
      <c r="IG129" s="1565"/>
    </row>
    <row r="130" spans="1:241" s="1552" customFormat="1" ht="36" hidden="1" outlineLevel="2">
      <c r="A130" s="1549">
        <v>127</v>
      </c>
      <c r="B130" s="1556" t="s">
        <v>303</v>
      </c>
      <c r="C130" s="1578" t="s">
        <v>1974</v>
      </c>
      <c r="D130" s="1579" t="s">
        <v>1789</v>
      </c>
      <c r="E130" s="1580" t="s">
        <v>1804</v>
      </c>
      <c r="F130" s="1579" t="s">
        <v>1802</v>
      </c>
      <c r="G130" s="1502"/>
      <c r="H130" s="2070"/>
      <c r="I130" s="2070"/>
      <c r="J130" s="2098"/>
      <c r="K130" s="2098"/>
      <c r="L130" s="2070"/>
      <c r="M130" s="2070"/>
      <c r="N130" s="2099"/>
      <c r="O130" s="2070"/>
      <c r="P130" s="2098"/>
      <c r="Q130" s="2100"/>
      <c r="R130" s="2100"/>
      <c r="S130" s="2100"/>
      <c r="T130" s="2100"/>
      <c r="U130" s="2100"/>
      <c r="V130" s="2100"/>
      <c r="W130" s="2100"/>
      <c r="X130" s="2100"/>
      <c r="Y130" s="2100"/>
      <c r="Z130" s="2100"/>
      <c r="AA130" s="2100"/>
      <c r="AB130" s="2100"/>
      <c r="AC130" s="2100"/>
      <c r="AD130" s="2100"/>
      <c r="AE130" s="2100"/>
      <c r="AF130" s="2100"/>
      <c r="AG130" s="2100"/>
      <c r="AH130" s="2100"/>
      <c r="AI130" s="2100"/>
      <c r="AJ130" s="2100"/>
      <c r="AK130" s="2100"/>
      <c r="AL130" s="2100"/>
      <c r="AM130" s="2100"/>
      <c r="AN130" s="2100"/>
      <c r="AO130" s="2100"/>
      <c r="AP130" s="2100"/>
      <c r="AQ130" s="2100"/>
      <c r="AR130" s="2100"/>
      <c r="AS130" s="2100"/>
      <c r="AT130" s="2100"/>
      <c r="AU130" s="2100"/>
      <c r="AV130" s="2100"/>
      <c r="AW130" s="2100"/>
      <c r="AX130" s="2100"/>
      <c r="AY130" s="2101"/>
      <c r="AZ130" s="2101"/>
      <c r="BA130" s="2101"/>
      <c r="BB130" s="2101"/>
      <c r="BC130" s="2101"/>
      <c r="BD130" s="2101"/>
      <c r="BE130" s="2101"/>
      <c r="BF130" s="2101"/>
      <c r="BG130" s="2101"/>
      <c r="BH130" s="2101"/>
      <c r="BI130" s="2101"/>
      <c r="BJ130" s="2101"/>
      <c r="BK130" s="2101"/>
      <c r="BL130" s="2101"/>
      <c r="BM130" s="2101"/>
      <c r="BN130" s="2101"/>
      <c r="BO130" s="2101"/>
      <c r="BP130" s="2101"/>
      <c r="BQ130" s="2101"/>
      <c r="BR130" s="2101"/>
      <c r="BS130" s="2101"/>
      <c r="BT130" s="2101"/>
      <c r="BU130" s="2101"/>
      <c r="BV130" s="2101"/>
      <c r="BW130" s="2101"/>
      <c r="BX130" s="2101"/>
      <c r="BY130" s="2101"/>
      <c r="BZ130" s="2101"/>
      <c r="CA130" s="2101"/>
      <c r="CB130" s="2101"/>
      <c r="CC130" s="2101"/>
      <c r="CD130" s="2101"/>
      <c r="CE130" s="2102"/>
      <c r="CF130" s="2102"/>
      <c r="CG130" s="2102"/>
      <c r="CH130" s="2102"/>
      <c r="CI130" s="2102"/>
      <c r="CJ130" s="2102"/>
      <c r="CK130" s="2102"/>
      <c r="CL130" s="2102"/>
      <c r="CM130" s="2102"/>
      <c r="CN130" s="2102"/>
      <c r="CO130" s="2101"/>
      <c r="CP130" s="2101"/>
      <c r="CQ130" s="2102"/>
      <c r="CR130" s="2102"/>
      <c r="CS130" s="2101"/>
      <c r="CT130" s="2102"/>
      <c r="CU130" s="2101"/>
      <c r="CV130" s="2102"/>
      <c r="CW130" s="2101"/>
      <c r="CX130" s="2102"/>
      <c r="CY130" s="2101"/>
      <c r="CZ130" s="2101"/>
      <c r="DA130" s="2101"/>
      <c r="DB130" s="2101"/>
      <c r="DC130" s="2101"/>
      <c r="DD130" s="2101"/>
      <c r="DE130" s="2101"/>
      <c r="DF130" s="2101"/>
      <c r="DG130" s="2101"/>
      <c r="DH130" s="2102">
        <f>DH121</f>
        <v>27430</v>
      </c>
      <c r="DI130" s="2102" t="e">
        <f t="shared" ref="DI130:DT130" si="216">DI121</f>
        <v>#REF!</v>
      </c>
      <c r="DJ130" s="2102" t="e">
        <f t="shared" si="216"/>
        <v>#REF!</v>
      </c>
      <c r="DK130" s="2102" t="e">
        <f t="shared" si="216"/>
        <v>#REF!</v>
      </c>
      <c r="DL130" s="2102">
        <f t="shared" si="216"/>
        <v>31800</v>
      </c>
      <c r="DM130" s="2102">
        <f t="shared" si="216"/>
        <v>33755</v>
      </c>
      <c r="DN130" s="2102">
        <f t="shared" si="216"/>
        <v>31800</v>
      </c>
      <c r="DO130" s="2102">
        <f t="shared" si="216"/>
        <v>33755</v>
      </c>
      <c r="DP130" s="2102">
        <f t="shared" si="216"/>
        <v>48935</v>
      </c>
      <c r="DQ130" s="2102"/>
      <c r="DR130" s="2102" t="e">
        <f t="shared" si="216"/>
        <v>#REF!</v>
      </c>
      <c r="DS130" s="2102">
        <f t="shared" si="216"/>
        <v>31800</v>
      </c>
      <c r="DT130" s="2102" t="e">
        <f t="shared" si="216"/>
        <v>#REF!</v>
      </c>
      <c r="DU130" s="2101"/>
      <c r="DV130" s="2101"/>
      <c r="DW130" s="2101"/>
      <c r="DX130" s="2101"/>
      <c r="DY130" s="2101"/>
      <c r="DZ130" s="2101"/>
      <c r="EA130" s="2101"/>
      <c r="EB130" s="2101"/>
      <c r="EC130" s="2101"/>
      <c r="ED130" s="2101"/>
      <c r="EE130" s="2101"/>
      <c r="EF130" s="2101"/>
      <c r="EG130" s="2101"/>
      <c r="EH130" s="2101"/>
      <c r="EI130" s="2101"/>
      <c r="EJ130" s="2101"/>
      <c r="EK130" s="2101"/>
      <c r="EL130" s="2101"/>
      <c r="EM130" s="2101"/>
      <c r="EN130" s="2101"/>
      <c r="EO130" s="2101"/>
      <c r="EP130" s="2101"/>
      <c r="EQ130" s="2101"/>
      <c r="ER130" s="2101"/>
      <c r="ES130" s="2101"/>
      <c r="ET130" s="2101"/>
      <c r="EU130" s="2101"/>
      <c r="EV130" s="2101"/>
      <c r="EW130" s="2101"/>
      <c r="EX130" s="2101"/>
      <c r="EY130" s="2101"/>
      <c r="EZ130" s="2101"/>
      <c r="FA130" s="2101"/>
      <c r="FB130" s="2101"/>
      <c r="FC130" s="2101"/>
      <c r="FD130" s="2101"/>
      <c r="FE130" s="2104"/>
      <c r="FF130" s="2082"/>
      <c r="FG130" s="2082"/>
      <c r="FH130" s="2082"/>
      <c r="FI130" s="2082"/>
      <c r="FJ130" s="2082"/>
      <c r="FK130" s="1565"/>
      <c r="FL130" s="1565"/>
      <c r="FM130" s="1565"/>
      <c r="FN130" s="1565"/>
      <c r="FO130" s="1565"/>
      <c r="FP130" s="1565"/>
      <c r="FQ130" s="1565"/>
      <c r="FR130" s="1565"/>
      <c r="FS130" s="1565"/>
      <c r="FT130" s="1565"/>
      <c r="FU130" s="1565"/>
      <c r="FV130" s="1565"/>
      <c r="FW130" s="1565"/>
      <c r="FX130" s="1565"/>
      <c r="FY130" s="1565"/>
      <c r="FZ130" s="1565"/>
      <c r="GA130" s="1565"/>
      <c r="GB130" s="1565"/>
      <c r="GC130" s="1565"/>
      <c r="GD130" s="1565"/>
      <c r="GE130" s="1565"/>
      <c r="GF130" s="1565"/>
      <c r="GG130" s="1565"/>
      <c r="GH130" s="1565"/>
      <c r="GI130" s="1565"/>
      <c r="GJ130" s="1565"/>
      <c r="GK130" s="1565"/>
      <c r="GL130" s="1565"/>
      <c r="GM130" s="1565"/>
      <c r="GN130" s="1565"/>
      <c r="GO130" s="1565"/>
      <c r="GP130" s="1565"/>
      <c r="GQ130" s="1565"/>
      <c r="GR130" s="1565"/>
      <c r="GS130" s="1565"/>
      <c r="GT130" s="1565"/>
      <c r="GU130" s="1565"/>
      <c r="GV130" s="1565"/>
      <c r="GW130" s="1565"/>
      <c r="GX130" s="1565"/>
      <c r="GY130" s="1565"/>
      <c r="GZ130" s="1565"/>
      <c r="HA130" s="1565"/>
      <c r="HB130" s="1565"/>
      <c r="HC130" s="1565"/>
      <c r="HD130" s="1565"/>
      <c r="HE130" s="1565"/>
      <c r="HF130" s="1565"/>
      <c r="HG130" s="1565"/>
      <c r="HH130" s="1565"/>
      <c r="HI130" s="1565"/>
      <c r="HJ130" s="1565"/>
      <c r="HK130" s="1565"/>
      <c r="HL130" s="1565"/>
      <c r="HM130" s="1565"/>
      <c r="HN130" s="1565"/>
      <c r="HO130" s="1565"/>
      <c r="HP130" s="1565"/>
      <c r="HQ130" s="1565"/>
      <c r="HR130" s="1565"/>
      <c r="HS130" s="1565"/>
      <c r="HT130" s="1565"/>
      <c r="HU130" s="1565"/>
      <c r="HV130" s="1565"/>
      <c r="HW130" s="1565"/>
      <c r="HX130" s="1565"/>
      <c r="HY130" s="1565"/>
      <c r="HZ130" s="1565"/>
      <c r="IA130" s="1565"/>
      <c r="IB130" s="1565"/>
      <c r="IC130" s="1565"/>
      <c r="ID130" s="1565"/>
      <c r="IE130" s="1565"/>
      <c r="IF130" s="1565"/>
      <c r="IG130" s="1565"/>
    </row>
    <row r="131" spans="1:241" s="1552" customFormat="1" ht="36" hidden="1" outlineLevel="2">
      <c r="A131" s="1552">
        <v>128</v>
      </c>
      <c r="B131" s="1556" t="s">
        <v>303</v>
      </c>
      <c r="C131" s="1578" t="s">
        <v>1974</v>
      </c>
      <c r="D131" s="1579" t="s">
        <v>1789</v>
      </c>
      <c r="E131" s="1580" t="s">
        <v>1804</v>
      </c>
      <c r="F131" s="1579" t="s">
        <v>1803</v>
      </c>
      <c r="G131" s="1502"/>
      <c r="H131" s="2070"/>
      <c r="I131" s="2070"/>
      <c r="J131" s="2098"/>
      <c r="K131" s="2098"/>
      <c r="L131" s="2070"/>
      <c r="M131" s="2070"/>
      <c r="N131" s="2099"/>
      <c r="O131" s="2070"/>
      <c r="P131" s="2098"/>
      <c r="Q131" s="2100"/>
      <c r="R131" s="2100"/>
      <c r="S131" s="2100"/>
      <c r="T131" s="2100"/>
      <c r="U131" s="2100"/>
      <c r="V131" s="2100"/>
      <c r="W131" s="2100"/>
      <c r="X131" s="2100"/>
      <c r="Y131" s="2100"/>
      <c r="Z131" s="2100"/>
      <c r="AA131" s="2100"/>
      <c r="AB131" s="2100"/>
      <c r="AC131" s="2100"/>
      <c r="AD131" s="2100"/>
      <c r="AE131" s="2100"/>
      <c r="AF131" s="2100"/>
      <c r="AG131" s="2100"/>
      <c r="AH131" s="2100"/>
      <c r="AI131" s="2100"/>
      <c r="AJ131" s="2100"/>
      <c r="AK131" s="2100"/>
      <c r="AL131" s="2100"/>
      <c r="AM131" s="2100"/>
      <c r="AN131" s="2100"/>
      <c r="AO131" s="2100"/>
      <c r="AP131" s="2100"/>
      <c r="AQ131" s="2100"/>
      <c r="AR131" s="2100"/>
      <c r="AS131" s="2100"/>
      <c r="AT131" s="2100"/>
      <c r="AU131" s="2100"/>
      <c r="AV131" s="2100"/>
      <c r="AW131" s="2100"/>
      <c r="AX131" s="2100"/>
      <c r="AY131" s="2100"/>
      <c r="AZ131" s="2100"/>
      <c r="BA131" s="2100"/>
      <c r="BB131" s="2101"/>
      <c r="BC131" s="2101"/>
      <c r="BD131" s="2101"/>
      <c r="BE131" s="2101"/>
      <c r="BF131" s="2101"/>
      <c r="BG131" s="2101"/>
      <c r="BH131" s="2101"/>
      <c r="BI131" s="2101"/>
      <c r="BJ131" s="2101"/>
      <c r="BK131" s="2101"/>
      <c r="BL131" s="2101"/>
      <c r="BM131" s="2101"/>
      <c r="BN131" s="2101"/>
      <c r="BO131" s="2101"/>
      <c r="BP131" s="2101"/>
      <c r="BQ131" s="2101"/>
      <c r="BR131" s="2101"/>
      <c r="BS131" s="2101"/>
      <c r="BT131" s="2101"/>
      <c r="BU131" s="2101"/>
      <c r="BV131" s="2101"/>
      <c r="BW131" s="2101"/>
      <c r="BX131" s="2101"/>
      <c r="BY131" s="2101"/>
      <c r="BZ131" s="2101"/>
      <c r="CA131" s="2101"/>
      <c r="CB131" s="2101"/>
      <c r="CC131" s="2101"/>
      <c r="CD131" s="2101"/>
      <c r="CE131" s="2102"/>
      <c r="CF131" s="2102"/>
      <c r="CG131" s="2102"/>
      <c r="CH131" s="2102"/>
      <c r="CI131" s="2102"/>
      <c r="CJ131" s="2102"/>
      <c r="CK131" s="2102"/>
      <c r="CL131" s="2102"/>
      <c r="CM131" s="2102"/>
      <c r="CN131" s="2102"/>
      <c r="CO131" s="2101"/>
      <c r="CP131" s="2101"/>
      <c r="CQ131" s="2102"/>
      <c r="CR131" s="2102"/>
      <c r="CS131" s="2101"/>
      <c r="CT131" s="2102"/>
      <c r="CU131" s="2101"/>
      <c r="CV131" s="2102"/>
      <c r="CW131" s="2101"/>
      <c r="CX131" s="2102"/>
      <c r="CY131" s="2101"/>
      <c r="CZ131" s="2101"/>
      <c r="DA131" s="2101"/>
      <c r="DB131" s="2101"/>
      <c r="DC131" s="2101"/>
      <c r="DD131" s="2101"/>
      <c r="DE131" s="2101"/>
      <c r="DF131" s="2101"/>
      <c r="DG131" s="2101"/>
      <c r="DH131" s="2102">
        <f>DH123</f>
        <v>27430</v>
      </c>
      <c r="DI131" s="2102" t="e">
        <f t="shared" ref="DI131:DT131" si="217">DI123</f>
        <v>#REF!</v>
      </c>
      <c r="DJ131" s="2102" t="e">
        <f t="shared" si="217"/>
        <v>#REF!</v>
      </c>
      <c r="DK131" s="2102" t="e">
        <f t="shared" si="217"/>
        <v>#REF!</v>
      </c>
      <c r="DL131" s="2102">
        <f t="shared" si="217"/>
        <v>31800</v>
      </c>
      <c r="DM131" s="2102">
        <f t="shared" si="217"/>
        <v>33755</v>
      </c>
      <c r="DN131" s="2102">
        <f t="shared" si="217"/>
        <v>31800</v>
      </c>
      <c r="DO131" s="2102">
        <f t="shared" si="217"/>
        <v>33755</v>
      </c>
      <c r="DP131" s="2102">
        <f t="shared" si="217"/>
        <v>48935</v>
      </c>
      <c r="DQ131" s="2102"/>
      <c r="DR131" s="2102" t="e">
        <f t="shared" si="217"/>
        <v>#REF!</v>
      </c>
      <c r="DS131" s="2102">
        <f t="shared" si="217"/>
        <v>31800</v>
      </c>
      <c r="DT131" s="2102" t="e">
        <f t="shared" si="217"/>
        <v>#REF!</v>
      </c>
      <c r="DU131" s="2101"/>
      <c r="DV131" s="2101"/>
      <c r="DW131" s="2101"/>
      <c r="DX131" s="2101"/>
      <c r="DY131" s="2101"/>
      <c r="DZ131" s="2101"/>
      <c r="EA131" s="2101"/>
      <c r="EB131" s="2101"/>
      <c r="EC131" s="2101"/>
      <c r="ED131" s="2101"/>
      <c r="EE131" s="2101"/>
      <c r="EF131" s="2101"/>
      <c r="EG131" s="2101"/>
      <c r="EH131" s="2101"/>
      <c r="EI131" s="2101"/>
      <c r="EJ131" s="2101"/>
      <c r="EK131" s="2101"/>
      <c r="EL131" s="2101"/>
      <c r="EM131" s="2101"/>
      <c r="EN131" s="2101"/>
      <c r="EO131" s="2101"/>
      <c r="EP131" s="2101"/>
      <c r="EQ131" s="2101"/>
      <c r="ER131" s="2101"/>
      <c r="ES131" s="2101"/>
      <c r="ET131" s="2101"/>
      <c r="EU131" s="2101"/>
      <c r="EV131" s="2101"/>
      <c r="EW131" s="2101"/>
      <c r="EX131" s="2101"/>
      <c r="EY131" s="2101"/>
      <c r="EZ131" s="2101"/>
      <c r="FA131" s="2101"/>
      <c r="FB131" s="2101"/>
      <c r="FC131" s="2101"/>
      <c r="FD131" s="2101"/>
      <c r="FE131" s="2104"/>
      <c r="FF131" s="2082"/>
      <c r="FG131" s="2082"/>
      <c r="FH131" s="2082"/>
      <c r="FI131" s="2082"/>
      <c r="FJ131" s="2082"/>
      <c r="FK131" s="1565"/>
      <c r="FL131" s="1565"/>
      <c r="FM131" s="1565"/>
      <c r="FN131" s="1565"/>
      <c r="FO131" s="1565"/>
      <c r="FP131" s="1565"/>
      <c r="FQ131" s="1565"/>
      <c r="FR131" s="1565"/>
      <c r="FS131" s="1565"/>
      <c r="FT131" s="1565"/>
      <c r="FU131" s="1565"/>
      <c r="FV131" s="1565"/>
      <c r="FW131" s="1565"/>
      <c r="FX131" s="1565"/>
      <c r="FY131" s="1565"/>
      <c r="FZ131" s="1565"/>
      <c r="GA131" s="1565"/>
      <c r="GB131" s="1565"/>
      <c r="GC131" s="1565"/>
      <c r="GD131" s="1565"/>
      <c r="GE131" s="1565"/>
      <c r="GF131" s="1565"/>
      <c r="GG131" s="1565"/>
      <c r="GH131" s="1565"/>
      <c r="GI131" s="1565"/>
      <c r="GJ131" s="1565"/>
      <c r="GK131" s="1565"/>
      <c r="GL131" s="1565"/>
      <c r="GM131" s="1565"/>
      <c r="GN131" s="1565"/>
      <c r="GO131" s="1565"/>
      <c r="GP131" s="1565"/>
      <c r="GQ131" s="1565"/>
      <c r="GR131" s="1565"/>
      <c r="GS131" s="1565"/>
      <c r="GT131" s="1565"/>
      <c r="GU131" s="1565"/>
      <c r="GV131" s="1565"/>
      <c r="GW131" s="1565"/>
      <c r="GX131" s="1565"/>
      <c r="GY131" s="1565"/>
      <c r="GZ131" s="1565"/>
      <c r="HA131" s="1565"/>
      <c r="HB131" s="1565"/>
      <c r="HC131" s="1565"/>
      <c r="HD131" s="1565"/>
      <c r="HE131" s="1565"/>
      <c r="HF131" s="1565"/>
      <c r="HG131" s="1565"/>
      <c r="HH131" s="1565"/>
      <c r="HI131" s="1565"/>
      <c r="HJ131" s="1565"/>
      <c r="HK131" s="1565"/>
      <c r="HL131" s="1565"/>
      <c r="HM131" s="1565"/>
      <c r="HN131" s="1565"/>
      <c r="HO131" s="1565"/>
      <c r="HP131" s="1565"/>
      <c r="HQ131" s="1565"/>
      <c r="HR131" s="1565"/>
      <c r="HS131" s="1565"/>
      <c r="HT131" s="1565"/>
      <c r="HU131" s="1565"/>
      <c r="HV131" s="1565"/>
      <c r="HW131" s="1565"/>
      <c r="HX131" s="1565"/>
      <c r="HY131" s="1565"/>
      <c r="HZ131" s="1565"/>
      <c r="IA131" s="1565"/>
      <c r="IB131" s="1565"/>
      <c r="IC131" s="1565"/>
      <c r="ID131" s="1565"/>
      <c r="IE131" s="1565"/>
      <c r="IF131" s="1565"/>
      <c r="IG131" s="1565"/>
    </row>
    <row r="132" spans="1:241" s="1583" customFormat="1" ht="15.75" hidden="1" outlineLevel="1" collapsed="1">
      <c r="A132" s="1549">
        <v>129</v>
      </c>
      <c r="B132" s="1559" t="s">
        <v>303</v>
      </c>
      <c r="C132" s="1560" t="s">
        <v>1972</v>
      </c>
      <c r="D132" s="1560" t="s">
        <v>1805</v>
      </c>
      <c r="E132" s="1562"/>
      <c r="F132" s="1562" t="s">
        <v>166</v>
      </c>
      <c r="G132" s="1581" t="s">
        <v>1976</v>
      </c>
      <c r="H132" s="2105">
        <f>'Classic Rimini '!G6</f>
        <v>29950</v>
      </c>
      <c r="I132" s="2105">
        <f>'Classic Rimini '!H6</f>
        <v>30550</v>
      </c>
      <c r="J132" s="2105">
        <f>'Classic Rimini '!I6</f>
        <v>31050</v>
      </c>
      <c r="K132" s="2105">
        <f>'Classic Rimini '!K6</f>
        <v>0</v>
      </c>
      <c r="L132" s="2105" t="e">
        <f>'Classic Rimini '!#REF!</f>
        <v>#REF!</v>
      </c>
      <c r="M132" s="2105" t="e">
        <f>'Classic Rimini '!#REF!</f>
        <v>#REF!</v>
      </c>
      <c r="N132" s="2105" t="e">
        <f>'Classic Rimini '!#REF!</f>
        <v>#REF!</v>
      </c>
      <c r="O132" s="2105">
        <f>'Classic Rimini '!H6+'Classic Rimini '!H21</f>
        <v>32750</v>
      </c>
      <c r="P132" s="2105">
        <f>'Classic Rimini '!I6+'Classic Rimini '!I21</f>
        <v>33250</v>
      </c>
      <c r="Q132" s="2105"/>
      <c r="R132" s="2105"/>
      <c r="S132" s="2105"/>
      <c r="T132" s="2105"/>
      <c r="U132" s="2105"/>
      <c r="V132" s="2105"/>
      <c r="W132" s="2105"/>
      <c r="X132" s="2105"/>
      <c r="Y132" s="2105"/>
      <c r="Z132" s="2105"/>
      <c r="AA132" s="2105"/>
      <c r="AB132" s="2105"/>
      <c r="AC132" s="2105"/>
      <c r="AD132" s="2105"/>
      <c r="AE132" s="2105"/>
      <c r="AF132" s="2105"/>
      <c r="AG132" s="2105"/>
      <c r="AH132" s="2105"/>
      <c r="AI132" s="2105"/>
      <c r="AJ132" s="2105"/>
      <c r="AK132" s="2105"/>
      <c r="AL132" s="2105"/>
      <c r="AM132" s="2105"/>
      <c r="AN132" s="2105"/>
      <c r="AO132" s="2105"/>
      <c r="AP132" s="2105"/>
      <c r="AQ132" s="2105"/>
      <c r="AR132" s="2105"/>
      <c r="AS132" s="2105"/>
      <c r="AT132" s="2105"/>
      <c r="AU132" s="2105"/>
      <c r="AV132" s="2105"/>
      <c r="AW132" s="2105"/>
      <c r="AX132" s="2105"/>
      <c r="AY132" s="2105"/>
      <c r="AZ132" s="2105"/>
      <c r="BA132" s="2105"/>
      <c r="BB132" s="2106"/>
      <c r="BC132" s="2106"/>
      <c r="BD132" s="2106"/>
      <c r="BE132" s="2106"/>
      <c r="BF132" s="2106"/>
      <c r="BG132" s="2106"/>
      <c r="BH132" s="2106"/>
      <c r="BI132" s="2106"/>
      <c r="BJ132" s="2106"/>
      <c r="BK132" s="2106"/>
      <c r="BL132" s="2106"/>
      <c r="BM132" s="2106"/>
      <c r="BN132" s="2106"/>
      <c r="BO132" s="2106"/>
      <c r="BP132" s="2106"/>
      <c r="BQ132" s="2106"/>
      <c r="BR132" s="2106"/>
      <c r="BS132" s="2106"/>
      <c r="BT132" s="2106"/>
      <c r="BU132" s="2106"/>
      <c r="BV132" s="2106"/>
      <c r="BW132" s="2106"/>
      <c r="BX132" s="2106"/>
      <c r="BY132" s="2106"/>
      <c r="BZ132" s="2106"/>
      <c r="CA132" s="2106"/>
      <c r="CB132" s="2106"/>
      <c r="CC132" s="2106"/>
      <c r="CD132" s="2106"/>
      <c r="CE132" s="2107" t="e">
        <f>Neoclassic!#REF!</f>
        <v>#REF!</v>
      </c>
      <c r="CF132" s="2107" t="e">
        <f>Neoclassic!#REF!</f>
        <v>#REF!</v>
      </c>
      <c r="CG132" s="2107">
        <f>Neoclassic!H6:H6</f>
        <v>22000</v>
      </c>
      <c r="CH132" s="2107">
        <f>Neoclassic!L6:L6</f>
        <v>22000</v>
      </c>
      <c r="CI132" s="2107">
        <f>Neoclassic!N6:N6</f>
        <v>0</v>
      </c>
      <c r="CJ132" s="2107"/>
      <c r="CK132" s="2107" t="e">
        <f>#REF!</f>
        <v>#REF!</v>
      </c>
      <c r="CL132" s="2107">
        <f>Neoclassic!O6</f>
        <v>27200</v>
      </c>
      <c r="CM132" s="2107" t="e">
        <f>#REF!</f>
        <v>#REF!</v>
      </c>
      <c r="CN132" s="2107"/>
      <c r="CO132" s="2107">
        <f>Standart!G10</f>
        <v>19900</v>
      </c>
      <c r="CP132" s="2107">
        <f>Standart!H10</f>
        <v>25100</v>
      </c>
      <c r="CQ132" s="2107"/>
      <c r="CR132" s="2107"/>
      <c r="CS132" s="2107">
        <f>Standart!I10</f>
        <v>23500</v>
      </c>
      <c r="CT132" s="2107"/>
      <c r="CU132" s="2107">
        <f>Standart!J10</f>
        <v>23000</v>
      </c>
      <c r="CV132" s="2107" t="e">
        <f>'Standart Strada2'!H15</f>
        <v>#REF!</v>
      </c>
      <c r="CW132" s="2107" t="e">
        <f>'Standart Strada2'!J15</f>
        <v>#REF!</v>
      </c>
      <c r="CX132" s="2107" t="e">
        <f>'Standart Strada2'!L15</f>
        <v>#REF!</v>
      </c>
      <c r="CY132" s="2107" t="e">
        <f>'Standart Strada2'!N15</f>
        <v>#REF!</v>
      </c>
      <c r="CZ132" s="2107" t="e">
        <f>'Standart Vario'!G15</f>
        <v>#REF!</v>
      </c>
      <c r="DA132" s="2107" t="e">
        <f>'Standart Vario'!H15</f>
        <v>#REF!</v>
      </c>
      <c r="DB132" s="2107">
        <f>Standart!K10</f>
        <v>26650</v>
      </c>
      <c r="DC132" s="2107" t="e">
        <f>'Standart Vario'!J15</f>
        <v>#REF!</v>
      </c>
      <c r="DD132" s="2107" t="e">
        <f>'Standart Vario'!K15</f>
        <v>#REF!</v>
      </c>
      <c r="DE132" s="2107" t="e">
        <f>'Standart Vario'!L15</f>
        <v>#REF!</v>
      </c>
      <c r="DF132" s="2107" t="e">
        <f>'Standart Vario'!M15</f>
        <v>#REF!</v>
      </c>
      <c r="DG132" s="2107" t="e">
        <f>'Standart Vario'!N15</f>
        <v>#REF!</v>
      </c>
      <c r="DH132" s="2107"/>
      <c r="DI132" s="2107"/>
      <c r="DJ132" s="2107"/>
      <c r="DK132" s="2107"/>
      <c r="DL132" s="2107"/>
      <c r="DM132" s="2107"/>
      <c r="DN132" s="2107"/>
      <c r="DO132" s="2107"/>
      <c r="DP132" s="2107"/>
      <c r="DQ132" s="2107"/>
      <c r="DR132" s="2107"/>
      <c r="DS132" s="2107">
        <v>19050</v>
      </c>
      <c r="DT132" s="2107"/>
      <c r="DU132" s="2106"/>
      <c r="DV132" s="2106"/>
      <c r="DW132" s="2106"/>
      <c r="DX132" s="2106"/>
      <c r="DY132" s="2106"/>
      <c r="DZ132" s="2106"/>
      <c r="EA132" s="2106"/>
      <c r="EB132" s="2106"/>
      <c r="EC132" s="2106"/>
      <c r="ED132" s="2106"/>
      <c r="EE132" s="2106"/>
      <c r="EF132" s="2106"/>
      <c r="EG132" s="2106"/>
      <c r="EH132" s="2106"/>
      <c r="EI132" s="2106"/>
      <c r="EJ132" s="2106"/>
      <c r="EK132" s="2106"/>
      <c r="EL132" s="2106"/>
      <c r="EM132" s="2106"/>
      <c r="EN132" s="2106"/>
      <c r="EO132" s="2106"/>
      <c r="EP132" s="2106"/>
      <c r="EQ132" s="2106"/>
      <c r="ER132" s="2106"/>
      <c r="ES132" s="2106"/>
      <c r="ET132" s="2106"/>
      <c r="EU132" s="2106"/>
      <c r="EV132" s="2106"/>
      <c r="EW132" s="2106"/>
      <c r="EX132" s="2106"/>
      <c r="EY132" s="2106"/>
      <c r="EZ132" s="2106"/>
      <c r="FA132" s="2106"/>
      <c r="FB132" s="2106"/>
      <c r="FC132" s="2106"/>
      <c r="FD132" s="2106"/>
      <c r="FE132" s="2108"/>
      <c r="FF132" s="2109"/>
      <c r="FG132" s="2109"/>
      <c r="FH132" s="2109"/>
      <c r="FI132" s="2109"/>
      <c r="FJ132" s="2109"/>
      <c r="FK132" s="1582"/>
      <c r="FL132" s="1582"/>
      <c r="FM132" s="1582"/>
      <c r="FN132" s="1582"/>
      <c r="FO132" s="1582"/>
      <c r="FP132" s="1582"/>
      <c r="FQ132" s="1582"/>
      <c r="FR132" s="1582"/>
      <c r="FS132" s="1582"/>
      <c r="FT132" s="1582"/>
      <c r="FU132" s="1582"/>
      <c r="FV132" s="1582"/>
      <c r="FW132" s="1582"/>
      <c r="FX132" s="1582"/>
      <c r="FY132" s="1582"/>
      <c r="FZ132" s="1582"/>
      <c r="GA132" s="1582"/>
      <c r="GB132" s="1582"/>
      <c r="GC132" s="1582"/>
      <c r="GD132" s="1582"/>
      <c r="GE132" s="1582"/>
      <c r="GF132" s="1582"/>
      <c r="GG132" s="1582"/>
      <c r="GH132" s="1582"/>
      <c r="GI132" s="1582"/>
      <c r="GJ132" s="1582"/>
      <c r="GK132" s="1582"/>
      <c r="GL132" s="1582"/>
      <c r="GM132" s="1582"/>
      <c r="GN132" s="1582"/>
      <c r="GO132" s="1582"/>
      <c r="GP132" s="1582"/>
      <c r="GQ132" s="1582"/>
      <c r="GR132" s="1582"/>
      <c r="GS132" s="1582"/>
      <c r="GT132" s="1582"/>
      <c r="GU132" s="1582"/>
      <c r="GV132" s="1582"/>
      <c r="GW132" s="1582"/>
      <c r="GX132" s="1582"/>
      <c r="GY132" s="1582"/>
      <c r="GZ132" s="1582"/>
      <c r="HA132" s="1582"/>
      <c r="HB132" s="1582"/>
      <c r="HC132" s="1582"/>
      <c r="HD132" s="1582"/>
      <c r="HE132" s="1582"/>
      <c r="HF132" s="1582"/>
      <c r="HG132" s="1582"/>
      <c r="HH132" s="1582"/>
      <c r="HI132" s="1582"/>
      <c r="HJ132" s="1582"/>
      <c r="HK132" s="1582"/>
      <c r="HL132" s="1582"/>
      <c r="HM132" s="1582"/>
      <c r="HN132" s="1582"/>
      <c r="HO132" s="1582"/>
      <c r="HP132" s="1582"/>
      <c r="HQ132" s="1582"/>
      <c r="HR132" s="1582"/>
      <c r="HS132" s="1582"/>
      <c r="HT132" s="1582"/>
      <c r="HU132" s="1582"/>
      <c r="HV132" s="1582"/>
      <c r="HW132" s="1582"/>
      <c r="HX132" s="1582"/>
      <c r="HY132" s="1582"/>
      <c r="HZ132" s="1582"/>
      <c r="IA132" s="1582"/>
      <c r="IB132" s="1582"/>
      <c r="IC132" s="1582"/>
      <c r="ID132" s="1582"/>
      <c r="IE132" s="1582"/>
      <c r="IF132" s="1582"/>
      <c r="IG132" s="1582"/>
    </row>
    <row r="133" spans="1:241" s="1552" customFormat="1" ht="15.75" hidden="1" outlineLevel="2">
      <c r="A133" s="1552">
        <v>130</v>
      </c>
      <c r="B133" s="1567" t="s">
        <v>303</v>
      </c>
      <c r="C133" s="1568" t="s">
        <v>1972</v>
      </c>
      <c r="D133" s="1569" t="s">
        <v>1805</v>
      </c>
      <c r="E133" s="1570"/>
      <c r="F133" s="1571" t="s">
        <v>1782</v>
      </c>
      <c r="G133" s="1572" t="s">
        <v>1977</v>
      </c>
      <c r="H133" s="2073">
        <f>H132</f>
        <v>29950</v>
      </c>
      <c r="I133" s="2088">
        <f t="shared" ref="I133:P133" si="218">I132</f>
        <v>30550</v>
      </c>
      <c r="J133" s="2088">
        <f t="shared" si="218"/>
        <v>31050</v>
      </c>
      <c r="K133" s="2088">
        <f t="shared" si="218"/>
        <v>0</v>
      </c>
      <c r="L133" s="2088" t="e">
        <f t="shared" si="218"/>
        <v>#REF!</v>
      </c>
      <c r="M133" s="2088" t="e">
        <f t="shared" si="218"/>
        <v>#REF!</v>
      </c>
      <c r="N133" s="2088" t="e">
        <f t="shared" si="218"/>
        <v>#REF!</v>
      </c>
      <c r="O133" s="2088">
        <f t="shared" si="218"/>
        <v>32750</v>
      </c>
      <c r="P133" s="2088">
        <f t="shared" si="218"/>
        <v>33250</v>
      </c>
      <c r="Q133" s="2087"/>
      <c r="R133" s="2087"/>
      <c r="S133" s="2087"/>
      <c r="T133" s="2087"/>
      <c r="U133" s="2087"/>
      <c r="V133" s="2087"/>
      <c r="W133" s="2087"/>
      <c r="X133" s="2087"/>
      <c r="Y133" s="2087"/>
      <c r="Z133" s="2087"/>
      <c r="AA133" s="2087"/>
      <c r="AB133" s="2087"/>
      <c r="AC133" s="2087"/>
      <c r="AD133" s="2087"/>
      <c r="AE133" s="2087"/>
      <c r="AF133" s="2087"/>
      <c r="AG133" s="2087"/>
      <c r="AH133" s="2087"/>
      <c r="AI133" s="2087"/>
      <c r="AJ133" s="2087"/>
      <c r="AK133" s="2087"/>
      <c r="AL133" s="2087"/>
      <c r="AM133" s="2087"/>
      <c r="AN133" s="2087"/>
      <c r="AO133" s="2087"/>
      <c r="AP133" s="2087"/>
      <c r="AQ133" s="2087"/>
      <c r="AR133" s="2087"/>
      <c r="AS133" s="2087"/>
      <c r="AT133" s="2087"/>
      <c r="AU133" s="2087"/>
      <c r="AV133" s="2087"/>
      <c r="AW133" s="2087"/>
      <c r="AX133" s="2087"/>
      <c r="AY133" s="2087"/>
      <c r="AZ133" s="2087"/>
      <c r="BA133" s="2087"/>
      <c r="BB133" s="2087"/>
      <c r="BC133" s="2087"/>
      <c r="BD133" s="2087"/>
      <c r="BE133" s="2087"/>
      <c r="BF133" s="2087"/>
      <c r="BG133" s="2087"/>
      <c r="BH133" s="2087"/>
      <c r="BI133" s="2087"/>
      <c r="BJ133" s="2087"/>
      <c r="BK133" s="2087"/>
      <c r="BL133" s="2087"/>
      <c r="BM133" s="2087"/>
      <c r="BN133" s="2087"/>
      <c r="BO133" s="2087"/>
      <c r="BP133" s="2087"/>
      <c r="BQ133" s="2087"/>
      <c r="BR133" s="2087"/>
      <c r="BS133" s="2087"/>
      <c r="BT133" s="2087"/>
      <c r="BU133" s="2087"/>
      <c r="BV133" s="2087"/>
      <c r="BW133" s="2087"/>
      <c r="BX133" s="2087"/>
      <c r="BY133" s="2087"/>
      <c r="BZ133" s="2087"/>
      <c r="CA133" s="2087"/>
      <c r="CB133" s="2087"/>
      <c r="CC133" s="2087"/>
      <c r="CD133" s="2087"/>
      <c r="CE133" s="2088" t="e">
        <f t="shared" ref="CE133:DG133" si="219">CE132</f>
        <v>#REF!</v>
      </c>
      <c r="CF133" s="2088" t="e">
        <f t="shared" si="219"/>
        <v>#REF!</v>
      </c>
      <c r="CG133" s="2088">
        <f t="shared" si="219"/>
        <v>22000</v>
      </c>
      <c r="CH133" s="2088">
        <f t="shared" si="219"/>
        <v>22000</v>
      </c>
      <c r="CI133" s="2088">
        <f t="shared" si="219"/>
        <v>0</v>
      </c>
      <c r="CJ133" s="2088">
        <f t="shared" si="219"/>
        <v>0</v>
      </c>
      <c r="CK133" s="2088" t="e">
        <f t="shared" si="219"/>
        <v>#REF!</v>
      </c>
      <c r="CL133" s="2088">
        <f t="shared" si="219"/>
        <v>27200</v>
      </c>
      <c r="CM133" s="2088" t="e">
        <f t="shared" si="219"/>
        <v>#REF!</v>
      </c>
      <c r="CN133" s="2088"/>
      <c r="CO133" s="2088">
        <f t="shared" si="219"/>
        <v>19900</v>
      </c>
      <c r="CP133" s="2088">
        <f t="shared" si="219"/>
        <v>25100</v>
      </c>
      <c r="CQ133" s="2088"/>
      <c r="CR133" s="2088"/>
      <c r="CS133" s="2088">
        <f t="shared" si="219"/>
        <v>23500</v>
      </c>
      <c r="CT133" s="2088"/>
      <c r="CU133" s="2088">
        <f t="shared" si="219"/>
        <v>23000</v>
      </c>
      <c r="CV133" s="2088" t="e">
        <f t="shared" si="219"/>
        <v>#REF!</v>
      </c>
      <c r="CW133" s="2088" t="e">
        <f t="shared" si="219"/>
        <v>#REF!</v>
      </c>
      <c r="CX133" s="2088" t="e">
        <f t="shared" si="219"/>
        <v>#REF!</v>
      </c>
      <c r="CY133" s="2088" t="e">
        <f t="shared" si="219"/>
        <v>#REF!</v>
      </c>
      <c r="CZ133" s="2088" t="e">
        <f t="shared" si="219"/>
        <v>#REF!</v>
      </c>
      <c r="DA133" s="2088" t="e">
        <f t="shared" si="219"/>
        <v>#REF!</v>
      </c>
      <c r="DB133" s="2088">
        <f t="shared" si="219"/>
        <v>26650</v>
      </c>
      <c r="DC133" s="2088" t="e">
        <f t="shared" si="219"/>
        <v>#REF!</v>
      </c>
      <c r="DD133" s="2088" t="e">
        <f t="shared" si="219"/>
        <v>#REF!</v>
      </c>
      <c r="DE133" s="2088" t="e">
        <f t="shared" si="219"/>
        <v>#REF!</v>
      </c>
      <c r="DF133" s="2088" t="e">
        <f t="shared" si="219"/>
        <v>#REF!</v>
      </c>
      <c r="DG133" s="2088" t="e">
        <f t="shared" si="219"/>
        <v>#REF!</v>
      </c>
      <c r="DH133" s="2088"/>
      <c r="DI133" s="2088"/>
      <c r="DJ133" s="2088"/>
      <c r="DK133" s="2088"/>
      <c r="DL133" s="2088"/>
      <c r="DM133" s="2088"/>
      <c r="DN133" s="2088"/>
      <c r="DO133" s="2088"/>
      <c r="DP133" s="2088"/>
      <c r="DQ133" s="2088"/>
      <c r="DR133" s="2088"/>
      <c r="DS133" s="2088">
        <v>19050</v>
      </c>
      <c r="DT133" s="2088"/>
      <c r="DU133" s="2087"/>
      <c r="DV133" s="2087"/>
      <c r="DW133" s="2087"/>
      <c r="DX133" s="2087"/>
      <c r="DY133" s="2087"/>
      <c r="DZ133" s="2087"/>
      <c r="EA133" s="2087"/>
      <c r="EB133" s="2087"/>
      <c r="EC133" s="2087"/>
      <c r="ED133" s="2087"/>
      <c r="EE133" s="2087"/>
      <c r="EF133" s="2087"/>
      <c r="EG133" s="2087"/>
      <c r="EH133" s="2087"/>
      <c r="EI133" s="2087"/>
      <c r="EJ133" s="2087"/>
      <c r="EK133" s="2087"/>
      <c r="EL133" s="2087"/>
      <c r="EM133" s="2087"/>
      <c r="EN133" s="2087"/>
      <c r="EO133" s="2087"/>
      <c r="EP133" s="2087"/>
      <c r="EQ133" s="2087"/>
      <c r="ER133" s="2087"/>
      <c r="ES133" s="2087"/>
      <c r="ET133" s="2087"/>
      <c r="EU133" s="2087"/>
      <c r="EV133" s="2087"/>
      <c r="EW133" s="2087"/>
      <c r="EX133" s="2087"/>
      <c r="EY133" s="2087"/>
      <c r="EZ133" s="2087"/>
      <c r="FA133" s="2087"/>
      <c r="FB133" s="2087"/>
      <c r="FC133" s="2087"/>
      <c r="FD133" s="2087"/>
      <c r="FE133" s="2081"/>
      <c r="FF133" s="2082"/>
      <c r="FG133" s="2082"/>
      <c r="FH133" s="2082"/>
      <c r="FI133" s="2082"/>
      <c r="FJ133" s="2082"/>
      <c r="FK133" s="1565"/>
      <c r="FL133" s="1565"/>
      <c r="FM133" s="1565"/>
      <c r="FN133" s="1565"/>
      <c r="FO133" s="1565"/>
      <c r="FP133" s="1565"/>
      <c r="FQ133" s="1565"/>
      <c r="FR133" s="1565"/>
      <c r="FS133" s="1565"/>
      <c r="FT133" s="1565"/>
      <c r="FU133" s="1565"/>
      <c r="FV133" s="1565"/>
      <c r="FW133" s="1565"/>
      <c r="FX133" s="1565"/>
      <c r="FY133" s="1565"/>
      <c r="FZ133" s="1565"/>
      <c r="GA133" s="1565"/>
      <c r="GB133" s="1565"/>
      <c r="GC133" s="1565"/>
      <c r="GD133" s="1565"/>
      <c r="GE133" s="1565"/>
      <c r="GF133" s="1565"/>
      <c r="GG133" s="1565"/>
      <c r="GH133" s="1565"/>
      <c r="GI133" s="1565"/>
      <c r="GJ133" s="1565"/>
      <c r="GK133" s="1565"/>
      <c r="GL133" s="1565"/>
      <c r="GM133" s="1565"/>
      <c r="GN133" s="1565"/>
      <c r="GO133" s="1565"/>
      <c r="GP133" s="1565"/>
      <c r="GQ133" s="1565"/>
      <c r="GR133" s="1565"/>
      <c r="GS133" s="1565"/>
      <c r="GT133" s="1565"/>
      <c r="GU133" s="1565"/>
      <c r="GV133" s="1565"/>
      <c r="GW133" s="1565"/>
      <c r="GX133" s="1565"/>
      <c r="GY133" s="1565"/>
      <c r="GZ133" s="1565"/>
      <c r="HA133" s="1565"/>
      <c r="HB133" s="1565"/>
      <c r="HC133" s="1565"/>
      <c r="HD133" s="1565"/>
      <c r="HE133" s="1565"/>
      <c r="HF133" s="1565"/>
      <c r="HG133" s="1565"/>
      <c r="HH133" s="1565"/>
      <c r="HI133" s="1565"/>
      <c r="HJ133" s="1565"/>
      <c r="HK133" s="1565"/>
      <c r="HL133" s="1565"/>
      <c r="HM133" s="1565"/>
      <c r="HN133" s="1565"/>
      <c r="HO133" s="1565"/>
      <c r="HP133" s="1565"/>
      <c r="HQ133" s="1565"/>
      <c r="HR133" s="1565"/>
      <c r="HS133" s="1565"/>
      <c r="HT133" s="1565"/>
      <c r="HU133" s="1565"/>
      <c r="HV133" s="1565"/>
      <c r="HW133" s="1565"/>
      <c r="HX133" s="1565"/>
      <c r="HY133" s="1565"/>
      <c r="HZ133" s="1565"/>
      <c r="IA133" s="1565"/>
      <c r="IB133" s="1565"/>
      <c r="IC133" s="1565"/>
      <c r="ID133" s="1565"/>
      <c r="IE133" s="1565"/>
      <c r="IF133" s="1565"/>
      <c r="IG133" s="1565"/>
    </row>
    <row r="134" spans="1:241" s="1552" customFormat="1" ht="15.75" hidden="1" outlineLevel="2">
      <c r="A134" s="1549">
        <v>131</v>
      </c>
      <c r="B134" s="1567" t="s">
        <v>303</v>
      </c>
      <c r="C134" s="1568" t="s">
        <v>1972</v>
      </c>
      <c r="D134" s="1569" t="s">
        <v>1805</v>
      </c>
      <c r="E134" s="1570"/>
      <c r="F134" s="1571" t="s">
        <v>238</v>
      </c>
      <c r="G134" s="1572" t="s">
        <v>1978</v>
      </c>
      <c r="H134" s="2073">
        <f>H132</f>
        <v>29950</v>
      </c>
      <c r="I134" s="2088">
        <f t="shared" ref="I134:P134" si="220">I132</f>
        <v>30550</v>
      </c>
      <c r="J134" s="2088">
        <f t="shared" si="220"/>
        <v>31050</v>
      </c>
      <c r="K134" s="2088">
        <f t="shared" si="220"/>
        <v>0</v>
      </c>
      <c r="L134" s="2088" t="e">
        <f t="shared" si="220"/>
        <v>#REF!</v>
      </c>
      <c r="M134" s="2088" t="e">
        <f t="shared" si="220"/>
        <v>#REF!</v>
      </c>
      <c r="N134" s="2088" t="e">
        <f t="shared" si="220"/>
        <v>#REF!</v>
      </c>
      <c r="O134" s="2088">
        <f t="shared" si="220"/>
        <v>32750</v>
      </c>
      <c r="P134" s="2088">
        <f t="shared" si="220"/>
        <v>33250</v>
      </c>
      <c r="Q134" s="2087"/>
      <c r="R134" s="2087"/>
      <c r="S134" s="2087"/>
      <c r="T134" s="2087"/>
      <c r="U134" s="2087"/>
      <c r="V134" s="2087"/>
      <c r="W134" s="2087"/>
      <c r="X134" s="2087"/>
      <c r="Y134" s="2087"/>
      <c r="Z134" s="2087"/>
      <c r="AA134" s="2087"/>
      <c r="AB134" s="2087"/>
      <c r="AC134" s="2087"/>
      <c r="AD134" s="2087"/>
      <c r="AE134" s="2087"/>
      <c r="AF134" s="2087"/>
      <c r="AG134" s="2087"/>
      <c r="AH134" s="2087"/>
      <c r="AI134" s="2087"/>
      <c r="AJ134" s="2087"/>
      <c r="AK134" s="2087"/>
      <c r="AL134" s="2087"/>
      <c r="AM134" s="2087"/>
      <c r="AN134" s="2087"/>
      <c r="AO134" s="2087"/>
      <c r="AP134" s="2087"/>
      <c r="AQ134" s="2087"/>
      <c r="AR134" s="2087"/>
      <c r="AS134" s="2087"/>
      <c r="AT134" s="2087"/>
      <c r="AU134" s="2087"/>
      <c r="AV134" s="2087"/>
      <c r="AW134" s="2087"/>
      <c r="AX134" s="2087"/>
      <c r="AY134" s="2087"/>
      <c r="AZ134" s="2087"/>
      <c r="BA134" s="2087"/>
      <c r="BB134" s="2087"/>
      <c r="BC134" s="2087"/>
      <c r="BD134" s="2087"/>
      <c r="BE134" s="2087"/>
      <c r="BF134" s="2087"/>
      <c r="BG134" s="2087"/>
      <c r="BH134" s="2087"/>
      <c r="BI134" s="2087"/>
      <c r="BJ134" s="2087"/>
      <c r="BK134" s="2087"/>
      <c r="BL134" s="2087"/>
      <c r="BM134" s="2087"/>
      <c r="BN134" s="2087"/>
      <c r="BO134" s="2087"/>
      <c r="BP134" s="2087"/>
      <c r="BQ134" s="2087"/>
      <c r="BR134" s="2087"/>
      <c r="BS134" s="2087"/>
      <c r="BT134" s="2087"/>
      <c r="BU134" s="2087"/>
      <c r="BV134" s="2087"/>
      <c r="BW134" s="2087"/>
      <c r="BX134" s="2087"/>
      <c r="BY134" s="2087"/>
      <c r="BZ134" s="2087"/>
      <c r="CA134" s="2087"/>
      <c r="CB134" s="2087"/>
      <c r="CC134" s="2087"/>
      <c r="CD134" s="2087"/>
      <c r="CE134" s="2088" t="e">
        <f t="shared" ref="CE134:DG134" si="221">CE132</f>
        <v>#REF!</v>
      </c>
      <c r="CF134" s="2088" t="e">
        <f t="shared" si="221"/>
        <v>#REF!</v>
      </c>
      <c r="CG134" s="2088">
        <f t="shared" si="221"/>
        <v>22000</v>
      </c>
      <c r="CH134" s="2088">
        <f t="shared" si="221"/>
        <v>22000</v>
      </c>
      <c r="CI134" s="2088">
        <f t="shared" si="221"/>
        <v>0</v>
      </c>
      <c r="CJ134" s="2088">
        <f t="shared" si="221"/>
        <v>0</v>
      </c>
      <c r="CK134" s="2088" t="e">
        <f t="shared" si="221"/>
        <v>#REF!</v>
      </c>
      <c r="CL134" s="2088">
        <f t="shared" si="221"/>
        <v>27200</v>
      </c>
      <c r="CM134" s="2088" t="e">
        <f t="shared" si="221"/>
        <v>#REF!</v>
      </c>
      <c r="CN134" s="2088"/>
      <c r="CO134" s="2088">
        <f t="shared" si="221"/>
        <v>19900</v>
      </c>
      <c r="CP134" s="2088">
        <f t="shared" si="221"/>
        <v>25100</v>
      </c>
      <c r="CQ134" s="2088"/>
      <c r="CR134" s="2088"/>
      <c r="CS134" s="2088">
        <f t="shared" si="221"/>
        <v>23500</v>
      </c>
      <c r="CT134" s="2088"/>
      <c r="CU134" s="2088">
        <f t="shared" si="221"/>
        <v>23000</v>
      </c>
      <c r="CV134" s="2088" t="e">
        <f t="shared" si="221"/>
        <v>#REF!</v>
      </c>
      <c r="CW134" s="2088" t="e">
        <f t="shared" si="221"/>
        <v>#REF!</v>
      </c>
      <c r="CX134" s="2088" t="e">
        <f t="shared" si="221"/>
        <v>#REF!</v>
      </c>
      <c r="CY134" s="2088" t="e">
        <f t="shared" si="221"/>
        <v>#REF!</v>
      </c>
      <c r="CZ134" s="2088" t="e">
        <f t="shared" si="221"/>
        <v>#REF!</v>
      </c>
      <c r="DA134" s="2088" t="e">
        <f t="shared" si="221"/>
        <v>#REF!</v>
      </c>
      <c r="DB134" s="2088">
        <f t="shared" si="221"/>
        <v>26650</v>
      </c>
      <c r="DC134" s="2088" t="e">
        <f t="shared" si="221"/>
        <v>#REF!</v>
      </c>
      <c r="DD134" s="2088" t="e">
        <f t="shared" si="221"/>
        <v>#REF!</v>
      </c>
      <c r="DE134" s="2088" t="e">
        <f t="shared" si="221"/>
        <v>#REF!</v>
      </c>
      <c r="DF134" s="2088" t="e">
        <f t="shared" si="221"/>
        <v>#REF!</v>
      </c>
      <c r="DG134" s="2088" t="e">
        <f t="shared" si="221"/>
        <v>#REF!</v>
      </c>
      <c r="DH134" s="2088"/>
      <c r="DI134" s="2088"/>
      <c r="DJ134" s="2088"/>
      <c r="DK134" s="2088"/>
      <c r="DL134" s="2088"/>
      <c r="DM134" s="2088"/>
      <c r="DN134" s="2088"/>
      <c r="DO134" s="2088"/>
      <c r="DP134" s="2088"/>
      <c r="DQ134" s="2088"/>
      <c r="DR134" s="2088"/>
      <c r="DS134" s="2088">
        <v>19050</v>
      </c>
      <c r="DT134" s="2088"/>
      <c r="DU134" s="2087"/>
      <c r="DV134" s="2087"/>
      <c r="DW134" s="2087"/>
      <c r="DX134" s="2087"/>
      <c r="DY134" s="2087"/>
      <c r="DZ134" s="2087"/>
      <c r="EA134" s="2087"/>
      <c r="EB134" s="2087"/>
      <c r="EC134" s="2087"/>
      <c r="ED134" s="2087"/>
      <c r="EE134" s="2087"/>
      <c r="EF134" s="2087"/>
      <c r="EG134" s="2087"/>
      <c r="EH134" s="2087"/>
      <c r="EI134" s="2087"/>
      <c r="EJ134" s="2087"/>
      <c r="EK134" s="2087"/>
      <c r="EL134" s="2087"/>
      <c r="EM134" s="2087"/>
      <c r="EN134" s="2087"/>
      <c r="EO134" s="2087"/>
      <c r="EP134" s="2087"/>
      <c r="EQ134" s="2087"/>
      <c r="ER134" s="2087"/>
      <c r="ES134" s="2087"/>
      <c r="ET134" s="2087"/>
      <c r="EU134" s="2087"/>
      <c r="EV134" s="2087"/>
      <c r="EW134" s="2087"/>
      <c r="EX134" s="2087"/>
      <c r="EY134" s="2087"/>
      <c r="EZ134" s="2087"/>
      <c r="FA134" s="2087"/>
      <c r="FB134" s="2087"/>
      <c r="FC134" s="2087"/>
      <c r="FD134" s="2087"/>
      <c r="FE134" s="2081"/>
      <c r="FF134" s="2082"/>
      <c r="FG134" s="2082"/>
      <c r="FH134" s="2082"/>
      <c r="FI134" s="2082"/>
      <c r="FJ134" s="2082"/>
      <c r="FK134" s="1565"/>
      <c r="FL134" s="1565"/>
      <c r="FM134" s="1565"/>
      <c r="FN134" s="1565"/>
      <c r="FO134" s="1565"/>
      <c r="FP134" s="1565"/>
      <c r="FQ134" s="1565"/>
      <c r="FR134" s="1565"/>
      <c r="FS134" s="1565"/>
      <c r="FT134" s="1565"/>
      <c r="FU134" s="1565"/>
      <c r="FV134" s="1565"/>
      <c r="FW134" s="1565"/>
      <c r="FX134" s="1565"/>
      <c r="FY134" s="1565"/>
      <c r="FZ134" s="1565"/>
      <c r="GA134" s="1565"/>
      <c r="GB134" s="1565"/>
      <c r="GC134" s="1565"/>
      <c r="GD134" s="1565"/>
      <c r="GE134" s="1565"/>
      <c r="GF134" s="1565"/>
      <c r="GG134" s="1565"/>
      <c r="GH134" s="1565"/>
      <c r="GI134" s="1565"/>
      <c r="GJ134" s="1565"/>
      <c r="GK134" s="1565"/>
      <c r="GL134" s="1565"/>
      <c r="GM134" s="1565"/>
      <c r="GN134" s="1565"/>
      <c r="GO134" s="1565"/>
      <c r="GP134" s="1565"/>
      <c r="GQ134" s="1565"/>
      <c r="GR134" s="1565"/>
      <c r="GS134" s="1565"/>
      <c r="GT134" s="1565"/>
      <c r="GU134" s="1565"/>
      <c r="GV134" s="1565"/>
      <c r="GW134" s="1565"/>
      <c r="GX134" s="1565"/>
      <c r="GY134" s="1565"/>
      <c r="GZ134" s="1565"/>
      <c r="HA134" s="1565"/>
      <c r="HB134" s="1565"/>
      <c r="HC134" s="1565"/>
      <c r="HD134" s="1565"/>
      <c r="HE134" s="1565"/>
      <c r="HF134" s="1565"/>
      <c r="HG134" s="1565"/>
      <c r="HH134" s="1565"/>
      <c r="HI134" s="1565"/>
      <c r="HJ134" s="1565"/>
      <c r="HK134" s="1565"/>
      <c r="HL134" s="1565"/>
      <c r="HM134" s="1565"/>
      <c r="HN134" s="1565"/>
      <c r="HO134" s="1565"/>
      <c r="HP134" s="1565"/>
      <c r="HQ134" s="1565"/>
      <c r="HR134" s="1565"/>
      <c r="HS134" s="1565"/>
      <c r="HT134" s="1565"/>
      <c r="HU134" s="1565"/>
      <c r="HV134" s="1565"/>
      <c r="HW134" s="1565"/>
      <c r="HX134" s="1565"/>
      <c r="HY134" s="1565"/>
      <c r="HZ134" s="1565"/>
      <c r="IA134" s="1565"/>
      <c r="IB134" s="1565"/>
      <c r="IC134" s="1565"/>
      <c r="ID134" s="1565"/>
      <c r="IE134" s="1565"/>
      <c r="IF134" s="1565"/>
      <c r="IG134" s="1565"/>
    </row>
    <row r="135" spans="1:241" s="1552" customFormat="1" ht="15.75" hidden="1" outlineLevel="2">
      <c r="A135" s="1552">
        <v>132</v>
      </c>
      <c r="B135" s="1567" t="s">
        <v>303</v>
      </c>
      <c r="C135" s="1568" t="s">
        <v>1972</v>
      </c>
      <c r="D135" s="1569" t="s">
        <v>1805</v>
      </c>
      <c r="E135" s="1570"/>
      <c r="F135" s="1571" t="s">
        <v>1783</v>
      </c>
      <c r="G135" s="1572" t="s">
        <v>1979</v>
      </c>
      <c r="H135" s="2073">
        <f>H132</f>
        <v>29950</v>
      </c>
      <c r="I135" s="2088">
        <f t="shared" ref="I135:P135" si="222">I132</f>
        <v>30550</v>
      </c>
      <c r="J135" s="2088">
        <f t="shared" si="222"/>
        <v>31050</v>
      </c>
      <c r="K135" s="2088">
        <f t="shared" si="222"/>
        <v>0</v>
      </c>
      <c r="L135" s="2088" t="e">
        <f t="shared" si="222"/>
        <v>#REF!</v>
      </c>
      <c r="M135" s="2088" t="e">
        <f t="shared" si="222"/>
        <v>#REF!</v>
      </c>
      <c r="N135" s="2088" t="e">
        <f t="shared" si="222"/>
        <v>#REF!</v>
      </c>
      <c r="O135" s="2088">
        <f t="shared" si="222"/>
        <v>32750</v>
      </c>
      <c r="P135" s="2088">
        <f t="shared" si="222"/>
        <v>33250</v>
      </c>
      <c r="Q135" s="2087"/>
      <c r="R135" s="2087"/>
      <c r="S135" s="2087"/>
      <c r="T135" s="2087"/>
      <c r="U135" s="2087"/>
      <c r="V135" s="2087"/>
      <c r="W135" s="2087"/>
      <c r="X135" s="2087"/>
      <c r="Y135" s="2087"/>
      <c r="Z135" s="2087"/>
      <c r="AA135" s="2087"/>
      <c r="AB135" s="2087"/>
      <c r="AC135" s="2087"/>
      <c r="AD135" s="2087"/>
      <c r="AE135" s="2087"/>
      <c r="AF135" s="2087"/>
      <c r="AG135" s="2087"/>
      <c r="AH135" s="2087"/>
      <c r="AI135" s="2087"/>
      <c r="AJ135" s="2087"/>
      <c r="AK135" s="2087"/>
      <c r="AL135" s="2087"/>
      <c r="AM135" s="2087"/>
      <c r="AN135" s="2087"/>
      <c r="AO135" s="2087"/>
      <c r="AP135" s="2087"/>
      <c r="AQ135" s="2087"/>
      <c r="AR135" s="2087"/>
      <c r="AS135" s="2087"/>
      <c r="AT135" s="2087"/>
      <c r="AU135" s="2087"/>
      <c r="AV135" s="2087"/>
      <c r="AW135" s="2087"/>
      <c r="AX135" s="2087"/>
      <c r="AY135" s="2087"/>
      <c r="AZ135" s="2087"/>
      <c r="BA135" s="2087"/>
      <c r="BB135" s="2087"/>
      <c r="BC135" s="2087"/>
      <c r="BD135" s="2087"/>
      <c r="BE135" s="2087"/>
      <c r="BF135" s="2087"/>
      <c r="BG135" s="2087"/>
      <c r="BH135" s="2087"/>
      <c r="BI135" s="2087"/>
      <c r="BJ135" s="2087"/>
      <c r="BK135" s="2087"/>
      <c r="BL135" s="2087"/>
      <c r="BM135" s="2087"/>
      <c r="BN135" s="2087"/>
      <c r="BO135" s="2087"/>
      <c r="BP135" s="2087"/>
      <c r="BQ135" s="2087"/>
      <c r="BR135" s="2087"/>
      <c r="BS135" s="2087"/>
      <c r="BT135" s="2087"/>
      <c r="BU135" s="2087"/>
      <c r="BV135" s="2087"/>
      <c r="BW135" s="2087"/>
      <c r="BX135" s="2087"/>
      <c r="BY135" s="2087"/>
      <c r="BZ135" s="2087"/>
      <c r="CA135" s="2087"/>
      <c r="CB135" s="2087"/>
      <c r="CC135" s="2087"/>
      <c r="CD135" s="2087"/>
      <c r="CE135" s="2088" t="e">
        <f t="shared" ref="CE135:DG135" si="223">CE132</f>
        <v>#REF!</v>
      </c>
      <c r="CF135" s="2088" t="e">
        <f t="shared" si="223"/>
        <v>#REF!</v>
      </c>
      <c r="CG135" s="2088">
        <f t="shared" si="223"/>
        <v>22000</v>
      </c>
      <c r="CH135" s="2088">
        <f t="shared" si="223"/>
        <v>22000</v>
      </c>
      <c r="CI135" s="2088">
        <f t="shared" si="223"/>
        <v>0</v>
      </c>
      <c r="CJ135" s="2088">
        <f t="shared" si="223"/>
        <v>0</v>
      </c>
      <c r="CK135" s="2088" t="e">
        <f t="shared" si="223"/>
        <v>#REF!</v>
      </c>
      <c r="CL135" s="2088">
        <f t="shared" si="223"/>
        <v>27200</v>
      </c>
      <c r="CM135" s="2088" t="e">
        <f t="shared" si="223"/>
        <v>#REF!</v>
      </c>
      <c r="CN135" s="2088"/>
      <c r="CO135" s="2088">
        <f t="shared" si="223"/>
        <v>19900</v>
      </c>
      <c r="CP135" s="2088">
        <f t="shared" si="223"/>
        <v>25100</v>
      </c>
      <c r="CQ135" s="2088"/>
      <c r="CR135" s="2088"/>
      <c r="CS135" s="2088">
        <f t="shared" si="223"/>
        <v>23500</v>
      </c>
      <c r="CT135" s="2088"/>
      <c r="CU135" s="2088">
        <f t="shared" si="223"/>
        <v>23000</v>
      </c>
      <c r="CV135" s="2088" t="e">
        <f t="shared" si="223"/>
        <v>#REF!</v>
      </c>
      <c r="CW135" s="2088" t="e">
        <f t="shared" si="223"/>
        <v>#REF!</v>
      </c>
      <c r="CX135" s="2088" t="e">
        <f t="shared" si="223"/>
        <v>#REF!</v>
      </c>
      <c r="CY135" s="2088" t="e">
        <f t="shared" si="223"/>
        <v>#REF!</v>
      </c>
      <c r="CZ135" s="2088" t="e">
        <f t="shared" si="223"/>
        <v>#REF!</v>
      </c>
      <c r="DA135" s="2088" t="e">
        <f t="shared" si="223"/>
        <v>#REF!</v>
      </c>
      <c r="DB135" s="2088">
        <f t="shared" si="223"/>
        <v>26650</v>
      </c>
      <c r="DC135" s="2088" t="e">
        <f t="shared" si="223"/>
        <v>#REF!</v>
      </c>
      <c r="DD135" s="2088" t="e">
        <f t="shared" si="223"/>
        <v>#REF!</v>
      </c>
      <c r="DE135" s="2088" t="e">
        <f t="shared" si="223"/>
        <v>#REF!</v>
      </c>
      <c r="DF135" s="2088" t="e">
        <f t="shared" si="223"/>
        <v>#REF!</v>
      </c>
      <c r="DG135" s="2088" t="e">
        <f t="shared" si="223"/>
        <v>#REF!</v>
      </c>
      <c r="DH135" s="2088"/>
      <c r="DI135" s="2088"/>
      <c r="DJ135" s="2088"/>
      <c r="DK135" s="2088"/>
      <c r="DL135" s="2088"/>
      <c r="DM135" s="2088"/>
      <c r="DN135" s="2088"/>
      <c r="DO135" s="2088"/>
      <c r="DP135" s="2088"/>
      <c r="DQ135" s="2088"/>
      <c r="DR135" s="2088"/>
      <c r="DS135" s="2088">
        <v>19050</v>
      </c>
      <c r="DT135" s="2088"/>
      <c r="DU135" s="2087"/>
      <c r="DV135" s="2087"/>
      <c r="DW135" s="2087"/>
      <c r="DX135" s="2087"/>
      <c r="DY135" s="2087"/>
      <c r="DZ135" s="2087"/>
      <c r="EA135" s="2087"/>
      <c r="EB135" s="2087"/>
      <c r="EC135" s="2087"/>
      <c r="ED135" s="2087"/>
      <c r="EE135" s="2087"/>
      <c r="EF135" s="2087"/>
      <c r="EG135" s="2087"/>
      <c r="EH135" s="2087"/>
      <c r="EI135" s="2087"/>
      <c r="EJ135" s="2087"/>
      <c r="EK135" s="2087"/>
      <c r="EL135" s="2087"/>
      <c r="EM135" s="2087"/>
      <c r="EN135" s="2087"/>
      <c r="EO135" s="2087"/>
      <c r="EP135" s="2087"/>
      <c r="EQ135" s="2087"/>
      <c r="ER135" s="2087"/>
      <c r="ES135" s="2087"/>
      <c r="ET135" s="2087"/>
      <c r="EU135" s="2087"/>
      <c r="EV135" s="2087"/>
      <c r="EW135" s="2087"/>
      <c r="EX135" s="2087"/>
      <c r="EY135" s="2087"/>
      <c r="EZ135" s="2087"/>
      <c r="FA135" s="2087"/>
      <c r="FB135" s="2087"/>
      <c r="FC135" s="2087"/>
      <c r="FD135" s="2087"/>
      <c r="FE135" s="2081"/>
      <c r="FF135" s="2082"/>
      <c r="FG135" s="2082"/>
      <c r="FH135" s="2082"/>
      <c r="FI135" s="2082"/>
      <c r="FJ135" s="2082"/>
      <c r="FK135" s="1565"/>
      <c r="FL135" s="1565"/>
      <c r="FM135" s="1565"/>
      <c r="FN135" s="1565"/>
      <c r="FO135" s="1565"/>
      <c r="FP135" s="1565"/>
      <c r="FQ135" s="1565"/>
      <c r="FR135" s="1565"/>
      <c r="FS135" s="1565"/>
      <c r="FT135" s="1565"/>
      <c r="FU135" s="1565"/>
      <c r="FV135" s="1565"/>
      <c r="FW135" s="1565"/>
      <c r="FX135" s="1565"/>
      <c r="FY135" s="1565"/>
      <c r="FZ135" s="1565"/>
      <c r="GA135" s="1565"/>
      <c r="GB135" s="1565"/>
      <c r="GC135" s="1565"/>
      <c r="GD135" s="1565"/>
      <c r="GE135" s="1565"/>
      <c r="GF135" s="1565"/>
      <c r="GG135" s="1565"/>
      <c r="GH135" s="1565"/>
      <c r="GI135" s="1565"/>
      <c r="GJ135" s="1565"/>
      <c r="GK135" s="1565"/>
      <c r="GL135" s="1565"/>
      <c r="GM135" s="1565"/>
      <c r="GN135" s="1565"/>
      <c r="GO135" s="1565"/>
      <c r="GP135" s="1565"/>
      <c r="GQ135" s="1565"/>
      <c r="GR135" s="1565"/>
      <c r="GS135" s="1565"/>
      <c r="GT135" s="1565"/>
      <c r="GU135" s="1565"/>
      <c r="GV135" s="1565"/>
      <c r="GW135" s="1565"/>
      <c r="GX135" s="1565"/>
      <c r="GY135" s="1565"/>
      <c r="GZ135" s="1565"/>
      <c r="HA135" s="1565"/>
      <c r="HB135" s="1565"/>
      <c r="HC135" s="1565"/>
      <c r="HD135" s="1565"/>
      <c r="HE135" s="1565"/>
      <c r="HF135" s="1565"/>
      <c r="HG135" s="1565"/>
      <c r="HH135" s="1565"/>
      <c r="HI135" s="1565"/>
      <c r="HJ135" s="1565"/>
      <c r="HK135" s="1565"/>
      <c r="HL135" s="1565"/>
      <c r="HM135" s="1565"/>
      <c r="HN135" s="1565"/>
      <c r="HO135" s="1565"/>
      <c r="HP135" s="1565"/>
      <c r="HQ135" s="1565"/>
      <c r="HR135" s="1565"/>
      <c r="HS135" s="1565"/>
      <c r="HT135" s="1565"/>
      <c r="HU135" s="1565"/>
      <c r="HV135" s="1565"/>
      <c r="HW135" s="1565"/>
      <c r="HX135" s="1565"/>
      <c r="HY135" s="1565"/>
      <c r="HZ135" s="1565"/>
      <c r="IA135" s="1565"/>
      <c r="IB135" s="1565"/>
      <c r="IC135" s="1565"/>
      <c r="ID135" s="1565"/>
      <c r="IE135" s="1565"/>
      <c r="IF135" s="1565"/>
      <c r="IG135" s="1565"/>
    </row>
    <row r="136" spans="1:241" s="1552" customFormat="1" ht="15.75" hidden="1" outlineLevel="2">
      <c r="A136" s="1549">
        <v>133</v>
      </c>
      <c r="B136" s="1567" t="s">
        <v>303</v>
      </c>
      <c r="C136" s="1568" t="s">
        <v>1972</v>
      </c>
      <c r="D136" s="1569" t="s">
        <v>1805</v>
      </c>
      <c r="E136" s="1570"/>
      <c r="F136" s="1571" t="s">
        <v>1784</v>
      </c>
      <c r="G136" s="1572" t="s">
        <v>1980</v>
      </c>
      <c r="H136" s="2073">
        <f>H132</f>
        <v>29950</v>
      </c>
      <c r="I136" s="2088">
        <f t="shared" ref="I136:P136" si="224">I132</f>
        <v>30550</v>
      </c>
      <c r="J136" s="2088">
        <f t="shared" si="224"/>
        <v>31050</v>
      </c>
      <c r="K136" s="2088">
        <f t="shared" si="224"/>
        <v>0</v>
      </c>
      <c r="L136" s="2088" t="e">
        <f t="shared" si="224"/>
        <v>#REF!</v>
      </c>
      <c r="M136" s="2088" t="e">
        <f t="shared" si="224"/>
        <v>#REF!</v>
      </c>
      <c r="N136" s="2088" t="e">
        <f t="shared" si="224"/>
        <v>#REF!</v>
      </c>
      <c r="O136" s="2088">
        <f t="shared" si="224"/>
        <v>32750</v>
      </c>
      <c r="P136" s="2088">
        <f t="shared" si="224"/>
        <v>33250</v>
      </c>
      <c r="Q136" s="2086"/>
      <c r="R136" s="2086"/>
      <c r="S136" s="2086"/>
      <c r="T136" s="2086"/>
      <c r="U136" s="2086"/>
      <c r="V136" s="2086"/>
      <c r="W136" s="2086"/>
      <c r="X136" s="2086"/>
      <c r="Y136" s="2086"/>
      <c r="Z136" s="2086"/>
      <c r="AA136" s="2086"/>
      <c r="AB136" s="2086"/>
      <c r="AC136" s="2086"/>
      <c r="AD136" s="2086"/>
      <c r="AE136" s="2086"/>
      <c r="AF136" s="2086"/>
      <c r="AG136" s="2086"/>
      <c r="AH136" s="2086"/>
      <c r="AI136" s="2086"/>
      <c r="AJ136" s="2086"/>
      <c r="AK136" s="2086"/>
      <c r="AL136" s="2086"/>
      <c r="AM136" s="2086"/>
      <c r="AN136" s="2086"/>
      <c r="AO136" s="2086"/>
      <c r="AP136" s="2086"/>
      <c r="AQ136" s="2086"/>
      <c r="AR136" s="2086"/>
      <c r="AS136" s="2086"/>
      <c r="AT136" s="2086"/>
      <c r="AU136" s="2086"/>
      <c r="AV136" s="2086"/>
      <c r="AW136" s="2086"/>
      <c r="AX136" s="2086"/>
      <c r="AY136" s="2087"/>
      <c r="AZ136" s="2087"/>
      <c r="BA136" s="2087"/>
      <c r="BB136" s="2087"/>
      <c r="BC136" s="2087"/>
      <c r="BD136" s="2087"/>
      <c r="BE136" s="2087"/>
      <c r="BF136" s="2087"/>
      <c r="BG136" s="2087"/>
      <c r="BH136" s="2087"/>
      <c r="BI136" s="2087"/>
      <c r="BJ136" s="2087"/>
      <c r="BK136" s="2087"/>
      <c r="BL136" s="2087"/>
      <c r="BM136" s="2087"/>
      <c r="BN136" s="2087"/>
      <c r="BO136" s="2087"/>
      <c r="BP136" s="2087"/>
      <c r="BQ136" s="2087"/>
      <c r="BR136" s="2087"/>
      <c r="BS136" s="2087"/>
      <c r="BT136" s="2087"/>
      <c r="BU136" s="2087"/>
      <c r="BV136" s="2087"/>
      <c r="BW136" s="2087"/>
      <c r="BX136" s="2087"/>
      <c r="BY136" s="2087"/>
      <c r="BZ136" s="2087"/>
      <c r="CA136" s="2087"/>
      <c r="CB136" s="2087"/>
      <c r="CC136" s="2087"/>
      <c r="CD136" s="2087"/>
      <c r="CE136" s="2088" t="e">
        <f t="shared" ref="CE136:DG136" si="225">CE132</f>
        <v>#REF!</v>
      </c>
      <c r="CF136" s="2088" t="e">
        <f t="shared" si="225"/>
        <v>#REF!</v>
      </c>
      <c r="CG136" s="2088">
        <f t="shared" si="225"/>
        <v>22000</v>
      </c>
      <c r="CH136" s="2088">
        <f t="shared" si="225"/>
        <v>22000</v>
      </c>
      <c r="CI136" s="2088">
        <f t="shared" si="225"/>
        <v>0</v>
      </c>
      <c r="CJ136" s="2088">
        <f t="shared" si="225"/>
        <v>0</v>
      </c>
      <c r="CK136" s="2088" t="e">
        <f t="shared" si="225"/>
        <v>#REF!</v>
      </c>
      <c r="CL136" s="2088">
        <f t="shared" si="225"/>
        <v>27200</v>
      </c>
      <c r="CM136" s="2088" t="e">
        <f t="shared" si="225"/>
        <v>#REF!</v>
      </c>
      <c r="CN136" s="2088"/>
      <c r="CO136" s="2088">
        <f t="shared" si="225"/>
        <v>19900</v>
      </c>
      <c r="CP136" s="2088">
        <f t="shared" si="225"/>
        <v>25100</v>
      </c>
      <c r="CQ136" s="2088"/>
      <c r="CR136" s="2088"/>
      <c r="CS136" s="2088">
        <f t="shared" si="225"/>
        <v>23500</v>
      </c>
      <c r="CT136" s="2088"/>
      <c r="CU136" s="2088">
        <f t="shared" si="225"/>
        <v>23000</v>
      </c>
      <c r="CV136" s="2088" t="e">
        <f t="shared" si="225"/>
        <v>#REF!</v>
      </c>
      <c r="CW136" s="2088" t="e">
        <f t="shared" si="225"/>
        <v>#REF!</v>
      </c>
      <c r="CX136" s="2088" t="e">
        <f t="shared" si="225"/>
        <v>#REF!</v>
      </c>
      <c r="CY136" s="2088" t="e">
        <f t="shared" si="225"/>
        <v>#REF!</v>
      </c>
      <c r="CZ136" s="2088" t="e">
        <f t="shared" si="225"/>
        <v>#REF!</v>
      </c>
      <c r="DA136" s="2088" t="e">
        <f t="shared" si="225"/>
        <v>#REF!</v>
      </c>
      <c r="DB136" s="2088">
        <f t="shared" si="225"/>
        <v>26650</v>
      </c>
      <c r="DC136" s="2088" t="e">
        <f t="shared" si="225"/>
        <v>#REF!</v>
      </c>
      <c r="DD136" s="2088" t="e">
        <f t="shared" si="225"/>
        <v>#REF!</v>
      </c>
      <c r="DE136" s="2088" t="e">
        <f t="shared" si="225"/>
        <v>#REF!</v>
      </c>
      <c r="DF136" s="2088" t="e">
        <f t="shared" si="225"/>
        <v>#REF!</v>
      </c>
      <c r="DG136" s="2088" t="e">
        <f t="shared" si="225"/>
        <v>#REF!</v>
      </c>
      <c r="DH136" s="2088"/>
      <c r="DI136" s="2088"/>
      <c r="DJ136" s="2088"/>
      <c r="DK136" s="2088"/>
      <c r="DL136" s="2088"/>
      <c r="DM136" s="2088"/>
      <c r="DN136" s="2088"/>
      <c r="DO136" s="2088"/>
      <c r="DP136" s="2088"/>
      <c r="DQ136" s="2088"/>
      <c r="DR136" s="2088"/>
      <c r="DS136" s="2088">
        <v>19050</v>
      </c>
      <c r="DT136" s="2088"/>
      <c r="DU136" s="2087"/>
      <c r="DV136" s="2087"/>
      <c r="DW136" s="2087"/>
      <c r="DX136" s="2087"/>
      <c r="DY136" s="2087"/>
      <c r="DZ136" s="2087"/>
      <c r="EA136" s="2087"/>
      <c r="EB136" s="2087"/>
      <c r="EC136" s="2087"/>
      <c r="ED136" s="2087"/>
      <c r="EE136" s="2087"/>
      <c r="EF136" s="2087"/>
      <c r="EG136" s="2087"/>
      <c r="EH136" s="2087"/>
      <c r="EI136" s="2087"/>
      <c r="EJ136" s="2087"/>
      <c r="EK136" s="2087"/>
      <c r="EL136" s="2087"/>
      <c r="EM136" s="2087"/>
      <c r="EN136" s="2087"/>
      <c r="EO136" s="2087"/>
      <c r="EP136" s="2087"/>
      <c r="EQ136" s="2087"/>
      <c r="ER136" s="2087"/>
      <c r="ES136" s="2087"/>
      <c r="ET136" s="2087"/>
      <c r="EU136" s="2087"/>
      <c r="EV136" s="2087"/>
      <c r="EW136" s="2087"/>
      <c r="EX136" s="2087"/>
      <c r="EY136" s="2087"/>
      <c r="EZ136" s="2087"/>
      <c r="FA136" s="2087"/>
      <c r="FB136" s="2087"/>
      <c r="FC136" s="2087"/>
      <c r="FD136" s="2087"/>
      <c r="FE136" s="2081"/>
      <c r="FF136" s="2082"/>
      <c r="FG136" s="2082"/>
      <c r="FH136" s="2082"/>
      <c r="FI136" s="2082"/>
      <c r="FJ136" s="2082"/>
      <c r="FK136" s="1565"/>
      <c r="FL136" s="1565"/>
      <c r="FM136" s="1565"/>
      <c r="FN136" s="1565"/>
      <c r="FO136" s="1565"/>
      <c r="FP136" s="1565"/>
      <c r="FQ136" s="1565"/>
      <c r="FR136" s="1565"/>
      <c r="FS136" s="1565"/>
      <c r="FT136" s="1565"/>
      <c r="FU136" s="1565"/>
      <c r="FV136" s="1565"/>
      <c r="FW136" s="1565"/>
      <c r="FX136" s="1565"/>
      <c r="FY136" s="1565"/>
      <c r="FZ136" s="1565"/>
      <c r="GA136" s="1565"/>
      <c r="GB136" s="1565"/>
      <c r="GC136" s="1565"/>
      <c r="GD136" s="1565"/>
      <c r="GE136" s="1565"/>
      <c r="GF136" s="1565"/>
      <c r="GG136" s="1565"/>
      <c r="GH136" s="1565"/>
      <c r="GI136" s="1565"/>
      <c r="GJ136" s="1565"/>
      <c r="GK136" s="1565"/>
      <c r="GL136" s="1565"/>
      <c r="GM136" s="1565"/>
      <c r="GN136" s="1565"/>
      <c r="GO136" s="1565"/>
      <c r="GP136" s="1565"/>
      <c r="GQ136" s="1565"/>
      <c r="GR136" s="1565"/>
      <c r="GS136" s="1565"/>
      <c r="GT136" s="1565"/>
      <c r="GU136" s="1565"/>
      <c r="GV136" s="1565"/>
      <c r="GW136" s="1565"/>
      <c r="GX136" s="1565"/>
      <c r="GY136" s="1565"/>
      <c r="GZ136" s="1565"/>
      <c r="HA136" s="1565"/>
      <c r="HB136" s="1565"/>
      <c r="HC136" s="1565"/>
      <c r="HD136" s="1565"/>
      <c r="HE136" s="1565"/>
      <c r="HF136" s="1565"/>
      <c r="HG136" s="1565"/>
      <c r="HH136" s="1565"/>
      <c r="HI136" s="1565"/>
      <c r="HJ136" s="1565"/>
      <c r="HK136" s="1565"/>
      <c r="HL136" s="1565"/>
      <c r="HM136" s="1565"/>
      <c r="HN136" s="1565"/>
      <c r="HO136" s="1565"/>
      <c r="HP136" s="1565"/>
      <c r="HQ136" s="1565"/>
      <c r="HR136" s="1565"/>
      <c r="HS136" s="1565"/>
      <c r="HT136" s="1565"/>
      <c r="HU136" s="1565"/>
      <c r="HV136" s="1565"/>
      <c r="HW136" s="1565"/>
      <c r="HX136" s="1565"/>
      <c r="HY136" s="1565"/>
      <c r="HZ136" s="1565"/>
      <c r="IA136" s="1565"/>
      <c r="IB136" s="1565"/>
      <c r="IC136" s="1565"/>
      <c r="ID136" s="1565"/>
      <c r="IE136" s="1565"/>
      <c r="IF136" s="1565"/>
      <c r="IG136" s="1565"/>
    </row>
    <row r="137" spans="1:241" s="1552" customFormat="1" ht="15.75" hidden="1" outlineLevel="2">
      <c r="A137" s="1552">
        <v>134</v>
      </c>
      <c r="B137" s="1567" t="s">
        <v>303</v>
      </c>
      <c r="C137" s="1568" t="s">
        <v>1972</v>
      </c>
      <c r="D137" s="1569" t="s">
        <v>1805</v>
      </c>
      <c r="E137" s="1570"/>
      <c r="F137" s="1571" t="s">
        <v>1785</v>
      </c>
      <c r="G137" s="1572" t="s">
        <v>1981</v>
      </c>
      <c r="H137" s="2073">
        <f>H132</f>
        <v>29950</v>
      </c>
      <c r="I137" s="2088">
        <f t="shared" ref="I137:P137" si="226">I132</f>
        <v>30550</v>
      </c>
      <c r="J137" s="2088">
        <f t="shared" si="226"/>
        <v>31050</v>
      </c>
      <c r="K137" s="2088">
        <f t="shared" si="226"/>
        <v>0</v>
      </c>
      <c r="L137" s="2088" t="e">
        <f t="shared" si="226"/>
        <v>#REF!</v>
      </c>
      <c r="M137" s="2088" t="e">
        <f t="shared" si="226"/>
        <v>#REF!</v>
      </c>
      <c r="N137" s="2088" t="e">
        <f t="shared" si="226"/>
        <v>#REF!</v>
      </c>
      <c r="O137" s="2088">
        <f t="shared" si="226"/>
        <v>32750</v>
      </c>
      <c r="P137" s="2088">
        <f t="shared" si="226"/>
        <v>33250</v>
      </c>
      <c r="Q137" s="2086"/>
      <c r="R137" s="2086"/>
      <c r="S137" s="2086"/>
      <c r="T137" s="2086"/>
      <c r="U137" s="2086"/>
      <c r="V137" s="2086"/>
      <c r="W137" s="2086"/>
      <c r="X137" s="2086"/>
      <c r="Y137" s="2086"/>
      <c r="Z137" s="2086"/>
      <c r="AA137" s="2086"/>
      <c r="AB137" s="2086"/>
      <c r="AC137" s="2086"/>
      <c r="AD137" s="2086"/>
      <c r="AE137" s="2086"/>
      <c r="AF137" s="2086"/>
      <c r="AG137" s="2086"/>
      <c r="AH137" s="2086"/>
      <c r="AI137" s="2086"/>
      <c r="AJ137" s="2086"/>
      <c r="AK137" s="2086"/>
      <c r="AL137" s="2086"/>
      <c r="AM137" s="2086"/>
      <c r="AN137" s="2086"/>
      <c r="AO137" s="2086"/>
      <c r="AP137" s="2086"/>
      <c r="AQ137" s="2086"/>
      <c r="AR137" s="2086"/>
      <c r="AS137" s="2086"/>
      <c r="AT137" s="2086"/>
      <c r="AU137" s="2086"/>
      <c r="AV137" s="2086"/>
      <c r="AW137" s="2086"/>
      <c r="AX137" s="2086"/>
      <c r="AY137" s="2087"/>
      <c r="AZ137" s="2087"/>
      <c r="BA137" s="2087"/>
      <c r="BB137" s="2087"/>
      <c r="BC137" s="2087"/>
      <c r="BD137" s="2087"/>
      <c r="BE137" s="2087"/>
      <c r="BF137" s="2087"/>
      <c r="BG137" s="2087"/>
      <c r="BH137" s="2087"/>
      <c r="BI137" s="2087"/>
      <c r="BJ137" s="2087"/>
      <c r="BK137" s="2087"/>
      <c r="BL137" s="2087"/>
      <c r="BM137" s="2087"/>
      <c r="BN137" s="2087"/>
      <c r="BO137" s="2087"/>
      <c r="BP137" s="2087"/>
      <c r="BQ137" s="2087"/>
      <c r="BR137" s="2087"/>
      <c r="BS137" s="2087"/>
      <c r="BT137" s="2087"/>
      <c r="BU137" s="2087"/>
      <c r="BV137" s="2087"/>
      <c r="BW137" s="2087"/>
      <c r="BX137" s="2087"/>
      <c r="BY137" s="2087"/>
      <c r="BZ137" s="2087"/>
      <c r="CA137" s="2087"/>
      <c r="CB137" s="2087"/>
      <c r="CC137" s="2087"/>
      <c r="CD137" s="2087"/>
      <c r="CE137" s="2088" t="e">
        <f t="shared" ref="CE137:DG137" si="227">CE132</f>
        <v>#REF!</v>
      </c>
      <c r="CF137" s="2088" t="e">
        <f t="shared" si="227"/>
        <v>#REF!</v>
      </c>
      <c r="CG137" s="2088">
        <f t="shared" si="227"/>
        <v>22000</v>
      </c>
      <c r="CH137" s="2088">
        <f t="shared" si="227"/>
        <v>22000</v>
      </c>
      <c r="CI137" s="2088">
        <f t="shared" si="227"/>
        <v>0</v>
      </c>
      <c r="CJ137" s="2088">
        <f t="shared" si="227"/>
        <v>0</v>
      </c>
      <c r="CK137" s="2088" t="e">
        <f t="shared" si="227"/>
        <v>#REF!</v>
      </c>
      <c r="CL137" s="2088">
        <f t="shared" si="227"/>
        <v>27200</v>
      </c>
      <c r="CM137" s="2088" t="e">
        <f t="shared" si="227"/>
        <v>#REF!</v>
      </c>
      <c r="CN137" s="2088"/>
      <c r="CO137" s="2088">
        <f t="shared" si="227"/>
        <v>19900</v>
      </c>
      <c r="CP137" s="2088">
        <f t="shared" si="227"/>
        <v>25100</v>
      </c>
      <c r="CQ137" s="2088"/>
      <c r="CR137" s="2088"/>
      <c r="CS137" s="2088">
        <f t="shared" si="227"/>
        <v>23500</v>
      </c>
      <c r="CT137" s="2088"/>
      <c r="CU137" s="2088">
        <f t="shared" si="227"/>
        <v>23000</v>
      </c>
      <c r="CV137" s="2088" t="e">
        <f t="shared" si="227"/>
        <v>#REF!</v>
      </c>
      <c r="CW137" s="2088" t="e">
        <f t="shared" si="227"/>
        <v>#REF!</v>
      </c>
      <c r="CX137" s="2088" t="e">
        <f t="shared" si="227"/>
        <v>#REF!</v>
      </c>
      <c r="CY137" s="2088" t="e">
        <f t="shared" si="227"/>
        <v>#REF!</v>
      </c>
      <c r="CZ137" s="2088" t="e">
        <f t="shared" si="227"/>
        <v>#REF!</v>
      </c>
      <c r="DA137" s="2088" t="e">
        <f t="shared" si="227"/>
        <v>#REF!</v>
      </c>
      <c r="DB137" s="2088">
        <f t="shared" si="227"/>
        <v>26650</v>
      </c>
      <c r="DC137" s="2088" t="e">
        <f t="shared" si="227"/>
        <v>#REF!</v>
      </c>
      <c r="DD137" s="2088" t="e">
        <f t="shared" si="227"/>
        <v>#REF!</v>
      </c>
      <c r="DE137" s="2088" t="e">
        <f t="shared" si="227"/>
        <v>#REF!</v>
      </c>
      <c r="DF137" s="2088" t="e">
        <f t="shared" si="227"/>
        <v>#REF!</v>
      </c>
      <c r="DG137" s="2088" t="e">
        <f t="shared" si="227"/>
        <v>#REF!</v>
      </c>
      <c r="DH137" s="2088"/>
      <c r="DI137" s="2088"/>
      <c r="DJ137" s="2088"/>
      <c r="DK137" s="2088"/>
      <c r="DL137" s="2088"/>
      <c r="DM137" s="2088"/>
      <c r="DN137" s="2088"/>
      <c r="DO137" s="2088"/>
      <c r="DP137" s="2088"/>
      <c r="DQ137" s="2088"/>
      <c r="DR137" s="2088"/>
      <c r="DS137" s="2088">
        <v>19050</v>
      </c>
      <c r="DT137" s="2088"/>
      <c r="DU137" s="2087"/>
      <c r="DV137" s="2087"/>
      <c r="DW137" s="2087"/>
      <c r="DX137" s="2087"/>
      <c r="DY137" s="2087"/>
      <c r="DZ137" s="2087"/>
      <c r="EA137" s="2087"/>
      <c r="EB137" s="2087"/>
      <c r="EC137" s="2087"/>
      <c r="ED137" s="2087"/>
      <c r="EE137" s="2087"/>
      <c r="EF137" s="2087"/>
      <c r="EG137" s="2087"/>
      <c r="EH137" s="2087"/>
      <c r="EI137" s="2087"/>
      <c r="EJ137" s="2087"/>
      <c r="EK137" s="2087"/>
      <c r="EL137" s="2087"/>
      <c r="EM137" s="2087"/>
      <c r="EN137" s="2087"/>
      <c r="EO137" s="2087"/>
      <c r="EP137" s="2087"/>
      <c r="EQ137" s="2087"/>
      <c r="ER137" s="2087"/>
      <c r="ES137" s="2087"/>
      <c r="ET137" s="2087"/>
      <c r="EU137" s="2087"/>
      <c r="EV137" s="2087"/>
      <c r="EW137" s="2087"/>
      <c r="EX137" s="2087"/>
      <c r="EY137" s="2087"/>
      <c r="EZ137" s="2087"/>
      <c r="FA137" s="2087"/>
      <c r="FB137" s="2087"/>
      <c r="FC137" s="2087"/>
      <c r="FD137" s="2087"/>
      <c r="FE137" s="2081"/>
      <c r="FF137" s="2082"/>
      <c r="FG137" s="2082"/>
      <c r="FH137" s="2082"/>
      <c r="FI137" s="2082"/>
      <c r="FJ137" s="2082"/>
      <c r="FK137" s="1565"/>
      <c r="FL137" s="1565"/>
      <c r="FM137" s="1565"/>
      <c r="FN137" s="1565"/>
      <c r="FO137" s="1565"/>
      <c r="FP137" s="1565"/>
      <c r="FQ137" s="1565"/>
      <c r="FR137" s="1565"/>
      <c r="FS137" s="1565"/>
      <c r="FT137" s="1565"/>
      <c r="FU137" s="1565"/>
      <c r="FV137" s="1565"/>
      <c r="FW137" s="1565"/>
      <c r="FX137" s="1565"/>
      <c r="FY137" s="1565"/>
      <c r="FZ137" s="1565"/>
      <c r="GA137" s="1565"/>
      <c r="GB137" s="1565"/>
      <c r="GC137" s="1565"/>
      <c r="GD137" s="1565"/>
      <c r="GE137" s="1565"/>
      <c r="GF137" s="1565"/>
      <c r="GG137" s="1565"/>
      <c r="GH137" s="1565"/>
      <c r="GI137" s="1565"/>
      <c r="GJ137" s="1565"/>
      <c r="GK137" s="1565"/>
      <c r="GL137" s="1565"/>
      <c r="GM137" s="1565"/>
      <c r="GN137" s="1565"/>
      <c r="GO137" s="1565"/>
      <c r="GP137" s="1565"/>
      <c r="GQ137" s="1565"/>
      <c r="GR137" s="1565"/>
      <c r="GS137" s="1565"/>
      <c r="GT137" s="1565"/>
      <c r="GU137" s="1565"/>
      <c r="GV137" s="1565"/>
      <c r="GW137" s="1565"/>
      <c r="GX137" s="1565"/>
      <c r="GY137" s="1565"/>
      <c r="GZ137" s="1565"/>
      <c r="HA137" s="1565"/>
      <c r="HB137" s="1565"/>
      <c r="HC137" s="1565"/>
      <c r="HD137" s="1565"/>
      <c r="HE137" s="1565"/>
      <c r="HF137" s="1565"/>
      <c r="HG137" s="1565"/>
      <c r="HH137" s="1565"/>
      <c r="HI137" s="1565"/>
      <c r="HJ137" s="1565"/>
      <c r="HK137" s="1565"/>
      <c r="HL137" s="1565"/>
      <c r="HM137" s="1565"/>
      <c r="HN137" s="1565"/>
      <c r="HO137" s="1565"/>
      <c r="HP137" s="1565"/>
      <c r="HQ137" s="1565"/>
      <c r="HR137" s="1565"/>
      <c r="HS137" s="1565"/>
      <c r="HT137" s="1565"/>
      <c r="HU137" s="1565"/>
      <c r="HV137" s="1565"/>
      <c r="HW137" s="1565"/>
      <c r="HX137" s="1565"/>
      <c r="HY137" s="1565"/>
      <c r="HZ137" s="1565"/>
      <c r="IA137" s="1565"/>
      <c r="IB137" s="1565"/>
      <c r="IC137" s="1565"/>
      <c r="ID137" s="1565"/>
      <c r="IE137" s="1565"/>
      <c r="IF137" s="1565"/>
      <c r="IG137" s="1565"/>
    </row>
    <row r="138" spans="1:241" s="1552" customFormat="1" ht="15.75" hidden="1" outlineLevel="2">
      <c r="A138" s="1549">
        <v>135</v>
      </c>
      <c r="B138" s="1567" t="s">
        <v>303</v>
      </c>
      <c r="C138" s="1568" t="s">
        <v>1972</v>
      </c>
      <c r="D138" s="1569" t="s">
        <v>1805</v>
      </c>
      <c r="E138" s="1570"/>
      <c r="F138" s="1571" t="s">
        <v>168</v>
      </c>
      <c r="G138" s="1572" t="s">
        <v>1982</v>
      </c>
      <c r="H138" s="2073">
        <f>H132</f>
        <v>29950</v>
      </c>
      <c r="I138" s="2088">
        <f t="shared" ref="I138:P138" si="228">I132</f>
        <v>30550</v>
      </c>
      <c r="J138" s="2088">
        <f t="shared" si="228"/>
        <v>31050</v>
      </c>
      <c r="K138" s="2088">
        <f t="shared" si="228"/>
        <v>0</v>
      </c>
      <c r="L138" s="2088" t="e">
        <f t="shared" si="228"/>
        <v>#REF!</v>
      </c>
      <c r="M138" s="2088" t="e">
        <f t="shared" si="228"/>
        <v>#REF!</v>
      </c>
      <c r="N138" s="2088" t="e">
        <f t="shared" si="228"/>
        <v>#REF!</v>
      </c>
      <c r="O138" s="2088">
        <f t="shared" si="228"/>
        <v>32750</v>
      </c>
      <c r="P138" s="2088">
        <f t="shared" si="228"/>
        <v>33250</v>
      </c>
      <c r="Q138" s="2086"/>
      <c r="R138" s="2086"/>
      <c r="S138" s="2086"/>
      <c r="T138" s="2086"/>
      <c r="U138" s="2086"/>
      <c r="V138" s="2086"/>
      <c r="W138" s="2086"/>
      <c r="X138" s="2086"/>
      <c r="Y138" s="2086"/>
      <c r="Z138" s="2086"/>
      <c r="AA138" s="2086"/>
      <c r="AB138" s="2086"/>
      <c r="AC138" s="2086"/>
      <c r="AD138" s="2086"/>
      <c r="AE138" s="2086"/>
      <c r="AF138" s="2086"/>
      <c r="AG138" s="2086"/>
      <c r="AH138" s="2086"/>
      <c r="AI138" s="2086"/>
      <c r="AJ138" s="2086"/>
      <c r="AK138" s="2086"/>
      <c r="AL138" s="2086"/>
      <c r="AM138" s="2086"/>
      <c r="AN138" s="2086"/>
      <c r="AO138" s="2086"/>
      <c r="AP138" s="2086"/>
      <c r="AQ138" s="2086"/>
      <c r="AR138" s="2086"/>
      <c r="AS138" s="2086"/>
      <c r="AT138" s="2086"/>
      <c r="AU138" s="2086"/>
      <c r="AV138" s="2086"/>
      <c r="AW138" s="2086"/>
      <c r="AX138" s="2086"/>
      <c r="AY138" s="2087"/>
      <c r="AZ138" s="2087"/>
      <c r="BA138" s="2087"/>
      <c r="BB138" s="2087"/>
      <c r="BC138" s="2087"/>
      <c r="BD138" s="2087"/>
      <c r="BE138" s="2087"/>
      <c r="BF138" s="2087"/>
      <c r="BG138" s="2087"/>
      <c r="BH138" s="2087"/>
      <c r="BI138" s="2087"/>
      <c r="BJ138" s="2087"/>
      <c r="BK138" s="2087"/>
      <c r="BL138" s="2087"/>
      <c r="BM138" s="2087"/>
      <c r="BN138" s="2087"/>
      <c r="BO138" s="2087"/>
      <c r="BP138" s="2087"/>
      <c r="BQ138" s="2087"/>
      <c r="BR138" s="2087"/>
      <c r="BS138" s="2087"/>
      <c r="BT138" s="2087"/>
      <c r="BU138" s="2087"/>
      <c r="BV138" s="2087"/>
      <c r="BW138" s="2087"/>
      <c r="BX138" s="2087"/>
      <c r="BY138" s="2087"/>
      <c r="BZ138" s="2087"/>
      <c r="CA138" s="2087"/>
      <c r="CB138" s="2087"/>
      <c r="CC138" s="2087"/>
      <c r="CD138" s="2087"/>
      <c r="CE138" s="2088" t="e">
        <f t="shared" ref="CE138:DG138" si="229">CE132</f>
        <v>#REF!</v>
      </c>
      <c r="CF138" s="2088" t="e">
        <f t="shared" si="229"/>
        <v>#REF!</v>
      </c>
      <c r="CG138" s="2088">
        <f t="shared" si="229"/>
        <v>22000</v>
      </c>
      <c r="CH138" s="2088">
        <f t="shared" si="229"/>
        <v>22000</v>
      </c>
      <c r="CI138" s="2088">
        <f t="shared" si="229"/>
        <v>0</v>
      </c>
      <c r="CJ138" s="2088">
        <f t="shared" si="229"/>
        <v>0</v>
      </c>
      <c r="CK138" s="2088" t="e">
        <f t="shared" si="229"/>
        <v>#REF!</v>
      </c>
      <c r="CL138" s="2088">
        <f t="shared" si="229"/>
        <v>27200</v>
      </c>
      <c r="CM138" s="2088" t="e">
        <f t="shared" si="229"/>
        <v>#REF!</v>
      </c>
      <c r="CN138" s="2088"/>
      <c r="CO138" s="2088">
        <f t="shared" si="229"/>
        <v>19900</v>
      </c>
      <c r="CP138" s="2088">
        <f t="shared" si="229"/>
        <v>25100</v>
      </c>
      <c r="CQ138" s="2088"/>
      <c r="CR138" s="2088"/>
      <c r="CS138" s="2088">
        <f t="shared" si="229"/>
        <v>23500</v>
      </c>
      <c r="CT138" s="2088"/>
      <c r="CU138" s="2088">
        <f t="shared" si="229"/>
        <v>23000</v>
      </c>
      <c r="CV138" s="2088" t="e">
        <f t="shared" si="229"/>
        <v>#REF!</v>
      </c>
      <c r="CW138" s="2088" t="e">
        <f t="shared" si="229"/>
        <v>#REF!</v>
      </c>
      <c r="CX138" s="2088" t="e">
        <f t="shared" si="229"/>
        <v>#REF!</v>
      </c>
      <c r="CY138" s="2088" t="e">
        <f t="shared" si="229"/>
        <v>#REF!</v>
      </c>
      <c r="CZ138" s="2088" t="e">
        <f t="shared" si="229"/>
        <v>#REF!</v>
      </c>
      <c r="DA138" s="2088" t="e">
        <f t="shared" si="229"/>
        <v>#REF!</v>
      </c>
      <c r="DB138" s="2088">
        <f t="shared" si="229"/>
        <v>26650</v>
      </c>
      <c r="DC138" s="2088" t="e">
        <f t="shared" si="229"/>
        <v>#REF!</v>
      </c>
      <c r="DD138" s="2088" t="e">
        <f t="shared" si="229"/>
        <v>#REF!</v>
      </c>
      <c r="DE138" s="2088" t="e">
        <f t="shared" si="229"/>
        <v>#REF!</v>
      </c>
      <c r="DF138" s="2088" t="e">
        <f t="shared" si="229"/>
        <v>#REF!</v>
      </c>
      <c r="DG138" s="2088" t="e">
        <f t="shared" si="229"/>
        <v>#REF!</v>
      </c>
      <c r="DH138" s="2088"/>
      <c r="DI138" s="2088"/>
      <c r="DJ138" s="2088"/>
      <c r="DK138" s="2088"/>
      <c r="DL138" s="2088"/>
      <c r="DM138" s="2088"/>
      <c r="DN138" s="2088"/>
      <c r="DO138" s="2088"/>
      <c r="DP138" s="2088"/>
      <c r="DQ138" s="2088"/>
      <c r="DR138" s="2088"/>
      <c r="DS138" s="2088">
        <v>19050</v>
      </c>
      <c r="DT138" s="2088"/>
      <c r="DU138" s="2087"/>
      <c r="DV138" s="2087"/>
      <c r="DW138" s="2087"/>
      <c r="DX138" s="2087"/>
      <c r="DY138" s="2087"/>
      <c r="DZ138" s="2087"/>
      <c r="EA138" s="2087"/>
      <c r="EB138" s="2087"/>
      <c r="EC138" s="2087"/>
      <c r="ED138" s="2087"/>
      <c r="EE138" s="2087"/>
      <c r="EF138" s="2087"/>
      <c r="EG138" s="2087"/>
      <c r="EH138" s="2087"/>
      <c r="EI138" s="2087"/>
      <c r="EJ138" s="2087"/>
      <c r="EK138" s="2087"/>
      <c r="EL138" s="2087"/>
      <c r="EM138" s="2087"/>
      <c r="EN138" s="2087"/>
      <c r="EO138" s="2087"/>
      <c r="EP138" s="2087"/>
      <c r="EQ138" s="2087"/>
      <c r="ER138" s="2087"/>
      <c r="ES138" s="2087"/>
      <c r="ET138" s="2087"/>
      <c r="EU138" s="2087"/>
      <c r="EV138" s="2087"/>
      <c r="EW138" s="2087"/>
      <c r="EX138" s="2087"/>
      <c r="EY138" s="2087"/>
      <c r="EZ138" s="2087"/>
      <c r="FA138" s="2087"/>
      <c r="FB138" s="2087"/>
      <c r="FC138" s="2087"/>
      <c r="FD138" s="2087"/>
      <c r="FE138" s="2081"/>
      <c r="FF138" s="2082"/>
      <c r="FG138" s="2082"/>
      <c r="FH138" s="2082"/>
      <c r="FI138" s="2082"/>
      <c r="FJ138" s="2082"/>
      <c r="FK138" s="1565"/>
      <c r="FL138" s="1565"/>
      <c r="FM138" s="1565"/>
      <c r="FN138" s="1565"/>
      <c r="FO138" s="1565"/>
      <c r="FP138" s="1565"/>
      <c r="FQ138" s="1565"/>
      <c r="FR138" s="1565"/>
      <c r="FS138" s="1565"/>
      <c r="FT138" s="1565"/>
      <c r="FU138" s="1565"/>
      <c r="FV138" s="1565"/>
      <c r="FW138" s="1565"/>
      <c r="FX138" s="1565"/>
      <c r="FY138" s="1565"/>
      <c r="FZ138" s="1565"/>
      <c r="GA138" s="1565"/>
      <c r="GB138" s="1565"/>
      <c r="GC138" s="1565"/>
      <c r="GD138" s="1565"/>
      <c r="GE138" s="1565"/>
      <c r="GF138" s="1565"/>
      <c r="GG138" s="1565"/>
      <c r="GH138" s="1565"/>
      <c r="GI138" s="1565"/>
      <c r="GJ138" s="1565"/>
      <c r="GK138" s="1565"/>
      <c r="GL138" s="1565"/>
      <c r="GM138" s="1565"/>
      <c r="GN138" s="1565"/>
      <c r="GO138" s="1565"/>
      <c r="GP138" s="1565"/>
      <c r="GQ138" s="1565"/>
      <c r="GR138" s="1565"/>
      <c r="GS138" s="1565"/>
      <c r="GT138" s="1565"/>
      <c r="GU138" s="1565"/>
      <c r="GV138" s="1565"/>
      <c r="GW138" s="1565"/>
      <c r="GX138" s="1565"/>
      <c r="GY138" s="1565"/>
      <c r="GZ138" s="1565"/>
      <c r="HA138" s="1565"/>
      <c r="HB138" s="1565"/>
      <c r="HC138" s="1565"/>
      <c r="HD138" s="1565"/>
      <c r="HE138" s="1565"/>
      <c r="HF138" s="1565"/>
      <c r="HG138" s="1565"/>
      <c r="HH138" s="1565"/>
      <c r="HI138" s="1565"/>
      <c r="HJ138" s="1565"/>
      <c r="HK138" s="1565"/>
      <c r="HL138" s="1565"/>
      <c r="HM138" s="1565"/>
      <c r="HN138" s="1565"/>
      <c r="HO138" s="1565"/>
      <c r="HP138" s="1565"/>
      <c r="HQ138" s="1565"/>
      <c r="HR138" s="1565"/>
      <c r="HS138" s="1565"/>
      <c r="HT138" s="1565"/>
      <c r="HU138" s="1565"/>
      <c r="HV138" s="1565"/>
      <c r="HW138" s="1565"/>
      <c r="HX138" s="1565"/>
      <c r="HY138" s="1565"/>
      <c r="HZ138" s="1565"/>
      <c r="IA138" s="1565"/>
      <c r="IB138" s="1565"/>
      <c r="IC138" s="1565"/>
      <c r="ID138" s="1565"/>
      <c r="IE138" s="1565"/>
      <c r="IF138" s="1565"/>
      <c r="IG138" s="1565"/>
    </row>
    <row r="139" spans="1:241" s="1552" customFormat="1" ht="15.75" hidden="1" outlineLevel="2">
      <c r="A139" s="1552">
        <v>136</v>
      </c>
      <c r="B139" s="1567" t="s">
        <v>303</v>
      </c>
      <c r="C139" s="1568" t="s">
        <v>1972</v>
      </c>
      <c r="D139" s="1569" t="s">
        <v>1805</v>
      </c>
      <c r="E139" s="1570"/>
      <c r="F139" s="1571" t="s">
        <v>1786</v>
      </c>
      <c r="G139" s="1572" t="s">
        <v>1983</v>
      </c>
      <c r="H139" s="2073">
        <f>H132</f>
        <v>29950</v>
      </c>
      <c r="I139" s="2088">
        <f t="shared" ref="I139:P139" si="230">I132</f>
        <v>30550</v>
      </c>
      <c r="J139" s="2088">
        <f t="shared" si="230"/>
        <v>31050</v>
      </c>
      <c r="K139" s="2088">
        <f t="shared" si="230"/>
        <v>0</v>
      </c>
      <c r="L139" s="2088" t="e">
        <f t="shared" si="230"/>
        <v>#REF!</v>
      </c>
      <c r="M139" s="2088" t="e">
        <f t="shared" si="230"/>
        <v>#REF!</v>
      </c>
      <c r="N139" s="2088" t="e">
        <f t="shared" si="230"/>
        <v>#REF!</v>
      </c>
      <c r="O139" s="2088">
        <f t="shared" si="230"/>
        <v>32750</v>
      </c>
      <c r="P139" s="2088">
        <f t="shared" si="230"/>
        <v>33250</v>
      </c>
      <c r="Q139" s="2086"/>
      <c r="R139" s="2086"/>
      <c r="S139" s="2086"/>
      <c r="T139" s="2086"/>
      <c r="U139" s="2086"/>
      <c r="V139" s="2086"/>
      <c r="W139" s="2086"/>
      <c r="X139" s="2086"/>
      <c r="Y139" s="2086"/>
      <c r="Z139" s="2086"/>
      <c r="AA139" s="2086"/>
      <c r="AB139" s="2086"/>
      <c r="AC139" s="2086"/>
      <c r="AD139" s="2086"/>
      <c r="AE139" s="2086"/>
      <c r="AF139" s="2086"/>
      <c r="AG139" s="2086"/>
      <c r="AH139" s="2086"/>
      <c r="AI139" s="2086"/>
      <c r="AJ139" s="2086"/>
      <c r="AK139" s="2086"/>
      <c r="AL139" s="2086"/>
      <c r="AM139" s="2086"/>
      <c r="AN139" s="2086"/>
      <c r="AO139" s="2086"/>
      <c r="AP139" s="2086"/>
      <c r="AQ139" s="2086"/>
      <c r="AR139" s="2086"/>
      <c r="AS139" s="2086"/>
      <c r="AT139" s="2086"/>
      <c r="AU139" s="2086"/>
      <c r="AV139" s="2086"/>
      <c r="AW139" s="2086"/>
      <c r="AX139" s="2086"/>
      <c r="AY139" s="2087"/>
      <c r="AZ139" s="2087"/>
      <c r="BA139" s="2087"/>
      <c r="BB139" s="2087"/>
      <c r="BC139" s="2087"/>
      <c r="BD139" s="2087"/>
      <c r="BE139" s="2087"/>
      <c r="BF139" s="2087"/>
      <c r="BG139" s="2087"/>
      <c r="BH139" s="2087"/>
      <c r="BI139" s="2087"/>
      <c r="BJ139" s="2087"/>
      <c r="BK139" s="2087"/>
      <c r="BL139" s="2087"/>
      <c r="BM139" s="2087"/>
      <c r="BN139" s="2087"/>
      <c r="BO139" s="2087"/>
      <c r="BP139" s="2087"/>
      <c r="BQ139" s="2087"/>
      <c r="BR139" s="2087"/>
      <c r="BS139" s="2087"/>
      <c r="BT139" s="2087"/>
      <c r="BU139" s="2087"/>
      <c r="BV139" s="2087"/>
      <c r="BW139" s="2087"/>
      <c r="BX139" s="2087"/>
      <c r="BY139" s="2087"/>
      <c r="BZ139" s="2087"/>
      <c r="CA139" s="2087"/>
      <c r="CB139" s="2087"/>
      <c r="CC139" s="2087"/>
      <c r="CD139" s="2087"/>
      <c r="CE139" s="2088" t="e">
        <f t="shared" ref="CE139:DG139" si="231">CE132</f>
        <v>#REF!</v>
      </c>
      <c r="CF139" s="2088" t="e">
        <f t="shared" si="231"/>
        <v>#REF!</v>
      </c>
      <c r="CG139" s="2088">
        <f t="shared" si="231"/>
        <v>22000</v>
      </c>
      <c r="CH139" s="2088">
        <f t="shared" si="231"/>
        <v>22000</v>
      </c>
      <c r="CI139" s="2088">
        <f t="shared" si="231"/>
        <v>0</v>
      </c>
      <c r="CJ139" s="2088">
        <f t="shared" si="231"/>
        <v>0</v>
      </c>
      <c r="CK139" s="2088" t="e">
        <f t="shared" si="231"/>
        <v>#REF!</v>
      </c>
      <c r="CL139" s="2088">
        <f t="shared" si="231"/>
        <v>27200</v>
      </c>
      <c r="CM139" s="2088" t="e">
        <f t="shared" si="231"/>
        <v>#REF!</v>
      </c>
      <c r="CN139" s="2088"/>
      <c r="CO139" s="2088">
        <f t="shared" si="231"/>
        <v>19900</v>
      </c>
      <c r="CP139" s="2088">
        <f t="shared" si="231"/>
        <v>25100</v>
      </c>
      <c r="CQ139" s="2088"/>
      <c r="CR139" s="2088"/>
      <c r="CS139" s="2088">
        <f t="shared" si="231"/>
        <v>23500</v>
      </c>
      <c r="CT139" s="2088"/>
      <c r="CU139" s="2088">
        <f t="shared" si="231"/>
        <v>23000</v>
      </c>
      <c r="CV139" s="2088" t="e">
        <f t="shared" si="231"/>
        <v>#REF!</v>
      </c>
      <c r="CW139" s="2088" t="e">
        <f t="shared" si="231"/>
        <v>#REF!</v>
      </c>
      <c r="CX139" s="2088" t="e">
        <f t="shared" si="231"/>
        <v>#REF!</v>
      </c>
      <c r="CY139" s="2088" t="e">
        <f t="shared" si="231"/>
        <v>#REF!</v>
      </c>
      <c r="CZ139" s="2088" t="e">
        <f t="shared" si="231"/>
        <v>#REF!</v>
      </c>
      <c r="DA139" s="2088" t="e">
        <f t="shared" si="231"/>
        <v>#REF!</v>
      </c>
      <c r="DB139" s="2088">
        <f t="shared" si="231"/>
        <v>26650</v>
      </c>
      <c r="DC139" s="2088" t="e">
        <f t="shared" si="231"/>
        <v>#REF!</v>
      </c>
      <c r="DD139" s="2088" t="e">
        <f t="shared" si="231"/>
        <v>#REF!</v>
      </c>
      <c r="DE139" s="2088" t="e">
        <f t="shared" si="231"/>
        <v>#REF!</v>
      </c>
      <c r="DF139" s="2088" t="e">
        <f t="shared" si="231"/>
        <v>#REF!</v>
      </c>
      <c r="DG139" s="2088" t="e">
        <f t="shared" si="231"/>
        <v>#REF!</v>
      </c>
      <c r="DH139" s="2088"/>
      <c r="DI139" s="2088"/>
      <c r="DJ139" s="2088"/>
      <c r="DK139" s="2088"/>
      <c r="DL139" s="2088"/>
      <c r="DM139" s="2088"/>
      <c r="DN139" s="2088"/>
      <c r="DO139" s="2088"/>
      <c r="DP139" s="2088"/>
      <c r="DQ139" s="2088"/>
      <c r="DR139" s="2088"/>
      <c r="DS139" s="2088">
        <v>19050</v>
      </c>
      <c r="DT139" s="2088"/>
      <c r="DU139" s="2087"/>
      <c r="DV139" s="2087"/>
      <c r="DW139" s="2087"/>
      <c r="DX139" s="2087"/>
      <c r="DY139" s="2087"/>
      <c r="DZ139" s="2087"/>
      <c r="EA139" s="2087"/>
      <c r="EB139" s="2087"/>
      <c r="EC139" s="2087"/>
      <c r="ED139" s="2087"/>
      <c r="EE139" s="2087"/>
      <c r="EF139" s="2087"/>
      <c r="EG139" s="2087"/>
      <c r="EH139" s="2087"/>
      <c r="EI139" s="2087"/>
      <c r="EJ139" s="2087"/>
      <c r="EK139" s="2087"/>
      <c r="EL139" s="2087"/>
      <c r="EM139" s="2087"/>
      <c r="EN139" s="2087"/>
      <c r="EO139" s="2087"/>
      <c r="EP139" s="2087"/>
      <c r="EQ139" s="2087"/>
      <c r="ER139" s="2087"/>
      <c r="ES139" s="2087"/>
      <c r="ET139" s="2087"/>
      <c r="EU139" s="2087"/>
      <c r="EV139" s="2087"/>
      <c r="EW139" s="2087"/>
      <c r="EX139" s="2087"/>
      <c r="EY139" s="2087"/>
      <c r="EZ139" s="2087"/>
      <c r="FA139" s="2087"/>
      <c r="FB139" s="2087"/>
      <c r="FC139" s="2087"/>
      <c r="FD139" s="2087"/>
      <c r="FE139" s="2081"/>
      <c r="FF139" s="2082"/>
      <c r="FG139" s="2082"/>
      <c r="FH139" s="2082"/>
      <c r="FI139" s="2082"/>
      <c r="FJ139" s="2082"/>
      <c r="FK139" s="1565"/>
      <c r="FL139" s="1565"/>
      <c r="FM139" s="1565"/>
      <c r="FN139" s="1565"/>
      <c r="FO139" s="1565"/>
      <c r="FP139" s="1565"/>
      <c r="FQ139" s="1565"/>
      <c r="FR139" s="1565"/>
      <c r="FS139" s="1565"/>
      <c r="FT139" s="1565"/>
      <c r="FU139" s="1565"/>
      <c r="FV139" s="1565"/>
      <c r="FW139" s="1565"/>
      <c r="FX139" s="1565"/>
      <c r="FY139" s="1565"/>
      <c r="FZ139" s="1565"/>
      <c r="GA139" s="1565"/>
      <c r="GB139" s="1565"/>
      <c r="GC139" s="1565"/>
      <c r="GD139" s="1565"/>
      <c r="GE139" s="1565"/>
      <c r="GF139" s="1565"/>
      <c r="GG139" s="1565"/>
      <c r="GH139" s="1565"/>
      <c r="GI139" s="1565"/>
      <c r="GJ139" s="1565"/>
      <c r="GK139" s="1565"/>
      <c r="GL139" s="1565"/>
      <c r="GM139" s="1565"/>
      <c r="GN139" s="1565"/>
      <c r="GO139" s="1565"/>
      <c r="GP139" s="1565"/>
      <c r="GQ139" s="1565"/>
      <c r="GR139" s="1565"/>
      <c r="GS139" s="1565"/>
      <c r="GT139" s="1565"/>
      <c r="GU139" s="1565"/>
      <c r="GV139" s="1565"/>
      <c r="GW139" s="1565"/>
      <c r="GX139" s="1565"/>
      <c r="GY139" s="1565"/>
      <c r="GZ139" s="1565"/>
      <c r="HA139" s="1565"/>
      <c r="HB139" s="1565"/>
      <c r="HC139" s="1565"/>
      <c r="HD139" s="1565"/>
      <c r="HE139" s="1565"/>
      <c r="HF139" s="1565"/>
      <c r="HG139" s="1565"/>
      <c r="HH139" s="1565"/>
      <c r="HI139" s="1565"/>
      <c r="HJ139" s="1565"/>
      <c r="HK139" s="1565"/>
      <c r="HL139" s="1565"/>
      <c r="HM139" s="1565"/>
      <c r="HN139" s="1565"/>
      <c r="HO139" s="1565"/>
      <c r="HP139" s="1565"/>
      <c r="HQ139" s="1565"/>
      <c r="HR139" s="1565"/>
      <c r="HS139" s="1565"/>
      <c r="HT139" s="1565"/>
      <c r="HU139" s="1565"/>
      <c r="HV139" s="1565"/>
      <c r="HW139" s="1565"/>
      <c r="HX139" s="1565"/>
      <c r="HY139" s="1565"/>
      <c r="HZ139" s="1565"/>
      <c r="IA139" s="1565"/>
      <c r="IB139" s="1565"/>
      <c r="IC139" s="1565"/>
      <c r="ID139" s="1565"/>
      <c r="IE139" s="1565"/>
      <c r="IF139" s="1565"/>
      <c r="IG139" s="1565"/>
    </row>
    <row r="140" spans="1:241" s="1552" customFormat="1" ht="15.75" hidden="1" outlineLevel="2">
      <c r="A140" s="1549">
        <v>137</v>
      </c>
      <c r="B140" s="1567" t="s">
        <v>303</v>
      </c>
      <c r="C140" s="1568" t="s">
        <v>1972</v>
      </c>
      <c r="D140" s="1569" t="s">
        <v>1805</v>
      </c>
      <c r="E140" s="1570"/>
      <c r="F140" s="1571" t="s">
        <v>302</v>
      </c>
      <c r="G140" s="1572" t="s">
        <v>1984</v>
      </c>
      <c r="H140" s="2073">
        <f>H132</f>
        <v>29950</v>
      </c>
      <c r="I140" s="2088">
        <f t="shared" ref="I140:P140" si="232">I132</f>
        <v>30550</v>
      </c>
      <c r="J140" s="2088">
        <f t="shared" si="232"/>
        <v>31050</v>
      </c>
      <c r="K140" s="2088">
        <f t="shared" si="232"/>
        <v>0</v>
      </c>
      <c r="L140" s="2088" t="e">
        <f t="shared" si="232"/>
        <v>#REF!</v>
      </c>
      <c r="M140" s="2088" t="e">
        <f t="shared" si="232"/>
        <v>#REF!</v>
      </c>
      <c r="N140" s="2088" t="e">
        <f t="shared" si="232"/>
        <v>#REF!</v>
      </c>
      <c r="O140" s="2088">
        <f t="shared" si="232"/>
        <v>32750</v>
      </c>
      <c r="P140" s="2088">
        <f t="shared" si="232"/>
        <v>33250</v>
      </c>
      <c r="Q140" s="2086"/>
      <c r="R140" s="2086"/>
      <c r="S140" s="2086"/>
      <c r="T140" s="2086"/>
      <c r="U140" s="2086"/>
      <c r="V140" s="2086"/>
      <c r="W140" s="2086"/>
      <c r="X140" s="2086"/>
      <c r="Y140" s="2086"/>
      <c r="Z140" s="2086"/>
      <c r="AA140" s="2086"/>
      <c r="AB140" s="2086"/>
      <c r="AC140" s="2086"/>
      <c r="AD140" s="2086"/>
      <c r="AE140" s="2086"/>
      <c r="AF140" s="2086"/>
      <c r="AG140" s="2086"/>
      <c r="AH140" s="2086"/>
      <c r="AI140" s="2086"/>
      <c r="AJ140" s="2086"/>
      <c r="AK140" s="2086"/>
      <c r="AL140" s="2086"/>
      <c r="AM140" s="2086"/>
      <c r="AN140" s="2086"/>
      <c r="AO140" s="2086"/>
      <c r="AP140" s="2086"/>
      <c r="AQ140" s="2086"/>
      <c r="AR140" s="2086"/>
      <c r="AS140" s="2086"/>
      <c r="AT140" s="2086"/>
      <c r="AU140" s="2086"/>
      <c r="AV140" s="2086"/>
      <c r="AW140" s="2086"/>
      <c r="AX140" s="2086"/>
      <c r="AY140" s="2087"/>
      <c r="AZ140" s="2087"/>
      <c r="BA140" s="2087"/>
      <c r="BB140" s="2087"/>
      <c r="BC140" s="2087"/>
      <c r="BD140" s="2087"/>
      <c r="BE140" s="2087"/>
      <c r="BF140" s="2087"/>
      <c r="BG140" s="2087"/>
      <c r="BH140" s="2087"/>
      <c r="BI140" s="2087"/>
      <c r="BJ140" s="2087"/>
      <c r="BK140" s="2087"/>
      <c r="BL140" s="2087"/>
      <c r="BM140" s="2087"/>
      <c r="BN140" s="2087"/>
      <c r="BO140" s="2087"/>
      <c r="BP140" s="2087"/>
      <c r="BQ140" s="2087"/>
      <c r="BR140" s="2087"/>
      <c r="BS140" s="2087"/>
      <c r="BT140" s="2087"/>
      <c r="BU140" s="2087"/>
      <c r="BV140" s="2087"/>
      <c r="BW140" s="2087"/>
      <c r="BX140" s="2087"/>
      <c r="BY140" s="2087"/>
      <c r="BZ140" s="2087"/>
      <c r="CA140" s="2087"/>
      <c r="CB140" s="2087"/>
      <c r="CC140" s="2087"/>
      <c r="CD140" s="2087"/>
      <c r="CE140" s="2088" t="e">
        <f t="shared" ref="CE140:DG140" si="233">CE132</f>
        <v>#REF!</v>
      </c>
      <c r="CF140" s="2088" t="e">
        <f t="shared" si="233"/>
        <v>#REF!</v>
      </c>
      <c r="CG140" s="2088">
        <f t="shared" si="233"/>
        <v>22000</v>
      </c>
      <c r="CH140" s="2088">
        <f t="shared" si="233"/>
        <v>22000</v>
      </c>
      <c r="CI140" s="2088">
        <f t="shared" si="233"/>
        <v>0</v>
      </c>
      <c r="CJ140" s="2088">
        <f t="shared" si="233"/>
        <v>0</v>
      </c>
      <c r="CK140" s="2088" t="e">
        <f t="shared" si="233"/>
        <v>#REF!</v>
      </c>
      <c r="CL140" s="2088">
        <f t="shared" si="233"/>
        <v>27200</v>
      </c>
      <c r="CM140" s="2088" t="e">
        <f t="shared" si="233"/>
        <v>#REF!</v>
      </c>
      <c r="CN140" s="2088"/>
      <c r="CO140" s="2088">
        <f t="shared" si="233"/>
        <v>19900</v>
      </c>
      <c r="CP140" s="2088">
        <f t="shared" si="233"/>
        <v>25100</v>
      </c>
      <c r="CQ140" s="2088"/>
      <c r="CR140" s="2088"/>
      <c r="CS140" s="2088">
        <f t="shared" si="233"/>
        <v>23500</v>
      </c>
      <c r="CT140" s="2088"/>
      <c r="CU140" s="2088">
        <f t="shared" si="233"/>
        <v>23000</v>
      </c>
      <c r="CV140" s="2088" t="e">
        <f t="shared" si="233"/>
        <v>#REF!</v>
      </c>
      <c r="CW140" s="2088" t="e">
        <f t="shared" si="233"/>
        <v>#REF!</v>
      </c>
      <c r="CX140" s="2088" t="e">
        <f t="shared" si="233"/>
        <v>#REF!</v>
      </c>
      <c r="CY140" s="2088" t="e">
        <f t="shared" si="233"/>
        <v>#REF!</v>
      </c>
      <c r="CZ140" s="2088" t="e">
        <f t="shared" si="233"/>
        <v>#REF!</v>
      </c>
      <c r="DA140" s="2088" t="e">
        <f t="shared" si="233"/>
        <v>#REF!</v>
      </c>
      <c r="DB140" s="2088">
        <f t="shared" si="233"/>
        <v>26650</v>
      </c>
      <c r="DC140" s="2088" t="e">
        <f t="shared" si="233"/>
        <v>#REF!</v>
      </c>
      <c r="DD140" s="2088" t="e">
        <f t="shared" si="233"/>
        <v>#REF!</v>
      </c>
      <c r="DE140" s="2088" t="e">
        <f t="shared" si="233"/>
        <v>#REF!</v>
      </c>
      <c r="DF140" s="2088" t="e">
        <f t="shared" si="233"/>
        <v>#REF!</v>
      </c>
      <c r="DG140" s="2088" t="e">
        <f t="shared" si="233"/>
        <v>#REF!</v>
      </c>
      <c r="DH140" s="2088"/>
      <c r="DI140" s="2088"/>
      <c r="DJ140" s="2088"/>
      <c r="DK140" s="2088"/>
      <c r="DL140" s="2088"/>
      <c r="DM140" s="2088"/>
      <c r="DN140" s="2088"/>
      <c r="DO140" s="2088"/>
      <c r="DP140" s="2088"/>
      <c r="DQ140" s="2088"/>
      <c r="DR140" s="2088"/>
      <c r="DS140" s="2088">
        <v>19050</v>
      </c>
      <c r="DT140" s="2088"/>
      <c r="DU140" s="2087"/>
      <c r="DV140" s="2087"/>
      <c r="DW140" s="2087"/>
      <c r="DX140" s="2087"/>
      <c r="DY140" s="2087"/>
      <c r="DZ140" s="2087"/>
      <c r="EA140" s="2087"/>
      <c r="EB140" s="2087"/>
      <c r="EC140" s="2087"/>
      <c r="ED140" s="2087"/>
      <c r="EE140" s="2087"/>
      <c r="EF140" s="2087"/>
      <c r="EG140" s="2087"/>
      <c r="EH140" s="2087"/>
      <c r="EI140" s="2087"/>
      <c r="EJ140" s="2087"/>
      <c r="EK140" s="2087"/>
      <c r="EL140" s="2087"/>
      <c r="EM140" s="2087"/>
      <c r="EN140" s="2087"/>
      <c r="EO140" s="2087"/>
      <c r="EP140" s="2087"/>
      <c r="EQ140" s="2087"/>
      <c r="ER140" s="2087"/>
      <c r="ES140" s="2087"/>
      <c r="ET140" s="2087"/>
      <c r="EU140" s="2087"/>
      <c r="EV140" s="2087"/>
      <c r="EW140" s="2087"/>
      <c r="EX140" s="2087"/>
      <c r="EY140" s="2087"/>
      <c r="EZ140" s="2087"/>
      <c r="FA140" s="2087"/>
      <c r="FB140" s="2087"/>
      <c r="FC140" s="2087"/>
      <c r="FD140" s="2087"/>
      <c r="FE140" s="2081"/>
      <c r="FF140" s="2082"/>
      <c r="FG140" s="2082"/>
      <c r="FH140" s="2082"/>
      <c r="FI140" s="2082"/>
      <c r="FJ140" s="2082"/>
      <c r="FK140" s="1565"/>
      <c r="FL140" s="1565"/>
      <c r="FM140" s="1565"/>
      <c r="FN140" s="1565"/>
      <c r="FO140" s="1565"/>
      <c r="FP140" s="1565"/>
      <c r="FQ140" s="1565"/>
      <c r="FR140" s="1565"/>
      <c r="FS140" s="1565"/>
      <c r="FT140" s="1565"/>
      <c r="FU140" s="1565"/>
      <c r="FV140" s="1565"/>
      <c r="FW140" s="1565"/>
      <c r="FX140" s="1565"/>
      <c r="FY140" s="1565"/>
      <c r="FZ140" s="1565"/>
      <c r="GA140" s="1565"/>
      <c r="GB140" s="1565"/>
      <c r="GC140" s="1565"/>
      <c r="GD140" s="1565"/>
      <c r="GE140" s="1565"/>
      <c r="GF140" s="1565"/>
      <c r="GG140" s="1565"/>
      <c r="GH140" s="1565"/>
      <c r="GI140" s="1565"/>
      <c r="GJ140" s="1565"/>
      <c r="GK140" s="1565"/>
      <c r="GL140" s="1565"/>
      <c r="GM140" s="1565"/>
      <c r="GN140" s="1565"/>
      <c r="GO140" s="1565"/>
      <c r="GP140" s="1565"/>
      <c r="GQ140" s="1565"/>
      <c r="GR140" s="1565"/>
      <c r="GS140" s="1565"/>
      <c r="GT140" s="1565"/>
      <c r="GU140" s="1565"/>
      <c r="GV140" s="1565"/>
      <c r="GW140" s="1565"/>
      <c r="GX140" s="1565"/>
      <c r="GY140" s="1565"/>
      <c r="GZ140" s="1565"/>
      <c r="HA140" s="1565"/>
      <c r="HB140" s="1565"/>
      <c r="HC140" s="1565"/>
      <c r="HD140" s="1565"/>
      <c r="HE140" s="1565"/>
      <c r="HF140" s="1565"/>
      <c r="HG140" s="1565"/>
      <c r="HH140" s="1565"/>
      <c r="HI140" s="1565"/>
      <c r="HJ140" s="1565"/>
      <c r="HK140" s="1565"/>
      <c r="HL140" s="1565"/>
      <c r="HM140" s="1565"/>
      <c r="HN140" s="1565"/>
      <c r="HO140" s="1565"/>
      <c r="HP140" s="1565"/>
      <c r="HQ140" s="1565"/>
      <c r="HR140" s="1565"/>
      <c r="HS140" s="1565"/>
      <c r="HT140" s="1565"/>
      <c r="HU140" s="1565"/>
      <c r="HV140" s="1565"/>
      <c r="HW140" s="1565"/>
      <c r="HX140" s="1565"/>
      <c r="HY140" s="1565"/>
      <c r="HZ140" s="1565"/>
      <c r="IA140" s="1565"/>
      <c r="IB140" s="1565"/>
      <c r="IC140" s="1565"/>
      <c r="ID140" s="1565"/>
      <c r="IE140" s="1565"/>
      <c r="IF140" s="1565"/>
      <c r="IG140" s="1565"/>
    </row>
    <row r="141" spans="1:241" s="1552" customFormat="1" ht="15.75" hidden="1" outlineLevel="2">
      <c r="A141" s="1552">
        <v>138</v>
      </c>
      <c r="B141" s="1567" t="s">
        <v>303</v>
      </c>
      <c r="C141" s="1567" t="s">
        <v>1972</v>
      </c>
      <c r="D141" s="1569" t="s">
        <v>1805</v>
      </c>
      <c r="E141" s="1570"/>
      <c r="F141" s="1571" t="s">
        <v>1787</v>
      </c>
      <c r="G141" s="1572" t="s">
        <v>1985</v>
      </c>
      <c r="H141" s="2073">
        <f>H132</f>
        <v>29950</v>
      </c>
      <c r="I141" s="2088">
        <f t="shared" ref="I141:P141" si="234">I132</f>
        <v>30550</v>
      </c>
      <c r="J141" s="2088">
        <f t="shared" si="234"/>
        <v>31050</v>
      </c>
      <c r="K141" s="2088">
        <f t="shared" si="234"/>
        <v>0</v>
      </c>
      <c r="L141" s="2088" t="e">
        <f t="shared" si="234"/>
        <v>#REF!</v>
      </c>
      <c r="M141" s="2088" t="e">
        <f t="shared" si="234"/>
        <v>#REF!</v>
      </c>
      <c r="N141" s="2088" t="e">
        <f t="shared" si="234"/>
        <v>#REF!</v>
      </c>
      <c r="O141" s="2088">
        <f t="shared" si="234"/>
        <v>32750</v>
      </c>
      <c r="P141" s="2088">
        <f t="shared" si="234"/>
        <v>33250</v>
      </c>
      <c r="Q141" s="2086"/>
      <c r="R141" s="2086"/>
      <c r="S141" s="2086"/>
      <c r="T141" s="2086"/>
      <c r="U141" s="2086"/>
      <c r="V141" s="2086"/>
      <c r="W141" s="2086"/>
      <c r="X141" s="2086"/>
      <c r="Y141" s="2086"/>
      <c r="Z141" s="2086"/>
      <c r="AA141" s="2086"/>
      <c r="AB141" s="2086"/>
      <c r="AC141" s="2086"/>
      <c r="AD141" s="2086"/>
      <c r="AE141" s="2086"/>
      <c r="AF141" s="2086"/>
      <c r="AG141" s="2086"/>
      <c r="AH141" s="2086"/>
      <c r="AI141" s="2086"/>
      <c r="AJ141" s="2086"/>
      <c r="AK141" s="2086"/>
      <c r="AL141" s="2086"/>
      <c r="AM141" s="2086"/>
      <c r="AN141" s="2086"/>
      <c r="AO141" s="2086"/>
      <c r="AP141" s="2086"/>
      <c r="AQ141" s="2086"/>
      <c r="AR141" s="2086"/>
      <c r="AS141" s="2086"/>
      <c r="AT141" s="2086"/>
      <c r="AU141" s="2086"/>
      <c r="AV141" s="2086"/>
      <c r="AW141" s="2086"/>
      <c r="AX141" s="2086"/>
      <c r="AY141" s="2087"/>
      <c r="AZ141" s="2087"/>
      <c r="BA141" s="2087"/>
      <c r="BB141" s="2087"/>
      <c r="BC141" s="2087"/>
      <c r="BD141" s="2087"/>
      <c r="BE141" s="2087"/>
      <c r="BF141" s="2087"/>
      <c r="BG141" s="2087"/>
      <c r="BH141" s="2087"/>
      <c r="BI141" s="2087"/>
      <c r="BJ141" s="2087"/>
      <c r="BK141" s="2087"/>
      <c r="BL141" s="2087"/>
      <c r="BM141" s="2087"/>
      <c r="BN141" s="2087"/>
      <c r="BO141" s="2087"/>
      <c r="BP141" s="2087"/>
      <c r="BQ141" s="2087"/>
      <c r="BR141" s="2087"/>
      <c r="BS141" s="2087"/>
      <c r="BT141" s="2087"/>
      <c r="BU141" s="2087"/>
      <c r="BV141" s="2087"/>
      <c r="BW141" s="2087"/>
      <c r="BX141" s="2087"/>
      <c r="BY141" s="2087"/>
      <c r="BZ141" s="2087"/>
      <c r="CA141" s="2087"/>
      <c r="CB141" s="2087"/>
      <c r="CC141" s="2087"/>
      <c r="CD141" s="2087"/>
      <c r="CE141" s="2088" t="e">
        <f t="shared" ref="CE141:DG141" si="235">CE132</f>
        <v>#REF!</v>
      </c>
      <c r="CF141" s="2088" t="e">
        <f t="shared" si="235"/>
        <v>#REF!</v>
      </c>
      <c r="CG141" s="2088">
        <f t="shared" si="235"/>
        <v>22000</v>
      </c>
      <c r="CH141" s="2088">
        <f t="shared" si="235"/>
        <v>22000</v>
      </c>
      <c r="CI141" s="2088">
        <f t="shared" si="235"/>
        <v>0</v>
      </c>
      <c r="CJ141" s="2088">
        <f t="shared" si="235"/>
        <v>0</v>
      </c>
      <c r="CK141" s="2088" t="e">
        <f t="shared" si="235"/>
        <v>#REF!</v>
      </c>
      <c r="CL141" s="2088">
        <f t="shared" si="235"/>
        <v>27200</v>
      </c>
      <c r="CM141" s="2088" t="e">
        <f t="shared" si="235"/>
        <v>#REF!</v>
      </c>
      <c r="CN141" s="2088"/>
      <c r="CO141" s="2088">
        <f t="shared" si="235"/>
        <v>19900</v>
      </c>
      <c r="CP141" s="2088">
        <f t="shared" si="235"/>
        <v>25100</v>
      </c>
      <c r="CQ141" s="2088"/>
      <c r="CR141" s="2088"/>
      <c r="CS141" s="2088">
        <f t="shared" si="235"/>
        <v>23500</v>
      </c>
      <c r="CT141" s="2088"/>
      <c r="CU141" s="2088">
        <f t="shared" si="235"/>
        <v>23000</v>
      </c>
      <c r="CV141" s="2088" t="e">
        <f t="shared" si="235"/>
        <v>#REF!</v>
      </c>
      <c r="CW141" s="2088" t="e">
        <f t="shared" si="235"/>
        <v>#REF!</v>
      </c>
      <c r="CX141" s="2088" t="e">
        <f t="shared" si="235"/>
        <v>#REF!</v>
      </c>
      <c r="CY141" s="2088" t="e">
        <f t="shared" si="235"/>
        <v>#REF!</v>
      </c>
      <c r="CZ141" s="2088" t="e">
        <f t="shared" si="235"/>
        <v>#REF!</v>
      </c>
      <c r="DA141" s="2088" t="e">
        <f t="shared" si="235"/>
        <v>#REF!</v>
      </c>
      <c r="DB141" s="2088">
        <f t="shared" si="235"/>
        <v>26650</v>
      </c>
      <c r="DC141" s="2088" t="e">
        <f t="shared" si="235"/>
        <v>#REF!</v>
      </c>
      <c r="DD141" s="2088" t="e">
        <f t="shared" si="235"/>
        <v>#REF!</v>
      </c>
      <c r="DE141" s="2088" t="e">
        <f t="shared" si="235"/>
        <v>#REF!</v>
      </c>
      <c r="DF141" s="2088" t="e">
        <f t="shared" si="235"/>
        <v>#REF!</v>
      </c>
      <c r="DG141" s="2088" t="e">
        <f t="shared" si="235"/>
        <v>#REF!</v>
      </c>
      <c r="DH141" s="2088"/>
      <c r="DI141" s="2088"/>
      <c r="DJ141" s="2088"/>
      <c r="DK141" s="2088"/>
      <c r="DL141" s="2088"/>
      <c r="DM141" s="2088"/>
      <c r="DN141" s="2088"/>
      <c r="DO141" s="2088"/>
      <c r="DP141" s="2088"/>
      <c r="DQ141" s="2088"/>
      <c r="DR141" s="2088"/>
      <c r="DS141" s="2088">
        <v>19050</v>
      </c>
      <c r="DT141" s="2088"/>
      <c r="DU141" s="2087"/>
      <c r="DV141" s="2087"/>
      <c r="DW141" s="2087"/>
      <c r="DX141" s="2087"/>
      <c r="DY141" s="2087"/>
      <c r="DZ141" s="2087"/>
      <c r="EA141" s="2087"/>
      <c r="EB141" s="2087"/>
      <c r="EC141" s="2087"/>
      <c r="ED141" s="2087"/>
      <c r="EE141" s="2087"/>
      <c r="EF141" s="2087"/>
      <c r="EG141" s="2087"/>
      <c r="EH141" s="2087"/>
      <c r="EI141" s="2087"/>
      <c r="EJ141" s="2087"/>
      <c r="EK141" s="2087"/>
      <c r="EL141" s="2087"/>
      <c r="EM141" s="2087"/>
      <c r="EN141" s="2087"/>
      <c r="EO141" s="2087"/>
      <c r="EP141" s="2087"/>
      <c r="EQ141" s="2087"/>
      <c r="ER141" s="2087"/>
      <c r="ES141" s="2087"/>
      <c r="ET141" s="2087"/>
      <c r="EU141" s="2087"/>
      <c r="EV141" s="2087"/>
      <c r="EW141" s="2087"/>
      <c r="EX141" s="2087"/>
      <c r="EY141" s="2087"/>
      <c r="EZ141" s="2087"/>
      <c r="FA141" s="2087"/>
      <c r="FB141" s="2087"/>
      <c r="FC141" s="2087"/>
      <c r="FD141" s="2087"/>
      <c r="FE141" s="2081"/>
      <c r="FF141" s="2082"/>
      <c r="FG141" s="2082"/>
      <c r="FH141" s="2082"/>
      <c r="FI141" s="2082"/>
      <c r="FJ141" s="2082"/>
      <c r="FK141" s="1565"/>
      <c r="FL141" s="1565"/>
      <c r="FM141" s="1565"/>
      <c r="FN141" s="1565"/>
      <c r="FO141" s="1565"/>
      <c r="FP141" s="1565"/>
      <c r="FQ141" s="1565"/>
      <c r="FR141" s="1565"/>
      <c r="FS141" s="1565"/>
      <c r="FT141" s="1565"/>
      <c r="FU141" s="1565"/>
      <c r="FV141" s="1565"/>
      <c r="FW141" s="1565"/>
      <c r="FX141" s="1565"/>
      <c r="FY141" s="1565"/>
      <c r="FZ141" s="1565"/>
      <c r="GA141" s="1565"/>
      <c r="GB141" s="1565"/>
      <c r="GC141" s="1565"/>
      <c r="GD141" s="1565"/>
      <c r="GE141" s="1565"/>
      <c r="GF141" s="1565"/>
      <c r="GG141" s="1565"/>
      <c r="GH141" s="1565"/>
      <c r="GI141" s="1565"/>
      <c r="GJ141" s="1565"/>
      <c r="GK141" s="1565"/>
      <c r="GL141" s="1565"/>
      <c r="GM141" s="1565"/>
      <c r="GN141" s="1565"/>
      <c r="GO141" s="1565"/>
      <c r="GP141" s="1565"/>
      <c r="GQ141" s="1565"/>
      <c r="GR141" s="1565"/>
      <c r="GS141" s="1565"/>
      <c r="GT141" s="1565"/>
      <c r="GU141" s="1565"/>
      <c r="GV141" s="1565"/>
      <c r="GW141" s="1565"/>
      <c r="GX141" s="1565"/>
      <c r="GY141" s="1565"/>
      <c r="GZ141" s="1565"/>
      <c r="HA141" s="1565"/>
      <c r="HB141" s="1565"/>
      <c r="HC141" s="1565"/>
      <c r="HD141" s="1565"/>
      <c r="HE141" s="1565"/>
      <c r="HF141" s="1565"/>
      <c r="HG141" s="1565"/>
      <c r="HH141" s="1565"/>
      <c r="HI141" s="1565"/>
      <c r="HJ141" s="1565"/>
      <c r="HK141" s="1565"/>
      <c r="HL141" s="1565"/>
      <c r="HM141" s="1565"/>
      <c r="HN141" s="1565"/>
      <c r="HO141" s="1565"/>
      <c r="HP141" s="1565"/>
      <c r="HQ141" s="1565"/>
      <c r="HR141" s="1565"/>
      <c r="HS141" s="1565"/>
      <c r="HT141" s="1565"/>
      <c r="HU141" s="1565"/>
      <c r="HV141" s="1565"/>
      <c r="HW141" s="1565"/>
      <c r="HX141" s="1565"/>
      <c r="HY141" s="1565"/>
      <c r="HZ141" s="1565"/>
      <c r="IA141" s="1565"/>
      <c r="IB141" s="1565"/>
      <c r="IC141" s="1565"/>
      <c r="ID141" s="1565"/>
      <c r="IE141" s="1565"/>
      <c r="IF141" s="1565"/>
      <c r="IG141" s="1565"/>
    </row>
    <row r="142" spans="1:241" s="1552" customFormat="1" ht="15.75" hidden="1" outlineLevel="2">
      <c r="A142" s="1549">
        <v>139</v>
      </c>
      <c r="B142" s="1567" t="s">
        <v>303</v>
      </c>
      <c r="C142" s="1567" t="s">
        <v>1972</v>
      </c>
      <c r="D142" s="1569" t="s">
        <v>1805</v>
      </c>
      <c r="E142" s="1570"/>
      <c r="F142" s="1571" t="s">
        <v>998</v>
      </c>
      <c r="G142" s="1572"/>
      <c r="H142" s="2073">
        <f>H132</f>
        <v>29950</v>
      </c>
      <c r="I142" s="2088">
        <f t="shared" ref="I142:P142" si="236">I132</f>
        <v>30550</v>
      </c>
      <c r="J142" s="2088">
        <f t="shared" si="236"/>
        <v>31050</v>
      </c>
      <c r="K142" s="2088">
        <f t="shared" si="236"/>
        <v>0</v>
      </c>
      <c r="L142" s="2088" t="e">
        <f t="shared" si="236"/>
        <v>#REF!</v>
      </c>
      <c r="M142" s="2088" t="e">
        <f t="shared" si="236"/>
        <v>#REF!</v>
      </c>
      <c r="N142" s="2088" t="e">
        <f t="shared" si="236"/>
        <v>#REF!</v>
      </c>
      <c r="O142" s="2088">
        <f t="shared" si="236"/>
        <v>32750</v>
      </c>
      <c r="P142" s="2088">
        <f t="shared" si="236"/>
        <v>33250</v>
      </c>
      <c r="Q142" s="2086"/>
      <c r="R142" s="2086"/>
      <c r="S142" s="2086"/>
      <c r="T142" s="2086"/>
      <c r="U142" s="2086"/>
      <c r="V142" s="2086"/>
      <c r="W142" s="2086"/>
      <c r="X142" s="2086"/>
      <c r="Y142" s="2086"/>
      <c r="Z142" s="2086"/>
      <c r="AA142" s="2086"/>
      <c r="AB142" s="2086"/>
      <c r="AC142" s="2086"/>
      <c r="AD142" s="2086"/>
      <c r="AE142" s="2086"/>
      <c r="AF142" s="2086"/>
      <c r="AG142" s="2086"/>
      <c r="AH142" s="2086"/>
      <c r="AI142" s="2086"/>
      <c r="AJ142" s="2086"/>
      <c r="AK142" s="2086"/>
      <c r="AL142" s="2086"/>
      <c r="AM142" s="2086"/>
      <c r="AN142" s="2086"/>
      <c r="AO142" s="2086"/>
      <c r="AP142" s="2086"/>
      <c r="AQ142" s="2086"/>
      <c r="AR142" s="2086"/>
      <c r="AS142" s="2086"/>
      <c r="AT142" s="2086"/>
      <c r="AU142" s="2086"/>
      <c r="AV142" s="2086"/>
      <c r="AW142" s="2086"/>
      <c r="AX142" s="2086"/>
      <c r="AY142" s="2087"/>
      <c r="AZ142" s="2087"/>
      <c r="BA142" s="2087"/>
      <c r="BB142" s="2087"/>
      <c r="BC142" s="2087"/>
      <c r="BD142" s="2087"/>
      <c r="BE142" s="2087"/>
      <c r="BF142" s="2087"/>
      <c r="BG142" s="2087"/>
      <c r="BH142" s="2087"/>
      <c r="BI142" s="2087"/>
      <c r="BJ142" s="2087"/>
      <c r="BK142" s="2087"/>
      <c r="BL142" s="2087"/>
      <c r="BM142" s="2087"/>
      <c r="BN142" s="2087"/>
      <c r="BO142" s="2087"/>
      <c r="BP142" s="2087"/>
      <c r="BQ142" s="2087"/>
      <c r="BR142" s="2087"/>
      <c r="BS142" s="2087"/>
      <c r="BT142" s="2087"/>
      <c r="BU142" s="2087"/>
      <c r="BV142" s="2087"/>
      <c r="BW142" s="2087"/>
      <c r="BX142" s="2087"/>
      <c r="BY142" s="2087"/>
      <c r="BZ142" s="2087"/>
      <c r="CA142" s="2087"/>
      <c r="CB142" s="2087"/>
      <c r="CC142" s="2087"/>
      <c r="CD142" s="2087"/>
      <c r="CE142" s="2088" t="e">
        <f t="shared" ref="CE142:DG142" si="237">CE132</f>
        <v>#REF!</v>
      </c>
      <c r="CF142" s="2088" t="e">
        <f t="shared" si="237"/>
        <v>#REF!</v>
      </c>
      <c r="CG142" s="2088">
        <f t="shared" si="237"/>
        <v>22000</v>
      </c>
      <c r="CH142" s="2088">
        <f t="shared" si="237"/>
        <v>22000</v>
      </c>
      <c r="CI142" s="2088">
        <f t="shared" si="237"/>
        <v>0</v>
      </c>
      <c r="CJ142" s="2088">
        <f t="shared" si="237"/>
        <v>0</v>
      </c>
      <c r="CK142" s="2088" t="e">
        <f t="shared" si="237"/>
        <v>#REF!</v>
      </c>
      <c r="CL142" s="2088">
        <f t="shared" si="237"/>
        <v>27200</v>
      </c>
      <c r="CM142" s="2088" t="e">
        <f t="shared" si="237"/>
        <v>#REF!</v>
      </c>
      <c r="CN142" s="2088"/>
      <c r="CO142" s="2088">
        <f t="shared" si="237"/>
        <v>19900</v>
      </c>
      <c r="CP142" s="2088">
        <f t="shared" si="237"/>
        <v>25100</v>
      </c>
      <c r="CQ142" s="2088"/>
      <c r="CR142" s="2088"/>
      <c r="CS142" s="2088">
        <f t="shared" si="237"/>
        <v>23500</v>
      </c>
      <c r="CT142" s="2088"/>
      <c r="CU142" s="2088">
        <f t="shared" si="237"/>
        <v>23000</v>
      </c>
      <c r="CV142" s="2088" t="e">
        <f t="shared" si="237"/>
        <v>#REF!</v>
      </c>
      <c r="CW142" s="2088" t="e">
        <f t="shared" si="237"/>
        <v>#REF!</v>
      </c>
      <c r="CX142" s="2088" t="e">
        <f t="shared" si="237"/>
        <v>#REF!</v>
      </c>
      <c r="CY142" s="2088" t="e">
        <f t="shared" si="237"/>
        <v>#REF!</v>
      </c>
      <c r="CZ142" s="2088" t="e">
        <f t="shared" si="237"/>
        <v>#REF!</v>
      </c>
      <c r="DA142" s="2088" t="e">
        <f t="shared" si="237"/>
        <v>#REF!</v>
      </c>
      <c r="DB142" s="2088">
        <f t="shared" si="237"/>
        <v>26650</v>
      </c>
      <c r="DC142" s="2088" t="e">
        <f t="shared" si="237"/>
        <v>#REF!</v>
      </c>
      <c r="DD142" s="2088" t="e">
        <f t="shared" si="237"/>
        <v>#REF!</v>
      </c>
      <c r="DE142" s="2088" t="e">
        <f t="shared" si="237"/>
        <v>#REF!</v>
      </c>
      <c r="DF142" s="2088" t="e">
        <f t="shared" si="237"/>
        <v>#REF!</v>
      </c>
      <c r="DG142" s="2088" t="e">
        <f t="shared" si="237"/>
        <v>#REF!</v>
      </c>
      <c r="DH142" s="2088"/>
      <c r="DI142" s="2088"/>
      <c r="DJ142" s="2088"/>
      <c r="DK142" s="2088"/>
      <c r="DL142" s="2088"/>
      <c r="DM142" s="2088"/>
      <c r="DN142" s="2088"/>
      <c r="DO142" s="2088"/>
      <c r="DP142" s="2088"/>
      <c r="DQ142" s="2088"/>
      <c r="DR142" s="2088"/>
      <c r="DS142" s="2088">
        <v>19050</v>
      </c>
      <c r="DT142" s="2088"/>
      <c r="DU142" s="2087"/>
      <c r="DV142" s="2087"/>
      <c r="DW142" s="2087"/>
      <c r="DX142" s="2087"/>
      <c r="DY142" s="2087"/>
      <c r="DZ142" s="2087"/>
      <c r="EA142" s="2087"/>
      <c r="EB142" s="2087"/>
      <c r="EC142" s="2087"/>
      <c r="ED142" s="2087"/>
      <c r="EE142" s="2087"/>
      <c r="EF142" s="2087"/>
      <c r="EG142" s="2087"/>
      <c r="EH142" s="2087"/>
      <c r="EI142" s="2087"/>
      <c r="EJ142" s="2087"/>
      <c r="EK142" s="2087"/>
      <c r="EL142" s="2087"/>
      <c r="EM142" s="2087"/>
      <c r="EN142" s="2087"/>
      <c r="EO142" s="2087"/>
      <c r="EP142" s="2087"/>
      <c r="EQ142" s="2087"/>
      <c r="ER142" s="2087"/>
      <c r="ES142" s="2087"/>
      <c r="ET142" s="2087"/>
      <c r="EU142" s="2087"/>
      <c r="EV142" s="2087"/>
      <c r="EW142" s="2087"/>
      <c r="EX142" s="2087"/>
      <c r="EY142" s="2087"/>
      <c r="EZ142" s="2087"/>
      <c r="FA142" s="2087"/>
      <c r="FB142" s="2087"/>
      <c r="FC142" s="2087"/>
      <c r="FD142" s="2087"/>
      <c r="FE142" s="2081"/>
      <c r="FF142" s="2082"/>
      <c r="FG142" s="2082"/>
      <c r="FH142" s="2082"/>
      <c r="FI142" s="2082"/>
      <c r="FJ142" s="2082"/>
      <c r="FK142" s="1565"/>
      <c r="FL142" s="1565"/>
      <c r="FM142" s="1565"/>
      <c r="FN142" s="1565"/>
      <c r="FO142" s="1565"/>
      <c r="FP142" s="1565"/>
      <c r="FQ142" s="1565"/>
      <c r="FR142" s="1565"/>
      <c r="FS142" s="1565"/>
      <c r="FT142" s="1565"/>
      <c r="FU142" s="1565"/>
      <c r="FV142" s="1565"/>
      <c r="FW142" s="1565"/>
      <c r="FX142" s="1565"/>
      <c r="FY142" s="1565"/>
      <c r="FZ142" s="1565"/>
      <c r="GA142" s="1565"/>
      <c r="GB142" s="1565"/>
      <c r="GC142" s="1565"/>
      <c r="GD142" s="1565"/>
      <c r="GE142" s="1565"/>
      <c r="GF142" s="1565"/>
      <c r="GG142" s="1565"/>
      <c r="GH142" s="1565"/>
      <c r="GI142" s="1565"/>
      <c r="GJ142" s="1565"/>
      <c r="GK142" s="1565"/>
      <c r="GL142" s="1565"/>
      <c r="GM142" s="1565"/>
      <c r="GN142" s="1565"/>
      <c r="GO142" s="1565"/>
      <c r="GP142" s="1565"/>
      <c r="GQ142" s="1565"/>
      <c r="GR142" s="1565"/>
      <c r="GS142" s="1565"/>
      <c r="GT142" s="1565"/>
      <c r="GU142" s="1565"/>
      <c r="GV142" s="1565"/>
      <c r="GW142" s="1565"/>
      <c r="GX142" s="1565"/>
      <c r="GY142" s="1565"/>
      <c r="GZ142" s="1565"/>
      <c r="HA142" s="1565"/>
      <c r="HB142" s="1565"/>
      <c r="HC142" s="1565"/>
      <c r="HD142" s="1565"/>
      <c r="HE142" s="1565"/>
      <c r="HF142" s="1565"/>
      <c r="HG142" s="1565"/>
      <c r="HH142" s="1565"/>
      <c r="HI142" s="1565"/>
      <c r="HJ142" s="1565"/>
      <c r="HK142" s="1565"/>
      <c r="HL142" s="1565"/>
      <c r="HM142" s="1565"/>
      <c r="HN142" s="1565"/>
      <c r="HO142" s="1565"/>
      <c r="HP142" s="1565"/>
      <c r="HQ142" s="1565"/>
      <c r="HR142" s="1565"/>
      <c r="HS142" s="1565"/>
      <c r="HT142" s="1565"/>
      <c r="HU142" s="1565"/>
      <c r="HV142" s="1565"/>
      <c r="HW142" s="1565"/>
      <c r="HX142" s="1565"/>
      <c r="HY142" s="1565"/>
      <c r="HZ142" s="1565"/>
      <c r="IA142" s="1565"/>
      <c r="IB142" s="1565"/>
      <c r="IC142" s="1565"/>
      <c r="ID142" s="1565"/>
      <c r="IE142" s="1565"/>
      <c r="IF142" s="1565"/>
      <c r="IG142" s="1565"/>
    </row>
    <row r="143" spans="1:241" s="1552" customFormat="1" ht="15.75" hidden="1" outlineLevel="2">
      <c r="A143" s="1552">
        <v>140</v>
      </c>
      <c r="B143" s="1567" t="s">
        <v>303</v>
      </c>
      <c r="C143" s="1567" t="s">
        <v>1972</v>
      </c>
      <c r="D143" s="1569" t="s">
        <v>1805</v>
      </c>
      <c r="E143" s="1570"/>
      <c r="F143" s="1571" t="s">
        <v>1788</v>
      </c>
      <c r="G143" s="1572" t="s">
        <v>1986</v>
      </c>
      <c r="H143" s="2073">
        <f>H132</f>
        <v>29950</v>
      </c>
      <c r="I143" s="2088">
        <f t="shared" ref="I143:P143" si="238">I132</f>
        <v>30550</v>
      </c>
      <c r="J143" s="2088">
        <f t="shared" si="238"/>
        <v>31050</v>
      </c>
      <c r="K143" s="2088">
        <f t="shared" si="238"/>
        <v>0</v>
      </c>
      <c r="L143" s="2088" t="e">
        <f t="shared" si="238"/>
        <v>#REF!</v>
      </c>
      <c r="M143" s="2088" t="e">
        <f t="shared" si="238"/>
        <v>#REF!</v>
      </c>
      <c r="N143" s="2088" t="e">
        <f t="shared" si="238"/>
        <v>#REF!</v>
      </c>
      <c r="O143" s="2088">
        <f t="shared" si="238"/>
        <v>32750</v>
      </c>
      <c r="P143" s="2088">
        <f t="shared" si="238"/>
        <v>33250</v>
      </c>
      <c r="Q143" s="2086"/>
      <c r="R143" s="2086"/>
      <c r="S143" s="2086"/>
      <c r="T143" s="2086"/>
      <c r="U143" s="2086"/>
      <c r="V143" s="2086"/>
      <c r="W143" s="2086"/>
      <c r="X143" s="2086"/>
      <c r="Y143" s="2086"/>
      <c r="Z143" s="2086"/>
      <c r="AA143" s="2086"/>
      <c r="AB143" s="2086"/>
      <c r="AC143" s="2086"/>
      <c r="AD143" s="2086"/>
      <c r="AE143" s="2086"/>
      <c r="AF143" s="2086"/>
      <c r="AG143" s="2086"/>
      <c r="AH143" s="2086"/>
      <c r="AI143" s="2086"/>
      <c r="AJ143" s="2086"/>
      <c r="AK143" s="2086"/>
      <c r="AL143" s="2086"/>
      <c r="AM143" s="2086"/>
      <c r="AN143" s="2086"/>
      <c r="AO143" s="2086"/>
      <c r="AP143" s="2086"/>
      <c r="AQ143" s="2086"/>
      <c r="AR143" s="2086"/>
      <c r="AS143" s="2086"/>
      <c r="AT143" s="2086"/>
      <c r="AU143" s="2086"/>
      <c r="AV143" s="2086"/>
      <c r="AW143" s="2086"/>
      <c r="AX143" s="2086"/>
      <c r="AY143" s="2087"/>
      <c r="AZ143" s="2087"/>
      <c r="BA143" s="2087"/>
      <c r="BB143" s="2087"/>
      <c r="BC143" s="2087"/>
      <c r="BD143" s="2087"/>
      <c r="BE143" s="2087"/>
      <c r="BF143" s="2087"/>
      <c r="BG143" s="2087"/>
      <c r="BH143" s="2087"/>
      <c r="BI143" s="2087"/>
      <c r="BJ143" s="2087"/>
      <c r="BK143" s="2087"/>
      <c r="BL143" s="2087"/>
      <c r="BM143" s="2087"/>
      <c r="BN143" s="2087"/>
      <c r="BO143" s="2087"/>
      <c r="BP143" s="2087"/>
      <c r="BQ143" s="2087"/>
      <c r="BR143" s="2087"/>
      <c r="BS143" s="2087"/>
      <c r="BT143" s="2087"/>
      <c r="BU143" s="2087"/>
      <c r="BV143" s="2087"/>
      <c r="BW143" s="2087"/>
      <c r="BX143" s="2087"/>
      <c r="BY143" s="2087"/>
      <c r="BZ143" s="2087"/>
      <c r="CA143" s="2087"/>
      <c r="CB143" s="2087"/>
      <c r="CC143" s="2087"/>
      <c r="CD143" s="2087"/>
      <c r="CE143" s="2088" t="e">
        <f t="shared" ref="CE143:DG143" si="239">CE132</f>
        <v>#REF!</v>
      </c>
      <c r="CF143" s="2088" t="e">
        <f t="shared" si="239"/>
        <v>#REF!</v>
      </c>
      <c r="CG143" s="2088">
        <f t="shared" si="239"/>
        <v>22000</v>
      </c>
      <c r="CH143" s="2088">
        <f t="shared" si="239"/>
        <v>22000</v>
      </c>
      <c r="CI143" s="2088">
        <f t="shared" si="239"/>
        <v>0</v>
      </c>
      <c r="CJ143" s="2088">
        <f t="shared" si="239"/>
        <v>0</v>
      </c>
      <c r="CK143" s="2088" t="e">
        <f t="shared" si="239"/>
        <v>#REF!</v>
      </c>
      <c r="CL143" s="2088">
        <f t="shared" si="239"/>
        <v>27200</v>
      </c>
      <c r="CM143" s="2088" t="e">
        <f t="shared" si="239"/>
        <v>#REF!</v>
      </c>
      <c r="CN143" s="2088"/>
      <c r="CO143" s="2088">
        <f t="shared" si="239"/>
        <v>19900</v>
      </c>
      <c r="CP143" s="2088">
        <f t="shared" si="239"/>
        <v>25100</v>
      </c>
      <c r="CQ143" s="2088"/>
      <c r="CR143" s="2088"/>
      <c r="CS143" s="2088">
        <f t="shared" si="239"/>
        <v>23500</v>
      </c>
      <c r="CT143" s="2088"/>
      <c r="CU143" s="2088">
        <f t="shared" si="239"/>
        <v>23000</v>
      </c>
      <c r="CV143" s="2088" t="e">
        <f t="shared" si="239"/>
        <v>#REF!</v>
      </c>
      <c r="CW143" s="2088" t="e">
        <f t="shared" si="239"/>
        <v>#REF!</v>
      </c>
      <c r="CX143" s="2088" t="e">
        <f t="shared" si="239"/>
        <v>#REF!</v>
      </c>
      <c r="CY143" s="2088" t="e">
        <f t="shared" si="239"/>
        <v>#REF!</v>
      </c>
      <c r="CZ143" s="2088" t="e">
        <f t="shared" si="239"/>
        <v>#REF!</v>
      </c>
      <c r="DA143" s="2088" t="e">
        <f t="shared" si="239"/>
        <v>#REF!</v>
      </c>
      <c r="DB143" s="2088">
        <f t="shared" si="239"/>
        <v>26650</v>
      </c>
      <c r="DC143" s="2088" t="e">
        <f t="shared" si="239"/>
        <v>#REF!</v>
      </c>
      <c r="DD143" s="2088" t="e">
        <f t="shared" si="239"/>
        <v>#REF!</v>
      </c>
      <c r="DE143" s="2088" t="e">
        <f t="shared" si="239"/>
        <v>#REF!</v>
      </c>
      <c r="DF143" s="2088" t="e">
        <f t="shared" si="239"/>
        <v>#REF!</v>
      </c>
      <c r="DG143" s="2088" t="e">
        <f t="shared" si="239"/>
        <v>#REF!</v>
      </c>
      <c r="DH143" s="2088"/>
      <c r="DI143" s="2088"/>
      <c r="DJ143" s="2088"/>
      <c r="DK143" s="2088"/>
      <c r="DL143" s="2088"/>
      <c r="DM143" s="2088"/>
      <c r="DN143" s="2088"/>
      <c r="DO143" s="2088"/>
      <c r="DP143" s="2088"/>
      <c r="DQ143" s="2088"/>
      <c r="DR143" s="2088"/>
      <c r="DS143" s="2088">
        <f>DS137*1.2</f>
        <v>22860</v>
      </c>
      <c r="DT143" s="2088"/>
      <c r="DU143" s="2087"/>
      <c r="DV143" s="2087"/>
      <c r="DW143" s="2087"/>
      <c r="DX143" s="2087"/>
      <c r="DY143" s="2087"/>
      <c r="DZ143" s="2087"/>
      <c r="EA143" s="2087"/>
      <c r="EB143" s="2087"/>
      <c r="EC143" s="2087"/>
      <c r="ED143" s="2087"/>
      <c r="EE143" s="2087"/>
      <c r="EF143" s="2087"/>
      <c r="EG143" s="2087"/>
      <c r="EH143" s="2087"/>
      <c r="EI143" s="2087"/>
      <c r="EJ143" s="2087"/>
      <c r="EK143" s="2087"/>
      <c r="EL143" s="2087"/>
      <c r="EM143" s="2087"/>
      <c r="EN143" s="2087"/>
      <c r="EO143" s="2087"/>
      <c r="EP143" s="2087"/>
      <c r="EQ143" s="2087"/>
      <c r="ER143" s="2087"/>
      <c r="ES143" s="2087"/>
      <c r="ET143" s="2087"/>
      <c r="EU143" s="2087"/>
      <c r="EV143" s="2087"/>
      <c r="EW143" s="2087"/>
      <c r="EX143" s="2087"/>
      <c r="EY143" s="2087"/>
      <c r="EZ143" s="2087"/>
      <c r="FA143" s="2087"/>
      <c r="FB143" s="2087"/>
      <c r="FC143" s="2087"/>
      <c r="FD143" s="2087"/>
      <c r="FE143" s="2081"/>
      <c r="FF143" s="2082"/>
      <c r="FG143" s="2082"/>
      <c r="FH143" s="2082"/>
      <c r="FI143" s="2082"/>
      <c r="FJ143" s="2082"/>
      <c r="FK143" s="1565"/>
      <c r="FL143" s="1565"/>
      <c r="FM143" s="1565"/>
      <c r="FN143" s="1565"/>
      <c r="FO143" s="1565"/>
      <c r="FP143" s="1565"/>
      <c r="FQ143" s="1565"/>
      <c r="FR143" s="1565"/>
      <c r="FS143" s="1565"/>
      <c r="FT143" s="1565"/>
      <c r="FU143" s="1565"/>
      <c r="FV143" s="1565"/>
      <c r="FW143" s="1565"/>
      <c r="FX143" s="1565"/>
      <c r="FY143" s="1565"/>
      <c r="FZ143" s="1565"/>
      <c r="GA143" s="1565"/>
      <c r="GB143" s="1565"/>
      <c r="GC143" s="1565"/>
      <c r="GD143" s="1565"/>
      <c r="GE143" s="1565"/>
      <c r="GF143" s="1565"/>
      <c r="GG143" s="1565"/>
      <c r="GH143" s="1565"/>
      <c r="GI143" s="1565"/>
      <c r="GJ143" s="1565"/>
      <c r="GK143" s="1565"/>
      <c r="GL143" s="1565"/>
      <c r="GM143" s="1565"/>
      <c r="GN143" s="1565"/>
      <c r="GO143" s="1565"/>
      <c r="GP143" s="1565"/>
      <c r="GQ143" s="1565"/>
      <c r="GR143" s="1565"/>
      <c r="GS143" s="1565"/>
      <c r="GT143" s="1565"/>
      <c r="GU143" s="1565"/>
      <c r="GV143" s="1565"/>
      <c r="GW143" s="1565"/>
      <c r="GX143" s="1565"/>
      <c r="GY143" s="1565"/>
      <c r="GZ143" s="1565"/>
      <c r="HA143" s="1565"/>
      <c r="HB143" s="1565"/>
      <c r="HC143" s="1565"/>
      <c r="HD143" s="1565"/>
      <c r="HE143" s="1565"/>
      <c r="HF143" s="1565"/>
      <c r="HG143" s="1565"/>
      <c r="HH143" s="1565"/>
      <c r="HI143" s="1565"/>
      <c r="HJ143" s="1565"/>
      <c r="HK143" s="1565"/>
      <c r="HL143" s="1565"/>
      <c r="HM143" s="1565"/>
      <c r="HN143" s="1565"/>
      <c r="HO143" s="1565"/>
      <c r="HP143" s="1565"/>
      <c r="HQ143" s="1565"/>
      <c r="HR143" s="1565"/>
      <c r="HS143" s="1565"/>
      <c r="HT143" s="1565"/>
      <c r="HU143" s="1565"/>
      <c r="HV143" s="1565"/>
      <c r="HW143" s="1565"/>
      <c r="HX143" s="1565"/>
      <c r="HY143" s="1565"/>
      <c r="HZ143" s="1565"/>
      <c r="IA143" s="1565"/>
      <c r="IB143" s="1565"/>
      <c r="IC143" s="1565"/>
      <c r="ID143" s="1565"/>
      <c r="IE143" s="1565"/>
      <c r="IF143" s="1565"/>
      <c r="IG143" s="1565"/>
    </row>
    <row r="144" spans="1:241" s="1549" customFormat="1" ht="24" hidden="1" outlineLevel="1" collapsed="1">
      <c r="A144" s="1549">
        <v>141</v>
      </c>
      <c r="B144" s="1573" t="s">
        <v>303</v>
      </c>
      <c r="C144" s="1574" t="s">
        <v>1973</v>
      </c>
      <c r="D144" s="1574" t="s">
        <v>1806</v>
      </c>
      <c r="E144" s="1575"/>
      <c r="F144" s="1574" t="s">
        <v>1790</v>
      </c>
      <c r="G144" s="1584"/>
      <c r="H144" s="2110" t="e">
        <f>'Classic Rimini '!#REF!</f>
        <v>#REF!</v>
      </c>
      <c r="I144" s="2110" t="e">
        <f>'Classic Rimini '!#REF!</f>
        <v>#REF!</v>
      </c>
      <c r="J144" s="2110" t="e">
        <f>'Classic Rimini '!#REF!</f>
        <v>#REF!</v>
      </c>
      <c r="K144" s="2110" t="e">
        <f>'Classic Rimini '!#REF!</f>
        <v>#REF!</v>
      </c>
      <c r="L144" s="2110" t="e">
        <f>'Classic Rimini '!#REF!</f>
        <v>#REF!</v>
      </c>
      <c r="M144" s="2110" t="e">
        <f>'Classic Rimini '!#REF!</f>
        <v>#REF!</v>
      </c>
      <c r="N144" s="2110" t="e">
        <f>'Classic Rimini '!#REF!</f>
        <v>#REF!</v>
      </c>
      <c r="O144" s="2110" t="e">
        <f>'Classic Rimini '!#REF!+'Classic Rimini '!H21</f>
        <v>#REF!</v>
      </c>
      <c r="P144" s="2110" t="e">
        <f>'Classic Rimini '!#REF!+'Classic Rimini '!I21</f>
        <v>#REF!</v>
      </c>
      <c r="Q144" s="2111"/>
      <c r="R144" s="2111"/>
      <c r="S144" s="2111"/>
      <c r="T144" s="2111"/>
      <c r="U144" s="2111"/>
      <c r="V144" s="2111"/>
      <c r="W144" s="2111"/>
      <c r="X144" s="2111"/>
      <c r="Y144" s="2111"/>
      <c r="Z144" s="2111"/>
      <c r="AA144" s="2111"/>
      <c r="AB144" s="2111"/>
      <c r="AC144" s="2111"/>
      <c r="AD144" s="2111"/>
      <c r="AE144" s="2111"/>
      <c r="AF144" s="2111"/>
      <c r="AG144" s="2111"/>
      <c r="AH144" s="2111"/>
      <c r="AI144" s="2111"/>
      <c r="AJ144" s="2111"/>
      <c r="AK144" s="2111"/>
      <c r="AL144" s="2111"/>
      <c r="AM144" s="2111"/>
      <c r="AN144" s="2111"/>
      <c r="AO144" s="2111"/>
      <c r="AP144" s="2111"/>
      <c r="AQ144" s="2111"/>
      <c r="AR144" s="2111"/>
      <c r="AS144" s="2111"/>
      <c r="AT144" s="2111"/>
      <c r="AU144" s="2111"/>
      <c r="AV144" s="2111"/>
      <c r="AW144" s="2111"/>
      <c r="AX144" s="2111"/>
      <c r="AY144" s="2112"/>
      <c r="AZ144" s="2112"/>
      <c r="BA144" s="2112"/>
      <c r="BB144" s="2112"/>
      <c r="BC144" s="2112"/>
      <c r="BD144" s="2112"/>
      <c r="BE144" s="2112"/>
      <c r="BF144" s="2112"/>
      <c r="BG144" s="2112"/>
      <c r="BH144" s="2112"/>
      <c r="BI144" s="2112"/>
      <c r="BJ144" s="2112"/>
      <c r="BK144" s="2112"/>
      <c r="BL144" s="2112"/>
      <c r="BM144" s="2112"/>
      <c r="BN144" s="2112"/>
      <c r="BO144" s="2112"/>
      <c r="BP144" s="2112"/>
      <c r="BQ144" s="2112"/>
      <c r="BR144" s="2112"/>
      <c r="BS144" s="2112"/>
      <c r="BT144" s="2112"/>
      <c r="BU144" s="2112"/>
      <c r="BV144" s="2112"/>
      <c r="BW144" s="2112"/>
      <c r="BX144" s="2112"/>
      <c r="BY144" s="2112"/>
      <c r="BZ144" s="2112"/>
      <c r="CA144" s="2112"/>
      <c r="CB144" s="2112"/>
      <c r="CC144" s="2112"/>
      <c r="CD144" s="2112"/>
      <c r="CE144" s="2110" t="e">
        <f>Neoclassic!#REF!</f>
        <v>#REF!</v>
      </c>
      <c r="CF144" s="2110" t="e">
        <f>Neoclassic!#REF!</f>
        <v>#REF!</v>
      </c>
      <c r="CG144" s="2110" t="e">
        <f>Neoclassic!#REF!</f>
        <v>#REF!</v>
      </c>
      <c r="CH144" s="2110" t="e">
        <f>Neoclassic!#REF!</f>
        <v>#REF!</v>
      </c>
      <c r="CI144" s="2110" t="e">
        <f>Neoclassic!#REF!</f>
        <v>#REF!</v>
      </c>
      <c r="CJ144" s="2110"/>
      <c r="CK144" s="2110" t="e">
        <f>#REF!</f>
        <v>#REF!</v>
      </c>
      <c r="CL144" s="2110" t="e">
        <f>Neoclassic!#REF!</f>
        <v>#REF!</v>
      </c>
      <c r="CM144" s="2110" t="e">
        <f>#REF!</f>
        <v>#REF!</v>
      </c>
      <c r="CN144" s="2110"/>
      <c r="CO144" s="2110" t="e">
        <f>Standart!#REF!</f>
        <v>#REF!</v>
      </c>
      <c r="CP144" s="2110" t="e">
        <f>Standart!#REF!</f>
        <v>#REF!</v>
      </c>
      <c r="CQ144" s="2110"/>
      <c r="CR144" s="2110"/>
      <c r="CS144" s="2110" t="e">
        <f>Standart!#REF!</f>
        <v>#REF!</v>
      </c>
      <c r="CT144" s="2110"/>
      <c r="CU144" s="2110" t="e">
        <f>Standart!#REF!</f>
        <v>#REF!</v>
      </c>
      <c r="CV144" s="2110" t="e">
        <f>'Standart Strada2'!H18</f>
        <v>#REF!</v>
      </c>
      <c r="CW144" s="2110" t="e">
        <f>'Standart Strada2'!J18</f>
        <v>#REF!</v>
      </c>
      <c r="CX144" s="2110" t="e">
        <f>'Standart Strada2'!L18</f>
        <v>#REF!</v>
      </c>
      <c r="CY144" s="2110" t="e">
        <f>'Standart Strada2'!N18</f>
        <v>#REF!</v>
      </c>
      <c r="CZ144" s="2110" t="e">
        <f>'Standart Vario'!G18</f>
        <v>#REF!</v>
      </c>
      <c r="DA144" s="2110" t="e">
        <f>'Standart Vario'!H18</f>
        <v>#REF!</v>
      </c>
      <c r="DB144" s="2110" t="e">
        <f>Standart!#REF!</f>
        <v>#REF!</v>
      </c>
      <c r="DC144" s="2110" t="e">
        <f>'Standart Vario'!J18</f>
        <v>#REF!</v>
      </c>
      <c r="DD144" s="2110" t="e">
        <f>'Standart Vario'!K18</f>
        <v>#REF!</v>
      </c>
      <c r="DE144" s="2110" t="e">
        <f>'Standart Vario'!L18</f>
        <v>#REF!</v>
      </c>
      <c r="DF144" s="2110" t="e">
        <f>'Standart Vario'!M18</f>
        <v>#REF!</v>
      </c>
      <c r="DG144" s="2110" t="e">
        <f>'Standart Vario'!N18</f>
        <v>#REF!</v>
      </c>
      <c r="DH144" s="2110"/>
      <c r="DI144" s="2110"/>
      <c r="DJ144" s="2110"/>
      <c r="DK144" s="2110"/>
      <c r="DL144" s="2110"/>
      <c r="DM144" s="2110"/>
      <c r="DN144" s="2110"/>
      <c r="DO144" s="2110"/>
      <c r="DP144" s="2110"/>
      <c r="DQ144" s="2110"/>
      <c r="DR144" s="2110"/>
      <c r="DS144" s="2110">
        <v>20300</v>
      </c>
      <c r="DT144" s="2110"/>
      <c r="DU144" s="2112"/>
      <c r="DV144" s="2112"/>
      <c r="DW144" s="2112"/>
      <c r="DX144" s="2112"/>
      <c r="DY144" s="2112"/>
      <c r="DZ144" s="2112"/>
      <c r="EA144" s="2112"/>
      <c r="EB144" s="2112"/>
      <c r="EC144" s="2112"/>
      <c r="ED144" s="2112"/>
      <c r="EE144" s="2112"/>
      <c r="EF144" s="2112"/>
      <c r="EG144" s="2112"/>
      <c r="EH144" s="2112"/>
      <c r="EI144" s="2112"/>
      <c r="EJ144" s="2112"/>
      <c r="EK144" s="2112"/>
      <c r="EL144" s="2112"/>
      <c r="EM144" s="2112"/>
      <c r="EN144" s="2112"/>
      <c r="EO144" s="2112"/>
      <c r="EP144" s="2112"/>
      <c r="EQ144" s="2112"/>
      <c r="ER144" s="2112"/>
      <c r="ES144" s="2112"/>
      <c r="ET144" s="2110" t="e">
        <f>Design!#REF!</f>
        <v>#REF!</v>
      </c>
      <c r="EU144" s="2110" t="e">
        <f>Design!#REF!</f>
        <v>#REF!</v>
      </c>
      <c r="EV144" s="2110" t="e">
        <f>Design!#REF!</f>
        <v>#REF!</v>
      </c>
      <c r="EW144" s="2110" t="e">
        <f>Design!#REF!</f>
        <v>#REF!</v>
      </c>
      <c r="EX144" s="2110" t="e">
        <f>Design!#REF!</f>
        <v>#REF!</v>
      </c>
      <c r="EY144" s="2110" t="e">
        <f>Design!#REF!</f>
        <v>#REF!</v>
      </c>
      <c r="EZ144" s="2112"/>
      <c r="FA144" s="2112"/>
      <c r="FB144" s="2095"/>
      <c r="FC144" s="2095"/>
      <c r="FD144" s="2095"/>
      <c r="FE144" s="2113"/>
      <c r="FF144" s="2109"/>
      <c r="FG144" s="2109"/>
      <c r="FH144" s="2109"/>
      <c r="FI144" s="2109"/>
      <c r="FJ144" s="2109"/>
      <c r="FK144" s="1582"/>
      <c r="FL144" s="1582"/>
      <c r="FM144" s="1582"/>
      <c r="FN144" s="1582"/>
      <c r="FO144" s="1582"/>
      <c r="FP144" s="1582"/>
      <c r="FQ144" s="1582"/>
      <c r="FR144" s="1582"/>
      <c r="FS144" s="1582"/>
      <c r="FT144" s="1582"/>
      <c r="FU144" s="1582"/>
      <c r="FV144" s="1582"/>
      <c r="FW144" s="1582"/>
      <c r="FX144" s="1582"/>
      <c r="FY144" s="1582"/>
      <c r="FZ144" s="1582"/>
      <c r="GA144" s="1582"/>
      <c r="GB144" s="1582"/>
      <c r="GC144" s="1582"/>
      <c r="GD144" s="1582"/>
      <c r="GE144" s="1582"/>
      <c r="GF144" s="1582"/>
      <c r="GG144" s="1582"/>
      <c r="GH144" s="1582"/>
      <c r="GI144" s="1582"/>
      <c r="GJ144" s="1582"/>
      <c r="GK144" s="1582"/>
      <c r="GL144" s="1582"/>
      <c r="GM144" s="1582"/>
      <c r="GN144" s="1582"/>
      <c r="GO144" s="1582"/>
      <c r="GP144" s="1582"/>
      <c r="GQ144" s="1582"/>
      <c r="GR144" s="1582"/>
      <c r="GS144" s="1582"/>
      <c r="GT144" s="1582"/>
      <c r="GU144" s="1582"/>
      <c r="GV144" s="1582"/>
      <c r="GW144" s="1582"/>
      <c r="GX144" s="1582"/>
      <c r="GY144" s="1582"/>
      <c r="GZ144" s="1582"/>
      <c r="HA144" s="1582"/>
      <c r="HB144" s="1582"/>
      <c r="HC144" s="1582"/>
      <c r="HD144" s="1582"/>
      <c r="HE144" s="1582"/>
      <c r="HF144" s="1582"/>
      <c r="HG144" s="1582"/>
      <c r="HH144" s="1582"/>
      <c r="HI144" s="1582"/>
      <c r="HJ144" s="1582"/>
      <c r="HK144" s="1582"/>
      <c r="HL144" s="1582"/>
      <c r="HM144" s="1582"/>
      <c r="HN144" s="1582"/>
      <c r="HO144" s="1582"/>
      <c r="HP144" s="1582"/>
      <c r="HQ144" s="1582"/>
      <c r="HR144" s="1582"/>
      <c r="HS144" s="1582"/>
      <c r="HT144" s="1582"/>
      <c r="HU144" s="1582"/>
      <c r="HV144" s="1582"/>
      <c r="HW144" s="1582"/>
      <c r="HX144" s="1582"/>
      <c r="HY144" s="1582"/>
      <c r="HZ144" s="1582"/>
      <c r="IA144" s="1582"/>
      <c r="IB144" s="1582"/>
      <c r="IC144" s="1582"/>
      <c r="ID144" s="1582"/>
      <c r="IE144" s="1582"/>
      <c r="IF144" s="1582"/>
      <c r="IG144" s="1582"/>
    </row>
    <row r="145" spans="1:241" s="1552" customFormat="1" ht="36" hidden="1" outlineLevel="2">
      <c r="A145" s="1552">
        <v>142</v>
      </c>
      <c r="B145" s="1573" t="s">
        <v>303</v>
      </c>
      <c r="C145" s="1574" t="s">
        <v>1974</v>
      </c>
      <c r="D145" s="1576" t="s">
        <v>1806</v>
      </c>
      <c r="E145" s="1575"/>
      <c r="F145" s="1576" t="s">
        <v>1791</v>
      </c>
      <c r="G145" s="1577" t="s">
        <v>1987</v>
      </c>
      <c r="H145" s="2095" t="e">
        <f>H144</f>
        <v>#REF!</v>
      </c>
      <c r="I145" s="2095" t="e">
        <f t="shared" ref="I145:P145" si="240">I144</f>
        <v>#REF!</v>
      </c>
      <c r="J145" s="2095" t="e">
        <f t="shared" si="240"/>
        <v>#REF!</v>
      </c>
      <c r="K145" s="2095" t="e">
        <f t="shared" si="240"/>
        <v>#REF!</v>
      </c>
      <c r="L145" s="2095" t="e">
        <f t="shared" si="240"/>
        <v>#REF!</v>
      </c>
      <c r="M145" s="2095" t="e">
        <f t="shared" si="240"/>
        <v>#REF!</v>
      </c>
      <c r="N145" s="2095" t="e">
        <f t="shared" si="240"/>
        <v>#REF!</v>
      </c>
      <c r="O145" s="2095" t="e">
        <f t="shared" si="240"/>
        <v>#REF!</v>
      </c>
      <c r="P145" s="2095" t="e">
        <f t="shared" si="240"/>
        <v>#REF!</v>
      </c>
      <c r="Q145" s="2093"/>
      <c r="R145" s="2093"/>
      <c r="S145" s="2093"/>
      <c r="T145" s="2093"/>
      <c r="U145" s="2093"/>
      <c r="V145" s="2093"/>
      <c r="W145" s="2093"/>
      <c r="X145" s="2093"/>
      <c r="Y145" s="2093"/>
      <c r="Z145" s="2093"/>
      <c r="AA145" s="2093"/>
      <c r="AB145" s="2093"/>
      <c r="AC145" s="2093"/>
      <c r="AD145" s="2093"/>
      <c r="AE145" s="2093"/>
      <c r="AF145" s="2093"/>
      <c r="AG145" s="2093"/>
      <c r="AH145" s="2093"/>
      <c r="AI145" s="2093"/>
      <c r="AJ145" s="2093"/>
      <c r="AK145" s="2093"/>
      <c r="AL145" s="2093"/>
      <c r="AM145" s="2093"/>
      <c r="AN145" s="2093"/>
      <c r="AO145" s="2093"/>
      <c r="AP145" s="2093"/>
      <c r="AQ145" s="2093"/>
      <c r="AR145" s="2093"/>
      <c r="AS145" s="2093"/>
      <c r="AT145" s="2093"/>
      <c r="AU145" s="2093"/>
      <c r="AV145" s="2093"/>
      <c r="AW145" s="2093"/>
      <c r="AX145" s="2093"/>
      <c r="AY145" s="2094"/>
      <c r="AZ145" s="2094"/>
      <c r="BA145" s="2094"/>
      <c r="BB145" s="2094"/>
      <c r="BC145" s="2094"/>
      <c r="BD145" s="2094"/>
      <c r="BE145" s="2094"/>
      <c r="BF145" s="2094"/>
      <c r="BG145" s="2094"/>
      <c r="BH145" s="2094"/>
      <c r="BI145" s="2094"/>
      <c r="BJ145" s="2094"/>
      <c r="BK145" s="2094"/>
      <c r="BL145" s="2094"/>
      <c r="BM145" s="2094"/>
      <c r="BN145" s="2094"/>
      <c r="BO145" s="2094"/>
      <c r="BP145" s="2094"/>
      <c r="BQ145" s="2094"/>
      <c r="BR145" s="2094"/>
      <c r="BS145" s="2094"/>
      <c r="BT145" s="2094"/>
      <c r="BU145" s="2094"/>
      <c r="BV145" s="2094"/>
      <c r="BW145" s="2094"/>
      <c r="BX145" s="2094"/>
      <c r="BY145" s="2094"/>
      <c r="BZ145" s="2094"/>
      <c r="CA145" s="2094"/>
      <c r="CB145" s="2094"/>
      <c r="CC145" s="2094"/>
      <c r="CD145" s="2094"/>
      <c r="CE145" s="2095" t="e">
        <f>CE144</f>
        <v>#REF!</v>
      </c>
      <c r="CF145" s="2095" t="e">
        <f t="shared" ref="CF145:DG145" si="241">CF144</f>
        <v>#REF!</v>
      </c>
      <c r="CG145" s="2095" t="e">
        <f t="shared" si="241"/>
        <v>#REF!</v>
      </c>
      <c r="CH145" s="2095" t="e">
        <f t="shared" si="241"/>
        <v>#REF!</v>
      </c>
      <c r="CI145" s="2095" t="e">
        <f t="shared" si="241"/>
        <v>#REF!</v>
      </c>
      <c r="CJ145" s="2095">
        <f t="shared" si="241"/>
        <v>0</v>
      </c>
      <c r="CK145" s="2095" t="e">
        <f t="shared" si="241"/>
        <v>#REF!</v>
      </c>
      <c r="CL145" s="2095" t="e">
        <f t="shared" si="241"/>
        <v>#REF!</v>
      </c>
      <c r="CM145" s="2095" t="e">
        <f t="shared" si="241"/>
        <v>#REF!</v>
      </c>
      <c r="CN145" s="2095"/>
      <c r="CO145" s="2095" t="e">
        <f t="shared" si="241"/>
        <v>#REF!</v>
      </c>
      <c r="CP145" s="2095" t="e">
        <f t="shared" si="241"/>
        <v>#REF!</v>
      </c>
      <c r="CQ145" s="2095"/>
      <c r="CR145" s="2095"/>
      <c r="CS145" s="2095" t="e">
        <f t="shared" si="241"/>
        <v>#REF!</v>
      </c>
      <c r="CT145" s="2095"/>
      <c r="CU145" s="2095" t="e">
        <f t="shared" si="241"/>
        <v>#REF!</v>
      </c>
      <c r="CV145" s="2095" t="e">
        <f t="shared" si="241"/>
        <v>#REF!</v>
      </c>
      <c r="CW145" s="2095" t="e">
        <f t="shared" si="241"/>
        <v>#REF!</v>
      </c>
      <c r="CX145" s="2095" t="e">
        <f t="shared" si="241"/>
        <v>#REF!</v>
      </c>
      <c r="CY145" s="2095" t="e">
        <f t="shared" si="241"/>
        <v>#REF!</v>
      </c>
      <c r="CZ145" s="2095" t="e">
        <f t="shared" si="241"/>
        <v>#REF!</v>
      </c>
      <c r="DA145" s="2095" t="e">
        <f t="shared" si="241"/>
        <v>#REF!</v>
      </c>
      <c r="DB145" s="2095" t="e">
        <f t="shared" si="241"/>
        <v>#REF!</v>
      </c>
      <c r="DC145" s="2095" t="e">
        <f t="shared" si="241"/>
        <v>#REF!</v>
      </c>
      <c r="DD145" s="2095" t="e">
        <f t="shared" si="241"/>
        <v>#REF!</v>
      </c>
      <c r="DE145" s="2095" t="e">
        <f t="shared" si="241"/>
        <v>#REF!</v>
      </c>
      <c r="DF145" s="2095" t="e">
        <f t="shared" si="241"/>
        <v>#REF!</v>
      </c>
      <c r="DG145" s="2095" t="e">
        <f t="shared" si="241"/>
        <v>#REF!</v>
      </c>
      <c r="DH145" s="2095"/>
      <c r="DI145" s="2095"/>
      <c r="DJ145" s="2095"/>
      <c r="DK145" s="2095"/>
      <c r="DL145" s="2095"/>
      <c r="DM145" s="2095"/>
      <c r="DN145" s="2095"/>
      <c r="DO145" s="2095"/>
      <c r="DP145" s="2095"/>
      <c r="DQ145" s="2095"/>
      <c r="DR145" s="2095"/>
      <c r="DS145" s="2095">
        <v>20300</v>
      </c>
      <c r="DT145" s="2095"/>
      <c r="DU145" s="2094"/>
      <c r="DV145" s="2094"/>
      <c r="DW145" s="2094"/>
      <c r="DX145" s="2094"/>
      <c r="DY145" s="2094"/>
      <c r="DZ145" s="2094"/>
      <c r="EA145" s="2094"/>
      <c r="EB145" s="2094"/>
      <c r="EC145" s="2094"/>
      <c r="ED145" s="2094"/>
      <c r="EE145" s="2094"/>
      <c r="EF145" s="2094"/>
      <c r="EG145" s="2094"/>
      <c r="EH145" s="2094"/>
      <c r="EI145" s="2094"/>
      <c r="EJ145" s="2094"/>
      <c r="EK145" s="2094"/>
      <c r="EL145" s="2094"/>
      <c r="EM145" s="2094"/>
      <c r="EN145" s="2094"/>
      <c r="EO145" s="2094"/>
      <c r="EP145" s="2094"/>
      <c r="EQ145" s="2094"/>
      <c r="ER145" s="2094"/>
      <c r="ES145" s="2094"/>
      <c r="ET145" s="2095" t="e">
        <f t="shared" ref="ET145:EY145" si="242">ET144</f>
        <v>#REF!</v>
      </c>
      <c r="EU145" s="2095" t="e">
        <f t="shared" si="242"/>
        <v>#REF!</v>
      </c>
      <c r="EV145" s="2095" t="e">
        <f t="shared" si="242"/>
        <v>#REF!</v>
      </c>
      <c r="EW145" s="2095" t="e">
        <f t="shared" si="242"/>
        <v>#REF!</v>
      </c>
      <c r="EX145" s="2095" t="e">
        <f t="shared" si="242"/>
        <v>#REF!</v>
      </c>
      <c r="EY145" s="2095" t="e">
        <f t="shared" si="242"/>
        <v>#REF!</v>
      </c>
      <c r="EZ145" s="2094"/>
      <c r="FA145" s="2094"/>
      <c r="FB145" s="2095"/>
      <c r="FC145" s="2095"/>
      <c r="FD145" s="2095"/>
      <c r="FE145" s="2097"/>
      <c r="FF145" s="2082"/>
      <c r="FG145" s="2082"/>
      <c r="FH145" s="2082"/>
      <c r="FI145" s="2082"/>
      <c r="FJ145" s="2082"/>
      <c r="FK145" s="1565"/>
      <c r="FL145" s="1565"/>
      <c r="FM145" s="1565"/>
      <c r="FN145" s="1565"/>
      <c r="FO145" s="1565"/>
      <c r="FP145" s="1565"/>
      <c r="FQ145" s="1565"/>
      <c r="FR145" s="1565"/>
      <c r="FS145" s="1565"/>
      <c r="FT145" s="1565"/>
      <c r="FU145" s="1565"/>
      <c r="FV145" s="1565"/>
      <c r="FW145" s="1565"/>
      <c r="FX145" s="1565"/>
      <c r="FY145" s="1565"/>
      <c r="FZ145" s="1565"/>
      <c r="GA145" s="1565"/>
      <c r="GB145" s="1565"/>
      <c r="GC145" s="1565"/>
      <c r="GD145" s="1565"/>
      <c r="GE145" s="1565"/>
      <c r="GF145" s="1565"/>
      <c r="GG145" s="1565"/>
      <c r="GH145" s="1565"/>
      <c r="GI145" s="1565"/>
      <c r="GJ145" s="1565"/>
      <c r="GK145" s="1565"/>
      <c r="GL145" s="1565"/>
      <c r="GM145" s="1565"/>
      <c r="GN145" s="1565"/>
      <c r="GO145" s="1565"/>
      <c r="GP145" s="1565"/>
      <c r="GQ145" s="1565"/>
      <c r="GR145" s="1565"/>
      <c r="GS145" s="1565"/>
      <c r="GT145" s="1565"/>
      <c r="GU145" s="1565"/>
      <c r="GV145" s="1565"/>
      <c r="GW145" s="1565"/>
      <c r="GX145" s="1565"/>
      <c r="GY145" s="1565"/>
      <c r="GZ145" s="1565"/>
      <c r="HA145" s="1565"/>
      <c r="HB145" s="1565"/>
      <c r="HC145" s="1565"/>
      <c r="HD145" s="1565"/>
      <c r="HE145" s="1565"/>
      <c r="HF145" s="1565"/>
      <c r="HG145" s="1565"/>
      <c r="HH145" s="1565"/>
      <c r="HI145" s="1565"/>
      <c r="HJ145" s="1565"/>
      <c r="HK145" s="1565"/>
      <c r="HL145" s="1565"/>
      <c r="HM145" s="1565"/>
      <c r="HN145" s="1565"/>
      <c r="HO145" s="1565"/>
      <c r="HP145" s="1565"/>
      <c r="HQ145" s="1565"/>
      <c r="HR145" s="1565"/>
      <c r="HS145" s="1565"/>
      <c r="HT145" s="1565"/>
      <c r="HU145" s="1565"/>
      <c r="HV145" s="1565"/>
      <c r="HW145" s="1565"/>
      <c r="HX145" s="1565"/>
      <c r="HY145" s="1565"/>
      <c r="HZ145" s="1565"/>
      <c r="IA145" s="1565"/>
      <c r="IB145" s="1565"/>
      <c r="IC145" s="1565"/>
      <c r="ID145" s="1565"/>
      <c r="IE145" s="1565"/>
      <c r="IF145" s="1565"/>
      <c r="IG145" s="1565"/>
    </row>
    <row r="146" spans="1:241" s="1552" customFormat="1" ht="36" hidden="1" outlineLevel="2">
      <c r="A146" s="1549">
        <v>143</v>
      </c>
      <c r="B146" s="1573" t="s">
        <v>303</v>
      </c>
      <c r="C146" s="1574" t="s">
        <v>1974</v>
      </c>
      <c r="D146" s="1576" t="s">
        <v>1806</v>
      </c>
      <c r="E146" s="1575"/>
      <c r="F146" s="1576" t="s">
        <v>1792</v>
      </c>
      <c r="G146" s="1577" t="s">
        <v>1988</v>
      </c>
      <c r="H146" s="2095" t="e">
        <f>H144</f>
        <v>#REF!</v>
      </c>
      <c r="I146" s="2095" t="e">
        <f t="shared" ref="I146:P146" si="243">I144</f>
        <v>#REF!</v>
      </c>
      <c r="J146" s="2095" t="e">
        <f t="shared" si="243"/>
        <v>#REF!</v>
      </c>
      <c r="K146" s="2095" t="e">
        <f t="shared" si="243"/>
        <v>#REF!</v>
      </c>
      <c r="L146" s="2095" t="e">
        <f t="shared" si="243"/>
        <v>#REF!</v>
      </c>
      <c r="M146" s="2095" t="e">
        <f t="shared" si="243"/>
        <v>#REF!</v>
      </c>
      <c r="N146" s="2095" t="e">
        <f t="shared" si="243"/>
        <v>#REF!</v>
      </c>
      <c r="O146" s="2095" t="e">
        <f t="shared" si="243"/>
        <v>#REF!</v>
      </c>
      <c r="P146" s="2095" t="e">
        <f t="shared" si="243"/>
        <v>#REF!</v>
      </c>
      <c r="Q146" s="2093"/>
      <c r="R146" s="2093"/>
      <c r="S146" s="2093"/>
      <c r="T146" s="2093"/>
      <c r="U146" s="2093"/>
      <c r="V146" s="2093"/>
      <c r="W146" s="2093"/>
      <c r="X146" s="2093"/>
      <c r="Y146" s="2093"/>
      <c r="Z146" s="2093"/>
      <c r="AA146" s="2093"/>
      <c r="AB146" s="2093"/>
      <c r="AC146" s="2093"/>
      <c r="AD146" s="2093"/>
      <c r="AE146" s="2093"/>
      <c r="AF146" s="2093"/>
      <c r="AG146" s="2093"/>
      <c r="AH146" s="2093"/>
      <c r="AI146" s="2093"/>
      <c r="AJ146" s="2093"/>
      <c r="AK146" s="2093"/>
      <c r="AL146" s="2093"/>
      <c r="AM146" s="2093"/>
      <c r="AN146" s="2093"/>
      <c r="AO146" s="2093"/>
      <c r="AP146" s="2093"/>
      <c r="AQ146" s="2093"/>
      <c r="AR146" s="2093"/>
      <c r="AS146" s="2093"/>
      <c r="AT146" s="2093"/>
      <c r="AU146" s="2093"/>
      <c r="AV146" s="2093"/>
      <c r="AW146" s="2093"/>
      <c r="AX146" s="2093"/>
      <c r="AY146" s="2094"/>
      <c r="AZ146" s="2094"/>
      <c r="BA146" s="2094"/>
      <c r="BB146" s="2094"/>
      <c r="BC146" s="2094"/>
      <c r="BD146" s="2094"/>
      <c r="BE146" s="2094"/>
      <c r="BF146" s="2094"/>
      <c r="BG146" s="2094"/>
      <c r="BH146" s="2094"/>
      <c r="BI146" s="2094"/>
      <c r="BJ146" s="2094"/>
      <c r="BK146" s="2094"/>
      <c r="BL146" s="2094"/>
      <c r="BM146" s="2094"/>
      <c r="BN146" s="2094"/>
      <c r="BO146" s="2094"/>
      <c r="BP146" s="2094"/>
      <c r="BQ146" s="2094"/>
      <c r="BR146" s="2094"/>
      <c r="BS146" s="2094"/>
      <c r="BT146" s="2094"/>
      <c r="BU146" s="2094"/>
      <c r="BV146" s="2094"/>
      <c r="BW146" s="2094"/>
      <c r="BX146" s="2094"/>
      <c r="BY146" s="2094"/>
      <c r="BZ146" s="2094"/>
      <c r="CA146" s="2094"/>
      <c r="CB146" s="2094"/>
      <c r="CC146" s="2094"/>
      <c r="CD146" s="2094"/>
      <c r="CE146" s="2095" t="e">
        <f>CE144</f>
        <v>#REF!</v>
      </c>
      <c r="CF146" s="2095" t="e">
        <f t="shared" ref="CF146:DG146" si="244">CF144</f>
        <v>#REF!</v>
      </c>
      <c r="CG146" s="2095" t="e">
        <f t="shared" si="244"/>
        <v>#REF!</v>
      </c>
      <c r="CH146" s="2095" t="e">
        <f t="shared" si="244"/>
        <v>#REF!</v>
      </c>
      <c r="CI146" s="2095" t="e">
        <f t="shared" si="244"/>
        <v>#REF!</v>
      </c>
      <c r="CJ146" s="2095">
        <f t="shared" si="244"/>
        <v>0</v>
      </c>
      <c r="CK146" s="2095" t="e">
        <f t="shared" si="244"/>
        <v>#REF!</v>
      </c>
      <c r="CL146" s="2095" t="e">
        <f t="shared" si="244"/>
        <v>#REF!</v>
      </c>
      <c r="CM146" s="2095" t="e">
        <f t="shared" si="244"/>
        <v>#REF!</v>
      </c>
      <c r="CN146" s="2095"/>
      <c r="CO146" s="2095" t="e">
        <f t="shared" si="244"/>
        <v>#REF!</v>
      </c>
      <c r="CP146" s="2095" t="e">
        <f t="shared" si="244"/>
        <v>#REF!</v>
      </c>
      <c r="CQ146" s="2095"/>
      <c r="CR146" s="2095"/>
      <c r="CS146" s="2095" t="e">
        <f t="shared" si="244"/>
        <v>#REF!</v>
      </c>
      <c r="CT146" s="2095"/>
      <c r="CU146" s="2095" t="e">
        <f t="shared" si="244"/>
        <v>#REF!</v>
      </c>
      <c r="CV146" s="2095" t="e">
        <f t="shared" si="244"/>
        <v>#REF!</v>
      </c>
      <c r="CW146" s="2095" t="e">
        <f t="shared" si="244"/>
        <v>#REF!</v>
      </c>
      <c r="CX146" s="2095" t="e">
        <f t="shared" si="244"/>
        <v>#REF!</v>
      </c>
      <c r="CY146" s="2095" t="e">
        <f t="shared" si="244"/>
        <v>#REF!</v>
      </c>
      <c r="CZ146" s="2095" t="e">
        <f t="shared" si="244"/>
        <v>#REF!</v>
      </c>
      <c r="DA146" s="2095" t="e">
        <f t="shared" si="244"/>
        <v>#REF!</v>
      </c>
      <c r="DB146" s="2095" t="e">
        <f t="shared" si="244"/>
        <v>#REF!</v>
      </c>
      <c r="DC146" s="2095" t="e">
        <f t="shared" si="244"/>
        <v>#REF!</v>
      </c>
      <c r="DD146" s="2095" t="e">
        <f t="shared" si="244"/>
        <v>#REF!</v>
      </c>
      <c r="DE146" s="2095" t="e">
        <f t="shared" si="244"/>
        <v>#REF!</v>
      </c>
      <c r="DF146" s="2095" t="e">
        <f t="shared" si="244"/>
        <v>#REF!</v>
      </c>
      <c r="DG146" s="2095" t="e">
        <f t="shared" si="244"/>
        <v>#REF!</v>
      </c>
      <c r="DH146" s="2095"/>
      <c r="DI146" s="2095"/>
      <c r="DJ146" s="2095"/>
      <c r="DK146" s="2095"/>
      <c r="DL146" s="2095"/>
      <c r="DM146" s="2095"/>
      <c r="DN146" s="2095"/>
      <c r="DO146" s="2095"/>
      <c r="DP146" s="2095"/>
      <c r="DQ146" s="2095"/>
      <c r="DR146" s="2095"/>
      <c r="DS146" s="2095">
        <v>20300</v>
      </c>
      <c r="DT146" s="2095"/>
      <c r="DU146" s="2094"/>
      <c r="DV146" s="2094"/>
      <c r="DW146" s="2094"/>
      <c r="DX146" s="2094"/>
      <c r="DY146" s="2094"/>
      <c r="DZ146" s="2094"/>
      <c r="EA146" s="2094"/>
      <c r="EB146" s="2094"/>
      <c r="EC146" s="2094"/>
      <c r="ED146" s="2094"/>
      <c r="EE146" s="2094"/>
      <c r="EF146" s="2094"/>
      <c r="EG146" s="2094"/>
      <c r="EH146" s="2094"/>
      <c r="EI146" s="2094"/>
      <c r="EJ146" s="2094"/>
      <c r="EK146" s="2094"/>
      <c r="EL146" s="2094"/>
      <c r="EM146" s="2094"/>
      <c r="EN146" s="2094"/>
      <c r="EO146" s="2094"/>
      <c r="EP146" s="2094"/>
      <c r="EQ146" s="2094"/>
      <c r="ER146" s="2094"/>
      <c r="ES146" s="2094"/>
      <c r="ET146" s="2095" t="e">
        <f t="shared" ref="ET146:EY146" si="245">ET144</f>
        <v>#REF!</v>
      </c>
      <c r="EU146" s="2095" t="e">
        <f t="shared" si="245"/>
        <v>#REF!</v>
      </c>
      <c r="EV146" s="2095" t="e">
        <f t="shared" si="245"/>
        <v>#REF!</v>
      </c>
      <c r="EW146" s="2095" t="e">
        <f t="shared" si="245"/>
        <v>#REF!</v>
      </c>
      <c r="EX146" s="2095" t="e">
        <f t="shared" si="245"/>
        <v>#REF!</v>
      </c>
      <c r="EY146" s="2095" t="e">
        <f t="shared" si="245"/>
        <v>#REF!</v>
      </c>
      <c r="EZ146" s="2094"/>
      <c r="FA146" s="2094"/>
      <c r="FB146" s="2110" t="e">
        <f>Design!#REF!</f>
        <v>#REF!</v>
      </c>
      <c r="FC146" s="2110" t="e">
        <f>Design!#REF!</f>
        <v>#REF!</v>
      </c>
      <c r="FD146" s="2110" t="e">
        <f>Design!#REF!</f>
        <v>#REF!</v>
      </c>
      <c r="FE146" s="2097"/>
      <c r="FF146" s="2082"/>
      <c r="FG146" s="2082"/>
      <c r="FH146" s="2082"/>
      <c r="FI146" s="2082"/>
      <c r="FJ146" s="2082"/>
      <c r="FK146" s="1565"/>
      <c r="FL146" s="1565"/>
      <c r="FM146" s="1565"/>
      <c r="FN146" s="1565"/>
      <c r="FO146" s="1565"/>
      <c r="FP146" s="1565"/>
      <c r="FQ146" s="1565"/>
      <c r="FR146" s="1565"/>
      <c r="FS146" s="1565"/>
      <c r="FT146" s="1565"/>
      <c r="FU146" s="1565"/>
      <c r="FV146" s="1565"/>
      <c r="FW146" s="1565"/>
      <c r="FX146" s="1565"/>
      <c r="FY146" s="1565"/>
      <c r="FZ146" s="1565"/>
      <c r="GA146" s="1565"/>
      <c r="GB146" s="1565"/>
      <c r="GC146" s="1565"/>
      <c r="GD146" s="1565"/>
      <c r="GE146" s="1565"/>
      <c r="GF146" s="1565"/>
      <c r="GG146" s="1565"/>
      <c r="GH146" s="1565"/>
      <c r="GI146" s="1565"/>
      <c r="GJ146" s="1565"/>
      <c r="GK146" s="1565"/>
      <c r="GL146" s="1565"/>
      <c r="GM146" s="1565"/>
      <c r="GN146" s="1565"/>
      <c r="GO146" s="1565"/>
      <c r="GP146" s="1565"/>
      <c r="GQ146" s="1565"/>
      <c r="GR146" s="1565"/>
      <c r="GS146" s="1565"/>
      <c r="GT146" s="1565"/>
      <c r="GU146" s="1565"/>
      <c r="GV146" s="1565"/>
      <c r="GW146" s="1565"/>
      <c r="GX146" s="1565"/>
      <c r="GY146" s="1565"/>
      <c r="GZ146" s="1565"/>
      <c r="HA146" s="1565"/>
      <c r="HB146" s="1565"/>
      <c r="HC146" s="1565"/>
      <c r="HD146" s="1565"/>
      <c r="HE146" s="1565"/>
      <c r="HF146" s="1565"/>
      <c r="HG146" s="1565"/>
      <c r="HH146" s="1565"/>
      <c r="HI146" s="1565"/>
      <c r="HJ146" s="1565"/>
      <c r="HK146" s="1565"/>
      <c r="HL146" s="1565"/>
      <c r="HM146" s="1565"/>
      <c r="HN146" s="1565"/>
      <c r="HO146" s="1565"/>
      <c r="HP146" s="1565"/>
      <c r="HQ146" s="1565"/>
      <c r="HR146" s="1565"/>
      <c r="HS146" s="1565"/>
      <c r="HT146" s="1565"/>
      <c r="HU146" s="1565"/>
      <c r="HV146" s="1565"/>
      <c r="HW146" s="1565"/>
      <c r="HX146" s="1565"/>
      <c r="HY146" s="1565"/>
      <c r="HZ146" s="1565"/>
      <c r="IA146" s="1565"/>
      <c r="IB146" s="1565"/>
      <c r="IC146" s="1565"/>
      <c r="ID146" s="1565"/>
      <c r="IE146" s="1565"/>
      <c r="IF146" s="1565"/>
      <c r="IG146" s="1565"/>
    </row>
    <row r="147" spans="1:241" s="1549" customFormat="1" ht="15.75" hidden="1" outlineLevel="1" collapsed="1">
      <c r="A147" s="1552">
        <v>144</v>
      </c>
      <c r="B147" s="1556" t="s">
        <v>303</v>
      </c>
      <c r="C147" s="1578" t="s">
        <v>1975</v>
      </c>
      <c r="D147" s="1578" t="s">
        <v>1806</v>
      </c>
      <c r="E147" s="1580"/>
      <c r="F147" s="1578" t="s">
        <v>1793</v>
      </c>
      <c r="G147" s="1500" t="s">
        <v>1989</v>
      </c>
      <c r="H147" s="2114">
        <f>'Classic Rimini '!G9</f>
        <v>32950</v>
      </c>
      <c r="I147" s="2114">
        <f>'Classic Rimini '!H9</f>
        <v>33650</v>
      </c>
      <c r="J147" s="2114">
        <f>'Classic Rimini '!I9</f>
        <v>34200</v>
      </c>
      <c r="K147" s="2114">
        <f>'Classic Rimini '!K9</f>
        <v>0</v>
      </c>
      <c r="L147" s="2114" t="e">
        <f>'Classic Rimini '!#REF!</f>
        <v>#REF!</v>
      </c>
      <c r="M147" s="2114" t="e">
        <f>'Classic Rimini '!#REF!</f>
        <v>#REF!</v>
      </c>
      <c r="N147" s="2114" t="e">
        <f>'Classic Rimini '!#REF!</f>
        <v>#REF!</v>
      </c>
      <c r="O147" s="2114">
        <f>'Classic Rimini '!H9+'Classic Rimini '!H21</f>
        <v>35850</v>
      </c>
      <c r="P147" s="2114">
        <f>'Classic Rimini '!I9+'Classic Rimini '!I21</f>
        <v>36400</v>
      </c>
      <c r="Q147" s="2115"/>
      <c r="R147" s="2115"/>
      <c r="S147" s="2115"/>
      <c r="T147" s="2115"/>
      <c r="U147" s="2115"/>
      <c r="V147" s="2115"/>
      <c r="W147" s="2115"/>
      <c r="X147" s="2115"/>
      <c r="Y147" s="2115"/>
      <c r="Z147" s="2115"/>
      <c r="AA147" s="2115"/>
      <c r="AB147" s="2115"/>
      <c r="AC147" s="2115"/>
      <c r="AD147" s="2115"/>
      <c r="AE147" s="2115"/>
      <c r="AF147" s="2115"/>
      <c r="AG147" s="2115"/>
      <c r="AH147" s="2115"/>
      <c r="AI147" s="2115"/>
      <c r="AJ147" s="2115"/>
      <c r="AK147" s="2115"/>
      <c r="AL147" s="2115"/>
      <c r="AM147" s="2115"/>
      <c r="AN147" s="2115"/>
      <c r="AO147" s="2115"/>
      <c r="AP147" s="2115"/>
      <c r="AQ147" s="2115"/>
      <c r="AR147" s="2115"/>
      <c r="AS147" s="2115"/>
      <c r="AT147" s="2115"/>
      <c r="AU147" s="2115"/>
      <c r="AV147" s="2115"/>
      <c r="AW147" s="2115"/>
      <c r="AX147" s="2115"/>
      <c r="AY147" s="2116"/>
      <c r="AZ147" s="2116"/>
      <c r="BA147" s="2116"/>
      <c r="BB147" s="2116"/>
      <c r="BC147" s="2116"/>
      <c r="BD147" s="2116"/>
      <c r="BE147" s="2116"/>
      <c r="BF147" s="2116"/>
      <c r="BG147" s="2116"/>
      <c r="BH147" s="2116"/>
      <c r="BI147" s="2116"/>
      <c r="BJ147" s="2116"/>
      <c r="BK147" s="2116"/>
      <c r="BL147" s="2116"/>
      <c r="BM147" s="2116"/>
      <c r="BN147" s="2116"/>
      <c r="BO147" s="2116"/>
      <c r="BP147" s="2116"/>
      <c r="BQ147" s="2116"/>
      <c r="BR147" s="2116"/>
      <c r="BS147" s="2116"/>
      <c r="BT147" s="2116"/>
      <c r="BU147" s="2116"/>
      <c r="BV147" s="2116"/>
      <c r="BW147" s="2116"/>
      <c r="BX147" s="2116"/>
      <c r="BY147" s="2116"/>
      <c r="BZ147" s="2116"/>
      <c r="CA147" s="2116"/>
      <c r="CB147" s="2116"/>
      <c r="CC147" s="2116"/>
      <c r="CD147" s="2116"/>
      <c r="CE147" s="2114" t="e">
        <f>Neoclassic!#REF!</f>
        <v>#REF!</v>
      </c>
      <c r="CF147" s="2114" t="e">
        <f>Neoclassic!#REF!</f>
        <v>#REF!</v>
      </c>
      <c r="CG147" s="2114">
        <f>Neoclassic!H9</f>
        <v>24200</v>
      </c>
      <c r="CH147" s="2114">
        <f>Neoclassic!L9</f>
        <v>24200</v>
      </c>
      <c r="CI147" s="2114">
        <f>Neoclassic!N9</f>
        <v>0</v>
      </c>
      <c r="CJ147" s="2114"/>
      <c r="CK147" s="2114" t="e">
        <f>#REF!</f>
        <v>#REF!</v>
      </c>
      <c r="CL147" s="2114">
        <f>Neoclassic!O9</f>
        <v>29400</v>
      </c>
      <c r="CM147" s="2114" t="e">
        <f>#REF!</f>
        <v>#REF!</v>
      </c>
      <c r="CN147" s="2114"/>
      <c r="CO147" s="2114">
        <f>Standart!G13</f>
        <v>27850</v>
      </c>
      <c r="CP147" s="2114">
        <f>Standart!H13</f>
        <v>33050</v>
      </c>
      <c r="CQ147" s="2114"/>
      <c r="CR147" s="2114"/>
      <c r="CS147" s="2114">
        <f>Standart!I13</f>
        <v>25700</v>
      </c>
      <c r="CT147" s="2114"/>
      <c r="CU147" s="2114">
        <f>Standart!J13</f>
        <v>25200</v>
      </c>
      <c r="CV147" s="2114" t="e">
        <f>'Standart Strada2'!H21</f>
        <v>#REF!</v>
      </c>
      <c r="CW147" s="2114" t="e">
        <f>'Standart Strada2'!J21</f>
        <v>#REF!</v>
      </c>
      <c r="CX147" s="2114" t="e">
        <f>'Standart Strada2'!L21</f>
        <v>#REF!</v>
      </c>
      <c r="CY147" s="2114" t="e">
        <f>'Standart Strada2'!N21</f>
        <v>#REF!</v>
      </c>
      <c r="CZ147" s="2114" t="e">
        <f>'Standart Vario'!G21</f>
        <v>#REF!</v>
      </c>
      <c r="DA147" s="2114" t="e">
        <f>'Standart Vario'!H21</f>
        <v>#REF!</v>
      </c>
      <c r="DB147" s="2114">
        <f>Standart!K13</f>
        <v>35050</v>
      </c>
      <c r="DC147" s="2114" t="e">
        <f>'Standart Vario'!J21</f>
        <v>#REF!</v>
      </c>
      <c r="DD147" s="2114" t="e">
        <f>'Standart Vario'!K21</f>
        <v>#REF!</v>
      </c>
      <c r="DE147" s="2114" t="e">
        <f>'Standart Vario'!L21</f>
        <v>#REF!</v>
      </c>
      <c r="DF147" s="2114" t="e">
        <f>'Standart Vario'!M21</f>
        <v>#REF!</v>
      </c>
      <c r="DG147" s="2114" t="e">
        <f>'Standart Vario'!N21</f>
        <v>#REF!</v>
      </c>
      <c r="DH147" s="2114"/>
      <c r="DI147" s="2114"/>
      <c r="DJ147" s="2114"/>
      <c r="DK147" s="2114"/>
      <c r="DL147" s="2114"/>
      <c r="DM147" s="2114"/>
      <c r="DN147" s="2114"/>
      <c r="DO147" s="2114"/>
      <c r="DP147" s="2114"/>
      <c r="DQ147" s="2114"/>
      <c r="DR147" s="2114"/>
      <c r="DS147" s="2114">
        <v>23650</v>
      </c>
      <c r="DT147" s="2114"/>
      <c r="DU147" s="2116"/>
      <c r="DV147" s="2116"/>
      <c r="DW147" s="2116"/>
      <c r="DX147" s="2116"/>
      <c r="DY147" s="2116"/>
      <c r="DZ147" s="2116"/>
      <c r="EA147" s="2116"/>
      <c r="EB147" s="2116"/>
      <c r="EC147" s="2116"/>
      <c r="ED147" s="2116"/>
      <c r="EE147" s="2116"/>
      <c r="EF147" s="2116"/>
      <c r="EG147" s="2116"/>
      <c r="EH147" s="2116"/>
      <c r="EI147" s="2116"/>
      <c r="EJ147" s="2116"/>
      <c r="EK147" s="2116"/>
      <c r="EL147" s="2116"/>
      <c r="EM147" s="2116"/>
      <c r="EN147" s="2116"/>
      <c r="EO147" s="2116"/>
      <c r="EP147" s="2116"/>
      <c r="EQ147" s="2116"/>
      <c r="ER147" s="2116"/>
      <c r="ES147" s="2116"/>
      <c r="ET147" s="2114">
        <f>Design!$G$13</f>
        <v>33850</v>
      </c>
      <c r="EU147" s="2114">
        <f>Design!$G$13</f>
        <v>33850</v>
      </c>
      <c r="EV147" s="2114">
        <f>Design!$G$13</f>
        <v>33850</v>
      </c>
      <c r="EW147" s="2114">
        <f>Design!$G$13</f>
        <v>33850</v>
      </c>
      <c r="EX147" s="2114">
        <f>Design!$G$13</f>
        <v>33850</v>
      </c>
      <c r="EY147" s="2114">
        <f>Design!$G$13</f>
        <v>33850</v>
      </c>
      <c r="EZ147" s="2116"/>
      <c r="FA147" s="2116"/>
      <c r="FB147" s="2114">
        <f>Design!$J$13</f>
        <v>41350</v>
      </c>
      <c r="FC147" s="2114">
        <f>Design!$J$13</f>
        <v>41350</v>
      </c>
      <c r="FD147" s="2114">
        <f>Design!$J$13</f>
        <v>41350</v>
      </c>
      <c r="FE147" s="2117"/>
      <c r="FF147" s="2109"/>
      <c r="FG147" s="2109"/>
      <c r="FH147" s="2109"/>
      <c r="FI147" s="2109"/>
      <c r="FJ147" s="2109"/>
      <c r="FK147" s="1582"/>
      <c r="FL147" s="1582"/>
      <c r="FM147" s="1582"/>
      <c r="FN147" s="1582"/>
      <c r="FO147" s="1582"/>
      <c r="FP147" s="1582"/>
      <c r="FQ147" s="1582"/>
      <c r="FR147" s="1582"/>
      <c r="FS147" s="1582"/>
      <c r="FT147" s="1582"/>
      <c r="FU147" s="1582"/>
      <c r="FV147" s="1582"/>
      <c r="FW147" s="1582"/>
      <c r="FX147" s="1582"/>
      <c r="FY147" s="1582"/>
      <c r="FZ147" s="1582"/>
      <c r="GA147" s="1582"/>
      <c r="GB147" s="1582"/>
      <c r="GC147" s="1582"/>
      <c r="GD147" s="1582"/>
      <c r="GE147" s="1582"/>
      <c r="GF147" s="1582"/>
      <c r="GG147" s="1582"/>
      <c r="GH147" s="1582"/>
      <c r="GI147" s="1582"/>
      <c r="GJ147" s="1582"/>
      <c r="GK147" s="1582"/>
      <c r="GL147" s="1582"/>
      <c r="GM147" s="1582"/>
      <c r="GN147" s="1582"/>
      <c r="GO147" s="1582"/>
      <c r="GP147" s="1582"/>
      <c r="GQ147" s="1582"/>
      <c r="GR147" s="1582"/>
      <c r="GS147" s="1582"/>
      <c r="GT147" s="1582"/>
      <c r="GU147" s="1582"/>
      <c r="GV147" s="1582"/>
      <c r="GW147" s="1582"/>
      <c r="GX147" s="1582"/>
      <c r="GY147" s="1582"/>
      <c r="GZ147" s="1582"/>
      <c r="HA147" s="1582"/>
      <c r="HB147" s="1582"/>
      <c r="HC147" s="1582"/>
      <c r="HD147" s="1582"/>
      <c r="HE147" s="1582"/>
      <c r="HF147" s="1582"/>
      <c r="HG147" s="1582"/>
      <c r="HH147" s="1582"/>
      <c r="HI147" s="1582"/>
      <c r="HJ147" s="1582"/>
      <c r="HK147" s="1582"/>
      <c r="HL147" s="1582"/>
      <c r="HM147" s="1582"/>
      <c r="HN147" s="1582"/>
      <c r="HO147" s="1582"/>
      <c r="HP147" s="1582"/>
      <c r="HQ147" s="1582"/>
      <c r="HR147" s="1582"/>
      <c r="HS147" s="1582"/>
      <c r="HT147" s="1582"/>
      <c r="HU147" s="1582"/>
      <c r="HV147" s="1582"/>
      <c r="HW147" s="1582"/>
      <c r="HX147" s="1582"/>
      <c r="HY147" s="1582"/>
      <c r="HZ147" s="1582"/>
      <c r="IA147" s="1582"/>
      <c r="IB147" s="1582"/>
      <c r="IC147" s="1582"/>
      <c r="ID147" s="1582"/>
      <c r="IE147" s="1582"/>
      <c r="IF147" s="1582"/>
      <c r="IG147" s="1582"/>
    </row>
    <row r="148" spans="1:241" s="1552" customFormat="1" ht="36" hidden="1" outlineLevel="2">
      <c r="A148" s="1549">
        <v>145</v>
      </c>
      <c r="B148" s="1556" t="s">
        <v>303</v>
      </c>
      <c r="C148" s="1578" t="s">
        <v>1974</v>
      </c>
      <c r="D148" s="1579" t="s">
        <v>1806</v>
      </c>
      <c r="E148" s="1580"/>
      <c r="F148" s="1579" t="s">
        <v>1794</v>
      </c>
      <c r="G148" s="1502" t="s">
        <v>1990</v>
      </c>
      <c r="H148" s="2070">
        <v>26750</v>
      </c>
      <c r="I148" s="2102">
        <f>I147</f>
        <v>33650</v>
      </c>
      <c r="J148" s="2102">
        <f t="shared" ref="J148:P148" si="246">J147</f>
        <v>34200</v>
      </c>
      <c r="K148" s="2102">
        <f t="shared" si="246"/>
        <v>0</v>
      </c>
      <c r="L148" s="2102" t="e">
        <f t="shared" si="246"/>
        <v>#REF!</v>
      </c>
      <c r="M148" s="2102" t="e">
        <f t="shared" si="246"/>
        <v>#REF!</v>
      </c>
      <c r="N148" s="2102" t="e">
        <f t="shared" si="246"/>
        <v>#REF!</v>
      </c>
      <c r="O148" s="2102">
        <f t="shared" si="246"/>
        <v>35850</v>
      </c>
      <c r="P148" s="2102">
        <f t="shared" si="246"/>
        <v>36400</v>
      </c>
      <c r="Q148" s="2100"/>
      <c r="R148" s="2100"/>
      <c r="S148" s="2100"/>
      <c r="T148" s="2100"/>
      <c r="U148" s="2100"/>
      <c r="V148" s="2100"/>
      <c r="W148" s="2100"/>
      <c r="X148" s="2100"/>
      <c r="Y148" s="2100"/>
      <c r="Z148" s="2100"/>
      <c r="AA148" s="2100"/>
      <c r="AB148" s="2100"/>
      <c r="AC148" s="2100"/>
      <c r="AD148" s="2100"/>
      <c r="AE148" s="2100"/>
      <c r="AF148" s="2100"/>
      <c r="AG148" s="2100"/>
      <c r="AH148" s="2100"/>
      <c r="AI148" s="2100"/>
      <c r="AJ148" s="2100"/>
      <c r="AK148" s="2100"/>
      <c r="AL148" s="2100"/>
      <c r="AM148" s="2100"/>
      <c r="AN148" s="2100"/>
      <c r="AO148" s="2100"/>
      <c r="AP148" s="2100"/>
      <c r="AQ148" s="2100"/>
      <c r="AR148" s="2100"/>
      <c r="AS148" s="2100"/>
      <c r="AT148" s="2100"/>
      <c r="AU148" s="2100"/>
      <c r="AV148" s="2100"/>
      <c r="AW148" s="2100"/>
      <c r="AX148" s="2100"/>
      <c r="AY148" s="2101"/>
      <c r="AZ148" s="2101"/>
      <c r="BA148" s="2101"/>
      <c r="BB148" s="2101"/>
      <c r="BC148" s="2101"/>
      <c r="BD148" s="2101"/>
      <c r="BE148" s="2101"/>
      <c r="BF148" s="2101"/>
      <c r="BG148" s="2101"/>
      <c r="BH148" s="2101"/>
      <c r="BI148" s="2101"/>
      <c r="BJ148" s="2101"/>
      <c r="BK148" s="2101"/>
      <c r="BL148" s="2101"/>
      <c r="BM148" s="2101"/>
      <c r="BN148" s="2101"/>
      <c r="BO148" s="2101"/>
      <c r="BP148" s="2101"/>
      <c r="BQ148" s="2101"/>
      <c r="BR148" s="2101"/>
      <c r="BS148" s="2101"/>
      <c r="BT148" s="2101"/>
      <c r="BU148" s="2101"/>
      <c r="BV148" s="2101"/>
      <c r="BW148" s="2101"/>
      <c r="BX148" s="2101"/>
      <c r="BY148" s="2101"/>
      <c r="BZ148" s="2101"/>
      <c r="CA148" s="2101"/>
      <c r="CB148" s="2101"/>
      <c r="CC148" s="2101"/>
      <c r="CD148" s="2101"/>
      <c r="CE148" s="2102" t="e">
        <f t="shared" ref="CE148:DG148" si="247">CE147</f>
        <v>#REF!</v>
      </c>
      <c r="CF148" s="2102" t="e">
        <f t="shared" si="247"/>
        <v>#REF!</v>
      </c>
      <c r="CG148" s="2102">
        <f t="shared" si="247"/>
        <v>24200</v>
      </c>
      <c r="CH148" s="2102">
        <f t="shared" si="247"/>
        <v>24200</v>
      </c>
      <c r="CI148" s="2102">
        <f t="shared" si="247"/>
        <v>0</v>
      </c>
      <c r="CJ148" s="2102">
        <f t="shared" si="247"/>
        <v>0</v>
      </c>
      <c r="CK148" s="2102" t="e">
        <f t="shared" si="247"/>
        <v>#REF!</v>
      </c>
      <c r="CL148" s="2102">
        <f t="shared" si="247"/>
        <v>29400</v>
      </c>
      <c r="CM148" s="2102" t="e">
        <f t="shared" si="247"/>
        <v>#REF!</v>
      </c>
      <c r="CN148" s="2102"/>
      <c r="CO148" s="2102">
        <f t="shared" si="247"/>
        <v>27850</v>
      </c>
      <c r="CP148" s="2102">
        <f t="shared" si="247"/>
        <v>33050</v>
      </c>
      <c r="CQ148" s="2102"/>
      <c r="CR148" s="2102"/>
      <c r="CS148" s="2102">
        <f t="shared" si="247"/>
        <v>25700</v>
      </c>
      <c r="CT148" s="2102"/>
      <c r="CU148" s="2102">
        <f t="shared" si="247"/>
        <v>25200</v>
      </c>
      <c r="CV148" s="2102" t="e">
        <f t="shared" si="247"/>
        <v>#REF!</v>
      </c>
      <c r="CW148" s="2102" t="e">
        <f t="shared" si="247"/>
        <v>#REF!</v>
      </c>
      <c r="CX148" s="2102" t="e">
        <f t="shared" si="247"/>
        <v>#REF!</v>
      </c>
      <c r="CY148" s="2102" t="e">
        <f t="shared" si="247"/>
        <v>#REF!</v>
      </c>
      <c r="CZ148" s="2102" t="e">
        <f t="shared" si="247"/>
        <v>#REF!</v>
      </c>
      <c r="DA148" s="2102" t="e">
        <f t="shared" si="247"/>
        <v>#REF!</v>
      </c>
      <c r="DB148" s="2102">
        <f t="shared" si="247"/>
        <v>35050</v>
      </c>
      <c r="DC148" s="2102" t="e">
        <f t="shared" si="247"/>
        <v>#REF!</v>
      </c>
      <c r="DD148" s="2102" t="e">
        <f t="shared" si="247"/>
        <v>#REF!</v>
      </c>
      <c r="DE148" s="2102" t="e">
        <f t="shared" si="247"/>
        <v>#REF!</v>
      </c>
      <c r="DF148" s="2102" t="e">
        <f t="shared" si="247"/>
        <v>#REF!</v>
      </c>
      <c r="DG148" s="2102" t="e">
        <f t="shared" si="247"/>
        <v>#REF!</v>
      </c>
      <c r="DH148" s="2102"/>
      <c r="DI148" s="2102"/>
      <c r="DJ148" s="2102"/>
      <c r="DK148" s="2102"/>
      <c r="DL148" s="2102"/>
      <c r="DM148" s="2102"/>
      <c r="DN148" s="2102"/>
      <c r="DO148" s="2102"/>
      <c r="DP148" s="2102"/>
      <c r="DQ148" s="2102"/>
      <c r="DR148" s="2102"/>
      <c r="DS148" s="2102">
        <v>23650</v>
      </c>
      <c r="DT148" s="2102"/>
      <c r="DU148" s="2101"/>
      <c r="DV148" s="2101"/>
      <c r="DW148" s="2101"/>
      <c r="DX148" s="2101"/>
      <c r="DY148" s="2101"/>
      <c r="DZ148" s="2101"/>
      <c r="EA148" s="2101"/>
      <c r="EB148" s="2101"/>
      <c r="EC148" s="2101"/>
      <c r="ED148" s="2101"/>
      <c r="EE148" s="2101"/>
      <c r="EF148" s="2101"/>
      <c r="EG148" s="2101"/>
      <c r="EH148" s="2101"/>
      <c r="EI148" s="2101"/>
      <c r="EJ148" s="2101"/>
      <c r="EK148" s="2101"/>
      <c r="EL148" s="2101"/>
      <c r="EM148" s="2101"/>
      <c r="EN148" s="2101"/>
      <c r="EO148" s="2101"/>
      <c r="EP148" s="2101"/>
      <c r="EQ148" s="2101"/>
      <c r="ER148" s="2101"/>
      <c r="ES148" s="2101"/>
      <c r="ET148" s="2102">
        <f t="shared" ref="ET148:EY148" si="248">ET147</f>
        <v>33850</v>
      </c>
      <c r="EU148" s="2102">
        <f t="shared" si="248"/>
        <v>33850</v>
      </c>
      <c r="EV148" s="2102">
        <f t="shared" si="248"/>
        <v>33850</v>
      </c>
      <c r="EW148" s="2102">
        <f t="shared" si="248"/>
        <v>33850</v>
      </c>
      <c r="EX148" s="2102">
        <f t="shared" si="248"/>
        <v>33850</v>
      </c>
      <c r="EY148" s="2102">
        <f t="shared" si="248"/>
        <v>33850</v>
      </c>
      <c r="EZ148" s="2101"/>
      <c r="FA148" s="2101"/>
      <c r="FB148" s="2102">
        <f>FB147</f>
        <v>41350</v>
      </c>
      <c r="FC148" s="2102">
        <f>FC147</f>
        <v>41350</v>
      </c>
      <c r="FD148" s="2102">
        <f>FD147</f>
        <v>41350</v>
      </c>
      <c r="FE148" s="2104"/>
      <c r="FF148" s="2082"/>
      <c r="FG148" s="2082"/>
      <c r="FH148" s="2082"/>
      <c r="FI148" s="2082"/>
      <c r="FJ148" s="2082"/>
      <c r="FK148" s="1565"/>
      <c r="FL148" s="1565"/>
      <c r="FM148" s="1565"/>
      <c r="FN148" s="1565"/>
      <c r="FO148" s="1565"/>
      <c r="FP148" s="1565"/>
      <c r="FQ148" s="1565"/>
      <c r="FR148" s="1565"/>
      <c r="FS148" s="1565"/>
      <c r="FT148" s="1565"/>
      <c r="FU148" s="1565"/>
      <c r="FV148" s="1565"/>
      <c r="FW148" s="1565"/>
      <c r="FX148" s="1565"/>
      <c r="FY148" s="1565"/>
      <c r="FZ148" s="1565"/>
      <c r="GA148" s="1565"/>
      <c r="GB148" s="1565"/>
      <c r="GC148" s="1565"/>
      <c r="GD148" s="1565"/>
      <c r="GE148" s="1565"/>
      <c r="GF148" s="1565"/>
      <c r="GG148" s="1565"/>
      <c r="GH148" s="1565"/>
      <c r="GI148" s="1565"/>
      <c r="GJ148" s="1565"/>
      <c r="GK148" s="1565"/>
      <c r="GL148" s="1565"/>
      <c r="GM148" s="1565"/>
      <c r="GN148" s="1565"/>
      <c r="GO148" s="1565"/>
      <c r="GP148" s="1565"/>
      <c r="GQ148" s="1565"/>
      <c r="GR148" s="1565"/>
      <c r="GS148" s="1565"/>
      <c r="GT148" s="1565"/>
      <c r="GU148" s="1565"/>
      <c r="GV148" s="1565"/>
      <c r="GW148" s="1565"/>
      <c r="GX148" s="1565"/>
      <c r="GY148" s="1565"/>
      <c r="GZ148" s="1565"/>
      <c r="HA148" s="1565"/>
      <c r="HB148" s="1565"/>
      <c r="HC148" s="1565"/>
      <c r="HD148" s="1565"/>
      <c r="HE148" s="1565"/>
      <c r="HF148" s="1565"/>
      <c r="HG148" s="1565"/>
      <c r="HH148" s="1565"/>
      <c r="HI148" s="1565"/>
      <c r="HJ148" s="1565"/>
      <c r="HK148" s="1565"/>
      <c r="HL148" s="1565"/>
      <c r="HM148" s="1565"/>
      <c r="HN148" s="1565"/>
      <c r="HO148" s="1565"/>
      <c r="HP148" s="1565"/>
      <c r="HQ148" s="1565"/>
      <c r="HR148" s="1565"/>
      <c r="HS148" s="1565"/>
      <c r="HT148" s="1565"/>
      <c r="HU148" s="1565"/>
      <c r="HV148" s="1565"/>
      <c r="HW148" s="1565"/>
      <c r="HX148" s="1565"/>
      <c r="HY148" s="1565"/>
      <c r="HZ148" s="1565"/>
      <c r="IA148" s="1565"/>
      <c r="IB148" s="1565"/>
      <c r="IC148" s="1565"/>
      <c r="ID148" s="1565"/>
      <c r="IE148" s="1565"/>
      <c r="IF148" s="1565"/>
      <c r="IG148" s="1565"/>
    </row>
    <row r="149" spans="1:241" s="1552" customFormat="1" ht="15.75" hidden="1" outlineLevel="2">
      <c r="A149" s="1552">
        <v>146</v>
      </c>
      <c r="B149" s="1556" t="s">
        <v>303</v>
      </c>
      <c r="C149" s="1578" t="s">
        <v>1975</v>
      </c>
      <c r="D149" s="1579" t="s">
        <v>1806</v>
      </c>
      <c r="E149" s="1580"/>
      <c r="F149" s="1579" t="s">
        <v>1795</v>
      </c>
      <c r="G149" s="1502"/>
      <c r="H149" s="2070">
        <v>26750</v>
      </c>
      <c r="I149" s="2102">
        <f>I147</f>
        <v>33650</v>
      </c>
      <c r="J149" s="2102">
        <f t="shared" ref="J149:P149" si="249">J147</f>
        <v>34200</v>
      </c>
      <c r="K149" s="2102"/>
      <c r="L149" s="2102"/>
      <c r="M149" s="2102"/>
      <c r="N149" s="2102" t="e">
        <f t="shared" si="249"/>
        <v>#REF!</v>
      </c>
      <c r="O149" s="2102">
        <f t="shared" si="249"/>
        <v>35850</v>
      </c>
      <c r="P149" s="2102">
        <f t="shared" si="249"/>
        <v>36400</v>
      </c>
      <c r="Q149" s="2100"/>
      <c r="R149" s="2100"/>
      <c r="S149" s="2100"/>
      <c r="T149" s="2100"/>
      <c r="U149" s="2100"/>
      <c r="V149" s="2100"/>
      <c r="W149" s="2100"/>
      <c r="X149" s="2100"/>
      <c r="Y149" s="2100"/>
      <c r="Z149" s="2100"/>
      <c r="AA149" s="2100"/>
      <c r="AB149" s="2100"/>
      <c r="AC149" s="2100"/>
      <c r="AD149" s="2100"/>
      <c r="AE149" s="2100"/>
      <c r="AF149" s="2100"/>
      <c r="AG149" s="2100"/>
      <c r="AH149" s="2100"/>
      <c r="AI149" s="2100"/>
      <c r="AJ149" s="2100"/>
      <c r="AK149" s="2100"/>
      <c r="AL149" s="2100"/>
      <c r="AM149" s="2100"/>
      <c r="AN149" s="2100"/>
      <c r="AO149" s="2100"/>
      <c r="AP149" s="2100"/>
      <c r="AQ149" s="2100"/>
      <c r="AR149" s="2100"/>
      <c r="AS149" s="2100"/>
      <c r="AT149" s="2100"/>
      <c r="AU149" s="2100"/>
      <c r="AV149" s="2100"/>
      <c r="AW149" s="2100"/>
      <c r="AX149" s="2100"/>
      <c r="AY149" s="2101"/>
      <c r="AZ149" s="2101"/>
      <c r="BA149" s="2101"/>
      <c r="BB149" s="2101"/>
      <c r="BC149" s="2101"/>
      <c r="BD149" s="2101"/>
      <c r="BE149" s="2101"/>
      <c r="BF149" s="2101"/>
      <c r="BG149" s="2101"/>
      <c r="BH149" s="2101"/>
      <c r="BI149" s="2101"/>
      <c r="BJ149" s="2101"/>
      <c r="BK149" s="2101"/>
      <c r="BL149" s="2101"/>
      <c r="BM149" s="2101"/>
      <c r="BN149" s="2101"/>
      <c r="BO149" s="2101"/>
      <c r="BP149" s="2101"/>
      <c r="BQ149" s="2101"/>
      <c r="BR149" s="2101"/>
      <c r="BS149" s="2101"/>
      <c r="BT149" s="2101"/>
      <c r="BU149" s="2101"/>
      <c r="BV149" s="2101"/>
      <c r="BW149" s="2101"/>
      <c r="BX149" s="2101"/>
      <c r="BY149" s="2101"/>
      <c r="BZ149" s="2101"/>
      <c r="CA149" s="2101"/>
      <c r="CB149" s="2101"/>
      <c r="CC149" s="2101"/>
      <c r="CD149" s="2101"/>
      <c r="CE149" s="2102" t="e">
        <f t="shared" ref="CE149:DG149" si="250">CE147</f>
        <v>#REF!</v>
      </c>
      <c r="CF149" s="2102" t="e">
        <f t="shared" si="250"/>
        <v>#REF!</v>
      </c>
      <c r="CG149" s="2102">
        <f t="shared" si="250"/>
        <v>24200</v>
      </c>
      <c r="CH149" s="2102">
        <f t="shared" si="250"/>
        <v>24200</v>
      </c>
      <c r="CI149" s="2102">
        <f t="shared" si="250"/>
        <v>0</v>
      </c>
      <c r="CJ149" s="2102">
        <f t="shared" si="250"/>
        <v>0</v>
      </c>
      <c r="CK149" s="2102" t="e">
        <f t="shared" si="250"/>
        <v>#REF!</v>
      </c>
      <c r="CL149" s="2102">
        <f t="shared" si="250"/>
        <v>29400</v>
      </c>
      <c r="CM149" s="2102" t="e">
        <f t="shared" si="250"/>
        <v>#REF!</v>
      </c>
      <c r="CN149" s="2102"/>
      <c r="CO149" s="2102">
        <f t="shared" si="250"/>
        <v>27850</v>
      </c>
      <c r="CP149" s="2102">
        <f t="shared" si="250"/>
        <v>33050</v>
      </c>
      <c r="CQ149" s="2102"/>
      <c r="CR149" s="2102"/>
      <c r="CS149" s="2102">
        <f t="shared" si="250"/>
        <v>25700</v>
      </c>
      <c r="CT149" s="2102"/>
      <c r="CU149" s="2102">
        <f t="shared" si="250"/>
        <v>25200</v>
      </c>
      <c r="CV149" s="2102" t="e">
        <f t="shared" si="250"/>
        <v>#REF!</v>
      </c>
      <c r="CW149" s="2102" t="e">
        <f t="shared" si="250"/>
        <v>#REF!</v>
      </c>
      <c r="CX149" s="2102" t="e">
        <f t="shared" si="250"/>
        <v>#REF!</v>
      </c>
      <c r="CY149" s="2102" t="e">
        <f t="shared" si="250"/>
        <v>#REF!</v>
      </c>
      <c r="CZ149" s="2102" t="e">
        <f t="shared" si="250"/>
        <v>#REF!</v>
      </c>
      <c r="DA149" s="2102" t="e">
        <f t="shared" si="250"/>
        <v>#REF!</v>
      </c>
      <c r="DB149" s="2102">
        <f t="shared" si="250"/>
        <v>35050</v>
      </c>
      <c r="DC149" s="2102" t="e">
        <f t="shared" si="250"/>
        <v>#REF!</v>
      </c>
      <c r="DD149" s="2102" t="e">
        <f t="shared" si="250"/>
        <v>#REF!</v>
      </c>
      <c r="DE149" s="2102" t="e">
        <f t="shared" si="250"/>
        <v>#REF!</v>
      </c>
      <c r="DF149" s="2102" t="e">
        <f t="shared" si="250"/>
        <v>#REF!</v>
      </c>
      <c r="DG149" s="2102" t="e">
        <f t="shared" si="250"/>
        <v>#REF!</v>
      </c>
      <c r="DH149" s="2102"/>
      <c r="DI149" s="2102"/>
      <c r="DJ149" s="2102"/>
      <c r="DK149" s="2102"/>
      <c r="DL149" s="2102"/>
      <c r="DM149" s="2102"/>
      <c r="DN149" s="2102"/>
      <c r="DO149" s="2102"/>
      <c r="DP149" s="2102"/>
      <c r="DQ149" s="2102"/>
      <c r="DR149" s="2102"/>
      <c r="DS149" s="2102">
        <v>23650</v>
      </c>
      <c r="DT149" s="2102"/>
      <c r="DU149" s="2101"/>
      <c r="DV149" s="2101"/>
      <c r="DW149" s="2101"/>
      <c r="DX149" s="2101"/>
      <c r="DY149" s="2101"/>
      <c r="DZ149" s="2101"/>
      <c r="EA149" s="2101"/>
      <c r="EB149" s="2101"/>
      <c r="EC149" s="2101"/>
      <c r="ED149" s="2101"/>
      <c r="EE149" s="2101"/>
      <c r="EF149" s="2101"/>
      <c r="EG149" s="2101"/>
      <c r="EH149" s="2101"/>
      <c r="EI149" s="2101"/>
      <c r="EJ149" s="2101"/>
      <c r="EK149" s="2101"/>
      <c r="EL149" s="2101"/>
      <c r="EM149" s="2101"/>
      <c r="EN149" s="2101"/>
      <c r="EO149" s="2101"/>
      <c r="EP149" s="2101"/>
      <c r="EQ149" s="2101"/>
      <c r="ER149" s="2101"/>
      <c r="ES149" s="2101"/>
      <c r="ET149" s="2102">
        <f t="shared" ref="ET149:EY149" si="251">ET147</f>
        <v>33850</v>
      </c>
      <c r="EU149" s="2102">
        <f t="shared" si="251"/>
        <v>33850</v>
      </c>
      <c r="EV149" s="2102">
        <f t="shared" si="251"/>
        <v>33850</v>
      </c>
      <c r="EW149" s="2102">
        <f t="shared" si="251"/>
        <v>33850</v>
      </c>
      <c r="EX149" s="2102">
        <f t="shared" si="251"/>
        <v>33850</v>
      </c>
      <c r="EY149" s="2102">
        <f t="shared" si="251"/>
        <v>33850</v>
      </c>
      <c r="EZ149" s="2101"/>
      <c r="FA149" s="2101"/>
      <c r="FB149" s="2102"/>
      <c r="FC149" s="2102"/>
      <c r="FD149" s="2102"/>
      <c r="FE149" s="2104"/>
      <c r="FF149" s="2082"/>
      <c r="FG149" s="2082"/>
      <c r="FH149" s="2082"/>
      <c r="FI149" s="2082"/>
      <c r="FJ149" s="2082"/>
      <c r="FK149" s="1565"/>
      <c r="FL149" s="1565"/>
      <c r="FM149" s="1565"/>
      <c r="FN149" s="1565"/>
      <c r="FO149" s="1565"/>
      <c r="FP149" s="1565"/>
      <c r="FQ149" s="1565"/>
      <c r="FR149" s="1565"/>
      <c r="FS149" s="1565"/>
      <c r="FT149" s="1565"/>
      <c r="FU149" s="1565"/>
      <c r="FV149" s="1565"/>
      <c r="FW149" s="1565"/>
      <c r="FX149" s="1565"/>
      <c r="FY149" s="1565"/>
      <c r="FZ149" s="1565"/>
      <c r="GA149" s="1565"/>
      <c r="GB149" s="1565"/>
      <c r="GC149" s="1565"/>
      <c r="GD149" s="1565"/>
      <c r="GE149" s="1565"/>
      <c r="GF149" s="1565"/>
      <c r="GG149" s="1565"/>
      <c r="GH149" s="1565"/>
      <c r="GI149" s="1565"/>
      <c r="GJ149" s="1565"/>
      <c r="GK149" s="1565"/>
      <c r="GL149" s="1565"/>
      <c r="GM149" s="1565"/>
      <c r="GN149" s="1565"/>
      <c r="GO149" s="1565"/>
      <c r="GP149" s="1565"/>
      <c r="GQ149" s="1565"/>
      <c r="GR149" s="1565"/>
      <c r="GS149" s="1565"/>
      <c r="GT149" s="1565"/>
      <c r="GU149" s="1565"/>
      <c r="GV149" s="1565"/>
      <c r="GW149" s="1565"/>
      <c r="GX149" s="1565"/>
      <c r="GY149" s="1565"/>
      <c r="GZ149" s="1565"/>
      <c r="HA149" s="1565"/>
      <c r="HB149" s="1565"/>
      <c r="HC149" s="1565"/>
      <c r="HD149" s="1565"/>
      <c r="HE149" s="1565"/>
      <c r="HF149" s="1565"/>
      <c r="HG149" s="1565"/>
      <c r="HH149" s="1565"/>
      <c r="HI149" s="1565"/>
      <c r="HJ149" s="1565"/>
      <c r="HK149" s="1565"/>
      <c r="HL149" s="1565"/>
      <c r="HM149" s="1565"/>
      <c r="HN149" s="1565"/>
      <c r="HO149" s="1565"/>
      <c r="HP149" s="1565"/>
      <c r="HQ149" s="1565"/>
      <c r="HR149" s="1565"/>
      <c r="HS149" s="1565"/>
      <c r="HT149" s="1565"/>
      <c r="HU149" s="1565"/>
      <c r="HV149" s="1565"/>
      <c r="HW149" s="1565"/>
      <c r="HX149" s="1565"/>
      <c r="HY149" s="1565"/>
      <c r="HZ149" s="1565"/>
      <c r="IA149" s="1565"/>
      <c r="IB149" s="1565"/>
      <c r="IC149" s="1565"/>
      <c r="ID149" s="1565"/>
      <c r="IE149" s="1565"/>
      <c r="IF149" s="1565"/>
      <c r="IG149" s="1565"/>
    </row>
    <row r="150" spans="1:241" s="1552" customFormat="1" ht="36" hidden="1" outlineLevel="2">
      <c r="A150" s="1549">
        <v>147</v>
      </c>
      <c r="B150" s="1556" t="s">
        <v>303</v>
      </c>
      <c r="C150" s="1578" t="s">
        <v>1974</v>
      </c>
      <c r="D150" s="1579" t="s">
        <v>1806</v>
      </c>
      <c r="E150" s="1580"/>
      <c r="F150" s="1579" t="s">
        <v>1796</v>
      </c>
      <c r="G150" s="1502" t="s">
        <v>1991</v>
      </c>
      <c r="H150" s="2070">
        <v>26750</v>
      </c>
      <c r="I150" s="2102">
        <f>I147</f>
        <v>33650</v>
      </c>
      <c r="J150" s="2102">
        <f t="shared" ref="J150:P150" si="252">J147</f>
        <v>34200</v>
      </c>
      <c r="K150" s="2102">
        <f t="shared" si="252"/>
        <v>0</v>
      </c>
      <c r="L150" s="2102" t="e">
        <f t="shared" si="252"/>
        <v>#REF!</v>
      </c>
      <c r="M150" s="2102" t="e">
        <f t="shared" si="252"/>
        <v>#REF!</v>
      </c>
      <c r="N150" s="2102" t="e">
        <f t="shared" si="252"/>
        <v>#REF!</v>
      </c>
      <c r="O150" s="2102">
        <f t="shared" si="252"/>
        <v>35850</v>
      </c>
      <c r="P150" s="2102">
        <f t="shared" si="252"/>
        <v>36400</v>
      </c>
      <c r="Q150" s="2100"/>
      <c r="R150" s="2100"/>
      <c r="S150" s="2100"/>
      <c r="T150" s="2100"/>
      <c r="U150" s="2100"/>
      <c r="V150" s="2100"/>
      <c r="W150" s="2100"/>
      <c r="X150" s="2100"/>
      <c r="Y150" s="2100"/>
      <c r="Z150" s="2100"/>
      <c r="AA150" s="2100"/>
      <c r="AB150" s="2100"/>
      <c r="AC150" s="2100"/>
      <c r="AD150" s="2100"/>
      <c r="AE150" s="2100"/>
      <c r="AF150" s="2100"/>
      <c r="AG150" s="2100"/>
      <c r="AH150" s="2100"/>
      <c r="AI150" s="2100"/>
      <c r="AJ150" s="2100"/>
      <c r="AK150" s="2100"/>
      <c r="AL150" s="2100"/>
      <c r="AM150" s="2100"/>
      <c r="AN150" s="2100"/>
      <c r="AO150" s="2100"/>
      <c r="AP150" s="2100"/>
      <c r="AQ150" s="2100"/>
      <c r="AR150" s="2100"/>
      <c r="AS150" s="2100"/>
      <c r="AT150" s="2100"/>
      <c r="AU150" s="2100"/>
      <c r="AV150" s="2100"/>
      <c r="AW150" s="2100"/>
      <c r="AX150" s="2100"/>
      <c r="AY150" s="2101"/>
      <c r="AZ150" s="2101"/>
      <c r="BA150" s="2101"/>
      <c r="BB150" s="2101"/>
      <c r="BC150" s="2101"/>
      <c r="BD150" s="2101"/>
      <c r="BE150" s="2101"/>
      <c r="BF150" s="2101"/>
      <c r="BG150" s="2101"/>
      <c r="BH150" s="2101"/>
      <c r="BI150" s="2101"/>
      <c r="BJ150" s="2101"/>
      <c r="BK150" s="2101"/>
      <c r="BL150" s="2101"/>
      <c r="BM150" s="2101"/>
      <c r="BN150" s="2101"/>
      <c r="BO150" s="2101"/>
      <c r="BP150" s="2101"/>
      <c r="BQ150" s="2101"/>
      <c r="BR150" s="2101"/>
      <c r="BS150" s="2101"/>
      <c r="BT150" s="2101"/>
      <c r="BU150" s="2101"/>
      <c r="BV150" s="2101"/>
      <c r="BW150" s="2101"/>
      <c r="BX150" s="2101"/>
      <c r="BY150" s="2101"/>
      <c r="BZ150" s="2101"/>
      <c r="CA150" s="2101"/>
      <c r="CB150" s="2101"/>
      <c r="CC150" s="2101"/>
      <c r="CD150" s="2101"/>
      <c r="CE150" s="2102" t="e">
        <f t="shared" ref="CE150:DG150" si="253">CE147</f>
        <v>#REF!</v>
      </c>
      <c r="CF150" s="2102" t="e">
        <f t="shared" si="253"/>
        <v>#REF!</v>
      </c>
      <c r="CG150" s="2102">
        <f t="shared" si="253"/>
        <v>24200</v>
      </c>
      <c r="CH150" s="2102">
        <f t="shared" si="253"/>
        <v>24200</v>
      </c>
      <c r="CI150" s="2102">
        <f t="shared" si="253"/>
        <v>0</v>
      </c>
      <c r="CJ150" s="2102">
        <f t="shared" si="253"/>
        <v>0</v>
      </c>
      <c r="CK150" s="2102" t="e">
        <f t="shared" si="253"/>
        <v>#REF!</v>
      </c>
      <c r="CL150" s="2102">
        <f t="shared" si="253"/>
        <v>29400</v>
      </c>
      <c r="CM150" s="2102" t="e">
        <f t="shared" si="253"/>
        <v>#REF!</v>
      </c>
      <c r="CN150" s="2102"/>
      <c r="CO150" s="2102">
        <f t="shared" si="253"/>
        <v>27850</v>
      </c>
      <c r="CP150" s="2102">
        <f t="shared" si="253"/>
        <v>33050</v>
      </c>
      <c r="CQ150" s="2102"/>
      <c r="CR150" s="2102"/>
      <c r="CS150" s="2102">
        <f t="shared" si="253"/>
        <v>25700</v>
      </c>
      <c r="CT150" s="2102"/>
      <c r="CU150" s="2102">
        <f t="shared" si="253"/>
        <v>25200</v>
      </c>
      <c r="CV150" s="2102" t="e">
        <f t="shared" si="253"/>
        <v>#REF!</v>
      </c>
      <c r="CW150" s="2102" t="e">
        <f t="shared" si="253"/>
        <v>#REF!</v>
      </c>
      <c r="CX150" s="2102" t="e">
        <f t="shared" si="253"/>
        <v>#REF!</v>
      </c>
      <c r="CY150" s="2102" t="e">
        <f t="shared" si="253"/>
        <v>#REF!</v>
      </c>
      <c r="CZ150" s="2102" t="e">
        <f t="shared" si="253"/>
        <v>#REF!</v>
      </c>
      <c r="DA150" s="2102" t="e">
        <f t="shared" si="253"/>
        <v>#REF!</v>
      </c>
      <c r="DB150" s="2102">
        <f t="shared" si="253"/>
        <v>35050</v>
      </c>
      <c r="DC150" s="2102" t="e">
        <f t="shared" si="253"/>
        <v>#REF!</v>
      </c>
      <c r="DD150" s="2102" t="e">
        <f t="shared" si="253"/>
        <v>#REF!</v>
      </c>
      <c r="DE150" s="2102" t="e">
        <f t="shared" si="253"/>
        <v>#REF!</v>
      </c>
      <c r="DF150" s="2102" t="e">
        <f t="shared" si="253"/>
        <v>#REF!</v>
      </c>
      <c r="DG150" s="2102" t="e">
        <f t="shared" si="253"/>
        <v>#REF!</v>
      </c>
      <c r="DH150" s="2102"/>
      <c r="DI150" s="2102"/>
      <c r="DJ150" s="2102"/>
      <c r="DK150" s="2102"/>
      <c r="DL150" s="2102"/>
      <c r="DM150" s="2102"/>
      <c r="DN150" s="2102"/>
      <c r="DO150" s="2102"/>
      <c r="DP150" s="2102"/>
      <c r="DQ150" s="2102"/>
      <c r="DR150" s="2102"/>
      <c r="DS150" s="2102">
        <v>23650</v>
      </c>
      <c r="DT150" s="2102"/>
      <c r="DU150" s="2101"/>
      <c r="DV150" s="2101"/>
      <c r="DW150" s="2101"/>
      <c r="DX150" s="2101"/>
      <c r="DY150" s="2101"/>
      <c r="DZ150" s="2101"/>
      <c r="EA150" s="2101"/>
      <c r="EB150" s="2101"/>
      <c r="EC150" s="2101"/>
      <c r="ED150" s="2101"/>
      <c r="EE150" s="2101"/>
      <c r="EF150" s="2101"/>
      <c r="EG150" s="2101"/>
      <c r="EH150" s="2101"/>
      <c r="EI150" s="2101"/>
      <c r="EJ150" s="2101"/>
      <c r="EK150" s="2101"/>
      <c r="EL150" s="2101"/>
      <c r="EM150" s="2101"/>
      <c r="EN150" s="2101"/>
      <c r="EO150" s="2101"/>
      <c r="EP150" s="2101"/>
      <c r="EQ150" s="2101"/>
      <c r="ER150" s="2101"/>
      <c r="ES150" s="2101"/>
      <c r="ET150" s="2102">
        <f t="shared" ref="ET150:EY150" si="254">ET147</f>
        <v>33850</v>
      </c>
      <c r="EU150" s="2102">
        <f t="shared" si="254"/>
        <v>33850</v>
      </c>
      <c r="EV150" s="2102">
        <f t="shared" si="254"/>
        <v>33850</v>
      </c>
      <c r="EW150" s="2102">
        <f t="shared" si="254"/>
        <v>33850</v>
      </c>
      <c r="EX150" s="2102">
        <f t="shared" si="254"/>
        <v>33850</v>
      </c>
      <c r="EY150" s="2102">
        <f t="shared" si="254"/>
        <v>33850</v>
      </c>
      <c r="EZ150" s="2101"/>
      <c r="FA150" s="2101"/>
      <c r="FB150" s="2102">
        <f>FB147</f>
        <v>41350</v>
      </c>
      <c r="FC150" s="2102">
        <f>FC147</f>
        <v>41350</v>
      </c>
      <c r="FD150" s="2102">
        <f>FD147</f>
        <v>41350</v>
      </c>
      <c r="FE150" s="2104"/>
      <c r="FF150" s="2082"/>
      <c r="FG150" s="2082"/>
      <c r="FH150" s="2082"/>
      <c r="FI150" s="2082"/>
      <c r="FJ150" s="2082"/>
      <c r="FK150" s="1565"/>
      <c r="FL150" s="1565"/>
      <c r="FM150" s="1565"/>
      <c r="FN150" s="1565"/>
      <c r="FO150" s="1565"/>
      <c r="FP150" s="1565"/>
      <c r="FQ150" s="1565"/>
      <c r="FR150" s="1565"/>
      <c r="FS150" s="1565"/>
      <c r="FT150" s="1565"/>
      <c r="FU150" s="1565"/>
      <c r="FV150" s="1565"/>
      <c r="FW150" s="1565"/>
      <c r="FX150" s="1565"/>
      <c r="FY150" s="1565"/>
      <c r="FZ150" s="1565"/>
      <c r="GA150" s="1565"/>
      <c r="GB150" s="1565"/>
      <c r="GC150" s="1565"/>
      <c r="GD150" s="1565"/>
      <c r="GE150" s="1565"/>
      <c r="GF150" s="1565"/>
      <c r="GG150" s="1565"/>
      <c r="GH150" s="1565"/>
      <c r="GI150" s="1565"/>
      <c r="GJ150" s="1565"/>
      <c r="GK150" s="1565"/>
      <c r="GL150" s="1565"/>
      <c r="GM150" s="1565"/>
      <c r="GN150" s="1565"/>
      <c r="GO150" s="1565"/>
      <c r="GP150" s="1565"/>
      <c r="GQ150" s="1565"/>
      <c r="GR150" s="1565"/>
      <c r="GS150" s="1565"/>
      <c r="GT150" s="1565"/>
      <c r="GU150" s="1565"/>
      <c r="GV150" s="1565"/>
      <c r="GW150" s="1565"/>
      <c r="GX150" s="1565"/>
      <c r="GY150" s="1565"/>
      <c r="GZ150" s="1565"/>
      <c r="HA150" s="1565"/>
      <c r="HB150" s="1565"/>
      <c r="HC150" s="1565"/>
      <c r="HD150" s="1565"/>
      <c r="HE150" s="1565"/>
      <c r="HF150" s="1565"/>
      <c r="HG150" s="1565"/>
      <c r="HH150" s="1565"/>
      <c r="HI150" s="1565"/>
      <c r="HJ150" s="1565"/>
      <c r="HK150" s="1565"/>
      <c r="HL150" s="1565"/>
      <c r="HM150" s="1565"/>
      <c r="HN150" s="1565"/>
      <c r="HO150" s="1565"/>
      <c r="HP150" s="1565"/>
      <c r="HQ150" s="1565"/>
      <c r="HR150" s="1565"/>
      <c r="HS150" s="1565"/>
      <c r="HT150" s="1565"/>
      <c r="HU150" s="1565"/>
      <c r="HV150" s="1565"/>
      <c r="HW150" s="1565"/>
      <c r="HX150" s="1565"/>
      <c r="HY150" s="1565"/>
      <c r="HZ150" s="1565"/>
      <c r="IA150" s="1565"/>
      <c r="IB150" s="1565"/>
      <c r="IC150" s="1565"/>
      <c r="ID150" s="1565"/>
      <c r="IE150" s="1565"/>
      <c r="IF150" s="1565"/>
      <c r="IG150" s="1565"/>
    </row>
    <row r="151" spans="1:241" s="1552" customFormat="1" ht="36" hidden="1" outlineLevel="2">
      <c r="A151" s="1552">
        <v>148</v>
      </c>
      <c r="B151" s="1556" t="s">
        <v>303</v>
      </c>
      <c r="C151" s="1578" t="s">
        <v>1974</v>
      </c>
      <c r="D151" s="1579" t="s">
        <v>1806</v>
      </c>
      <c r="E151" s="1580"/>
      <c r="F151" s="1579" t="s">
        <v>1797</v>
      </c>
      <c r="G151" s="1502"/>
      <c r="H151" s="2070">
        <v>26750</v>
      </c>
      <c r="I151" s="2102">
        <f>I147</f>
        <v>33650</v>
      </c>
      <c r="J151" s="2102">
        <f t="shared" ref="J151:P151" si="255">J147</f>
        <v>34200</v>
      </c>
      <c r="K151" s="2102">
        <f t="shared" si="255"/>
        <v>0</v>
      </c>
      <c r="L151" s="2102" t="e">
        <f t="shared" si="255"/>
        <v>#REF!</v>
      </c>
      <c r="M151" s="2102" t="e">
        <f t="shared" si="255"/>
        <v>#REF!</v>
      </c>
      <c r="N151" s="2102" t="e">
        <f t="shared" si="255"/>
        <v>#REF!</v>
      </c>
      <c r="O151" s="2102">
        <f t="shared" si="255"/>
        <v>35850</v>
      </c>
      <c r="P151" s="2102">
        <f t="shared" si="255"/>
        <v>36400</v>
      </c>
      <c r="Q151" s="2100"/>
      <c r="R151" s="2100"/>
      <c r="S151" s="2100"/>
      <c r="T151" s="2100"/>
      <c r="U151" s="2100"/>
      <c r="V151" s="2100"/>
      <c r="W151" s="2100"/>
      <c r="X151" s="2100"/>
      <c r="Y151" s="2100"/>
      <c r="Z151" s="2100"/>
      <c r="AA151" s="2100"/>
      <c r="AB151" s="2100"/>
      <c r="AC151" s="2100"/>
      <c r="AD151" s="2100"/>
      <c r="AE151" s="2100"/>
      <c r="AF151" s="2100"/>
      <c r="AG151" s="2100"/>
      <c r="AH151" s="2100"/>
      <c r="AI151" s="2100"/>
      <c r="AJ151" s="2100"/>
      <c r="AK151" s="2100"/>
      <c r="AL151" s="2100"/>
      <c r="AM151" s="2100"/>
      <c r="AN151" s="2100"/>
      <c r="AO151" s="2100"/>
      <c r="AP151" s="2100"/>
      <c r="AQ151" s="2100"/>
      <c r="AR151" s="2100"/>
      <c r="AS151" s="2100"/>
      <c r="AT151" s="2100"/>
      <c r="AU151" s="2100"/>
      <c r="AV151" s="2100"/>
      <c r="AW151" s="2100"/>
      <c r="AX151" s="2100"/>
      <c r="AY151" s="2101"/>
      <c r="AZ151" s="2101"/>
      <c r="BA151" s="2101"/>
      <c r="BB151" s="2101"/>
      <c r="BC151" s="2101"/>
      <c r="BD151" s="2101"/>
      <c r="BE151" s="2101"/>
      <c r="BF151" s="2101"/>
      <c r="BG151" s="2101"/>
      <c r="BH151" s="2101"/>
      <c r="BI151" s="2101"/>
      <c r="BJ151" s="2101"/>
      <c r="BK151" s="2101"/>
      <c r="BL151" s="2101"/>
      <c r="BM151" s="2101"/>
      <c r="BN151" s="2101"/>
      <c r="BO151" s="2101"/>
      <c r="BP151" s="2101"/>
      <c r="BQ151" s="2101"/>
      <c r="BR151" s="2101"/>
      <c r="BS151" s="2101"/>
      <c r="BT151" s="2101"/>
      <c r="BU151" s="2101"/>
      <c r="BV151" s="2101"/>
      <c r="BW151" s="2101"/>
      <c r="BX151" s="2101"/>
      <c r="BY151" s="2101"/>
      <c r="BZ151" s="2101"/>
      <c r="CA151" s="2101"/>
      <c r="CB151" s="2101"/>
      <c r="CC151" s="2101"/>
      <c r="CD151" s="2101"/>
      <c r="CE151" s="2102" t="e">
        <f t="shared" ref="CE151:DG151" si="256">CE147</f>
        <v>#REF!</v>
      </c>
      <c r="CF151" s="2102" t="e">
        <f t="shared" si="256"/>
        <v>#REF!</v>
      </c>
      <c r="CG151" s="2102">
        <f t="shared" si="256"/>
        <v>24200</v>
      </c>
      <c r="CH151" s="2102">
        <f t="shared" si="256"/>
        <v>24200</v>
      </c>
      <c r="CI151" s="2102">
        <f t="shared" si="256"/>
        <v>0</v>
      </c>
      <c r="CJ151" s="2102">
        <f t="shared" si="256"/>
        <v>0</v>
      </c>
      <c r="CK151" s="2102" t="e">
        <f t="shared" si="256"/>
        <v>#REF!</v>
      </c>
      <c r="CL151" s="2102">
        <f t="shared" si="256"/>
        <v>29400</v>
      </c>
      <c r="CM151" s="2102" t="e">
        <f t="shared" si="256"/>
        <v>#REF!</v>
      </c>
      <c r="CN151" s="2102"/>
      <c r="CO151" s="2102">
        <f t="shared" si="256"/>
        <v>27850</v>
      </c>
      <c r="CP151" s="2102">
        <f t="shared" si="256"/>
        <v>33050</v>
      </c>
      <c r="CQ151" s="2102"/>
      <c r="CR151" s="2102"/>
      <c r="CS151" s="2102">
        <f t="shared" si="256"/>
        <v>25700</v>
      </c>
      <c r="CT151" s="2102"/>
      <c r="CU151" s="2102">
        <f t="shared" si="256"/>
        <v>25200</v>
      </c>
      <c r="CV151" s="2102" t="e">
        <f t="shared" si="256"/>
        <v>#REF!</v>
      </c>
      <c r="CW151" s="2102" t="e">
        <f t="shared" si="256"/>
        <v>#REF!</v>
      </c>
      <c r="CX151" s="2102" t="e">
        <f t="shared" si="256"/>
        <v>#REF!</v>
      </c>
      <c r="CY151" s="2102" t="e">
        <f t="shared" si="256"/>
        <v>#REF!</v>
      </c>
      <c r="CZ151" s="2102" t="e">
        <f t="shared" si="256"/>
        <v>#REF!</v>
      </c>
      <c r="DA151" s="2102" t="e">
        <f t="shared" si="256"/>
        <v>#REF!</v>
      </c>
      <c r="DB151" s="2102">
        <f t="shared" si="256"/>
        <v>35050</v>
      </c>
      <c r="DC151" s="2102" t="e">
        <f t="shared" si="256"/>
        <v>#REF!</v>
      </c>
      <c r="DD151" s="2102" t="e">
        <f t="shared" si="256"/>
        <v>#REF!</v>
      </c>
      <c r="DE151" s="2102" t="e">
        <f t="shared" si="256"/>
        <v>#REF!</v>
      </c>
      <c r="DF151" s="2102" t="e">
        <f t="shared" si="256"/>
        <v>#REF!</v>
      </c>
      <c r="DG151" s="2102" t="e">
        <f t="shared" si="256"/>
        <v>#REF!</v>
      </c>
      <c r="DH151" s="2102"/>
      <c r="DI151" s="2102"/>
      <c r="DJ151" s="2102"/>
      <c r="DK151" s="2102"/>
      <c r="DL151" s="2102"/>
      <c r="DM151" s="2102"/>
      <c r="DN151" s="2102"/>
      <c r="DO151" s="2102"/>
      <c r="DP151" s="2102"/>
      <c r="DQ151" s="2102"/>
      <c r="DR151" s="2102"/>
      <c r="DS151" s="2102">
        <v>23650</v>
      </c>
      <c r="DT151" s="2102"/>
      <c r="DU151" s="2101"/>
      <c r="DV151" s="2101"/>
      <c r="DW151" s="2101"/>
      <c r="DX151" s="2101"/>
      <c r="DY151" s="2101"/>
      <c r="DZ151" s="2101"/>
      <c r="EA151" s="2101"/>
      <c r="EB151" s="2101"/>
      <c r="EC151" s="2101"/>
      <c r="ED151" s="2101"/>
      <c r="EE151" s="2101"/>
      <c r="EF151" s="2101"/>
      <c r="EG151" s="2101"/>
      <c r="EH151" s="2101"/>
      <c r="EI151" s="2101"/>
      <c r="EJ151" s="2101"/>
      <c r="EK151" s="2101"/>
      <c r="EL151" s="2101"/>
      <c r="EM151" s="2101"/>
      <c r="EN151" s="2101"/>
      <c r="EO151" s="2101"/>
      <c r="EP151" s="2101"/>
      <c r="EQ151" s="2101"/>
      <c r="ER151" s="2101"/>
      <c r="ES151" s="2101"/>
      <c r="ET151" s="2102">
        <f t="shared" ref="ET151:EY151" si="257">ET147</f>
        <v>33850</v>
      </c>
      <c r="EU151" s="2102">
        <f t="shared" si="257"/>
        <v>33850</v>
      </c>
      <c r="EV151" s="2102">
        <f t="shared" si="257"/>
        <v>33850</v>
      </c>
      <c r="EW151" s="2102">
        <f t="shared" si="257"/>
        <v>33850</v>
      </c>
      <c r="EX151" s="2102">
        <f t="shared" si="257"/>
        <v>33850</v>
      </c>
      <c r="EY151" s="2102">
        <f t="shared" si="257"/>
        <v>33850</v>
      </c>
      <c r="EZ151" s="2101"/>
      <c r="FA151" s="2101"/>
      <c r="FB151" s="2102">
        <f>FB147</f>
        <v>41350</v>
      </c>
      <c r="FC151" s="2102">
        <f>FC147</f>
        <v>41350</v>
      </c>
      <c r="FD151" s="2102">
        <f>FD147</f>
        <v>41350</v>
      </c>
      <c r="FE151" s="2104"/>
      <c r="FF151" s="2082"/>
      <c r="FG151" s="2082"/>
      <c r="FH151" s="2082"/>
      <c r="FI151" s="2082"/>
      <c r="FJ151" s="2082"/>
      <c r="FK151" s="1565"/>
      <c r="FL151" s="1565"/>
      <c r="FM151" s="1565"/>
      <c r="FN151" s="1565"/>
      <c r="FO151" s="1565"/>
      <c r="FP151" s="1565"/>
      <c r="FQ151" s="1565"/>
      <c r="FR151" s="1565"/>
      <c r="FS151" s="1565"/>
      <c r="FT151" s="1565"/>
      <c r="FU151" s="1565"/>
      <c r="FV151" s="1565"/>
      <c r="FW151" s="1565"/>
      <c r="FX151" s="1565"/>
      <c r="FY151" s="1565"/>
      <c r="FZ151" s="1565"/>
      <c r="GA151" s="1565"/>
      <c r="GB151" s="1565"/>
      <c r="GC151" s="1565"/>
      <c r="GD151" s="1565"/>
      <c r="GE151" s="1565"/>
      <c r="GF151" s="1565"/>
      <c r="GG151" s="1565"/>
      <c r="GH151" s="1565"/>
      <c r="GI151" s="1565"/>
      <c r="GJ151" s="1565"/>
      <c r="GK151" s="1565"/>
      <c r="GL151" s="1565"/>
      <c r="GM151" s="1565"/>
      <c r="GN151" s="1565"/>
      <c r="GO151" s="1565"/>
      <c r="GP151" s="1565"/>
      <c r="GQ151" s="1565"/>
      <c r="GR151" s="1565"/>
      <c r="GS151" s="1565"/>
      <c r="GT151" s="1565"/>
      <c r="GU151" s="1565"/>
      <c r="GV151" s="1565"/>
      <c r="GW151" s="1565"/>
      <c r="GX151" s="1565"/>
      <c r="GY151" s="1565"/>
      <c r="GZ151" s="1565"/>
      <c r="HA151" s="1565"/>
      <c r="HB151" s="1565"/>
      <c r="HC151" s="1565"/>
      <c r="HD151" s="1565"/>
      <c r="HE151" s="1565"/>
      <c r="HF151" s="1565"/>
      <c r="HG151" s="1565"/>
      <c r="HH151" s="1565"/>
      <c r="HI151" s="1565"/>
      <c r="HJ151" s="1565"/>
      <c r="HK151" s="1565"/>
      <c r="HL151" s="1565"/>
      <c r="HM151" s="1565"/>
      <c r="HN151" s="1565"/>
      <c r="HO151" s="1565"/>
      <c r="HP151" s="1565"/>
      <c r="HQ151" s="1565"/>
      <c r="HR151" s="1565"/>
      <c r="HS151" s="1565"/>
      <c r="HT151" s="1565"/>
      <c r="HU151" s="1565"/>
      <c r="HV151" s="1565"/>
      <c r="HW151" s="1565"/>
      <c r="HX151" s="1565"/>
      <c r="HY151" s="1565"/>
      <c r="HZ151" s="1565"/>
      <c r="IA151" s="1565"/>
      <c r="IB151" s="1565"/>
      <c r="IC151" s="1565"/>
      <c r="ID151" s="1565"/>
      <c r="IE151" s="1565"/>
      <c r="IF151" s="1565"/>
      <c r="IG151" s="1565"/>
    </row>
    <row r="152" spans="1:241" s="1552" customFormat="1" ht="36" hidden="1" outlineLevel="2">
      <c r="A152" s="1549">
        <v>149</v>
      </c>
      <c r="B152" s="1556" t="s">
        <v>303</v>
      </c>
      <c r="C152" s="1578" t="s">
        <v>1974</v>
      </c>
      <c r="D152" s="1579" t="s">
        <v>1806</v>
      </c>
      <c r="E152" s="1580"/>
      <c r="F152" s="1579" t="s">
        <v>1798</v>
      </c>
      <c r="G152" s="1502"/>
      <c r="H152" s="2070"/>
      <c r="I152" s="2102"/>
      <c r="J152" s="2102"/>
      <c r="K152" s="2102"/>
      <c r="L152" s="2102"/>
      <c r="M152" s="2102"/>
      <c r="N152" s="2102"/>
      <c r="O152" s="2102"/>
      <c r="P152" s="2102"/>
      <c r="Q152" s="2100"/>
      <c r="R152" s="2100"/>
      <c r="S152" s="2100"/>
      <c r="T152" s="2100"/>
      <c r="U152" s="2100"/>
      <c r="V152" s="2100"/>
      <c r="W152" s="2100"/>
      <c r="X152" s="2100"/>
      <c r="Y152" s="2100"/>
      <c r="Z152" s="2100"/>
      <c r="AA152" s="2100"/>
      <c r="AB152" s="2100"/>
      <c r="AC152" s="2100"/>
      <c r="AD152" s="2100"/>
      <c r="AE152" s="2100"/>
      <c r="AF152" s="2100"/>
      <c r="AG152" s="2100"/>
      <c r="AH152" s="2100"/>
      <c r="AI152" s="2100"/>
      <c r="AJ152" s="2100"/>
      <c r="AK152" s="2100"/>
      <c r="AL152" s="2100"/>
      <c r="AM152" s="2100"/>
      <c r="AN152" s="2100"/>
      <c r="AO152" s="2100"/>
      <c r="AP152" s="2100"/>
      <c r="AQ152" s="2100"/>
      <c r="AR152" s="2100"/>
      <c r="AS152" s="2100"/>
      <c r="AT152" s="2100"/>
      <c r="AU152" s="2100"/>
      <c r="AV152" s="2100"/>
      <c r="AW152" s="2100"/>
      <c r="AX152" s="2100"/>
      <c r="AY152" s="2101"/>
      <c r="AZ152" s="2101"/>
      <c r="BA152" s="2101"/>
      <c r="BB152" s="2101"/>
      <c r="BC152" s="2101"/>
      <c r="BD152" s="2101"/>
      <c r="BE152" s="2101"/>
      <c r="BF152" s="2101"/>
      <c r="BG152" s="2101"/>
      <c r="BH152" s="2101"/>
      <c r="BI152" s="2101"/>
      <c r="BJ152" s="2101"/>
      <c r="BK152" s="2101"/>
      <c r="BL152" s="2101"/>
      <c r="BM152" s="2101"/>
      <c r="BN152" s="2101"/>
      <c r="BO152" s="2101"/>
      <c r="BP152" s="2101"/>
      <c r="BQ152" s="2101"/>
      <c r="BR152" s="2101"/>
      <c r="BS152" s="2101"/>
      <c r="BT152" s="2101"/>
      <c r="BU152" s="2101"/>
      <c r="BV152" s="2101"/>
      <c r="BW152" s="2101"/>
      <c r="BX152" s="2101"/>
      <c r="BY152" s="2101"/>
      <c r="BZ152" s="2101"/>
      <c r="CA152" s="2101"/>
      <c r="CB152" s="2101"/>
      <c r="CC152" s="2101"/>
      <c r="CD152" s="2101"/>
      <c r="CE152" s="2102"/>
      <c r="CF152" s="2102"/>
      <c r="CG152" s="2102"/>
      <c r="CH152" s="2102"/>
      <c r="CI152" s="2102"/>
      <c r="CJ152" s="2102"/>
      <c r="CK152" s="2102"/>
      <c r="CL152" s="2102"/>
      <c r="CM152" s="2102"/>
      <c r="CN152" s="2102"/>
      <c r="CO152" s="2102"/>
      <c r="CP152" s="2102"/>
      <c r="CQ152" s="2102"/>
      <c r="CR152" s="2102"/>
      <c r="CS152" s="2102"/>
      <c r="CT152" s="2102"/>
      <c r="CU152" s="2102"/>
      <c r="CV152" s="2102"/>
      <c r="CW152" s="2102"/>
      <c r="CX152" s="2102"/>
      <c r="CY152" s="2102"/>
      <c r="CZ152" s="2102"/>
      <c r="DA152" s="2102"/>
      <c r="DB152" s="2102"/>
      <c r="DC152" s="2102"/>
      <c r="DD152" s="2102"/>
      <c r="DE152" s="2102"/>
      <c r="DF152" s="2102"/>
      <c r="DG152" s="2102"/>
      <c r="DH152" s="2102"/>
      <c r="DI152" s="2102"/>
      <c r="DJ152" s="2102"/>
      <c r="DK152" s="2102"/>
      <c r="DL152" s="2102"/>
      <c r="DM152" s="2102"/>
      <c r="DN152" s="2102"/>
      <c r="DO152" s="2102"/>
      <c r="DP152" s="2102"/>
      <c r="DQ152" s="2102"/>
      <c r="DR152" s="2102"/>
      <c r="DS152" s="2102">
        <v>23650</v>
      </c>
      <c r="DT152" s="2102"/>
      <c r="DU152" s="2101"/>
      <c r="DV152" s="2101"/>
      <c r="DW152" s="2101"/>
      <c r="DX152" s="2101"/>
      <c r="DY152" s="2101"/>
      <c r="DZ152" s="2101"/>
      <c r="EA152" s="2101"/>
      <c r="EB152" s="2101"/>
      <c r="EC152" s="2101"/>
      <c r="ED152" s="2101"/>
      <c r="EE152" s="2101"/>
      <c r="EF152" s="2101"/>
      <c r="EG152" s="2101"/>
      <c r="EH152" s="2101"/>
      <c r="EI152" s="2101"/>
      <c r="EJ152" s="2101"/>
      <c r="EK152" s="2101"/>
      <c r="EL152" s="2101"/>
      <c r="EM152" s="2101"/>
      <c r="EN152" s="2101"/>
      <c r="EO152" s="2101"/>
      <c r="EP152" s="2101"/>
      <c r="EQ152" s="2101"/>
      <c r="ER152" s="2101"/>
      <c r="ES152" s="2101"/>
      <c r="ET152" s="2102">
        <f t="shared" ref="ET152:EY152" si="258">ET147</f>
        <v>33850</v>
      </c>
      <c r="EU152" s="2102">
        <f t="shared" si="258"/>
        <v>33850</v>
      </c>
      <c r="EV152" s="2102">
        <f t="shared" si="258"/>
        <v>33850</v>
      </c>
      <c r="EW152" s="2102">
        <f t="shared" si="258"/>
        <v>33850</v>
      </c>
      <c r="EX152" s="2102">
        <f t="shared" si="258"/>
        <v>33850</v>
      </c>
      <c r="EY152" s="2102">
        <f t="shared" si="258"/>
        <v>33850</v>
      </c>
      <c r="EZ152" s="2101"/>
      <c r="FA152" s="2101"/>
      <c r="FB152" s="2102"/>
      <c r="FC152" s="2102"/>
      <c r="FD152" s="2102"/>
      <c r="FE152" s="2104"/>
      <c r="FF152" s="2082"/>
      <c r="FG152" s="2082"/>
      <c r="FH152" s="2082"/>
      <c r="FI152" s="2082"/>
      <c r="FJ152" s="2082"/>
      <c r="FK152" s="1565"/>
      <c r="FL152" s="1565"/>
      <c r="FM152" s="1565"/>
      <c r="FN152" s="1565"/>
      <c r="FO152" s="1565"/>
      <c r="FP152" s="1565"/>
      <c r="FQ152" s="1565"/>
      <c r="FR152" s="1565"/>
      <c r="FS152" s="1565"/>
      <c r="FT152" s="1565"/>
      <c r="FU152" s="1565"/>
      <c r="FV152" s="1565"/>
      <c r="FW152" s="1565"/>
      <c r="FX152" s="1565"/>
      <c r="FY152" s="1565"/>
      <c r="FZ152" s="1565"/>
      <c r="GA152" s="1565"/>
      <c r="GB152" s="1565"/>
      <c r="GC152" s="1565"/>
      <c r="GD152" s="1565"/>
      <c r="GE152" s="1565"/>
      <c r="GF152" s="1565"/>
      <c r="GG152" s="1565"/>
      <c r="GH152" s="1565"/>
      <c r="GI152" s="1565"/>
      <c r="GJ152" s="1565"/>
      <c r="GK152" s="1565"/>
      <c r="GL152" s="1565"/>
      <c r="GM152" s="1565"/>
      <c r="GN152" s="1565"/>
      <c r="GO152" s="1565"/>
      <c r="GP152" s="1565"/>
      <c r="GQ152" s="1565"/>
      <c r="GR152" s="1565"/>
      <c r="GS152" s="1565"/>
      <c r="GT152" s="1565"/>
      <c r="GU152" s="1565"/>
      <c r="GV152" s="1565"/>
      <c r="GW152" s="1565"/>
      <c r="GX152" s="1565"/>
      <c r="GY152" s="1565"/>
      <c r="GZ152" s="1565"/>
      <c r="HA152" s="1565"/>
      <c r="HB152" s="1565"/>
      <c r="HC152" s="1565"/>
      <c r="HD152" s="1565"/>
      <c r="HE152" s="1565"/>
      <c r="HF152" s="1565"/>
      <c r="HG152" s="1565"/>
      <c r="HH152" s="1565"/>
      <c r="HI152" s="1565"/>
      <c r="HJ152" s="1565"/>
      <c r="HK152" s="1565"/>
      <c r="HL152" s="1565"/>
      <c r="HM152" s="1565"/>
      <c r="HN152" s="1565"/>
      <c r="HO152" s="1565"/>
      <c r="HP152" s="1565"/>
      <c r="HQ152" s="1565"/>
      <c r="HR152" s="1565"/>
      <c r="HS152" s="1565"/>
      <c r="HT152" s="1565"/>
      <c r="HU152" s="1565"/>
      <c r="HV152" s="1565"/>
      <c r="HW152" s="1565"/>
      <c r="HX152" s="1565"/>
      <c r="HY152" s="1565"/>
      <c r="HZ152" s="1565"/>
      <c r="IA152" s="1565"/>
      <c r="IB152" s="1565"/>
      <c r="IC152" s="1565"/>
      <c r="ID152" s="1565"/>
      <c r="IE152" s="1565"/>
      <c r="IF152" s="1565"/>
      <c r="IG152" s="1565"/>
    </row>
    <row r="153" spans="1:241" s="1552" customFormat="1" ht="36" hidden="1" outlineLevel="2">
      <c r="A153" s="1552">
        <v>150</v>
      </c>
      <c r="B153" s="1556" t="s">
        <v>303</v>
      </c>
      <c r="C153" s="1578" t="s">
        <v>1974</v>
      </c>
      <c r="D153" s="1579" t="s">
        <v>1806</v>
      </c>
      <c r="E153" s="1580"/>
      <c r="F153" s="1579" t="s">
        <v>1799</v>
      </c>
      <c r="G153" s="1502"/>
      <c r="H153" s="2070"/>
      <c r="I153" s="2102"/>
      <c r="J153" s="2102"/>
      <c r="K153" s="2102"/>
      <c r="L153" s="2102"/>
      <c r="M153" s="2102"/>
      <c r="N153" s="2102"/>
      <c r="O153" s="2102"/>
      <c r="P153" s="2102"/>
      <c r="Q153" s="2100"/>
      <c r="R153" s="2100"/>
      <c r="S153" s="2100"/>
      <c r="T153" s="2100"/>
      <c r="U153" s="2100"/>
      <c r="V153" s="2100"/>
      <c r="W153" s="2100"/>
      <c r="X153" s="2100"/>
      <c r="Y153" s="2100"/>
      <c r="Z153" s="2100"/>
      <c r="AA153" s="2100"/>
      <c r="AB153" s="2100"/>
      <c r="AC153" s="2100"/>
      <c r="AD153" s="2100"/>
      <c r="AE153" s="2100"/>
      <c r="AF153" s="2100"/>
      <c r="AG153" s="2100"/>
      <c r="AH153" s="2100"/>
      <c r="AI153" s="2100"/>
      <c r="AJ153" s="2100"/>
      <c r="AK153" s="2100"/>
      <c r="AL153" s="2100"/>
      <c r="AM153" s="2100"/>
      <c r="AN153" s="2100"/>
      <c r="AO153" s="2100"/>
      <c r="AP153" s="2100"/>
      <c r="AQ153" s="2100"/>
      <c r="AR153" s="2100"/>
      <c r="AS153" s="2100"/>
      <c r="AT153" s="2100"/>
      <c r="AU153" s="2100"/>
      <c r="AV153" s="2100"/>
      <c r="AW153" s="2100"/>
      <c r="AX153" s="2100"/>
      <c r="AY153" s="2101"/>
      <c r="AZ153" s="2101"/>
      <c r="BA153" s="2101"/>
      <c r="BB153" s="2101"/>
      <c r="BC153" s="2101"/>
      <c r="BD153" s="2101"/>
      <c r="BE153" s="2101"/>
      <c r="BF153" s="2101"/>
      <c r="BG153" s="2101"/>
      <c r="BH153" s="2101"/>
      <c r="BI153" s="2101"/>
      <c r="BJ153" s="2101"/>
      <c r="BK153" s="2101"/>
      <c r="BL153" s="2101"/>
      <c r="BM153" s="2101"/>
      <c r="BN153" s="2101"/>
      <c r="BO153" s="2101"/>
      <c r="BP153" s="2101"/>
      <c r="BQ153" s="2101"/>
      <c r="BR153" s="2101"/>
      <c r="BS153" s="2101"/>
      <c r="BT153" s="2101"/>
      <c r="BU153" s="2101"/>
      <c r="BV153" s="2101"/>
      <c r="BW153" s="2101"/>
      <c r="BX153" s="2101"/>
      <c r="BY153" s="2101"/>
      <c r="BZ153" s="2101"/>
      <c r="CA153" s="2101"/>
      <c r="CB153" s="2101"/>
      <c r="CC153" s="2101"/>
      <c r="CD153" s="2101"/>
      <c r="CE153" s="2102"/>
      <c r="CF153" s="2102"/>
      <c r="CG153" s="2102"/>
      <c r="CH153" s="2102"/>
      <c r="CI153" s="2102"/>
      <c r="CJ153" s="2102"/>
      <c r="CK153" s="2102"/>
      <c r="CL153" s="2102"/>
      <c r="CM153" s="2102"/>
      <c r="CN153" s="2102"/>
      <c r="CO153" s="2102"/>
      <c r="CP153" s="2102"/>
      <c r="CQ153" s="2102"/>
      <c r="CR153" s="2102"/>
      <c r="CS153" s="2102"/>
      <c r="CT153" s="2102"/>
      <c r="CU153" s="2102"/>
      <c r="CV153" s="2102"/>
      <c r="CW153" s="2102"/>
      <c r="CX153" s="2102"/>
      <c r="CY153" s="2102"/>
      <c r="CZ153" s="2102"/>
      <c r="DA153" s="2102"/>
      <c r="DB153" s="2102"/>
      <c r="DC153" s="2102"/>
      <c r="DD153" s="2102"/>
      <c r="DE153" s="2102"/>
      <c r="DF153" s="2102"/>
      <c r="DG153" s="2102"/>
      <c r="DH153" s="2102"/>
      <c r="DI153" s="2102"/>
      <c r="DJ153" s="2102"/>
      <c r="DK153" s="2102"/>
      <c r="DL153" s="2102"/>
      <c r="DM153" s="2102"/>
      <c r="DN153" s="2102"/>
      <c r="DO153" s="2102"/>
      <c r="DP153" s="2102"/>
      <c r="DQ153" s="2102"/>
      <c r="DR153" s="2102"/>
      <c r="DS153" s="2102">
        <v>23650</v>
      </c>
      <c r="DT153" s="2102"/>
      <c r="DU153" s="2101"/>
      <c r="DV153" s="2101"/>
      <c r="DW153" s="2101"/>
      <c r="DX153" s="2101"/>
      <c r="DY153" s="2101"/>
      <c r="DZ153" s="2101"/>
      <c r="EA153" s="2101"/>
      <c r="EB153" s="2101"/>
      <c r="EC153" s="2101"/>
      <c r="ED153" s="2101"/>
      <c r="EE153" s="2101"/>
      <c r="EF153" s="2101"/>
      <c r="EG153" s="2101"/>
      <c r="EH153" s="2101"/>
      <c r="EI153" s="2101"/>
      <c r="EJ153" s="2101"/>
      <c r="EK153" s="2101"/>
      <c r="EL153" s="2101"/>
      <c r="EM153" s="2101"/>
      <c r="EN153" s="2101"/>
      <c r="EO153" s="2101"/>
      <c r="EP153" s="2101"/>
      <c r="EQ153" s="2101"/>
      <c r="ER153" s="2101"/>
      <c r="ES153" s="2101"/>
      <c r="ET153" s="2102">
        <f t="shared" ref="ET153:EY153" si="259">ET147</f>
        <v>33850</v>
      </c>
      <c r="EU153" s="2102">
        <f t="shared" si="259"/>
        <v>33850</v>
      </c>
      <c r="EV153" s="2102">
        <f t="shared" si="259"/>
        <v>33850</v>
      </c>
      <c r="EW153" s="2102">
        <f t="shared" si="259"/>
        <v>33850</v>
      </c>
      <c r="EX153" s="2102">
        <f t="shared" si="259"/>
        <v>33850</v>
      </c>
      <c r="EY153" s="2102">
        <f t="shared" si="259"/>
        <v>33850</v>
      </c>
      <c r="EZ153" s="2101"/>
      <c r="FA153" s="2101"/>
      <c r="FB153" s="2102"/>
      <c r="FC153" s="2102"/>
      <c r="FD153" s="2102"/>
      <c r="FE153" s="2104"/>
      <c r="FF153" s="2082"/>
      <c r="FG153" s="2082"/>
      <c r="FH153" s="2082"/>
      <c r="FI153" s="2082"/>
      <c r="FJ153" s="2082"/>
      <c r="FK153" s="1565"/>
      <c r="FL153" s="1565"/>
      <c r="FM153" s="1565"/>
      <c r="FN153" s="1565"/>
      <c r="FO153" s="1565"/>
      <c r="FP153" s="1565"/>
      <c r="FQ153" s="1565"/>
      <c r="FR153" s="1565"/>
      <c r="FS153" s="1565"/>
      <c r="FT153" s="1565"/>
      <c r="FU153" s="1565"/>
      <c r="FV153" s="1565"/>
      <c r="FW153" s="1565"/>
      <c r="FX153" s="1565"/>
      <c r="FY153" s="1565"/>
      <c r="FZ153" s="1565"/>
      <c r="GA153" s="1565"/>
      <c r="GB153" s="1565"/>
      <c r="GC153" s="1565"/>
      <c r="GD153" s="1565"/>
      <c r="GE153" s="1565"/>
      <c r="GF153" s="1565"/>
      <c r="GG153" s="1565"/>
      <c r="GH153" s="1565"/>
      <c r="GI153" s="1565"/>
      <c r="GJ153" s="1565"/>
      <c r="GK153" s="1565"/>
      <c r="GL153" s="1565"/>
      <c r="GM153" s="1565"/>
      <c r="GN153" s="1565"/>
      <c r="GO153" s="1565"/>
      <c r="GP153" s="1565"/>
      <c r="GQ153" s="1565"/>
      <c r="GR153" s="1565"/>
      <c r="GS153" s="1565"/>
      <c r="GT153" s="1565"/>
      <c r="GU153" s="1565"/>
      <c r="GV153" s="1565"/>
      <c r="GW153" s="1565"/>
      <c r="GX153" s="1565"/>
      <c r="GY153" s="1565"/>
      <c r="GZ153" s="1565"/>
      <c r="HA153" s="1565"/>
      <c r="HB153" s="1565"/>
      <c r="HC153" s="1565"/>
      <c r="HD153" s="1565"/>
      <c r="HE153" s="1565"/>
      <c r="HF153" s="1565"/>
      <c r="HG153" s="1565"/>
      <c r="HH153" s="1565"/>
      <c r="HI153" s="1565"/>
      <c r="HJ153" s="1565"/>
      <c r="HK153" s="1565"/>
      <c r="HL153" s="1565"/>
      <c r="HM153" s="1565"/>
      <c r="HN153" s="1565"/>
      <c r="HO153" s="1565"/>
      <c r="HP153" s="1565"/>
      <c r="HQ153" s="1565"/>
      <c r="HR153" s="1565"/>
      <c r="HS153" s="1565"/>
      <c r="HT153" s="1565"/>
      <c r="HU153" s="1565"/>
      <c r="HV153" s="1565"/>
      <c r="HW153" s="1565"/>
      <c r="HX153" s="1565"/>
      <c r="HY153" s="1565"/>
      <c r="HZ153" s="1565"/>
      <c r="IA153" s="1565"/>
      <c r="IB153" s="1565"/>
      <c r="IC153" s="1565"/>
      <c r="ID153" s="1565"/>
      <c r="IE153" s="1565"/>
      <c r="IF153" s="1565"/>
      <c r="IG153" s="1565"/>
    </row>
    <row r="154" spans="1:241" s="1552" customFormat="1" ht="36" hidden="1" outlineLevel="2">
      <c r="A154" s="1549">
        <v>151</v>
      </c>
      <c r="B154" s="1556" t="s">
        <v>303</v>
      </c>
      <c r="C154" s="1578" t="s">
        <v>1974</v>
      </c>
      <c r="D154" s="1579" t="s">
        <v>1806</v>
      </c>
      <c r="E154" s="1580"/>
      <c r="F154" s="1579" t="s">
        <v>1800</v>
      </c>
      <c r="G154" s="1502"/>
      <c r="H154" s="2070"/>
      <c r="I154" s="2102"/>
      <c r="J154" s="2102"/>
      <c r="K154" s="2102"/>
      <c r="L154" s="2102"/>
      <c r="M154" s="2102"/>
      <c r="N154" s="2102"/>
      <c r="O154" s="2102"/>
      <c r="P154" s="2102"/>
      <c r="Q154" s="2100"/>
      <c r="R154" s="2100"/>
      <c r="S154" s="2100"/>
      <c r="T154" s="2100"/>
      <c r="U154" s="2100"/>
      <c r="V154" s="2100"/>
      <c r="W154" s="2100"/>
      <c r="X154" s="2100"/>
      <c r="Y154" s="2100"/>
      <c r="Z154" s="2100"/>
      <c r="AA154" s="2100"/>
      <c r="AB154" s="2100"/>
      <c r="AC154" s="2100"/>
      <c r="AD154" s="2100"/>
      <c r="AE154" s="2100"/>
      <c r="AF154" s="2100"/>
      <c r="AG154" s="2100"/>
      <c r="AH154" s="2100"/>
      <c r="AI154" s="2100"/>
      <c r="AJ154" s="2100"/>
      <c r="AK154" s="2100"/>
      <c r="AL154" s="2100"/>
      <c r="AM154" s="2100"/>
      <c r="AN154" s="2100"/>
      <c r="AO154" s="2100"/>
      <c r="AP154" s="2100"/>
      <c r="AQ154" s="2100"/>
      <c r="AR154" s="2100"/>
      <c r="AS154" s="2100"/>
      <c r="AT154" s="2100"/>
      <c r="AU154" s="2100"/>
      <c r="AV154" s="2100"/>
      <c r="AW154" s="2100"/>
      <c r="AX154" s="2100"/>
      <c r="AY154" s="2101"/>
      <c r="AZ154" s="2101"/>
      <c r="BA154" s="2101"/>
      <c r="BB154" s="2101"/>
      <c r="BC154" s="2101"/>
      <c r="BD154" s="2101"/>
      <c r="BE154" s="2101"/>
      <c r="BF154" s="2101"/>
      <c r="BG154" s="2101"/>
      <c r="BH154" s="2101"/>
      <c r="BI154" s="2101"/>
      <c r="BJ154" s="2101"/>
      <c r="BK154" s="2101"/>
      <c r="BL154" s="2101"/>
      <c r="BM154" s="2101"/>
      <c r="BN154" s="2101"/>
      <c r="BO154" s="2101"/>
      <c r="BP154" s="2101"/>
      <c r="BQ154" s="2101"/>
      <c r="BR154" s="2101"/>
      <c r="BS154" s="2101"/>
      <c r="BT154" s="2101"/>
      <c r="BU154" s="2101"/>
      <c r="BV154" s="2101"/>
      <c r="BW154" s="2101"/>
      <c r="BX154" s="2101"/>
      <c r="BY154" s="2101"/>
      <c r="BZ154" s="2101"/>
      <c r="CA154" s="2101"/>
      <c r="CB154" s="2101"/>
      <c r="CC154" s="2101"/>
      <c r="CD154" s="2101"/>
      <c r="CE154" s="2102"/>
      <c r="CF154" s="2102"/>
      <c r="CG154" s="2102"/>
      <c r="CH154" s="2102"/>
      <c r="CI154" s="2102"/>
      <c r="CJ154" s="2102"/>
      <c r="CK154" s="2102"/>
      <c r="CL154" s="2102"/>
      <c r="CM154" s="2102"/>
      <c r="CN154" s="2102"/>
      <c r="CO154" s="2102"/>
      <c r="CP154" s="2102"/>
      <c r="CQ154" s="2102"/>
      <c r="CR154" s="2102"/>
      <c r="CS154" s="2102"/>
      <c r="CT154" s="2102"/>
      <c r="CU154" s="2102"/>
      <c r="CV154" s="2102"/>
      <c r="CW154" s="2102"/>
      <c r="CX154" s="2102"/>
      <c r="CY154" s="2102"/>
      <c r="CZ154" s="2102"/>
      <c r="DA154" s="2102"/>
      <c r="DB154" s="2102"/>
      <c r="DC154" s="2102"/>
      <c r="DD154" s="2102"/>
      <c r="DE154" s="2102"/>
      <c r="DF154" s="2102"/>
      <c r="DG154" s="2102"/>
      <c r="DH154" s="2102"/>
      <c r="DI154" s="2102"/>
      <c r="DJ154" s="2102"/>
      <c r="DK154" s="2102"/>
      <c r="DL154" s="2102"/>
      <c r="DM154" s="2102"/>
      <c r="DN154" s="2102"/>
      <c r="DO154" s="2102"/>
      <c r="DP154" s="2102"/>
      <c r="DQ154" s="2102"/>
      <c r="DR154" s="2102"/>
      <c r="DS154" s="2102">
        <v>23650</v>
      </c>
      <c r="DT154" s="2102"/>
      <c r="DU154" s="2101"/>
      <c r="DV154" s="2101"/>
      <c r="DW154" s="2101"/>
      <c r="DX154" s="2101"/>
      <c r="DY154" s="2101"/>
      <c r="DZ154" s="2101"/>
      <c r="EA154" s="2101"/>
      <c r="EB154" s="2101"/>
      <c r="EC154" s="2101"/>
      <c r="ED154" s="2101"/>
      <c r="EE154" s="2101"/>
      <c r="EF154" s="2101"/>
      <c r="EG154" s="2101"/>
      <c r="EH154" s="2101"/>
      <c r="EI154" s="2101"/>
      <c r="EJ154" s="2101"/>
      <c r="EK154" s="2101"/>
      <c r="EL154" s="2101"/>
      <c r="EM154" s="2101"/>
      <c r="EN154" s="2101"/>
      <c r="EO154" s="2101"/>
      <c r="EP154" s="2101"/>
      <c r="EQ154" s="2101"/>
      <c r="ER154" s="2101"/>
      <c r="ES154" s="2101"/>
      <c r="ET154" s="2102">
        <f t="shared" ref="ET154:EY154" si="260">ET147</f>
        <v>33850</v>
      </c>
      <c r="EU154" s="2102">
        <f t="shared" si="260"/>
        <v>33850</v>
      </c>
      <c r="EV154" s="2102">
        <f t="shared" si="260"/>
        <v>33850</v>
      </c>
      <c r="EW154" s="2102">
        <f t="shared" si="260"/>
        <v>33850</v>
      </c>
      <c r="EX154" s="2102">
        <f t="shared" si="260"/>
        <v>33850</v>
      </c>
      <c r="EY154" s="2102">
        <f t="shared" si="260"/>
        <v>33850</v>
      </c>
      <c r="EZ154" s="2101"/>
      <c r="FA154" s="2101"/>
      <c r="FB154" s="2102"/>
      <c r="FC154" s="2102"/>
      <c r="FD154" s="2102"/>
      <c r="FE154" s="2104"/>
      <c r="FF154" s="2082"/>
      <c r="FG154" s="2082"/>
      <c r="FH154" s="2082"/>
      <c r="FI154" s="2082"/>
      <c r="FJ154" s="2082"/>
      <c r="FK154" s="1565"/>
      <c r="FL154" s="1565"/>
      <c r="FM154" s="1565"/>
      <c r="FN154" s="1565"/>
      <c r="FO154" s="1565"/>
      <c r="FP154" s="1565"/>
      <c r="FQ154" s="1565"/>
      <c r="FR154" s="1565"/>
      <c r="FS154" s="1565"/>
      <c r="FT154" s="1565"/>
      <c r="FU154" s="1565"/>
      <c r="FV154" s="1565"/>
      <c r="FW154" s="1565"/>
      <c r="FX154" s="1565"/>
      <c r="FY154" s="1565"/>
      <c r="FZ154" s="1565"/>
      <c r="GA154" s="1565"/>
      <c r="GB154" s="1565"/>
      <c r="GC154" s="1565"/>
      <c r="GD154" s="1565"/>
      <c r="GE154" s="1565"/>
      <c r="GF154" s="1565"/>
      <c r="GG154" s="1565"/>
      <c r="GH154" s="1565"/>
      <c r="GI154" s="1565"/>
      <c r="GJ154" s="1565"/>
      <c r="GK154" s="1565"/>
      <c r="GL154" s="1565"/>
      <c r="GM154" s="1565"/>
      <c r="GN154" s="1565"/>
      <c r="GO154" s="1565"/>
      <c r="GP154" s="1565"/>
      <c r="GQ154" s="1565"/>
      <c r="GR154" s="1565"/>
      <c r="GS154" s="1565"/>
      <c r="GT154" s="1565"/>
      <c r="GU154" s="1565"/>
      <c r="GV154" s="1565"/>
      <c r="GW154" s="1565"/>
      <c r="GX154" s="1565"/>
      <c r="GY154" s="1565"/>
      <c r="GZ154" s="1565"/>
      <c r="HA154" s="1565"/>
      <c r="HB154" s="1565"/>
      <c r="HC154" s="1565"/>
      <c r="HD154" s="1565"/>
      <c r="HE154" s="1565"/>
      <c r="HF154" s="1565"/>
      <c r="HG154" s="1565"/>
      <c r="HH154" s="1565"/>
      <c r="HI154" s="1565"/>
      <c r="HJ154" s="1565"/>
      <c r="HK154" s="1565"/>
      <c r="HL154" s="1565"/>
      <c r="HM154" s="1565"/>
      <c r="HN154" s="1565"/>
      <c r="HO154" s="1565"/>
      <c r="HP154" s="1565"/>
      <c r="HQ154" s="1565"/>
      <c r="HR154" s="1565"/>
      <c r="HS154" s="1565"/>
      <c r="HT154" s="1565"/>
      <c r="HU154" s="1565"/>
      <c r="HV154" s="1565"/>
      <c r="HW154" s="1565"/>
      <c r="HX154" s="1565"/>
      <c r="HY154" s="1565"/>
      <c r="HZ154" s="1565"/>
      <c r="IA154" s="1565"/>
      <c r="IB154" s="1565"/>
      <c r="IC154" s="1565"/>
      <c r="ID154" s="1565"/>
      <c r="IE154" s="1565"/>
      <c r="IF154" s="1565"/>
      <c r="IG154" s="1565"/>
    </row>
    <row r="155" spans="1:241" s="1552" customFormat="1" ht="36" hidden="1" outlineLevel="2">
      <c r="A155" s="1552">
        <v>152</v>
      </c>
      <c r="B155" s="1556" t="s">
        <v>303</v>
      </c>
      <c r="C155" s="1578" t="s">
        <v>1974</v>
      </c>
      <c r="D155" s="1579" t="s">
        <v>1806</v>
      </c>
      <c r="E155" s="1580"/>
      <c r="F155" s="1579" t="s">
        <v>1801</v>
      </c>
      <c r="G155" s="1502"/>
      <c r="H155" s="2070"/>
      <c r="I155" s="2102"/>
      <c r="J155" s="2102"/>
      <c r="K155" s="2102"/>
      <c r="L155" s="2102"/>
      <c r="M155" s="2102"/>
      <c r="N155" s="2102"/>
      <c r="O155" s="2102"/>
      <c r="P155" s="2102"/>
      <c r="Q155" s="2100"/>
      <c r="R155" s="2100"/>
      <c r="S155" s="2100"/>
      <c r="T155" s="2100"/>
      <c r="U155" s="2100"/>
      <c r="V155" s="2100"/>
      <c r="W155" s="2100"/>
      <c r="X155" s="2100"/>
      <c r="Y155" s="2100"/>
      <c r="Z155" s="2100"/>
      <c r="AA155" s="2100"/>
      <c r="AB155" s="2100"/>
      <c r="AC155" s="2100"/>
      <c r="AD155" s="2100"/>
      <c r="AE155" s="2100"/>
      <c r="AF155" s="2100"/>
      <c r="AG155" s="2100"/>
      <c r="AH155" s="2100"/>
      <c r="AI155" s="2100"/>
      <c r="AJ155" s="2100"/>
      <c r="AK155" s="2100"/>
      <c r="AL155" s="2100"/>
      <c r="AM155" s="2100"/>
      <c r="AN155" s="2100"/>
      <c r="AO155" s="2100"/>
      <c r="AP155" s="2100"/>
      <c r="AQ155" s="2100"/>
      <c r="AR155" s="2100"/>
      <c r="AS155" s="2100"/>
      <c r="AT155" s="2100"/>
      <c r="AU155" s="2100"/>
      <c r="AV155" s="2100"/>
      <c r="AW155" s="2100"/>
      <c r="AX155" s="2100"/>
      <c r="AY155" s="2101"/>
      <c r="AZ155" s="2101"/>
      <c r="BA155" s="2101"/>
      <c r="BB155" s="2101"/>
      <c r="BC155" s="2101"/>
      <c r="BD155" s="2101"/>
      <c r="BE155" s="2101"/>
      <c r="BF155" s="2101"/>
      <c r="BG155" s="2101"/>
      <c r="BH155" s="2101"/>
      <c r="BI155" s="2101"/>
      <c r="BJ155" s="2101"/>
      <c r="BK155" s="2101"/>
      <c r="BL155" s="2101"/>
      <c r="BM155" s="2101"/>
      <c r="BN155" s="2101"/>
      <c r="BO155" s="2101"/>
      <c r="BP155" s="2101"/>
      <c r="BQ155" s="2101"/>
      <c r="BR155" s="2101"/>
      <c r="BS155" s="2101"/>
      <c r="BT155" s="2101"/>
      <c r="BU155" s="2101"/>
      <c r="BV155" s="2101"/>
      <c r="BW155" s="2101"/>
      <c r="BX155" s="2101"/>
      <c r="BY155" s="2101"/>
      <c r="BZ155" s="2101"/>
      <c r="CA155" s="2101"/>
      <c r="CB155" s="2101"/>
      <c r="CC155" s="2101"/>
      <c r="CD155" s="2101"/>
      <c r="CE155" s="2102"/>
      <c r="CF155" s="2102"/>
      <c r="CG155" s="2102"/>
      <c r="CH155" s="2102"/>
      <c r="CI155" s="2102"/>
      <c r="CJ155" s="2102"/>
      <c r="CK155" s="2102"/>
      <c r="CL155" s="2102"/>
      <c r="CM155" s="2102"/>
      <c r="CN155" s="2102"/>
      <c r="CO155" s="2102"/>
      <c r="CP155" s="2102"/>
      <c r="CQ155" s="2102"/>
      <c r="CR155" s="2102"/>
      <c r="CS155" s="2102"/>
      <c r="CT155" s="2102"/>
      <c r="CU155" s="2102"/>
      <c r="CV155" s="2102"/>
      <c r="CW155" s="2102"/>
      <c r="CX155" s="2102"/>
      <c r="CY155" s="2102"/>
      <c r="CZ155" s="2102"/>
      <c r="DA155" s="2102"/>
      <c r="DB155" s="2102"/>
      <c r="DC155" s="2102"/>
      <c r="DD155" s="2102"/>
      <c r="DE155" s="2102"/>
      <c r="DF155" s="2102"/>
      <c r="DG155" s="2102"/>
      <c r="DH155" s="2102"/>
      <c r="DI155" s="2102"/>
      <c r="DJ155" s="2102"/>
      <c r="DK155" s="2102"/>
      <c r="DL155" s="2102"/>
      <c r="DM155" s="2102"/>
      <c r="DN155" s="2102"/>
      <c r="DO155" s="2102"/>
      <c r="DP155" s="2102"/>
      <c r="DQ155" s="2102"/>
      <c r="DR155" s="2102"/>
      <c r="DS155" s="2102">
        <v>23650</v>
      </c>
      <c r="DT155" s="2102"/>
      <c r="DU155" s="2101"/>
      <c r="DV155" s="2101"/>
      <c r="DW155" s="2101"/>
      <c r="DX155" s="2101"/>
      <c r="DY155" s="2101"/>
      <c r="DZ155" s="2101"/>
      <c r="EA155" s="2101"/>
      <c r="EB155" s="2101"/>
      <c r="EC155" s="2101"/>
      <c r="ED155" s="2101"/>
      <c r="EE155" s="2101"/>
      <c r="EF155" s="2101"/>
      <c r="EG155" s="2101"/>
      <c r="EH155" s="2101"/>
      <c r="EI155" s="2101"/>
      <c r="EJ155" s="2101"/>
      <c r="EK155" s="2101"/>
      <c r="EL155" s="2101"/>
      <c r="EM155" s="2101"/>
      <c r="EN155" s="2101"/>
      <c r="EO155" s="2101"/>
      <c r="EP155" s="2101"/>
      <c r="EQ155" s="2101"/>
      <c r="ER155" s="2101"/>
      <c r="ES155" s="2101"/>
      <c r="ET155" s="2102">
        <f t="shared" ref="ET155:EY155" si="261">ET147</f>
        <v>33850</v>
      </c>
      <c r="EU155" s="2102">
        <f t="shared" si="261"/>
        <v>33850</v>
      </c>
      <c r="EV155" s="2102">
        <f t="shared" si="261"/>
        <v>33850</v>
      </c>
      <c r="EW155" s="2102">
        <f t="shared" si="261"/>
        <v>33850</v>
      </c>
      <c r="EX155" s="2102">
        <f t="shared" si="261"/>
        <v>33850</v>
      </c>
      <c r="EY155" s="2102">
        <f t="shared" si="261"/>
        <v>33850</v>
      </c>
      <c r="EZ155" s="2101"/>
      <c r="FA155" s="2101"/>
      <c r="FB155" s="2102"/>
      <c r="FC155" s="2102"/>
      <c r="FD155" s="2102"/>
      <c r="FE155" s="2104"/>
      <c r="FF155" s="2082"/>
      <c r="FG155" s="2082"/>
      <c r="FH155" s="2082"/>
      <c r="FI155" s="2082"/>
      <c r="FJ155" s="2082"/>
      <c r="FK155" s="1565"/>
      <c r="FL155" s="1565"/>
      <c r="FM155" s="1565"/>
      <c r="FN155" s="1565"/>
      <c r="FO155" s="1565"/>
      <c r="FP155" s="1565"/>
      <c r="FQ155" s="1565"/>
      <c r="FR155" s="1565"/>
      <c r="FS155" s="1565"/>
      <c r="FT155" s="1565"/>
      <c r="FU155" s="1565"/>
      <c r="FV155" s="1565"/>
      <c r="FW155" s="1565"/>
      <c r="FX155" s="1565"/>
      <c r="FY155" s="1565"/>
      <c r="FZ155" s="1565"/>
      <c r="GA155" s="1565"/>
      <c r="GB155" s="1565"/>
      <c r="GC155" s="1565"/>
      <c r="GD155" s="1565"/>
      <c r="GE155" s="1565"/>
      <c r="GF155" s="1565"/>
      <c r="GG155" s="1565"/>
      <c r="GH155" s="1565"/>
      <c r="GI155" s="1565"/>
      <c r="GJ155" s="1565"/>
      <c r="GK155" s="1565"/>
      <c r="GL155" s="1565"/>
      <c r="GM155" s="1565"/>
      <c r="GN155" s="1565"/>
      <c r="GO155" s="1565"/>
      <c r="GP155" s="1565"/>
      <c r="GQ155" s="1565"/>
      <c r="GR155" s="1565"/>
      <c r="GS155" s="1565"/>
      <c r="GT155" s="1565"/>
      <c r="GU155" s="1565"/>
      <c r="GV155" s="1565"/>
      <c r="GW155" s="1565"/>
      <c r="GX155" s="1565"/>
      <c r="GY155" s="1565"/>
      <c r="GZ155" s="1565"/>
      <c r="HA155" s="1565"/>
      <c r="HB155" s="1565"/>
      <c r="HC155" s="1565"/>
      <c r="HD155" s="1565"/>
      <c r="HE155" s="1565"/>
      <c r="HF155" s="1565"/>
      <c r="HG155" s="1565"/>
      <c r="HH155" s="1565"/>
      <c r="HI155" s="1565"/>
      <c r="HJ155" s="1565"/>
      <c r="HK155" s="1565"/>
      <c r="HL155" s="1565"/>
      <c r="HM155" s="1565"/>
      <c r="HN155" s="1565"/>
      <c r="HO155" s="1565"/>
      <c r="HP155" s="1565"/>
      <c r="HQ155" s="1565"/>
      <c r="HR155" s="1565"/>
      <c r="HS155" s="1565"/>
      <c r="HT155" s="1565"/>
      <c r="HU155" s="1565"/>
      <c r="HV155" s="1565"/>
      <c r="HW155" s="1565"/>
      <c r="HX155" s="1565"/>
      <c r="HY155" s="1565"/>
      <c r="HZ155" s="1565"/>
      <c r="IA155" s="1565"/>
      <c r="IB155" s="1565"/>
      <c r="IC155" s="1565"/>
      <c r="ID155" s="1565"/>
      <c r="IE155" s="1565"/>
      <c r="IF155" s="1565"/>
      <c r="IG155" s="1565"/>
    </row>
    <row r="156" spans="1:241" s="1552" customFormat="1" ht="36" hidden="1" outlineLevel="2">
      <c r="A156" s="1549">
        <v>153</v>
      </c>
      <c r="B156" s="1556" t="s">
        <v>303</v>
      </c>
      <c r="C156" s="1578" t="s">
        <v>1974</v>
      </c>
      <c r="D156" s="1579" t="s">
        <v>1806</v>
      </c>
      <c r="E156" s="1580"/>
      <c r="F156" s="1579" t="s">
        <v>1802</v>
      </c>
      <c r="G156" s="1502"/>
      <c r="H156" s="2070"/>
      <c r="I156" s="2102"/>
      <c r="J156" s="2102"/>
      <c r="K156" s="2102"/>
      <c r="L156" s="2102"/>
      <c r="M156" s="2102"/>
      <c r="N156" s="2102"/>
      <c r="O156" s="2102"/>
      <c r="P156" s="2102"/>
      <c r="Q156" s="2100"/>
      <c r="R156" s="2100"/>
      <c r="S156" s="2100"/>
      <c r="T156" s="2100"/>
      <c r="U156" s="2100"/>
      <c r="V156" s="2100"/>
      <c r="W156" s="2100"/>
      <c r="X156" s="2100"/>
      <c r="Y156" s="2100"/>
      <c r="Z156" s="2100"/>
      <c r="AA156" s="2100"/>
      <c r="AB156" s="2100"/>
      <c r="AC156" s="2100"/>
      <c r="AD156" s="2100"/>
      <c r="AE156" s="2100"/>
      <c r="AF156" s="2100"/>
      <c r="AG156" s="2100"/>
      <c r="AH156" s="2100"/>
      <c r="AI156" s="2100"/>
      <c r="AJ156" s="2100"/>
      <c r="AK156" s="2100"/>
      <c r="AL156" s="2100"/>
      <c r="AM156" s="2100"/>
      <c r="AN156" s="2100"/>
      <c r="AO156" s="2100"/>
      <c r="AP156" s="2100"/>
      <c r="AQ156" s="2100"/>
      <c r="AR156" s="2100"/>
      <c r="AS156" s="2100"/>
      <c r="AT156" s="2100"/>
      <c r="AU156" s="2100"/>
      <c r="AV156" s="2100"/>
      <c r="AW156" s="2100"/>
      <c r="AX156" s="2100"/>
      <c r="AY156" s="2101"/>
      <c r="AZ156" s="2101"/>
      <c r="BA156" s="2101"/>
      <c r="BB156" s="2101"/>
      <c r="BC156" s="2101"/>
      <c r="BD156" s="2101"/>
      <c r="BE156" s="2101"/>
      <c r="BF156" s="2101"/>
      <c r="BG156" s="2101"/>
      <c r="BH156" s="2101"/>
      <c r="BI156" s="2101"/>
      <c r="BJ156" s="2101"/>
      <c r="BK156" s="2101"/>
      <c r="BL156" s="2101"/>
      <c r="BM156" s="2101"/>
      <c r="BN156" s="2101"/>
      <c r="BO156" s="2101"/>
      <c r="BP156" s="2101"/>
      <c r="BQ156" s="2101"/>
      <c r="BR156" s="2101"/>
      <c r="BS156" s="2101"/>
      <c r="BT156" s="2101"/>
      <c r="BU156" s="2101"/>
      <c r="BV156" s="2101"/>
      <c r="BW156" s="2101"/>
      <c r="BX156" s="2101"/>
      <c r="BY156" s="2101"/>
      <c r="BZ156" s="2101"/>
      <c r="CA156" s="2101"/>
      <c r="CB156" s="2101"/>
      <c r="CC156" s="2101"/>
      <c r="CD156" s="2101"/>
      <c r="CE156" s="2102"/>
      <c r="CF156" s="2102"/>
      <c r="CG156" s="2102"/>
      <c r="CH156" s="2102"/>
      <c r="CI156" s="2102"/>
      <c r="CJ156" s="2102"/>
      <c r="CK156" s="2102"/>
      <c r="CL156" s="2102"/>
      <c r="CM156" s="2102"/>
      <c r="CN156" s="2102"/>
      <c r="CO156" s="2102"/>
      <c r="CP156" s="2102"/>
      <c r="CQ156" s="2102"/>
      <c r="CR156" s="2102"/>
      <c r="CS156" s="2102"/>
      <c r="CT156" s="2102"/>
      <c r="CU156" s="2102"/>
      <c r="CV156" s="2102"/>
      <c r="CW156" s="2102"/>
      <c r="CX156" s="2102"/>
      <c r="CY156" s="2102"/>
      <c r="CZ156" s="2102"/>
      <c r="DA156" s="2102"/>
      <c r="DB156" s="2102"/>
      <c r="DC156" s="2102"/>
      <c r="DD156" s="2102"/>
      <c r="DE156" s="2102"/>
      <c r="DF156" s="2102"/>
      <c r="DG156" s="2102"/>
      <c r="DH156" s="2102"/>
      <c r="DI156" s="2102"/>
      <c r="DJ156" s="2102"/>
      <c r="DK156" s="2102"/>
      <c r="DL156" s="2102"/>
      <c r="DM156" s="2102"/>
      <c r="DN156" s="2102"/>
      <c r="DO156" s="2102"/>
      <c r="DP156" s="2102"/>
      <c r="DQ156" s="2102"/>
      <c r="DR156" s="2102"/>
      <c r="DS156" s="2102">
        <v>23650</v>
      </c>
      <c r="DT156" s="2102"/>
      <c r="DU156" s="2101"/>
      <c r="DV156" s="2101"/>
      <c r="DW156" s="2101"/>
      <c r="DX156" s="2101"/>
      <c r="DY156" s="2101"/>
      <c r="DZ156" s="2101"/>
      <c r="EA156" s="2101"/>
      <c r="EB156" s="2101"/>
      <c r="EC156" s="2101"/>
      <c r="ED156" s="2101"/>
      <c r="EE156" s="2101"/>
      <c r="EF156" s="2101"/>
      <c r="EG156" s="2101"/>
      <c r="EH156" s="2101"/>
      <c r="EI156" s="2101"/>
      <c r="EJ156" s="2101"/>
      <c r="EK156" s="2101"/>
      <c r="EL156" s="2101"/>
      <c r="EM156" s="2101"/>
      <c r="EN156" s="2101"/>
      <c r="EO156" s="2101"/>
      <c r="EP156" s="2101"/>
      <c r="EQ156" s="2101"/>
      <c r="ER156" s="2101"/>
      <c r="ES156" s="2101"/>
      <c r="ET156" s="2102">
        <f t="shared" ref="ET156:EY156" si="262">ET147</f>
        <v>33850</v>
      </c>
      <c r="EU156" s="2102">
        <f t="shared" si="262"/>
        <v>33850</v>
      </c>
      <c r="EV156" s="2102">
        <f t="shared" si="262"/>
        <v>33850</v>
      </c>
      <c r="EW156" s="2102">
        <f t="shared" si="262"/>
        <v>33850</v>
      </c>
      <c r="EX156" s="2102">
        <f t="shared" si="262"/>
        <v>33850</v>
      </c>
      <c r="EY156" s="2102">
        <f t="shared" si="262"/>
        <v>33850</v>
      </c>
      <c r="EZ156" s="2101"/>
      <c r="FA156" s="2101"/>
      <c r="FB156" s="2102"/>
      <c r="FC156" s="2102"/>
      <c r="FD156" s="2102"/>
      <c r="FE156" s="2104"/>
      <c r="FF156" s="2082"/>
      <c r="FG156" s="2082"/>
      <c r="FH156" s="2082"/>
      <c r="FI156" s="2082"/>
      <c r="FJ156" s="2082"/>
      <c r="FK156" s="1565"/>
      <c r="FL156" s="1565"/>
      <c r="FM156" s="1565"/>
      <c r="FN156" s="1565"/>
      <c r="FO156" s="1565"/>
      <c r="FP156" s="1565"/>
      <c r="FQ156" s="1565"/>
      <c r="FR156" s="1565"/>
      <c r="FS156" s="1565"/>
      <c r="FT156" s="1565"/>
      <c r="FU156" s="1565"/>
      <c r="FV156" s="1565"/>
      <c r="FW156" s="1565"/>
      <c r="FX156" s="1565"/>
      <c r="FY156" s="1565"/>
      <c r="FZ156" s="1565"/>
      <c r="GA156" s="1565"/>
      <c r="GB156" s="1565"/>
      <c r="GC156" s="1565"/>
      <c r="GD156" s="1565"/>
      <c r="GE156" s="1565"/>
      <c r="GF156" s="1565"/>
      <c r="GG156" s="1565"/>
      <c r="GH156" s="1565"/>
      <c r="GI156" s="1565"/>
      <c r="GJ156" s="1565"/>
      <c r="GK156" s="1565"/>
      <c r="GL156" s="1565"/>
      <c r="GM156" s="1565"/>
      <c r="GN156" s="1565"/>
      <c r="GO156" s="1565"/>
      <c r="GP156" s="1565"/>
      <c r="GQ156" s="1565"/>
      <c r="GR156" s="1565"/>
      <c r="GS156" s="1565"/>
      <c r="GT156" s="1565"/>
      <c r="GU156" s="1565"/>
      <c r="GV156" s="1565"/>
      <c r="GW156" s="1565"/>
      <c r="GX156" s="1565"/>
      <c r="GY156" s="1565"/>
      <c r="GZ156" s="1565"/>
      <c r="HA156" s="1565"/>
      <c r="HB156" s="1565"/>
      <c r="HC156" s="1565"/>
      <c r="HD156" s="1565"/>
      <c r="HE156" s="1565"/>
      <c r="HF156" s="1565"/>
      <c r="HG156" s="1565"/>
      <c r="HH156" s="1565"/>
      <c r="HI156" s="1565"/>
      <c r="HJ156" s="1565"/>
      <c r="HK156" s="1565"/>
      <c r="HL156" s="1565"/>
      <c r="HM156" s="1565"/>
      <c r="HN156" s="1565"/>
      <c r="HO156" s="1565"/>
      <c r="HP156" s="1565"/>
      <c r="HQ156" s="1565"/>
      <c r="HR156" s="1565"/>
      <c r="HS156" s="1565"/>
      <c r="HT156" s="1565"/>
      <c r="HU156" s="1565"/>
      <c r="HV156" s="1565"/>
      <c r="HW156" s="1565"/>
      <c r="HX156" s="1565"/>
      <c r="HY156" s="1565"/>
      <c r="HZ156" s="1565"/>
      <c r="IA156" s="1565"/>
      <c r="IB156" s="1565"/>
      <c r="IC156" s="1565"/>
      <c r="ID156" s="1565"/>
      <c r="IE156" s="1565"/>
      <c r="IF156" s="1565"/>
      <c r="IG156" s="1565"/>
    </row>
    <row r="157" spans="1:241" s="1552" customFormat="1" ht="36" hidden="1" outlineLevel="2">
      <c r="A157" s="1552">
        <v>154</v>
      </c>
      <c r="B157" s="1556" t="s">
        <v>303</v>
      </c>
      <c r="C157" s="1578" t="s">
        <v>1974</v>
      </c>
      <c r="D157" s="1579" t="s">
        <v>1806</v>
      </c>
      <c r="E157" s="1580"/>
      <c r="F157" s="1579" t="s">
        <v>1803</v>
      </c>
      <c r="G157" s="1502" t="s">
        <v>1992</v>
      </c>
      <c r="H157" s="2070">
        <v>26750</v>
      </c>
      <c r="I157" s="2102">
        <f>I147</f>
        <v>33650</v>
      </c>
      <c r="J157" s="2102">
        <f t="shared" ref="J157:P157" si="263">J147</f>
        <v>34200</v>
      </c>
      <c r="K157" s="2102">
        <f t="shared" si="263"/>
        <v>0</v>
      </c>
      <c r="L157" s="2102" t="e">
        <f t="shared" si="263"/>
        <v>#REF!</v>
      </c>
      <c r="M157" s="2102" t="e">
        <f t="shared" si="263"/>
        <v>#REF!</v>
      </c>
      <c r="N157" s="2102" t="e">
        <f t="shared" si="263"/>
        <v>#REF!</v>
      </c>
      <c r="O157" s="2102">
        <f t="shared" si="263"/>
        <v>35850</v>
      </c>
      <c r="P157" s="2102">
        <f t="shared" si="263"/>
        <v>36400</v>
      </c>
      <c r="Q157" s="2100"/>
      <c r="R157" s="2100"/>
      <c r="S157" s="2100"/>
      <c r="T157" s="2100"/>
      <c r="U157" s="2100"/>
      <c r="V157" s="2100"/>
      <c r="W157" s="2100"/>
      <c r="X157" s="2100"/>
      <c r="Y157" s="2100"/>
      <c r="Z157" s="2100"/>
      <c r="AA157" s="2100"/>
      <c r="AB157" s="2100"/>
      <c r="AC157" s="2100"/>
      <c r="AD157" s="2100"/>
      <c r="AE157" s="2100"/>
      <c r="AF157" s="2100"/>
      <c r="AG157" s="2100"/>
      <c r="AH157" s="2100"/>
      <c r="AI157" s="2100"/>
      <c r="AJ157" s="2100"/>
      <c r="AK157" s="2100"/>
      <c r="AL157" s="2100"/>
      <c r="AM157" s="2100"/>
      <c r="AN157" s="2100"/>
      <c r="AO157" s="2100"/>
      <c r="AP157" s="2100"/>
      <c r="AQ157" s="2100"/>
      <c r="AR157" s="2100"/>
      <c r="AS157" s="2100"/>
      <c r="AT157" s="2100"/>
      <c r="AU157" s="2100"/>
      <c r="AV157" s="2100"/>
      <c r="AW157" s="2100"/>
      <c r="AX157" s="2100"/>
      <c r="AY157" s="2101"/>
      <c r="AZ157" s="2101"/>
      <c r="BA157" s="2101"/>
      <c r="BB157" s="2101"/>
      <c r="BC157" s="2101"/>
      <c r="BD157" s="2101"/>
      <c r="BE157" s="2101"/>
      <c r="BF157" s="2101"/>
      <c r="BG157" s="2101"/>
      <c r="BH157" s="2101"/>
      <c r="BI157" s="2101"/>
      <c r="BJ157" s="2101"/>
      <c r="BK157" s="2101"/>
      <c r="BL157" s="2101"/>
      <c r="BM157" s="2101"/>
      <c r="BN157" s="2101"/>
      <c r="BO157" s="2101"/>
      <c r="BP157" s="2101"/>
      <c r="BQ157" s="2101"/>
      <c r="BR157" s="2101"/>
      <c r="BS157" s="2101"/>
      <c r="BT157" s="2101"/>
      <c r="BU157" s="2101"/>
      <c r="BV157" s="2101"/>
      <c r="BW157" s="2101"/>
      <c r="BX157" s="2101"/>
      <c r="BY157" s="2101"/>
      <c r="BZ157" s="2101"/>
      <c r="CA157" s="2101"/>
      <c r="CB157" s="2101"/>
      <c r="CC157" s="2101"/>
      <c r="CD157" s="2101"/>
      <c r="CE157" s="2102" t="e">
        <f t="shared" ref="CE157:DG157" si="264">CE147</f>
        <v>#REF!</v>
      </c>
      <c r="CF157" s="2102" t="e">
        <f t="shared" si="264"/>
        <v>#REF!</v>
      </c>
      <c r="CG157" s="2102">
        <f t="shared" si="264"/>
        <v>24200</v>
      </c>
      <c r="CH157" s="2102">
        <f t="shared" si="264"/>
        <v>24200</v>
      </c>
      <c r="CI157" s="2102">
        <f t="shared" si="264"/>
        <v>0</v>
      </c>
      <c r="CJ157" s="2102">
        <f t="shared" si="264"/>
        <v>0</v>
      </c>
      <c r="CK157" s="2102" t="e">
        <f t="shared" si="264"/>
        <v>#REF!</v>
      </c>
      <c r="CL157" s="2102">
        <f t="shared" si="264"/>
        <v>29400</v>
      </c>
      <c r="CM157" s="2102" t="e">
        <f t="shared" si="264"/>
        <v>#REF!</v>
      </c>
      <c r="CN157" s="2102">
        <f t="shared" si="264"/>
        <v>0</v>
      </c>
      <c r="CO157" s="2102">
        <f t="shared" si="264"/>
        <v>27850</v>
      </c>
      <c r="CP157" s="2102">
        <f t="shared" si="264"/>
        <v>33050</v>
      </c>
      <c r="CQ157" s="2102">
        <f t="shared" si="264"/>
        <v>0</v>
      </c>
      <c r="CR157" s="2102">
        <f t="shared" si="264"/>
        <v>0</v>
      </c>
      <c r="CS157" s="2102">
        <f t="shared" si="264"/>
        <v>25700</v>
      </c>
      <c r="CT157" s="2102">
        <f t="shared" si="264"/>
        <v>0</v>
      </c>
      <c r="CU157" s="2102">
        <f t="shared" si="264"/>
        <v>25200</v>
      </c>
      <c r="CV157" s="2102" t="e">
        <f t="shared" si="264"/>
        <v>#REF!</v>
      </c>
      <c r="CW157" s="2102" t="e">
        <f t="shared" si="264"/>
        <v>#REF!</v>
      </c>
      <c r="CX157" s="2102" t="e">
        <f t="shared" si="264"/>
        <v>#REF!</v>
      </c>
      <c r="CY157" s="2102" t="e">
        <f t="shared" si="264"/>
        <v>#REF!</v>
      </c>
      <c r="CZ157" s="2102" t="e">
        <f t="shared" si="264"/>
        <v>#REF!</v>
      </c>
      <c r="DA157" s="2102" t="e">
        <f t="shared" si="264"/>
        <v>#REF!</v>
      </c>
      <c r="DB157" s="2102">
        <f t="shared" si="264"/>
        <v>35050</v>
      </c>
      <c r="DC157" s="2102" t="e">
        <f t="shared" si="264"/>
        <v>#REF!</v>
      </c>
      <c r="DD157" s="2102" t="e">
        <f t="shared" si="264"/>
        <v>#REF!</v>
      </c>
      <c r="DE157" s="2102" t="e">
        <f t="shared" si="264"/>
        <v>#REF!</v>
      </c>
      <c r="DF157" s="2102" t="e">
        <f t="shared" si="264"/>
        <v>#REF!</v>
      </c>
      <c r="DG157" s="2102" t="e">
        <f t="shared" si="264"/>
        <v>#REF!</v>
      </c>
      <c r="DH157" s="2102"/>
      <c r="DI157" s="2102"/>
      <c r="DJ157" s="2102"/>
      <c r="DK157" s="2102"/>
      <c r="DL157" s="2102"/>
      <c r="DM157" s="2102"/>
      <c r="DN157" s="2102"/>
      <c r="DO157" s="2102"/>
      <c r="DP157" s="2102"/>
      <c r="DQ157" s="2102"/>
      <c r="DR157" s="2102"/>
      <c r="DS157" s="2102">
        <v>23650</v>
      </c>
      <c r="DT157" s="2102"/>
      <c r="DU157" s="2101"/>
      <c r="DV157" s="2101"/>
      <c r="DW157" s="2101"/>
      <c r="DX157" s="2101"/>
      <c r="DY157" s="2101"/>
      <c r="DZ157" s="2101"/>
      <c r="EA157" s="2101"/>
      <c r="EB157" s="2101"/>
      <c r="EC157" s="2101"/>
      <c r="ED157" s="2101"/>
      <c r="EE157" s="2101"/>
      <c r="EF157" s="2101"/>
      <c r="EG157" s="2101"/>
      <c r="EH157" s="2101"/>
      <c r="EI157" s="2101"/>
      <c r="EJ157" s="2101"/>
      <c r="EK157" s="2101"/>
      <c r="EL157" s="2101"/>
      <c r="EM157" s="2101"/>
      <c r="EN157" s="2101"/>
      <c r="EO157" s="2101"/>
      <c r="EP157" s="2101"/>
      <c r="EQ157" s="2101"/>
      <c r="ER157" s="2101"/>
      <c r="ES157" s="2101"/>
      <c r="ET157" s="2102">
        <f t="shared" ref="ET157:EY157" si="265">ET147</f>
        <v>33850</v>
      </c>
      <c r="EU157" s="2102">
        <f t="shared" si="265"/>
        <v>33850</v>
      </c>
      <c r="EV157" s="2102">
        <f t="shared" si="265"/>
        <v>33850</v>
      </c>
      <c r="EW157" s="2102">
        <f t="shared" si="265"/>
        <v>33850</v>
      </c>
      <c r="EX157" s="2102">
        <f t="shared" si="265"/>
        <v>33850</v>
      </c>
      <c r="EY157" s="2102">
        <f t="shared" si="265"/>
        <v>33850</v>
      </c>
      <c r="EZ157" s="2101"/>
      <c r="FA157" s="2101"/>
      <c r="FB157" s="2102"/>
      <c r="FC157" s="2102"/>
      <c r="FD157" s="2102"/>
      <c r="FE157" s="2104"/>
      <c r="FF157" s="2082"/>
      <c r="FG157" s="2082"/>
      <c r="FH157" s="2082"/>
      <c r="FI157" s="2082"/>
      <c r="FJ157" s="2082"/>
      <c r="FK157" s="1565"/>
      <c r="FL157" s="1565"/>
      <c r="FM157" s="1565"/>
      <c r="FN157" s="1565"/>
      <c r="FO157" s="1565"/>
      <c r="FP157" s="1565"/>
      <c r="FQ157" s="1565"/>
      <c r="FR157" s="1565"/>
      <c r="FS157" s="1565"/>
      <c r="FT157" s="1565"/>
      <c r="FU157" s="1565"/>
      <c r="FV157" s="1565"/>
      <c r="FW157" s="1565"/>
      <c r="FX157" s="1565"/>
      <c r="FY157" s="1565"/>
      <c r="FZ157" s="1565"/>
      <c r="GA157" s="1565"/>
      <c r="GB157" s="1565"/>
      <c r="GC157" s="1565"/>
      <c r="GD157" s="1565"/>
      <c r="GE157" s="1565"/>
      <c r="GF157" s="1565"/>
      <c r="GG157" s="1565"/>
      <c r="GH157" s="1565"/>
      <c r="GI157" s="1565"/>
      <c r="GJ157" s="1565"/>
      <c r="GK157" s="1565"/>
      <c r="GL157" s="1565"/>
      <c r="GM157" s="1565"/>
      <c r="GN157" s="1565"/>
      <c r="GO157" s="1565"/>
      <c r="GP157" s="1565"/>
      <c r="GQ157" s="1565"/>
      <c r="GR157" s="1565"/>
      <c r="GS157" s="1565"/>
      <c r="GT157" s="1565"/>
      <c r="GU157" s="1565"/>
      <c r="GV157" s="1565"/>
      <c r="GW157" s="1565"/>
      <c r="GX157" s="1565"/>
      <c r="GY157" s="1565"/>
      <c r="GZ157" s="1565"/>
      <c r="HA157" s="1565"/>
      <c r="HB157" s="1565"/>
      <c r="HC157" s="1565"/>
      <c r="HD157" s="1565"/>
      <c r="HE157" s="1565"/>
      <c r="HF157" s="1565"/>
      <c r="HG157" s="1565"/>
      <c r="HH157" s="1565"/>
      <c r="HI157" s="1565"/>
      <c r="HJ157" s="1565"/>
      <c r="HK157" s="1565"/>
      <c r="HL157" s="1565"/>
      <c r="HM157" s="1565"/>
      <c r="HN157" s="1565"/>
      <c r="HO157" s="1565"/>
      <c r="HP157" s="1565"/>
      <c r="HQ157" s="1565"/>
      <c r="HR157" s="1565"/>
      <c r="HS157" s="1565"/>
      <c r="HT157" s="1565"/>
      <c r="HU157" s="1565"/>
      <c r="HV157" s="1565"/>
      <c r="HW157" s="1565"/>
      <c r="HX157" s="1565"/>
      <c r="HY157" s="1565"/>
      <c r="HZ157" s="1565"/>
      <c r="IA157" s="1565"/>
      <c r="IB157" s="1565"/>
      <c r="IC157" s="1565"/>
      <c r="ID157" s="1565"/>
      <c r="IE157" s="1565"/>
      <c r="IF157" s="1565"/>
      <c r="IG157" s="1565"/>
    </row>
    <row r="158" spans="1:241" s="1582" customFormat="1" ht="23.1" hidden="1" customHeight="1" outlineLevel="1" collapsed="1">
      <c r="A158" s="1549">
        <v>155</v>
      </c>
      <c r="B158" s="1585" t="s">
        <v>19</v>
      </c>
      <c r="C158" s="1586" t="s">
        <v>1993</v>
      </c>
      <c r="D158" s="1586" t="s">
        <v>1807</v>
      </c>
      <c r="E158" s="1586"/>
      <c r="F158" s="1587" t="s">
        <v>195</v>
      </c>
      <c r="G158" s="1587" t="s">
        <v>1976</v>
      </c>
      <c r="H158" s="2118"/>
      <c r="I158" s="2119"/>
      <c r="J158" s="2119"/>
      <c r="K158" s="2119"/>
      <c r="L158" s="2119"/>
      <c r="M158" s="2119"/>
      <c r="N158" s="2119"/>
      <c r="O158" s="2119"/>
      <c r="P158" s="2119"/>
      <c r="Q158" s="2118">
        <f>'E-Classic'!G6</f>
        <v>43150</v>
      </c>
      <c r="R158" s="2118">
        <f>'E-Classic'!H6</f>
        <v>43150</v>
      </c>
      <c r="S158" s="2118">
        <f>'E-Classic'!I6</f>
        <v>43150</v>
      </c>
      <c r="T158" s="2118">
        <f>'E-Classic'!J6</f>
        <v>47350</v>
      </c>
      <c r="U158" s="2118">
        <f>'E-Classic'!K6</f>
        <v>47350</v>
      </c>
      <c r="V158" s="2118" t="e">
        <f>'E-Classic'!#REF!</f>
        <v>#REF!</v>
      </c>
      <c r="W158" s="2118">
        <f>'E-Classic'!L6</f>
        <v>53950</v>
      </c>
      <c r="X158" s="2118">
        <f>'E-Classic'!M6</f>
        <v>53950</v>
      </c>
      <c r="Y158" s="2118">
        <f>'E-Classic'!N6</f>
        <v>53950</v>
      </c>
      <c r="Z158" s="2119">
        <f>'Provеnce Sienna'!G7</f>
        <v>31900</v>
      </c>
      <c r="AA158" s="2119">
        <f>'Provеnce Sienna'!H7</f>
        <v>32650</v>
      </c>
      <c r="AB158" s="2119">
        <f>'Provеnce Sienna'!I7</f>
        <v>32350</v>
      </c>
      <c r="AC158" s="2119">
        <f>'Provеnce Sienna'!I7</f>
        <v>32350</v>
      </c>
      <c r="AD158" s="2119">
        <f>'Provеnce Sienna'!K7</f>
        <v>32650</v>
      </c>
      <c r="AE158" s="2119">
        <f>'Provеnce Sienna'!L7</f>
        <v>32950</v>
      </c>
      <c r="AF158" s="2119" t="e">
        <f>'Provеnce Sienna'!#REF!</f>
        <v>#REF!</v>
      </c>
      <c r="AG158" s="2119">
        <f>'Provеnce Sienna'!M7</f>
        <v>34900</v>
      </c>
      <c r="AH158" s="2119">
        <f>'Provеnce Amelia'!G7</f>
        <v>36600</v>
      </c>
      <c r="AI158" s="2119">
        <f>'Provеnce Amelia'!H13</f>
        <v>59300</v>
      </c>
      <c r="AJ158" s="2119">
        <f>'Provеnce Amelia'!I13</f>
        <v>59300</v>
      </c>
      <c r="AK158" s="2119" t="e">
        <f>'Provеnce Amelia'!#REF!</f>
        <v>#REF!</v>
      </c>
      <c r="AL158" s="2119" t="e">
        <f>'Provеnce Amelia'!#REF!</f>
        <v>#REF!</v>
      </c>
      <c r="AM158" s="2119" t="e">
        <f>'Provеnce Amelia'!#REF!</f>
        <v>#REF!</v>
      </c>
      <c r="AN158" s="2119" t="e">
        <f>'Provеnce Amelia'!#REF!</f>
        <v>#REF!</v>
      </c>
      <c r="AO158" s="2119" t="e">
        <f>'Provеnce Amelia'!#REF!</f>
        <v>#REF!</v>
      </c>
      <c r="AP158" s="2119" t="e">
        <f>'Provеnce Amelia'!#REF!</f>
        <v>#REF!</v>
      </c>
      <c r="AQ158" s="2119" t="e">
        <f>'Provеnce Amelia'!#REF!</f>
        <v>#REF!</v>
      </c>
      <c r="AR158" s="2119" t="e">
        <f>'Provеnce Amelia'!#REF!</f>
        <v>#REF!</v>
      </c>
      <c r="AS158" s="2119" t="e">
        <f>'Provеnce Amelia'!#REF!</f>
        <v>#REF!</v>
      </c>
      <c r="AT158" s="2119">
        <f>'Provеnce Amelia'!K10</f>
        <v>59300</v>
      </c>
      <c r="AU158" s="2119">
        <f>'Modern Turin'!G7</f>
        <v>33700</v>
      </c>
      <c r="AV158" s="2119">
        <f>'Modern Turin'!H7</f>
        <v>33700</v>
      </c>
      <c r="AW158" s="2119">
        <f>'Modern Turin'!I7</f>
        <v>33700</v>
      </c>
      <c r="AX158" s="2119">
        <f>'Modern Turin'!K7</f>
        <v>33700</v>
      </c>
      <c r="AY158" s="2119" t="e">
        <f>'Modern Turin'!#REF!</f>
        <v>#REF!</v>
      </c>
      <c r="AZ158" s="2119" t="e">
        <f>Design!#REF!</f>
        <v>#REF!</v>
      </c>
      <c r="BA158" s="2119">
        <f>'Modern Bergamo'!G7</f>
        <v>38450</v>
      </c>
      <c r="BB158" s="2119">
        <f>'Modern Bergamo'!H7</f>
        <v>38450</v>
      </c>
      <c r="BC158" s="2119" t="e">
        <f>'Modern Bergamo'!#REF!</f>
        <v>#REF!</v>
      </c>
      <c r="BD158" s="2119">
        <f>'Modern Bergamo'!I7</f>
        <v>38450</v>
      </c>
      <c r="BE158" s="2119">
        <f>'Modern Bergamo'!J7</f>
        <v>38450</v>
      </c>
      <c r="BF158" s="2119">
        <f>'Modern Bergamo'!K7</f>
        <v>38450</v>
      </c>
      <c r="BG158" s="2119">
        <f>'Modern Bergamo'!L7</f>
        <v>38450</v>
      </c>
      <c r="BH158" s="2119">
        <f>'Modern Bergamo'!M7</f>
        <v>38450</v>
      </c>
      <c r="BI158" s="2120">
        <f>Elegance!G6</f>
        <v>27100</v>
      </c>
      <c r="BJ158" s="2120">
        <f>Elegance!H6</f>
        <v>27100</v>
      </c>
      <c r="BK158" s="2120" t="e">
        <f>Elegance!#REF!</f>
        <v>#REF!</v>
      </c>
      <c r="BL158" s="2120">
        <f>Elegance!I6</f>
        <v>27100</v>
      </c>
      <c r="BM158" s="2120">
        <f>Elegance!J6</f>
        <v>27100</v>
      </c>
      <c r="BN158" s="2120">
        <f>Elegance!K6</f>
        <v>27100</v>
      </c>
      <c r="BO158" s="2120">
        <f>Elegance!L6</f>
        <v>27100</v>
      </c>
      <c r="BP158" s="2120">
        <f>Elegance!M6</f>
        <v>27100</v>
      </c>
      <c r="BQ158" s="2119">
        <f>Fusion!G7</f>
        <v>23750</v>
      </c>
      <c r="BR158" s="2119">
        <f>Fusion!H7</f>
        <v>23750</v>
      </c>
      <c r="BS158" s="2119">
        <f>Fusion!H7</f>
        <v>23750</v>
      </c>
      <c r="BT158" s="2119">
        <f>Fusion!J7</f>
        <v>23750</v>
      </c>
      <c r="BU158" s="2119">
        <f>Fusion!J7</f>
        <v>23750</v>
      </c>
      <c r="BV158" s="2119">
        <f>Fusion!I7</f>
        <v>23750</v>
      </c>
      <c r="BW158" s="2119">
        <f>Fusion!I7</f>
        <v>23750</v>
      </c>
      <c r="BX158" s="2119" t="e">
        <f>Fusion!#REF!</f>
        <v>#REF!</v>
      </c>
      <c r="BY158" s="2119" t="e">
        <f>Fusion!#REF!</f>
        <v>#REF!</v>
      </c>
      <c r="BZ158" s="2119" t="e">
        <f>Fusion!#REF!</f>
        <v>#REF!</v>
      </c>
      <c r="CA158" s="2119">
        <f>Fusion!M7</f>
        <v>23750</v>
      </c>
      <c r="CB158" s="2119">
        <f>Fusion!M7</f>
        <v>23750</v>
      </c>
      <c r="CC158" s="2119">
        <f>Fusion!N7</f>
        <v>23750</v>
      </c>
      <c r="CD158" s="2119">
        <f>Fusion!N7</f>
        <v>23750</v>
      </c>
      <c r="CE158" s="2119" t="e">
        <f>Neoclassic!#REF!</f>
        <v>#REF!</v>
      </c>
      <c r="CF158" s="2119" t="e">
        <f>Neoclassic!#REF!</f>
        <v>#REF!</v>
      </c>
      <c r="CG158" s="2119" t="e">
        <f>Neoclassic!#REF!</f>
        <v>#REF!</v>
      </c>
      <c r="CH158" s="2119" t="e">
        <f>Neoclassic!#REF!</f>
        <v>#REF!</v>
      </c>
      <c r="CI158" s="2119" t="e">
        <f>Neoclassic!#REF!</f>
        <v>#REF!</v>
      </c>
      <c r="CJ158" s="2121"/>
      <c r="CK158" s="2121"/>
      <c r="CL158" s="2121"/>
      <c r="CM158" s="2121"/>
      <c r="CN158" s="2121"/>
      <c r="CO158" s="2121"/>
      <c r="CP158" s="2121"/>
      <c r="CQ158" s="2121"/>
      <c r="CR158" s="2121"/>
      <c r="CS158" s="2121"/>
      <c r="CT158" s="2121"/>
      <c r="CU158" s="2121"/>
      <c r="CV158" s="2121"/>
      <c r="CW158" s="2121"/>
      <c r="CX158" s="2121"/>
      <c r="CY158" s="2121"/>
      <c r="CZ158" s="2121"/>
      <c r="DA158" s="2121"/>
      <c r="DB158" s="2119">
        <f>Standart!K7</f>
        <v>26050</v>
      </c>
      <c r="DC158" s="2121"/>
      <c r="DD158" s="2121"/>
      <c r="DE158" s="2121"/>
      <c r="DF158" s="2119" t="e">
        <f>'Standart Vario'!M24</f>
        <v>#REF!</v>
      </c>
      <c r="DG158" s="2121"/>
      <c r="DH158" s="2119">
        <f>Techno_Porte!G16</f>
        <v>21100</v>
      </c>
      <c r="DI158" s="2119" t="e">
        <f>Techno_Porte!#REF!</f>
        <v>#REF!</v>
      </c>
      <c r="DJ158" s="2119" t="e">
        <f>Techno_Porte!#REF!</f>
        <v>#REF!</v>
      </c>
      <c r="DK158" s="2119" t="e">
        <f>Techno_Porte!#REF!</f>
        <v>#REF!</v>
      </c>
      <c r="DL158" s="2119">
        <f>Techno_Vetro!G13</f>
        <v>25950</v>
      </c>
      <c r="DM158" s="2119">
        <f>Techno_Vetro!H13</f>
        <v>26600</v>
      </c>
      <c r="DN158" s="2119">
        <f>Techno_Vetro!I13</f>
        <v>25950</v>
      </c>
      <c r="DO158" s="2119">
        <f>Techno_Vetro!J13</f>
        <v>26600</v>
      </c>
      <c r="DP158" s="2119">
        <f>Techno_Vetro!L13</f>
        <v>44000</v>
      </c>
      <c r="DQ158" s="2119" t="e">
        <f>Techno_Vetro!#REF!</f>
        <v>#REF!</v>
      </c>
      <c r="DR158" s="2119" t="e">
        <f>Techno_Vetro!#REF!</f>
        <v>#REF!</v>
      </c>
      <c r="DS158" s="2119">
        <f>Techno_Vetro!K13</f>
        <v>25950</v>
      </c>
      <c r="DT158" s="2119" t="e">
        <f>Techno_Vetro!#REF!</f>
        <v>#REF!</v>
      </c>
      <c r="DU158" s="2119">
        <f>Twist!$G$7</f>
        <v>21750</v>
      </c>
      <c r="DV158" s="2119">
        <f>Twist!$G$7</f>
        <v>21750</v>
      </c>
      <c r="DW158" s="2119">
        <f>Twist!$G$7</f>
        <v>21750</v>
      </c>
      <c r="DX158" s="2119">
        <f>Twist!$G$7</f>
        <v>21750</v>
      </c>
      <c r="DY158" s="2119">
        <f>Twist!$H$7</f>
        <v>21750</v>
      </c>
      <c r="DZ158" s="2119">
        <f>Twist!$H$7</f>
        <v>21750</v>
      </c>
      <c r="EA158" s="2119">
        <f>Twist!$H$7</f>
        <v>21750</v>
      </c>
      <c r="EB158" s="2119">
        <f>Twist!$H$7</f>
        <v>21750</v>
      </c>
      <c r="EC158" s="2119">
        <f>Twist!$I$7</f>
        <v>25300</v>
      </c>
      <c r="ED158" s="2119">
        <f>Twist!$I$7</f>
        <v>25300</v>
      </c>
      <c r="EE158" s="2119">
        <f>Twist!$I$7</f>
        <v>25300</v>
      </c>
      <c r="EF158" s="2119">
        <f>Twist!$I$7</f>
        <v>25300</v>
      </c>
      <c r="EG158" s="2119">
        <f>Twist!$J$7</f>
        <v>25300</v>
      </c>
      <c r="EH158" s="2119">
        <f>Twist!$J$7</f>
        <v>25300</v>
      </c>
      <c r="EI158" s="2119">
        <f>Twist!$J$7</f>
        <v>25300</v>
      </c>
      <c r="EJ158" s="2121"/>
      <c r="EK158" s="2121"/>
      <c r="EL158" s="2121"/>
      <c r="EM158" s="2121"/>
      <c r="EN158" s="2121"/>
      <c r="EO158" s="2121"/>
      <c r="EP158" s="2119">
        <f>'Жалюзийные двери Louver'!$G$6</f>
        <v>30100</v>
      </c>
      <c r="EQ158" s="2119">
        <f>EP158</f>
        <v>30100</v>
      </c>
      <c r="ER158" s="2119">
        <f>EP158</f>
        <v>30100</v>
      </c>
      <c r="ES158" s="2119">
        <f>EP158</f>
        <v>30100</v>
      </c>
      <c r="ET158" s="2119"/>
      <c r="EU158" s="2119"/>
      <c r="EV158" s="2119"/>
      <c r="EW158" s="2119"/>
      <c r="EX158" s="2119"/>
      <c r="EY158" s="2119"/>
      <c r="EZ158" s="2119" t="e">
        <f>Design!#REF!</f>
        <v>#REF!</v>
      </c>
      <c r="FA158" s="2119" t="e">
        <f>Design!#REF!</f>
        <v>#REF!</v>
      </c>
      <c r="FB158" s="2119"/>
      <c r="FC158" s="2119"/>
      <c r="FD158" s="2119"/>
      <c r="FE158" s="2122"/>
      <c r="FF158" s="2109"/>
      <c r="FG158" s="2109"/>
      <c r="FH158" s="2109"/>
      <c r="FI158" s="2109"/>
      <c r="FJ158" s="2109"/>
    </row>
    <row r="159" spans="1:241" s="1565" customFormat="1" ht="15" hidden="1" customHeight="1" outlineLevel="2">
      <c r="A159" s="1552">
        <v>156</v>
      </c>
      <c r="B159" s="1585" t="s">
        <v>19</v>
      </c>
      <c r="C159" s="1586" t="s">
        <v>1993</v>
      </c>
      <c r="D159" s="1586" t="s">
        <v>1807</v>
      </c>
      <c r="E159" s="1586"/>
      <c r="F159" s="1588" t="s">
        <v>1808</v>
      </c>
      <c r="G159" s="1588" t="s">
        <v>1977</v>
      </c>
      <c r="H159" s="2123"/>
      <c r="I159" s="2123"/>
      <c r="J159" s="2123"/>
      <c r="K159" s="2123"/>
      <c r="L159" s="2123"/>
      <c r="M159" s="2123"/>
      <c r="N159" s="2123"/>
      <c r="O159" s="2123"/>
      <c r="P159" s="2123"/>
      <c r="Q159" s="2123">
        <f t="shared" ref="Q159:BM159" si="266">Q158</f>
        <v>43150</v>
      </c>
      <c r="R159" s="2123">
        <f t="shared" si="266"/>
        <v>43150</v>
      </c>
      <c r="S159" s="2123">
        <f t="shared" si="266"/>
        <v>43150</v>
      </c>
      <c r="T159" s="2123">
        <f>T158</f>
        <v>47350</v>
      </c>
      <c r="U159" s="2123">
        <f>U158</f>
        <v>47350</v>
      </c>
      <c r="V159" s="2123" t="e">
        <f>V158</f>
        <v>#REF!</v>
      </c>
      <c r="W159" s="2123">
        <f t="shared" si="266"/>
        <v>53950</v>
      </c>
      <c r="X159" s="2123">
        <f t="shared" si="266"/>
        <v>53950</v>
      </c>
      <c r="Y159" s="2123">
        <f t="shared" si="266"/>
        <v>53950</v>
      </c>
      <c r="Z159" s="2123">
        <f t="shared" si="266"/>
        <v>31900</v>
      </c>
      <c r="AA159" s="2123">
        <f t="shared" si="266"/>
        <v>32650</v>
      </c>
      <c r="AB159" s="2123">
        <f t="shared" si="266"/>
        <v>32350</v>
      </c>
      <c r="AC159" s="2123">
        <f t="shared" si="266"/>
        <v>32350</v>
      </c>
      <c r="AD159" s="2123">
        <f t="shared" si="266"/>
        <v>32650</v>
      </c>
      <c r="AE159" s="2123">
        <f t="shared" si="266"/>
        <v>32950</v>
      </c>
      <c r="AF159" s="2123" t="e">
        <f t="shared" si="266"/>
        <v>#REF!</v>
      </c>
      <c r="AG159" s="2123">
        <f t="shared" si="266"/>
        <v>34900</v>
      </c>
      <c r="AH159" s="2123">
        <f t="shared" si="266"/>
        <v>36600</v>
      </c>
      <c r="AI159" s="2123">
        <f t="shared" si="266"/>
        <v>59300</v>
      </c>
      <c r="AJ159" s="2123">
        <f t="shared" si="266"/>
        <v>59300</v>
      </c>
      <c r="AK159" s="2123" t="e">
        <f t="shared" si="266"/>
        <v>#REF!</v>
      </c>
      <c r="AL159" s="2123" t="e">
        <f t="shared" si="266"/>
        <v>#REF!</v>
      </c>
      <c r="AM159" s="2123" t="e">
        <f t="shared" si="266"/>
        <v>#REF!</v>
      </c>
      <c r="AN159" s="2123" t="e">
        <f t="shared" si="266"/>
        <v>#REF!</v>
      </c>
      <c r="AO159" s="2123" t="e">
        <f t="shared" si="266"/>
        <v>#REF!</v>
      </c>
      <c r="AP159" s="2123" t="e">
        <f t="shared" si="266"/>
        <v>#REF!</v>
      </c>
      <c r="AQ159" s="2123" t="e">
        <f t="shared" si="266"/>
        <v>#REF!</v>
      </c>
      <c r="AR159" s="2123" t="e">
        <f t="shared" si="266"/>
        <v>#REF!</v>
      </c>
      <c r="AS159" s="2123" t="e">
        <f t="shared" si="266"/>
        <v>#REF!</v>
      </c>
      <c r="AT159" s="2123">
        <f t="shared" si="266"/>
        <v>59300</v>
      </c>
      <c r="AU159" s="2123">
        <f t="shared" si="266"/>
        <v>33700</v>
      </c>
      <c r="AV159" s="2123">
        <f t="shared" si="266"/>
        <v>33700</v>
      </c>
      <c r="AW159" s="2123">
        <f t="shared" si="266"/>
        <v>33700</v>
      </c>
      <c r="AX159" s="2123">
        <f t="shared" si="266"/>
        <v>33700</v>
      </c>
      <c r="AY159" s="2123" t="e">
        <f t="shared" si="266"/>
        <v>#REF!</v>
      </c>
      <c r="AZ159" s="2123" t="e">
        <f t="shared" si="266"/>
        <v>#REF!</v>
      </c>
      <c r="BA159" s="2123">
        <f t="shared" si="266"/>
        <v>38450</v>
      </c>
      <c r="BB159" s="2123">
        <f t="shared" si="266"/>
        <v>38450</v>
      </c>
      <c r="BC159" s="2123" t="e">
        <f t="shared" si="266"/>
        <v>#REF!</v>
      </c>
      <c r="BD159" s="2123">
        <f t="shared" si="266"/>
        <v>38450</v>
      </c>
      <c r="BE159" s="2123">
        <f t="shared" si="266"/>
        <v>38450</v>
      </c>
      <c r="BF159" s="2123">
        <f t="shared" si="266"/>
        <v>38450</v>
      </c>
      <c r="BG159" s="2123">
        <f t="shared" si="266"/>
        <v>38450</v>
      </c>
      <c r="BH159" s="2123">
        <f t="shared" si="266"/>
        <v>38450</v>
      </c>
      <c r="BI159" s="2123">
        <f t="shared" si="266"/>
        <v>27100</v>
      </c>
      <c r="BJ159" s="2123">
        <f t="shared" si="266"/>
        <v>27100</v>
      </c>
      <c r="BK159" s="2123" t="e">
        <f t="shared" si="266"/>
        <v>#REF!</v>
      </c>
      <c r="BL159" s="2123">
        <f t="shared" si="266"/>
        <v>27100</v>
      </c>
      <c r="BM159" s="2123">
        <f t="shared" si="266"/>
        <v>27100</v>
      </c>
      <c r="BN159" s="2123">
        <f t="shared" ref="BN159:DY159" si="267">BN158</f>
        <v>27100</v>
      </c>
      <c r="BO159" s="2123">
        <f t="shared" si="267"/>
        <v>27100</v>
      </c>
      <c r="BP159" s="2123">
        <f t="shared" si="267"/>
        <v>27100</v>
      </c>
      <c r="BQ159" s="2123">
        <f t="shared" si="267"/>
        <v>23750</v>
      </c>
      <c r="BR159" s="2123">
        <f t="shared" si="267"/>
        <v>23750</v>
      </c>
      <c r="BS159" s="2123">
        <f t="shared" si="267"/>
        <v>23750</v>
      </c>
      <c r="BT159" s="2123">
        <f t="shared" si="267"/>
        <v>23750</v>
      </c>
      <c r="BU159" s="2123">
        <f t="shared" si="267"/>
        <v>23750</v>
      </c>
      <c r="BV159" s="2123">
        <f t="shared" si="267"/>
        <v>23750</v>
      </c>
      <c r="BW159" s="2123">
        <f t="shared" si="267"/>
        <v>23750</v>
      </c>
      <c r="BX159" s="2123" t="e">
        <f t="shared" si="267"/>
        <v>#REF!</v>
      </c>
      <c r="BY159" s="2123" t="e">
        <f t="shared" si="267"/>
        <v>#REF!</v>
      </c>
      <c r="BZ159" s="2123" t="e">
        <f t="shared" si="267"/>
        <v>#REF!</v>
      </c>
      <c r="CA159" s="2123">
        <f t="shared" si="267"/>
        <v>23750</v>
      </c>
      <c r="CB159" s="2123">
        <f t="shared" si="267"/>
        <v>23750</v>
      </c>
      <c r="CC159" s="2123">
        <f t="shared" si="267"/>
        <v>23750</v>
      </c>
      <c r="CD159" s="2123">
        <f t="shared" si="267"/>
        <v>23750</v>
      </c>
      <c r="CE159" s="2123" t="e">
        <f t="shared" si="267"/>
        <v>#REF!</v>
      </c>
      <c r="CF159" s="2123" t="e">
        <f t="shared" si="267"/>
        <v>#REF!</v>
      </c>
      <c r="CG159" s="2123" t="e">
        <f t="shared" si="267"/>
        <v>#REF!</v>
      </c>
      <c r="CH159" s="2123" t="e">
        <f t="shared" si="267"/>
        <v>#REF!</v>
      </c>
      <c r="CI159" s="2123" t="e">
        <f t="shared" si="267"/>
        <v>#REF!</v>
      </c>
      <c r="CJ159" s="2123"/>
      <c r="CK159" s="2123"/>
      <c r="CL159" s="2123"/>
      <c r="CM159" s="2123"/>
      <c r="CN159" s="2123"/>
      <c r="CO159" s="2123"/>
      <c r="CP159" s="2123"/>
      <c r="CQ159" s="2123"/>
      <c r="CR159" s="2123"/>
      <c r="CS159" s="2123"/>
      <c r="CT159" s="2123"/>
      <c r="CU159" s="2123"/>
      <c r="CV159" s="2123"/>
      <c r="CW159" s="2123"/>
      <c r="CX159" s="2123"/>
      <c r="CY159" s="2123"/>
      <c r="CZ159" s="2123"/>
      <c r="DA159" s="2123"/>
      <c r="DB159" s="2123">
        <f t="shared" si="267"/>
        <v>26050</v>
      </c>
      <c r="DC159" s="2123"/>
      <c r="DD159" s="2123"/>
      <c r="DE159" s="2123"/>
      <c r="DF159" s="2123" t="e">
        <f t="shared" si="267"/>
        <v>#REF!</v>
      </c>
      <c r="DG159" s="2123"/>
      <c r="DH159" s="2123">
        <f t="shared" si="267"/>
        <v>21100</v>
      </c>
      <c r="DI159" s="2123" t="e">
        <f t="shared" si="267"/>
        <v>#REF!</v>
      </c>
      <c r="DJ159" s="2123" t="e">
        <f t="shared" si="267"/>
        <v>#REF!</v>
      </c>
      <c r="DK159" s="2123" t="e">
        <f t="shared" si="267"/>
        <v>#REF!</v>
      </c>
      <c r="DL159" s="2123">
        <f t="shared" si="267"/>
        <v>25950</v>
      </c>
      <c r="DM159" s="2123">
        <f t="shared" si="267"/>
        <v>26600</v>
      </c>
      <c r="DN159" s="2123">
        <f t="shared" si="267"/>
        <v>25950</v>
      </c>
      <c r="DO159" s="2123">
        <f t="shared" si="267"/>
        <v>26600</v>
      </c>
      <c r="DP159" s="2123">
        <f t="shared" si="267"/>
        <v>44000</v>
      </c>
      <c r="DQ159" s="2123" t="e">
        <f t="shared" si="267"/>
        <v>#REF!</v>
      </c>
      <c r="DR159" s="2123" t="e">
        <f t="shared" si="267"/>
        <v>#REF!</v>
      </c>
      <c r="DS159" s="2123">
        <f t="shared" si="267"/>
        <v>25950</v>
      </c>
      <c r="DT159" s="2123" t="e">
        <f t="shared" si="267"/>
        <v>#REF!</v>
      </c>
      <c r="DU159" s="2123">
        <f t="shared" si="267"/>
        <v>21750</v>
      </c>
      <c r="DV159" s="2123">
        <f t="shared" si="267"/>
        <v>21750</v>
      </c>
      <c r="DW159" s="2123">
        <f t="shared" si="267"/>
        <v>21750</v>
      </c>
      <c r="DX159" s="2123">
        <f t="shared" si="267"/>
        <v>21750</v>
      </c>
      <c r="DY159" s="2123">
        <f t="shared" si="267"/>
        <v>21750</v>
      </c>
      <c r="DZ159" s="2123">
        <f t="shared" ref="DZ159:FA159" si="268">DZ158</f>
        <v>21750</v>
      </c>
      <c r="EA159" s="2123">
        <f t="shared" si="268"/>
        <v>21750</v>
      </c>
      <c r="EB159" s="2123">
        <f t="shared" si="268"/>
        <v>21750</v>
      </c>
      <c r="EC159" s="2123">
        <f t="shared" si="268"/>
        <v>25300</v>
      </c>
      <c r="ED159" s="2123">
        <f t="shared" si="268"/>
        <v>25300</v>
      </c>
      <c r="EE159" s="2123">
        <f t="shared" si="268"/>
        <v>25300</v>
      </c>
      <c r="EF159" s="2123">
        <f t="shared" si="268"/>
        <v>25300</v>
      </c>
      <c r="EG159" s="2123">
        <f t="shared" si="268"/>
        <v>25300</v>
      </c>
      <c r="EH159" s="2123">
        <f t="shared" si="268"/>
        <v>25300</v>
      </c>
      <c r="EI159" s="2123">
        <f t="shared" si="268"/>
        <v>25300</v>
      </c>
      <c r="EJ159" s="2123"/>
      <c r="EK159" s="2123"/>
      <c r="EL159" s="2123"/>
      <c r="EM159" s="2123"/>
      <c r="EN159" s="2123"/>
      <c r="EO159" s="2123"/>
      <c r="EP159" s="2123">
        <f t="shared" si="268"/>
        <v>30100</v>
      </c>
      <c r="EQ159" s="2123">
        <f t="shared" si="268"/>
        <v>30100</v>
      </c>
      <c r="ER159" s="2123">
        <f t="shared" si="268"/>
        <v>30100</v>
      </c>
      <c r="ES159" s="2123">
        <f t="shared" si="268"/>
        <v>30100</v>
      </c>
      <c r="ET159" s="2123"/>
      <c r="EU159" s="2123"/>
      <c r="EV159" s="2123"/>
      <c r="EW159" s="2123"/>
      <c r="EX159" s="2123"/>
      <c r="EY159" s="2123"/>
      <c r="EZ159" s="2123" t="e">
        <f t="shared" si="268"/>
        <v>#REF!</v>
      </c>
      <c r="FA159" s="2123" t="e">
        <f t="shared" si="268"/>
        <v>#REF!</v>
      </c>
      <c r="FB159" s="2123"/>
      <c r="FC159" s="2123"/>
      <c r="FD159" s="2123"/>
      <c r="FE159" s="2124"/>
      <c r="FF159" s="2082"/>
      <c r="FG159" s="2082"/>
      <c r="FH159" s="2082"/>
      <c r="FI159" s="2082"/>
      <c r="FJ159" s="2082"/>
    </row>
    <row r="160" spans="1:241" s="1565" customFormat="1" ht="18" hidden="1" customHeight="1" outlineLevel="2">
      <c r="A160" s="1549">
        <v>157</v>
      </c>
      <c r="B160" s="1585" t="s">
        <v>19</v>
      </c>
      <c r="C160" s="1586" t="s">
        <v>1993</v>
      </c>
      <c r="D160" s="1586" t="s">
        <v>1807</v>
      </c>
      <c r="E160" s="1586"/>
      <c r="F160" s="1588" t="s">
        <v>1809</v>
      </c>
      <c r="G160" s="1588" t="s">
        <v>1978</v>
      </c>
      <c r="H160" s="2123"/>
      <c r="I160" s="2123"/>
      <c r="J160" s="2123"/>
      <c r="K160" s="2123"/>
      <c r="L160" s="2123"/>
      <c r="M160" s="2123"/>
      <c r="N160" s="2123"/>
      <c r="O160" s="2123"/>
      <c r="P160" s="2123"/>
      <c r="Q160" s="2123">
        <f t="shared" ref="Q160:BM160" si="269">Q158</f>
        <v>43150</v>
      </c>
      <c r="R160" s="2123">
        <f t="shared" si="269"/>
        <v>43150</v>
      </c>
      <c r="S160" s="2123">
        <f t="shared" si="269"/>
        <v>43150</v>
      </c>
      <c r="T160" s="2123">
        <f>T158</f>
        <v>47350</v>
      </c>
      <c r="U160" s="2123">
        <f>U158</f>
        <v>47350</v>
      </c>
      <c r="V160" s="2123" t="e">
        <f>V158</f>
        <v>#REF!</v>
      </c>
      <c r="W160" s="2123">
        <f t="shared" si="269"/>
        <v>53950</v>
      </c>
      <c r="X160" s="2123">
        <f t="shared" si="269"/>
        <v>53950</v>
      </c>
      <c r="Y160" s="2123">
        <f t="shared" si="269"/>
        <v>53950</v>
      </c>
      <c r="Z160" s="2123">
        <f t="shared" si="269"/>
        <v>31900</v>
      </c>
      <c r="AA160" s="2123">
        <f t="shared" si="269"/>
        <v>32650</v>
      </c>
      <c r="AB160" s="2123">
        <f t="shared" si="269"/>
        <v>32350</v>
      </c>
      <c r="AC160" s="2123">
        <f t="shared" si="269"/>
        <v>32350</v>
      </c>
      <c r="AD160" s="2123">
        <f t="shared" si="269"/>
        <v>32650</v>
      </c>
      <c r="AE160" s="2123">
        <f t="shared" si="269"/>
        <v>32950</v>
      </c>
      <c r="AF160" s="2123" t="e">
        <f t="shared" si="269"/>
        <v>#REF!</v>
      </c>
      <c r="AG160" s="2123">
        <f t="shared" si="269"/>
        <v>34900</v>
      </c>
      <c r="AH160" s="2123">
        <f t="shared" si="269"/>
        <v>36600</v>
      </c>
      <c r="AI160" s="2123">
        <f t="shared" si="269"/>
        <v>59300</v>
      </c>
      <c r="AJ160" s="2123">
        <f t="shared" si="269"/>
        <v>59300</v>
      </c>
      <c r="AK160" s="2123" t="e">
        <f t="shared" si="269"/>
        <v>#REF!</v>
      </c>
      <c r="AL160" s="2123" t="e">
        <f t="shared" si="269"/>
        <v>#REF!</v>
      </c>
      <c r="AM160" s="2123" t="e">
        <f t="shared" si="269"/>
        <v>#REF!</v>
      </c>
      <c r="AN160" s="2123" t="e">
        <f t="shared" si="269"/>
        <v>#REF!</v>
      </c>
      <c r="AO160" s="2123" t="e">
        <f t="shared" si="269"/>
        <v>#REF!</v>
      </c>
      <c r="AP160" s="2123" t="e">
        <f t="shared" si="269"/>
        <v>#REF!</v>
      </c>
      <c r="AQ160" s="2123" t="e">
        <f t="shared" si="269"/>
        <v>#REF!</v>
      </c>
      <c r="AR160" s="2123" t="e">
        <f t="shared" si="269"/>
        <v>#REF!</v>
      </c>
      <c r="AS160" s="2123" t="e">
        <f t="shared" si="269"/>
        <v>#REF!</v>
      </c>
      <c r="AT160" s="2123">
        <f t="shared" si="269"/>
        <v>59300</v>
      </c>
      <c r="AU160" s="2123">
        <f t="shared" si="269"/>
        <v>33700</v>
      </c>
      <c r="AV160" s="2123">
        <f t="shared" si="269"/>
        <v>33700</v>
      </c>
      <c r="AW160" s="2123">
        <f t="shared" si="269"/>
        <v>33700</v>
      </c>
      <c r="AX160" s="2123">
        <f t="shared" si="269"/>
        <v>33700</v>
      </c>
      <c r="AY160" s="2123" t="e">
        <f t="shared" si="269"/>
        <v>#REF!</v>
      </c>
      <c r="AZ160" s="2123" t="e">
        <f t="shared" si="269"/>
        <v>#REF!</v>
      </c>
      <c r="BA160" s="2123">
        <f t="shared" si="269"/>
        <v>38450</v>
      </c>
      <c r="BB160" s="2123">
        <f t="shared" si="269"/>
        <v>38450</v>
      </c>
      <c r="BC160" s="2123" t="e">
        <f t="shared" si="269"/>
        <v>#REF!</v>
      </c>
      <c r="BD160" s="2123">
        <f t="shared" si="269"/>
        <v>38450</v>
      </c>
      <c r="BE160" s="2123">
        <f t="shared" si="269"/>
        <v>38450</v>
      </c>
      <c r="BF160" s="2123">
        <f t="shared" si="269"/>
        <v>38450</v>
      </c>
      <c r="BG160" s="2123">
        <f t="shared" si="269"/>
        <v>38450</v>
      </c>
      <c r="BH160" s="2123">
        <f t="shared" si="269"/>
        <v>38450</v>
      </c>
      <c r="BI160" s="2123">
        <f t="shared" si="269"/>
        <v>27100</v>
      </c>
      <c r="BJ160" s="2123">
        <f t="shared" si="269"/>
        <v>27100</v>
      </c>
      <c r="BK160" s="2123" t="e">
        <f t="shared" si="269"/>
        <v>#REF!</v>
      </c>
      <c r="BL160" s="2123">
        <f t="shared" si="269"/>
        <v>27100</v>
      </c>
      <c r="BM160" s="2123">
        <f t="shared" si="269"/>
        <v>27100</v>
      </c>
      <c r="BN160" s="2123">
        <f t="shared" ref="BN160:DY160" si="270">BN158</f>
        <v>27100</v>
      </c>
      <c r="BO160" s="2123">
        <f t="shared" si="270"/>
        <v>27100</v>
      </c>
      <c r="BP160" s="2123">
        <f t="shared" si="270"/>
        <v>27100</v>
      </c>
      <c r="BQ160" s="2123">
        <f t="shared" si="270"/>
        <v>23750</v>
      </c>
      <c r="BR160" s="2123">
        <f t="shared" si="270"/>
        <v>23750</v>
      </c>
      <c r="BS160" s="2123">
        <f t="shared" si="270"/>
        <v>23750</v>
      </c>
      <c r="BT160" s="2123">
        <f t="shared" si="270"/>
        <v>23750</v>
      </c>
      <c r="BU160" s="2123">
        <f t="shared" si="270"/>
        <v>23750</v>
      </c>
      <c r="BV160" s="2123">
        <f t="shared" si="270"/>
        <v>23750</v>
      </c>
      <c r="BW160" s="2123">
        <f t="shared" si="270"/>
        <v>23750</v>
      </c>
      <c r="BX160" s="2123" t="e">
        <f t="shared" si="270"/>
        <v>#REF!</v>
      </c>
      <c r="BY160" s="2123" t="e">
        <f t="shared" si="270"/>
        <v>#REF!</v>
      </c>
      <c r="BZ160" s="2123" t="e">
        <f t="shared" si="270"/>
        <v>#REF!</v>
      </c>
      <c r="CA160" s="2123">
        <f t="shared" si="270"/>
        <v>23750</v>
      </c>
      <c r="CB160" s="2123">
        <f t="shared" si="270"/>
        <v>23750</v>
      </c>
      <c r="CC160" s="2123">
        <f t="shared" si="270"/>
        <v>23750</v>
      </c>
      <c r="CD160" s="2123">
        <f t="shared" si="270"/>
        <v>23750</v>
      </c>
      <c r="CE160" s="2123" t="e">
        <f t="shared" si="270"/>
        <v>#REF!</v>
      </c>
      <c r="CF160" s="2123" t="e">
        <f t="shared" si="270"/>
        <v>#REF!</v>
      </c>
      <c r="CG160" s="2123" t="e">
        <f t="shared" si="270"/>
        <v>#REF!</v>
      </c>
      <c r="CH160" s="2123" t="e">
        <f t="shared" si="270"/>
        <v>#REF!</v>
      </c>
      <c r="CI160" s="2123" t="e">
        <f t="shared" si="270"/>
        <v>#REF!</v>
      </c>
      <c r="CJ160" s="2123"/>
      <c r="CK160" s="2123"/>
      <c r="CL160" s="2123"/>
      <c r="CM160" s="2123"/>
      <c r="CN160" s="2123"/>
      <c r="CO160" s="2123"/>
      <c r="CP160" s="2123"/>
      <c r="CQ160" s="2123"/>
      <c r="CR160" s="2123"/>
      <c r="CS160" s="2123"/>
      <c r="CT160" s="2123"/>
      <c r="CU160" s="2123"/>
      <c r="CV160" s="2123"/>
      <c r="CW160" s="2123"/>
      <c r="CX160" s="2123"/>
      <c r="CY160" s="2123"/>
      <c r="CZ160" s="2123"/>
      <c r="DA160" s="2123"/>
      <c r="DB160" s="2123">
        <f t="shared" si="270"/>
        <v>26050</v>
      </c>
      <c r="DC160" s="2123"/>
      <c r="DD160" s="2123"/>
      <c r="DE160" s="2123"/>
      <c r="DF160" s="2123" t="e">
        <f t="shared" si="270"/>
        <v>#REF!</v>
      </c>
      <c r="DG160" s="2123"/>
      <c r="DH160" s="2123">
        <f t="shared" si="270"/>
        <v>21100</v>
      </c>
      <c r="DI160" s="2123" t="e">
        <f t="shared" si="270"/>
        <v>#REF!</v>
      </c>
      <c r="DJ160" s="2123" t="e">
        <f t="shared" si="270"/>
        <v>#REF!</v>
      </c>
      <c r="DK160" s="2123" t="e">
        <f t="shared" si="270"/>
        <v>#REF!</v>
      </c>
      <c r="DL160" s="2123">
        <f t="shared" si="270"/>
        <v>25950</v>
      </c>
      <c r="DM160" s="2123">
        <f t="shared" si="270"/>
        <v>26600</v>
      </c>
      <c r="DN160" s="2123">
        <f t="shared" si="270"/>
        <v>25950</v>
      </c>
      <c r="DO160" s="2123">
        <f t="shared" si="270"/>
        <v>26600</v>
      </c>
      <c r="DP160" s="2123">
        <f t="shared" si="270"/>
        <v>44000</v>
      </c>
      <c r="DQ160" s="2123" t="e">
        <f t="shared" si="270"/>
        <v>#REF!</v>
      </c>
      <c r="DR160" s="2123" t="e">
        <f t="shared" si="270"/>
        <v>#REF!</v>
      </c>
      <c r="DS160" s="2123">
        <f t="shared" si="270"/>
        <v>25950</v>
      </c>
      <c r="DT160" s="2123" t="e">
        <f t="shared" si="270"/>
        <v>#REF!</v>
      </c>
      <c r="DU160" s="2123">
        <f t="shared" si="270"/>
        <v>21750</v>
      </c>
      <c r="DV160" s="2123">
        <f t="shared" si="270"/>
        <v>21750</v>
      </c>
      <c r="DW160" s="2123">
        <f t="shared" si="270"/>
        <v>21750</v>
      </c>
      <c r="DX160" s="2123">
        <f t="shared" si="270"/>
        <v>21750</v>
      </c>
      <c r="DY160" s="2123">
        <f t="shared" si="270"/>
        <v>21750</v>
      </c>
      <c r="DZ160" s="2123">
        <f t="shared" ref="DZ160:FA160" si="271">DZ158</f>
        <v>21750</v>
      </c>
      <c r="EA160" s="2123">
        <f t="shared" si="271"/>
        <v>21750</v>
      </c>
      <c r="EB160" s="2123">
        <f t="shared" si="271"/>
        <v>21750</v>
      </c>
      <c r="EC160" s="2123">
        <f t="shared" si="271"/>
        <v>25300</v>
      </c>
      <c r="ED160" s="2123">
        <f t="shared" si="271"/>
        <v>25300</v>
      </c>
      <c r="EE160" s="2123">
        <f t="shared" si="271"/>
        <v>25300</v>
      </c>
      <c r="EF160" s="2123">
        <f t="shared" si="271"/>
        <v>25300</v>
      </c>
      <c r="EG160" s="2123">
        <f t="shared" si="271"/>
        <v>25300</v>
      </c>
      <c r="EH160" s="2123">
        <f t="shared" si="271"/>
        <v>25300</v>
      </c>
      <c r="EI160" s="2123">
        <f t="shared" si="271"/>
        <v>25300</v>
      </c>
      <c r="EJ160" s="2123"/>
      <c r="EK160" s="2123"/>
      <c r="EL160" s="2123"/>
      <c r="EM160" s="2123"/>
      <c r="EN160" s="2123"/>
      <c r="EO160" s="2123"/>
      <c r="EP160" s="2123">
        <f t="shared" si="271"/>
        <v>30100</v>
      </c>
      <c r="EQ160" s="2123">
        <f t="shared" si="271"/>
        <v>30100</v>
      </c>
      <c r="ER160" s="2123">
        <f t="shared" si="271"/>
        <v>30100</v>
      </c>
      <c r="ES160" s="2123">
        <f t="shared" si="271"/>
        <v>30100</v>
      </c>
      <c r="ET160" s="2123"/>
      <c r="EU160" s="2123"/>
      <c r="EV160" s="2123"/>
      <c r="EW160" s="2123"/>
      <c r="EX160" s="2123"/>
      <c r="EY160" s="2123"/>
      <c r="EZ160" s="2123" t="e">
        <f t="shared" si="271"/>
        <v>#REF!</v>
      </c>
      <c r="FA160" s="2123" t="e">
        <f t="shared" si="271"/>
        <v>#REF!</v>
      </c>
      <c r="FB160" s="2123"/>
      <c r="FC160" s="2123"/>
      <c r="FD160" s="2123"/>
      <c r="FE160" s="2124"/>
      <c r="FF160" s="2082"/>
      <c r="FG160" s="2082"/>
      <c r="FH160" s="2082"/>
      <c r="FI160" s="2082"/>
      <c r="FJ160" s="2082"/>
    </row>
    <row r="161" spans="1:241" s="1565" customFormat="1" ht="18" hidden="1" customHeight="1" outlineLevel="2">
      <c r="A161" s="1552">
        <v>158</v>
      </c>
      <c r="B161" s="1585" t="s">
        <v>19</v>
      </c>
      <c r="C161" s="1586" t="s">
        <v>1993</v>
      </c>
      <c r="D161" s="1586" t="s">
        <v>1807</v>
      </c>
      <c r="E161" s="1586"/>
      <c r="F161" s="1588" t="s">
        <v>202</v>
      </c>
      <c r="G161" s="1588" t="s">
        <v>1994</v>
      </c>
      <c r="H161" s="2123"/>
      <c r="I161" s="2123"/>
      <c r="J161" s="2123"/>
      <c r="K161" s="2123"/>
      <c r="L161" s="2123"/>
      <c r="M161" s="2123"/>
      <c r="N161" s="2123"/>
      <c r="O161" s="2123"/>
      <c r="P161" s="2123"/>
      <c r="Q161" s="2123">
        <f t="shared" ref="Q161:BM161" si="272">Q158</f>
        <v>43150</v>
      </c>
      <c r="R161" s="2123">
        <f t="shared" si="272"/>
        <v>43150</v>
      </c>
      <c r="S161" s="2123">
        <f t="shared" si="272"/>
        <v>43150</v>
      </c>
      <c r="T161" s="2123">
        <f>T158</f>
        <v>47350</v>
      </c>
      <c r="U161" s="2123">
        <f>U158</f>
        <v>47350</v>
      </c>
      <c r="V161" s="2123" t="e">
        <f>V158</f>
        <v>#REF!</v>
      </c>
      <c r="W161" s="2123">
        <f t="shared" si="272"/>
        <v>53950</v>
      </c>
      <c r="X161" s="2123">
        <f t="shared" si="272"/>
        <v>53950</v>
      </c>
      <c r="Y161" s="2123">
        <f t="shared" si="272"/>
        <v>53950</v>
      </c>
      <c r="Z161" s="2123">
        <f t="shared" si="272"/>
        <v>31900</v>
      </c>
      <c r="AA161" s="2123">
        <f t="shared" si="272"/>
        <v>32650</v>
      </c>
      <c r="AB161" s="2123">
        <f t="shared" si="272"/>
        <v>32350</v>
      </c>
      <c r="AC161" s="2123">
        <f t="shared" si="272"/>
        <v>32350</v>
      </c>
      <c r="AD161" s="2123">
        <f t="shared" si="272"/>
        <v>32650</v>
      </c>
      <c r="AE161" s="2123">
        <f t="shared" si="272"/>
        <v>32950</v>
      </c>
      <c r="AF161" s="2123" t="e">
        <f t="shared" si="272"/>
        <v>#REF!</v>
      </c>
      <c r="AG161" s="2123">
        <f t="shared" si="272"/>
        <v>34900</v>
      </c>
      <c r="AH161" s="2123">
        <f t="shared" si="272"/>
        <v>36600</v>
      </c>
      <c r="AI161" s="2123">
        <f t="shared" si="272"/>
        <v>59300</v>
      </c>
      <c r="AJ161" s="2123">
        <f t="shared" si="272"/>
        <v>59300</v>
      </c>
      <c r="AK161" s="2123" t="e">
        <f t="shared" si="272"/>
        <v>#REF!</v>
      </c>
      <c r="AL161" s="2123" t="e">
        <f t="shared" si="272"/>
        <v>#REF!</v>
      </c>
      <c r="AM161" s="2123" t="e">
        <f t="shared" si="272"/>
        <v>#REF!</v>
      </c>
      <c r="AN161" s="2123" t="e">
        <f t="shared" si="272"/>
        <v>#REF!</v>
      </c>
      <c r="AO161" s="2123" t="e">
        <f t="shared" si="272"/>
        <v>#REF!</v>
      </c>
      <c r="AP161" s="2123" t="e">
        <f t="shared" si="272"/>
        <v>#REF!</v>
      </c>
      <c r="AQ161" s="2123" t="e">
        <f t="shared" si="272"/>
        <v>#REF!</v>
      </c>
      <c r="AR161" s="2123" t="e">
        <f t="shared" si="272"/>
        <v>#REF!</v>
      </c>
      <c r="AS161" s="2123" t="e">
        <f t="shared" si="272"/>
        <v>#REF!</v>
      </c>
      <c r="AT161" s="2123">
        <f t="shared" si="272"/>
        <v>59300</v>
      </c>
      <c r="AU161" s="2123">
        <f t="shared" si="272"/>
        <v>33700</v>
      </c>
      <c r="AV161" s="2123">
        <f t="shared" si="272"/>
        <v>33700</v>
      </c>
      <c r="AW161" s="2123">
        <f t="shared" si="272"/>
        <v>33700</v>
      </c>
      <c r="AX161" s="2123">
        <f t="shared" si="272"/>
        <v>33700</v>
      </c>
      <c r="AY161" s="2123" t="e">
        <f t="shared" si="272"/>
        <v>#REF!</v>
      </c>
      <c r="AZ161" s="2123" t="e">
        <f t="shared" si="272"/>
        <v>#REF!</v>
      </c>
      <c r="BA161" s="2123">
        <f t="shared" si="272"/>
        <v>38450</v>
      </c>
      <c r="BB161" s="2123">
        <f t="shared" si="272"/>
        <v>38450</v>
      </c>
      <c r="BC161" s="2123" t="e">
        <f t="shared" si="272"/>
        <v>#REF!</v>
      </c>
      <c r="BD161" s="2123">
        <f t="shared" si="272"/>
        <v>38450</v>
      </c>
      <c r="BE161" s="2123">
        <f t="shared" si="272"/>
        <v>38450</v>
      </c>
      <c r="BF161" s="2123">
        <f t="shared" si="272"/>
        <v>38450</v>
      </c>
      <c r="BG161" s="2123">
        <f t="shared" si="272"/>
        <v>38450</v>
      </c>
      <c r="BH161" s="2123">
        <f t="shared" si="272"/>
        <v>38450</v>
      </c>
      <c r="BI161" s="2123">
        <f t="shared" si="272"/>
        <v>27100</v>
      </c>
      <c r="BJ161" s="2123">
        <f t="shared" si="272"/>
        <v>27100</v>
      </c>
      <c r="BK161" s="2123" t="e">
        <f t="shared" si="272"/>
        <v>#REF!</v>
      </c>
      <c r="BL161" s="2123">
        <f t="shared" si="272"/>
        <v>27100</v>
      </c>
      <c r="BM161" s="2123">
        <f t="shared" si="272"/>
        <v>27100</v>
      </c>
      <c r="BN161" s="2123">
        <f t="shared" ref="BN161:DY161" si="273">BN158</f>
        <v>27100</v>
      </c>
      <c r="BO161" s="2123">
        <f t="shared" si="273"/>
        <v>27100</v>
      </c>
      <c r="BP161" s="2123">
        <f t="shared" si="273"/>
        <v>27100</v>
      </c>
      <c r="BQ161" s="2123">
        <f t="shared" si="273"/>
        <v>23750</v>
      </c>
      <c r="BR161" s="2123">
        <f t="shared" si="273"/>
        <v>23750</v>
      </c>
      <c r="BS161" s="2123">
        <f t="shared" si="273"/>
        <v>23750</v>
      </c>
      <c r="BT161" s="2123">
        <f t="shared" si="273"/>
        <v>23750</v>
      </c>
      <c r="BU161" s="2123">
        <f t="shared" si="273"/>
        <v>23750</v>
      </c>
      <c r="BV161" s="2123">
        <f t="shared" si="273"/>
        <v>23750</v>
      </c>
      <c r="BW161" s="2123">
        <f t="shared" si="273"/>
        <v>23750</v>
      </c>
      <c r="BX161" s="2123" t="e">
        <f t="shared" si="273"/>
        <v>#REF!</v>
      </c>
      <c r="BY161" s="2123" t="e">
        <f t="shared" si="273"/>
        <v>#REF!</v>
      </c>
      <c r="BZ161" s="2123" t="e">
        <f t="shared" si="273"/>
        <v>#REF!</v>
      </c>
      <c r="CA161" s="2123">
        <f t="shared" si="273"/>
        <v>23750</v>
      </c>
      <c r="CB161" s="2123">
        <f t="shared" si="273"/>
        <v>23750</v>
      </c>
      <c r="CC161" s="2123">
        <f t="shared" si="273"/>
        <v>23750</v>
      </c>
      <c r="CD161" s="2123">
        <f t="shared" si="273"/>
        <v>23750</v>
      </c>
      <c r="CE161" s="2123" t="e">
        <f t="shared" si="273"/>
        <v>#REF!</v>
      </c>
      <c r="CF161" s="2123" t="e">
        <f t="shared" si="273"/>
        <v>#REF!</v>
      </c>
      <c r="CG161" s="2123" t="e">
        <f t="shared" si="273"/>
        <v>#REF!</v>
      </c>
      <c r="CH161" s="2123" t="e">
        <f t="shared" si="273"/>
        <v>#REF!</v>
      </c>
      <c r="CI161" s="2123" t="e">
        <f t="shared" si="273"/>
        <v>#REF!</v>
      </c>
      <c r="CJ161" s="2123"/>
      <c r="CK161" s="2123"/>
      <c r="CL161" s="2123"/>
      <c r="CM161" s="2123"/>
      <c r="CN161" s="2123"/>
      <c r="CO161" s="2123"/>
      <c r="CP161" s="2123"/>
      <c r="CQ161" s="2123"/>
      <c r="CR161" s="2123"/>
      <c r="CS161" s="2123"/>
      <c r="CT161" s="2123"/>
      <c r="CU161" s="2123"/>
      <c r="CV161" s="2123"/>
      <c r="CW161" s="2123"/>
      <c r="CX161" s="2123"/>
      <c r="CY161" s="2123"/>
      <c r="CZ161" s="2123"/>
      <c r="DA161" s="2123"/>
      <c r="DB161" s="2123">
        <f t="shared" si="273"/>
        <v>26050</v>
      </c>
      <c r="DC161" s="2123"/>
      <c r="DD161" s="2123"/>
      <c r="DE161" s="2123"/>
      <c r="DF161" s="2123" t="e">
        <f t="shared" si="273"/>
        <v>#REF!</v>
      </c>
      <c r="DG161" s="2123"/>
      <c r="DH161" s="2123">
        <f t="shared" si="273"/>
        <v>21100</v>
      </c>
      <c r="DI161" s="2123" t="e">
        <f t="shared" si="273"/>
        <v>#REF!</v>
      </c>
      <c r="DJ161" s="2123" t="e">
        <f t="shared" si="273"/>
        <v>#REF!</v>
      </c>
      <c r="DK161" s="2123" t="e">
        <f t="shared" si="273"/>
        <v>#REF!</v>
      </c>
      <c r="DL161" s="2123">
        <f t="shared" si="273"/>
        <v>25950</v>
      </c>
      <c r="DM161" s="2123">
        <f t="shared" si="273"/>
        <v>26600</v>
      </c>
      <c r="DN161" s="2123">
        <f t="shared" si="273"/>
        <v>25950</v>
      </c>
      <c r="DO161" s="2123">
        <f t="shared" si="273"/>
        <v>26600</v>
      </c>
      <c r="DP161" s="2123">
        <f t="shared" si="273"/>
        <v>44000</v>
      </c>
      <c r="DQ161" s="2123" t="e">
        <f t="shared" si="273"/>
        <v>#REF!</v>
      </c>
      <c r="DR161" s="2123" t="e">
        <f t="shared" si="273"/>
        <v>#REF!</v>
      </c>
      <c r="DS161" s="2123">
        <f t="shared" si="273"/>
        <v>25950</v>
      </c>
      <c r="DT161" s="2123" t="e">
        <f t="shared" si="273"/>
        <v>#REF!</v>
      </c>
      <c r="DU161" s="2123">
        <f t="shared" si="273"/>
        <v>21750</v>
      </c>
      <c r="DV161" s="2123">
        <f t="shared" si="273"/>
        <v>21750</v>
      </c>
      <c r="DW161" s="2123">
        <f t="shared" si="273"/>
        <v>21750</v>
      </c>
      <c r="DX161" s="2123">
        <f t="shared" si="273"/>
        <v>21750</v>
      </c>
      <c r="DY161" s="2123">
        <f t="shared" si="273"/>
        <v>21750</v>
      </c>
      <c r="DZ161" s="2123">
        <f t="shared" ref="DZ161:FA161" si="274">DZ158</f>
        <v>21750</v>
      </c>
      <c r="EA161" s="2123">
        <f t="shared" si="274"/>
        <v>21750</v>
      </c>
      <c r="EB161" s="2123">
        <f t="shared" si="274"/>
        <v>21750</v>
      </c>
      <c r="EC161" s="2123">
        <f t="shared" si="274"/>
        <v>25300</v>
      </c>
      <c r="ED161" s="2123">
        <f t="shared" si="274"/>
        <v>25300</v>
      </c>
      <c r="EE161" s="2123">
        <f t="shared" si="274"/>
        <v>25300</v>
      </c>
      <c r="EF161" s="2123">
        <f t="shared" si="274"/>
        <v>25300</v>
      </c>
      <c r="EG161" s="2123">
        <f t="shared" si="274"/>
        <v>25300</v>
      </c>
      <c r="EH161" s="2123">
        <f t="shared" si="274"/>
        <v>25300</v>
      </c>
      <c r="EI161" s="2123">
        <f t="shared" si="274"/>
        <v>25300</v>
      </c>
      <c r="EJ161" s="2123"/>
      <c r="EK161" s="2123"/>
      <c r="EL161" s="2123"/>
      <c r="EM161" s="2123"/>
      <c r="EN161" s="2123"/>
      <c r="EO161" s="2123"/>
      <c r="EP161" s="2123">
        <f t="shared" si="274"/>
        <v>30100</v>
      </c>
      <c r="EQ161" s="2123">
        <f t="shared" si="274"/>
        <v>30100</v>
      </c>
      <c r="ER161" s="2123">
        <f t="shared" si="274"/>
        <v>30100</v>
      </c>
      <c r="ES161" s="2123">
        <f t="shared" si="274"/>
        <v>30100</v>
      </c>
      <c r="ET161" s="2123"/>
      <c r="EU161" s="2123"/>
      <c r="EV161" s="2123"/>
      <c r="EW161" s="2123"/>
      <c r="EX161" s="2123"/>
      <c r="EY161" s="2123"/>
      <c r="EZ161" s="2123" t="e">
        <f t="shared" si="274"/>
        <v>#REF!</v>
      </c>
      <c r="FA161" s="2123" t="e">
        <f t="shared" si="274"/>
        <v>#REF!</v>
      </c>
      <c r="FB161" s="2123"/>
      <c r="FC161" s="2123"/>
      <c r="FD161" s="2123"/>
      <c r="FE161" s="2124"/>
      <c r="FF161" s="2082"/>
      <c r="FG161" s="2082"/>
      <c r="FH161" s="2082"/>
      <c r="FI161" s="2082"/>
      <c r="FJ161" s="2082"/>
    </row>
    <row r="162" spans="1:241" s="1565" customFormat="1" ht="26.25" hidden="1" customHeight="1" outlineLevel="2">
      <c r="A162" s="1549">
        <v>159</v>
      </c>
      <c r="B162" s="1585" t="s">
        <v>19</v>
      </c>
      <c r="C162" s="1586" t="s">
        <v>1993</v>
      </c>
      <c r="D162" s="1586" t="s">
        <v>1807</v>
      </c>
      <c r="E162" s="1586"/>
      <c r="F162" s="1588" t="s">
        <v>1810</v>
      </c>
      <c r="G162" s="1588" t="s">
        <v>1980</v>
      </c>
      <c r="H162" s="2123"/>
      <c r="I162" s="2123"/>
      <c r="J162" s="2123"/>
      <c r="K162" s="2123"/>
      <c r="L162" s="2123"/>
      <c r="M162" s="2123"/>
      <c r="N162" s="2123"/>
      <c r="O162" s="2123"/>
      <c r="P162" s="2123"/>
      <c r="Q162" s="2123">
        <f t="shared" ref="Q162:BM162" si="275">Q158</f>
        <v>43150</v>
      </c>
      <c r="R162" s="2123">
        <f t="shared" si="275"/>
        <v>43150</v>
      </c>
      <c r="S162" s="2123">
        <f t="shared" si="275"/>
        <v>43150</v>
      </c>
      <c r="T162" s="2123">
        <f>T158</f>
        <v>47350</v>
      </c>
      <c r="U162" s="2123">
        <f>U158</f>
        <v>47350</v>
      </c>
      <c r="V162" s="2123" t="e">
        <f>V158</f>
        <v>#REF!</v>
      </c>
      <c r="W162" s="2123">
        <f t="shared" si="275"/>
        <v>53950</v>
      </c>
      <c r="X162" s="2123">
        <f t="shared" si="275"/>
        <v>53950</v>
      </c>
      <c r="Y162" s="2123">
        <f t="shared" si="275"/>
        <v>53950</v>
      </c>
      <c r="Z162" s="2123">
        <f t="shared" si="275"/>
        <v>31900</v>
      </c>
      <c r="AA162" s="2123">
        <f t="shared" si="275"/>
        <v>32650</v>
      </c>
      <c r="AB162" s="2123">
        <f t="shared" si="275"/>
        <v>32350</v>
      </c>
      <c r="AC162" s="2123">
        <f t="shared" si="275"/>
        <v>32350</v>
      </c>
      <c r="AD162" s="2123">
        <f t="shared" si="275"/>
        <v>32650</v>
      </c>
      <c r="AE162" s="2123">
        <f t="shared" si="275"/>
        <v>32950</v>
      </c>
      <c r="AF162" s="2123" t="e">
        <f t="shared" si="275"/>
        <v>#REF!</v>
      </c>
      <c r="AG162" s="2123">
        <f t="shared" si="275"/>
        <v>34900</v>
      </c>
      <c r="AH162" s="2123">
        <f t="shared" si="275"/>
        <v>36600</v>
      </c>
      <c r="AI162" s="2123">
        <f t="shared" si="275"/>
        <v>59300</v>
      </c>
      <c r="AJ162" s="2123">
        <f t="shared" si="275"/>
        <v>59300</v>
      </c>
      <c r="AK162" s="2123" t="e">
        <f t="shared" si="275"/>
        <v>#REF!</v>
      </c>
      <c r="AL162" s="2123" t="e">
        <f t="shared" si="275"/>
        <v>#REF!</v>
      </c>
      <c r="AM162" s="2123" t="e">
        <f t="shared" si="275"/>
        <v>#REF!</v>
      </c>
      <c r="AN162" s="2123" t="e">
        <f t="shared" si="275"/>
        <v>#REF!</v>
      </c>
      <c r="AO162" s="2123" t="e">
        <f t="shared" si="275"/>
        <v>#REF!</v>
      </c>
      <c r="AP162" s="2123" t="e">
        <f t="shared" si="275"/>
        <v>#REF!</v>
      </c>
      <c r="AQ162" s="2123" t="e">
        <f t="shared" si="275"/>
        <v>#REF!</v>
      </c>
      <c r="AR162" s="2123" t="e">
        <f t="shared" si="275"/>
        <v>#REF!</v>
      </c>
      <c r="AS162" s="2123" t="e">
        <f t="shared" si="275"/>
        <v>#REF!</v>
      </c>
      <c r="AT162" s="2123">
        <f t="shared" si="275"/>
        <v>59300</v>
      </c>
      <c r="AU162" s="2123">
        <f t="shared" si="275"/>
        <v>33700</v>
      </c>
      <c r="AV162" s="2123">
        <f t="shared" si="275"/>
        <v>33700</v>
      </c>
      <c r="AW162" s="2123">
        <f t="shared" si="275"/>
        <v>33700</v>
      </c>
      <c r="AX162" s="2123">
        <f t="shared" si="275"/>
        <v>33700</v>
      </c>
      <c r="AY162" s="2123" t="e">
        <f t="shared" si="275"/>
        <v>#REF!</v>
      </c>
      <c r="AZ162" s="2123" t="e">
        <f t="shared" si="275"/>
        <v>#REF!</v>
      </c>
      <c r="BA162" s="2123">
        <f t="shared" si="275"/>
        <v>38450</v>
      </c>
      <c r="BB162" s="2123">
        <f t="shared" si="275"/>
        <v>38450</v>
      </c>
      <c r="BC162" s="2123" t="e">
        <f t="shared" si="275"/>
        <v>#REF!</v>
      </c>
      <c r="BD162" s="2123">
        <f t="shared" si="275"/>
        <v>38450</v>
      </c>
      <c r="BE162" s="2123">
        <f t="shared" si="275"/>
        <v>38450</v>
      </c>
      <c r="BF162" s="2123">
        <f t="shared" si="275"/>
        <v>38450</v>
      </c>
      <c r="BG162" s="2123">
        <f t="shared" si="275"/>
        <v>38450</v>
      </c>
      <c r="BH162" s="2123">
        <f t="shared" si="275"/>
        <v>38450</v>
      </c>
      <c r="BI162" s="2123">
        <f t="shared" si="275"/>
        <v>27100</v>
      </c>
      <c r="BJ162" s="2123">
        <f t="shared" si="275"/>
        <v>27100</v>
      </c>
      <c r="BK162" s="2123" t="e">
        <f t="shared" si="275"/>
        <v>#REF!</v>
      </c>
      <c r="BL162" s="2123">
        <f t="shared" si="275"/>
        <v>27100</v>
      </c>
      <c r="BM162" s="2123">
        <f t="shared" si="275"/>
        <v>27100</v>
      </c>
      <c r="BN162" s="2123">
        <f t="shared" ref="BN162:DY162" si="276">BN158</f>
        <v>27100</v>
      </c>
      <c r="BO162" s="2123">
        <f t="shared" si="276"/>
        <v>27100</v>
      </c>
      <c r="BP162" s="2123">
        <f t="shared" si="276"/>
        <v>27100</v>
      </c>
      <c r="BQ162" s="2123">
        <f t="shared" si="276"/>
        <v>23750</v>
      </c>
      <c r="BR162" s="2123">
        <f t="shared" si="276"/>
        <v>23750</v>
      </c>
      <c r="BS162" s="2123">
        <f t="shared" si="276"/>
        <v>23750</v>
      </c>
      <c r="BT162" s="2123">
        <f t="shared" si="276"/>
        <v>23750</v>
      </c>
      <c r="BU162" s="2123">
        <f t="shared" si="276"/>
        <v>23750</v>
      </c>
      <c r="BV162" s="2123">
        <f t="shared" si="276"/>
        <v>23750</v>
      </c>
      <c r="BW162" s="2123">
        <f t="shared" si="276"/>
        <v>23750</v>
      </c>
      <c r="BX162" s="2123" t="e">
        <f t="shared" si="276"/>
        <v>#REF!</v>
      </c>
      <c r="BY162" s="2123" t="e">
        <f t="shared" si="276"/>
        <v>#REF!</v>
      </c>
      <c r="BZ162" s="2123" t="e">
        <f t="shared" si="276"/>
        <v>#REF!</v>
      </c>
      <c r="CA162" s="2123">
        <f t="shared" si="276"/>
        <v>23750</v>
      </c>
      <c r="CB162" s="2123">
        <f t="shared" si="276"/>
        <v>23750</v>
      </c>
      <c r="CC162" s="2123">
        <f t="shared" si="276"/>
        <v>23750</v>
      </c>
      <c r="CD162" s="2123">
        <f t="shared" si="276"/>
        <v>23750</v>
      </c>
      <c r="CE162" s="2123" t="e">
        <f t="shared" si="276"/>
        <v>#REF!</v>
      </c>
      <c r="CF162" s="2123" t="e">
        <f t="shared" si="276"/>
        <v>#REF!</v>
      </c>
      <c r="CG162" s="2123" t="e">
        <f t="shared" si="276"/>
        <v>#REF!</v>
      </c>
      <c r="CH162" s="2123" t="e">
        <f t="shared" si="276"/>
        <v>#REF!</v>
      </c>
      <c r="CI162" s="2123" t="e">
        <f t="shared" si="276"/>
        <v>#REF!</v>
      </c>
      <c r="CJ162" s="2123"/>
      <c r="CK162" s="2123"/>
      <c r="CL162" s="2123"/>
      <c r="CM162" s="2123"/>
      <c r="CN162" s="2123"/>
      <c r="CO162" s="2123"/>
      <c r="CP162" s="2123"/>
      <c r="CQ162" s="2123"/>
      <c r="CR162" s="2123"/>
      <c r="CS162" s="2123"/>
      <c r="CT162" s="2123"/>
      <c r="CU162" s="2123"/>
      <c r="CV162" s="2123"/>
      <c r="CW162" s="2123"/>
      <c r="CX162" s="2123"/>
      <c r="CY162" s="2123"/>
      <c r="CZ162" s="2123"/>
      <c r="DA162" s="2123"/>
      <c r="DB162" s="2123">
        <f t="shared" si="276"/>
        <v>26050</v>
      </c>
      <c r="DC162" s="2123"/>
      <c r="DD162" s="2123"/>
      <c r="DE162" s="2123"/>
      <c r="DF162" s="2123" t="e">
        <f t="shared" si="276"/>
        <v>#REF!</v>
      </c>
      <c r="DG162" s="2123"/>
      <c r="DH162" s="2123">
        <f t="shared" si="276"/>
        <v>21100</v>
      </c>
      <c r="DI162" s="2123" t="e">
        <f t="shared" si="276"/>
        <v>#REF!</v>
      </c>
      <c r="DJ162" s="2123" t="e">
        <f t="shared" si="276"/>
        <v>#REF!</v>
      </c>
      <c r="DK162" s="2123" t="e">
        <f t="shared" si="276"/>
        <v>#REF!</v>
      </c>
      <c r="DL162" s="2123">
        <f t="shared" si="276"/>
        <v>25950</v>
      </c>
      <c r="DM162" s="2123">
        <f t="shared" si="276"/>
        <v>26600</v>
      </c>
      <c r="DN162" s="2123">
        <f t="shared" si="276"/>
        <v>25950</v>
      </c>
      <c r="DO162" s="2123">
        <f t="shared" si="276"/>
        <v>26600</v>
      </c>
      <c r="DP162" s="2123">
        <f t="shared" si="276"/>
        <v>44000</v>
      </c>
      <c r="DQ162" s="2123" t="e">
        <f t="shared" si="276"/>
        <v>#REF!</v>
      </c>
      <c r="DR162" s="2123" t="e">
        <f t="shared" si="276"/>
        <v>#REF!</v>
      </c>
      <c r="DS162" s="2123">
        <f t="shared" si="276"/>
        <v>25950</v>
      </c>
      <c r="DT162" s="2123" t="e">
        <f t="shared" si="276"/>
        <v>#REF!</v>
      </c>
      <c r="DU162" s="2123">
        <f t="shared" si="276"/>
        <v>21750</v>
      </c>
      <c r="DV162" s="2123">
        <f t="shared" si="276"/>
        <v>21750</v>
      </c>
      <c r="DW162" s="2123">
        <f t="shared" si="276"/>
        <v>21750</v>
      </c>
      <c r="DX162" s="2123">
        <f t="shared" si="276"/>
        <v>21750</v>
      </c>
      <c r="DY162" s="2123">
        <f t="shared" si="276"/>
        <v>21750</v>
      </c>
      <c r="DZ162" s="2123">
        <f t="shared" ref="DZ162:FA162" si="277">DZ158</f>
        <v>21750</v>
      </c>
      <c r="EA162" s="2123">
        <f t="shared" si="277"/>
        <v>21750</v>
      </c>
      <c r="EB162" s="2123">
        <f t="shared" si="277"/>
        <v>21750</v>
      </c>
      <c r="EC162" s="2123">
        <f t="shared" si="277"/>
        <v>25300</v>
      </c>
      <c r="ED162" s="2123">
        <f t="shared" si="277"/>
        <v>25300</v>
      </c>
      <c r="EE162" s="2123">
        <f t="shared" si="277"/>
        <v>25300</v>
      </c>
      <c r="EF162" s="2123">
        <f t="shared" si="277"/>
        <v>25300</v>
      </c>
      <c r="EG162" s="2123">
        <f t="shared" si="277"/>
        <v>25300</v>
      </c>
      <c r="EH162" s="2123">
        <f t="shared" si="277"/>
        <v>25300</v>
      </c>
      <c r="EI162" s="2123">
        <f t="shared" si="277"/>
        <v>25300</v>
      </c>
      <c r="EJ162" s="2123"/>
      <c r="EK162" s="2123"/>
      <c r="EL162" s="2123"/>
      <c r="EM162" s="2123"/>
      <c r="EN162" s="2123"/>
      <c r="EO162" s="2123"/>
      <c r="EP162" s="2123">
        <f t="shared" si="277"/>
        <v>30100</v>
      </c>
      <c r="EQ162" s="2123">
        <f t="shared" si="277"/>
        <v>30100</v>
      </c>
      <c r="ER162" s="2123">
        <f t="shared" si="277"/>
        <v>30100</v>
      </c>
      <c r="ES162" s="2123">
        <f t="shared" si="277"/>
        <v>30100</v>
      </c>
      <c r="ET162" s="2123"/>
      <c r="EU162" s="2123"/>
      <c r="EV162" s="2123"/>
      <c r="EW162" s="2123"/>
      <c r="EX162" s="2123"/>
      <c r="EY162" s="2123"/>
      <c r="EZ162" s="2123" t="e">
        <f t="shared" si="277"/>
        <v>#REF!</v>
      </c>
      <c r="FA162" s="2123" t="e">
        <f t="shared" si="277"/>
        <v>#REF!</v>
      </c>
      <c r="FB162" s="2123"/>
      <c r="FC162" s="2123"/>
      <c r="FD162" s="2123"/>
      <c r="FE162" s="2124"/>
      <c r="FF162" s="2082"/>
      <c r="FG162" s="2082"/>
      <c r="FH162" s="2082"/>
      <c r="FI162" s="2082"/>
      <c r="FJ162" s="2082"/>
    </row>
    <row r="163" spans="1:241" s="1565" customFormat="1" ht="18" hidden="1" customHeight="1" outlineLevel="2">
      <c r="A163" s="1552">
        <v>160</v>
      </c>
      <c r="B163" s="1585" t="s">
        <v>19</v>
      </c>
      <c r="C163" s="1586" t="s">
        <v>1993</v>
      </c>
      <c r="D163" s="1586" t="s">
        <v>1807</v>
      </c>
      <c r="E163" s="1586"/>
      <c r="F163" s="1588" t="s">
        <v>1811</v>
      </c>
      <c r="G163" s="1588" t="s">
        <v>1981</v>
      </c>
      <c r="H163" s="2123"/>
      <c r="I163" s="2123"/>
      <c r="J163" s="2123"/>
      <c r="K163" s="2123"/>
      <c r="L163" s="2123"/>
      <c r="M163" s="2123"/>
      <c r="N163" s="2123"/>
      <c r="O163" s="2123"/>
      <c r="P163" s="2123"/>
      <c r="Q163" s="2123">
        <f t="shared" ref="Q163:BM163" si="278">Q158</f>
        <v>43150</v>
      </c>
      <c r="R163" s="2123">
        <f t="shared" si="278"/>
        <v>43150</v>
      </c>
      <c r="S163" s="2123">
        <f t="shared" si="278"/>
        <v>43150</v>
      </c>
      <c r="T163" s="2123">
        <f>T158</f>
        <v>47350</v>
      </c>
      <c r="U163" s="2123">
        <f>U158</f>
        <v>47350</v>
      </c>
      <c r="V163" s="2123" t="e">
        <f>V158</f>
        <v>#REF!</v>
      </c>
      <c r="W163" s="2123">
        <f t="shared" si="278"/>
        <v>53950</v>
      </c>
      <c r="X163" s="2123">
        <f t="shared" si="278"/>
        <v>53950</v>
      </c>
      <c r="Y163" s="2123">
        <f t="shared" si="278"/>
        <v>53950</v>
      </c>
      <c r="Z163" s="2123">
        <f t="shared" si="278"/>
        <v>31900</v>
      </c>
      <c r="AA163" s="2123">
        <f t="shared" si="278"/>
        <v>32650</v>
      </c>
      <c r="AB163" s="2123">
        <f t="shared" si="278"/>
        <v>32350</v>
      </c>
      <c r="AC163" s="2123">
        <f t="shared" si="278"/>
        <v>32350</v>
      </c>
      <c r="AD163" s="2123">
        <f t="shared" si="278"/>
        <v>32650</v>
      </c>
      <c r="AE163" s="2123">
        <f t="shared" si="278"/>
        <v>32950</v>
      </c>
      <c r="AF163" s="2123" t="e">
        <f t="shared" si="278"/>
        <v>#REF!</v>
      </c>
      <c r="AG163" s="2123">
        <f t="shared" si="278"/>
        <v>34900</v>
      </c>
      <c r="AH163" s="2123">
        <f t="shared" si="278"/>
        <v>36600</v>
      </c>
      <c r="AI163" s="2123">
        <f t="shared" si="278"/>
        <v>59300</v>
      </c>
      <c r="AJ163" s="2123">
        <f t="shared" si="278"/>
        <v>59300</v>
      </c>
      <c r="AK163" s="2123" t="e">
        <f t="shared" si="278"/>
        <v>#REF!</v>
      </c>
      <c r="AL163" s="2123" t="e">
        <f t="shared" si="278"/>
        <v>#REF!</v>
      </c>
      <c r="AM163" s="2123" t="e">
        <f t="shared" si="278"/>
        <v>#REF!</v>
      </c>
      <c r="AN163" s="2123" t="e">
        <f t="shared" si="278"/>
        <v>#REF!</v>
      </c>
      <c r="AO163" s="2123" t="e">
        <f t="shared" si="278"/>
        <v>#REF!</v>
      </c>
      <c r="AP163" s="2123" t="e">
        <f t="shared" si="278"/>
        <v>#REF!</v>
      </c>
      <c r="AQ163" s="2123" t="e">
        <f t="shared" si="278"/>
        <v>#REF!</v>
      </c>
      <c r="AR163" s="2123" t="e">
        <f t="shared" si="278"/>
        <v>#REF!</v>
      </c>
      <c r="AS163" s="2123" t="e">
        <f t="shared" si="278"/>
        <v>#REF!</v>
      </c>
      <c r="AT163" s="2123">
        <f t="shared" si="278"/>
        <v>59300</v>
      </c>
      <c r="AU163" s="2123">
        <f t="shared" si="278"/>
        <v>33700</v>
      </c>
      <c r="AV163" s="2123">
        <f t="shared" si="278"/>
        <v>33700</v>
      </c>
      <c r="AW163" s="2123">
        <f t="shared" si="278"/>
        <v>33700</v>
      </c>
      <c r="AX163" s="2123">
        <f t="shared" si="278"/>
        <v>33700</v>
      </c>
      <c r="AY163" s="2123" t="e">
        <f t="shared" si="278"/>
        <v>#REF!</v>
      </c>
      <c r="AZ163" s="2123" t="e">
        <f t="shared" si="278"/>
        <v>#REF!</v>
      </c>
      <c r="BA163" s="2123">
        <f t="shared" si="278"/>
        <v>38450</v>
      </c>
      <c r="BB163" s="2123">
        <f t="shared" si="278"/>
        <v>38450</v>
      </c>
      <c r="BC163" s="2123" t="e">
        <f t="shared" si="278"/>
        <v>#REF!</v>
      </c>
      <c r="BD163" s="2123">
        <f t="shared" si="278"/>
        <v>38450</v>
      </c>
      <c r="BE163" s="2123">
        <f t="shared" si="278"/>
        <v>38450</v>
      </c>
      <c r="BF163" s="2123">
        <f t="shared" si="278"/>
        <v>38450</v>
      </c>
      <c r="BG163" s="2123">
        <f t="shared" si="278"/>
        <v>38450</v>
      </c>
      <c r="BH163" s="2123">
        <f t="shared" si="278"/>
        <v>38450</v>
      </c>
      <c r="BI163" s="2123">
        <f t="shared" si="278"/>
        <v>27100</v>
      </c>
      <c r="BJ163" s="2123">
        <f t="shared" si="278"/>
        <v>27100</v>
      </c>
      <c r="BK163" s="2123" t="e">
        <f t="shared" si="278"/>
        <v>#REF!</v>
      </c>
      <c r="BL163" s="2123">
        <f t="shared" si="278"/>
        <v>27100</v>
      </c>
      <c r="BM163" s="2123">
        <f t="shared" si="278"/>
        <v>27100</v>
      </c>
      <c r="BN163" s="2123">
        <f t="shared" ref="BN163:DY163" si="279">BN158</f>
        <v>27100</v>
      </c>
      <c r="BO163" s="2123">
        <f t="shared" si="279"/>
        <v>27100</v>
      </c>
      <c r="BP163" s="2123">
        <f t="shared" si="279"/>
        <v>27100</v>
      </c>
      <c r="BQ163" s="2123">
        <f t="shared" si="279"/>
        <v>23750</v>
      </c>
      <c r="BR163" s="2123">
        <f t="shared" si="279"/>
        <v>23750</v>
      </c>
      <c r="BS163" s="2123">
        <f t="shared" si="279"/>
        <v>23750</v>
      </c>
      <c r="BT163" s="2123">
        <f t="shared" si="279"/>
        <v>23750</v>
      </c>
      <c r="BU163" s="2123">
        <f t="shared" si="279"/>
        <v>23750</v>
      </c>
      <c r="BV163" s="2123">
        <f t="shared" si="279"/>
        <v>23750</v>
      </c>
      <c r="BW163" s="2123">
        <f t="shared" si="279"/>
        <v>23750</v>
      </c>
      <c r="BX163" s="2123" t="e">
        <f t="shared" si="279"/>
        <v>#REF!</v>
      </c>
      <c r="BY163" s="2123" t="e">
        <f t="shared" si="279"/>
        <v>#REF!</v>
      </c>
      <c r="BZ163" s="2123" t="e">
        <f t="shared" si="279"/>
        <v>#REF!</v>
      </c>
      <c r="CA163" s="2123">
        <f t="shared" si="279"/>
        <v>23750</v>
      </c>
      <c r="CB163" s="2123">
        <f t="shared" si="279"/>
        <v>23750</v>
      </c>
      <c r="CC163" s="2123">
        <f t="shared" si="279"/>
        <v>23750</v>
      </c>
      <c r="CD163" s="2123">
        <f t="shared" si="279"/>
        <v>23750</v>
      </c>
      <c r="CE163" s="2123" t="e">
        <f t="shared" si="279"/>
        <v>#REF!</v>
      </c>
      <c r="CF163" s="2123" t="e">
        <f t="shared" si="279"/>
        <v>#REF!</v>
      </c>
      <c r="CG163" s="2123" t="e">
        <f t="shared" si="279"/>
        <v>#REF!</v>
      </c>
      <c r="CH163" s="2123" t="e">
        <f t="shared" si="279"/>
        <v>#REF!</v>
      </c>
      <c r="CI163" s="2123" t="e">
        <f t="shared" si="279"/>
        <v>#REF!</v>
      </c>
      <c r="CJ163" s="2123"/>
      <c r="CK163" s="2123"/>
      <c r="CL163" s="2123"/>
      <c r="CM163" s="2123"/>
      <c r="CN163" s="2123"/>
      <c r="CO163" s="2123"/>
      <c r="CP163" s="2123"/>
      <c r="CQ163" s="2123"/>
      <c r="CR163" s="2123"/>
      <c r="CS163" s="2123"/>
      <c r="CT163" s="2123"/>
      <c r="CU163" s="2123"/>
      <c r="CV163" s="2123"/>
      <c r="CW163" s="2123"/>
      <c r="CX163" s="2123"/>
      <c r="CY163" s="2123"/>
      <c r="CZ163" s="2123"/>
      <c r="DA163" s="2123"/>
      <c r="DB163" s="2123">
        <f t="shared" si="279"/>
        <v>26050</v>
      </c>
      <c r="DC163" s="2123"/>
      <c r="DD163" s="2123"/>
      <c r="DE163" s="2123"/>
      <c r="DF163" s="2123" t="e">
        <f t="shared" si="279"/>
        <v>#REF!</v>
      </c>
      <c r="DG163" s="2123"/>
      <c r="DH163" s="2123">
        <f t="shared" si="279"/>
        <v>21100</v>
      </c>
      <c r="DI163" s="2123" t="e">
        <f t="shared" si="279"/>
        <v>#REF!</v>
      </c>
      <c r="DJ163" s="2123" t="e">
        <f t="shared" si="279"/>
        <v>#REF!</v>
      </c>
      <c r="DK163" s="2123" t="e">
        <f t="shared" si="279"/>
        <v>#REF!</v>
      </c>
      <c r="DL163" s="2123">
        <f t="shared" si="279"/>
        <v>25950</v>
      </c>
      <c r="DM163" s="2123">
        <f t="shared" si="279"/>
        <v>26600</v>
      </c>
      <c r="DN163" s="2123">
        <f t="shared" si="279"/>
        <v>25950</v>
      </c>
      <c r="DO163" s="2123">
        <f t="shared" si="279"/>
        <v>26600</v>
      </c>
      <c r="DP163" s="2123">
        <f t="shared" si="279"/>
        <v>44000</v>
      </c>
      <c r="DQ163" s="2123" t="e">
        <f t="shared" si="279"/>
        <v>#REF!</v>
      </c>
      <c r="DR163" s="2123" t="e">
        <f t="shared" si="279"/>
        <v>#REF!</v>
      </c>
      <c r="DS163" s="2123">
        <f t="shared" si="279"/>
        <v>25950</v>
      </c>
      <c r="DT163" s="2123" t="e">
        <f t="shared" si="279"/>
        <v>#REF!</v>
      </c>
      <c r="DU163" s="2123">
        <f t="shared" si="279"/>
        <v>21750</v>
      </c>
      <c r="DV163" s="2123">
        <f t="shared" si="279"/>
        <v>21750</v>
      </c>
      <c r="DW163" s="2123">
        <f t="shared" si="279"/>
        <v>21750</v>
      </c>
      <c r="DX163" s="2123">
        <f t="shared" si="279"/>
        <v>21750</v>
      </c>
      <c r="DY163" s="2123">
        <f t="shared" si="279"/>
        <v>21750</v>
      </c>
      <c r="DZ163" s="2123">
        <f t="shared" ref="DZ163:FA163" si="280">DZ158</f>
        <v>21750</v>
      </c>
      <c r="EA163" s="2123">
        <f t="shared" si="280"/>
        <v>21750</v>
      </c>
      <c r="EB163" s="2123">
        <f t="shared" si="280"/>
        <v>21750</v>
      </c>
      <c r="EC163" s="2123">
        <f t="shared" si="280"/>
        <v>25300</v>
      </c>
      <c r="ED163" s="2123">
        <f t="shared" si="280"/>
        <v>25300</v>
      </c>
      <c r="EE163" s="2123">
        <f t="shared" si="280"/>
        <v>25300</v>
      </c>
      <c r="EF163" s="2123">
        <f t="shared" si="280"/>
        <v>25300</v>
      </c>
      <c r="EG163" s="2123">
        <f t="shared" si="280"/>
        <v>25300</v>
      </c>
      <c r="EH163" s="2123">
        <f t="shared" si="280"/>
        <v>25300</v>
      </c>
      <c r="EI163" s="2123">
        <f t="shared" si="280"/>
        <v>25300</v>
      </c>
      <c r="EJ163" s="2123"/>
      <c r="EK163" s="2123"/>
      <c r="EL163" s="2123"/>
      <c r="EM163" s="2123"/>
      <c r="EN163" s="2123"/>
      <c r="EO163" s="2123"/>
      <c r="EP163" s="2123">
        <f t="shared" si="280"/>
        <v>30100</v>
      </c>
      <c r="EQ163" s="2123">
        <f t="shared" si="280"/>
        <v>30100</v>
      </c>
      <c r="ER163" s="2123">
        <f t="shared" si="280"/>
        <v>30100</v>
      </c>
      <c r="ES163" s="2123">
        <f t="shared" si="280"/>
        <v>30100</v>
      </c>
      <c r="ET163" s="2123"/>
      <c r="EU163" s="2123"/>
      <c r="EV163" s="2123"/>
      <c r="EW163" s="2123"/>
      <c r="EX163" s="2123"/>
      <c r="EY163" s="2123"/>
      <c r="EZ163" s="2123" t="e">
        <f t="shared" si="280"/>
        <v>#REF!</v>
      </c>
      <c r="FA163" s="2123" t="e">
        <f t="shared" si="280"/>
        <v>#REF!</v>
      </c>
      <c r="FB163" s="2123"/>
      <c r="FC163" s="2123"/>
      <c r="FD163" s="2123"/>
      <c r="FE163" s="2124"/>
      <c r="FF163" s="2082"/>
      <c r="FG163" s="2082"/>
      <c r="FH163" s="2082"/>
      <c r="FI163" s="2082"/>
      <c r="FJ163" s="2082"/>
    </row>
    <row r="164" spans="1:241" s="1565" customFormat="1" ht="18" hidden="1" customHeight="1" outlineLevel="2">
      <c r="A164" s="1549">
        <v>161</v>
      </c>
      <c r="B164" s="1585" t="s">
        <v>19</v>
      </c>
      <c r="C164" s="1586" t="s">
        <v>1993</v>
      </c>
      <c r="D164" s="1586" t="s">
        <v>1807</v>
      </c>
      <c r="E164" s="1586"/>
      <c r="F164" s="1588" t="s">
        <v>197</v>
      </c>
      <c r="G164" s="1588" t="s">
        <v>1982</v>
      </c>
      <c r="H164" s="2123"/>
      <c r="I164" s="2123"/>
      <c r="J164" s="2123"/>
      <c r="K164" s="2123"/>
      <c r="L164" s="2123"/>
      <c r="M164" s="2123"/>
      <c r="N164" s="2123"/>
      <c r="O164" s="2123"/>
      <c r="P164" s="2123"/>
      <c r="Q164" s="2123">
        <f t="shared" ref="Q164:AV164" si="281">Q158</f>
        <v>43150</v>
      </c>
      <c r="R164" s="2123">
        <f t="shared" si="281"/>
        <v>43150</v>
      </c>
      <c r="S164" s="2123">
        <f t="shared" si="281"/>
        <v>43150</v>
      </c>
      <c r="T164" s="2123">
        <f t="shared" si="281"/>
        <v>47350</v>
      </c>
      <c r="U164" s="2123">
        <f t="shared" si="281"/>
        <v>47350</v>
      </c>
      <c r="V164" s="2123" t="e">
        <f t="shared" si="281"/>
        <v>#REF!</v>
      </c>
      <c r="W164" s="2123">
        <f t="shared" si="281"/>
        <v>53950</v>
      </c>
      <c r="X164" s="2123">
        <f t="shared" si="281"/>
        <v>53950</v>
      </c>
      <c r="Y164" s="2123">
        <f t="shared" si="281"/>
        <v>53950</v>
      </c>
      <c r="Z164" s="2123">
        <f t="shared" si="281"/>
        <v>31900</v>
      </c>
      <c r="AA164" s="2123">
        <f t="shared" si="281"/>
        <v>32650</v>
      </c>
      <c r="AB164" s="2123">
        <f t="shared" si="281"/>
        <v>32350</v>
      </c>
      <c r="AC164" s="2123">
        <f t="shared" si="281"/>
        <v>32350</v>
      </c>
      <c r="AD164" s="2123">
        <f t="shared" si="281"/>
        <v>32650</v>
      </c>
      <c r="AE164" s="2123">
        <f t="shared" si="281"/>
        <v>32950</v>
      </c>
      <c r="AF164" s="2123" t="e">
        <f t="shared" si="281"/>
        <v>#REF!</v>
      </c>
      <c r="AG164" s="2123">
        <f t="shared" si="281"/>
        <v>34900</v>
      </c>
      <c r="AH164" s="2123">
        <f t="shared" si="281"/>
        <v>36600</v>
      </c>
      <c r="AI164" s="2123">
        <f t="shared" si="281"/>
        <v>59300</v>
      </c>
      <c r="AJ164" s="2123">
        <f t="shared" si="281"/>
        <v>59300</v>
      </c>
      <c r="AK164" s="2123" t="e">
        <f t="shared" si="281"/>
        <v>#REF!</v>
      </c>
      <c r="AL164" s="2123" t="e">
        <f t="shared" si="281"/>
        <v>#REF!</v>
      </c>
      <c r="AM164" s="2123" t="e">
        <f t="shared" si="281"/>
        <v>#REF!</v>
      </c>
      <c r="AN164" s="2123" t="e">
        <f t="shared" si="281"/>
        <v>#REF!</v>
      </c>
      <c r="AO164" s="2123" t="e">
        <f t="shared" si="281"/>
        <v>#REF!</v>
      </c>
      <c r="AP164" s="2123" t="e">
        <f t="shared" si="281"/>
        <v>#REF!</v>
      </c>
      <c r="AQ164" s="2123" t="e">
        <f t="shared" si="281"/>
        <v>#REF!</v>
      </c>
      <c r="AR164" s="2123" t="e">
        <f t="shared" si="281"/>
        <v>#REF!</v>
      </c>
      <c r="AS164" s="2123" t="e">
        <f t="shared" si="281"/>
        <v>#REF!</v>
      </c>
      <c r="AT164" s="2123">
        <f t="shared" si="281"/>
        <v>59300</v>
      </c>
      <c r="AU164" s="2123">
        <f t="shared" si="281"/>
        <v>33700</v>
      </c>
      <c r="AV164" s="2123">
        <f t="shared" si="281"/>
        <v>33700</v>
      </c>
      <c r="AW164" s="2123">
        <f t="shared" ref="AW164:CB164" si="282">AW158</f>
        <v>33700</v>
      </c>
      <c r="AX164" s="2123">
        <f t="shared" si="282"/>
        <v>33700</v>
      </c>
      <c r="AY164" s="2123" t="e">
        <f t="shared" si="282"/>
        <v>#REF!</v>
      </c>
      <c r="AZ164" s="2123" t="e">
        <f t="shared" si="282"/>
        <v>#REF!</v>
      </c>
      <c r="BA164" s="2123">
        <f t="shared" si="282"/>
        <v>38450</v>
      </c>
      <c r="BB164" s="2123">
        <f t="shared" si="282"/>
        <v>38450</v>
      </c>
      <c r="BC164" s="2123" t="e">
        <f t="shared" si="282"/>
        <v>#REF!</v>
      </c>
      <c r="BD164" s="2123">
        <f t="shared" si="282"/>
        <v>38450</v>
      </c>
      <c r="BE164" s="2123">
        <f t="shared" si="282"/>
        <v>38450</v>
      </c>
      <c r="BF164" s="2123">
        <f t="shared" si="282"/>
        <v>38450</v>
      </c>
      <c r="BG164" s="2123">
        <f t="shared" si="282"/>
        <v>38450</v>
      </c>
      <c r="BH164" s="2123">
        <f t="shared" si="282"/>
        <v>38450</v>
      </c>
      <c r="BI164" s="2123">
        <f t="shared" si="282"/>
        <v>27100</v>
      </c>
      <c r="BJ164" s="2123">
        <f t="shared" si="282"/>
        <v>27100</v>
      </c>
      <c r="BK164" s="2123" t="e">
        <f t="shared" si="282"/>
        <v>#REF!</v>
      </c>
      <c r="BL164" s="2123">
        <f t="shared" si="282"/>
        <v>27100</v>
      </c>
      <c r="BM164" s="2123">
        <f t="shared" si="282"/>
        <v>27100</v>
      </c>
      <c r="BN164" s="2123">
        <f t="shared" si="282"/>
        <v>27100</v>
      </c>
      <c r="BO164" s="2123">
        <f t="shared" si="282"/>
        <v>27100</v>
      </c>
      <c r="BP164" s="2123">
        <f t="shared" si="282"/>
        <v>27100</v>
      </c>
      <c r="BQ164" s="2123">
        <f t="shared" si="282"/>
        <v>23750</v>
      </c>
      <c r="BR164" s="2123">
        <f t="shared" si="282"/>
        <v>23750</v>
      </c>
      <c r="BS164" s="2123">
        <f t="shared" si="282"/>
        <v>23750</v>
      </c>
      <c r="BT164" s="2123">
        <f t="shared" si="282"/>
        <v>23750</v>
      </c>
      <c r="BU164" s="2123">
        <f t="shared" si="282"/>
        <v>23750</v>
      </c>
      <c r="BV164" s="2123">
        <f t="shared" si="282"/>
        <v>23750</v>
      </c>
      <c r="BW164" s="2123">
        <f t="shared" si="282"/>
        <v>23750</v>
      </c>
      <c r="BX164" s="2123" t="e">
        <f t="shared" si="282"/>
        <v>#REF!</v>
      </c>
      <c r="BY164" s="2123" t="e">
        <f t="shared" si="282"/>
        <v>#REF!</v>
      </c>
      <c r="BZ164" s="2123" t="e">
        <f t="shared" si="282"/>
        <v>#REF!</v>
      </c>
      <c r="CA164" s="2123">
        <f t="shared" si="282"/>
        <v>23750</v>
      </c>
      <c r="CB164" s="2123">
        <f t="shared" si="282"/>
        <v>23750</v>
      </c>
      <c r="CC164" s="2123">
        <f t="shared" ref="CC164:CI164" si="283">CC158</f>
        <v>23750</v>
      </c>
      <c r="CD164" s="2123">
        <f t="shared" si="283"/>
        <v>23750</v>
      </c>
      <c r="CE164" s="2123" t="e">
        <f t="shared" si="283"/>
        <v>#REF!</v>
      </c>
      <c r="CF164" s="2123" t="e">
        <f t="shared" si="283"/>
        <v>#REF!</v>
      </c>
      <c r="CG164" s="2123" t="e">
        <f t="shared" si="283"/>
        <v>#REF!</v>
      </c>
      <c r="CH164" s="2123" t="e">
        <f t="shared" si="283"/>
        <v>#REF!</v>
      </c>
      <c r="CI164" s="2123" t="e">
        <f t="shared" si="283"/>
        <v>#REF!</v>
      </c>
      <c r="CJ164" s="2123"/>
      <c r="CK164" s="2123"/>
      <c r="CL164" s="2123"/>
      <c r="CM164" s="2123"/>
      <c r="CN164" s="2123"/>
      <c r="CO164" s="2123"/>
      <c r="CP164" s="2123"/>
      <c r="CQ164" s="2123"/>
      <c r="CR164" s="2123"/>
      <c r="CS164" s="2123"/>
      <c r="CT164" s="2123"/>
      <c r="CU164" s="2123"/>
      <c r="CV164" s="2123"/>
      <c r="CW164" s="2123"/>
      <c r="CX164" s="2123"/>
      <c r="CY164" s="2123"/>
      <c r="CZ164" s="2123"/>
      <c r="DA164" s="2123"/>
      <c r="DB164" s="2123">
        <f>DB158</f>
        <v>26050</v>
      </c>
      <c r="DC164" s="2123"/>
      <c r="DD164" s="2123"/>
      <c r="DE164" s="2123"/>
      <c r="DF164" s="2123" t="e">
        <f>DF158</f>
        <v>#REF!</v>
      </c>
      <c r="DG164" s="2123"/>
      <c r="DH164" s="2123">
        <f t="shared" ref="DH164:EI164" si="284">DH158</f>
        <v>21100</v>
      </c>
      <c r="DI164" s="2123" t="e">
        <f t="shared" si="284"/>
        <v>#REF!</v>
      </c>
      <c r="DJ164" s="2123" t="e">
        <f t="shared" si="284"/>
        <v>#REF!</v>
      </c>
      <c r="DK164" s="2123" t="e">
        <f t="shared" si="284"/>
        <v>#REF!</v>
      </c>
      <c r="DL164" s="2123">
        <f t="shared" si="284"/>
        <v>25950</v>
      </c>
      <c r="DM164" s="2123">
        <f t="shared" si="284"/>
        <v>26600</v>
      </c>
      <c r="DN164" s="2123">
        <f t="shared" si="284"/>
        <v>25950</v>
      </c>
      <c r="DO164" s="2123">
        <f t="shared" si="284"/>
        <v>26600</v>
      </c>
      <c r="DP164" s="2123">
        <f t="shared" si="284"/>
        <v>44000</v>
      </c>
      <c r="DQ164" s="2123" t="e">
        <f t="shared" si="284"/>
        <v>#REF!</v>
      </c>
      <c r="DR164" s="2123" t="e">
        <f t="shared" si="284"/>
        <v>#REF!</v>
      </c>
      <c r="DS164" s="2123">
        <f t="shared" si="284"/>
        <v>25950</v>
      </c>
      <c r="DT164" s="2123" t="e">
        <f t="shared" si="284"/>
        <v>#REF!</v>
      </c>
      <c r="DU164" s="2123">
        <f t="shared" si="284"/>
        <v>21750</v>
      </c>
      <c r="DV164" s="2123">
        <f t="shared" si="284"/>
        <v>21750</v>
      </c>
      <c r="DW164" s="2123">
        <f t="shared" si="284"/>
        <v>21750</v>
      </c>
      <c r="DX164" s="2123">
        <f t="shared" si="284"/>
        <v>21750</v>
      </c>
      <c r="DY164" s="2123">
        <f t="shared" si="284"/>
        <v>21750</v>
      </c>
      <c r="DZ164" s="2123">
        <f t="shared" si="284"/>
        <v>21750</v>
      </c>
      <c r="EA164" s="2123">
        <f t="shared" si="284"/>
        <v>21750</v>
      </c>
      <c r="EB164" s="2123">
        <f t="shared" si="284"/>
        <v>21750</v>
      </c>
      <c r="EC164" s="2123">
        <f t="shared" si="284"/>
        <v>25300</v>
      </c>
      <c r="ED164" s="2123">
        <f t="shared" si="284"/>
        <v>25300</v>
      </c>
      <c r="EE164" s="2123">
        <f t="shared" si="284"/>
        <v>25300</v>
      </c>
      <c r="EF164" s="2123">
        <f t="shared" si="284"/>
        <v>25300</v>
      </c>
      <c r="EG164" s="2123">
        <f t="shared" si="284"/>
        <v>25300</v>
      </c>
      <c r="EH164" s="2123">
        <f t="shared" si="284"/>
        <v>25300</v>
      </c>
      <c r="EI164" s="2123">
        <f t="shared" si="284"/>
        <v>25300</v>
      </c>
      <c r="EJ164" s="2123"/>
      <c r="EK164" s="2123"/>
      <c r="EL164" s="2123"/>
      <c r="EM164" s="2123"/>
      <c r="EN164" s="2123"/>
      <c r="EO164" s="2123"/>
      <c r="EP164" s="2123">
        <f>EP158</f>
        <v>30100</v>
      </c>
      <c r="EQ164" s="2123">
        <f>EQ158</f>
        <v>30100</v>
      </c>
      <c r="ER164" s="2123">
        <f>ER158</f>
        <v>30100</v>
      </c>
      <c r="ES164" s="2123">
        <f>ES158</f>
        <v>30100</v>
      </c>
      <c r="ET164" s="2123"/>
      <c r="EU164" s="2123"/>
      <c r="EV164" s="2123"/>
      <c r="EW164" s="2123"/>
      <c r="EX164" s="2123"/>
      <c r="EY164" s="2123"/>
      <c r="EZ164" s="2123" t="e">
        <f>EZ158</f>
        <v>#REF!</v>
      </c>
      <c r="FA164" s="2123" t="e">
        <f>FA158</f>
        <v>#REF!</v>
      </c>
      <c r="FB164" s="2123"/>
      <c r="FC164" s="2123"/>
      <c r="FD164" s="2123"/>
      <c r="FE164" s="2124"/>
      <c r="FF164" s="2082"/>
      <c r="FG164" s="2082"/>
      <c r="FH164" s="2082"/>
      <c r="FI164" s="2082"/>
      <c r="FJ164" s="2082"/>
    </row>
    <row r="165" spans="1:241" s="1565" customFormat="1" ht="18" hidden="1" customHeight="1" outlineLevel="2">
      <c r="A165" s="1552">
        <v>162</v>
      </c>
      <c r="B165" s="1585" t="s">
        <v>19</v>
      </c>
      <c r="C165" s="1586" t="s">
        <v>1993</v>
      </c>
      <c r="D165" s="1586" t="s">
        <v>1807</v>
      </c>
      <c r="E165" s="1586"/>
      <c r="F165" s="1588" t="s">
        <v>1812</v>
      </c>
      <c r="G165" s="1588" t="s">
        <v>1983</v>
      </c>
      <c r="H165" s="2123"/>
      <c r="I165" s="2123"/>
      <c r="J165" s="2123"/>
      <c r="K165" s="2123"/>
      <c r="L165" s="2123"/>
      <c r="M165" s="2123"/>
      <c r="N165" s="2123"/>
      <c r="O165" s="2123"/>
      <c r="P165" s="2123"/>
      <c r="Q165" s="2123">
        <f t="shared" ref="Q165:AV165" si="285">Q158</f>
        <v>43150</v>
      </c>
      <c r="R165" s="2123">
        <f t="shared" si="285"/>
        <v>43150</v>
      </c>
      <c r="S165" s="2123">
        <f t="shared" si="285"/>
        <v>43150</v>
      </c>
      <c r="T165" s="2123">
        <f t="shared" si="285"/>
        <v>47350</v>
      </c>
      <c r="U165" s="2123">
        <f t="shared" si="285"/>
        <v>47350</v>
      </c>
      <c r="V165" s="2123" t="e">
        <f t="shared" si="285"/>
        <v>#REF!</v>
      </c>
      <c r="W165" s="2123">
        <f t="shared" si="285"/>
        <v>53950</v>
      </c>
      <c r="X165" s="2123">
        <f t="shared" si="285"/>
        <v>53950</v>
      </c>
      <c r="Y165" s="2123">
        <f t="shared" si="285"/>
        <v>53950</v>
      </c>
      <c r="Z165" s="2123">
        <f t="shared" si="285"/>
        <v>31900</v>
      </c>
      <c r="AA165" s="2123">
        <f t="shared" si="285"/>
        <v>32650</v>
      </c>
      <c r="AB165" s="2123">
        <f t="shared" si="285"/>
        <v>32350</v>
      </c>
      <c r="AC165" s="2123">
        <f t="shared" si="285"/>
        <v>32350</v>
      </c>
      <c r="AD165" s="2123">
        <f t="shared" si="285"/>
        <v>32650</v>
      </c>
      <c r="AE165" s="2123">
        <f t="shared" si="285"/>
        <v>32950</v>
      </c>
      <c r="AF165" s="2123" t="e">
        <f t="shared" si="285"/>
        <v>#REF!</v>
      </c>
      <c r="AG165" s="2123">
        <f t="shared" si="285"/>
        <v>34900</v>
      </c>
      <c r="AH165" s="2123">
        <f t="shared" si="285"/>
        <v>36600</v>
      </c>
      <c r="AI165" s="2123">
        <f t="shared" si="285"/>
        <v>59300</v>
      </c>
      <c r="AJ165" s="2123">
        <f t="shared" si="285"/>
        <v>59300</v>
      </c>
      <c r="AK165" s="2123" t="e">
        <f t="shared" si="285"/>
        <v>#REF!</v>
      </c>
      <c r="AL165" s="2123" t="e">
        <f t="shared" si="285"/>
        <v>#REF!</v>
      </c>
      <c r="AM165" s="2123" t="e">
        <f t="shared" si="285"/>
        <v>#REF!</v>
      </c>
      <c r="AN165" s="2123" t="e">
        <f t="shared" si="285"/>
        <v>#REF!</v>
      </c>
      <c r="AO165" s="2123" t="e">
        <f t="shared" si="285"/>
        <v>#REF!</v>
      </c>
      <c r="AP165" s="2123" t="e">
        <f t="shared" si="285"/>
        <v>#REF!</v>
      </c>
      <c r="AQ165" s="2123" t="e">
        <f t="shared" si="285"/>
        <v>#REF!</v>
      </c>
      <c r="AR165" s="2123" t="e">
        <f t="shared" si="285"/>
        <v>#REF!</v>
      </c>
      <c r="AS165" s="2123" t="e">
        <f t="shared" si="285"/>
        <v>#REF!</v>
      </c>
      <c r="AT165" s="2123">
        <f t="shared" si="285"/>
        <v>59300</v>
      </c>
      <c r="AU165" s="2123">
        <f t="shared" si="285"/>
        <v>33700</v>
      </c>
      <c r="AV165" s="2123">
        <f t="shared" si="285"/>
        <v>33700</v>
      </c>
      <c r="AW165" s="2123">
        <f t="shared" ref="AW165:CB165" si="286">AW158</f>
        <v>33700</v>
      </c>
      <c r="AX165" s="2123">
        <f t="shared" si="286"/>
        <v>33700</v>
      </c>
      <c r="AY165" s="2123" t="e">
        <f t="shared" si="286"/>
        <v>#REF!</v>
      </c>
      <c r="AZ165" s="2123" t="e">
        <f t="shared" si="286"/>
        <v>#REF!</v>
      </c>
      <c r="BA165" s="2123">
        <f t="shared" si="286"/>
        <v>38450</v>
      </c>
      <c r="BB165" s="2123">
        <f t="shared" si="286"/>
        <v>38450</v>
      </c>
      <c r="BC165" s="2123" t="e">
        <f t="shared" si="286"/>
        <v>#REF!</v>
      </c>
      <c r="BD165" s="2123">
        <f t="shared" si="286"/>
        <v>38450</v>
      </c>
      <c r="BE165" s="2123">
        <f t="shared" si="286"/>
        <v>38450</v>
      </c>
      <c r="BF165" s="2123">
        <f t="shared" si="286"/>
        <v>38450</v>
      </c>
      <c r="BG165" s="2123">
        <f t="shared" si="286"/>
        <v>38450</v>
      </c>
      <c r="BH165" s="2123">
        <f t="shared" si="286"/>
        <v>38450</v>
      </c>
      <c r="BI165" s="2123">
        <f t="shared" si="286"/>
        <v>27100</v>
      </c>
      <c r="BJ165" s="2123">
        <f t="shared" si="286"/>
        <v>27100</v>
      </c>
      <c r="BK165" s="2123" t="e">
        <f t="shared" si="286"/>
        <v>#REF!</v>
      </c>
      <c r="BL165" s="2123">
        <f t="shared" si="286"/>
        <v>27100</v>
      </c>
      <c r="BM165" s="2123">
        <f t="shared" si="286"/>
        <v>27100</v>
      </c>
      <c r="BN165" s="2123">
        <f t="shared" si="286"/>
        <v>27100</v>
      </c>
      <c r="BO165" s="2123">
        <f t="shared" si="286"/>
        <v>27100</v>
      </c>
      <c r="BP165" s="2123">
        <f t="shared" si="286"/>
        <v>27100</v>
      </c>
      <c r="BQ165" s="2123">
        <f t="shared" si="286"/>
        <v>23750</v>
      </c>
      <c r="BR165" s="2123">
        <f t="shared" si="286"/>
        <v>23750</v>
      </c>
      <c r="BS165" s="2123">
        <f t="shared" si="286"/>
        <v>23750</v>
      </c>
      <c r="BT165" s="2123">
        <f t="shared" si="286"/>
        <v>23750</v>
      </c>
      <c r="BU165" s="2123">
        <f t="shared" si="286"/>
        <v>23750</v>
      </c>
      <c r="BV165" s="2123">
        <f t="shared" si="286"/>
        <v>23750</v>
      </c>
      <c r="BW165" s="2123">
        <f t="shared" si="286"/>
        <v>23750</v>
      </c>
      <c r="BX165" s="2123" t="e">
        <f t="shared" si="286"/>
        <v>#REF!</v>
      </c>
      <c r="BY165" s="2123" t="e">
        <f t="shared" si="286"/>
        <v>#REF!</v>
      </c>
      <c r="BZ165" s="2123" t="e">
        <f t="shared" si="286"/>
        <v>#REF!</v>
      </c>
      <c r="CA165" s="2123">
        <f t="shared" si="286"/>
        <v>23750</v>
      </c>
      <c r="CB165" s="2123">
        <f t="shared" si="286"/>
        <v>23750</v>
      </c>
      <c r="CC165" s="2123">
        <f t="shared" ref="CC165:CI165" si="287">CC158</f>
        <v>23750</v>
      </c>
      <c r="CD165" s="2123">
        <f t="shared" si="287"/>
        <v>23750</v>
      </c>
      <c r="CE165" s="2123" t="e">
        <f t="shared" si="287"/>
        <v>#REF!</v>
      </c>
      <c r="CF165" s="2123" t="e">
        <f t="shared" si="287"/>
        <v>#REF!</v>
      </c>
      <c r="CG165" s="2123" t="e">
        <f t="shared" si="287"/>
        <v>#REF!</v>
      </c>
      <c r="CH165" s="2123" t="e">
        <f t="shared" si="287"/>
        <v>#REF!</v>
      </c>
      <c r="CI165" s="2123" t="e">
        <f t="shared" si="287"/>
        <v>#REF!</v>
      </c>
      <c r="CJ165" s="2123"/>
      <c r="CK165" s="2123"/>
      <c r="CL165" s="2123"/>
      <c r="CM165" s="2123"/>
      <c r="CN165" s="2123"/>
      <c r="CO165" s="2123"/>
      <c r="CP165" s="2123"/>
      <c r="CQ165" s="2123"/>
      <c r="CR165" s="2123"/>
      <c r="CS165" s="2123"/>
      <c r="CT165" s="2123"/>
      <c r="CU165" s="2123"/>
      <c r="CV165" s="2123"/>
      <c r="CW165" s="2123"/>
      <c r="CX165" s="2123"/>
      <c r="CY165" s="2123"/>
      <c r="CZ165" s="2123"/>
      <c r="DA165" s="2123"/>
      <c r="DB165" s="2123">
        <f>DB158</f>
        <v>26050</v>
      </c>
      <c r="DC165" s="2123"/>
      <c r="DD165" s="2123"/>
      <c r="DE165" s="2123"/>
      <c r="DF165" s="2123" t="e">
        <f>DF158</f>
        <v>#REF!</v>
      </c>
      <c r="DG165" s="2123"/>
      <c r="DH165" s="2123">
        <f t="shared" ref="DH165:EI165" si="288">DH158</f>
        <v>21100</v>
      </c>
      <c r="DI165" s="2123" t="e">
        <f t="shared" si="288"/>
        <v>#REF!</v>
      </c>
      <c r="DJ165" s="2123" t="e">
        <f t="shared" si="288"/>
        <v>#REF!</v>
      </c>
      <c r="DK165" s="2123" t="e">
        <f t="shared" si="288"/>
        <v>#REF!</v>
      </c>
      <c r="DL165" s="2123">
        <f t="shared" si="288"/>
        <v>25950</v>
      </c>
      <c r="DM165" s="2123">
        <f t="shared" si="288"/>
        <v>26600</v>
      </c>
      <c r="DN165" s="2123">
        <f t="shared" si="288"/>
        <v>25950</v>
      </c>
      <c r="DO165" s="2123">
        <f t="shared" si="288"/>
        <v>26600</v>
      </c>
      <c r="DP165" s="2123">
        <f t="shared" si="288"/>
        <v>44000</v>
      </c>
      <c r="DQ165" s="2123" t="e">
        <f t="shared" si="288"/>
        <v>#REF!</v>
      </c>
      <c r="DR165" s="2123" t="e">
        <f t="shared" si="288"/>
        <v>#REF!</v>
      </c>
      <c r="DS165" s="2123">
        <f t="shared" si="288"/>
        <v>25950</v>
      </c>
      <c r="DT165" s="2123" t="e">
        <f t="shared" si="288"/>
        <v>#REF!</v>
      </c>
      <c r="DU165" s="2123">
        <f t="shared" si="288"/>
        <v>21750</v>
      </c>
      <c r="DV165" s="2123">
        <f t="shared" si="288"/>
        <v>21750</v>
      </c>
      <c r="DW165" s="2123">
        <f t="shared" si="288"/>
        <v>21750</v>
      </c>
      <c r="DX165" s="2123">
        <f t="shared" si="288"/>
        <v>21750</v>
      </c>
      <c r="DY165" s="2123">
        <f t="shared" si="288"/>
        <v>21750</v>
      </c>
      <c r="DZ165" s="2123">
        <f t="shared" si="288"/>
        <v>21750</v>
      </c>
      <c r="EA165" s="2123">
        <f t="shared" si="288"/>
        <v>21750</v>
      </c>
      <c r="EB165" s="2123">
        <f t="shared" si="288"/>
        <v>21750</v>
      </c>
      <c r="EC165" s="2123">
        <f t="shared" si="288"/>
        <v>25300</v>
      </c>
      <c r="ED165" s="2123">
        <f t="shared" si="288"/>
        <v>25300</v>
      </c>
      <c r="EE165" s="2123">
        <f t="shared" si="288"/>
        <v>25300</v>
      </c>
      <c r="EF165" s="2123">
        <f t="shared" si="288"/>
        <v>25300</v>
      </c>
      <c r="EG165" s="2123">
        <f t="shared" si="288"/>
        <v>25300</v>
      </c>
      <c r="EH165" s="2123">
        <f t="shared" si="288"/>
        <v>25300</v>
      </c>
      <c r="EI165" s="2123">
        <f t="shared" si="288"/>
        <v>25300</v>
      </c>
      <c r="EJ165" s="2123"/>
      <c r="EK165" s="2123"/>
      <c r="EL165" s="2123"/>
      <c r="EM165" s="2123"/>
      <c r="EN165" s="2123"/>
      <c r="EO165" s="2123"/>
      <c r="EP165" s="2123">
        <f>EP158</f>
        <v>30100</v>
      </c>
      <c r="EQ165" s="2123">
        <f>EQ158</f>
        <v>30100</v>
      </c>
      <c r="ER165" s="2123">
        <f>ER158</f>
        <v>30100</v>
      </c>
      <c r="ES165" s="2123">
        <f>ES158</f>
        <v>30100</v>
      </c>
      <c r="ET165" s="2123"/>
      <c r="EU165" s="2123"/>
      <c r="EV165" s="2123"/>
      <c r="EW165" s="2123"/>
      <c r="EX165" s="2123"/>
      <c r="EY165" s="2123"/>
      <c r="EZ165" s="2123" t="e">
        <f>EZ158</f>
        <v>#REF!</v>
      </c>
      <c r="FA165" s="2123" t="e">
        <f>FA158</f>
        <v>#REF!</v>
      </c>
      <c r="FB165" s="2123"/>
      <c r="FC165" s="2123"/>
      <c r="FD165" s="2123"/>
      <c r="FE165" s="2124"/>
      <c r="FF165" s="2082"/>
      <c r="FG165" s="2082"/>
      <c r="FH165" s="2082"/>
      <c r="FI165" s="2082"/>
      <c r="FJ165" s="2082"/>
    </row>
    <row r="166" spans="1:241" s="1565" customFormat="1" ht="18" hidden="1" customHeight="1" outlineLevel="2">
      <c r="A166" s="1549">
        <v>163</v>
      </c>
      <c r="B166" s="1585" t="s">
        <v>19</v>
      </c>
      <c r="C166" s="1586" t="s">
        <v>1993</v>
      </c>
      <c r="D166" s="1586" t="s">
        <v>1807</v>
      </c>
      <c r="E166" s="1586"/>
      <c r="F166" s="1588" t="s">
        <v>1813</v>
      </c>
      <c r="G166" s="1588" t="s">
        <v>1984</v>
      </c>
      <c r="H166" s="2123"/>
      <c r="I166" s="2123"/>
      <c r="J166" s="2123"/>
      <c r="K166" s="2123"/>
      <c r="L166" s="2123"/>
      <c r="M166" s="2123"/>
      <c r="N166" s="2123"/>
      <c r="O166" s="2123"/>
      <c r="P166" s="2123"/>
      <c r="Q166" s="2123">
        <f t="shared" ref="Q166:AV166" si="289">Q158</f>
        <v>43150</v>
      </c>
      <c r="R166" s="2123">
        <f t="shared" si="289"/>
        <v>43150</v>
      </c>
      <c r="S166" s="2123">
        <f t="shared" si="289"/>
        <v>43150</v>
      </c>
      <c r="T166" s="2123">
        <f t="shared" si="289"/>
        <v>47350</v>
      </c>
      <c r="U166" s="2123">
        <f t="shared" si="289"/>
        <v>47350</v>
      </c>
      <c r="V166" s="2123" t="e">
        <f t="shared" si="289"/>
        <v>#REF!</v>
      </c>
      <c r="W166" s="2123">
        <f t="shared" si="289"/>
        <v>53950</v>
      </c>
      <c r="X166" s="2123">
        <f t="shared" si="289"/>
        <v>53950</v>
      </c>
      <c r="Y166" s="2123">
        <f t="shared" si="289"/>
        <v>53950</v>
      </c>
      <c r="Z166" s="2123">
        <f t="shared" si="289"/>
        <v>31900</v>
      </c>
      <c r="AA166" s="2123">
        <f t="shared" si="289"/>
        <v>32650</v>
      </c>
      <c r="AB166" s="2123">
        <f t="shared" si="289"/>
        <v>32350</v>
      </c>
      <c r="AC166" s="2123">
        <f t="shared" si="289"/>
        <v>32350</v>
      </c>
      <c r="AD166" s="2123">
        <f t="shared" si="289"/>
        <v>32650</v>
      </c>
      <c r="AE166" s="2123">
        <f t="shared" si="289"/>
        <v>32950</v>
      </c>
      <c r="AF166" s="2123" t="e">
        <f t="shared" si="289"/>
        <v>#REF!</v>
      </c>
      <c r="AG166" s="2123">
        <f t="shared" si="289"/>
        <v>34900</v>
      </c>
      <c r="AH166" s="2123">
        <f t="shared" si="289"/>
        <v>36600</v>
      </c>
      <c r="AI166" s="2123">
        <f t="shared" si="289"/>
        <v>59300</v>
      </c>
      <c r="AJ166" s="2123">
        <f t="shared" si="289"/>
        <v>59300</v>
      </c>
      <c r="AK166" s="2123" t="e">
        <f t="shared" si="289"/>
        <v>#REF!</v>
      </c>
      <c r="AL166" s="2123" t="e">
        <f t="shared" si="289"/>
        <v>#REF!</v>
      </c>
      <c r="AM166" s="2123" t="e">
        <f t="shared" si="289"/>
        <v>#REF!</v>
      </c>
      <c r="AN166" s="2123" t="e">
        <f t="shared" si="289"/>
        <v>#REF!</v>
      </c>
      <c r="AO166" s="2123" t="e">
        <f t="shared" si="289"/>
        <v>#REF!</v>
      </c>
      <c r="AP166" s="2123" t="e">
        <f t="shared" si="289"/>
        <v>#REF!</v>
      </c>
      <c r="AQ166" s="2123" t="e">
        <f t="shared" si="289"/>
        <v>#REF!</v>
      </c>
      <c r="AR166" s="2123" t="e">
        <f t="shared" si="289"/>
        <v>#REF!</v>
      </c>
      <c r="AS166" s="2123" t="e">
        <f t="shared" si="289"/>
        <v>#REF!</v>
      </c>
      <c r="AT166" s="2123">
        <f t="shared" si="289"/>
        <v>59300</v>
      </c>
      <c r="AU166" s="2123">
        <f t="shared" si="289"/>
        <v>33700</v>
      </c>
      <c r="AV166" s="2123">
        <f t="shared" si="289"/>
        <v>33700</v>
      </c>
      <c r="AW166" s="2123">
        <f t="shared" ref="AW166:CB166" si="290">AW158</f>
        <v>33700</v>
      </c>
      <c r="AX166" s="2123">
        <f t="shared" si="290"/>
        <v>33700</v>
      </c>
      <c r="AY166" s="2123" t="e">
        <f t="shared" si="290"/>
        <v>#REF!</v>
      </c>
      <c r="AZ166" s="2123" t="e">
        <f t="shared" si="290"/>
        <v>#REF!</v>
      </c>
      <c r="BA166" s="2123">
        <f t="shared" si="290"/>
        <v>38450</v>
      </c>
      <c r="BB166" s="2123">
        <f t="shared" si="290"/>
        <v>38450</v>
      </c>
      <c r="BC166" s="2123" t="e">
        <f t="shared" si="290"/>
        <v>#REF!</v>
      </c>
      <c r="BD166" s="2123">
        <f t="shared" si="290"/>
        <v>38450</v>
      </c>
      <c r="BE166" s="2123">
        <f t="shared" si="290"/>
        <v>38450</v>
      </c>
      <c r="BF166" s="2123">
        <f t="shared" si="290"/>
        <v>38450</v>
      </c>
      <c r="BG166" s="2123">
        <f t="shared" si="290"/>
        <v>38450</v>
      </c>
      <c r="BH166" s="2123">
        <f t="shared" si="290"/>
        <v>38450</v>
      </c>
      <c r="BI166" s="2123">
        <f t="shared" si="290"/>
        <v>27100</v>
      </c>
      <c r="BJ166" s="2123">
        <f t="shared" si="290"/>
        <v>27100</v>
      </c>
      <c r="BK166" s="2123" t="e">
        <f t="shared" si="290"/>
        <v>#REF!</v>
      </c>
      <c r="BL166" s="2123">
        <f t="shared" si="290"/>
        <v>27100</v>
      </c>
      <c r="BM166" s="2123">
        <f t="shared" si="290"/>
        <v>27100</v>
      </c>
      <c r="BN166" s="2123">
        <f t="shared" si="290"/>
        <v>27100</v>
      </c>
      <c r="BO166" s="2123">
        <f t="shared" si="290"/>
        <v>27100</v>
      </c>
      <c r="BP166" s="2123">
        <f t="shared" si="290"/>
        <v>27100</v>
      </c>
      <c r="BQ166" s="2123">
        <f t="shared" si="290"/>
        <v>23750</v>
      </c>
      <c r="BR166" s="2123">
        <f t="shared" si="290"/>
        <v>23750</v>
      </c>
      <c r="BS166" s="2123">
        <f t="shared" si="290"/>
        <v>23750</v>
      </c>
      <c r="BT166" s="2123">
        <f t="shared" si="290"/>
        <v>23750</v>
      </c>
      <c r="BU166" s="2123">
        <f t="shared" si="290"/>
        <v>23750</v>
      </c>
      <c r="BV166" s="2123">
        <f t="shared" si="290"/>
        <v>23750</v>
      </c>
      <c r="BW166" s="2123">
        <f t="shared" si="290"/>
        <v>23750</v>
      </c>
      <c r="BX166" s="2123" t="e">
        <f t="shared" si="290"/>
        <v>#REF!</v>
      </c>
      <c r="BY166" s="2123" t="e">
        <f t="shared" si="290"/>
        <v>#REF!</v>
      </c>
      <c r="BZ166" s="2123" t="e">
        <f t="shared" si="290"/>
        <v>#REF!</v>
      </c>
      <c r="CA166" s="2123">
        <f t="shared" si="290"/>
        <v>23750</v>
      </c>
      <c r="CB166" s="2123">
        <f t="shared" si="290"/>
        <v>23750</v>
      </c>
      <c r="CC166" s="2123">
        <f t="shared" ref="CC166:CI166" si="291">CC158</f>
        <v>23750</v>
      </c>
      <c r="CD166" s="2123">
        <f t="shared" si="291"/>
        <v>23750</v>
      </c>
      <c r="CE166" s="2123" t="e">
        <f t="shared" si="291"/>
        <v>#REF!</v>
      </c>
      <c r="CF166" s="2123" t="e">
        <f t="shared" si="291"/>
        <v>#REF!</v>
      </c>
      <c r="CG166" s="2123" t="e">
        <f t="shared" si="291"/>
        <v>#REF!</v>
      </c>
      <c r="CH166" s="2123" t="e">
        <f t="shared" si="291"/>
        <v>#REF!</v>
      </c>
      <c r="CI166" s="2123" t="e">
        <f t="shared" si="291"/>
        <v>#REF!</v>
      </c>
      <c r="CJ166" s="2123"/>
      <c r="CK166" s="2123"/>
      <c r="CL166" s="2123"/>
      <c r="CM166" s="2123"/>
      <c r="CN166" s="2123"/>
      <c r="CO166" s="2123"/>
      <c r="CP166" s="2123"/>
      <c r="CQ166" s="2123"/>
      <c r="CR166" s="2123"/>
      <c r="CS166" s="2123"/>
      <c r="CT166" s="2123"/>
      <c r="CU166" s="2123"/>
      <c r="CV166" s="2123"/>
      <c r="CW166" s="2123"/>
      <c r="CX166" s="2123"/>
      <c r="CY166" s="2123"/>
      <c r="CZ166" s="2123"/>
      <c r="DA166" s="2123"/>
      <c r="DB166" s="2123">
        <f>DB158</f>
        <v>26050</v>
      </c>
      <c r="DC166" s="2123"/>
      <c r="DD166" s="2123"/>
      <c r="DE166" s="2123"/>
      <c r="DF166" s="2123" t="e">
        <f>DF158</f>
        <v>#REF!</v>
      </c>
      <c r="DG166" s="2123"/>
      <c r="DH166" s="2123">
        <f t="shared" ref="DH166:EI166" si="292">DH158</f>
        <v>21100</v>
      </c>
      <c r="DI166" s="2123" t="e">
        <f t="shared" si="292"/>
        <v>#REF!</v>
      </c>
      <c r="DJ166" s="2123" t="e">
        <f t="shared" si="292"/>
        <v>#REF!</v>
      </c>
      <c r="DK166" s="2123" t="e">
        <f t="shared" si="292"/>
        <v>#REF!</v>
      </c>
      <c r="DL166" s="2123">
        <f t="shared" si="292"/>
        <v>25950</v>
      </c>
      <c r="DM166" s="2123">
        <f t="shared" si="292"/>
        <v>26600</v>
      </c>
      <c r="DN166" s="2123">
        <f t="shared" si="292"/>
        <v>25950</v>
      </c>
      <c r="DO166" s="2123">
        <f t="shared" si="292"/>
        <v>26600</v>
      </c>
      <c r="DP166" s="2123">
        <f t="shared" si="292"/>
        <v>44000</v>
      </c>
      <c r="DQ166" s="2123" t="e">
        <f t="shared" si="292"/>
        <v>#REF!</v>
      </c>
      <c r="DR166" s="2123" t="e">
        <f t="shared" si="292"/>
        <v>#REF!</v>
      </c>
      <c r="DS166" s="2123">
        <f t="shared" si="292"/>
        <v>25950</v>
      </c>
      <c r="DT166" s="2123" t="e">
        <f t="shared" si="292"/>
        <v>#REF!</v>
      </c>
      <c r="DU166" s="2123">
        <f t="shared" si="292"/>
        <v>21750</v>
      </c>
      <c r="DV166" s="2123">
        <f t="shared" si="292"/>
        <v>21750</v>
      </c>
      <c r="DW166" s="2123">
        <f t="shared" si="292"/>
        <v>21750</v>
      </c>
      <c r="DX166" s="2123">
        <f t="shared" si="292"/>
        <v>21750</v>
      </c>
      <c r="DY166" s="2123">
        <f t="shared" si="292"/>
        <v>21750</v>
      </c>
      <c r="DZ166" s="2123">
        <f t="shared" si="292"/>
        <v>21750</v>
      </c>
      <c r="EA166" s="2123">
        <f t="shared" si="292"/>
        <v>21750</v>
      </c>
      <c r="EB166" s="2123">
        <f t="shared" si="292"/>
        <v>21750</v>
      </c>
      <c r="EC166" s="2123">
        <f t="shared" si="292"/>
        <v>25300</v>
      </c>
      <c r="ED166" s="2123">
        <f t="shared" si="292"/>
        <v>25300</v>
      </c>
      <c r="EE166" s="2123">
        <f t="shared" si="292"/>
        <v>25300</v>
      </c>
      <c r="EF166" s="2123">
        <f t="shared" si="292"/>
        <v>25300</v>
      </c>
      <c r="EG166" s="2123">
        <f t="shared" si="292"/>
        <v>25300</v>
      </c>
      <c r="EH166" s="2123">
        <f t="shared" si="292"/>
        <v>25300</v>
      </c>
      <c r="EI166" s="2123">
        <f t="shared" si="292"/>
        <v>25300</v>
      </c>
      <c r="EJ166" s="2123"/>
      <c r="EK166" s="2123"/>
      <c r="EL166" s="2123"/>
      <c r="EM166" s="2123"/>
      <c r="EN166" s="2123"/>
      <c r="EO166" s="2123"/>
      <c r="EP166" s="2123">
        <f>EP158</f>
        <v>30100</v>
      </c>
      <c r="EQ166" s="2123">
        <f>EQ158</f>
        <v>30100</v>
      </c>
      <c r="ER166" s="2123">
        <f>ER158</f>
        <v>30100</v>
      </c>
      <c r="ES166" s="2123">
        <f>ES158</f>
        <v>30100</v>
      </c>
      <c r="ET166" s="2123"/>
      <c r="EU166" s="2123"/>
      <c r="EV166" s="2123"/>
      <c r="EW166" s="2123"/>
      <c r="EX166" s="2123"/>
      <c r="EY166" s="2123"/>
      <c r="EZ166" s="2123" t="e">
        <f>EZ158</f>
        <v>#REF!</v>
      </c>
      <c r="FA166" s="2123" t="e">
        <f>FA158</f>
        <v>#REF!</v>
      </c>
      <c r="FB166" s="2123"/>
      <c r="FC166" s="2123"/>
      <c r="FD166" s="2123"/>
      <c r="FE166" s="2124"/>
      <c r="FF166" s="2082"/>
      <c r="FG166" s="2082"/>
      <c r="FH166" s="2082"/>
      <c r="FI166" s="2082"/>
      <c r="FJ166" s="2082"/>
    </row>
    <row r="167" spans="1:241" s="1565" customFormat="1" ht="18" hidden="1" customHeight="1" outlineLevel="2">
      <c r="A167" s="1552">
        <v>164</v>
      </c>
      <c r="B167" s="1585" t="s">
        <v>19</v>
      </c>
      <c r="C167" s="1586" t="s">
        <v>1993</v>
      </c>
      <c r="D167" s="1586" t="s">
        <v>1807</v>
      </c>
      <c r="E167" s="1586"/>
      <c r="F167" s="1588" t="s">
        <v>1814</v>
      </c>
      <c r="G167" s="1588" t="s">
        <v>1985</v>
      </c>
      <c r="H167" s="2123"/>
      <c r="I167" s="2123"/>
      <c r="J167" s="2123"/>
      <c r="K167" s="2123"/>
      <c r="L167" s="2123"/>
      <c r="M167" s="2123"/>
      <c r="N167" s="2123"/>
      <c r="O167" s="2123"/>
      <c r="P167" s="2123"/>
      <c r="Q167" s="2123">
        <f t="shared" ref="Q167:AV167" si="293">Q158</f>
        <v>43150</v>
      </c>
      <c r="R167" s="2123">
        <f t="shared" si="293"/>
        <v>43150</v>
      </c>
      <c r="S167" s="2123">
        <f t="shared" si="293"/>
        <v>43150</v>
      </c>
      <c r="T167" s="2123">
        <f t="shared" si="293"/>
        <v>47350</v>
      </c>
      <c r="U167" s="2123">
        <f t="shared" si="293"/>
        <v>47350</v>
      </c>
      <c r="V167" s="2123" t="e">
        <f t="shared" si="293"/>
        <v>#REF!</v>
      </c>
      <c r="W167" s="2123">
        <f t="shared" si="293"/>
        <v>53950</v>
      </c>
      <c r="X167" s="2123">
        <f t="shared" si="293"/>
        <v>53950</v>
      </c>
      <c r="Y167" s="2123">
        <f t="shared" si="293"/>
        <v>53950</v>
      </c>
      <c r="Z167" s="2123">
        <f t="shared" si="293"/>
        <v>31900</v>
      </c>
      <c r="AA167" s="2123">
        <f t="shared" si="293"/>
        <v>32650</v>
      </c>
      <c r="AB167" s="2123">
        <f t="shared" si="293"/>
        <v>32350</v>
      </c>
      <c r="AC167" s="2123">
        <f t="shared" si="293"/>
        <v>32350</v>
      </c>
      <c r="AD167" s="2123">
        <f t="shared" si="293"/>
        <v>32650</v>
      </c>
      <c r="AE167" s="2123">
        <f t="shared" si="293"/>
        <v>32950</v>
      </c>
      <c r="AF167" s="2123" t="e">
        <f t="shared" si="293"/>
        <v>#REF!</v>
      </c>
      <c r="AG167" s="2123">
        <f t="shared" si="293"/>
        <v>34900</v>
      </c>
      <c r="AH167" s="2123">
        <f t="shared" si="293"/>
        <v>36600</v>
      </c>
      <c r="AI167" s="2123">
        <f t="shared" si="293"/>
        <v>59300</v>
      </c>
      <c r="AJ167" s="2123">
        <f t="shared" si="293"/>
        <v>59300</v>
      </c>
      <c r="AK167" s="2123" t="e">
        <f t="shared" si="293"/>
        <v>#REF!</v>
      </c>
      <c r="AL167" s="2123" t="e">
        <f t="shared" si="293"/>
        <v>#REF!</v>
      </c>
      <c r="AM167" s="2123" t="e">
        <f t="shared" si="293"/>
        <v>#REF!</v>
      </c>
      <c r="AN167" s="2123" t="e">
        <f t="shared" si="293"/>
        <v>#REF!</v>
      </c>
      <c r="AO167" s="2123" t="e">
        <f t="shared" si="293"/>
        <v>#REF!</v>
      </c>
      <c r="AP167" s="2123" t="e">
        <f t="shared" si="293"/>
        <v>#REF!</v>
      </c>
      <c r="AQ167" s="2123" t="e">
        <f t="shared" si="293"/>
        <v>#REF!</v>
      </c>
      <c r="AR167" s="2123" t="e">
        <f t="shared" si="293"/>
        <v>#REF!</v>
      </c>
      <c r="AS167" s="2123" t="e">
        <f t="shared" si="293"/>
        <v>#REF!</v>
      </c>
      <c r="AT167" s="2123">
        <f t="shared" si="293"/>
        <v>59300</v>
      </c>
      <c r="AU167" s="2123">
        <f t="shared" si="293"/>
        <v>33700</v>
      </c>
      <c r="AV167" s="2123">
        <f t="shared" si="293"/>
        <v>33700</v>
      </c>
      <c r="AW167" s="2123">
        <f t="shared" ref="AW167:CB167" si="294">AW158</f>
        <v>33700</v>
      </c>
      <c r="AX167" s="2123">
        <f t="shared" si="294"/>
        <v>33700</v>
      </c>
      <c r="AY167" s="2123" t="e">
        <f t="shared" si="294"/>
        <v>#REF!</v>
      </c>
      <c r="AZ167" s="2123" t="e">
        <f t="shared" si="294"/>
        <v>#REF!</v>
      </c>
      <c r="BA167" s="2123">
        <f t="shared" si="294"/>
        <v>38450</v>
      </c>
      <c r="BB167" s="2123">
        <f t="shared" si="294"/>
        <v>38450</v>
      </c>
      <c r="BC167" s="2123" t="e">
        <f t="shared" si="294"/>
        <v>#REF!</v>
      </c>
      <c r="BD167" s="2123">
        <f t="shared" si="294"/>
        <v>38450</v>
      </c>
      <c r="BE167" s="2123">
        <f t="shared" si="294"/>
        <v>38450</v>
      </c>
      <c r="BF167" s="2123">
        <f t="shared" si="294"/>
        <v>38450</v>
      </c>
      <c r="BG167" s="2123">
        <f t="shared" si="294"/>
        <v>38450</v>
      </c>
      <c r="BH167" s="2123">
        <f t="shared" si="294"/>
        <v>38450</v>
      </c>
      <c r="BI167" s="2123">
        <f t="shared" si="294"/>
        <v>27100</v>
      </c>
      <c r="BJ167" s="2123">
        <f t="shared" si="294"/>
        <v>27100</v>
      </c>
      <c r="BK167" s="2123" t="e">
        <f t="shared" si="294"/>
        <v>#REF!</v>
      </c>
      <c r="BL167" s="2123">
        <f t="shared" si="294"/>
        <v>27100</v>
      </c>
      <c r="BM167" s="2123">
        <f t="shared" si="294"/>
        <v>27100</v>
      </c>
      <c r="BN167" s="2123">
        <f t="shared" si="294"/>
        <v>27100</v>
      </c>
      <c r="BO167" s="2123">
        <f t="shared" si="294"/>
        <v>27100</v>
      </c>
      <c r="BP167" s="2123">
        <f t="shared" si="294"/>
        <v>27100</v>
      </c>
      <c r="BQ167" s="2123">
        <f t="shared" si="294"/>
        <v>23750</v>
      </c>
      <c r="BR167" s="2123">
        <f t="shared" si="294"/>
        <v>23750</v>
      </c>
      <c r="BS167" s="2123">
        <f t="shared" si="294"/>
        <v>23750</v>
      </c>
      <c r="BT167" s="2123">
        <f t="shared" si="294"/>
        <v>23750</v>
      </c>
      <c r="BU167" s="2123">
        <f t="shared" si="294"/>
        <v>23750</v>
      </c>
      <c r="BV167" s="2123">
        <f t="shared" si="294"/>
        <v>23750</v>
      </c>
      <c r="BW167" s="2123">
        <f t="shared" si="294"/>
        <v>23750</v>
      </c>
      <c r="BX167" s="2123" t="e">
        <f t="shared" si="294"/>
        <v>#REF!</v>
      </c>
      <c r="BY167" s="2123" t="e">
        <f t="shared" si="294"/>
        <v>#REF!</v>
      </c>
      <c r="BZ167" s="2123" t="e">
        <f t="shared" si="294"/>
        <v>#REF!</v>
      </c>
      <c r="CA167" s="2123">
        <f t="shared" si="294"/>
        <v>23750</v>
      </c>
      <c r="CB167" s="2123">
        <f t="shared" si="294"/>
        <v>23750</v>
      </c>
      <c r="CC167" s="2123">
        <f t="shared" ref="CC167:CI167" si="295">CC158</f>
        <v>23750</v>
      </c>
      <c r="CD167" s="2123">
        <f t="shared" si="295"/>
        <v>23750</v>
      </c>
      <c r="CE167" s="2123" t="e">
        <f t="shared" si="295"/>
        <v>#REF!</v>
      </c>
      <c r="CF167" s="2123" t="e">
        <f t="shared" si="295"/>
        <v>#REF!</v>
      </c>
      <c r="CG167" s="2123" t="e">
        <f t="shared" si="295"/>
        <v>#REF!</v>
      </c>
      <c r="CH167" s="2123" t="e">
        <f t="shared" si="295"/>
        <v>#REF!</v>
      </c>
      <c r="CI167" s="2123" t="e">
        <f t="shared" si="295"/>
        <v>#REF!</v>
      </c>
      <c r="CJ167" s="2123"/>
      <c r="CK167" s="2123"/>
      <c r="CL167" s="2123"/>
      <c r="CM167" s="2123"/>
      <c r="CN167" s="2123"/>
      <c r="CO167" s="2123"/>
      <c r="CP167" s="2123"/>
      <c r="CQ167" s="2123"/>
      <c r="CR167" s="2123"/>
      <c r="CS167" s="2123"/>
      <c r="CT167" s="2123"/>
      <c r="CU167" s="2123"/>
      <c r="CV167" s="2123"/>
      <c r="CW167" s="2123"/>
      <c r="CX167" s="2123"/>
      <c r="CY167" s="2123"/>
      <c r="CZ167" s="2123"/>
      <c r="DA167" s="2123"/>
      <c r="DB167" s="2123">
        <f>DB158</f>
        <v>26050</v>
      </c>
      <c r="DC167" s="2123"/>
      <c r="DD167" s="2123"/>
      <c r="DE167" s="2123"/>
      <c r="DF167" s="2123" t="e">
        <f>DF158</f>
        <v>#REF!</v>
      </c>
      <c r="DG167" s="2123"/>
      <c r="DH167" s="2123">
        <f t="shared" ref="DH167:EI167" si="296">DH158</f>
        <v>21100</v>
      </c>
      <c r="DI167" s="2123" t="e">
        <f t="shared" si="296"/>
        <v>#REF!</v>
      </c>
      <c r="DJ167" s="2123" t="e">
        <f t="shared" si="296"/>
        <v>#REF!</v>
      </c>
      <c r="DK167" s="2123" t="e">
        <f t="shared" si="296"/>
        <v>#REF!</v>
      </c>
      <c r="DL167" s="2123">
        <f t="shared" si="296"/>
        <v>25950</v>
      </c>
      <c r="DM167" s="2123">
        <f t="shared" si="296"/>
        <v>26600</v>
      </c>
      <c r="DN167" s="2123">
        <f t="shared" si="296"/>
        <v>25950</v>
      </c>
      <c r="DO167" s="2123">
        <f t="shared" si="296"/>
        <v>26600</v>
      </c>
      <c r="DP167" s="2123">
        <f t="shared" si="296"/>
        <v>44000</v>
      </c>
      <c r="DQ167" s="2123" t="e">
        <f t="shared" si="296"/>
        <v>#REF!</v>
      </c>
      <c r="DR167" s="2123" t="e">
        <f t="shared" si="296"/>
        <v>#REF!</v>
      </c>
      <c r="DS167" s="2123">
        <f t="shared" si="296"/>
        <v>25950</v>
      </c>
      <c r="DT167" s="2123" t="e">
        <f t="shared" si="296"/>
        <v>#REF!</v>
      </c>
      <c r="DU167" s="2123">
        <f t="shared" si="296"/>
        <v>21750</v>
      </c>
      <c r="DV167" s="2123">
        <f t="shared" si="296"/>
        <v>21750</v>
      </c>
      <c r="DW167" s="2123">
        <f t="shared" si="296"/>
        <v>21750</v>
      </c>
      <c r="DX167" s="2123">
        <f t="shared" si="296"/>
        <v>21750</v>
      </c>
      <c r="DY167" s="2123">
        <f t="shared" si="296"/>
        <v>21750</v>
      </c>
      <c r="DZ167" s="2123">
        <f t="shared" si="296"/>
        <v>21750</v>
      </c>
      <c r="EA167" s="2123">
        <f t="shared" si="296"/>
        <v>21750</v>
      </c>
      <c r="EB167" s="2123">
        <f t="shared" si="296"/>
        <v>21750</v>
      </c>
      <c r="EC167" s="2123">
        <f t="shared" si="296"/>
        <v>25300</v>
      </c>
      <c r="ED167" s="2123">
        <f t="shared" si="296"/>
        <v>25300</v>
      </c>
      <c r="EE167" s="2123">
        <f t="shared" si="296"/>
        <v>25300</v>
      </c>
      <c r="EF167" s="2123">
        <f t="shared" si="296"/>
        <v>25300</v>
      </c>
      <c r="EG167" s="2123">
        <f t="shared" si="296"/>
        <v>25300</v>
      </c>
      <c r="EH167" s="2123">
        <f t="shared" si="296"/>
        <v>25300</v>
      </c>
      <c r="EI167" s="2123">
        <f t="shared" si="296"/>
        <v>25300</v>
      </c>
      <c r="EJ167" s="2123"/>
      <c r="EK167" s="2123"/>
      <c r="EL167" s="2123"/>
      <c r="EM167" s="2123"/>
      <c r="EN167" s="2123"/>
      <c r="EO167" s="2123"/>
      <c r="EP167" s="2123">
        <f>EP158</f>
        <v>30100</v>
      </c>
      <c r="EQ167" s="2123">
        <f>EQ158</f>
        <v>30100</v>
      </c>
      <c r="ER167" s="2123">
        <f>ER158</f>
        <v>30100</v>
      </c>
      <c r="ES167" s="2123">
        <f>ES158</f>
        <v>30100</v>
      </c>
      <c r="ET167" s="2123"/>
      <c r="EU167" s="2123"/>
      <c r="EV167" s="2123"/>
      <c r="EW167" s="2123"/>
      <c r="EX167" s="2123"/>
      <c r="EY167" s="2123"/>
      <c r="EZ167" s="2123" t="e">
        <f>EZ158</f>
        <v>#REF!</v>
      </c>
      <c r="FA167" s="2123" t="e">
        <f>FA158</f>
        <v>#REF!</v>
      </c>
      <c r="FB167" s="2123"/>
      <c r="FC167" s="2123"/>
      <c r="FD167" s="2123"/>
      <c r="FE167" s="2124"/>
      <c r="FF167" s="2082"/>
      <c r="FG167" s="2082"/>
      <c r="FH167" s="2082"/>
      <c r="FI167" s="2082"/>
      <c r="FJ167" s="2082"/>
    </row>
    <row r="168" spans="1:241" s="1565" customFormat="1" ht="18" hidden="1" customHeight="1" outlineLevel="2">
      <c r="A168" s="1549">
        <v>165</v>
      </c>
      <c r="B168" s="1585" t="s">
        <v>19</v>
      </c>
      <c r="C168" s="1586" t="s">
        <v>1993</v>
      </c>
      <c r="D168" s="1586" t="s">
        <v>1807</v>
      </c>
      <c r="E168" s="1586"/>
      <c r="F168" s="1588" t="s">
        <v>1815</v>
      </c>
      <c r="G168" s="1588"/>
      <c r="H168" s="2123"/>
      <c r="I168" s="2123"/>
      <c r="J168" s="2123"/>
      <c r="K168" s="2123"/>
      <c r="L168" s="2123"/>
      <c r="M168" s="2123"/>
      <c r="N168" s="2123"/>
      <c r="O168" s="2123"/>
      <c r="P168" s="2123"/>
      <c r="Q168" s="2123">
        <f t="shared" ref="Q168:AV168" si="297">Q158</f>
        <v>43150</v>
      </c>
      <c r="R168" s="2123">
        <f t="shared" si="297"/>
        <v>43150</v>
      </c>
      <c r="S168" s="2123">
        <f t="shared" si="297"/>
        <v>43150</v>
      </c>
      <c r="T168" s="2123">
        <f t="shared" si="297"/>
        <v>47350</v>
      </c>
      <c r="U168" s="2123">
        <f t="shared" si="297"/>
        <v>47350</v>
      </c>
      <c r="V168" s="2123" t="e">
        <f t="shared" si="297"/>
        <v>#REF!</v>
      </c>
      <c r="W168" s="2123">
        <f t="shared" si="297"/>
        <v>53950</v>
      </c>
      <c r="X168" s="2123">
        <f t="shared" si="297"/>
        <v>53950</v>
      </c>
      <c r="Y168" s="2123">
        <f t="shared" si="297"/>
        <v>53950</v>
      </c>
      <c r="Z168" s="2123">
        <f t="shared" si="297"/>
        <v>31900</v>
      </c>
      <c r="AA168" s="2123">
        <f t="shared" si="297"/>
        <v>32650</v>
      </c>
      <c r="AB168" s="2123">
        <f t="shared" si="297"/>
        <v>32350</v>
      </c>
      <c r="AC168" s="2123">
        <f t="shared" si="297"/>
        <v>32350</v>
      </c>
      <c r="AD168" s="2123">
        <f t="shared" si="297"/>
        <v>32650</v>
      </c>
      <c r="AE168" s="2123">
        <f t="shared" si="297"/>
        <v>32950</v>
      </c>
      <c r="AF168" s="2123" t="e">
        <f t="shared" si="297"/>
        <v>#REF!</v>
      </c>
      <c r="AG168" s="2123">
        <f t="shared" si="297"/>
        <v>34900</v>
      </c>
      <c r="AH168" s="2123">
        <f t="shared" si="297"/>
        <v>36600</v>
      </c>
      <c r="AI168" s="2123">
        <f t="shared" si="297"/>
        <v>59300</v>
      </c>
      <c r="AJ168" s="2123">
        <f t="shared" si="297"/>
        <v>59300</v>
      </c>
      <c r="AK168" s="2123" t="e">
        <f t="shared" si="297"/>
        <v>#REF!</v>
      </c>
      <c r="AL168" s="2123" t="e">
        <f t="shared" si="297"/>
        <v>#REF!</v>
      </c>
      <c r="AM168" s="2123" t="e">
        <f t="shared" si="297"/>
        <v>#REF!</v>
      </c>
      <c r="AN168" s="2123" t="e">
        <f t="shared" si="297"/>
        <v>#REF!</v>
      </c>
      <c r="AO168" s="2123" t="e">
        <f t="shared" si="297"/>
        <v>#REF!</v>
      </c>
      <c r="AP168" s="2123" t="e">
        <f t="shared" si="297"/>
        <v>#REF!</v>
      </c>
      <c r="AQ168" s="2123" t="e">
        <f t="shared" si="297"/>
        <v>#REF!</v>
      </c>
      <c r="AR168" s="2123" t="e">
        <f t="shared" si="297"/>
        <v>#REF!</v>
      </c>
      <c r="AS168" s="2123" t="e">
        <f t="shared" si="297"/>
        <v>#REF!</v>
      </c>
      <c r="AT168" s="2123">
        <f t="shared" si="297"/>
        <v>59300</v>
      </c>
      <c r="AU168" s="2123">
        <f t="shared" si="297"/>
        <v>33700</v>
      </c>
      <c r="AV168" s="2123">
        <f t="shared" si="297"/>
        <v>33700</v>
      </c>
      <c r="AW168" s="2123">
        <f t="shared" ref="AW168:CB168" si="298">AW158</f>
        <v>33700</v>
      </c>
      <c r="AX168" s="2123">
        <f t="shared" si="298"/>
        <v>33700</v>
      </c>
      <c r="AY168" s="2123" t="e">
        <f t="shared" si="298"/>
        <v>#REF!</v>
      </c>
      <c r="AZ168" s="2123" t="e">
        <f t="shared" si="298"/>
        <v>#REF!</v>
      </c>
      <c r="BA168" s="2123">
        <f t="shared" si="298"/>
        <v>38450</v>
      </c>
      <c r="BB168" s="2123">
        <f t="shared" si="298"/>
        <v>38450</v>
      </c>
      <c r="BC168" s="2123" t="e">
        <f t="shared" si="298"/>
        <v>#REF!</v>
      </c>
      <c r="BD168" s="2123">
        <f t="shared" si="298"/>
        <v>38450</v>
      </c>
      <c r="BE168" s="2123">
        <f t="shared" si="298"/>
        <v>38450</v>
      </c>
      <c r="BF168" s="2123">
        <f t="shared" si="298"/>
        <v>38450</v>
      </c>
      <c r="BG168" s="2123">
        <f t="shared" si="298"/>
        <v>38450</v>
      </c>
      <c r="BH168" s="2123">
        <f t="shared" si="298"/>
        <v>38450</v>
      </c>
      <c r="BI168" s="2123">
        <f t="shared" si="298"/>
        <v>27100</v>
      </c>
      <c r="BJ168" s="2123">
        <f t="shared" si="298"/>
        <v>27100</v>
      </c>
      <c r="BK168" s="2123" t="e">
        <f t="shared" si="298"/>
        <v>#REF!</v>
      </c>
      <c r="BL168" s="2123">
        <f t="shared" si="298"/>
        <v>27100</v>
      </c>
      <c r="BM168" s="2123">
        <f t="shared" si="298"/>
        <v>27100</v>
      </c>
      <c r="BN168" s="2123">
        <f t="shared" si="298"/>
        <v>27100</v>
      </c>
      <c r="BO168" s="2123">
        <f t="shared" si="298"/>
        <v>27100</v>
      </c>
      <c r="BP168" s="2123">
        <f t="shared" si="298"/>
        <v>27100</v>
      </c>
      <c r="BQ168" s="2123">
        <f t="shared" si="298"/>
        <v>23750</v>
      </c>
      <c r="BR168" s="2123">
        <f t="shared" si="298"/>
        <v>23750</v>
      </c>
      <c r="BS168" s="2123">
        <f t="shared" si="298"/>
        <v>23750</v>
      </c>
      <c r="BT168" s="2123">
        <f t="shared" si="298"/>
        <v>23750</v>
      </c>
      <c r="BU168" s="2123">
        <f t="shared" si="298"/>
        <v>23750</v>
      </c>
      <c r="BV168" s="2123">
        <f t="shared" si="298"/>
        <v>23750</v>
      </c>
      <c r="BW168" s="2123">
        <f t="shared" si="298"/>
        <v>23750</v>
      </c>
      <c r="BX168" s="2123" t="e">
        <f t="shared" si="298"/>
        <v>#REF!</v>
      </c>
      <c r="BY168" s="2123" t="e">
        <f t="shared" si="298"/>
        <v>#REF!</v>
      </c>
      <c r="BZ168" s="2123" t="e">
        <f t="shared" si="298"/>
        <v>#REF!</v>
      </c>
      <c r="CA168" s="2123">
        <f t="shared" si="298"/>
        <v>23750</v>
      </c>
      <c r="CB168" s="2123">
        <f t="shared" si="298"/>
        <v>23750</v>
      </c>
      <c r="CC168" s="2123">
        <f t="shared" ref="CC168:CI168" si="299">CC158</f>
        <v>23750</v>
      </c>
      <c r="CD168" s="2123">
        <f t="shared" si="299"/>
        <v>23750</v>
      </c>
      <c r="CE168" s="2123" t="e">
        <f t="shared" si="299"/>
        <v>#REF!</v>
      </c>
      <c r="CF168" s="2123" t="e">
        <f t="shared" si="299"/>
        <v>#REF!</v>
      </c>
      <c r="CG168" s="2123" t="e">
        <f t="shared" si="299"/>
        <v>#REF!</v>
      </c>
      <c r="CH168" s="2123" t="e">
        <f t="shared" si="299"/>
        <v>#REF!</v>
      </c>
      <c r="CI168" s="2123" t="e">
        <f t="shared" si="299"/>
        <v>#REF!</v>
      </c>
      <c r="CJ168" s="2123"/>
      <c r="CK168" s="2123"/>
      <c r="CL168" s="2123"/>
      <c r="CM168" s="2123"/>
      <c r="CN168" s="2123"/>
      <c r="CO168" s="2123"/>
      <c r="CP168" s="2123"/>
      <c r="CQ168" s="2123"/>
      <c r="CR168" s="2123"/>
      <c r="CS168" s="2123"/>
      <c r="CT168" s="2123"/>
      <c r="CU168" s="2123"/>
      <c r="CV168" s="2123"/>
      <c r="CW168" s="2123"/>
      <c r="CX168" s="2123"/>
      <c r="CY168" s="2123"/>
      <c r="CZ168" s="2123"/>
      <c r="DA168" s="2123"/>
      <c r="DB168" s="2123">
        <f>DB158</f>
        <v>26050</v>
      </c>
      <c r="DC168" s="2123"/>
      <c r="DD168" s="2123"/>
      <c r="DE168" s="2123"/>
      <c r="DF168" s="2123" t="e">
        <f>DF158</f>
        <v>#REF!</v>
      </c>
      <c r="DG168" s="2123"/>
      <c r="DH168" s="2123">
        <f t="shared" ref="DH168:EI168" si="300">DH158</f>
        <v>21100</v>
      </c>
      <c r="DI168" s="2123" t="e">
        <f t="shared" si="300"/>
        <v>#REF!</v>
      </c>
      <c r="DJ168" s="2123" t="e">
        <f t="shared" si="300"/>
        <v>#REF!</v>
      </c>
      <c r="DK168" s="2123" t="e">
        <f t="shared" si="300"/>
        <v>#REF!</v>
      </c>
      <c r="DL168" s="2123">
        <f t="shared" si="300"/>
        <v>25950</v>
      </c>
      <c r="DM168" s="2123">
        <f t="shared" si="300"/>
        <v>26600</v>
      </c>
      <c r="DN168" s="2123">
        <f t="shared" si="300"/>
        <v>25950</v>
      </c>
      <c r="DO168" s="2123">
        <f t="shared" si="300"/>
        <v>26600</v>
      </c>
      <c r="DP168" s="2123">
        <f t="shared" si="300"/>
        <v>44000</v>
      </c>
      <c r="DQ168" s="2123" t="e">
        <f t="shared" si="300"/>
        <v>#REF!</v>
      </c>
      <c r="DR168" s="2123" t="e">
        <f t="shared" si="300"/>
        <v>#REF!</v>
      </c>
      <c r="DS168" s="2123">
        <f t="shared" si="300"/>
        <v>25950</v>
      </c>
      <c r="DT168" s="2123" t="e">
        <f t="shared" si="300"/>
        <v>#REF!</v>
      </c>
      <c r="DU168" s="2123">
        <f t="shared" si="300"/>
        <v>21750</v>
      </c>
      <c r="DV168" s="2123">
        <f t="shared" si="300"/>
        <v>21750</v>
      </c>
      <c r="DW168" s="2123">
        <f t="shared" si="300"/>
        <v>21750</v>
      </c>
      <c r="DX168" s="2123">
        <f t="shared" si="300"/>
        <v>21750</v>
      </c>
      <c r="DY168" s="2123">
        <f t="shared" si="300"/>
        <v>21750</v>
      </c>
      <c r="DZ168" s="2123">
        <f t="shared" si="300"/>
        <v>21750</v>
      </c>
      <c r="EA168" s="2123">
        <f t="shared" si="300"/>
        <v>21750</v>
      </c>
      <c r="EB168" s="2123">
        <f t="shared" si="300"/>
        <v>21750</v>
      </c>
      <c r="EC168" s="2123">
        <f t="shared" si="300"/>
        <v>25300</v>
      </c>
      <c r="ED168" s="2123">
        <f t="shared" si="300"/>
        <v>25300</v>
      </c>
      <c r="EE168" s="2123">
        <f t="shared" si="300"/>
        <v>25300</v>
      </c>
      <c r="EF168" s="2123">
        <f t="shared" si="300"/>
        <v>25300</v>
      </c>
      <c r="EG168" s="2123">
        <f t="shared" si="300"/>
        <v>25300</v>
      </c>
      <c r="EH168" s="2123">
        <f t="shared" si="300"/>
        <v>25300</v>
      </c>
      <c r="EI168" s="2123">
        <f t="shared" si="300"/>
        <v>25300</v>
      </c>
      <c r="EJ168" s="2123"/>
      <c r="EK168" s="2123"/>
      <c r="EL168" s="2123"/>
      <c r="EM168" s="2123"/>
      <c r="EN168" s="2123"/>
      <c r="EO168" s="2123"/>
      <c r="EP168" s="2123">
        <f>EP158</f>
        <v>30100</v>
      </c>
      <c r="EQ168" s="2123">
        <f>EQ158</f>
        <v>30100</v>
      </c>
      <c r="ER168" s="2123">
        <f>ER158</f>
        <v>30100</v>
      </c>
      <c r="ES168" s="2123">
        <f>ES158</f>
        <v>30100</v>
      </c>
      <c r="ET168" s="2123"/>
      <c r="EU168" s="2123"/>
      <c r="EV168" s="2123"/>
      <c r="EW168" s="2123"/>
      <c r="EX168" s="2123"/>
      <c r="EY168" s="2123"/>
      <c r="EZ168" s="2123" t="e">
        <f>EZ158</f>
        <v>#REF!</v>
      </c>
      <c r="FA168" s="2123" t="e">
        <f>FA158</f>
        <v>#REF!</v>
      </c>
      <c r="FB168" s="2123"/>
      <c r="FC168" s="2123"/>
      <c r="FD168" s="2123"/>
      <c r="FE168" s="2124"/>
      <c r="FF168" s="2082"/>
      <c r="FG168" s="2082"/>
      <c r="FH168" s="2082"/>
      <c r="FI168" s="2082"/>
      <c r="FJ168" s="2082"/>
    </row>
    <row r="169" spans="1:241" s="1565" customFormat="1" ht="18" hidden="1" customHeight="1" outlineLevel="2">
      <c r="A169" s="1552">
        <v>166</v>
      </c>
      <c r="B169" s="1585" t="s">
        <v>19</v>
      </c>
      <c r="C169" s="1586" t="s">
        <v>1993</v>
      </c>
      <c r="D169" s="1586" t="s">
        <v>1807</v>
      </c>
      <c r="E169" s="1586"/>
      <c r="F169" s="1588" t="s">
        <v>1816</v>
      </c>
      <c r="G169" s="1588" t="s">
        <v>1995</v>
      </c>
      <c r="H169" s="2123"/>
      <c r="I169" s="2123"/>
      <c r="J169" s="2123"/>
      <c r="K169" s="2123"/>
      <c r="L169" s="2123"/>
      <c r="M169" s="2123"/>
      <c r="N169" s="2123"/>
      <c r="O169" s="2123"/>
      <c r="P169" s="2123"/>
      <c r="Q169" s="2123">
        <f t="shared" ref="Q169:AV169" si="301">CEILING(Q158*1.2, 5)</f>
        <v>51780</v>
      </c>
      <c r="R169" s="2123">
        <f t="shared" si="301"/>
        <v>51780</v>
      </c>
      <c r="S169" s="2123">
        <f t="shared" si="301"/>
        <v>51780</v>
      </c>
      <c r="T169" s="2123">
        <f t="shared" si="301"/>
        <v>56820</v>
      </c>
      <c r="U169" s="2123">
        <f t="shared" si="301"/>
        <v>56820</v>
      </c>
      <c r="V169" s="2123" t="e">
        <f t="shared" si="301"/>
        <v>#REF!</v>
      </c>
      <c r="W169" s="2123">
        <f t="shared" si="301"/>
        <v>64740</v>
      </c>
      <c r="X169" s="2123">
        <f t="shared" si="301"/>
        <v>64740</v>
      </c>
      <c r="Y169" s="2123">
        <f t="shared" si="301"/>
        <v>64740</v>
      </c>
      <c r="Z169" s="2123">
        <f t="shared" si="301"/>
        <v>38280</v>
      </c>
      <c r="AA169" s="2123">
        <f t="shared" si="301"/>
        <v>39180</v>
      </c>
      <c r="AB169" s="2123">
        <f t="shared" si="301"/>
        <v>38820</v>
      </c>
      <c r="AC169" s="2123">
        <f t="shared" si="301"/>
        <v>38820</v>
      </c>
      <c r="AD169" s="2123">
        <f t="shared" si="301"/>
        <v>39180</v>
      </c>
      <c r="AE169" s="2123">
        <f t="shared" si="301"/>
        <v>39540</v>
      </c>
      <c r="AF169" s="2123" t="e">
        <f t="shared" si="301"/>
        <v>#REF!</v>
      </c>
      <c r="AG169" s="2123">
        <f t="shared" si="301"/>
        <v>41880</v>
      </c>
      <c r="AH169" s="2123">
        <f t="shared" si="301"/>
        <v>43920</v>
      </c>
      <c r="AI169" s="2123">
        <f t="shared" si="301"/>
        <v>71160</v>
      </c>
      <c r="AJ169" s="2123">
        <f t="shared" si="301"/>
        <v>71160</v>
      </c>
      <c r="AK169" s="2123" t="e">
        <f t="shared" si="301"/>
        <v>#REF!</v>
      </c>
      <c r="AL169" s="2123" t="e">
        <f t="shared" si="301"/>
        <v>#REF!</v>
      </c>
      <c r="AM169" s="2123" t="e">
        <f t="shared" si="301"/>
        <v>#REF!</v>
      </c>
      <c r="AN169" s="2123" t="e">
        <f t="shared" si="301"/>
        <v>#REF!</v>
      </c>
      <c r="AO169" s="2123" t="e">
        <f t="shared" si="301"/>
        <v>#REF!</v>
      </c>
      <c r="AP169" s="2123" t="e">
        <f t="shared" si="301"/>
        <v>#REF!</v>
      </c>
      <c r="AQ169" s="2123" t="e">
        <f t="shared" si="301"/>
        <v>#REF!</v>
      </c>
      <c r="AR169" s="2123" t="e">
        <f t="shared" si="301"/>
        <v>#REF!</v>
      </c>
      <c r="AS169" s="2123" t="e">
        <f t="shared" si="301"/>
        <v>#REF!</v>
      </c>
      <c r="AT169" s="2123">
        <f t="shared" si="301"/>
        <v>71160</v>
      </c>
      <c r="AU169" s="2123">
        <f t="shared" si="301"/>
        <v>40440</v>
      </c>
      <c r="AV169" s="2123">
        <f t="shared" si="301"/>
        <v>40440</v>
      </c>
      <c r="AW169" s="2123">
        <f t="shared" ref="AW169:CB169" si="302">CEILING(AW158*1.2, 5)</f>
        <v>40440</v>
      </c>
      <c r="AX169" s="2123">
        <f t="shared" si="302"/>
        <v>40440</v>
      </c>
      <c r="AY169" s="2123" t="e">
        <f t="shared" si="302"/>
        <v>#REF!</v>
      </c>
      <c r="AZ169" s="2123" t="e">
        <f t="shared" si="302"/>
        <v>#REF!</v>
      </c>
      <c r="BA169" s="2123">
        <f t="shared" si="302"/>
        <v>46140</v>
      </c>
      <c r="BB169" s="2123">
        <f t="shared" si="302"/>
        <v>46140</v>
      </c>
      <c r="BC169" s="2123" t="e">
        <f t="shared" si="302"/>
        <v>#REF!</v>
      </c>
      <c r="BD169" s="2123">
        <f t="shared" si="302"/>
        <v>46140</v>
      </c>
      <c r="BE169" s="2123">
        <f t="shared" si="302"/>
        <v>46140</v>
      </c>
      <c r="BF169" s="2123">
        <f t="shared" si="302"/>
        <v>46140</v>
      </c>
      <c r="BG169" s="2123">
        <f t="shared" si="302"/>
        <v>46140</v>
      </c>
      <c r="BH169" s="2123">
        <f t="shared" si="302"/>
        <v>46140</v>
      </c>
      <c r="BI169" s="2123">
        <f t="shared" si="302"/>
        <v>32520</v>
      </c>
      <c r="BJ169" s="2123">
        <f t="shared" si="302"/>
        <v>32520</v>
      </c>
      <c r="BK169" s="2123" t="e">
        <f t="shared" si="302"/>
        <v>#REF!</v>
      </c>
      <c r="BL169" s="2123">
        <f t="shared" si="302"/>
        <v>32520</v>
      </c>
      <c r="BM169" s="2123">
        <f t="shared" si="302"/>
        <v>32520</v>
      </c>
      <c r="BN169" s="2123">
        <f t="shared" si="302"/>
        <v>32520</v>
      </c>
      <c r="BO169" s="2123">
        <f t="shared" si="302"/>
        <v>32520</v>
      </c>
      <c r="BP169" s="2123">
        <f t="shared" si="302"/>
        <v>32520</v>
      </c>
      <c r="BQ169" s="2123">
        <f t="shared" si="302"/>
        <v>28500</v>
      </c>
      <c r="BR169" s="2123">
        <f t="shared" si="302"/>
        <v>28500</v>
      </c>
      <c r="BS169" s="2123">
        <f t="shared" si="302"/>
        <v>28500</v>
      </c>
      <c r="BT169" s="2123">
        <f t="shared" si="302"/>
        <v>28500</v>
      </c>
      <c r="BU169" s="2123">
        <f t="shared" si="302"/>
        <v>28500</v>
      </c>
      <c r="BV169" s="2123">
        <f t="shared" si="302"/>
        <v>28500</v>
      </c>
      <c r="BW169" s="2123">
        <f t="shared" si="302"/>
        <v>28500</v>
      </c>
      <c r="BX169" s="2123" t="e">
        <f t="shared" si="302"/>
        <v>#REF!</v>
      </c>
      <c r="BY169" s="2123" t="e">
        <f t="shared" si="302"/>
        <v>#REF!</v>
      </c>
      <c r="BZ169" s="2123" t="e">
        <f t="shared" si="302"/>
        <v>#REF!</v>
      </c>
      <c r="CA169" s="2123">
        <f t="shared" si="302"/>
        <v>28500</v>
      </c>
      <c r="CB169" s="2123">
        <f t="shared" si="302"/>
        <v>28500</v>
      </c>
      <c r="CC169" s="2123">
        <f t="shared" ref="CC169:CI169" si="303">CEILING(CC158*1.2, 5)</f>
        <v>28500</v>
      </c>
      <c r="CD169" s="2123">
        <f t="shared" si="303"/>
        <v>28500</v>
      </c>
      <c r="CE169" s="2123" t="e">
        <f t="shared" si="303"/>
        <v>#REF!</v>
      </c>
      <c r="CF169" s="2123" t="e">
        <f t="shared" si="303"/>
        <v>#REF!</v>
      </c>
      <c r="CG169" s="2123" t="e">
        <f t="shared" si="303"/>
        <v>#REF!</v>
      </c>
      <c r="CH169" s="2123" t="e">
        <f t="shared" si="303"/>
        <v>#REF!</v>
      </c>
      <c r="CI169" s="2123" t="e">
        <f t="shared" si="303"/>
        <v>#REF!</v>
      </c>
      <c r="CJ169" s="2123"/>
      <c r="CK169" s="2123"/>
      <c r="CL169" s="2123"/>
      <c r="CM169" s="2123"/>
      <c r="CN169" s="2123"/>
      <c r="CO169" s="2123"/>
      <c r="CP169" s="2123"/>
      <c r="CQ169" s="2123"/>
      <c r="CR169" s="2123"/>
      <c r="CS169" s="2123"/>
      <c r="CT169" s="2123"/>
      <c r="CU169" s="2123"/>
      <c r="CV169" s="2123"/>
      <c r="CW169" s="2123"/>
      <c r="CX169" s="2123"/>
      <c r="CY169" s="2123"/>
      <c r="CZ169" s="2123"/>
      <c r="DA169" s="2123"/>
      <c r="DB169" s="2123">
        <f>CEILING(DB158*1.2, 5)</f>
        <v>31260</v>
      </c>
      <c r="DC169" s="2123"/>
      <c r="DD169" s="2123"/>
      <c r="DE169" s="2123"/>
      <c r="DF169" s="2123" t="e">
        <f>CEILING(DF158*1.2, 5)</f>
        <v>#REF!</v>
      </c>
      <c r="DG169" s="2123"/>
      <c r="DH169" s="2123">
        <f t="shared" ref="DH169:EI169" si="304">CEILING(DH158*1.2, 5)</f>
        <v>25320</v>
      </c>
      <c r="DI169" s="2123" t="e">
        <f t="shared" si="304"/>
        <v>#REF!</v>
      </c>
      <c r="DJ169" s="2123" t="e">
        <f t="shared" si="304"/>
        <v>#REF!</v>
      </c>
      <c r="DK169" s="2123" t="e">
        <f t="shared" si="304"/>
        <v>#REF!</v>
      </c>
      <c r="DL169" s="2123">
        <f t="shared" si="304"/>
        <v>31140</v>
      </c>
      <c r="DM169" s="2123">
        <f t="shared" si="304"/>
        <v>31920</v>
      </c>
      <c r="DN169" s="2123">
        <f t="shared" si="304"/>
        <v>31140</v>
      </c>
      <c r="DO169" s="2123">
        <f t="shared" si="304"/>
        <v>31920</v>
      </c>
      <c r="DP169" s="2123">
        <f t="shared" si="304"/>
        <v>52800</v>
      </c>
      <c r="DQ169" s="2123" t="e">
        <f t="shared" si="304"/>
        <v>#REF!</v>
      </c>
      <c r="DR169" s="2123" t="e">
        <f t="shared" si="304"/>
        <v>#REF!</v>
      </c>
      <c r="DS169" s="2123">
        <f t="shared" si="304"/>
        <v>31140</v>
      </c>
      <c r="DT169" s="2123" t="e">
        <f t="shared" si="304"/>
        <v>#REF!</v>
      </c>
      <c r="DU169" s="2123">
        <f t="shared" si="304"/>
        <v>26100</v>
      </c>
      <c r="DV169" s="2123">
        <f t="shared" si="304"/>
        <v>26100</v>
      </c>
      <c r="DW169" s="2123">
        <f t="shared" si="304"/>
        <v>26100</v>
      </c>
      <c r="DX169" s="2123">
        <f t="shared" si="304"/>
        <v>26100</v>
      </c>
      <c r="DY169" s="2123">
        <f t="shared" si="304"/>
        <v>26100</v>
      </c>
      <c r="DZ169" s="2123">
        <f t="shared" si="304"/>
        <v>26100</v>
      </c>
      <c r="EA169" s="2123">
        <f t="shared" si="304"/>
        <v>26100</v>
      </c>
      <c r="EB169" s="2123">
        <f t="shared" si="304"/>
        <v>26100</v>
      </c>
      <c r="EC169" s="2123">
        <f t="shared" si="304"/>
        <v>30360</v>
      </c>
      <c r="ED169" s="2123">
        <f t="shared" si="304"/>
        <v>30360</v>
      </c>
      <c r="EE169" s="2123">
        <f t="shared" si="304"/>
        <v>30360</v>
      </c>
      <c r="EF169" s="2123">
        <f t="shared" si="304"/>
        <v>30360</v>
      </c>
      <c r="EG169" s="2123">
        <f t="shared" si="304"/>
        <v>30360</v>
      </c>
      <c r="EH169" s="2123">
        <f t="shared" si="304"/>
        <v>30360</v>
      </c>
      <c r="EI169" s="2123">
        <f t="shared" si="304"/>
        <v>30360</v>
      </c>
      <c r="EJ169" s="2123"/>
      <c r="EK169" s="2123"/>
      <c r="EL169" s="2123"/>
      <c r="EM169" s="2123"/>
      <c r="EN169" s="2123"/>
      <c r="EO169" s="2123"/>
      <c r="EP169" s="2123">
        <f>CEILING(EP158*1.2, 5)</f>
        <v>36120</v>
      </c>
      <c r="EQ169" s="2123">
        <f>CEILING(EQ158*1.2, 5)</f>
        <v>36120</v>
      </c>
      <c r="ER169" s="2123">
        <f>CEILING(ER158*1.2, 5)</f>
        <v>36120</v>
      </c>
      <c r="ES169" s="2123">
        <f>CEILING(ES158*1.2, 5)</f>
        <v>36120</v>
      </c>
      <c r="ET169" s="2123"/>
      <c r="EU169" s="2123"/>
      <c r="EV169" s="2123"/>
      <c r="EW169" s="2123"/>
      <c r="EX169" s="2123"/>
      <c r="EY169" s="2123"/>
      <c r="EZ169" s="2123" t="e">
        <f>CEILING(EZ158*1.2, 5)</f>
        <v>#REF!</v>
      </c>
      <c r="FA169" s="2123" t="e">
        <f>CEILING(FA158*1.2, 5)</f>
        <v>#REF!</v>
      </c>
      <c r="FB169" s="2123"/>
      <c r="FC169" s="2123"/>
      <c r="FD169" s="2123"/>
      <c r="FE169" s="2124"/>
      <c r="FF169" s="2082"/>
      <c r="FG169" s="2082"/>
      <c r="FH169" s="2082"/>
      <c r="FI169" s="2082"/>
      <c r="FJ169" s="2082"/>
    </row>
    <row r="170" spans="1:241" s="1549" customFormat="1" ht="18" hidden="1" customHeight="1" outlineLevel="1" collapsed="1">
      <c r="A170" s="1549">
        <v>167</v>
      </c>
      <c r="B170" s="1589" t="s">
        <v>19</v>
      </c>
      <c r="C170" s="1590" t="s">
        <v>1996</v>
      </c>
      <c r="D170" s="1590" t="s">
        <v>1817</v>
      </c>
      <c r="E170" s="1590"/>
      <c r="F170" s="1591" t="s">
        <v>1818</v>
      </c>
      <c r="G170" s="1591" t="s">
        <v>1976</v>
      </c>
      <c r="H170" s="2125"/>
      <c r="I170" s="2126"/>
      <c r="J170" s="2126"/>
      <c r="K170" s="2126"/>
      <c r="L170" s="2126"/>
      <c r="M170" s="2126"/>
      <c r="N170" s="2126"/>
      <c r="O170" s="2126"/>
      <c r="P170" s="2126"/>
      <c r="Q170" s="2127"/>
      <c r="R170" s="2127"/>
      <c r="S170" s="2127"/>
      <c r="T170" s="2127"/>
      <c r="U170" s="2127"/>
      <c r="V170" s="2127"/>
      <c r="W170" s="2127"/>
      <c r="X170" s="2127"/>
      <c r="Y170" s="2127"/>
      <c r="Z170" s="2127"/>
      <c r="AA170" s="2127"/>
      <c r="AB170" s="2127"/>
      <c r="AC170" s="2127"/>
      <c r="AD170" s="2127"/>
      <c r="AE170" s="2127"/>
      <c r="AF170" s="2127"/>
      <c r="AG170" s="2127"/>
      <c r="AH170" s="2127"/>
      <c r="AI170" s="2127"/>
      <c r="AJ170" s="2127"/>
      <c r="AK170" s="2127"/>
      <c r="AL170" s="2127"/>
      <c r="AM170" s="2127"/>
      <c r="AN170" s="2127"/>
      <c r="AO170" s="2127"/>
      <c r="AP170" s="2127"/>
      <c r="AQ170" s="2127"/>
      <c r="AR170" s="2127"/>
      <c r="AS170" s="2127"/>
      <c r="AT170" s="2127"/>
      <c r="AU170" s="2127"/>
      <c r="AV170" s="2127"/>
      <c r="AW170" s="2127"/>
      <c r="AX170" s="2127"/>
      <c r="AY170" s="2127"/>
      <c r="AZ170" s="2127"/>
      <c r="BA170" s="2127"/>
      <c r="BB170" s="2127"/>
      <c r="BC170" s="2127"/>
      <c r="BD170" s="2127"/>
      <c r="BE170" s="2127"/>
      <c r="BF170" s="2128"/>
      <c r="BG170" s="2128"/>
      <c r="BH170" s="2128"/>
      <c r="BI170" s="2128"/>
      <c r="BJ170" s="2128"/>
      <c r="BK170" s="2128"/>
      <c r="BL170" s="2128"/>
      <c r="BM170" s="2128"/>
      <c r="BN170" s="2128"/>
      <c r="BO170" s="2128"/>
      <c r="BP170" s="2128"/>
      <c r="BQ170" s="2126">
        <f>Fusion!G10</f>
        <v>28600</v>
      </c>
      <c r="BR170" s="2129">
        <f>Fusion!H10</f>
        <v>28600</v>
      </c>
      <c r="BS170" s="2129">
        <f>Fusion!H10</f>
        <v>28600</v>
      </c>
      <c r="BT170" s="2129">
        <f>Fusion!J10</f>
        <v>28600</v>
      </c>
      <c r="BU170" s="2129">
        <f>Fusion!J10</f>
        <v>28600</v>
      </c>
      <c r="BV170" s="2126">
        <f>Fusion!I10</f>
        <v>28600</v>
      </c>
      <c r="BW170" s="2126">
        <f>Fusion!I10</f>
        <v>28600</v>
      </c>
      <c r="BX170" s="2127"/>
      <c r="BY170" s="2127"/>
      <c r="BZ170" s="2127"/>
      <c r="CA170" s="2127"/>
      <c r="CB170" s="2127"/>
      <c r="CC170" s="2127"/>
      <c r="CD170" s="2127"/>
      <c r="CE170" s="2127"/>
      <c r="CF170" s="2127"/>
      <c r="CG170" s="2127"/>
      <c r="CH170" s="2127"/>
      <c r="CI170" s="2127"/>
      <c r="CJ170" s="2127"/>
      <c r="CK170" s="2127"/>
      <c r="CL170" s="2127"/>
      <c r="CM170" s="2127"/>
      <c r="CN170" s="2127"/>
      <c r="CO170" s="2127"/>
      <c r="CP170" s="2127"/>
      <c r="CQ170" s="2127"/>
      <c r="CR170" s="2127"/>
      <c r="CS170" s="2127"/>
      <c r="CT170" s="2127"/>
      <c r="CU170" s="2127"/>
      <c r="CV170" s="2127"/>
      <c r="CW170" s="2127"/>
      <c r="CX170" s="2127"/>
      <c r="CY170" s="2127"/>
      <c r="CZ170" s="2127"/>
      <c r="DA170" s="2127"/>
      <c r="DB170" s="2127"/>
      <c r="DC170" s="2127"/>
      <c r="DD170" s="2127"/>
      <c r="DE170" s="2127"/>
      <c r="DF170" s="2127"/>
      <c r="DG170" s="2127"/>
      <c r="DH170" s="2127"/>
      <c r="DI170" s="2127"/>
      <c r="DJ170" s="2127"/>
      <c r="DK170" s="2127"/>
      <c r="DL170" s="2127"/>
      <c r="DM170" s="2127"/>
      <c r="DN170" s="2127"/>
      <c r="DO170" s="2127"/>
      <c r="DP170" s="2130"/>
      <c r="DQ170" s="2127"/>
      <c r="DR170" s="2130"/>
      <c r="DS170" s="2130"/>
      <c r="DT170" s="2130"/>
      <c r="DU170" s="2127"/>
      <c r="DV170" s="2127"/>
      <c r="DW170" s="2127"/>
      <c r="DX170" s="2127"/>
      <c r="DY170" s="2127"/>
      <c r="DZ170" s="2127"/>
      <c r="EA170" s="2127"/>
      <c r="EB170" s="2127"/>
      <c r="EC170" s="2127"/>
      <c r="ED170" s="2127"/>
      <c r="EE170" s="2127"/>
      <c r="EF170" s="2127"/>
      <c r="EG170" s="2127"/>
      <c r="EH170" s="2127"/>
      <c r="EI170" s="2127"/>
      <c r="EJ170" s="2126">
        <f>Twist!$G$10</f>
        <v>26600</v>
      </c>
      <c r="EK170" s="2126">
        <f>Twist!$G$10</f>
        <v>26600</v>
      </c>
      <c r="EL170" s="2126">
        <f>Twist!$G$10</f>
        <v>26600</v>
      </c>
      <c r="EM170" s="2126">
        <f>Twist!$G$10</f>
        <v>26600</v>
      </c>
      <c r="EN170" s="2126">
        <f>Twist!$G$10</f>
        <v>26600</v>
      </c>
      <c r="EO170" s="2126">
        <f>Twist!$G$10</f>
        <v>26600</v>
      </c>
      <c r="EP170" s="2127"/>
      <c r="EQ170" s="2127"/>
      <c r="ER170" s="2127"/>
      <c r="ES170" s="2127"/>
      <c r="ET170" s="2127"/>
      <c r="EU170" s="2127"/>
      <c r="EV170" s="2127"/>
      <c r="EW170" s="2127"/>
      <c r="EX170" s="2127"/>
      <c r="EY170" s="2127"/>
      <c r="EZ170" s="2126"/>
      <c r="FA170" s="2126"/>
      <c r="FB170" s="2126" t="str">
        <f>Design!J10</f>
        <v>-</v>
      </c>
      <c r="FC170" s="2126" t="str">
        <f>Design!J10</f>
        <v>-</v>
      </c>
      <c r="FD170" s="2126" t="str">
        <f>Design!J10</f>
        <v>-</v>
      </c>
      <c r="FE170" s="2131"/>
      <c r="FF170" s="2109"/>
      <c r="FG170" s="2109"/>
      <c r="FH170" s="2109"/>
      <c r="FI170" s="2109"/>
      <c r="FJ170" s="2109"/>
      <c r="FK170" s="1582"/>
      <c r="FL170" s="1582"/>
      <c r="FM170" s="1582"/>
      <c r="FN170" s="1582"/>
      <c r="FO170" s="1582"/>
      <c r="FP170" s="1582"/>
      <c r="FQ170" s="1582"/>
      <c r="FR170" s="1582"/>
      <c r="FS170" s="1582"/>
      <c r="FT170" s="1582"/>
      <c r="FU170" s="1582"/>
      <c r="FV170" s="1582"/>
      <c r="FW170" s="1582"/>
      <c r="FX170" s="1582"/>
      <c r="FY170" s="1582"/>
      <c r="FZ170" s="1582"/>
      <c r="GA170" s="1582"/>
      <c r="GB170" s="1582"/>
      <c r="GC170" s="1582"/>
      <c r="GD170" s="1582"/>
      <c r="GE170" s="1582"/>
      <c r="GF170" s="1582"/>
      <c r="GG170" s="1582"/>
      <c r="GH170" s="1582"/>
      <c r="GI170" s="1582"/>
      <c r="GJ170" s="1582"/>
      <c r="GK170" s="1582"/>
      <c r="GL170" s="1582"/>
      <c r="GM170" s="1582"/>
      <c r="GN170" s="1582"/>
      <c r="GO170" s="1582"/>
      <c r="GP170" s="1582"/>
      <c r="GQ170" s="1582"/>
      <c r="GR170" s="1582"/>
      <c r="GS170" s="1582"/>
      <c r="GT170" s="1582"/>
      <c r="GU170" s="1582"/>
      <c r="GV170" s="1582"/>
      <c r="GW170" s="1582"/>
      <c r="GX170" s="1582"/>
      <c r="GY170" s="1582"/>
      <c r="GZ170" s="1582"/>
      <c r="HA170" s="1582"/>
      <c r="HB170" s="1582"/>
      <c r="HC170" s="1582"/>
      <c r="HD170" s="1582"/>
      <c r="HE170" s="1582"/>
      <c r="HF170" s="1582"/>
      <c r="HG170" s="1582"/>
      <c r="HH170" s="1582"/>
      <c r="HI170" s="1582"/>
      <c r="HJ170" s="1582"/>
      <c r="HK170" s="1582"/>
      <c r="HL170" s="1582"/>
      <c r="HM170" s="1582"/>
      <c r="HN170" s="1582"/>
      <c r="HO170" s="1582"/>
      <c r="HP170" s="1582"/>
      <c r="HQ170" s="1582"/>
      <c r="HR170" s="1582"/>
      <c r="HS170" s="1582"/>
      <c r="HT170" s="1582"/>
      <c r="HU170" s="1582"/>
      <c r="HV170" s="1582"/>
      <c r="HW170" s="1582"/>
      <c r="HX170" s="1582"/>
      <c r="HY170" s="1582"/>
      <c r="HZ170" s="1582"/>
      <c r="IA170" s="1582"/>
      <c r="IB170" s="1582"/>
      <c r="IC170" s="1582"/>
      <c r="ID170" s="1582"/>
      <c r="IE170" s="1582"/>
      <c r="IF170" s="1582"/>
      <c r="IG170" s="1582"/>
    </row>
    <row r="171" spans="1:241" s="1552" customFormat="1" ht="18" hidden="1" customHeight="1" outlineLevel="2">
      <c r="A171" s="1552">
        <v>168</v>
      </c>
      <c r="B171" s="1589" t="s">
        <v>19</v>
      </c>
      <c r="C171" s="1590" t="s">
        <v>1996</v>
      </c>
      <c r="D171" s="1590" t="s">
        <v>1817</v>
      </c>
      <c r="E171" s="1590"/>
      <c r="F171" s="1592" t="s">
        <v>1819</v>
      </c>
      <c r="G171" s="1592" t="s">
        <v>1977</v>
      </c>
      <c r="H171" s="2132"/>
      <c r="I171" s="2132"/>
      <c r="J171" s="2132"/>
      <c r="K171" s="2132"/>
      <c r="L171" s="2132"/>
      <c r="M171" s="2132"/>
      <c r="N171" s="2132"/>
      <c r="O171" s="2132"/>
      <c r="P171" s="2132"/>
      <c r="Q171" s="2132"/>
      <c r="R171" s="2132"/>
      <c r="S171" s="2132"/>
      <c r="T171" s="2132"/>
      <c r="U171" s="2132"/>
      <c r="V171" s="2132"/>
      <c r="W171" s="2132"/>
      <c r="X171" s="2132"/>
      <c r="Y171" s="2132"/>
      <c r="Z171" s="2132"/>
      <c r="AA171" s="2132"/>
      <c r="AB171" s="2132"/>
      <c r="AC171" s="2132"/>
      <c r="AD171" s="2132"/>
      <c r="AE171" s="2132"/>
      <c r="AF171" s="2132"/>
      <c r="AG171" s="2132"/>
      <c r="AH171" s="2132"/>
      <c r="AI171" s="2132"/>
      <c r="AJ171" s="2132"/>
      <c r="AK171" s="2132"/>
      <c r="AL171" s="2132"/>
      <c r="AM171" s="2132"/>
      <c r="AN171" s="2132"/>
      <c r="AO171" s="2132"/>
      <c r="AP171" s="2132"/>
      <c r="AQ171" s="2132"/>
      <c r="AR171" s="2132"/>
      <c r="AS171" s="2132"/>
      <c r="AT171" s="2132"/>
      <c r="AU171" s="2132"/>
      <c r="AV171" s="2132"/>
      <c r="AW171" s="2132"/>
      <c r="AX171" s="2132"/>
      <c r="AY171" s="2132"/>
      <c r="AZ171" s="2132"/>
      <c r="BA171" s="2132"/>
      <c r="BB171" s="2132"/>
      <c r="BC171" s="2132"/>
      <c r="BD171" s="2132"/>
      <c r="BE171" s="2132"/>
      <c r="BF171" s="2132"/>
      <c r="BG171" s="2132"/>
      <c r="BH171" s="2132"/>
      <c r="BI171" s="2132"/>
      <c r="BJ171" s="2132"/>
      <c r="BK171" s="2132"/>
      <c r="BL171" s="2132"/>
      <c r="BM171" s="2132"/>
      <c r="BN171" s="2132"/>
      <c r="BO171" s="2132"/>
      <c r="BP171" s="2132"/>
      <c r="BQ171" s="2132">
        <f t="shared" ref="BQ171:BW171" si="305">BQ170</f>
        <v>28600</v>
      </c>
      <c r="BR171" s="2132">
        <f t="shared" si="305"/>
        <v>28600</v>
      </c>
      <c r="BS171" s="2132">
        <f t="shared" si="305"/>
        <v>28600</v>
      </c>
      <c r="BT171" s="2132">
        <f t="shared" si="305"/>
        <v>28600</v>
      </c>
      <c r="BU171" s="2132">
        <f t="shared" si="305"/>
        <v>28600</v>
      </c>
      <c r="BV171" s="2132">
        <f t="shared" si="305"/>
        <v>28600</v>
      </c>
      <c r="BW171" s="2132">
        <f t="shared" si="305"/>
        <v>28600</v>
      </c>
      <c r="BX171" s="2132"/>
      <c r="BY171" s="2132"/>
      <c r="BZ171" s="2132"/>
      <c r="CA171" s="2132"/>
      <c r="CB171" s="2132"/>
      <c r="CC171" s="2132"/>
      <c r="CD171" s="2132"/>
      <c r="CE171" s="2132"/>
      <c r="CF171" s="2132"/>
      <c r="CG171" s="2132"/>
      <c r="CH171" s="2132"/>
      <c r="CI171" s="2132"/>
      <c r="CJ171" s="2132"/>
      <c r="CK171" s="2132"/>
      <c r="CL171" s="2132"/>
      <c r="CM171" s="2132"/>
      <c r="CN171" s="2132"/>
      <c r="CO171" s="2132"/>
      <c r="CP171" s="2132"/>
      <c r="CQ171" s="2132"/>
      <c r="CR171" s="2132"/>
      <c r="CS171" s="2132"/>
      <c r="CT171" s="2132"/>
      <c r="CU171" s="2132"/>
      <c r="CV171" s="2132"/>
      <c r="CW171" s="2132"/>
      <c r="CX171" s="2132"/>
      <c r="CY171" s="2132"/>
      <c r="CZ171" s="2132"/>
      <c r="DA171" s="2132"/>
      <c r="DB171" s="2132"/>
      <c r="DC171" s="2132"/>
      <c r="DD171" s="2132"/>
      <c r="DE171" s="2132"/>
      <c r="DF171" s="2132"/>
      <c r="DG171" s="2132"/>
      <c r="DH171" s="2132"/>
      <c r="DI171" s="2132"/>
      <c r="DJ171" s="2132"/>
      <c r="DK171" s="2132"/>
      <c r="DL171" s="2132"/>
      <c r="DM171" s="2132"/>
      <c r="DN171" s="2132"/>
      <c r="DO171" s="2132"/>
      <c r="DP171" s="2132"/>
      <c r="DQ171" s="2132"/>
      <c r="DR171" s="2132"/>
      <c r="DS171" s="2132"/>
      <c r="DT171" s="2132"/>
      <c r="DU171" s="2132"/>
      <c r="DV171" s="2132"/>
      <c r="DW171" s="2132"/>
      <c r="DX171" s="2132"/>
      <c r="DY171" s="2132"/>
      <c r="DZ171" s="2132"/>
      <c r="EA171" s="2132"/>
      <c r="EB171" s="2132"/>
      <c r="EC171" s="2132"/>
      <c r="ED171" s="2132"/>
      <c r="EE171" s="2132"/>
      <c r="EF171" s="2132"/>
      <c r="EG171" s="2132"/>
      <c r="EH171" s="2132"/>
      <c r="EI171" s="2132"/>
      <c r="EJ171" s="2132">
        <f t="shared" ref="EJ171:EO171" si="306">EJ170</f>
        <v>26600</v>
      </c>
      <c r="EK171" s="2132">
        <f t="shared" si="306"/>
        <v>26600</v>
      </c>
      <c r="EL171" s="2132">
        <f t="shared" si="306"/>
        <v>26600</v>
      </c>
      <c r="EM171" s="2132">
        <f t="shared" si="306"/>
        <v>26600</v>
      </c>
      <c r="EN171" s="2132">
        <f t="shared" si="306"/>
        <v>26600</v>
      </c>
      <c r="EO171" s="2132">
        <f t="shared" si="306"/>
        <v>26600</v>
      </c>
      <c r="EP171" s="2132"/>
      <c r="EQ171" s="2132"/>
      <c r="ER171" s="2132"/>
      <c r="ES171" s="2132"/>
      <c r="ET171" s="2132"/>
      <c r="EU171" s="2132"/>
      <c r="EV171" s="2132"/>
      <c r="EW171" s="2132"/>
      <c r="EX171" s="2132"/>
      <c r="EY171" s="2132"/>
      <c r="EZ171" s="2132"/>
      <c r="FA171" s="2132"/>
      <c r="FB171" s="2132" t="str">
        <f>FB170</f>
        <v>-</v>
      </c>
      <c r="FC171" s="2132" t="str">
        <f>FC170</f>
        <v>-</v>
      </c>
      <c r="FD171" s="2132" t="str">
        <f>FD170</f>
        <v>-</v>
      </c>
      <c r="FE171" s="2133"/>
      <c r="FF171" s="2082"/>
      <c r="FG171" s="2082"/>
      <c r="FH171" s="2082"/>
      <c r="FI171" s="2082"/>
      <c r="FJ171" s="2082"/>
      <c r="FK171" s="1565"/>
      <c r="FL171" s="1565"/>
      <c r="FM171" s="1565"/>
      <c r="FN171" s="1565"/>
      <c r="FO171" s="1565"/>
      <c r="FP171" s="1565"/>
      <c r="FQ171" s="1565"/>
      <c r="FR171" s="1565"/>
      <c r="FS171" s="1565"/>
      <c r="FT171" s="1565"/>
      <c r="FU171" s="1565"/>
      <c r="FV171" s="1565"/>
      <c r="FW171" s="1565"/>
      <c r="FX171" s="1565"/>
      <c r="FY171" s="1565"/>
      <c r="FZ171" s="1565"/>
      <c r="GA171" s="1565"/>
      <c r="GB171" s="1565"/>
      <c r="GC171" s="1565"/>
      <c r="GD171" s="1565"/>
      <c r="GE171" s="1565"/>
      <c r="GF171" s="1565"/>
      <c r="GG171" s="1565"/>
      <c r="GH171" s="1565"/>
      <c r="GI171" s="1565"/>
      <c r="GJ171" s="1565"/>
      <c r="GK171" s="1565"/>
      <c r="GL171" s="1565"/>
      <c r="GM171" s="1565"/>
      <c r="GN171" s="1565"/>
      <c r="GO171" s="1565"/>
      <c r="GP171" s="1565"/>
      <c r="GQ171" s="1565"/>
      <c r="GR171" s="1565"/>
      <c r="GS171" s="1565"/>
      <c r="GT171" s="1565"/>
      <c r="GU171" s="1565"/>
      <c r="GV171" s="1565"/>
      <c r="GW171" s="1565"/>
      <c r="GX171" s="1565"/>
      <c r="GY171" s="1565"/>
      <c r="GZ171" s="1565"/>
      <c r="HA171" s="1565"/>
      <c r="HB171" s="1565"/>
      <c r="HC171" s="1565"/>
      <c r="HD171" s="1565"/>
      <c r="HE171" s="1565"/>
      <c r="HF171" s="1565"/>
      <c r="HG171" s="1565"/>
      <c r="HH171" s="1565"/>
      <c r="HI171" s="1565"/>
      <c r="HJ171" s="1565"/>
      <c r="HK171" s="1565"/>
      <c r="HL171" s="1565"/>
      <c r="HM171" s="1565"/>
      <c r="HN171" s="1565"/>
      <c r="HO171" s="1565"/>
      <c r="HP171" s="1565"/>
      <c r="HQ171" s="1565"/>
      <c r="HR171" s="1565"/>
      <c r="HS171" s="1565"/>
      <c r="HT171" s="1565"/>
      <c r="HU171" s="1565"/>
      <c r="HV171" s="1565"/>
      <c r="HW171" s="1565"/>
      <c r="HX171" s="1565"/>
      <c r="HY171" s="1565"/>
      <c r="HZ171" s="1565"/>
      <c r="IA171" s="1565"/>
      <c r="IB171" s="1565"/>
      <c r="IC171" s="1565"/>
      <c r="ID171" s="1565"/>
      <c r="IE171" s="1565"/>
      <c r="IF171" s="1565"/>
      <c r="IG171" s="1565"/>
    </row>
    <row r="172" spans="1:241" s="1552" customFormat="1" ht="18" hidden="1" customHeight="1" outlineLevel="2">
      <c r="A172" s="1549">
        <v>169</v>
      </c>
      <c r="B172" s="1589" t="s">
        <v>19</v>
      </c>
      <c r="C172" s="1590" t="s">
        <v>1996</v>
      </c>
      <c r="D172" s="1590" t="s">
        <v>1817</v>
      </c>
      <c r="E172" s="1590"/>
      <c r="F172" s="1592" t="s">
        <v>1820</v>
      </c>
      <c r="G172" s="1592" t="s">
        <v>1978</v>
      </c>
      <c r="H172" s="2132"/>
      <c r="I172" s="2132"/>
      <c r="J172" s="2132"/>
      <c r="K172" s="2132"/>
      <c r="L172" s="2132"/>
      <c r="M172" s="2132"/>
      <c r="N172" s="2132"/>
      <c r="O172" s="2132"/>
      <c r="P172" s="2132"/>
      <c r="Q172" s="2132"/>
      <c r="R172" s="2132"/>
      <c r="S172" s="2132"/>
      <c r="T172" s="2132"/>
      <c r="U172" s="2132"/>
      <c r="V172" s="2132"/>
      <c r="W172" s="2132"/>
      <c r="X172" s="2132"/>
      <c r="Y172" s="2132"/>
      <c r="Z172" s="2132"/>
      <c r="AA172" s="2132"/>
      <c r="AB172" s="2132"/>
      <c r="AC172" s="2132"/>
      <c r="AD172" s="2132"/>
      <c r="AE172" s="2132"/>
      <c r="AF172" s="2132"/>
      <c r="AG172" s="2132"/>
      <c r="AH172" s="2132"/>
      <c r="AI172" s="2132"/>
      <c r="AJ172" s="2132"/>
      <c r="AK172" s="2132"/>
      <c r="AL172" s="2132"/>
      <c r="AM172" s="2132"/>
      <c r="AN172" s="2132"/>
      <c r="AO172" s="2132"/>
      <c r="AP172" s="2132"/>
      <c r="AQ172" s="2132"/>
      <c r="AR172" s="2132"/>
      <c r="AS172" s="2132"/>
      <c r="AT172" s="2132"/>
      <c r="AU172" s="2132"/>
      <c r="AV172" s="2132"/>
      <c r="AW172" s="2132"/>
      <c r="AX172" s="2132"/>
      <c r="AY172" s="2132"/>
      <c r="AZ172" s="2132"/>
      <c r="BA172" s="2132"/>
      <c r="BB172" s="2132"/>
      <c r="BC172" s="2132"/>
      <c r="BD172" s="2132"/>
      <c r="BE172" s="2132"/>
      <c r="BF172" s="2132"/>
      <c r="BG172" s="2132"/>
      <c r="BH172" s="2132"/>
      <c r="BI172" s="2132"/>
      <c r="BJ172" s="2132"/>
      <c r="BK172" s="2132"/>
      <c r="BL172" s="2132"/>
      <c r="BM172" s="2132"/>
      <c r="BN172" s="2132"/>
      <c r="BO172" s="2132"/>
      <c r="BP172" s="2132"/>
      <c r="BQ172" s="2132">
        <f t="shared" ref="BQ172:BW172" si="307">BQ170</f>
        <v>28600</v>
      </c>
      <c r="BR172" s="2132">
        <f t="shared" si="307"/>
        <v>28600</v>
      </c>
      <c r="BS172" s="2132">
        <f t="shared" si="307"/>
        <v>28600</v>
      </c>
      <c r="BT172" s="2132">
        <f t="shared" si="307"/>
        <v>28600</v>
      </c>
      <c r="BU172" s="2132">
        <f t="shared" si="307"/>
        <v>28600</v>
      </c>
      <c r="BV172" s="2132">
        <f t="shared" si="307"/>
        <v>28600</v>
      </c>
      <c r="BW172" s="2132">
        <f t="shared" si="307"/>
        <v>28600</v>
      </c>
      <c r="BX172" s="2132"/>
      <c r="BY172" s="2132"/>
      <c r="BZ172" s="2132"/>
      <c r="CA172" s="2132"/>
      <c r="CB172" s="2132"/>
      <c r="CC172" s="2132"/>
      <c r="CD172" s="2132"/>
      <c r="CE172" s="2132"/>
      <c r="CF172" s="2132"/>
      <c r="CG172" s="2132"/>
      <c r="CH172" s="2132"/>
      <c r="CI172" s="2132"/>
      <c r="CJ172" s="2132"/>
      <c r="CK172" s="2132"/>
      <c r="CL172" s="2132"/>
      <c r="CM172" s="2132"/>
      <c r="CN172" s="2132"/>
      <c r="CO172" s="2132"/>
      <c r="CP172" s="2132"/>
      <c r="CQ172" s="2132"/>
      <c r="CR172" s="2132"/>
      <c r="CS172" s="2132"/>
      <c r="CT172" s="2132"/>
      <c r="CU172" s="2132"/>
      <c r="CV172" s="2132"/>
      <c r="CW172" s="2132"/>
      <c r="CX172" s="2132"/>
      <c r="CY172" s="2132"/>
      <c r="CZ172" s="2132"/>
      <c r="DA172" s="2132"/>
      <c r="DB172" s="2132"/>
      <c r="DC172" s="2132"/>
      <c r="DD172" s="2132"/>
      <c r="DE172" s="2132"/>
      <c r="DF172" s="2132"/>
      <c r="DG172" s="2132"/>
      <c r="DH172" s="2132"/>
      <c r="DI172" s="2132"/>
      <c r="DJ172" s="2132"/>
      <c r="DK172" s="2132"/>
      <c r="DL172" s="2132"/>
      <c r="DM172" s="2132"/>
      <c r="DN172" s="2132"/>
      <c r="DO172" s="2132"/>
      <c r="DP172" s="2132"/>
      <c r="DQ172" s="2132"/>
      <c r="DR172" s="2132"/>
      <c r="DS172" s="2132"/>
      <c r="DT172" s="2132"/>
      <c r="DU172" s="2132"/>
      <c r="DV172" s="2132"/>
      <c r="DW172" s="2132"/>
      <c r="DX172" s="2132"/>
      <c r="DY172" s="2132"/>
      <c r="DZ172" s="2132"/>
      <c r="EA172" s="2132"/>
      <c r="EB172" s="2132"/>
      <c r="EC172" s="2132"/>
      <c r="ED172" s="2132"/>
      <c r="EE172" s="2132"/>
      <c r="EF172" s="2132"/>
      <c r="EG172" s="2132"/>
      <c r="EH172" s="2132"/>
      <c r="EI172" s="2132"/>
      <c r="EJ172" s="2132">
        <f t="shared" ref="EJ172:EO172" si="308">EJ170</f>
        <v>26600</v>
      </c>
      <c r="EK172" s="2132">
        <f t="shared" si="308"/>
        <v>26600</v>
      </c>
      <c r="EL172" s="2132">
        <f t="shared" si="308"/>
        <v>26600</v>
      </c>
      <c r="EM172" s="2132">
        <f t="shared" si="308"/>
        <v>26600</v>
      </c>
      <c r="EN172" s="2132">
        <f t="shared" si="308"/>
        <v>26600</v>
      </c>
      <c r="EO172" s="2132">
        <f t="shared" si="308"/>
        <v>26600</v>
      </c>
      <c r="EP172" s="2132"/>
      <c r="EQ172" s="2132"/>
      <c r="ER172" s="2132"/>
      <c r="ES172" s="2132"/>
      <c r="ET172" s="2132"/>
      <c r="EU172" s="2132"/>
      <c r="EV172" s="2132"/>
      <c r="EW172" s="2132"/>
      <c r="EX172" s="2132"/>
      <c r="EY172" s="2132"/>
      <c r="EZ172" s="2132"/>
      <c r="FA172" s="2132"/>
      <c r="FB172" s="2132" t="str">
        <f>FB170</f>
        <v>-</v>
      </c>
      <c r="FC172" s="2132" t="str">
        <f>FC170</f>
        <v>-</v>
      </c>
      <c r="FD172" s="2132" t="str">
        <f>FD170</f>
        <v>-</v>
      </c>
      <c r="FE172" s="2133"/>
      <c r="FF172" s="2082"/>
      <c r="FG172" s="2082"/>
      <c r="FH172" s="2082"/>
      <c r="FI172" s="2082"/>
      <c r="FJ172" s="2082"/>
      <c r="FK172" s="1565"/>
      <c r="FL172" s="1565"/>
      <c r="FM172" s="1565"/>
      <c r="FN172" s="1565"/>
      <c r="FO172" s="1565"/>
      <c r="FP172" s="1565"/>
      <c r="FQ172" s="1565"/>
      <c r="FR172" s="1565"/>
      <c r="FS172" s="1565"/>
      <c r="FT172" s="1565"/>
      <c r="FU172" s="1565"/>
      <c r="FV172" s="1565"/>
      <c r="FW172" s="1565"/>
      <c r="FX172" s="1565"/>
      <c r="FY172" s="1565"/>
      <c r="FZ172" s="1565"/>
      <c r="GA172" s="1565"/>
      <c r="GB172" s="1565"/>
      <c r="GC172" s="1565"/>
      <c r="GD172" s="1565"/>
      <c r="GE172" s="1565"/>
      <c r="GF172" s="1565"/>
      <c r="GG172" s="1565"/>
      <c r="GH172" s="1565"/>
      <c r="GI172" s="1565"/>
      <c r="GJ172" s="1565"/>
      <c r="GK172" s="1565"/>
      <c r="GL172" s="1565"/>
      <c r="GM172" s="1565"/>
      <c r="GN172" s="1565"/>
      <c r="GO172" s="1565"/>
      <c r="GP172" s="1565"/>
      <c r="GQ172" s="1565"/>
      <c r="GR172" s="1565"/>
      <c r="GS172" s="1565"/>
      <c r="GT172" s="1565"/>
      <c r="GU172" s="1565"/>
      <c r="GV172" s="1565"/>
      <c r="GW172" s="1565"/>
      <c r="GX172" s="1565"/>
      <c r="GY172" s="1565"/>
      <c r="GZ172" s="1565"/>
      <c r="HA172" s="1565"/>
      <c r="HB172" s="1565"/>
      <c r="HC172" s="1565"/>
      <c r="HD172" s="1565"/>
      <c r="HE172" s="1565"/>
      <c r="HF172" s="1565"/>
      <c r="HG172" s="1565"/>
      <c r="HH172" s="1565"/>
      <c r="HI172" s="1565"/>
      <c r="HJ172" s="1565"/>
      <c r="HK172" s="1565"/>
      <c r="HL172" s="1565"/>
      <c r="HM172" s="1565"/>
      <c r="HN172" s="1565"/>
      <c r="HO172" s="1565"/>
      <c r="HP172" s="1565"/>
      <c r="HQ172" s="1565"/>
      <c r="HR172" s="1565"/>
      <c r="HS172" s="1565"/>
      <c r="HT172" s="1565"/>
      <c r="HU172" s="1565"/>
      <c r="HV172" s="1565"/>
      <c r="HW172" s="1565"/>
      <c r="HX172" s="1565"/>
      <c r="HY172" s="1565"/>
      <c r="HZ172" s="1565"/>
      <c r="IA172" s="1565"/>
      <c r="IB172" s="1565"/>
      <c r="IC172" s="1565"/>
      <c r="ID172" s="1565"/>
      <c r="IE172" s="1565"/>
      <c r="IF172" s="1565"/>
      <c r="IG172" s="1565"/>
    </row>
    <row r="173" spans="1:241" s="1552" customFormat="1" ht="18" hidden="1" customHeight="1" outlineLevel="2">
      <c r="A173" s="1552">
        <v>170</v>
      </c>
      <c r="B173" s="1589" t="s">
        <v>19</v>
      </c>
      <c r="C173" s="1590" t="s">
        <v>1996</v>
      </c>
      <c r="D173" s="1590" t="s">
        <v>1817</v>
      </c>
      <c r="E173" s="1590"/>
      <c r="F173" s="1592" t="s">
        <v>1821</v>
      </c>
      <c r="G173" s="1592" t="s">
        <v>1994</v>
      </c>
      <c r="H173" s="2132"/>
      <c r="I173" s="2132"/>
      <c r="J173" s="2132"/>
      <c r="K173" s="2132"/>
      <c r="L173" s="2132"/>
      <c r="M173" s="2132"/>
      <c r="N173" s="2132"/>
      <c r="O173" s="2132"/>
      <c r="P173" s="2132"/>
      <c r="Q173" s="2132"/>
      <c r="R173" s="2132"/>
      <c r="S173" s="2132"/>
      <c r="T173" s="2132"/>
      <c r="U173" s="2132"/>
      <c r="V173" s="2132"/>
      <c r="W173" s="2132"/>
      <c r="X173" s="2132"/>
      <c r="Y173" s="2132"/>
      <c r="Z173" s="2132"/>
      <c r="AA173" s="2132"/>
      <c r="AB173" s="2132"/>
      <c r="AC173" s="2132"/>
      <c r="AD173" s="2132"/>
      <c r="AE173" s="2132"/>
      <c r="AF173" s="2132"/>
      <c r="AG173" s="2132"/>
      <c r="AH173" s="2132"/>
      <c r="AI173" s="2132"/>
      <c r="AJ173" s="2132"/>
      <c r="AK173" s="2132"/>
      <c r="AL173" s="2132"/>
      <c r="AM173" s="2132"/>
      <c r="AN173" s="2132"/>
      <c r="AO173" s="2132"/>
      <c r="AP173" s="2132"/>
      <c r="AQ173" s="2132"/>
      <c r="AR173" s="2132"/>
      <c r="AS173" s="2132"/>
      <c r="AT173" s="2132"/>
      <c r="AU173" s="2132"/>
      <c r="AV173" s="2132"/>
      <c r="AW173" s="2132"/>
      <c r="AX173" s="2132"/>
      <c r="AY173" s="2132"/>
      <c r="AZ173" s="2132"/>
      <c r="BA173" s="2132"/>
      <c r="BB173" s="2132"/>
      <c r="BC173" s="2132"/>
      <c r="BD173" s="2132"/>
      <c r="BE173" s="2132"/>
      <c r="BF173" s="2132"/>
      <c r="BG173" s="2132"/>
      <c r="BH173" s="2132"/>
      <c r="BI173" s="2132"/>
      <c r="BJ173" s="2132"/>
      <c r="BK173" s="2132"/>
      <c r="BL173" s="2132"/>
      <c r="BM173" s="2132"/>
      <c r="BN173" s="2132"/>
      <c r="BO173" s="2132"/>
      <c r="BP173" s="2132"/>
      <c r="BQ173" s="2132">
        <f t="shared" ref="BQ173:BW173" si="309">BQ170</f>
        <v>28600</v>
      </c>
      <c r="BR173" s="2132">
        <f t="shared" si="309"/>
        <v>28600</v>
      </c>
      <c r="BS173" s="2132">
        <f t="shared" si="309"/>
        <v>28600</v>
      </c>
      <c r="BT173" s="2132">
        <f t="shared" si="309"/>
        <v>28600</v>
      </c>
      <c r="BU173" s="2132">
        <f t="shared" si="309"/>
        <v>28600</v>
      </c>
      <c r="BV173" s="2132">
        <f t="shared" si="309"/>
        <v>28600</v>
      </c>
      <c r="BW173" s="2132">
        <f t="shared" si="309"/>
        <v>28600</v>
      </c>
      <c r="BX173" s="2132"/>
      <c r="BY173" s="2132"/>
      <c r="BZ173" s="2132"/>
      <c r="CA173" s="2132"/>
      <c r="CB173" s="2132"/>
      <c r="CC173" s="2132"/>
      <c r="CD173" s="2132"/>
      <c r="CE173" s="2132"/>
      <c r="CF173" s="2132"/>
      <c r="CG173" s="2132"/>
      <c r="CH173" s="2132"/>
      <c r="CI173" s="2132"/>
      <c r="CJ173" s="2132"/>
      <c r="CK173" s="2132"/>
      <c r="CL173" s="2132"/>
      <c r="CM173" s="2132"/>
      <c r="CN173" s="2132"/>
      <c r="CO173" s="2132"/>
      <c r="CP173" s="2132"/>
      <c r="CQ173" s="2132"/>
      <c r="CR173" s="2132"/>
      <c r="CS173" s="2132"/>
      <c r="CT173" s="2132"/>
      <c r="CU173" s="2132"/>
      <c r="CV173" s="2132"/>
      <c r="CW173" s="2132"/>
      <c r="CX173" s="2132"/>
      <c r="CY173" s="2132"/>
      <c r="CZ173" s="2132"/>
      <c r="DA173" s="2132"/>
      <c r="DB173" s="2132"/>
      <c r="DC173" s="2132"/>
      <c r="DD173" s="2132"/>
      <c r="DE173" s="2132"/>
      <c r="DF173" s="2132"/>
      <c r="DG173" s="2132"/>
      <c r="DH173" s="2132"/>
      <c r="DI173" s="2132"/>
      <c r="DJ173" s="2132"/>
      <c r="DK173" s="2132"/>
      <c r="DL173" s="2132"/>
      <c r="DM173" s="2132"/>
      <c r="DN173" s="2132"/>
      <c r="DO173" s="2132"/>
      <c r="DP173" s="2132"/>
      <c r="DQ173" s="2132"/>
      <c r="DR173" s="2132"/>
      <c r="DS173" s="2132"/>
      <c r="DT173" s="2132"/>
      <c r="DU173" s="2132"/>
      <c r="DV173" s="2132"/>
      <c r="DW173" s="2132"/>
      <c r="DX173" s="2132"/>
      <c r="DY173" s="2132"/>
      <c r="DZ173" s="2132"/>
      <c r="EA173" s="2132"/>
      <c r="EB173" s="2132"/>
      <c r="EC173" s="2132"/>
      <c r="ED173" s="2132"/>
      <c r="EE173" s="2132"/>
      <c r="EF173" s="2132"/>
      <c r="EG173" s="2132"/>
      <c r="EH173" s="2132"/>
      <c r="EI173" s="2132"/>
      <c r="EJ173" s="2132">
        <f t="shared" ref="EJ173:EO173" si="310">EJ170</f>
        <v>26600</v>
      </c>
      <c r="EK173" s="2132">
        <f t="shared" si="310"/>
        <v>26600</v>
      </c>
      <c r="EL173" s="2132">
        <f t="shared" si="310"/>
        <v>26600</v>
      </c>
      <c r="EM173" s="2132">
        <f t="shared" si="310"/>
        <v>26600</v>
      </c>
      <c r="EN173" s="2132">
        <f t="shared" si="310"/>
        <v>26600</v>
      </c>
      <c r="EO173" s="2132">
        <f t="shared" si="310"/>
        <v>26600</v>
      </c>
      <c r="EP173" s="2132"/>
      <c r="EQ173" s="2132"/>
      <c r="ER173" s="2132"/>
      <c r="ES173" s="2132"/>
      <c r="ET173" s="2132"/>
      <c r="EU173" s="2132"/>
      <c r="EV173" s="2132"/>
      <c r="EW173" s="2132"/>
      <c r="EX173" s="2132"/>
      <c r="EY173" s="2132"/>
      <c r="EZ173" s="2132"/>
      <c r="FA173" s="2132"/>
      <c r="FB173" s="2132" t="str">
        <f>FB170</f>
        <v>-</v>
      </c>
      <c r="FC173" s="2132" t="str">
        <f>FC170</f>
        <v>-</v>
      </c>
      <c r="FD173" s="2132" t="str">
        <f>FD170</f>
        <v>-</v>
      </c>
      <c r="FE173" s="2133"/>
      <c r="FF173" s="2082"/>
      <c r="FG173" s="2082"/>
      <c r="FH173" s="2082"/>
      <c r="FI173" s="2082"/>
      <c r="FJ173" s="2082"/>
      <c r="FK173" s="1565"/>
      <c r="FL173" s="1565"/>
      <c r="FM173" s="1565"/>
      <c r="FN173" s="1565"/>
      <c r="FO173" s="1565"/>
      <c r="FP173" s="1565"/>
      <c r="FQ173" s="1565"/>
      <c r="FR173" s="1565"/>
      <c r="FS173" s="1565"/>
      <c r="FT173" s="1565"/>
      <c r="FU173" s="1565"/>
      <c r="FV173" s="1565"/>
      <c r="FW173" s="1565"/>
      <c r="FX173" s="1565"/>
      <c r="FY173" s="1565"/>
      <c r="FZ173" s="1565"/>
      <c r="GA173" s="1565"/>
      <c r="GB173" s="1565"/>
      <c r="GC173" s="1565"/>
      <c r="GD173" s="1565"/>
      <c r="GE173" s="1565"/>
      <c r="GF173" s="1565"/>
      <c r="GG173" s="1565"/>
      <c r="GH173" s="1565"/>
      <c r="GI173" s="1565"/>
      <c r="GJ173" s="1565"/>
      <c r="GK173" s="1565"/>
      <c r="GL173" s="1565"/>
      <c r="GM173" s="1565"/>
      <c r="GN173" s="1565"/>
      <c r="GO173" s="1565"/>
      <c r="GP173" s="1565"/>
      <c r="GQ173" s="1565"/>
      <c r="GR173" s="1565"/>
      <c r="GS173" s="1565"/>
      <c r="GT173" s="1565"/>
      <c r="GU173" s="1565"/>
      <c r="GV173" s="1565"/>
      <c r="GW173" s="1565"/>
      <c r="GX173" s="1565"/>
      <c r="GY173" s="1565"/>
      <c r="GZ173" s="1565"/>
      <c r="HA173" s="1565"/>
      <c r="HB173" s="1565"/>
      <c r="HC173" s="1565"/>
      <c r="HD173" s="1565"/>
      <c r="HE173" s="1565"/>
      <c r="HF173" s="1565"/>
      <c r="HG173" s="1565"/>
      <c r="HH173" s="1565"/>
      <c r="HI173" s="1565"/>
      <c r="HJ173" s="1565"/>
      <c r="HK173" s="1565"/>
      <c r="HL173" s="1565"/>
      <c r="HM173" s="1565"/>
      <c r="HN173" s="1565"/>
      <c r="HO173" s="1565"/>
      <c r="HP173" s="1565"/>
      <c r="HQ173" s="1565"/>
      <c r="HR173" s="1565"/>
      <c r="HS173" s="1565"/>
      <c r="HT173" s="1565"/>
      <c r="HU173" s="1565"/>
      <c r="HV173" s="1565"/>
      <c r="HW173" s="1565"/>
      <c r="HX173" s="1565"/>
      <c r="HY173" s="1565"/>
      <c r="HZ173" s="1565"/>
      <c r="IA173" s="1565"/>
      <c r="IB173" s="1565"/>
      <c r="IC173" s="1565"/>
      <c r="ID173" s="1565"/>
      <c r="IE173" s="1565"/>
      <c r="IF173" s="1565"/>
      <c r="IG173" s="1565"/>
    </row>
    <row r="174" spans="1:241" s="1552" customFormat="1" ht="18" hidden="1" customHeight="1" outlineLevel="2">
      <c r="A174" s="1549">
        <v>171</v>
      </c>
      <c r="B174" s="1589" t="s">
        <v>19</v>
      </c>
      <c r="C174" s="1590" t="s">
        <v>1996</v>
      </c>
      <c r="D174" s="1590" t="s">
        <v>1817</v>
      </c>
      <c r="E174" s="1590"/>
      <c r="F174" s="1592" t="s">
        <v>1822</v>
      </c>
      <c r="G174" s="1592" t="s">
        <v>1980</v>
      </c>
      <c r="H174" s="2132"/>
      <c r="I174" s="2132"/>
      <c r="J174" s="2132"/>
      <c r="K174" s="2132"/>
      <c r="L174" s="2132"/>
      <c r="M174" s="2132"/>
      <c r="N174" s="2132"/>
      <c r="O174" s="2132"/>
      <c r="P174" s="2132"/>
      <c r="Q174" s="2132"/>
      <c r="R174" s="2132"/>
      <c r="S174" s="2132"/>
      <c r="T174" s="2132"/>
      <c r="U174" s="2132"/>
      <c r="V174" s="2132"/>
      <c r="W174" s="2132"/>
      <c r="X174" s="2132"/>
      <c r="Y174" s="2132"/>
      <c r="Z174" s="2132"/>
      <c r="AA174" s="2132"/>
      <c r="AB174" s="2132"/>
      <c r="AC174" s="2132"/>
      <c r="AD174" s="2132"/>
      <c r="AE174" s="2132"/>
      <c r="AF174" s="2132"/>
      <c r="AG174" s="2132"/>
      <c r="AH174" s="2132"/>
      <c r="AI174" s="2132"/>
      <c r="AJ174" s="2132"/>
      <c r="AK174" s="2132"/>
      <c r="AL174" s="2132"/>
      <c r="AM174" s="2132"/>
      <c r="AN174" s="2132"/>
      <c r="AO174" s="2132"/>
      <c r="AP174" s="2132"/>
      <c r="AQ174" s="2132"/>
      <c r="AR174" s="2132"/>
      <c r="AS174" s="2132"/>
      <c r="AT174" s="2132"/>
      <c r="AU174" s="2132"/>
      <c r="AV174" s="2132"/>
      <c r="AW174" s="2132"/>
      <c r="AX174" s="2132"/>
      <c r="AY174" s="2132"/>
      <c r="AZ174" s="2132"/>
      <c r="BA174" s="2132"/>
      <c r="BB174" s="2132"/>
      <c r="BC174" s="2132"/>
      <c r="BD174" s="2132"/>
      <c r="BE174" s="2132"/>
      <c r="BF174" s="2132"/>
      <c r="BG174" s="2132"/>
      <c r="BH174" s="2132"/>
      <c r="BI174" s="2132"/>
      <c r="BJ174" s="2132"/>
      <c r="BK174" s="2132"/>
      <c r="BL174" s="2132"/>
      <c r="BM174" s="2132"/>
      <c r="BN174" s="2132"/>
      <c r="BO174" s="2132"/>
      <c r="BP174" s="2132"/>
      <c r="BQ174" s="2132">
        <f t="shared" ref="BQ174:BW174" si="311">BQ170</f>
        <v>28600</v>
      </c>
      <c r="BR174" s="2132">
        <f t="shared" si="311"/>
        <v>28600</v>
      </c>
      <c r="BS174" s="2132">
        <f t="shared" si="311"/>
        <v>28600</v>
      </c>
      <c r="BT174" s="2132">
        <f t="shared" si="311"/>
        <v>28600</v>
      </c>
      <c r="BU174" s="2132">
        <f t="shared" si="311"/>
        <v>28600</v>
      </c>
      <c r="BV174" s="2132">
        <f t="shared" si="311"/>
        <v>28600</v>
      </c>
      <c r="BW174" s="2132">
        <f t="shared" si="311"/>
        <v>28600</v>
      </c>
      <c r="BX174" s="2132"/>
      <c r="BY174" s="2132"/>
      <c r="BZ174" s="2132"/>
      <c r="CA174" s="2132"/>
      <c r="CB174" s="2132"/>
      <c r="CC174" s="2132"/>
      <c r="CD174" s="2132"/>
      <c r="CE174" s="2132"/>
      <c r="CF174" s="2132"/>
      <c r="CG174" s="2132"/>
      <c r="CH174" s="2132"/>
      <c r="CI174" s="2132"/>
      <c r="CJ174" s="2132"/>
      <c r="CK174" s="2132"/>
      <c r="CL174" s="2132"/>
      <c r="CM174" s="2132"/>
      <c r="CN174" s="2132"/>
      <c r="CO174" s="2132"/>
      <c r="CP174" s="2132"/>
      <c r="CQ174" s="2132"/>
      <c r="CR174" s="2132"/>
      <c r="CS174" s="2132"/>
      <c r="CT174" s="2132"/>
      <c r="CU174" s="2132"/>
      <c r="CV174" s="2132"/>
      <c r="CW174" s="2132"/>
      <c r="CX174" s="2132"/>
      <c r="CY174" s="2132"/>
      <c r="CZ174" s="2132"/>
      <c r="DA174" s="2132"/>
      <c r="DB174" s="2132"/>
      <c r="DC174" s="2132"/>
      <c r="DD174" s="2132"/>
      <c r="DE174" s="2132"/>
      <c r="DF174" s="2132"/>
      <c r="DG174" s="2132"/>
      <c r="DH174" s="2132"/>
      <c r="DI174" s="2132"/>
      <c r="DJ174" s="2132"/>
      <c r="DK174" s="2132"/>
      <c r="DL174" s="2132"/>
      <c r="DM174" s="2132"/>
      <c r="DN174" s="2132"/>
      <c r="DO174" s="2132"/>
      <c r="DP174" s="2132"/>
      <c r="DQ174" s="2132"/>
      <c r="DR174" s="2132"/>
      <c r="DS174" s="2132"/>
      <c r="DT174" s="2132"/>
      <c r="DU174" s="2132"/>
      <c r="DV174" s="2132"/>
      <c r="DW174" s="2132"/>
      <c r="DX174" s="2132"/>
      <c r="DY174" s="2132"/>
      <c r="DZ174" s="2132"/>
      <c r="EA174" s="2132"/>
      <c r="EB174" s="2132"/>
      <c r="EC174" s="2132"/>
      <c r="ED174" s="2132"/>
      <c r="EE174" s="2132"/>
      <c r="EF174" s="2132"/>
      <c r="EG174" s="2132"/>
      <c r="EH174" s="2132"/>
      <c r="EI174" s="2132"/>
      <c r="EJ174" s="2132">
        <f t="shared" ref="EJ174:EO174" si="312">EJ170</f>
        <v>26600</v>
      </c>
      <c r="EK174" s="2132">
        <f t="shared" si="312"/>
        <v>26600</v>
      </c>
      <c r="EL174" s="2132">
        <f t="shared" si="312"/>
        <v>26600</v>
      </c>
      <c r="EM174" s="2132">
        <f t="shared" si="312"/>
        <v>26600</v>
      </c>
      <c r="EN174" s="2132">
        <f t="shared" si="312"/>
        <v>26600</v>
      </c>
      <c r="EO174" s="2132">
        <f t="shared" si="312"/>
        <v>26600</v>
      </c>
      <c r="EP174" s="2132"/>
      <c r="EQ174" s="2132"/>
      <c r="ER174" s="2132"/>
      <c r="ES174" s="2132"/>
      <c r="ET174" s="2132"/>
      <c r="EU174" s="2132"/>
      <c r="EV174" s="2132"/>
      <c r="EW174" s="2132"/>
      <c r="EX174" s="2132"/>
      <c r="EY174" s="2132"/>
      <c r="EZ174" s="2132"/>
      <c r="FA174" s="2132"/>
      <c r="FB174" s="2132" t="str">
        <f>FB170</f>
        <v>-</v>
      </c>
      <c r="FC174" s="2132" t="str">
        <f>FC170</f>
        <v>-</v>
      </c>
      <c r="FD174" s="2132" t="str">
        <f>FD170</f>
        <v>-</v>
      </c>
      <c r="FE174" s="2133"/>
      <c r="FF174" s="2082"/>
      <c r="FG174" s="2082"/>
      <c r="FH174" s="2082"/>
      <c r="FI174" s="2082"/>
      <c r="FJ174" s="2082"/>
      <c r="FK174" s="1565"/>
      <c r="FL174" s="1565"/>
      <c r="FM174" s="1565"/>
      <c r="FN174" s="1565"/>
      <c r="FO174" s="1565"/>
      <c r="FP174" s="1565"/>
      <c r="FQ174" s="1565"/>
      <c r="FR174" s="1565"/>
      <c r="FS174" s="1565"/>
      <c r="FT174" s="1565"/>
      <c r="FU174" s="1565"/>
      <c r="FV174" s="1565"/>
      <c r="FW174" s="1565"/>
      <c r="FX174" s="1565"/>
      <c r="FY174" s="1565"/>
      <c r="FZ174" s="1565"/>
      <c r="GA174" s="1565"/>
      <c r="GB174" s="1565"/>
      <c r="GC174" s="1565"/>
      <c r="GD174" s="1565"/>
      <c r="GE174" s="1565"/>
      <c r="GF174" s="1565"/>
      <c r="GG174" s="1565"/>
      <c r="GH174" s="1565"/>
      <c r="GI174" s="1565"/>
      <c r="GJ174" s="1565"/>
      <c r="GK174" s="1565"/>
      <c r="GL174" s="1565"/>
      <c r="GM174" s="1565"/>
      <c r="GN174" s="1565"/>
      <c r="GO174" s="1565"/>
      <c r="GP174" s="1565"/>
      <c r="GQ174" s="1565"/>
      <c r="GR174" s="1565"/>
      <c r="GS174" s="1565"/>
      <c r="GT174" s="1565"/>
      <c r="GU174" s="1565"/>
      <c r="GV174" s="1565"/>
      <c r="GW174" s="1565"/>
      <c r="GX174" s="1565"/>
      <c r="GY174" s="1565"/>
      <c r="GZ174" s="1565"/>
      <c r="HA174" s="1565"/>
      <c r="HB174" s="1565"/>
      <c r="HC174" s="1565"/>
      <c r="HD174" s="1565"/>
      <c r="HE174" s="1565"/>
      <c r="HF174" s="1565"/>
      <c r="HG174" s="1565"/>
      <c r="HH174" s="1565"/>
      <c r="HI174" s="1565"/>
      <c r="HJ174" s="1565"/>
      <c r="HK174" s="1565"/>
      <c r="HL174" s="1565"/>
      <c r="HM174" s="1565"/>
      <c r="HN174" s="1565"/>
      <c r="HO174" s="1565"/>
      <c r="HP174" s="1565"/>
      <c r="HQ174" s="1565"/>
      <c r="HR174" s="1565"/>
      <c r="HS174" s="1565"/>
      <c r="HT174" s="1565"/>
      <c r="HU174" s="1565"/>
      <c r="HV174" s="1565"/>
      <c r="HW174" s="1565"/>
      <c r="HX174" s="1565"/>
      <c r="HY174" s="1565"/>
      <c r="HZ174" s="1565"/>
      <c r="IA174" s="1565"/>
      <c r="IB174" s="1565"/>
      <c r="IC174" s="1565"/>
      <c r="ID174" s="1565"/>
      <c r="IE174" s="1565"/>
      <c r="IF174" s="1565"/>
      <c r="IG174" s="1565"/>
    </row>
    <row r="175" spans="1:241" s="1552" customFormat="1" ht="18" hidden="1" customHeight="1" outlineLevel="2">
      <c r="A175" s="1552">
        <v>172</v>
      </c>
      <c r="B175" s="1589" t="s">
        <v>19</v>
      </c>
      <c r="C175" s="1590" t="s">
        <v>1996</v>
      </c>
      <c r="D175" s="1590" t="s">
        <v>1817</v>
      </c>
      <c r="E175" s="1590"/>
      <c r="F175" s="1592" t="s">
        <v>1823</v>
      </c>
      <c r="G175" s="1592" t="s">
        <v>1981</v>
      </c>
      <c r="H175" s="2132"/>
      <c r="I175" s="2132"/>
      <c r="J175" s="2132"/>
      <c r="K175" s="2132"/>
      <c r="L175" s="2132"/>
      <c r="M175" s="2132"/>
      <c r="N175" s="2132"/>
      <c r="O175" s="2132"/>
      <c r="P175" s="2132"/>
      <c r="Q175" s="2132"/>
      <c r="R175" s="2132"/>
      <c r="S175" s="2132"/>
      <c r="T175" s="2132"/>
      <c r="U175" s="2132"/>
      <c r="V175" s="2132"/>
      <c r="W175" s="2132"/>
      <c r="X175" s="2132"/>
      <c r="Y175" s="2132"/>
      <c r="Z175" s="2132"/>
      <c r="AA175" s="2132"/>
      <c r="AB175" s="2132"/>
      <c r="AC175" s="2132"/>
      <c r="AD175" s="2132"/>
      <c r="AE175" s="2132"/>
      <c r="AF175" s="2132"/>
      <c r="AG175" s="2132"/>
      <c r="AH175" s="2132"/>
      <c r="AI175" s="2132"/>
      <c r="AJ175" s="2132"/>
      <c r="AK175" s="2132"/>
      <c r="AL175" s="2132"/>
      <c r="AM175" s="2132"/>
      <c r="AN175" s="2132"/>
      <c r="AO175" s="2132"/>
      <c r="AP175" s="2132"/>
      <c r="AQ175" s="2132"/>
      <c r="AR175" s="2132"/>
      <c r="AS175" s="2132"/>
      <c r="AT175" s="2132"/>
      <c r="AU175" s="2132"/>
      <c r="AV175" s="2132"/>
      <c r="AW175" s="2132"/>
      <c r="AX175" s="2132"/>
      <c r="AY175" s="2132"/>
      <c r="AZ175" s="2132"/>
      <c r="BA175" s="2132"/>
      <c r="BB175" s="2132"/>
      <c r="BC175" s="2132"/>
      <c r="BD175" s="2132"/>
      <c r="BE175" s="2132"/>
      <c r="BF175" s="2132"/>
      <c r="BG175" s="2132"/>
      <c r="BH175" s="2132"/>
      <c r="BI175" s="2132"/>
      <c r="BJ175" s="2132"/>
      <c r="BK175" s="2132"/>
      <c r="BL175" s="2132"/>
      <c r="BM175" s="2132"/>
      <c r="BN175" s="2132"/>
      <c r="BO175" s="2132"/>
      <c r="BP175" s="2132"/>
      <c r="BQ175" s="2132">
        <f t="shared" ref="BQ175:BW175" si="313">BQ170</f>
        <v>28600</v>
      </c>
      <c r="BR175" s="2132">
        <f t="shared" si="313"/>
        <v>28600</v>
      </c>
      <c r="BS175" s="2132">
        <f t="shared" si="313"/>
        <v>28600</v>
      </c>
      <c r="BT175" s="2132">
        <f t="shared" si="313"/>
        <v>28600</v>
      </c>
      <c r="BU175" s="2132">
        <f t="shared" si="313"/>
        <v>28600</v>
      </c>
      <c r="BV175" s="2132">
        <f t="shared" si="313"/>
        <v>28600</v>
      </c>
      <c r="BW175" s="2132">
        <f t="shared" si="313"/>
        <v>28600</v>
      </c>
      <c r="BX175" s="2132"/>
      <c r="BY175" s="2132"/>
      <c r="BZ175" s="2132"/>
      <c r="CA175" s="2132"/>
      <c r="CB175" s="2132"/>
      <c r="CC175" s="2132"/>
      <c r="CD175" s="2132"/>
      <c r="CE175" s="2132"/>
      <c r="CF175" s="2132"/>
      <c r="CG175" s="2132"/>
      <c r="CH175" s="2132"/>
      <c r="CI175" s="2132"/>
      <c r="CJ175" s="2132"/>
      <c r="CK175" s="2132"/>
      <c r="CL175" s="2132"/>
      <c r="CM175" s="2132"/>
      <c r="CN175" s="2132"/>
      <c r="CO175" s="2132"/>
      <c r="CP175" s="2132"/>
      <c r="CQ175" s="2132"/>
      <c r="CR175" s="2132"/>
      <c r="CS175" s="2132"/>
      <c r="CT175" s="2132"/>
      <c r="CU175" s="2132"/>
      <c r="CV175" s="2132"/>
      <c r="CW175" s="2132"/>
      <c r="CX175" s="2132"/>
      <c r="CY175" s="2132"/>
      <c r="CZ175" s="2132"/>
      <c r="DA175" s="2132"/>
      <c r="DB175" s="2132"/>
      <c r="DC175" s="2132"/>
      <c r="DD175" s="2132"/>
      <c r="DE175" s="2132"/>
      <c r="DF175" s="2132"/>
      <c r="DG175" s="2132"/>
      <c r="DH175" s="2132"/>
      <c r="DI175" s="2132"/>
      <c r="DJ175" s="2132"/>
      <c r="DK175" s="2132"/>
      <c r="DL175" s="2132"/>
      <c r="DM175" s="2132"/>
      <c r="DN175" s="2132"/>
      <c r="DO175" s="2132"/>
      <c r="DP175" s="2132"/>
      <c r="DQ175" s="2132"/>
      <c r="DR175" s="2132"/>
      <c r="DS175" s="2132"/>
      <c r="DT175" s="2132"/>
      <c r="DU175" s="2132"/>
      <c r="DV175" s="2132"/>
      <c r="DW175" s="2132"/>
      <c r="DX175" s="2132"/>
      <c r="DY175" s="2132"/>
      <c r="DZ175" s="2132"/>
      <c r="EA175" s="2132"/>
      <c r="EB175" s="2132"/>
      <c r="EC175" s="2132"/>
      <c r="ED175" s="2132"/>
      <c r="EE175" s="2132"/>
      <c r="EF175" s="2132"/>
      <c r="EG175" s="2132"/>
      <c r="EH175" s="2132"/>
      <c r="EI175" s="2132"/>
      <c r="EJ175" s="2132">
        <f t="shared" ref="EJ175:EO175" si="314">EJ170</f>
        <v>26600</v>
      </c>
      <c r="EK175" s="2132">
        <f t="shared" si="314"/>
        <v>26600</v>
      </c>
      <c r="EL175" s="2132">
        <f t="shared" si="314"/>
        <v>26600</v>
      </c>
      <c r="EM175" s="2132">
        <f t="shared" si="314"/>
        <v>26600</v>
      </c>
      <c r="EN175" s="2132">
        <f t="shared" si="314"/>
        <v>26600</v>
      </c>
      <c r="EO175" s="2132">
        <f t="shared" si="314"/>
        <v>26600</v>
      </c>
      <c r="EP175" s="2132"/>
      <c r="EQ175" s="2132"/>
      <c r="ER175" s="2132"/>
      <c r="ES175" s="2132"/>
      <c r="ET175" s="2132"/>
      <c r="EU175" s="2132"/>
      <c r="EV175" s="2132"/>
      <c r="EW175" s="2132"/>
      <c r="EX175" s="2132"/>
      <c r="EY175" s="2132"/>
      <c r="EZ175" s="2132"/>
      <c r="FA175" s="2132"/>
      <c r="FB175" s="2132" t="str">
        <f>FB170</f>
        <v>-</v>
      </c>
      <c r="FC175" s="2132" t="str">
        <f>FC170</f>
        <v>-</v>
      </c>
      <c r="FD175" s="2132" t="str">
        <f>FD170</f>
        <v>-</v>
      </c>
      <c r="FE175" s="2133"/>
      <c r="FF175" s="2082"/>
      <c r="FG175" s="2082"/>
      <c r="FH175" s="2082"/>
      <c r="FI175" s="2082"/>
      <c r="FJ175" s="2082"/>
      <c r="FK175" s="1565"/>
      <c r="FL175" s="1565"/>
      <c r="FM175" s="1565"/>
      <c r="FN175" s="1565"/>
      <c r="FO175" s="1565"/>
      <c r="FP175" s="1565"/>
      <c r="FQ175" s="1565"/>
      <c r="FR175" s="1565"/>
      <c r="FS175" s="1565"/>
      <c r="FT175" s="1565"/>
      <c r="FU175" s="1565"/>
      <c r="FV175" s="1565"/>
      <c r="FW175" s="1565"/>
      <c r="FX175" s="1565"/>
      <c r="FY175" s="1565"/>
      <c r="FZ175" s="1565"/>
      <c r="GA175" s="1565"/>
      <c r="GB175" s="1565"/>
      <c r="GC175" s="1565"/>
      <c r="GD175" s="1565"/>
      <c r="GE175" s="1565"/>
      <c r="GF175" s="1565"/>
      <c r="GG175" s="1565"/>
      <c r="GH175" s="1565"/>
      <c r="GI175" s="1565"/>
      <c r="GJ175" s="1565"/>
      <c r="GK175" s="1565"/>
      <c r="GL175" s="1565"/>
      <c r="GM175" s="1565"/>
      <c r="GN175" s="1565"/>
      <c r="GO175" s="1565"/>
      <c r="GP175" s="1565"/>
      <c r="GQ175" s="1565"/>
      <c r="GR175" s="1565"/>
      <c r="GS175" s="1565"/>
      <c r="GT175" s="1565"/>
      <c r="GU175" s="1565"/>
      <c r="GV175" s="1565"/>
      <c r="GW175" s="1565"/>
      <c r="GX175" s="1565"/>
      <c r="GY175" s="1565"/>
      <c r="GZ175" s="1565"/>
      <c r="HA175" s="1565"/>
      <c r="HB175" s="1565"/>
      <c r="HC175" s="1565"/>
      <c r="HD175" s="1565"/>
      <c r="HE175" s="1565"/>
      <c r="HF175" s="1565"/>
      <c r="HG175" s="1565"/>
      <c r="HH175" s="1565"/>
      <c r="HI175" s="1565"/>
      <c r="HJ175" s="1565"/>
      <c r="HK175" s="1565"/>
      <c r="HL175" s="1565"/>
      <c r="HM175" s="1565"/>
      <c r="HN175" s="1565"/>
      <c r="HO175" s="1565"/>
      <c r="HP175" s="1565"/>
      <c r="HQ175" s="1565"/>
      <c r="HR175" s="1565"/>
      <c r="HS175" s="1565"/>
      <c r="HT175" s="1565"/>
      <c r="HU175" s="1565"/>
      <c r="HV175" s="1565"/>
      <c r="HW175" s="1565"/>
      <c r="HX175" s="1565"/>
      <c r="HY175" s="1565"/>
      <c r="HZ175" s="1565"/>
      <c r="IA175" s="1565"/>
      <c r="IB175" s="1565"/>
      <c r="IC175" s="1565"/>
      <c r="ID175" s="1565"/>
      <c r="IE175" s="1565"/>
      <c r="IF175" s="1565"/>
      <c r="IG175" s="1565"/>
    </row>
    <row r="176" spans="1:241" s="1552" customFormat="1" ht="18" hidden="1" customHeight="1" outlineLevel="2">
      <c r="A176" s="1549">
        <v>173</v>
      </c>
      <c r="B176" s="1589" t="s">
        <v>19</v>
      </c>
      <c r="C176" s="1590" t="s">
        <v>1996</v>
      </c>
      <c r="D176" s="1590" t="s">
        <v>1817</v>
      </c>
      <c r="E176" s="1590"/>
      <c r="F176" s="1592" t="s">
        <v>1824</v>
      </c>
      <c r="G176" s="1592" t="s">
        <v>1982</v>
      </c>
      <c r="H176" s="2132"/>
      <c r="I176" s="2132"/>
      <c r="J176" s="2132"/>
      <c r="K176" s="2132"/>
      <c r="L176" s="2132"/>
      <c r="M176" s="2132"/>
      <c r="N176" s="2132"/>
      <c r="O176" s="2132"/>
      <c r="P176" s="2132"/>
      <c r="Q176" s="2132"/>
      <c r="R176" s="2132"/>
      <c r="S176" s="2132"/>
      <c r="T176" s="2132"/>
      <c r="U176" s="2132"/>
      <c r="V176" s="2132"/>
      <c r="W176" s="2132"/>
      <c r="X176" s="2132"/>
      <c r="Y176" s="2132"/>
      <c r="Z176" s="2132"/>
      <c r="AA176" s="2132"/>
      <c r="AB176" s="2132"/>
      <c r="AC176" s="2132"/>
      <c r="AD176" s="2132"/>
      <c r="AE176" s="2132"/>
      <c r="AF176" s="2132"/>
      <c r="AG176" s="2132"/>
      <c r="AH176" s="2132"/>
      <c r="AI176" s="2132"/>
      <c r="AJ176" s="2132"/>
      <c r="AK176" s="2132"/>
      <c r="AL176" s="2132"/>
      <c r="AM176" s="2132"/>
      <c r="AN176" s="2132"/>
      <c r="AO176" s="2132"/>
      <c r="AP176" s="2132"/>
      <c r="AQ176" s="2132"/>
      <c r="AR176" s="2132"/>
      <c r="AS176" s="2132"/>
      <c r="AT176" s="2132"/>
      <c r="AU176" s="2132"/>
      <c r="AV176" s="2132"/>
      <c r="AW176" s="2132"/>
      <c r="AX176" s="2132"/>
      <c r="AY176" s="2132"/>
      <c r="AZ176" s="2132"/>
      <c r="BA176" s="2132"/>
      <c r="BB176" s="2132"/>
      <c r="BC176" s="2132"/>
      <c r="BD176" s="2132"/>
      <c r="BE176" s="2132"/>
      <c r="BF176" s="2132"/>
      <c r="BG176" s="2132"/>
      <c r="BH176" s="2132"/>
      <c r="BI176" s="2132"/>
      <c r="BJ176" s="2132"/>
      <c r="BK176" s="2132"/>
      <c r="BL176" s="2132"/>
      <c r="BM176" s="2132"/>
      <c r="BN176" s="2132"/>
      <c r="BO176" s="2132"/>
      <c r="BP176" s="2132"/>
      <c r="BQ176" s="2132">
        <f t="shared" ref="BQ176:BW176" si="315">BQ170</f>
        <v>28600</v>
      </c>
      <c r="BR176" s="2132">
        <f t="shared" si="315"/>
        <v>28600</v>
      </c>
      <c r="BS176" s="2132">
        <f t="shared" si="315"/>
        <v>28600</v>
      </c>
      <c r="BT176" s="2132">
        <f t="shared" si="315"/>
        <v>28600</v>
      </c>
      <c r="BU176" s="2132">
        <f t="shared" si="315"/>
        <v>28600</v>
      </c>
      <c r="BV176" s="2132">
        <f t="shared" si="315"/>
        <v>28600</v>
      </c>
      <c r="BW176" s="2132">
        <f t="shared" si="315"/>
        <v>28600</v>
      </c>
      <c r="BX176" s="2132"/>
      <c r="BY176" s="2132"/>
      <c r="BZ176" s="2132"/>
      <c r="CA176" s="2132"/>
      <c r="CB176" s="2132"/>
      <c r="CC176" s="2132"/>
      <c r="CD176" s="2132"/>
      <c r="CE176" s="2132"/>
      <c r="CF176" s="2132"/>
      <c r="CG176" s="2132"/>
      <c r="CH176" s="2132"/>
      <c r="CI176" s="2132"/>
      <c r="CJ176" s="2132"/>
      <c r="CK176" s="2132"/>
      <c r="CL176" s="2132"/>
      <c r="CM176" s="2132"/>
      <c r="CN176" s="2132"/>
      <c r="CO176" s="2132"/>
      <c r="CP176" s="2132"/>
      <c r="CQ176" s="2132"/>
      <c r="CR176" s="2132"/>
      <c r="CS176" s="2132"/>
      <c r="CT176" s="2132"/>
      <c r="CU176" s="2132"/>
      <c r="CV176" s="2132"/>
      <c r="CW176" s="2132"/>
      <c r="CX176" s="2132"/>
      <c r="CY176" s="2132"/>
      <c r="CZ176" s="2132"/>
      <c r="DA176" s="2132"/>
      <c r="DB176" s="2132"/>
      <c r="DC176" s="2132"/>
      <c r="DD176" s="2132"/>
      <c r="DE176" s="2132"/>
      <c r="DF176" s="2132"/>
      <c r="DG176" s="2132"/>
      <c r="DH176" s="2132"/>
      <c r="DI176" s="2132"/>
      <c r="DJ176" s="2132"/>
      <c r="DK176" s="2132"/>
      <c r="DL176" s="2132"/>
      <c r="DM176" s="2132"/>
      <c r="DN176" s="2132"/>
      <c r="DO176" s="2132"/>
      <c r="DP176" s="2132"/>
      <c r="DQ176" s="2132"/>
      <c r="DR176" s="2132"/>
      <c r="DS176" s="2132"/>
      <c r="DT176" s="2132"/>
      <c r="DU176" s="2132"/>
      <c r="DV176" s="2132"/>
      <c r="DW176" s="2132"/>
      <c r="DX176" s="2132"/>
      <c r="DY176" s="2132"/>
      <c r="DZ176" s="2132"/>
      <c r="EA176" s="2132"/>
      <c r="EB176" s="2132"/>
      <c r="EC176" s="2132"/>
      <c r="ED176" s="2132"/>
      <c r="EE176" s="2132"/>
      <c r="EF176" s="2132"/>
      <c r="EG176" s="2132"/>
      <c r="EH176" s="2132"/>
      <c r="EI176" s="2132"/>
      <c r="EJ176" s="2132">
        <f t="shared" ref="EJ176:EO176" si="316">EJ170</f>
        <v>26600</v>
      </c>
      <c r="EK176" s="2132">
        <f t="shared" si="316"/>
        <v>26600</v>
      </c>
      <c r="EL176" s="2132">
        <f t="shared" si="316"/>
        <v>26600</v>
      </c>
      <c r="EM176" s="2132">
        <f t="shared" si="316"/>
        <v>26600</v>
      </c>
      <c r="EN176" s="2132">
        <f t="shared" si="316"/>
        <v>26600</v>
      </c>
      <c r="EO176" s="2132">
        <f t="shared" si="316"/>
        <v>26600</v>
      </c>
      <c r="EP176" s="2132"/>
      <c r="EQ176" s="2132"/>
      <c r="ER176" s="2132"/>
      <c r="ES176" s="2132"/>
      <c r="ET176" s="2132"/>
      <c r="EU176" s="2132"/>
      <c r="EV176" s="2132"/>
      <c r="EW176" s="2132"/>
      <c r="EX176" s="2132"/>
      <c r="EY176" s="2132"/>
      <c r="EZ176" s="2132"/>
      <c r="FA176" s="2132"/>
      <c r="FB176" s="2132" t="str">
        <f>FB170</f>
        <v>-</v>
      </c>
      <c r="FC176" s="2132" t="str">
        <f>FC170</f>
        <v>-</v>
      </c>
      <c r="FD176" s="2132" t="str">
        <f>FD170</f>
        <v>-</v>
      </c>
      <c r="FE176" s="2133"/>
      <c r="FF176" s="2082"/>
      <c r="FG176" s="2082"/>
      <c r="FH176" s="2082"/>
      <c r="FI176" s="2082"/>
      <c r="FJ176" s="2082"/>
      <c r="FK176" s="1565"/>
      <c r="FL176" s="1565"/>
      <c r="FM176" s="1565"/>
      <c r="FN176" s="1565"/>
      <c r="FO176" s="1565"/>
      <c r="FP176" s="1565"/>
      <c r="FQ176" s="1565"/>
      <c r="FR176" s="1565"/>
      <c r="FS176" s="1565"/>
      <c r="FT176" s="1565"/>
      <c r="FU176" s="1565"/>
      <c r="FV176" s="1565"/>
      <c r="FW176" s="1565"/>
      <c r="FX176" s="1565"/>
      <c r="FY176" s="1565"/>
      <c r="FZ176" s="1565"/>
      <c r="GA176" s="1565"/>
      <c r="GB176" s="1565"/>
      <c r="GC176" s="1565"/>
      <c r="GD176" s="1565"/>
      <c r="GE176" s="1565"/>
      <c r="GF176" s="1565"/>
      <c r="GG176" s="1565"/>
      <c r="GH176" s="1565"/>
      <c r="GI176" s="1565"/>
      <c r="GJ176" s="1565"/>
      <c r="GK176" s="1565"/>
      <c r="GL176" s="1565"/>
      <c r="GM176" s="1565"/>
      <c r="GN176" s="1565"/>
      <c r="GO176" s="1565"/>
      <c r="GP176" s="1565"/>
      <c r="GQ176" s="1565"/>
      <c r="GR176" s="1565"/>
      <c r="GS176" s="1565"/>
      <c r="GT176" s="1565"/>
      <c r="GU176" s="1565"/>
      <c r="GV176" s="1565"/>
      <c r="GW176" s="1565"/>
      <c r="GX176" s="1565"/>
      <c r="GY176" s="1565"/>
      <c r="GZ176" s="1565"/>
      <c r="HA176" s="1565"/>
      <c r="HB176" s="1565"/>
      <c r="HC176" s="1565"/>
      <c r="HD176" s="1565"/>
      <c r="HE176" s="1565"/>
      <c r="HF176" s="1565"/>
      <c r="HG176" s="1565"/>
      <c r="HH176" s="1565"/>
      <c r="HI176" s="1565"/>
      <c r="HJ176" s="1565"/>
      <c r="HK176" s="1565"/>
      <c r="HL176" s="1565"/>
      <c r="HM176" s="1565"/>
      <c r="HN176" s="1565"/>
      <c r="HO176" s="1565"/>
      <c r="HP176" s="1565"/>
      <c r="HQ176" s="1565"/>
      <c r="HR176" s="1565"/>
      <c r="HS176" s="1565"/>
      <c r="HT176" s="1565"/>
      <c r="HU176" s="1565"/>
      <c r="HV176" s="1565"/>
      <c r="HW176" s="1565"/>
      <c r="HX176" s="1565"/>
      <c r="HY176" s="1565"/>
      <c r="HZ176" s="1565"/>
      <c r="IA176" s="1565"/>
      <c r="IB176" s="1565"/>
      <c r="IC176" s="1565"/>
      <c r="ID176" s="1565"/>
      <c r="IE176" s="1565"/>
      <c r="IF176" s="1565"/>
      <c r="IG176" s="1565"/>
    </row>
    <row r="177" spans="1:241" s="1552" customFormat="1" ht="27.75" hidden="1" customHeight="1" outlineLevel="2">
      <c r="A177" s="1552">
        <v>174</v>
      </c>
      <c r="B177" s="1589" t="s">
        <v>19</v>
      </c>
      <c r="C177" s="1590" t="s">
        <v>1996</v>
      </c>
      <c r="D177" s="1590" t="s">
        <v>1817</v>
      </c>
      <c r="E177" s="1590"/>
      <c r="F177" s="1592" t="s">
        <v>1825</v>
      </c>
      <c r="G177" s="1592" t="s">
        <v>1983</v>
      </c>
      <c r="H177" s="2132"/>
      <c r="I177" s="2132"/>
      <c r="J177" s="2132"/>
      <c r="K177" s="2132"/>
      <c r="L177" s="2132"/>
      <c r="M177" s="2132"/>
      <c r="N177" s="2132"/>
      <c r="O177" s="2132"/>
      <c r="P177" s="2132"/>
      <c r="Q177" s="2132"/>
      <c r="R177" s="2132"/>
      <c r="S177" s="2132"/>
      <c r="T177" s="2132"/>
      <c r="U177" s="2132"/>
      <c r="V177" s="2132"/>
      <c r="W177" s="2132"/>
      <c r="X177" s="2132"/>
      <c r="Y177" s="2132"/>
      <c r="Z177" s="2132"/>
      <c r="AA177" s="2132"/>
      <c r="AB177" s="2132"/>
      <c r="AC177" s="2132"/>
      <c r="AD177" s="2132"/>
      <c r="AE177" s="2132"/>
      <c r="AF177" s="2132"/>
      <c r="AG177" s="2132"/>
      <c r="AH177" s="2132"/>
      <c r="AI177" s="2132"/>
      <c r="AJ177" s="2132"/>
      <c r="AK177" s="2132"/>
      <c r="AL177" s="2132"/>
      <c r="AM177" s="2132"/>
      <c r="AN177" s="2132"/>
      <c r="AO177" s="2132"/>
      <c r="AP177" s="2132"/>
      <c r="AQ177" s="2132"/>
      <c r="AR177" s="2132"/>
      <c r="AS177" s="2132"/>
      <c r="AT177" s="2132"/>
      <c r="AU177" s="2132"/>
      <c r="AV177" s="2132"/>
      <c r="AW177" s="2132"/>
      <c r="AX177" s="2132"/>
      <c r="AY177" s="2132"/>
      <c r="AZ177" s="2132"/>
      <c r="BA177" s="2132"/>
      <c r="BB177" s="2132"/>
      <c r="BC177" s="2132"/>
      <c r="BD177" s="2132"/>
      <c r="BE177" s="2132"/>
      <c r="BF177" s="2132"/>
      <c r="BG177" s="2132"/>
      <c r="BH177" s="2132"/>
      <c r="BI177" s="2132"/>
      <c r="BJ177" s="2132"/>
      <c r="BK177" s="2132"/>
      <c r="BL177" s="2132"/>
      <c r="BM177" s="2132"/>
      <c r="BN177" s="2132"/>
      <c r="BO177" s="2132"/>
      <c r="BP177" s="2132"/>
      <c r="BQ177" s="2132">
        <f t="shared" ref="BQ177:BW177" si="317">BQ170</f>
        <v>28600</v>
      </c>
      <c r="BR177" s="2132">
        <f t="shared" si="317"/>
        <v>28600</v>
      </c>
      <c r="BS177" s="2132">
        <f t="shared" si="317"/>
        <v>28600</v>
      </c>
      <c r="BT177" s="2132">
        <f t="shared" si="317"/>
        <v>28600</v>
      </c>
      <c r="BU177" s="2132">
        <f t="shared" si="317"/>
        <v>28600</v>
      </c>
      <c r="BV177" s="2132">
        <f t="shared" si="317"/>
        <v>28600</v>
      </c>
      <c r="BW177" s="2132">
        <f t="shared" si="317"/>
        <v>28600</v>
      </c>
      <c r="BX177" s="2132"/>
      <c r="BY177" s="2132"/>
      <c r="BZ177" s="2132"/>
      <c r="CA177" s="2132"/>
      <c r="CB177" s="2132"/>
      <c r="CC177" s="2132"/>
      <c r="CD177" s="2132"/>
      <c r="CE177" s="2132"/>
      <c r="CF177" s="2132"/>
      <c r="CG177" s="2132"/>
      <c r="CH177" s="2132"/>
      <c r="CI177" s="2132"/>
      <c r="CJ177" s="2132"/>
      <c r="CK177" s="2132"/>
      <c r="CL177" s="2132"/>
      <c r="CM177" s="2132"/>
      <c r="CN177" s="2132"/>
      <c r="CO177" s="2132"/>
      <c r="CP177" s="2132"/>
      <c r="CQ177" s="2132"/>
      <c r="CR177" s="2132"/>
      <c r="CS177" s="2132"/>
      <c r="CT177" s="2132"/>
      <c r="CU177" s="2132"/>
      <c r="CV177" s="2132"/>
      <c r="CW177" s="2132"/>
      <c r="CX177" s="2132"/>
      <c r="CY177" s="2132"/>
      <c r="CZ177" s="2132"/>
      <c r="DA177" s="2132"/>
      <c r="DB177" s="2132"/>
      <c r="DC177" s="2132"/>
      <c r="DD177" s="2132"/>
      <c r="DE177" s="2132"/>
      <c r="DF177" s="2132"/>
      <c r="DG177" s="2132"/>
      <c r="DH177" s="2132"/>
      <c r="DI177" s="2132"/>
      <c r="DJ177" s="2132"/>
      <c r="DK177" s="2132"/>
      <c r="DL177" s="2132"/>
      <c r="DM177" s="2132"/>
      <c r="DN177" s="2132"/>
      <c r="DO177" s="2132"/>
      <c r="DP177" s="2132"/>
      <c r="DQ177" s="2132"/>
      <c r="DR177" s="2132"/>
      <c r="DS177" s="2132"/>
      <c r="DT177" s="2132"/>
      <c r="DU177" s="2132"/>
      <c r="DV177" s="2132"/>
      <c r="DW177" s="2132"/>
      <c r="DX177" s="2132"/>
      <c r="DY177" s="2132"/>
      <c r="DZ177" s="2132"/>
      <c r="EA177" s="2132"/>
      <c r="EB177" s="2132"/>
      <c r="EC177" s="2132"/>
      <c r="ED177" s="2132"/>
      <c r="EE177" s="2132"/>
      <c r="EF177" s="2132"/>
      <c r="EG177" s="2132"/>
      <c r="EH177" s="2132"/>
      <c r="EI177" s="2132"/>
      <c r="EJ177" s="2132">
        <f t="shared" ref="EJ177:EO177" si="318">EJ170</f>
        <v>26600</v>
      </c>
      <c r="EK177" s="2132">
        <f t="shared" si="318"/>
        <v>26600</v>
      </c>
      <c r="EL177" s="2132">
        <f t="shared" si="318"/>
        <v>26600</v>
      </c>
      <c r="EM177" s="2132">
        <f t="shared" si="318"/>
        <v>26600</v>
      </c>
      <c r="EN177" s="2132">
        <f t="shared" si="318"/>
        <v>26600</v>
      </c>
      <c r="EO177" s="2132">
        <f t="shared" si="318"/>
        <v>26600</v>
      </c>
      <c r="EP177" s="2132"/>
      <c r="EQ177" s="2132"/>
      <c r="ER177" s="2132"/>
      <c r="ES177" s="2132"/>
      <c r="ET177" s="2132"/>
      <c r="EU177" s="2132"/>
      <c r="EV177" s="2132"/>
      <c r="EW177" s="2132"/>
      <c r="EX177" s="2132"/>
      <c r="EY177" s="2132"/>
      <c r="EZ177" s="2132"/>
      <c r="FA177" s="2132"/>
      <c r="FB177" s="2132" t="str">
        <f>FB170</f>
        <v>-</v>
      </c>
      <c r="FC177" s="2132" t="str">
        <f>FC170</f>
        <v>-</v>
      </c>
      <c r="FD177" s="2132" t="str">
        <f>FD170</f>
        <v>-</v>
      </c>
      <c r="FE177" s="2133"/>
      <c r="FF177" s="2082"/>
      <c r="FG177" s="2082"/>
      <c r="FH177" s="2082"/>
      <c r="FI177" s="2082"/>
      <c r="FJ177" s="2082"/>
      <c r="FK177" s="1565"/>
      <c r="FL177" s="1565"/>
      <c r="FM177" s="1565"/>
      <c r="FN177" s="1565"/>
      <c r="FO177" s="1565"/>
      <c r="FP177" s="1565"/>
      <c r="FQ177" s="1565"/>
      <c r="FR177" s="1565"/>
      <c r="FS177" s="1565"/>
      <c r="FT177" s="1565"/>
      <c r="FU177" s="1565"/>
      <c r="FV177" s="1565"/>
      <c r="FW177" s="1565"/>
      <c r="FX177" s="1565"/>
      <c r="FY177" s="1565"/>
      <c r="FZ177" s="1565"/>
      <c r="GA177" s="1565"/>
      <c r="GB177" s="1565"/>
      <c r="GC177" s="1565"/>
      <c r="GD177" s="1565"/>
      <c r="GE177" s="1565"/>
      <c r="GF177" s="1565"/>
      <c r="GG177" s="1565"/>
      <c r="GH177" s="1565"/>
      <c r="GI177" s="1565"/>
      <c r="GJ177" s="1565"/>
      <c r="GK177" s="1565"/>
      <c r="GL177" s="1565"/>
      <c r="GM177" s="1565"/>
      <c r="GN177" s="1565"/>
      <c r="GO177" s="1565"/>
      <c r="GP177" s="1565"/>
      <c r="GQ177" s="1565"/>
      <c r="GR177" s="1565"/>
      <c r="GS177" s="1565"/>
      <c r="GT177" s="1565"/>
      <c r="GU177" s="1565"/>
      <c r="GV177" s="1565"/>
      <c r="GW177" s="1565"/>
      <c r="GX177" s="1565"/>
      <c r="GY177" s="1565"/>
      <c r="GZ177" s="1565"/>
      <c r="HA177" s="1565"/>
      <c r="HB177" s="1565"/>
      <c r="HC177" s="1565"/>
      <c r="HD177" s="1565"/>
      <c r="HE177" s="1565"/>
      <c r="HF177" s="1565"/>
      <c r="HG177" s="1565"/>
      <c r="HH177" s="1565"/>
      <c r="HI177" s="1565"/>
      <c r="HJ177" s="1565"/>
      <c r="HK177" s="1565"/>
      <c r="HL177" s="1565"/>
      <c r="HM177" s="1565"/>
      <c r="HN177" s="1565"/>
      <c r="HO177" s="1565"/>
      <c r="HP177" s="1565"/>
      <c r="HQ177" s="1565"/>
      <c r="HR177" s="1565"/>
      <c r="HS177" s="1565"/>
      <c r="HT177" s="1565"/>
      <c r="HU177" s="1565"/>
      <c r="HV177" s="1565"/>
      <c r="HW177" s="1565"/>
      <c r="HX177" s="1565"/>
      <c r="HY177" s="1565"/>
      <c r="HZ177" s="1565"/>
      <c r="IA177" s="1565"/>
      <c r="IB177" s="1565"/>
      <c r="IC177" s="1565"/>
      <c r="ID177" s="1565"/>
      <c r="IE177" s="1565"/>
      <c r="IF177" s="1565"/>
      <c r="IG177" s="1565"/>
    </row>
    <row r="178" spans="1:241" s="1552" customFormat="1" ht="27.75" hidden="1" customHeight="1" outlineLevel="2">
      <c r="A178" s="1549">
        <v>175</v>
      </c>
      <c r="B178" s="1589" t="s">
        <v>19</v>
      </c>
      <c r="C178" s="1590" t="s">
        <v>1996</v>
      </c>
      <c r="D178" s="1590" t="s">
        <v>1817</v>
      </c>
      <c r="E178" s="1590"/>
      <c r="F178" s="1592" t="s">
        <v>1826</v>
      </c>
      <c r="G178" s="1592" t="s">
        <v>1984</v>
      </c>
      <c r="H178" s="2132"/>
      <c r="I178" s="2132"/>
      <c r="J178" s="2132"/>
      <c r="K178" s="2132"/>
      <c r="L178" s="2132"/>
      <c r="M178" s="2132"/>
      <c r="N178" s="2132"/>
      <c r="O178" s="2132"/>
      <c r="P178" s="2132"/>
      <c r="Q178" s="2132"/>
      <c r="R178" s="2132"/>
      <c r="S178" s="2132"/>
      <c r="T178" s="2132"/>
      <c r="U178" s="2132"/>
      <c r="V178" s="2132"/>
      <c r="W178" s="2132"/>
      <c r="X178" s="2132"/>
      <c r="Y178" s="2132"/>
      <c r="Z178" s="2132"/>
      <c r="AA178" s="2132"/>
      <c r="AB178" s="2132"/>
      <c r="AC178" s="2132"/>
      <c r="AD178" s="2132"/>
      <c r="AE178" s="2132"/>
      <c r="AF178" s="2132"/>
      <c r="AG178" s="2132"/>
      <c r="AH178" s="2132"/>
      <c r="AI178" s="2132"/>
      <c r="AJ178" s="2132"/>
      <c r="AK178" s="2132"/>
      <c r="AL178" s="2132"/>
      <c r="AM178" s="2132"/>
      <c r="AN178" s="2132"/>
      <c r="AO178" s="2132"/>
      <c r="AP178" s="2132"/>
      <c r="AQ178" s="2132"/>
      <c r="AR178" s="2132"/>
      <c r="AS178" s="2132"/>
      <c r="AT178" s="2132"/>
      <c r="AU178" s="2132"/>
      <c r="AV178" s="2132"/>
      <c r="AW178" s="2132"/>
      <c r="AX178" s="2132"/>
      <c r="AY178" s="2132"/>
      <c r="AZ178" s="2132"/>
      <c r="BA178" s="2132"/>
      <c r="BB178" s="2132"/>
      <c r="BC178" s="2132"/>
      <c r="BD178" s="2132"/>
      <c r="BE178" s="2132"/>
      <c r="BF178" s="2132"/>
      <c r="BG178" s="2132"/>
      <c r="BH178" s="2132"/>
      <c r="BI178" s="2132"/>
      <c r="BJ178" s="2132"/>
      <c r="BK178" s="2132"/>
      <c r="BL178" s="2132"/>
      <c r="BM178" s="2132"/>
      <c r="BN178" s="2132"/>
      <c r="BO178" s="2132"/>
      <c r="BP178" s="2132"/>
      <c r="BQ178" s="2132">
        <f t="shared" ref="BQ178:BW178" si="319">BQ170</f>
        <v>28600</v>
      </c>
      <c r="BR178" s="2132">
        <f t="shared" si="319"/>
        <v>28600</v>
      </c>
      <c r="BS178" s="2132">
        <f t="shared" si="319"/>
        <v>28600</v>
      </c>
      <c r="BT178" s="2132">
        <f t="shared" si="319"/>
        <v>28600</v>
      </c>
      <c r="BU178" s="2132">
        <f t="shared" si="319"/>
        <v>28600</v>
      </c>
      <c r="BV178" s="2132">
        <f t="shared" si="319"/>
        <v>28600</v>
      </c>
      <c r="BW178" s="2132">
        <f t="shared" si="319"/>
        <v>28600</v>
      </c>
      <c r="BX178" s="2132"/>
      <c r="BY178" s="2132"/>
      <c r="BZ178" s="2132"/>
      <c r="CA178" s="2132"/>
      <c r="CB178" s="2132"/>
      <c r="CC178" s="2132"/>
      <c r="CD178" s="2132"/>
      <c r="CE178" s="2132"/>
      <c r="CF178" s="2132"/>
      <c r="CG178" s="2132"/>
      <c r="CH178" s="2132"/>
      <c r="CI178" s="2132"/>
      <c r="CJ178" s="2132"/>
      <c r="CK178" s="2132"/>
      <c r="CL178" s="2132"/>
      <c r="CM178" s="2132"/>
      <c r="CN178" s="2132"/>
      <c r="CO178" s="2132"/>
      <c r="CP178" s="2132"/>
      <c r="CQ178" s="2132"/>
      <c r="CR178" s="2132"/>
      <c r="CS178" s="2132"/>
      <c r="CT178" s="2132"/>
      <c r="CU178" s="2132"/>
      <c r="CV178" s="2132"/>
      <c r="CW178" s="2132"/>
      <c r="CX178" s="2132"/>
      <c r="CY178" s="2132"/>
      <c r="CZ178" s="2132"/>
      <c r="DA178" s="2132"/>
      <c r="DB178" s="2132"/>
      <c r="DC178" s="2132"/>
      <c r="DD178" s="2132"/>
      <c r="DE178" s="2132"/>
      <c r="DF178" s="2132"/>
      <c r="DG178" s="2132"/>
      <c r="DH178" s="2132"/>
      <c r="DI178" s="2132"/>
      <c r="DJ178" s="2132"/>
      <c r="DK178" s="2132"/>
      <c r="DL178" s="2132"/>
      <c r="DM178" s="2132"/>
      <c r="DN178" s="2132"/>
      <c r="DO178" s="2132"/>
      <c r="DP178" s="2132"/>
      <c r="DQ178" s="2132"/>
      <c r="DR178" s="2132"/>
      <c r="DS178" s="2132"/>
      <c r="DT178" s="2132"/>
      <c r="DU178" s="2132"/>
      <c r="DV178" s="2132"/>
      <c r="DW178" s="2132"/>
      <c r="DX178" s="2132"/>
      <c r="DY178" s="2132"/>
      <c r="DZ178" s="2132"/>
      <c r="EA178" s="2132"/>
      <c r="EB178" s="2132"/>
      <c r="EC178" s="2132"/>
      <c r="ED178" s="2132"/>
      <c r="EE178" s="2132"/>
      <c r="EF178" s="2132"/>
      <c r="EG178" s="2132"/>
      <c r="EH178" s="2132"/>
      <c r="EI178" s="2132"/>
      <c r="EJ178" s="2132">
        <f t="shared" ref="EJ178:EO178" si="320">EJ170</f>
        <v>26600</v>
      </c>
      <c r="EK178" s="2132">
        <f t="shared" si="320"/>
        <v>26600</v>
      </c>
      <c r="EL178" s="2132">
        <f t="shared" si="320"/>
        <v>26600</v>
      </c>
      <c r="EM178" s="2132">
        <f t="shared" si="320"/>
        <v>26600</v>
      </c>
      <c r="EN178" s="2132">
        <f t="shared" si="320"/>
        <v>26600</v>
      </c>
      <c r="EO178" s="2132">
        <f t="shared" si="320"/>
        <v>26600</v>
      </c>
      <c r="EP178" s="2132"/>
      <c r="EQ178" s="2132"/>
      <c r="ER178" s="2132"/>
      <c r="ES178" s="2132"/>
      <c r="ET178" s="2132"/>
      <c r="EU178" s="2132"/>
      <c r="EV178" s="2132"/>
      <c r="EW178" s="2132"/>
      <c r="EX178" s="2132"/>
      <c r="EY178" s="2132"/>
      <c r="EZ178" s="2132"/>
      <c r="FA178" s="2132"/>
      <c r="FB178" s="2132" t="str">
        <f>FB170</f>
        <v>-</v>
      </c>
      <c r="FC178" s="2132" t="str">
        <f>FC170</f>
        <v>-</v>
      </c>
      <c r="FD178" s="2132" t="str">
        <f>FD170</f>
        <v>-</v>
      </c>
      <c r="FE178" s="2133"/>
      <c r="FF178" s="2082"/>
      <c r="FG178" s="2082"/>
      <c r="FH178" s="2082"/>
      <c r="FI178" s="2082"/>
      <c r="FJ178" s="2082"/>
      <c r="FK178" s="1565"/>
      <c r="FL178" s="1565"/>
      <c r="FM178" s="1565"/>
      <c r="FN178" s="1565"/>
      <c r="FO178" s="1565"/>
      <c r="FP178" s="1565"/>
      <c r="FQ178" s="1565"/>
      <c r="FR178" s="1565"/>
      <c r="FS178" s="1565"/>
      <c r="FT178" s="1565"/>
      <c r="FU178" s="1565"/>
      <c r="FV178" s="1565"/>
      <c r="FW178" s="1565"/>
      <c r="FX178" s="1565"/>
      <c r="FY178" s="1565"/>
      <c r="FZ178" s="1565"/>
      <c r="GA178" s="1565"/>
      <c r="GB178" s="1565"/>
      <c r="GC178" s="1565"/>
      <c r="GD178" s="1565"/>
      <c r="GE178" s="1565"/>
      <c r="GF178" s="1565"/>
      <c r="GG178" s="1565"/>
      <c r="GH178" s="1565"/>
      <c r="GI178" s="1565"/>
      <c r="GJ178" s="1565"/>
      <c r="GK178" s="1565"/>
      <c r="GL178" s="1565"/>
      <c r="GM178" s="1565"/>
      <c r="GN178" s="1565"/>
      <c r="GO178" s="1565"/>
      <c r="GP178" s="1565"/>
      <c r="GQ178" s="1565"/>
      <c r="GR178" s="1565"/>
      <c r="GS178" s="1565"/>
      <c r="GT178" s="1565"/>
      <c r="GU178" s="1565"/>
      <c r="GV178" s="1565"/>
      <c r="GW178" s="1565"/>
      <c r="GX178" s="1565"/>
      <c r="GY178" s="1565"/>
      <c r="GZ178" s="1565"/>
      <c r="HA178" s="1565"/>
      <c r="HB178" s="1565"/>
      <c r="HC178" s="1565"/>
      <c r="HD178" s="1565"/>
      <c r="HE178" s="1565"/>
      <c r="HF178" s="1565"/>
      <c r="HG178" s="1565"/>
      <c r="HH178" s="1565"/>
      <c r="HI178" s="1565"/>
      <c r="HJ178" s="1565"/>
      <c r="HK178" s="1565"/>
      <c r="HL178" s="1565"/>
      <c r="HM178" s="1565"/>
      <c r="HN178" s="1565"/>
      <c r="HO178" s="1565"/>
      <c r="HP178" s="1565"/>
      <c r="HQ178" s="1565"/>
      <c r="HR178" s="1565"/>
      <c r="HS178" s="1565"/>
      <c r="HT178" s="1565"/>
      <c r="HU178" s="1565"/>
      <c r="HV178" s="1565"/>
      <c r="HW178" s="1565"/>
      <c r="HX178" s="1565"/>
      <c r="HY178" s="1565"/>
      <c r="HZ178" s="1565"/>
      <c r="IA178" s="1565"/>
      <c r="IB178" s="1565"/>
      <c r="IC178" s="1565"/>
      <c r="ID178" s="1565"/>
      <c r="IE178" s="1565"/>
      <c r="IF178" s="1565"/>
      <c r="IG178" s="1565"/>
    </row>
    <row r="179" spans="1:241" s="1552" customFormat="1" ht="18" hidden="1" customHeight="1" outlineLevel="2">
      <c r="A179" s="1552">
        <v>176</v>
      </c>
      <c r="B179" s="1589" t="s">
        <v>19</v>
      </c>
      <c r="C179" s="1590" t="s">
        <v>1996</v>
      </c>
      <c r="D179" s="1590" t="s">
        <v>1817</v>
      </c>
      <c r="E179" s="1590"/>
      <c r="F179" s="1592" t="s">
        <v>1827</v>
      </c>
      <c r="G179" s="1592" t="s">
        <v>1985</v>
      </c>
      <c r="H179" s="2132"/>
      <c r="I179" s="2132"/>
      <c r="J179" s="2132"/>
      <c r="K179" s="2132"/>
      <c r="L179" s="2132"/>
      <c r="M179" s="2132"/>
      <c r="N179" s="2132"/>
      <c r="O179" s="2132"/>
      <c r="P179" s="2132"/>
      <c r="Q179" s="2132"/>
      <c r="R179" s="2132"/>
      <c r="S179" s="2132"/>
      <c r="T179" s="2132"/>
      <c r="U179" s="2132"/>
      <c r="V179" s="2132"/>
      <c r="W179" s="2132"/>
      <c r="X179" s="2132"/>
      <c r="Y179" s="2132"/>
      <c r="Z179" s="2132"/>
      <c r="AA179" s="2132"/>
      <c r="AB179" s="2132"/>
      <c r="AC179" s="2132"/>
      <c r="AD179" s="2132"/>
      <c r="AE179" s="2132"/>
      <c r="AF179" s="2132"/>
      <c r="AG179" s="2132"/>
      <c r="AH179" s="2132"/>
      <c r="AI179" s="2132"/>
      <c r="AJ179" s="2132"/>
      <c r="AK179" s="2132"/>
      <c r="AL179" s="2132"/>
      <c r="AM179" s="2132"/>
      <c r="AN179" s="2132"/>
      <c r="AO179" s="2132"/>
      <c r="AP179" s="2132"/>
      <c r="AQ179" s="2132"/>
      <c r="AR179" s="2132"/>
      <c r="AS179" s="2132"/>
      <c r="AT179" s="2132"/>
      <c r="AU179" s="2132"/>
      <c r="AV179" s="2132"/>
      <c r="AW179" s="2132"/>
      <c r="AX179" s="2132"/>
      <c r="AY179" s="2132"/>
      <c r="AZ179" s="2132"/>
      <c r="BA179" s="2132"/>
      <c r="BB179" s="2132"/>
      <c r="BC179" s="2132"/>
      <c r="BD179" s="2132"/>
      <c r="BE179" s="2132"/>
      <c r="BF179" s="2132"/>
      <c r="BG179" s="2132"/>
      <c r="BH179" s="2132"/>
      <c r="BI179" s="2132"/>
      <c r="BJ179" s="2132"/>
      <c r="BK179" s="2132"/>
      <c r="BL179" s="2132"/>
      <c r="BM179" s="2132"/>
      <c r="BN179" s="2132"/>
      <c r="BO179" s="2132"/>
      <c r="BP179" s="2132"/>
      <c r="BQ179" s="2132">
        <f t="shared" ref="BQ179:BW179" si="321">BQ170</f>
        <v>28600</v>
      </c>
      <c r="BR179" s="2132">
        <f t="shared" si="321"/>
        <v>28600</v>
      </c>
      <c r="BS179" s="2132">
        <f t="shared" si="321"/>
        <v>28600</v>
      </c>
      <c r="BT179" s="2132">
        <f t="shared" si="321"/>
        <v>28600</v>
      </c>
      <c r="BU179" s="2132">
        <f t="shared" si="321"/>
        <v>28600</v>
      </c>
      <c r="BV179" s="2132">
        <f t="shared" si="321"/>
        <v>28600</v>
      </c>
      <c r="BW179" s="2132">
        <f t="shared" si="321"/>
        <v>28600</v>
      </c>
      <c r="BX179" s="2132"/>
      <c r="BY179" s="2132"/>
      <c r="BZ179" s="2132"/>
      <c r="CA179" s="2132"/>
      <c r="CB179" s="2132"/>
      <c r="CC179" s="2132"/>
      <c r="CD179" s="2132"/>
      <c r="CE179" s="2132"/>
      <c r="CF179" s="2132"/>
      <c r="CG179" s="2132"/>
      <c r="CH179" s="2132"/>
      <c r="CI179" s="2132"/>
      <c r="CJ179" s="2132"/>
      <c r="CK179" s="2132"/>
      <c r="CL179" s="2132"/>
      <c r="CM179" s="2132"/>
      <c r="CN179" s="2132"/>
      <c r="CO179" s="2132"/>
      <c r="CP179" s="2132"/>
      <c r="CQ179" s="2132"/>
      <c r="CR179" s="2132"/>
      <c r="CS179" s="2132"/>
      <c r="CT179" s="2132"/>
      <c r="CU179" s="2132"/>
      <c r="CV179" s="2132"/>
      <c r="CW179" s="2132"/>
      <c r="CX179" s="2132"/>
      <c r="CY179" s="2132"/>
      <c r="CZ179" s="2132"/>
      <c r="DA179" s="2132"/>
      <c r="DB179" s="2132"/>
      <c r="DC179" s="2132"/>
      <c r="DD179" s="2132"/>
      <c r="DE179" s="2132"/>
      <c r="DF179" s="2132"/>
      <c r="DG179" s="2132"/>
      <c r="DH179" s="2132"/>
      <c r="DI179" s="2132"/>
      <c r="DJ179" s="2132"/>
      <c r="DK179" s="2132"/>
      <c r="DL179" s="2132"/>
      <c r="DM179" s="2132"/>
      <c r="DN179" s="2132"/>
      <c r="DO179" s="2132"/>
      <c r="DP179" s="2132"/>
      <c r="DQ179" s="2132"/>
      <c r="DR179" s="2132"/>
      <c r="DS179" s="2132"/>
      <c r="DT179" s="2132"/>
      <c r="DU179" s="2132"/>
      <c r="DV179" s="2132"/>
      <c r="DW179" s="2132"/>
      <c r="DX179" s="2132"/>
      <c r="DY179" s="2132"/>
      <c r="DZ179" s="2132"/>
      <c r="EA179" s="2132"/>
      <c r="EB179" s="2132"/>
      <c r="EC179" s="2132"/>
      <c r="ED179" s="2132"/>
      <c r="EE179" s="2132"/>
      <c r="EF179" s="2132"/>
      <c r="EG179" s="2132"/>
      <c r="EH179" s="2132"/>
      <c r="EI179" s="2132"/>
      <c r="EJ179" s="2132">
        <f t="shared" ref="EJ179:EO179" si="322">EJ170</f>
        <v>26600</v>
      </c>
      <c r="EK179" s="2132">
        <f t="shared" si="322"/>
        <v>26600</v>
      </c>
      <c r="EL179" s="2132">
        <f t="shared" si="322"/>
        <v>26600</v>
      </c>
      <c r="EM179" s="2132">
        <f t="shared" si="322"/>
        <v>26600</v>
      </c>
      <c r="EN179" s="2132">
        <f t="shared" si="322"/>
        <v>26600</v>
      </c>
      <c r="EO179" s="2132">
        <f t="shared" si="322"/>
        <v>26600</v>
      </c>
      <c r="EP179" s="2132"/>
      <c r="EQ179" s="2132"/>
      <c r="ER179" s="2132"/>
      <c r="ES179" s="2132"/>
      <c r="ET179" s="2132"/>
      <c r="EU179" s="2132"/>
      <c r="EV179" s="2132"/>
      <c r="EW179" s="2132"/>
      <c r="EX179" s="2132"/>
      <c r="EY179" s="2132"/>
      <c r="EZ179" s="2132"/>
      <c r="FA179" s="2132"/>
      <c r="FB179" s="2132" t="str">
        <f>FB170</f>
        <v>-</v>
      </c>
      <c r="FC179" s="2132" t="str">
        <f>FC170</f>
        <v>-</v>
      </c>
      <c r="FD179" s="2132" t="str">
        <f>FD170</f>
        <v>-</v>
      </c>
      <c r="FE179" s="2133"/>
      <c r="FF179" s="2082"/>
      <c r="FG179" s="2082"/>
      <c r="FH179" s="2082"/>
      <c r="FI179" s="2082"/>
      <c r="FJ179" s="2082"/>
      <c r="FK179" s="1565"/>
      <c r="FL179" s="1565"/>
      <c r="FM179" s="1565"/>
      <c r="FN179" s="1565"/>
      <c r="FO179" s="1565"/>
      <c r="FP179" s="1565"/>
      <c r="FQ179" s="1565"/>
      <c r="FR179" s="1565"/>
      <c r="FS179" s="1565"/>
      <c r="FT179" s="1565"/>
      <c r="FU179" s="1565"/>
      <c r="FV179" s="1565"/>
      <c r="FW179" s="1565"/>
      <c r="FX179" s="1565"/>
      <c r="FY179" s="1565"/>
      <c r="FZ179" s="1565"/>
      <c r="GA179" s="1565"/>
      <c r="GB179" s="1565"/>
      <c r="GC179" s="1565"/>
      <c r="GD179" s="1565"/>
      <c r="GE179" s="1565"/>
      <c r="GF179" s="1565"/>
      <c r="GG179" s="1565"/>
      <c r="GH179" s="1565"/>
      <c r="GI179" s="1565"/>
      <c r="GJ179" s="1565"/>
      <c r="GK179" s="1565"/>
      <c r="GL179" s="1565"/>
      <c r="GM179" s="1565"/>
      <c r="GN179" s="1565"/>
      <c r="GO179" s="1565"/>
      <c r="GP179" s="1565"/>
      <c r="GQ179" s="1565"/>
      <c r="GR179" s="1565"/>
      <c r="GS179" s="1565"/>
      <c r="GT179" s="1565"/>
      <c r="GU179" s="1565"/>
      <c r="GV179" s="1565"/>
      <c r="GW179" s="1565"/>
      <c r="GX179" s="1565"/>
      <c r="GY179" s="1565"/>
      <c r="GZ179" s="1565"/>
      <c r="HA179" s="1565"/>
      <c r="HB179" s="1565"/>
      <c r="HC179" s="1565"/>
      <c r="HD179" s="1565"/>
      <c r="HE179" s="1565"/>
      <c r="HF179" s="1565"/>
      <c r="HG179" s="1565"/>
      <c r="HH179" s="1565"/>
      <c r="HI179" s="1565"/>
      <c r="HJ179" s="1565"/>
      <c r="HK179" s="1565"/>
      <c r="HL179" s="1565"/>
      <c r="HM179" s="1565"/>
      <c r="HN179" s="1565"/>
      <c r="HO179" s="1565"/>
      <c r="HP179" s="1565"/>
      <c r="HQ179" s="1565"/>
      <c r="HR179" s="1565"/>
      <c r="HS179" s="1565"/>
      <c r="HT179" s="1565"/>
      <c r="HU179" s="1565"/>
      <c r="HV179" s="1565"/>
      <c r="HW179" s="1565"/>
      <c r="HX179" s="1565"/>
      <c r="HY179" s="1565"/>
      <c r="HZ179" s="1565"/>
      <c r="IA179" s="1565"/>
      <c r="IB179" s="1565"/>
      <c r="IC179" s="1565"/>
      <c r="ID179" s="1565"/>
      <c r="IE179" s="1565"/>
      <c r="IF179" s="1565"/>
      <c r="IG179" s="1565"/>
    </row>
    <row r="180" spans="1:241" s="1552" customFormat="1" ht="18" hidden="1" customHeight="1" outlineLevel="2">
      <c r="A180" s="1549">
        <v>177</v>
      </c>
      <c r="B180" s="1589" t="s">
        <v>19</v>
      </c>
      <c r="C180" s="1590" t="s">
        <v>1996</v>
      </c>
      <c r="D180" s="1590" t="s">
        <v>1817</v>
      </c>
      <c r="E180" s="1590"/>
      <c r="F180" s="1592" t="s">
        <v>1828</v>
      </c>
      <c r="G180" s="1592"/>
      <c r="H180" s="2132"/>
      <c r="I180" s="2132"/>
      <c r="J180" s="2132"/>
      <c r="K180" s="2132"/>
      <c r="L180" s="2132"/>
      <c r="M180" s="2132"/>
      <c r="N180" s="2132"/>
      <c r="O180" s="2132"/>
      <c r="P180" s="2132"/>
      <c r="Q180" s="2132"/>
      <c r="R180" s="2132"/>
      <c r="S180" s="2132"/>
      <c r="T180" s="2132"/>
      <c r="U180" s="2132"/>
      <c r="V180" s="2132"/>
      <c r="W180" s="2132"/>
      <c r="X180" s="2132"/>
      <c r="Y180" s="2132"/>
      <c r="Z180" s="2132"/>
      <c r="AA180" s="2132"/>
      <c r="AB180" s="2132"/>
      <c r="AC180" s="2132"/>
      <c r="AD180" s="2132"/>
      <c r="AE180" s="2132"/>
      <c r="AF180" s="2132"/>
      <c r="AG180" s="2132"/>
      <c r="AH180" s="2132"/>
      <c r="AI180" s="2132"/>
      <c r="AJ180" s="2132"/>
      <c r="AK180" s="2132"/>
      <c r="AL180" s="2132"/>
      <c r="AM180" s="2132"/>
      <c r="AN180" s="2132"/>
      <c r="AO180" s="2132"/>
      <c r="AP180" s="2132"/>
      <c r="AQ180" s="2132"/>
      <c r="AR180" s="2132"/>
      <c r="AS180" s="2132"/>
      <c r="AT180" s="2132"/>
      <c r="AU180" s="2132"/>
      <c r="AV180" s="2132"/>
      <c r="AW180" s="2132"/>
      <c r="AX180" s="2132"/>
      <c r="AY180" s="2132"/>
      <c r="AZ180" s="2132"/>
      <c r="BA180" s="2132"/>
      <c r="BB180" s="2132"/>
      <c r="BC180" s="2132"/>
      <c r="BD180" s="2132"/>
      <c r="BE180" s="2132"/>
      <c r="BF180" s="2132"/>
      <c r="BG180" s="2132"/>
      <c r="BH180" s="2132"/>
      <c r="BI180" s="2132"/>
      <c r="BJ180" s="2132"/>
      <c r="BK180" s="2132"/>
      <c r="BL180" s="2132"/>
      <c r="BM180" s="2132"/>
      <c r="BN180" s="2132"/>
      <c r="BO180" s="2132"/>
      <c r="BP180" s="2132"/>
      <c r="BQ180" s="2132">
        <f t="shared" ref="BQ180:BW180" si="323">BQ170</f>
        <v>28600</v>
      </c>
      <c r="BR180" s="2132">
        <f t="shared" si="323"/>
        <v>28600</v>
      </c>
      <c r="BS180" s="2132">
        <f t="shared" si="323"/>
        <v>28600</v>
      </c>
      <c r="BT180" s="2132">
        <f t="shared" si="323"/>
        <v>28600</v>
      </c>
      <c r="BU180" s="2132">
        <f t="shared" si="323"/>
        <v>28600</v>
      </c>
      <c r="BV180" s="2132">
        <f t="shared" si="323"/>
        <v>28600</v>
      </c>
      <c r="BW180" s="2132">
        <f t="shared" si="323"/>
        <v>28600</v>
      </c>
      <c r="BX180" s="2132"/>
      <c r="BY180" s="2132"/>
      <c r="BZ180" s="2132"/>
      <c r="CA180" s="2132"/>
      <c r="CB180" s="2132"/>
      <c r="CC180" s="2132"/>
      <c r="CD180" s="2132"/>
      <c r="CE180" s="2132"/>
      <c r="CF180" s="2132"/>
      <c r="CG180" s="2132"/>
      <c r="CH180" s="2132"/>
      <c r="CI180" s="2132"/>
      <c r="CJ180" s="2132"/>
      <c r="CK180" s="2132"/>
      <c r="CL180" s="2132"/>
      <c r="CM180" s="2132"/>
      <c r="CN180" s="2132"/>
      <c r="CO180" s="2132"/>
      <c r="CP180" s="2132"/>
      <c r="CQ180" s="2132"/>
      <c r="CR180" s="2132"/>
      <c r="CS180" s="2132"/>
      <c r="CT180" s="2132"/>
      <c r="CU180" s="2132"/>
      <c r="CV180" s="2132"/>
      <c r="CW180" s="2132"/>
      <c r="CX180" s="2132"/>
      <c r="CY180" s="2132"/>
      <c r="CZ180" s="2132"/>
      <c r="DA180" s="2132"/>
      <c r="DB180" s="2132"/>
      <c r="DC180" s="2132"/>
      <c r="DD180" s="2132"/>
      <c r="DE180" s="2132"/>
      <c r="DF180" s="2132"/>
      <c r="DG180" s="2132"/>
      <c r="DH180" s="2132"/>
      <c r="DI180" s="2132"/>
      <c r="DJ180" s="2132"/>
      <c r="DK180" s="2132"/>
      <c r="DL180" s="2132"/>
      <c r="DM180" s="2132"/>
      <c r="DN180" s="2132"/>
      <c r="DO180" s="2132"/>
      <c r="DP180" s="2132"/>
      <c r="DQ180" s="2132"/>
      <c r="DR180" s="2132"/>
      <c r="DS180" s="2132"/>
      <c r="DT180" s="2132"/>
      <c r="DU180" s="2132"/>
      <c r="DV180" s="2132"/>
      <c r="DW180" s="2132"/>
      <c r="DX180" s="2132"/>
      <c r="DY180" s="2132"/>
      <c r="DZ180" s="2132"/>
      <c r="EA180" s="2132"/>
      <c r="EB180" s="2132"/>
      <c r="EC180" s="2132"/>
      <c r="ED180" s="2132"/>
      <c r="EE180" s="2132"/>
      <c r="EF180" s="2132"/>
      <c r="EG180" s="2132"/>
      <c r="EH180" s="2132"/>
      <c r="EI180" s="2132"/>
      <c r="EJ180" s="2132">
        <f t="shared" ref="EJ180:EO180" si="324">EJ170</f>
        <v>26600</v>
      </c>
      <c r="EK180" s="2132">
        <f t="shared" si="324"/>
        <v>26600</v>
      </c>
      <c r="EL180" s="2132">
        <f t="shared" si="324"/>
        <v>26600</v>
      </c>
      <c r="EM180" s="2132">
        <f t="shared" si="324"/>
        <v>26600</v>
      </c>
      <c r="EN180" s="2132">
        <f t="shared" si="324"/>
        <v>26600</v>
      </c>
      <c r="EO180" s="2132">
        <f t="shared" si="324"/>
        <v>26600</v>
      </c>
      <c r="EP180" s="2132"/>
      <c r="EQ180" s="2132"/>
      <c r="ER180" s="2132"/>
      <c r="ES180" s="2132"/>
      <c r="ET180" s="2132"/>
      <c r="EU180" s="2132"/>
      <c r="EV180" s="2132"/>
      <c r="EW180" s="2132"/>
      <c r="EX180" s="2132"/>
      <c r="EY180" s="2132"/>
      <c r="EZ180" s="2132"/>
      <c r="FA180" s="2132"/>
      <c r="FB180" s="2132" t="str">
        <f>FB170</f>
        <v>-</v>
      </c>
      <c r="FC180" s="2132" t="str">
        <f>FC170</f>
        <v>-</v>
      </c>
      <c r="FD180" s="2132" t="str">
        <f>FD170</f>
        <v>-</v>
      </c>
      <c r="FE180" s="2133"/>
      <c r="FF180" s="2082"/>
      <c r="FG180" s="2082"/>
      <c r="FH180" s="2082"/>
      <c r="FI180" s="2082"/>
      <c r="FJ180" s="2082"/>
      <c r="FK180" s="1565"/>
      <c r="FL180" s="1565"/>
      <c r="FM180" s="1565"/>
      <c r="FN180" s="1565"/>
      <c r="FO180" s="1565"/>
      <c r="FP180" s="1565"/>
      <c r="FQ180" s="1565"/>
      <c r="FR180" s="1565"/>
      <c r="FS180" s="1565"/>
      <c r="FT180" s="1565"/>
      <c r="FU180" s="1565"/>
      <c r="FV180" s="1565"/>
      <c r="FW180" s="1565"/>
      <c r="FX180" s="1565"/>
      <c r="FY180" s="1565"/>
      <c r="FZ180" s="1565"/>
      <c r="GA180" s="1565"/>
      <c r="GB180" s="1565"/>
      <c r="GC180" s="1565"/>
      <c r="GD180" s="1565"/>
      <c r="GE180" s="1565"/>
      <c r="GF180" s="1565"/>
      <c r="GG180" s="1565"/>
      <c r="GH180" s="1565"/>
      <c r="GI180" s="1565"/>
      <c r="GJ180" s="1565"/>
      <c r="GK180" s="1565"/>
      <c r="GL180" s="1565"/>
      <c r="GM180" s="1565"/>
      <c r="GN180" s="1565"/>
      <c r="GO180" s="1565"/>
      <c r="GP180" s="1565"/>
      <c r="GQ180" s="1565"/>
      <c r="GR180" s="1565"/>
      <c r="GS180" s="1565"/>
      <c r="GT180" s="1565"/>
      <c r="GU180" s="1565"/>
      <c r="GV180" s="1565"/>
      <c r="GW180" s="1565"/>
      <c r="GX180" s="1565"/>
      <c r="GY180" s="1565"/>
      <c r="GZ180" s="1565"/>
      <c r="HA180" s="1565"/>
      <c r="HB180" s="1565"/>
      <c r="HC180" s="1565"/>
      <c r="HD180" s="1565"/>
      <c r="HE180" s="1565"/>
      <c r="HF180" s="1565"/>
      <c r="HG180" s="1565"/>
      <c r="HH180" s="1565"/>
      <c r="HI180" s="1565"/>
      <c r="HJ180" s="1565"/>
      <c r="HK180" s="1565"/>
      <c r="HL180" s="1565"/>
      <c r="HM180" s="1565"/>
      <c r="HN180" s="1565"/>
      <c r="HO180" s="1565"/>
      <c r="HP180" s="1565"/>
      <c r="HQ180" s="1565"/>
      <c r="HR180" s="1565"/>
      <c r="HS180" s="1565"/>
      <c r="HT180" s="1565"/>
      <c r="HU180" s="1565"/>
      <c r="HV180" s="1565"/>
      <c r="HW180" s="1565"/>
      <c r="HX180" s="1565"/>
      <c r="HY180" s="1565"/>
      <c r="HZ180" s="1565"/>
      <c r="IA180" s="1565"/>
      <c r="IB180" s="1565"/>
      <c r="IC180" s="1565"/>
      <c r="ID180" s="1565"/>
      <c r="IE180" s="1565"/>
      <c r="IF180" s="1565"/>
      <c r="IG180" s="1565"/>
    </row>
    <row r="181" spans="1:241" s="1552" customFormat="1" ht="18" hidden="1" customHeight="1" outlineLevel="2">
      <c r="A181" s="1552">
        <v>178</v>
      </c>
      <c r="B181" s="1589" t="s">
        <v>19</v>
      </c>
      <c r="C181" s="1590" t="s">
        <v>1996</v>
      </c>
      <c r="D181" s="1590" t="s">
        <v>1817</v>
      </c>
      <c r="E181" s="1590"/>
      <c r="F181" s="1592" t="s">
        <v>1829</v>
      </c>
      <c r="G181" s="1592" t="s">
        <v>1995</v>
      </c>
      <c r="H181" s="2132"/>
      <c r="I181" s="2132"/>
      <c r="J181" s="2132"/>
      <c r="K181" s="2132"/>
      <c r="L181" s="2132"/>
      <c r="M181" s="2132"/>
      <c r="N181" s="2132"/>
      <c r="O181" s="2132"/>
      <c r="P181" s="2132"/>
      <c r="Q181" s="2132"/>
      <c r="R181" s="2132"/>
      <c r="S181" s="2132"/>
      <c r="T181" s="2132"/>
      <c r="U181" s="2132"/>
      <c r="V181" s="2132"/>
      <c r="W181" s="2132"/>
      <c r="X181" s="2132"/>
      <c r="Y181" s="2132"/>
      <c r="Z181" s="2132"/>
      <c r="AA181" s="2132"/>
      <c r="AB181" s="2132"/>
      <c r="AC181" s="2132"/>
      <c r="AD181" s="2132"/>
      <c r="AE181" s="2132"/>
      <c r="AF181" s="2132"/>
      <c r="AG181" s="2132"/>
      <c r="AH181" s="2132"/>
      <c r="AI181" s="2132"/>
      <c r="AJ181" s="2132"/>
      <c r="AK181" s="2132"/>
      <c r="AL181" s="2132"/>
      <c r="AM181" s="2132"/>
      <c r="AN181" s="2132"/>
      <c r="AO181" s="2132"/>
      <c r="AP181" s="2132"/>
      <c r="AQ181" s="2132"/>
      <c r="AR181" s="2132"/>
      <c r="AS181" s="2132"/>
      <c r="AT181" s="2132"/>
      <c r="AU181" s="2132"/>
      <c r="AV181" s="2132"/>
      <c r="AW181" s="2132"/>
      <c r="AX181" s="2132"/>
      <c r="AY181" s="2132"/>
      <c r="AZ181" s="2132"/>
      <c r="BA181" s="2132"/>
      <c r="BB181" s="2132"/>
      <c r="BC181" s="2132"/>
      <c r="BD181" s="2132"/>
      <c r="BE181" s="2132"/>
      <c r="BF181" s="2132"/>
      <c r="BG181" s="2132"/>
      <c r="BH181" s="2132"/>
      <c r="BI181" s="2132"/>
      <c r="BJ181" s="2132"/>
      <c r="BK181" s="2132"/>
      <c r="BL181" s="2132"/>
      <c r="BM181" s="2132"/>
      <c r="BN181" s="2132"/>
      <c r="BO181" s="2132"/>
      <c r="BP181" s="2132"/>
      <c r="BQ181" s="2132">
        <f t="shared" ref="BQ181:BW181" si="325">CEILING(BQ170*1.2, 5)</f>
        <v>34320</v>
      </c>
      <c r="BR181" s="2132">
        <f t="shared" si="325"/>
        <v>34320</v>
      </c>
      <c r="BS181" s="2132">
        <f t="shared" si="325"/>
        <v>34320</v>
      </c>
      <c r="BT181" s="2132">
        <f t="shared" si="325"/>
        <v>34320</v>
      </c>
      <c r="BU181" s="2132">
        <f t="shared" si="325"/>
        <v>34320</v>
      </c>
      <c r="BV181" s="2132">
        <f t="shared" si="325"/>
        <v>34320</v>
      </c>
      <c r="BW181" s="2132">
        <f t="shared" si="325"/>
        <v>34320</v>
      </c>
      <c r="BX181" s="2132"/>
      <c r="BY181" s="2132"/>
      <c r="BZ181" s="2132"/>
      <c r="CA181" s="2132"/>
      <c r="CB181" s="2132"/>
      <c r="CC181" s="2132"/>
      <c r="CD181" s="2132"/>
      <c r="CE181" s="2132"/>
      <c r="CF181" s="2132"/>
      <c r="CG181" s="2132"/>
      <c r="CH181" s="2132"/>
      <c r="CI181" s="2132"/>
      <c r="CJ181" s="2132"/>
      <c r="CK181" s="2132"/>
      <c r="CL181" s="2132"/>
      <c r="CM181" s="2132"/>
      <c r="CN181" s="2132"/>
      <c r="CO181" s="2132"/>
      <c r="CP181" s="2132"/>
      <c r="CQ181" s="2132"/>
      <c r="CR181" s="2132"/>
      <c r="CS181" s="2132"/>
      <c r="CT181" s="2132"/>
      <c r="CU181" s="2132"/>
      <c r="CV181" s="2132"/>
      <c r="CW181" s="2132"/>
      <c r="CX181" s="2132"/>
      <c r="CY181" s="2132"/>
      <c r="CZ181" s="2132"/>
      <c r="DA181" s="2132"/>
      <c r="DB181" s="2132"/>
      <c r="DC181" s="2132"/>
      <c r="DD181" s="2132"/>
      <c r="DE181" s="2132"/>
      <c r="DF181" s="2132"/>
      <c r="DG181" s="2132"/>
      <c r="DH181" s="2132"/>
      <c r="DI181" s="2132"/>
      <c r="DJ181" s="2132"/>
      <c r="DK181" s="2132"/>
      <c r="DL181" s="2132"/>
      <c r="DM181" s="2132"/>
      <c r="DN181" s="2132"/>
      <c r="DO181" s="2132"/>
      <c r="DP181" s="2132"/>
      <c r="DQ181" s="2132"/>
      <c r="DR181" s="2132"/>
      <c r="DS181" s="2132"/>
      <c r="DT181" s="2132"/>
      <c r="DU181" s="2132"/>
      <c r="DV181" s="2132"/>
      <c r="DW181" s="2132"/>
      <c r="DX181" s="2132"/>
      <c r="DY181" s="2132"/>
      <c r="DZ181" s="2132"/>
      <c r="EA181" s="2132"/>
      <c r="EB181" s="2132"/>
      <c r="EC181" s="2132"/>
      <c r="ED181" s="2132"/>
      <c r="EE181" s="2132"/>
      <c r="EF181" s="2132"/>
      <c r="EG181" s="2132"/>
      <c r="EH181" s="2132"/>
      <c r="EI181" s="2132"/>
      <c r="EJ181" s="2132">
        <f t="shared" ref="EJ181:EO181" si="326">CEILING(EJ170*1.2, 5)</f>
        <v>31920</v>
      </c>
      <c r="EK181" s="2132">
        <f t="shared" si="326"/>
        <v>31920</v>
      </c>
      <c r="EL181" s="2132">
        <f t="shared" si="326"/>
        <v>31920</v>
      </c>
      <c r="EM181" s="2132">
        <f t="shared" si="326"/>
        <v>31920</v>
      </c>
      <c r="EN181" s="2132">
        <f t="shared" si="326"/>
        <v>31920</v>
      </c>
      <c r="EO181" s="2132">
        <f t="shared" si="326"/>
        <v>31920</v>
      </c>
      <c r="EP181" s="2132"/>
      <c r="EQ181" s="2132"/>
      <c r="ER181" s="2132"/>
      <c r="ES181" s="2132"/>
      <c r="ET181" s="2132"/>
      <c r="EU181" s="2132"/>
      <c r="EV181" s="2132"/>
      <c r="EW181" s="2132"/>
      <c r="EX181" s="2132"/>
      <c r="EY181" s="2132"/>
      <c r="EZ181" s="2132"/>
      <c r="FA181" s="2132"/>
      <c r="FB181" s="2132" t="e">
        <f>CEILING(FB170*1.2, 5)</f>
        <v>#VALUE!</v>
      </c>
      <c r="FC181" s="2132" t="e">
        <f>CEILING(FC170*1.2, 5)</f>
        <v>#VALUE!</v>
      </c>
      <c r="FD181" s="2132" t="e">
        <f>CEILING(FD170*1.2, 5)</f>
        <v>#VALUE!</v>
      </c>
      <c r="FE181" s="2133"/>
      <c r="FF181" s="2082"/>
      <c r="FG181" s="2082"/>
      <c r="FH181" s="2082"/>
      <c r="FI181" s="2082"/>
      <c r="FJ181" s="2082"/>
      <c r="FK181" s="1565"/>
      <c r="FL181" s="1565"/>
      <c r="FM181" s="1565"/>
      <c r="FN181" s="1565"/>
      <c r="FO181" s="1565"/>
      <c r="FP181" s="1565"/>
      <c r="FQ181" s="1565"/>
      <c r="FR181" s="1565"/>
      <c r="FS181" s="1565"/>
      <c r="FT181" s="1565"/>
      <c r="FU181" s="1565"/>
      <c r="FV181" s="1565"/>
      <c r="FW181" s="1565"/>
      <c r="FX181" s="1565"/>
      <c r="FY181" s="1565"/>
      <c r="FZ181" s="1565"/>
      <c r="GA181" s="1565"/>
      <c r="GB181" s="1565"/>
      <c r="GC181" s="1565"/>
      <c r="GD181" s="1565"/>
      <c r="GE181" s="1565"/>
      <c r="GF181" s="1565"/>
      <c r="GG181" s="1565"/>
      <c r="GH181" s="1565"/>
      <c r="GI181" s="1565"/>
      <c r="GJ181" s="1565"/>
      <c r="GK181" s="1565"/>
      <c r="GL181" s="1565"/>
      <c r="GM181" s="1565"/>
      <c r="GN181" s="1565"/>
      <c r="GO181" s="1565"/>
      <c r="GP181" s="1565"/>
      <c r="GQ181" s="1565"/>
      <c r="GR181" s="1565"/>
      <c r="GS181" s="1565"/>
      <c r="GT181" s="1565"/>
      <c r="GU181" s="1565"/>
      <c r="GV181" s="1565"/>
      <c r="GW181" s="1565"/>
      <c r="GX181" s="1565"/>
      <c r="GY181" s="1565"/>
      <c r="GZ181" s="1565"/>
      <c r="HA181" s="1565"/>
      <c r="HB181" s="1565"/>
      <c r="HC181" s="1565"/>
      <c r="HD181" s="1565"/>
      <c r="HE181" s="1565"/>
      <c r="HF181" s="1565"/>
      <c r="HG181" s="1565"/>
      <c r="HH181" s="1565"/>
      <c r="HI181" s="1565"/>
      <c r="HJ181" s="1565"/>
      <c r="HK181" s="1565"/>
      <c r="HL181" s="1565"/>
      <c r="HM181" s="1565"/>
      <c r="HN181" s="1565"/>
      <c r="HO181" s="1565"/>
      <c r="HP181" s="1565"/>
      <c r="HQ181" s="1565"/>
      <c r="HR181" s="1565"/>
      <c r="HS181" s="1565"/>
      <c r="HT181" s="1565"/>
      <c r="HU181" s="1565"/>
      <c r="HV181" s="1565"/>
      <c r="HW181" s="1565"/>
      <c r="HX181" s="1565"/>
      <c r="HY181" s="1565"/>
      <c r="HZ181" s="1565"/>
      <c r="IA181" s="1565"/>
      <c r="IB181" s="1565"/>
      <c r="IC181" s="1565"/>
      <c r="ID181" s="1565"/>
      <c r="IE181" s="1565"/>
      <c r="IF181" s="1565"/>
      <c r="IG181" s="1565"/>
    </row>
    <row r="182" spans="1:241" s="1565" customFormat="1" ht="18" hidden="1" customHeight="1" outlineLevel="1" collapsed="1">
      <c r="B182" s="1593"/>
      <c r="C182" s="1594"/>
      <c r="D182" s="1594"/>
      <c r="E182" s="1594"/>
      <c r="F182" s="1595"/>
      <c r="G182" s="1595"/>
      <c r="H182" s="2134"/>
      <c r="I182" s="2134"/>
      <c r="J182" s="2134"/>
      <c r="K182" s="2134"/>
      <c r="L182" s="2134"/>
      <c r="M182" s="2134"/>
      <c r="N182" s="2134"/>
      <c r="O182" s="2134"/>
      <c r="P182" s="2134"/>
      <c r="Q182" s="2134"/>
      <c r="R182" s="2134"/>
      <c r="S182" s="2134"/>
      <c r="T182" s="2134"/>
      <c r="U182" s="2134"/>
      <c r="V182" s="2134"/>
      <c r="W182" s="2134"/>
      <c r="X182" s="2134"/>
      <c r="Y182" s="2134"/>
      <c r="Z182" s="2134"/>
      <c r="AA182" s="2066"/>
      <c r="AB182" s="2066"/>
      <c r="AC182" s="2066"/>
      <c r="AD182" s="2066"/>
      <c r="AE182" s="2066"/>
      <c r="AF182" s="2066"/>
      <c r="AG182" s="2066"/>
      <c r="AH182" s="2066"/>
      <c r="AI182" s="2066"/>
      <c r="AJ182" s="2066"/>
      <c r="AK182" s="2066"/>
      <c r="AL182" s="2066"/>
      <c r="AM182" s="2066"/>
      <c r="AN182" s="2066"/>
      <c r="AO182" s="2066"/>
      <c r="AP182" s="2066"/>
      <c r="AQ182" s="2066"/>
      <c r="AR182" s="2066"/>
      <c r="AS182" s="2066"/>
      <c r="AT182" s="2066"/>
      <c r="AU182" s="2082"/>
      <c r="AV182" s="2082"/>
      <c r="AW182" s="2082"/>
      <c r="AX182" s="2082"/>
      <c r="AY182" s="2082"/>
      <c r="AZ182" s="2082"/>
      <c r="BA182" s="2082"/>
      <c r="BB182" s="2082"/>
      <c r="BC182" s="2082"/>
      <c r="BD182" s="2082"/>
      <c r="BE182" s="2082"/>
      <c r="BF182" s="2082"/>
      <c r="BG182" s="2082"/>
      <c r="BH182" s="2082"/>
      <c r="BI182" s="2082"/>
      <c r="BJ182" s="2082"/>
      <c r="BK182" s="2082"/>
      <c r="BL182" s="2082"/>
      <c r="BM182" s="2082"/>
      <c r="BN182" s="2082"/>
      <c r="BO182" s="2082"/>
      <c r="BP182" s="2082"/>
      <c r="BQ182" s="2082"/>
      <c r="BR182" s="2082"/>
      <c r="BS182" s="2082"/>
      <c r="BT182" s="2082"/>
      <c r="BU182" s="2082"/>
      <c r="BV182" s="2082"/>
      <c r="BW182" s="2082"/>
      <c r="BX182" s="2082"/>
      <c r="BY182" s="2082"/>
      <c r="BZ182" s="2082"/>
      <c r="CA182" s="2082"/>
      <c r="CB182" s="2082"/>
      <c r="CC182" s="2082"/>
      <c r="CD182" s="2082"/>
      <c r="CE182" s="2082"/>
      <c r="CF182" s="2082"/>
      <c r="CG182" s="2082"/>
      <c r="CH182" s="2082"/>
      <c r="CI182" s="2082"/>
      <c r="CJ182" s="2082"/>
      <c r="CK182" s="2082"/>
      <c r="CL182" s="2082"/>
      <c r="CM182" s="2082"/>
      <c r="CN182" s="2082"/>
      <c r="CO182" s="2082"/>
      <c r="CP182" s="2082"/>
      <c r="CQ182" s="2082"/>
      <c r="CR182" s="2082"/>
      <c r="CS182" s="2082"/>
      <c r="CT182" s="2082"/>
      <c r="CU182" s="2082"/>
      <c r="CV182" s="2082"/>
      <c r="CW182" s="2082"/>
      <c r="CX182" s="2082"/>
      <c r="CY182" s="2082"/>
      <c r="CZ182" s="2082"/>
      <c r="DA182" s="2082"/>
      <c r="DB182" s="2082"/>
      <c r="DC182" s="2082"/>
      <c r="DD182" s="2082"/>
      <c r="DE182" s="2082"/>
      <c r="DF182" s="2082"/>
      <c r="DG182" s="2082"/>
      <c r="DH182" s="2082"/>
      <c r="DI182" s="2082"/>
      <c r="DJ182" s="2082"/>
      <c r="DK182" s="2082"/>
      <c r="DL182" s="2082"/>
      <c r="DM182" s="2082"/>
      <c r="DN182" s="2082"/>
      <c r="DO182" s="2082"/>
      <c r="DP182" s="2082"/>
      <c r="DQ182" s="2082"/>
      <c r="DR182" s="2082"/>
      <c r="DS182" s="2082"/>
      <c r="DT182" s="2082"/>
      <c r="DU182" s="2082"/>
      <c r="DV182" s="2082"/>
      <c r="DW182" s="2082"/>
      <c r="DX182" s="2082"/>
      <c r="DY182" s="2082"/>
      <c r="DZ182" s="2082"/>
      <c r="EA182" s="2082"/>
      <c r="EB182" s="2082"/>
      <c r="EC182" s="2082"/>
      <c r="ED182" s="2082"/>
      <c r="EE182" s="2082"/>
      <c r="EF182" s="2082"/>
      <c r="EG182" s="2082"/>
      <c r="EH182" s="2082"/>
      <c r="EI182" s="2082"/>
      <c r="EJ182" s="2082"/>
      <c r="EK182" s="2082"/>
      <c r="EL182" s="2082"/>
      <c r="EM182" s="2082"/>
      <c r="EN182" s="2082"/>
      <c r="EO182" s="2082"/>
      <c r="EP182" s="2082"/>
      <c r="EQ182" s="2082"/>
      <c r="ER182" s="2082"/>
      <c r="ES182" s="2082"/>
      <c r="ET182" s="2082"/>
      <c r="EU182" s="2082"/>
      <c r="EV182" s="2082"/>
      <c r="EW182" s="2082"/>
      <c r="EX182" s="2082"/>
      <c r="EY182" s="2082"/>
      <c r="EZ182" s="2082"/>
      <c r="FA182" s="2082"/>
      <c r="FB182" s="2082"/>
      <c r="FC182" s="2082"/>
      <c r="FD182" s="2082"/>
      <c r="FE182" s="2082"/>
      <c r="FF182" s="2082"/>
      <c r="FG182" s="2082"/>
      <c r="FH182" s="2082"/>
      <c r="FI182" s="2082"/>
      <c r="FJ182" s="2082"/>
    </row>
    <row r="183" spans="1:241" s="1565" customFormat="1" ht="18" hidden="1" customHeight="1" outlineLevel="1">
      <c r="B183" s="1593"/>
      <c r="C183" s="1594"/>
      <c r="D183" s="1594"/>
      <c r="E183" s="1594"/>
      <c r="F183" s="1595"/>
      <c r="G183" s="1595"/>
      <c r="H183" s="2134"/>
      <c r="I183" s="2134"/>
      <c r="J183" s="2134"/>
      <c r="K183" s="2134"/>
      <c r="L183" s="2134"/>
      <c r="M183" s="2134"/>
      <c r="N183" s="2134"/>
      <c r="O183" s="2134"/>
      <c r="P183" s="2134"/>
      <c r="Q183" s="2134"/>
      <c r="R183" s="2134"/>
      <c r="S183" s="2134"/>
      <c r="T183" s="2134"/>
      <c r="U183" s="2134"/>
      <c r="V183" s="2134"/>
      <c r="W183" s="2134"/>
      <c r="X183" s="2134"/>
      <c r="Y183" s="2134"/>
      <c r="Z183" s="2134"/>
      <c r="AA183" s="2066"/>
      <c r="AB183" s="2066"/>
      <c r="AC183" s="2066"/>
      <c r="AD183" s="2066"/>
      <c r="AE183" s="2066"/>
      <c r="AF183" s="2066"/>
      <c r="AG183" s="2066"/>
      <c r="AH183" s="2066"/>
      <c r="AI183" s="2066"/>
      <c r="AJ183" s="2066"/>
      <c r="AK183" s="2066"/>
      <c r="AL183" s="2066"/>
      <c r="AM183" s="2066"/>
      <c r="AN183" s="2066"/>
      <c r="AO183" s="2066"/>
      <c r="AP183" s="2066"/>
      <c r="AQ183" s="2066"/>
      <c r="AR183" s="2066"/>
      <c r="AS183" s="2066"/>
      <c r="AT183" s="2066"/>
      <c r="AU183" s="2082"/>
      <c r="AV183" s="2082"/>
      <c r="AW183" s="2082"/>
      <c r="AX183" s="2082"/>
      <c r="AY183" s="2082"/>
      <c r="AZ183" s="2082"/>
      <c r="BA183" s="2082"/>
      <c r="BB183" s="2082"/>
      <c r="BC183" s="2082"/>
      <c r="BD183" s="2082"/>
      <c r="BE183" s="2082"/>
      <c r="BF183" s="2082"/>
      <c r="BG183" s="2082"/>
      <c r="BH183" s="2082"/>
      <c r="BI183" s="2082"/>
      <c r="BJ183" s="2082"/>
      <c r="BK183" s="2082"/>
      <c r="BL183" s="2082"/>
      <c r="BM183" s="2082"/>
      <c r="BN183" s="2082"/>
      <c r="BO183" s="2082"/>
      <c r="BP183" s="2082"/>
      <c r="BQ183" s="2082"/>
      <c r="BR183" s="2082"/>
      <c r="BS183" s="2082"/>
      <c r="BT183" s="2082"/>
      <c r="BU183" s="2082"/>
      <c r="BV183" s="2082"/>
      <c r="BW183" s="2082"/>
      <c r="BX183" s="2082"/>
      <c r="BY183" s="2082"/>
      <c r="BZ183" s="2082"/>
      <c r="CA183" s="2082"/>
      <c r="CB183" s="2082"/>
      <c r="CC183" s="2082"/>
      <c r="CD183" s="2082"/>
      <c r="CE183" s="2082"/>
      <c r="CF183" s="2082"/>
      <c r="CG183" s="2082"/>
      <c r="CH183" s="2082"/>
      <c r="CI183" s="2082"/>
      <c r="CJ183" s="2082"/>
      <c r="CK183" s="2082"/>
      <c r="CL183" s="2082"/>
      <c r="CM183" s="2082"/>
      <c r="CN183" s="2082"/>
      <c r="CO183" s="2082"/>
      <c r="CP183" s="2082"/>
      <c r="CQ183" s="2082"/>
      <c r="CR183" s="2082"/>
      <c r="CS183" s="2082"/>
      <c r="CT183" s="2082"/>
      <c r="CU183" s="2082"/>
      <c r="CV183" s="2082"/>
      <c r="CW183" s="2082"/>
      <c r="CX183" s="2082"/>
      <c r="CY183" s="2082"/>
      <c r="CZ183" s="2082"/>
      <c r="DA183" s="2082"/>
      <c r="DB183" s="2082"/>
      <c r="DC183" s="2082"/>
      <c r="DD183" s="2082"/>
      <c r="DE183" s="2082"/>
      <c r="DF183" s="2082"/>
      <c r="DG183" s="2082"/>
      <c r="DH183" s="2082"/>
      <c r="DI183" s="2082"/>
      <c r="DJ183" s="2082"/>
      <c r="DK183" s="2082"/>
      <c r="DL183" s="2082"/>
      <c r="DM183" s="2082"/>
      <c r="DN183" s="2082"/>
      <c r="DO183" s="2082"/>
      <c r="DP183" s="2082"/>
      <c r="DQ183" s="2082"/>
      <c r="DR183" s="2082"/>
      <c r="DS183" s="2082"/>
      <c r="DT183" s="2082"/>
      <c r="DU183" s="2082"/>
      <c r="DV183" s="2082"/>
      <c r="DW183" s="2082"/>
      <c r="DX183" s="2082"/>
      <c r="DY183" s="2082"/>
      <c r="DZ183" s="2082"/>
      <c r="EA183" s="2082"/>
      <c r="EB183" s="2082"/>
      <c r="EC183" s="2082"/>
      <c r="ED183" s="2082"/>
      <c r="EE183" s="2082"/>
      <c r="EF183" s="2082"/>
      <c r="EG183" s="2082"/>
      <c r="EH183" s="2082"/>
      <c r="EI183" s="2082"/>
      <c r="EJ183" s="2082"/>
      <c r="EK183" s="2082"/>
      <c r="EL183" s="2082"/>
      <c r="EM183" s="2082"/>
      <c r="EN183" s="2082"/>
      <c r="EO183" s="2082"/>
      <c r="EP183" s="2082"/>
      <c r="EQ183" s="2082"/>
      <c r="ER183" s="2082"/>
      <c r="ES183" s="2082"/>
      <c r="ET183" s="2082"/>
      <c r="EU183" s="2082"/>
      <c r="EV183" s="2082"/>
      <c r="EW183" s="2082"/>
      <c r="EX183" s="2082"/>
      <c r="EY183" s="2082"/>
      <c r="EZ183" s="2082"/>
      <c r="FA183" s="2082"/>
      <c r="FB183" s="2082"/>
      <c r="FC183" s="2082"/>
      <c r="FD183" s="2082"/>
      <c r="FE183" s="2082"/>
      <c r="FF183" s="2082"/>
      <c r="FG183" s="2082"/>
      <c r="FH183" s="2082"/>
      <c r="FI183" s="2082"/>
      <c r="FJ183" s="2082"/>
    </row>
    <row r="184" spans="1:241" s="1286" customFormat="1" ht="18" hidden="1" customHeight="1" outlineLevel="1">
      <c r="B184" s="1596"/>
      <c r="C184" s="1597"/>
      <c r="D184" s="1597"/>
      <c r="E184" s="1597"/>
      <c r="F184" s="1598"/>
      <c r="G184" s="1598"/>
      <c r="H184" s="2135"/>
      <c r="I184" s="2135"/>
      <c r="J184" s="2135"/>
      <c r="K184" s="2135"/>
      <c r="L184" s="2135"/>
      <c r="M184" s="2135"/>
      <c r="N184" s="2135"/>
      <c r="O184" s="2135"/>
      <c r="P184" s="2135"/>
      <c r="Q184" s="2135"/>
      <c r="R184" s="2135"/>
      <c r="S184" s="2135"/>
      <c r="T184" s="2135"/>
      <c r="U184" s="2135"/>
      <c r="V184" s="2135"/>
      <c r="W184" s="2135"/>
      <c r="X184" s="2135"/>
      <c r="Y184" s="2135"/>
      <c r="Z184" s="2135"/>
      <c r="AA184" s="2057"/>
      <c r="AB184" s="2057"/>
      <c r="AC184" s="2057"/>
      <c r="AD184" s="2057"/>
      <c r="AE184" s="2057"/>
      <c r="AF184" s="2057"/>
      <c r="AG184" s="2057"/>
      <c r="AH184" s="2057"/>
      <c r="AI184" s="2057"/>
      <c r="AJ184" s="2057"/>
      <c r="AK184" s="2057"/>
      <c r="AL184" s="2057"/>
      <c r="AM184" s="2057"/>
      <c r="AN184" s="2057"/>
      <c r="AO184" s="2057"/>
      <c r="AP184" s="2057"/>
      <c r="AQ184" s="2057"/>
      <c r="AR184" s="2057"/>
      <c r="AS184" s="2057"/>
      <c r="AT184" s="2057"/>
      <c r="AU184" s="2029"/>
      <c r="AV184" s="2029"/>
      <c r="AW184" s="2029"/>
      <c r="AX184" s="2029"/>
      <c r="AY184" s="2029"/>
      <c r="AZ184" s="2029"/>
      <c r="BA184" s="2029"/>
      <c r="BB184" s="2029"/>
      <c r="BC184" s="2029"/>
      <c r="BD184" s="2029"/>
      <c r="BE184" s="2029"/>
      <c r="BF184" s="2029"/>
      <c r="BG184" s="2029"/>
      <c r="BH184" s="2029"/>
      <c r="BI184" s="2029"/>
      <c r="BJ184" s="2029"/>
      <c r="BK184" s="2029"/>
      <c r="BL184" s="2029"/>
      <c r="BM184" s="2029"/>
      <c r="BN184" s="2029"/>
      <c r="BO184" s="2029"/>
      <c r="BP184" s="2029"/>
      <c r="BQ184" s="2029"/>
      <c r="BR184" s="2029"/>
      <c r="BS184" s="2029"/>
      <c r="BT184" s="2029"/>
      <c r="BU184" s="2029"/>
      <c r="BV184" s="2029"/>
      <c r="BW184" s="2029"/>
      <c r="BX184" s="2029"/>
      <c r="BY184" s="2029"/>
      <c r="BZ184" s="2029"/>
      <c r="CA184" s="2029"/>
      <c r="CB184" s="2029"/>
      <c r="CC184" s="2029"/>
      <c r="CD184" s="2029"/>
      <c r="CE184" s="2029"/>
      <c r="CF184" s="2029"/>
      <c r="CG184" s="2029"/>
      <c r="CH184" s="2029"/>
      <c r="CI184" s="2029"/>
      <c r="CJ184" s="2029"/>
      <c r="CK184" s="2029"/>
      <c r="CL184" s="2029"/>
      <c r="CM184" s="2029"/>
      <c r="CN184" s="2029"/>
      <c r="CO184" s="2029"/>
      <c r="CP184" s="2029"/>
      <c r="CQ184" s="2029"/>
      <c r="CR184" s="2029"/>
      <c r="CS184" s="2029"/>
      <c r="CT184" s="2029"/>
      <c r="CU184" s="2029"/>
      <c r="CV184" s="2029"/>
      <c r="CW184" s="2029"/>
      <c r="CX184" s="2029"/>
      <c r="CY184" s="2029"/>
      <c r="CZ184" s="2029"/>
      <c r="DA184" s="2029"/>
      <c r="DB184" s="2029"/>
      <c r="DC184" s="2029"/>
      <c r="DD184" s="2029"/>
      <c r="DE184" s="2029"/>
      <c r="DF184" s="2029"/>
      <c r="DG184" s="2029"/>
      <c r="DH184" s="2029"/>
      <c r="DI184" s="2029"/>
      <c r="DJ184" s="2029"/>
      <c r="DK184" s="2029"/>
      <c r="DL184" s="2029"/>
      <c r="DM184" s="2029"/>
      <c r="DN184" s="2029"/>
      <c r="DO184" s="2029"/>
      <c r="DP184" s="2029"/>
      <c r="DQ184" s="2029"/>
      <c r="DR184" s="2029"/>
      <c r="DS184" s="2029"/>
      <c r="DT184" s="2029"/>
      <c r="DU184" s="2029"/>
      <c r="DV184" s="2029"/>
      <c r="DW184" s="2029"/>
      <c r="DX184" s="2029"/>
      <c r="DY184" s="2029"/>
      <c r="DZ184" s="2029"/>
      <c r="EA184" s="2029"/>
      <c r="EB184" s="2029"/>
      <c r="EC184" s="2029"/>
      <c r="ED184" s="2029"/>
      <c r="EE184" s="2029"/>
      <c r="EF184" s="2029"/>
      <c r="EG184" s="2029"/>
      <c r="EH184" s="2029"/>
      <c r="EI184" s="2029"/>
      <c r="EJ184" s="2029"/>
      <c r="EK184" s="2029"/>
      <c r="EL184" s="2029"/>
      <c r="EM184" s="2029"/>
      <c r="EN184" s="2029"/>
      <c r="EO184" s="2029"/>
      <c r="EP184" s="2029"/>
      <c r="EQ184" s="2029"/>
      <c r="ER184" s="2029"/>
      <c r="ES184" s="2029"/>
      <c r="ET184" s="2029"/>
      <c r="EU184" s="2029"/>
      <c r="EV184" s="2029"/>
      <c r="EW184" s="2029"/>
      <c r="EX184" s="2029"/>
      <c r="EY184" s="2029"/>
      <c r="EZ184" s="2029"/>
      <c r="FA184" s="2029"/>
      <c r="FB184" s="2029"/>
      <c r="FC184" s="2029"/>
      <c r="FD184" s="2029"/>
      <c r="FE184" s="2029"/>
      <c r="FF184" s="2029"/>
      <c r="FG184" s="2029"/>
      <c r="FH184" s="2029"/>
      <c r="FI184" s="2029"/>
      <c r="FJ184" s="2029"/>
    </row>
    <row r="185" spans="1:241" s="1286" customFormat="1" ht="18" customHeight="1" collapsed="1">
      <c r="B185" s="1596"/>
      <c r="C185" s="1597"/>
      <c r="D185" s="1597"/>
      <c r="E185" s="1597"/>
      <c r="F185" s="1598"/>
      <c r="G185" s="1598"/>
      <c r="H185" s="2135"/>
      <c r="I185" s="2135"/>
      <c r="J185" s="2135"/>
      <c r="K185" s="2135"/>
      <c r="L185" s="2135"/>
      <c r="M185" s="2135"/>
      <c r="N185" s="2135"/>
      <c r="O185" s="2135"/>
      <c r="P185" s="2135"/>
      <c r="Q185" s="2135"/>
      <c r="R185" s="2135"/>
      <c r="S185" s="2135"/>
      <c r="T185" s="2135"/>
      <c r="U185" s="2135"/>
      <c r="V185" s="2135"/>
      <c r="W185" s="2135"/>
      <c r="X185" s="2135"/>
      <c r="Y185" s="2135"/>
      <c r="Z185" s="2135"/>
      <c r="AA185" s="2057"/>
      <c r="AB185" s="2057"/>
      <c r="AC185" s="2057"/>
      <c r="AD185" s="2057"/>
      <c r="AE185" s="2057"/>
      <c r="AF185" s="2057"/>
      <c r="AG185" s="2057"/>
      <c r="AH185" s="2057"/>
      <c r="AI185" s="2057"/>
      <c r="AJ185" s="2057"/>
      <c r="AK185" s="2057"/>
      <c r="AL185" s="2057"/>
      <c r="AM185" s="2057"/>
      <c r="AN185" s="2057"/>
      <c r="AO185" s="2057"/>
      <c r="AP185" s="2057"/>
      <c r="AQ185" s="2057"/>
      <c r="AR185" s="2057"/>
      <c r="AS185" s="2057"/>
      <c r="AT185" s="2057"/>
      <c r="AU185" s="2029"/>
      <c r="AV185" s="2029"/>
      <c r="AW185" s="2029"/>
      <c r="AX185" s="2029"/>
      <c r="AY185" s="2029"/>
      <c r="AZ185" s="2029"/>
      <c r="BA185" s="2029"/>
      <c r="BB185" s="2029"/>
      <c r="BC185" s="2029"/>
      <c r="BD185" s="2029"/>
      <c r="BE185" s="2029"/>
      <c r="BF185" s="2029"/>
      <c r="BG185" s="2029"/>
      <c r="BH185" s="2029"/>
      <c r="BI185" s="2029"/>
      <c r="BJ185" s="2029"/>
      <c r="BK185" s="2029"/>
      <c r="BL185" s="2029"/>
      <c r="BM185" s="2029"/>
      <c r="BN185" s="2029"/>
      <c r="BO185" s="2029"/>
      <c r="BP185" s="2029"/>
      <c r="BQ185" s="2029"/>
      <c r="BR185" s="2029"/>
      <c r="BS185" s="2029"/>
      <c r="BT185" s="2029"/>
      <c r="BU185" s="2029"/>
      <c r="BV185" s="2029"/>
      <c r="BW185" s="2029"/>
      <c r="BX185" s="2029"/>
      <c r="BY185" s="2029"/>
      <c r="BZ185" s="2029"/>
      <c r="CA185" s="2029"/>
      <c r="CB185" s="2029"/>
      <c r="CC185" s="2029"/>
      <c r="CD185" s="2029"/>
      <c r="CE185" s="2029"/>
      <c r="CF185" s="2029"/>
      <c r="CG185" s="2029"/>
      <c r="CH185" s="2029"/>
      <c r="CI185" s="2029"/>
      <c r="CJ185" s="2029"/>
      <c r="CK185" s="2029"/>
      <c r="CL185" s="2029"/>
      <c r="CM185" s="2029"/>
      <c r="CN185" s="2029"/>
      <c r="CO185" s="2029"/>
      <c r="CP185" s="2029"/>
      <c r="CQ185" s="2029"/>
      <c r="CR185" s="2029"/>
      <c r="CS185" s="2029"/>
      <c r="CT185" s="2029"/>
      <c r="CU185" s="2029"/>
      <c r="CV185" s="2029"/>
      <c r="CW185" s="2029"/>
      <c r="CX185" s="2029"/>
      <c r="CY185" s="2029"/>
      <c r="CZ185" s="2029"/>
      <c r="DA185" s="2029"/>
      <c r="DB185" s="2029"/>
      <c r="DC185" s="2029"/>
      <c r="DD185" s="2029"/>
      <c r="DE185" s="2029"/>
      <c r="DF185" s="2029"/>
      <c r="DG185" s="2029"/>
      <c r="DH185" s="2029"/>
      <c r="DI185" s="2029"/>
      <c r="DJ185" s="2029"/>
      <c r="DK185" s="2029"/>
      <c r="DL185" s="2029"/>
      <c r="DM185" s="2029"/>
      <c r="DN185" s="2029"/>
      <c r="DO185" s="2029"/>
      <c r="DP185" s="2029"/>
      <c r="DQ185" s="2029"/>
      <c r="DR185" s="2029"/>
      <c r="DS185" s="2029"/>
      <c r="DT185" s="2029"/>
      <c r="DU185" s="2029"/>
      <c r="DV185" s="2029"/>
      <c r="DW185" s="2029"/>
      <c r="DX185" s="2029"/>
      <c r="DY185" s="2029"/>
      <c r="DZ185" s="2029"/>
      <c r="EA185" s="2029"/>
      <c r="EB185" s="2029"/>
      <c r="EC185" s="2029"/>
      <c r="ED185" s="2029"/>
      <c r="EE185" s="2029"/>
      <c r="EF185" s="2029"/>
      <c r="EG185" s="2029"/>
      <c r="EH185" s="2029"/>
      <c r="EI185" s="2029"/>
      <c r="EJ185" s="2029"/>
      <c r="EK185" s="2029"/>
      <c r="EL185" s="2029"/>
      <c r="EM185" s="2029"/>
      <c r="EN185" s="2029"/>
      <c r="EO185" s="2029"/>
      <c r="EP185" s="2029"/>
      <c r="EQ185" s="2029"/>
      <c r="ER185" s="2029"/>
      <c r="ES185" s="2029"/>
      <c r="ET185" s="2029"/>
      <c r="EU185" s="2029"/>
      <c r="EV185" s="2029"/>
      <c r="EW185" s="2029"/>
      <c r="EX185" s="2029"/>
      <c r="EY185" s="2029"/>
      <c r="EZ185" s="2029"/>
      <c r="FA185" s="2029"/>
      <c r="FB185" s="2029"/>
      <c r="FC185" s="2029"/>
      <c r="FD185" s="2029"/>
      <c r="FE185" s="2029"/>
      <c r="FF185" s="2029"/>
      <c r="FG185" s="2029"/>
      <c r="FH185" s="2029"/>
      <c r="FI185" s="2029"/>
      <c r="FJ185" s="2029"/>
    </row>
    <row r="186" spans="1:241" s="1286" customFormat="1" ht="18" customHeight="1">
      <c r="B186" s="1596"/>
      <c r="C186" s="1597"/>
      <c r="D186" s="1597"/>
      <c r="E186" s="1597"/>
      <c r="F186" s="1598"/>
      <c r="G186" s="1598"/>
      <c r="H186" s="2135"/>
      <c r="I186" s="2135"/>
      <c r="J186" s="2135"/>
      <c r="K186" s="2135"/>
      <c r="L186" s="2135"/>
      <c r="M186" s="2135"/>
      <c r="N186" s="2135"/>
      <c r="O186" s="2135"/>
      <c r="P186" s="2135"/>
      <c r="Q186" s="2135"/>
      <c r="R186" s="2135"/>
      <c r="S186" s="2135"/>
      <c r="T186" s="2135"/>
      <c r="U186" s="2135"/>
      <c r="V186" s="2135"/>
      <c r="W186" s="2135"/>
      <c r="X186" s="2135"/>
      <c r="Y186" s="2135"/>
      <c r="Z186" s="2135"/>
      <c r="AA186" s="2057"/>
      <c r="AB186" s="2057"/>
      <c r="AC186" s="2057"/>
      <c r="AD186" s="2057"/>
      <c r="AE186" s="2057"/>
      <c r="AF186" s="2057"/>
      <c r="AG186" s="2057"/>
      <c r="AH186" s="2057"/>
      <c r="AI186" s="2057"/>
      <c r="AJ186" s="2057"/>
      <c r="AK186" s="2057"/>
      <c r="AL186" s="2057"/>
      <c r="AM186" s="2057"/>
      <c r="AN186" s="2057"/>
      <c r="AO186" s="2057"/>
      <c r="AP186" s="2057"/>
      <c r="AQ186" s="2057"/>
      <c r="AR186" s="2057"/>
      <c r="AS186" s="2057"/>
      <c r="AT186" s="2057"/>
      <c r="AU186" s="2029"/>
      <c r="AV186" s="2029"/>
      <c r="AW186" s="2029"/>
      <c r="AX186" s="2029"/>
      <c r="AY186" s="2029"/>
      <c r="AZ186" s="2029"/>
      <c r="BA186" s="2029"/>
      <c r="BB186" s="2029"/>
      <c r="BC186" s="2029"/>
      <c r="BD186" s="2029"/>
      <c r="BE186" s="2029"/>
      <c r="BF186" s="2029"/>
      <c r="BG186" s="2029"/>
      <c r="BH186" s="2029"/>
      <c r="BI186" s="2029"/>
      <c r="BJ186" s="2029"/>
      <c r="BK186" s="2029"/>
      <c r="BL186" s="2029"/>
      <c r="BM186" s="2029"/>
      <c r="BN186" s="2029"/>
      <c r="BO186" s="2029"/>
      <c r="BP186" s="2029"/>
      <c r="BQ186" s="2029"/>
      <c r="BR186" s="2029"/>
      <c r="BS186" s="2029"/>
      <c r="BT186" s="2029"/>
      <c r="BU186" s="2029"/>
      <c r="BV186" s="2029"/>
      <c r="BW186" s="2029"/>
      <c r="BX186" s="2029"/>
      <c r="BY186" s="2029"/>
      <c r="BZ186" s="2029"/>
      <c r="CA186" s="2029"/>
      <c r="CB186" s="2029"/>
      <c r="CC186" s="2029"/>
      <c r="CD186" s="2029"/>
      <c r="CE186" s="2029"/>
      <c r="CF186" s="2029"/>
      <c r="CG186" s="2029"/>
      <c r="CH186" s="2029"/>
      <c r="CI186" s="2029"/>
      <c r="CJ186" s="2029"/>
      <c r="CK186" s="2029"/>
      <c r="CL186" s="2029"/>
      <c r="CM186" s="2029"/>
      <c r="CN186" s="2029"/>
      <c r="CO186" s="2029"/>
      <c r="CP186" s="2029"/>
      <c r="CQ186" s="2029"/>
      <c r="CR186" s="2029"/>
      <c r="CS186" s="2029"/>
      <c r="CT186" s="2029"/>
      <c r="CU186" s="2029"/>
      <c r="CV186" s="2029"/>
      <c r="CW186" s="2029"/>
      <c r="CX186" s="2029"/>
      <c r="CY186" s="2029"/>
      <c r="CZ186" s="2029"/>
      <c r="DA186" s="2029"/>
      <c r="DB186" s="2029"/>
      <c r="DC186" s="2029"/>
      <c r="DD186" s="2029"/>
      <c r="DE186" s="2029"/>
      <c r="DF186" s="2029"/>
      <c r="DG186" s="2029"/>
      <c r="DH186" s="2029"/>
      <c r="DI186" s="2029"/>
      <c r="DJ186" s="2029"/>
      <c r="DK186" s="2029"/>
      <c r="DL186" s="2029"/>
      <c r="DM186" s="2029"/>
      <c r="DN186" s="2029"/>
      <c r="DO186" s="2029"/>
      <c r="DP186" s="2029"/>
      <c r="DQ186" s="2029"/>
      <c r="DR186" s="2029"/>
      <c r="DS186" s="2029"/>
      <c r="DT186" s="2029"/>
      <c r="DU186" s="2029"/>
      <c r="DV186" s="2029"/>
      <c r="DW186" s="2029"/>
      <c r="DX186" s="2029"/>
      <c r="DY186" s="2029"/>
      <c r="DZ186" s="2029"/>
      <c r="EA186" s="2029"/>
      <c r="EB186" s="2029"/>
      <c r="EC186" s="2029"/>
      <c r="ED186" s="2029"/>
      <c r="EE186" s="2029"/>
      <c r="EF186" s="2029"/>
      <c r="EG186" s="2029"/>
      <c r="EH186" s="2029"/>
      <c r="EI186" s="2029"/>
      <c r="EJ186" s="2029"/>
      <c r="EK186" s="2029"/>
      <c r="EL186" s="2029"/>
      <c r="EM186" s="2029"/>
      <c r="EN186" s="2029"/>
      <c r="EO186" s="2029"/>
      <c r="EP186" s="2029"/>
      <c r="EQ186" s="2029"/>
      <c r="ER186" s="2029"/>
      <c r="ES186" s="2029"/>
      <c r="ET186" s="2029"/>
      <c r="EU186" s="2029"/>
      <c r="EV186" s="2029"/>
      <c r="EW186" s="2029"/>
      <c r="EX186" s="2029"/>
      <c r="EY186" s="2029"/>
      <c r="EZ186" s="2029"/>
      <c r="FA186" s="2029"/>
      <c r="FB186" s="2029"/>
      <c r="FC186" s="2029"/>
      <c r="FD186" s="2029"/>
      <c r="FE186" s="2029"/>
      <c r="FF186" s="2029"/>
      <c r="FG186" s="2029"/>
      <c r="FH186" s="2029"/>
      <c r="FI186" s="2029"/>
      <c r="FJ186" s="2029"/>
    </row>
    <row r="187" spans="1:241" s="1286" customFormat="1" ht="18" customHeight="1">
      <c r="B187" s="1596"/>
      <c r="C187" s="1597"/>
      <c r="D187" s="1597"/>
      <c r="E187" s="1597"/>
      <c r="F187" s="1598"/>
      <c r="G187" s="1598"/>
      <c r="H187" s="2135"/>
      <c r="I187" s="2135"/>
      <c r="J187" s="2135"/>
      <c r="K187" s="2135"/>
      <c r="L187" s="2135"/>
      <c r="M187" s="2135"/>
      <c r="N187" s="2135"/>
      <c r="O187" s="2135"/>
      <c r="P187" s="2135"/>
      <c r="Q187" s="2135"/>
      <c r="R187" s="2135"/>
      <c r="S187" s="2135"/>
      <c r="T187" s="2135"/>
      <c r="U187" s="2135"/>
      <c r="V187" s="2135"/>
      <c r="W187" s="2135"/>
      <c r="X187" s="2135"/>
      <c r="Y187" s="2135"/>
      <c r="Z187" s="2135"/>
      <c r="AA187" s="2057"/>
      <c r="AB187" s="2057"/>
      <c r="AC187" s="2057"/>
      <c r="AD187" s="2057"/>
      <c r="AE187" s="2057"/>
      <c r="AF187" s="2057"/>
      <c r="AG187" s="2057"/>
      <c r="AH187" s="2057"/>
      <c r="AI187" s="2057"/>
      <c r="AJ187" s="2057"/>
      <c r="AK187" s="2057"/>
      <c r="AL187" s="2057"/>
      <c r="AM187" s="2057"/>
      <c r="AN187" s="2057"/>
      <c r="AO187" s="2057"/>
      <c r="AP187" s="2057"/>
      <c r="AQ187" s="2057"/>
      <c r="AR187" s="2057"/>
      <c r="AS187" s="2057"/>
      <c r="AT187" s="2057"/>
      <c r="AU187" s="2029"/>
      <c r="AV187" s="2029"/>
      <c r="AW187" s="2029"/>
      <c r="AX187" s="2029"/>
      <c r="AY187" s="2029"/>
      <c r="AZ187" s="2029"/>
      <c r="BA187" s="2029"/>
      <c r="BB187" s="2029"/>
      <c r="BC187" s="2029"/>
      <c r="BD187" s="2029"/>
      <c r="BE187" s="2029"/>
      <c r="BF187" s="2029"/>
      <c r="BG187" s="2029"/>
      <c r="BH187" s="2029"/>
      <c r="BI187" s="2029"/>
      <c r="BJ187" s="2029"/>
      <c r="BK187" s="2029"/>
      <c r="BL187" s="2029"/>
      <c r="BM187" s="2029"/>
      <c r="BN187" s="2029"/>
      <c r="BO187" s="2029"/>
      <c r="BP187" s="2029"/>
      <c r="BQ187" s="2029"/>
      <c r="BR187" s="2029"/>
      <c r="BS187" s="2029"/>
      <c r="BT187" s="2029"/>
      <c r="BU187" s="2029"/>
      <c r="BV187" s="2029"/>
      <c r="BW187" s="2029"/>
      <c r="BX187" s="2029"/>
      <c r="BY187" s="2029"/>
      <c r="BZ187" s="2029"/>
      <c r="CA187" s="2029"/>
      <c r="CB187" s="2029"/>
      <c r="CC187" s="2029"/>
      <c r="CD187" s="2029"/>
      <c r="CE187" s="2029"/>
      <c r="CF187" s="2029"/>
      <c r="CG187" s="2029"/>
      <c r="CH187" s="2029"/>
      <c r="CI187" s="2029"/>
      <c r="CJ187" s="2029"/>
      <c r="CK187" s="2029"/>
      <c r="CL187" s="2029"/>
      <c r="CM187" s="2029"/>
      <c r="CN187" s="2029"/>
      <c r="CO187" s="2029"/>
      <c r="CP187" s="2029"/>
      <c r="CQ187" s="2029"/>
      <c r="CR187" s="2029"/>
      <c r="CS187" s="2029"/>
      <c r="CT187" s="2029"/>
      <c r="CU187" s="2029"/>
      <c r="CV187" s="2029"/>
      <c r="CW187" s="2029"/>
      <c r="CX187" s="2029"/>
      <c r="CY187" s="2029"/>
      <c r="CZ187" s="2029"/>
      <c r="DA187" s="2029"/>
      <c r="DB187" s="2029"/>
      <c r="DC187" s="2029"/>
      <c r="DD187" s="2029"/>
      <c r="DE187" s="2029"/>
      <c r="DF187" s="2029"/>
      <c r="DG187" s="2029"/>
      <c r="DH187" s="2029"/>
      <c r="DI187" s="2029"/>
      <c r="DJ187" s="2029"/>
      <c r="DK187" s="2029"/>
      <c r="DL187" s="2029"/>
      <c r="DM187" s="2029"/>
      <c r="DN187" s="2029"/>
      <c r="DO187" s="2029"/>
      <c r="DP187" s="2029"/>
      <c r="DQ187" s="2029"/>
      <c r="DR187" s="2029"/>
      <c r="DS187" s="2029"/>
      <c r="DT187" s="2029"/>
      <c r="DU187" s="2029"/>
      <c r="DV187" s="2029"/>
      <c r="DW187" s="2029"/>
      <c r="DX187" s="2029"/>
      <c r="DY187" s="2029"/>
      <c r="DZ187" s="2029"/>
      <c r="EA187" s="2029"/>
      <c r="EB187" s="2029"/>
      <c r="EC187" s="2029"/>
      <c r="ED187" s="2029"/>
      <c r="EE187" s="2029"/>
      <c r="EF187" s="2029"/>
      <c r="EG187" s="2029"/>
      <c r="EH187" s="2029"/>
      <c r="EI187" s="2029"/>
      <c r="EJ187" s="2029"/>
      <c r="EK187" s="2029"/>
      <c r="EL187" s="2029"/>
      <c r="EM187" s="2029"/>
      <c r="EN187" s="2029"/>
      <c r="EO187" s="2029"/>
      <c r="EP187" s="2029"/>
      <c r="EQ187" s="2029"/>
      <c r="ER187" s="2029"/>
      <c r="ES187" s="2029"/>
      <c r="ET187" s="2029"/>
      <c r="EU187" s="2029"/>
      <c r="EV187" s="2029"/>
      <c r="EW187" s="2029"/>
      <c r="EX187" s="2029"/>
      <c r="EY187" s="2029"/>
      <c r="EZ187" s="2029"/>
      <c r="FA187" s="2029"/>
      <c r="FB187" s="2029"/>
      <c r="FC187" s="2029"/>
      <c r="FD187" s="2029"/>
      <c r="FE187" s="2029"/>
      <c r="FF187" s="2029"/>
      <c r="FG187" s="2029"/>
      <c r="FH187" s="2029"/>
      <c r="FI187" s="2029"/>
      <c r="FJ187" s="2029"/>
    </row>
    <row r="188" spans="1:241" s="1286" customFormat="1" ht="18" customHeight="1">
      <c r="B188" s="1596"/>
      <c r="C188" s="1597"/>
      <c r="D188" s="1597"/>
      <c r="E188" s="1597"/>
      <c r="F188" s="1598"/>
      <c r="G188" s="1598"/>
      <c r="H188" s="2135"/>
      <c r="I188" s="2135"/>
      <c r="J188" s="2135"/>
      <c r="K188" s="2135"/>
      <c r="L188" s="2135"/>
      <c r="M188" s="2135"/>
      <c r="N188" s="2135"/>
      <c r="O188" s="2135"/>
      <c r="P188" s="2135"/>
      <c r="Q188" s="2135"/>
      <c r="R188" s="2135"/>
      <c r="S188" s="2135"/>
      <c r="T188" s="2135"/>
      <c r="U188" s="2135"/>
      <c r="V188" s="2135"/>
      <c r="W188" s="2135"/>
      <c r="X188" s="2135"/>
      <c r="Y188" s="2135"/>
      <c r="Z188" s="2135"/>
      <c r="AA188" s="2057"/>
      <c r="AB188" s="2057"/>
      <c r="AC188" s="2057"/>
      <c r="AD188" s="2057"/>
      <c r="AE188" s="2057"/>
      <c r="AF188" s="2057"/>
      <c r="AG188" s="2057"/>
      <c r="AH188" s="2057"/>
      <c r="AI188" s="2057"/>
      <c r="AJ188" s="2057"/>
      <c r="AK188" s="2057"/>
      <c r="AL188" s="2057"/>
      <c r="AM188" s="2057"/>
      <c r="AN188" s="2057"/>
      <c r="AO188" s="2057"/>
      <c r="AP188" s="2057"/>
      <c r="AQ188" s="2057"/>
      <c r="AR188" s="2057"/>
      <c r="AS188" s="2057"/>
      <c r="AT188" s="2057"/>
      <c r="AU188" s="2029"/>
      <c r="AV188" s="2029"/>
      <c r="AW188" s="2029"/>
      <c r="AX188" s="2029"/>
      <c r="AY188" s="2029"/>
      <c r="AZ188" s="2029"/>
      <c r="BA188" s="2029"/>
      <c r="BB188" s="2029"/>
      <c r="BC188" s="2029"/>
      <c r="BD188" s="2029"/>
      <c r="BE188" s="2029"/>
      <c r="BF188" s="2029"/>
      <c r="BG188" s="2029"/>
      <c r="BH188" s="2029"/>
      <c r="BI188" s="2029"/>
      <c r="BJ188" s="2029"/>
      <c r="BK188" s="2029"/>
      <c r="BL188" s="2029"/>
      <c r="BM188" s="2029"/>
      <c r="BN188" s="2029"/>
      <c r="BO188" s="2029"/>
      <c r="BP188" s="2029"/>
      <c r="BQ188" s="2029"/>
      <c r="BR188" s="2029"/>
      <c r="BS188" s="2029"/>
      <c r="BT188" s="2029"/>
      <c r="BU188" s="2029"/>
      <c r="BV188" s="2029"/>
      <c r="BW188" s="2029"/>
      <c r="BX188" s="2029"/>
      <c r="BY188" s="2029"/>
      <c r="BZ188" s="2029"/>
      <c r="CA188" s="2029"/>
      <c r="CB188" s="2029"/>
      <c r="CC188" s="2029"/>
      <c r="CD188" s="2029"/>
      <c r="CE188" s="2029"/>
      <c r="CF188" s="2029"/>
      <c r="CG188" s="2029"/>
      <c r="CH188" s="2029"/>
      <c r="CI188" s="2029"/>
      <c r="CJ188" s="2029"/>
      <c r="CK188" s="2029"/>
      <c r="CL188" s="2029"/>
      <c r="CM188" s="2029"/>
      <c r="CN188" s="2029"/>
      <c r="CO188" s="2029"/>
      <c r="CP188" s="2029"/>
      <c r="CQ188" s="2029"/>
      <c r="CR188" s="2029"/>
      <c r="CS188" s="2029"/>
      <c r="CT188" s="2029"/>
      <c r="CU188" s="2029"/>
      <c r="CV188" s="2029"/>
      <c r="CW188" s="2029"/>
      <c r="CX188" s="2029"/>
      <c r="CY188" s="2029"/>
      <c r="CZ188" s="2029"/>
      <c r="DA188" s="2029"/>
      <c r="DB188" s="2029"/>
      <c r="DC188" s="2029"/>
      <c r="DD188" s="2029"/>
      <c r="DE188" s="2029"/>
      <c r="DF188" s="2029"/>
      <c r="DG188" s="2029"/>
      <c r="DH188" s="2029"/>
      <c r="DI188" s="2029"/>
      <c r="DJ188" s="2029"/>
      <c r="DK188" s="2029"/>
      <c r="DL188" s="2029"/>
      <c r="DM188" s="2029"/>
      <c r="DN188" s="2029"/>
      <c r="DO188" s="2029"/>
      <c r="DP188" s="2029"/>
      <c r="DQ188" s="2029"/>
      <c r="DR188" s="2029"/>
      <c r="DS188" s="2029"/>
      <c r="DT188" s="2029"/>
      <c r="DU188" s="2029"/>
      <c r="DV188" s="2029"/>
      <c r="DW188" s="2029"/>
      <c r="DX188" s="2029"/>
      <c r="DY188" s="2029"/>
      <c r="DZ188" s="2029"/>
      <c r="EA188" s="2029"/>
      <c r="EB188" s="2029"/>
      <c r="EC188" s="2029"/>
      <c r="ED188" s="2029"/>
      <c r="EE188" s="2029"/>
      <c r="EF188" s="2029"/>
      <c r="EG188" s="2029"/>
      <c r="EH188" s="2029"/>
      <c r="EI188" s="2029"/>
      <c r="EJ188" s="2029"/>
      <c r="EK188" s="2029"/>
      <c r="EL188" s="2029"/>
      <c r="EM188" s="2029"/>
      <c r="EN188" s="2029"/>
      <c r="EO188" s="2029"/>
      <c r="EP188" s="2029"/>
      <c r="EQ188" s="2029"/>
      <c r="ER188" s="2029"/>
      <c r="ES188" s="2029"/>
      <c r="ET188" s="2029"/>
      <c r="EU188" s="2029"/>
      <c r="EV188" s="2029"/>
      <c r="EW188" s="2029"/>
      <c r="EX188" s="2029"/>
      <c r="EY188" s="2029"/>
      <c r="EZ188" s="2029"/>
      <c r="FA188" s="2029"/>
      <c r="FB188" s="2029"/>
      <c r="FC188" s="2029"/>
      <c r="FD188" s="2029"/>
      <c r="FE188" s="2029"/>
      <c r="FF188" s="2029"/>
      <c r="FG188" s="2029"/>
      <c r="FH188" s="2029"/>
      <c r="FI188" s="2029"/>
      <c r="FJ188" s="2029"/>
    </row>
    <row r="189" spans="1:241" s="1286" customFormat="1" ht="18" customHeight="1">
      <c r="B189" s="1596"/>
      <c r="C189" s="1597"/>
      <c r="D189" s="1597"/>
      <c r="E189" s="1597"/>
      <c r="F189" s="1598"/>
      <c r="G189" s="1598"/>
      <c r="H189" s="2135"/>
      <c r="I189" s="2135"/>
      <c r="J189" s="2135"/>
      <c r="K189" s="2135"/>
      <c r="L189" s="2135"/>
      <c r="M189" s="2135"/>
      <c r="N189" s="2135"/>
      <c r="O189" s="2135"/>
      <c r="P189" s="2135"/>
      <c r="Q189" s="2135"/>
      <c r="R189" s="2135"/>
      <c r="S189" s="2135"/>
      <c r="T189" s="2135"/>
      <c r="U189" s="2135"/>
      <c r="V189" s="2135"/>
      <c r="W189" s="2135"/>
      <c r="X189" s="2135"/>
      <c r="Y189" s="2135"/>
      <c r="Z189" s="2135"/>
      <c r="AA189" s="2057"/>
      <c r="AB189" s="2057"/>
      <c r="AC189" s="2057"/>
      <c r="AD189" s="2057"/>
      <c r="AE189" s="2057"/>
      <c r="AF189" s="2057"/>
      <c r="AG189" s="2057"/>
      <c r="AH189" s="2057"/>
      <c r="AI189" s="2057"/>
      <c r="AJ189" s="2057"/>
      <c r="AK189" s="2057"/>
      <c r="AL189" s="2057"/>
      <c r="AM189" s="2057"/>
      <c r="AN189" s="2057"/>
      <c r="AO189" s="2057"/>
      <c r="AP189" s="2057"/>
      <c r="AQ189" s="2057"/>
      <c r="AR189" s="2057"/>
      <c r="AS189" s="2057"/>
      <c r="AT189" s="2057"/>
      <c r="AU189" s="2029"/>
      <c r="AV189" s="2029"/>
      <c r="AW189" s="2029"/>
      <c r="AX189" s="2029"/>
      <c r="AY189" s="2029"/>
      <c r="AZ189" s="2029"/>
      <c r="BA189" s="2029"/>
      <c r="BB189" s="2029"/>
      <c r="BC189" s="2029"/>
      <c r="BD189" s="2029"/>
      <c r="BE189" s="2029"/>
      <c r="BF189" s="2029"/>
      <c r="BG189" s="2029"/>
      <c r="BH189" s="2029"/>
      <c r="BI189" s="2029"/>
      <c r="BJ189" s="2029"/>
      <c r="BK189" s="2029"/>
      <c r="BL189" s="2029"/>
      <c r="BM189" s="2029"/>
      <c r="BN189" s="2029"/>
      <c r="BO189" s="2029"/>
      <c r="BP189" s="2029"/>
      <c r="BQ189" s="2029"/>
      <c r="BR189" s="2029"/>
      <c r="BS189" s="2029"/>
      <c r="BT189" s="2029"/>
      <c r="BU189" s="2029"/>
      <c r="BV189" s="2029"/>
      <c r="BW189" s="2029"/>
      <c r="BX189" s="2029"/>
      <c r="BY189" s="2029"/>
      <c r="BZ189" s="2029"/>
      <c r="CA189" s="2029"/>
      <c r="CB189" s="2029"/>
      <c r="CC189" s="2029"/>
      <c r="CD189" s="2029"/>
      <c r="CE189" s="2029"/>
      <c r="CF189" s="2029"/>
      <c r="CG189" s="2029"/>
      <c r="CH189" s="2029"/>
      <c r="CI189" s="2029"/>
      <c r="CJ189" s="2029"/>
      <c r="CK189" s="2029"/>
      <c r="CL189" s="2029"/>
      <c r="CM189" s="2029"/>
      <c r="CN189" s="2029"/>
      <c r="CO189" s="2029"/>
      <c r="CP189" s="2029"/>
      <c r="CQ189" s="2029"/>
      <c r="CR189" s="2029"/>
      <c r="CS189" s="2029"/>
      <c r="CT189" s="2029"/>
      <c r="CU189" s="2029"/>
      <c r="CV189" s="2029"/>
      <c r="CW189" s="2029"/>
      <c r="CX189" s="2029"/>
      <c r="CY189" s="2029"/>
      <c r="CZ189" s="2029"/>
      <c r="DA189" s="2029"/>
      <c r="DB189" s="2029"/>
      <c r="DC189" s="2029"/>
      <c r="DD189" s="2029"/>
      <c r="DE189" s="2029"/>
      <c r="DF189" s="2029"/>
      <c r="DG189" s="2029"/>
      <c r="DH189" s="2029"/>
      <c r="DI189" s="2029"/>
      <c r="DJ189" s="2029"/>
      <c r="DK189" s="2029"/>
      <c r="DL189" s="2029"/>
      <c r="DM189" s="2029"/>
      <c r="DN189" s="2029"/>
      <c r="DO189" s="2029"/>
      <c r="DP189" s="2029"/>
      <c r="DQ189" s="2029"/>
      <c r="DR189" s="2029"/>
      <c r="DS189" s="2029"/>
      <c r="DT189" s="2029"/>
      <c r="DU189" s="2029"/>
      <c r="DV189" s="2029"/>
      <c r="DW189" s="2029"/>
      <c r="DX189" s="2029"/>
      <c r="DY189" s="2029"/>
      <c r="DZ189" s="2029"/>
      <c r="EA189" s="2029"/>
      <c r="EB189" s="2029"/>
      <c r="EC189" s="2029"/>
      <c r="ED189" s="2029"/>
      <c r="EE189" s="2029"/>
      <c r="EF189" s="2029"/>
      <c r="EG189" s="2029"/>
      <c r="EH189" s="2029"/>
      <c r="EI189" s="2029"/>
      <c r="EJ189" s="2029"/>
      <c r="EK189" s="2029"/>
      <c r="EL189" s="2029"/>
      <c r="EM189" s="2029"/>
      <c r="EN189" s="2029"/>
      <c r="EO189" s="2029"/>
      <c r="EP189" s="2029"/>
      <c r="EQ189" s="2029"/>
      <c r="ER189" s="2029"/>
      <c r="ES189" s="2029"/>
      <c r="ET189" s="2029"/>
      <c r="EU189" s="2029"/>
      <c r="EV189" s="2029"/>
      <c r="EW189" s="2029"/>
      <c r="EX189" s="2029"/>
      <c r="EY189" s="2029"/>
      <c r="EZ189" s="2029"/>
      <c r="FA189" s="2029"/>
      <c r="FB189" s="2029"/>
      <c r="FC189" s="2029"/>
      <c r="FD189" s="2029"/>
      <c r="FE189" s="2029"/>
      <c r="FF189" s="2029"/>
      <c r="FG189" s="2029"/>
      <c r="FH189" s="2029"/>
      <c r="FI189" s="2029"/>
      <c r="FJ189" s="2029"/>
    </row>
    <row r="190" spans="1:241" s="1286" customFormat="1" ht="18" customHeight="1">
      <c r="B190" s="1596"/>
      <c r="C190" s="1597"/>
      <c r="D190" s="1597"/>
      <c r="E190" s="1597"/>
      <c r="F190" s="1598"/>
      <c r="G190" s="1598"/>
      <c r="H190" s="2135"/>
      <c r="I190" s="2135"/>
      <c r="J190" s="2135"/>
      <c r="K190" s="2135"/>
      <c r="L190" s="2135"/>
      <c r="M190" s="2135"/>
      <c r="N190" s="2135"/>
      <c r="O190" s="2135"/>
      <c r="P190" s="2135"/>
      <c r="Q190" s="2135"/>
      <c r="R190" s="2135"/>
      <c r="S190" s="2135"/>
      <c r="T190" s="2135"/>
      <c r="U190" s="2135"/>
      <c r="V190" s="2135"/>
      <c r="W190" s="2135"/>
      <c r="X190" s="2135"/>
      <c r="Y190" s="2135"/>
      <c r="Z190" s="2135"/>
      <c r="AA190" s="2057"/>
      <c r="AB190" s="2057"/>
      <c r="AC190" s="2057"/>
      <c r="AD190" s="2057"/>
      <c r="AE190" s="2057"/>
      <c r="AF190" s="2057"/>
      <c r="AG190" s="2057"/>
      <c r="AH190" s="2057"/>
      <c r="AI190" s="2057"/>
      <c r="AJ190" s="2057"/>
      <c r="AK190" s="2057"/>
      <c r="AL190" s="2057"/>
      <c r="AM190" s="2057"/>
      <c r="AN190" s="2057"/>
      <c r="AO190" s="2057"/>
      <c r="AP190" s="2057"/>
      <c r="AQ190" s="2057"/>
      <c r="AR190" s="2057"/>
      <c r="AS190" s="2057"/>
      <c r="AT190" s="2057"/>
      <c r="AU190" s="2029"/>
      <c r="AV190" s="2029"/>
      <c r="AW190" s="2029"/>
      <c r="AX190" s="2029"/>
      <c r="AY190" s="2029"/>
      <c r="AZ190" s="2029"/>
      <c r="BA190" s="2029"/>
      <c r="BB190" s="2029"/>
      <c r="BC190" s="2029"/>
      <c r="BD190" s="2029"/>
      <c r="BE190" s="2029"/>
      <c r="BF190" s="2029"/>
      <c r="BG190" s="2029"/>
      <c r="BH190" s="2029"/>
      <c r="BI190" s="2029"/>
      <c r="BJ190" s="2029"/>
      <c r="BK190" s="2029"/>
      <c r="BL190" s="2029"/>
      <c r="BM190" s="2029"/>
      <c r="BN190" s="2029"/>
      <c r="BO190" s="2029"/>
      <c r="BP190" s="2029"/>
      <c r="BQ190" s="2029"/>
      <c r="BR190" s="2029"/>
      <c r="BS190" s="2029"/>
      <c r="BT190" s="2029"/>
      <c r="BU190" s="2029"/>
      <c r="BV190" s="2029"/>
      <c r="BW190" s="2029"/>
      <c r="BX190" s="2029"/>
      <c r="BY190" s="2029"/>
      <c r="BZ190" s="2029"/>
      <c r="CA190" s="2029"/>
      <c r="CB190" s="2029"/>
      <c r="CC190" s="2029"/>
      <c r="CD190" s="2029"/>
      <c r="CE190" s="2029"/>
      <c r="CF190" s="2029"/>
      <c r="CG190" s="2029"/>
      <c r="CH190" s="2029"/>
      <c r="CI190" s="2029"/>
      <c r="CJ190" s="2029"/>
      <c r="CK190" s="2029"/>
      <c r="CL190" s="2029"/>
      <c r="CM190" s="2029"/>
      <c r="CN190" s="2029"/>
      <c r="CO190" s="2029"/>
      <c r="CP190" s="2029"/>
      <c r="CQ190" s="2029"/>
      <c r="CR190" s="2029"/>
      <c r="CS190" s="2029"/>
      <c r="CT190" s="2029"/>
      <c r="CU190" s="2029"/>
      <c r="CV190" s="2029"/>
      <c r="CW190" s="2029"/>
      <c r="CX190" s="2029"/>
      <c r="CY190" s="2029"/>
      <c r="CZ190" s="2029"/>
      <c r="DA190" s="2029"/>
      <c r="DB190" s="2029"/>
      <c r="DC190" s="2029"/>
      <c r="DD190" s="2029"/>
      <c r="DE190" s="2029"/>
      <c r="DF190" s="2029"/>
      <c r="DG190" s="2029"/>
      <c r="DH190" s="2029"/>
      <c r="DI190" s="2029"/>
      <c r="DJ190" s="2029"/>
      <c r="DK190" s="2029"/>
      <c r="DL190" s="2029"/>
      <c r="DM190" s="2029"/>
      <c r="DN190" s="2029"/>
      <c r="DO190" s="2029"/>
      <c r="DP190" s="2029"/>
      <c r="DQ190" s="2029"/>
      <c r="DR190" s="2029"/>
      <c r="DS190" s="2029"/>
      <c r="DT190" s="2029"/>
      <c r="DU190" s="2029"/>
      <c r="DV190" s="2029"/>
      <c r="DW190" s="2029"/>
      <c r="DX190" s="2029"/>
      <c r="DY190" s="2029"/>
      <c r="DZ190" s="2029"/>
      <c r="EA190" s="2029"/>
      <c r="EB190" s="2029"/>
      <c r="EC190" s="2029"/>
      <c r="ED190" s="2029"/>
      <c r="EE190" s="2029"/>
      <c r="EF190" s="2029"/>
      <c r="EG190" s="2029"/>
      <c r="EH190" s="2029"/>
      <c r="EI190" s="2029"/>
      <c r="EJ190" s="2029"/>
      <c r="EK190" s="2029"/>
      <c r="EL190" s="2029"/>
      <c r="EM190" s="2029"/>
      <c r="EN190" s="2029"/>
      <c r="EO190" s="2029"/>
      <c r="EP190" s="2029"/>
      <c r="EQ190" s="2029"/>
      <c r="ER190" s="2029"/>
      <c r="ES190" s="2029"/>
      <c r="ET190" s="2029"/>
      <c r="EU190" s="2029"/>
      <c r="EV190" s="2029"/>
      <c r="EW190" s="2029"/>
      <c r="EX190" s="2029"/>
      <c r="EY190" s="2029"/>
      <c r="EZ190" s="2029"/>
      <c r="FA190" s="2029"/>
      <c r="FB190" s="2029"/>
      <c r="FC190" s="2029"/>
      <c r="FD190" s="2029"/>
      <c r="FE190" s="2029"/>
      <c r="FF190" s="2029"/>
      <c r="FG190" s="2029"/>
      <c r="FH190" s="2029"/>
      <c r="FI190" s="2029"/>
      <c r="FJ190" s="2029"/>
    </row>
    <row r="191" spans="1:241" s="1286" customFormat="1" ht="18" customHeight="1">
      <c r="B191" s="1596"/>
      <c r="C191" s="1597"/>
      <c r="D191" s="1597"/>
      <c r="E191" s="1597"/>
      <c r="F191" s="1598"/>
      <c r="G191" s="1598"/>
      <c r="H191" s="2135"/>
      <c r="I191" s="2135"/>
      <c r="J191" s="2135"/>
      <c r="K191" s="2135"/>
      <c r="L191" s="2135"/>
      <c r="M191" s="2135"/>
      <c r="N191" s="2135"/>
      <c r="O191" s="2135"/>
      <c r="P191" s="2135"/>
      <c r="Q191" s="2135"/>
      <c r="R191" s="2135"/>
      <c r="S191" s="2135"/>
      <c r="T191" s="2135"/>
      <c r="U191" s="2135"/>
      <c r="V191" s="2135"/>
      <c r="W191" s="2135"/>
      <c r="X191" s="2135"/>
      <c r="Y191" s="2135"/>
      <c r="Z191" s="2135"/>
      <c r="AA191" s="2057"/>
      <c r="AB191" s="2057"/>
      <c r="AC191" s="2057"/>
      <c r="AD191" s="2057"/>
      <c r="AE191" s="2057"/>
      <c r="AF191" s="2057"/>
      <c r="AG191" s="2057"/>
      <c r="AH191" s="2057"/>
      <c r="AI191" s="2057"/>
      <c r="AJ191" s="2057"/>
      <c r="AK191" s="2057"/>
      <c r="AL191" s="2057"/>
      <c r="AM191" s="2057"/>
      <c r="AN191" s="2057"/>
      <c r="AO191" s="2057"/>
      <c r="AP191" s="2057"/>
      <c r="AQ191" s="2057"/>
      <c r="AR191" s="2057"/>
      <c r="AS191" s="2057"/>
      <c r="AT191" s="2057"/>
      <c r="AU191" s="2029"/>
      <c r="AV191" s="2029"/>
      <c r="AW191" s="2029"/>
      <c r="AX191" s="2029"/>
      <c r="AY191" s="2029"/>
      <c r="AZ191" s="2029"/>
      <c r="BA191" s="2029"/>
      <c r="BB191" s="2029"/>
      <c r="BC191" s="2029"/>
      <c r="BD191" s="2029"/>
      <c r="BE191" s="2029"/>
      <c r="BF191" s="2029"/>
      <c r="BG191" s="2029"/>
      <c r="BH191" s="2029"/>
      <c r="BI191" s="2029"/>
      <c r="BJ191" s="2029"/>
      <c r="BK191" s="2029"/>
      <c r="BL191" s="2029"/>
      <c r="BM191" s="2029"/>
      <c r="BN191" s="2029"/>
      <c r="BO191" s="2029"/>
      <c r="BP191" s="2029"/>
      <c r="BQ191" s="2029"/>
      <c r="BR191" s="2029"/>
      <c r="BS191" s="2029"/>
      <c r="BT191" s="2029"/>
      <c r="BU191" s="2029"/>
      <c r="BV191" s="2029"/>
      <c r="BW191" s="2029"/>
      <c r="BX191" s="2029"/>
      <c r="BY191" s="2029"/>
      <c r="BZ191" s="2029"/>
      <c r="CA191" s="2029"/>
      <c r="CB191" s="2029"/>
      <c r="CC191" s="2029"/>
      <c r="CD191" s="2029"/>
      <c r="CE191" s="2029"/>
      <c r="CF191" s="2029"/>
      <c r="CG191" s="2029"/>
      <c r="CH191" s="2029"/>
      <c r="CI191" s="2029"/>
      <c r="CJ191" s="2029"/>
      <c r="CK191" s="2029"/>
      <c r="CL191" s="2029"/>
      <c r="CM191" s="2029"/>
      <c r="CN191" s="2029"/>
      <c r="CO191" s="2029"/>
      <c r="CP191" s="2029"/>
      <c r="CQ191" s="2029"/>
      <c r="CR191" s="2029"/>
      <c r="CS191" s="2029"/>
      <c r="CT191" s="2029"/>
      <c r="CU191" s="2029"/>
      <c r="CV191" s="2029"/>
      <c r="CW191" s="2029"/>
      <c r="CX191" s="2029"/>
      <c r="CY191" s="2029"/>
      <c r="CZ191" s="2029"/>
      <c r="DA191" s="2029"/>
      <c r="DB191" s="2029"/>
      <c r="DC191" s="2029"/>
      <c r="DD191" s="2029"/>
      <c r="DE191" s="2029"/>
      <c r="DF191" s="2029"/>
      <c r="DG191" s="2029"/>
      <c r="DH191" s="2029"/>
      <c r="DI191" s="2029"/>
      <c r="DJ191" s="2029"/>
      <c r="DK191" s="2029"/>
      <c r="DL191" s="2029"/>
      <c r="DM191" s="2029"/>
      <c r="DN191" s="2029"/>
      <c r="DO191" s="2029"/>
      <c r="DP191" s="2029"/>
      <c r="DQ191" s="2029"/>
      <c r="DR191" s="2029"/>
      <c r="DS191" s="2029"/>
      <c r="DT191" s="2029"/>
      <c r="DU191" s="2029"/>
      <c r="DV191" s="2029"/>
      <c r="DW191" s="2029"/>
      <c r="DX191" s="2029"/>
      <c r="DY191" s="2029"/>
      <c r="DZ191" s="2029"/>
      <c r="EA191" s="2029"/>
      <c r="EB191" s="2029"/>
      <c r="EC191" s="2029"/>
      <c r="ED191" s="2029"/>
      <c r="EE191" s="2029"/>
      <c r="EF191" s="2029"/>
      <c r="EG191" s="2029"/>
      <c r="EH191" s="2029"/>
      <c r="EI191" s="2029"/>
      <c r="EJ191" s="2029"/>
      <c r="EK191" s="2029"/>
      <c r="EL191" s="2029"/>
      <c r="EM191" s="2029"/>
      <c r="EN191" s="2029"/>
      <c r="EO191" s="2029"/>
      <c r="EP191" s="2029"/>
      <c r="EQ191" s="2029"/>
      <c r="ER191" s="2029"/>
      <c r="ES191" s="2029"/>
      <c r="ET191" s="2029"/>
      <c r="EU191" s="2029"/>
      <c r="EV191" s="2029"/>
      <c r="EW191" s="2029"/>
      <c r="EX191" s="2029"/>
      <c r="EY191" s="2029"/>
      <c r="EZ191" s="2029"/>
      <c r="FA191" s="2029"/>
      <c r="FB191" s="2029"/>
      <c r="FC191" s="2029"/>
      <c r="FD191" s="2029"/>
      <c r="FE191" s="2029"/>
      <c r="FF191" s="2029"/>
      <c r="FG191" s="2029"/>
      <c r="FH191" s="2029"/>
      <c r="FI191" s="2029"/>
      <c r="FJ191" s="2029"/>
    </row>
    <row r="192" spans="1:241" s="1286" customFormat="1" ht="18" customHeight="1">
      <c r="B192" s="1596"/>
      <c r="C192" s="1597"/>
      <c r="D192" s="1597"/>
      <c r="E192" s="1597"/>
      <c r="F192" s="1598"/>
      <c r="G192" s="1598"/>
      <c r="H192" s="2135"/>
      <c r="I192" s="2135"/>
      <c r="J192" s="2135"/>
      <c r="K192" s="2135"/>
      <c r="L192" s="2135"/>
      <c r="M192" s="2135"/>
      <c r="N192" s="2135"/>
      <c r="O192" s="2135"/>
      <c r="P192" s="2135"/>
      <c r="Q192" s="2135"/>
      <c r="R192" s="2135"/>
      <c r="S192" s="2135"/>
      <c r="T192" s="2135"/>
      <c r="U192" s="2135"/>
      <c r="V192" s="2135"/>
      <c r="W192" s="2135"/>
      <c r="X192" s="2135"/>
      <c r="Y192" s="2135"/>
      <c r="Z192" s="2135"/>
      <c r="AA192" s="2057"/>
      <c r="AB192" s="2057"/>
      <c r="AC192" s="2057"/>
      <c r="AD192" s="2057"/>
      <c r="AE192" s="2057"/>
      <c r="AF192" s="2057"/>
      <c r="AG192" s="2057"/>
      <c r="AH192" s="2057"/>
      <c r="AI192" s="2057"/>
      <c r="AJ192" s="2057"/>
      <c r="AK192" s="2057"/>
      <c r="AL192" s="2057"/>
      <c r="AM192" s="2057"/>
      <c r="AN192" s="2057"/>
      <c r="AO192" s="2057"/>
      <c r="AP192" s="2057"/>
      <c r="AQ192" s="2057"/>
      <c r="AR192" s="2057"/>
      <c r="AS192" s="2057"/>
      <c r="AT192" s="2057"/>
      <c r="AU192" s="2029"/>
      <c r="AV192" s="2029"/>
      <c r="AW192" s="2029"/>
      <c r="AX192" s="2029"/>
      <c r="AY192" s="2029"/>
      <c r="AZ192" s="2029"/>
      <c r="BA192" s="2029"/>
      <c r="BB192" s="2029"/>
      <c r="BC192" s="2029"/>
      <c r="BD192" s="2029"/>
      <c r="BE192" s="2029"/>
      <c r="BF192" s="2029"/>
      <c r="BG192" s="2029"/>
      <c r="BH192" s="2029"/>
      <c r="BI192" s="2029"/>
      <c r="BJ192" s="2029"/>
      <c r="BK192" s="2029"/>
      <c r="BL192" s="2029"/>
      <c r="BM192" s="2029"/>
      <c r="BN192" s="2029"/>
      <c r="BO192" s="2029"/>
      <c r="BP192" s="2029"/>
      <c r="BQ192" s="2029"/>
      <c r="BR192" s="2029"/>
      <c r="BS192" s="2029"/>
      <c r="BT192" s="2029"/>
      <c r="BU192" s="2029"/>
      <c r="BV192" s="2029"/>
      <c r="BW192" s="2029"/>
      <c r="BX192" s="2029"/>
      <c r="BY192" s="2029"/>
      <c r="BZ192" s="2029"/>
      <c r="CA192" s="2029"/>
      <c r="CB192" s="2029"/>
      <c r="CC192" s="2029"/>
      <c r="CD192" s="2029"/>
      <c r="CE192" s="2029"/>
      <c r="CF192" s="2029"/>
      <c r="CG192" s="2029"/>
      <c r="CH192" s="2029"/>
      <c r="CI192" s="2029"/>
      <c r="CJ192" s="2029"/>
      <c r="CK192" s="2029"/>
      <c r="CL192" s="2029"/>
      <c r="CM192" s="2029"/>
      <c r="CN192" s="2029"/>
      <c r="CO192" s="2029"/>
      <c r="CP192" s="2029"/>
      <c r="CQ192" s="2029"/>
      <c r="CR192" s="2029"/>
      <c r="CS192" s="2029"/>
      <c r="CT192" s="2029"/>
      <c r="CU192" s="2029"/>
      <c r="CV192" s="2029"/>
      <c r="CW192" s="2029"/>
      <c r="CX192" s="2029"/>
      <c r="CY192" s="2029"/>
      <c r="CZ192" s="2029"/>
      <c r="DA192" s="2029"/>
      <c r="DB192" s="2029"/>
      <c r="DC192" s="2029"/>
      <c r="DD192" s="2029"/>
      <c r="DE192" s="2029"/>
      <c r="DF192" s="2029"/>
      <c r="DG192" s="2029"/>
      <c r="DH192" s="2029"/>
      <c r="DI192" s="2029"/>
      <c r="DJ192" s="2029"/>
      <c r="DK192" s="2029"/>
      <c r="DL192" s="2029"/>
      <c r="DM192" s="2029"/>
      <c r="DN192" s="2029"/>
      <c r="DO192" s="2029"/>
      <c r="DP192" s="2029"/>
      <c r="DQ192" s="2029"/>
      <c r="DR192" s="2029"/>
      <c r="DS192" s="2029"/>
      <c r="DT192" s="2029"/>
      <c r="DU192" s="2029"/>
      <c r="DV192" s="2029"/>
      <c r="DW192" s="2029"/>
      <c r="DX192" s="2029"/>
      <c r="DY192" s="2029"/>
      <c r="DZ192" s="2029"/>
      <c r="EA192" s="2029"/>
      <c r="EB192" s="2029"/>
      <c r="EC192" s="2029"/>
      <c r="ED192" s="2029"/>
      <c r="EE192" s="2029"/>
      <c r="EF192" s="2029"/>
      <c r="EG192" s="2029"/>
      <c r="EH192" s="2029"/>
      <c r="EI192" s="2029"/>
      <c r="EJ192" s="2029"/>
      <c r="EK192" s="2029"/>
      <c r="EL192" s="2029"/>
      <c r="EM192" s="2029"/>
      <c r="EN192" s="2029"/>
      <c r="EO192" s="2029"/>
      <c r="EP192" s="2029"/>
      <c r="EQ192" s="2029"/>
      <c r="ER192" s="2029"/>
      <c r="ES192" s="2029"/>
      <c r="ET192" s="2029"/>
      <c r="EU192" s="2029"/>
      <c r="EV192" s="2029"/>
      <c r="EW192" s="2029"/>
      <c r="EX192" s="2029"/>
      <c r="EY192" s="2029"/>
      <c r="EZ192" s="2029"/>
      <c r="FA192" s="2029"/>
      <c r="FB192" s="2029"/>
      <c r="FC192" s="2029"/>
      <c r="FD192" s="2029"/>
      <c r="FE192" s="2029"/>
      <c r="FF192" s="2029"/>
      <c r="FG192" s="2029"/>
      <c r="FH192" s="2029"/>
      <c r="FI192" s="2029"/>
      <c r="FJ192" s="2029"/>
    </row>
    <row r="193" spans="2:166" s="1286" customFormat="1" ht="18" customHeight="1">
      <c r="B193" s="1596"/>
      <c r="C193" s="1597"/>
      <c r="D193" s="1597"/>
      <c r="E193" s="1597"/>
      <c r="F193" s="1598"/>
      <c r="G193" s="1598"/>
      <c r="H193" s="2135"/>
      <c r="I193" s="2135"/>
      <c r="J193" s="2135"/>
      <c r="K193" s="2135"/>
      <c r="L193" s="2135"/>
      <c r="M193" s="2135"/>
      <c r="N193" s="2135"/>
      <c r="O193" s="2135"/>
      <c r="P193" s="2135"/>
      <c r="Q193" s="2135"/>
      <c r="R193" s="2135"/>
      <c r="S193" s="2135"/>
      <c r="T193" s="2135"/>
      <c r="U193" s="2135"/>
      <c r="V193" s="2135"/>
      <c r="W193" s="2135"/>
      <c r="X193" s="2135"/>
      <c r="Y193" s="2135"/>
      <c r="Z193" s="2135"/>
      <c r="AA193" s="2057"/>
      <c r="AB193" s="2057"/>
      <c r="AC193" s="2057"/>
      <c r="AD193" s="2057"/>
      <c r="AE193" s="2057"/>
      <c r="AF193" s="2057"/>
      <c r="AG193" s="2057"/>
      <c r="AH193" s="2057"/>
      <c r="AI193" s="2057"/>
      <c r="AJ193" s="2057"/>
      <c r="AK193" s="2057"/>
      <c r="AL193" s="2057"/>
      <c r="AM193" s="2057"/>
      <c r="AN193" s="2057"/>
      <c r="AO193" s="2057"/>
      <c r="AP193" s="2057"/>
      <c r="AQ193" s="2057"/>
      <c r="AR193" s="2057"/>
      <c r="AS193" s="2057"/>
      <c r="AT193" s="2057"/>
      <c r="AU193" s="2029"/>
      <c r="AV193" s="2029"/>
      <c r="AW193" s="2029"/>
      <c r="AX193" s="2029"/>
      <c r="AY193" s="2029"/>
      <c r="AZ193" s="2029"/>
      <c r="BA193" s="2029"/>
      <c r="BB193" s="2029"/>
      <c r="BC193" s="2029"/>
      <c r="BD193" s="2029"/>
      <c r="BE193" s="2029"/>
      <c r="BF193" s="2029"/>
      <c r="BG193" s="2029"/>
      <c r="BH193" s="2029"/>
      <c r="BI193" s="2029"/>
      <c r="BJ193" s="2029"/>
      <c r="BK193" s="2029"/>
      <c r="BL193" s="2029"/>
      <c r="BM193" s="2029"/>
      <c r="BN193" s="2029"/>
      <c r="BO193" s="2029"/>
      <c r="BP193" s="2029"/>
      <c r="BQ193" s="2029"/>
      <c r="BR193" s="2029"/>
      <c r="BS193" s="2029"/>
      <c r="BT193" s="2029"/>
      <c r="BU193" s="2029"/>
      <c r="BV193" s="2029"/>
      <c r="BW193" s="2029"/>
      <c r="BX193" s="2029"/>
      <c r="BY193" s="2029"/>
      <c r="BZ193" s="2029"/>
      <c r="CA193" s="2029"/>
      <c r="CB193" s="2029"/>
      <c r="CC193" s="2029"/>
      <c r="CD193" s="2029"/>
      <c r="CE193" s="2029"/>
      <c r="CF193" s="2029"/>
      <c r="CG193" s="2029"/>
      <c r="CH193" s="2029"/>
      <c r="CI193" s="2029"/>
      <c r="CJ193" s="2029"/>
      <c r="CK193" s="2029"/>
      <c r="CL193" s="2029"/>
      <c r="CM193" s="2029"/>
      <c r="CN193" s="2029"/>
      <c r="CO193" s="2029"/>
      <c r="CP193" s="2029"/>
      <c r="CQ193" s="2029"/>
      <c r="CR193" s="2029"/>
      <c r="CS193" s="2029"/>
      <c r="CT193" s="2029"/>
      <c r="CU193" s="2029"/>
      <c r="CV193" s="2029"/>
      <c r="CW193" s="2029"/>
      <c r="CX193" s="2029"/>
      <c r="CY193" s="2029"/>
      <c r="CZ193" s="2029"/>
      <c r="DA193" s="2029"/>
      <c r="DB193" s="2029"/>
      <c r="DC193" s="2029"/>
      <c r="DD193" s="2029"/>
      <c r="DE193" s="2029"/>
      <c r="DF193" s="2029"/>
      <c r="DG193" s="2029"/>
      <c r="DH193" s="2029"/>
      <c r="DI193" s="2029"/>
      <c r="DJ193" s="2029"/>
      <c r="DK193" s="2029"/>
      <c r="DL193" s="2029"/>
      <c r="DM193" s="2029"/>
      <c r="DN193" s="2029"/>
      <c r="DO193" s="2029"/>
      <c r="DP193" s="2029"/>
      <c r="DQ193" s="2029"/>
      <c r="DR193" s="2029"/>
      <c r="DS193" s="2029"/>
      <c r="DT193" s="2029"/>
      <c r="DU193" s="2029"/>
      <c r="DV193" s="2029"/>
      <c r="DW193" s="2029"/>
      <c r="DX193" s="2029"/>
      <c r="DY193" s="2029"/>
      <c r="DZ193" s="2029"/>
      <c r="EA193" s="2029"/>
      <c r="EB193" s="2029"/>
      <c r="EC193" s="2029"/>
      <c r="ED193" s="2029"/>
      <c r="EE193" s="2029"/>
      <c r="EF193" s="2029"/>
      <c r="EG193" s="2029"/>
      <c r="EH193" s="2029"/>
      <c r="EI193" s="2029"/>
      <c r="EJ193" s="2029"/>
      <c r="EK193" s="2029"/>
      <c r="EL193" s="2029"/>
      <c r="EM193" s="2029"/>
      <c r="EN193" s="2029"/>
      <c r="EO193" s="2029"/>
      <c r="EP193" s="2029"/>
      <c r="EQ193" s="2029"/>
      <c r="ER193" s="2029"/>
      <c r="ES193" s="2029"/>
      <c r="ET193" s="2029"/>
      <c r="EU193" s="2029"/>
      <c r="EV193" s="2029"/>
      <c r="EW193" s="2029"/>
      <c r="EX193" s="2029"/>
      <c r="EY193" s="2029"/>
      <c r="EZ193" s="2029"/>
      <c r="FA193" s="2029"/>
      <c r="FB193" s="2029"/>
      <c r="FC193" s="2029"/>
      <c r="FD193" s="2029"/>
      <c r="FE193" s="2029"/>
      <c r="FF193" s="2029"/>
      <c r="FG193" s="2029"/>
      <c r="FH193" s="2029"/>
      <c r="FI193" s="2029"/>
      <c r="FJ193" s="2029"/>
    </row>
    <row r="194" spans="2:166" s="1286" customFormat="1" ht="18" customHeight="1">
      <c r="B194" s="1596"/>
      <c r="C194" s="1597"/>
      <c r="D194" s="1597"/>
      <c r="E194" s="1597"/>
      <c r="F194" s="1598"/>
      <c r="G194" s="1598"/>
      <c r="H194" s="2135"/>
      <c r="I194" s="2135"/>
      <c r="J194" s="2135"/>
      <c r="K194" s="2135"/>
      <c r="L194" s="2135"/>
      <c r="M194" s="2135"/>
      <c r="N194" s="2135"/>
      <c r="O194" s="2135"/>
      <c r="P194" s="2135"/>
      <c r="Q194" s="2029"/>
      <c r="R194" s="2029"/>
      <c r="S194" s="2029"/>
      <c r="T194" s="2029"/>
      <c r="U194" s="2029"/>
      <c r="V194" s="2029"/>
      <c r="W194" s="2029"/>
      <c r="X194" s="2029"/>
      <c r="Y194" s="2029"/>
      <c r="Z194" s="2029"/>
      <c r="AA194" s="2029"/>
      <c r="AB194" s="2029"/>
      <c r="AC194" s="2029"/>
      <c r="AD194" s="2029"/>
      <c r="AE194" s="2029"/>
      <c r="AF194" s="2029"/>
      <c r="AG194" s="2029"/>
      <c r="AH194" s="2029"/>
      <c r="AI194" s="2029"/>
      <c r="AJ194" s="2029"/>
      <c r="AK194" s="2029"/>
      <c r="AL194" s="2029"/>
      <c r="AM194" s="2029"/>
      <c r="AN194" s="2029"/>
      <c r="AO194" s="2029"/>
      <c r="AP194" s="2029"/>
      <c r="AQ194" s="2029"/>
      <c r="AR194" s="2029"/>
      <c r="AS194" s="2029"/>
      <c r="AT194" s="2029"/>
      <c r="AU194" s="2029"/>
      <c r="AV194" s="2029"/>
      <c r="AW194" s="2029"/>
      <c r="AX194" s="2029"/>
      <c r="AY194" s="2029"/>
      <c r="AZ194" s="2029"/>
      <c r="BA194" s="2029"/>
      <c r="BB194" s="2029"/>
      <c r="BC194" s="2029"/>
      <c r="BD194" s="2029"/>
      <c r="BE194" s="2029"/>
      <c r="BF194" s="2029"/>
      <c r="BG194" s="2029"/>
      <c r="BH194" s="2029"/>
      <c r="BI194" s="2029"/>
      <c r="BJ194" s="2029"/>
      <c r="BK194" s="2029"/>
      <c r="BL194" s="2029"/>
      <c r="BM194" s="2029"/>
      <c r="BN194" s="2029"/>
      <c r="BO194" s="2029"/>
      <c r="BP194" s="2029"/>
      <c r="BQ194" s="2029"/>
      <c r="BR194" s="2029"/>
      <c r="BS194" s="2029"/>
      <c r="BT194" s="2029"/>
      <c r="BU194" s="2029"/>
      <c r="BV194" s="2029"/>
      <c r="BW194" s="2029"/>
      <c r="BX194" s="2029"/>
      <c r="BY194" s="2029"/>
      <c r="BZ194" s="2029"/>
      <c r="CA194" s="2029"/>
      <c r="CB194" s="2029"/>
      <c r="CC194" s="2029"/>
      <c r="CD194" s="2029"/>
      <c r="CE194" s="2029"/>
      <c r="CF194" s="2029"/>
      <c r="CG194" s="2029"/>
      <c r="CH194" s="2029"/>
      <c r="CI194" s="2029"/>
      <c r="CJ194" s="2029"/>
      <c r="CK194" s="2029"/>
      <c r="CL194" s="2029"/>
      <c r="CM194" s="2029"/>
      <c r="CN194" s="2029"/>
      <c r="CO194" s="2029"/>
      <c r="CP194" s="2029"/>
      <c r="CQ194" s="2029"/>
      <c r="CR194" s="2029"/>
      <c r="CS194" s="2029"/>
      <c r="CT194" s="2029"/>
      <c r="CU194" s="2029"/>
      <c r="CV194" s="2029"/>
      <c r="CW194" s="2029"/>
      <c r="CX194" s="2029"/>
      <c r="CY194" s="2029"/>
      <c r="CZ194" s="2029"/>
      <c r="DA194" s="2029"/>
      <c r="DB194" s="2029"/>
      <c r="DC194" s="2029"/>
      <c r="DD194" s="2029"/>
      <c r="DE194" s="2029"/>
      <c r="DF194" s="2029"/>
      <c r="DG194" s="2029"/>
      <c r="DH194" s="2029"/>
      <c r="DI194" s="2029"/>
      <c r="DJ194" s="2029"/>
      <c r="DK194" s="2029"/>
      <c r="DL194" s="2029"/>
      <c r="DM194" s="2029"/>
      <c r="DN194" s="2029"/>
      <c r="DO194" s="2029"/>
      <c r="DP194" s="2029"/>
      <c r="DQ194" s="2029"/>
      <c r="DR194" s="2029"/>
      <c r="DS194" s="2029"/>
      <c r="DT194" s="2029"/>
      <c r="DU194" s="2029"/>
      <c r="DV194" s="2029"/>
      <c r="DW194" s="2029"/>
      <c r="DX194" s="2029"/>
      <c r="DY194" s="2029"/>
      <c r="DZ194" s="2029"/>
      <c r="EA194" s="2029"/>
      <c r="EB194" s="2029"/>
      <c r="EC194" s="2029"/>
      <c r="ED194" s="2029"/>
      <c r="EE194" s="2029"/>
      <c r="EF194" s="2029"/>
      <c r="EG194" s="2029"/>
      <c r="EH194" s="2029"/>
      <c r="EI194" s="2029"/>
      <c r="EJ194" s="2029"/>
      <c r="EK194" s="2029"/>
      <c r="EL194" s="2029"/>
      <c r="EM194" s="2029"/>
      <c r="EN194" s="2029"/>
      <c r="EO194" s="2029"/>
      <c r="EP194" s="2029"/>
      <c r="EQ194" s="2029"/>
      <c r="ER194" s="2029"/>
      <c r="ES194" s="2029"/>
      <c r="ET194" s="2029"/>
      <c r="EU194" s="2029"/>
      <c r="EV194" s="2029"/>
      <c r="EW194" s="2029"/>
      <c r="EX194" s="2029"/>
      <c r="EY194" s="2029"/>
      <c r="EZ194" s="2029"/>
      <c r="FA194" s="2029"/>
      <c r="FB194" s="2029"/>
      <c r="FC194" s="2029"/>
      <c r="FD194" s="2029"/>
      <c r="FE194" s="2029"/>
      <c r="FF194" s="2029"/>
      <c r="FG194" s="2029"/>
      <c r="FH194" s="2029"/>
      <c r="FI194" s="2029"/>
      <c r="FJ194" s="2029"/>
    </row>
    <row r="195" spans="2:166" s="1286" customFormat="1" ht="18" customHeight="1">
      <c r="B195" s="1596"/>
      <c r="C195" s="1597"/>
      <c r="D195" s="1597"/>
      <c r="E195" s="1597"/>
      <c r="F195" s="1598"/>
      <c r="G195" s="1598"/>
      <c r="H195" s="2135"/>
      <c r="I195" s="2135"/>
      <c r="J195" s="2135"/>
      <c r="K195" s="2135"/>
      <c r="L195" s="2135"/>
      <c r="M195" s="2135"/>
      <c r="N195" s="2135"/>
      <c r="O195" s="2135"/>
      <c r="P195" s="2135"/>
      <c r="Q195" s="2029"/>
      <c r="R195" s="2029"/>
      <c r="S195" s="2029"/>
      <c r="T195" s="2029"/>
      <c r="U195" s="2029"/>
      <c r="V195" s="2029"/>
      <c r="W195" s="2029"/>
      <c r="X195" s="2029"/>
      <c r="Y195" s="2029"/>
      <c r="Z195" s="2029"/>
      <c r="AA195" s="2029"/>
      <c r="AB195" s="2029"/>
      <c r="AC195" s="2029"/>
      <c r="AD195" s="2029"/>
      <c r="AE195" s="2029"/>
      <c r="AF195" s="2029"/>
      <c r="AG195" s="2029"/>
      <c r="AH195" s="2029"/>
      <c r="AI195" s="2029"/>
      <c r="AJ195" s="2029"/>
      <c r="AK195" s="2029"/>
      <c r="AL195" s="2029"/>
      <c r="AM195" s="2029"/>
      <c r="AN195" s="2029"/>
      <c r="AO195" s="2029"/>
      <c r="AP195" s="2029"/>
      <c r="AQ195" s="2029"/>
      <c r="AR195" s="2029"/>
      <c r="AS195" s="2029"/>
      <c r="AT195" s="2029"/>
      <c r="AU195" s="2029"/>
      <c r="AV195" s="2029"/>
      <c r="AW195" s="2029"/>
      <c r="AX195" s="2029"/>
      <c r="AY195" s="2029"/>
      <c r="AZ195" s="2029"/>
      <c r="BA195" s="2029"/>
      <c r="BB195" s="2029"/>
      <c r="BC195" s="2029"/>
      <c r="BD195" s="2029"/>
      <c r="BE195" s="2029"/>
      <c r="BF195" s="2029"/>
      <c r="BG195" s="2029"/>
      <c r="BH195" s="2029"/>
      <c r="BI195" s="2029"/>
      <c r="BJ195" s="2029"/>
      <c r="BK195" s="2029"/>
      <c r="BL195" s="2029"/>
      <c r="BM195" s="2029"/>
      <c r="BN195" s="2029"/>
      <c r="BO195" s="2029"/>
      <c r="BP195" s="2029"/>
      <c r="BQ195" s="2029"/>
      <c r="BR195" s="2029"/>
      <c r="BS195" s="2029"/>
      <c r="BT195" s="2029"/>
      <c r="BU195" s="2029"/>
      <c r="BV195" s="2029"/>
      <c r="BW195" s="2029"/>
      <c r="BX195" s="2029"/>
      <c r="BY195" s="2029"/>
      <c r="BZ195" s="2029"/>
      <c r="CA195" s="2029"/>
      <c r="CB195" s="2029"/>
      <c r="CC195" s="2029"/>
      <c r="CD195" s="2029"/>
      <c r="CE195" s="2029"/>
      <c r="CF195" s="2029"/>
      <c r="CG195" s="2029"/>
      <c r="CH195" s="2029"/>
      <c r="CI195" s="2029"/>
      <c r="CJ195" s="2029"/>
      <c r="CK195" s="2029"/>
      <c r="CL195" s="2029"/>
      <c r="CM195" s="2029"/>
      <c r="CN195" s="2029"/>
      <c r="CO195" s="2029"/>
      <c r="CP195" s="2029"/>
      <c r="CQ195" s="2029"/>
      <c r="CR195" s="2029"/>
      <c r="CS195" s="2029"/>
      <c r="CT195" s="2029"/>
      <c r="CU195" s="2029"/>
      <c r="CV195" s="2029"/>
      <c r="CW195" s="2029"/>
      <c r="CX195" s="2029"/>
      <c r="CY195" s="2029"/>
      <c r="CZ195" s="2029"/>
      <c r="DA195" s="2029"/>
      <c r="DB195" s="2029"/>
      <c r="DC195" s="2029"/>
      <c r="DD195" s="2029"/>
      <c r="DE195" s="2029"/>
      <c r="DF195" s="2029"/>
      <c r="DG195" s="2029"/>
      <c r="DH195" s="2029"/>
      <c r="DI195" s="2029"/>
      <c r="DJ195" s="2029"/>
      <c r="DK195" s="2029"/>
      <c r="DL195" s="2029"/>
      <c r="DM195" s="2029"/>
      <c r="DN195" s="2029"/>
      <c r="DO195" s="2029"/>
      <c r="DP195" s="2029"/>
      <c r="DQ195" s="2029"/>
      <c r="DR195" s="2029"/>
      <c r="DS195" s="2029"/>
      <c r="DT195" s="2029"/>
      <c r="DU195" s="2029"/>
      <c r="DV195" s="2029"/>
      <c r="DW195" s="2029"/>
      <c r="DX195" s="2029"/>
      <c r="DY195" s="2029"/>
      <c r="DZ195" s="2029"/>
      <c r="EA195" s="2029"/>
      <c r="EB195" s="2029"/>
      <c r="EC195" s="2029"/>
      <c r="ED195" s="2029"/>
      <c r="EE195" s="2029"/>
      <c r="EF195" s="2029"/>
      <c r="EG195" s="2029"/>
      <c r="EH195" s="2029"/>
      <c r="EI195" s="2029"/>
      <c r="EJ195" s="2029"/>
      <c r="EK195" s="2029"/>
      <c r="EL195" s="2029"/>
      <c r="EM195" s="2029"/>
      <c r="EN195" s="2029"/>
      <c r="EO195" s="2029"/>
      <c r="EP195" s="2029"/>
      <c r="EQ195" s="2029"/>
      <c r="ER195" s="2029"/>
      <c r="ES195" s="2029"/>
      <c r="ET195" s="2029"/>
      <c r="EU195" s="2029"/>
      <c r="EV195" s="2029"/>
      <c r="EW195" s="2029"/>
      <c r="EX195" s="2029"/>
      <c r="EY195" s="2029"/>
      <c r="EZ195" s="2029"/>
      <c r="FA195" s="2029"/>
      <c r="FB195" s="2029"/>
      <c r="FC195" s="2029"/>
      <c r="FD195" s="2029"/>
      <c r="FE195" s="2029"/>
      <c r="FF195" s="2029"/>
      <c r="FG195" s="2029"/>
      <c r="FH195" s="2029"/>
      <c r="FI195" s="2029"/>
      <c r="FJ195" s="2029"/>
    </row>
    <row r="196" spans="2:166" s="1286" customFormat="1" ht="18" customHeight="1">
      <c r="B196" s="1596"/>
      <c r="C196" s="1597"/>
      <c r="D196" s="1597"/>
      <c r="E196" s="1597"/>
      <c r="F196" s="1598"/>
      <c r="G196" s="1598"/>
      <c r="H196" s="2135"/>
      <c r="I196" s="2135"/>
      <c r="J196" s="2135"/>
      <c r="K196" s="2135"/>
      <c r="L196" s="2135"/>
      <c r="M196" s="2135"/>
      <c r="N196" s="2135"/>
      <c r="O196" s="2135"/>
      <c r="P196" s="2135"/>
      <c r="Q196" s="2029"/>
      <c r="R196" s="2029"/>
      <c r="S196" s="2029"/>
      <c r="T196" s="2029"/>
      <c r="U196" s="2029"/>
      <c r="V196" s="2029"/>
      <c r="W196" s="2029"/>
      <c r="X196" s="2029"/>
      <c r="Y196" s="2029"/>
      <c r="Z196" s="2029"/>
      <c r="AA196" s="2029"/>
      <c r="AB196" s="2029"/>
      <c r="AC196" s="2029"/>
      <c r="AD196" s="2029"/>
      <c r="AE196" s="2029"/>
      <c r="AF196" s="2029"/>
      <c r="AG196" s="2029"/>
      <c r="AH196" s="2029"/>
      <c r="AI196" s="2029"/>
      <c r="AJ196" s="2029"/>
      <c r="AK196" s="2029"/>
      <c r="AL196" s="2029"/>
      <c r="AM196" s="2029"/>
      <c r="AN196" s="2029"/>
      <c r="AO196" s="2029"/>
      <c r="AP196" s="2029"/>
      <c r="AQ196" s="2029"/>
      <c r="AR196" s="2029"/>
      <c r="AS196" s="2029"/>
      <c r="AT196" s="2029"/>
      <c r="AU196" s="2029"/>
      <c r="AV196" s="2029"/>
      <c r="AW196" s="2029"/>
      <c r="AX196" s="2029"/>
      <c r="AY196" s="2029"/>
      <c r="AZ196" s="2029"/>
      <c r="BA196" s="2029"/>
      <c r="BB196" s="2029"/>
      <c r="BC196" s="2029"/>
      <c r="BD196" s="2029"/>
      <c r="BE196" s="2029"/>
      <c r="BF196" s="2029"/>
      <c r="BG196" s="2029"/>
      <c r="BH196" s="2029"/>
      <c r="BI196" s="2029"/>
      <c r="BJ196" s="2029"/>
      <c r="BK196" s="2029"/>
      <c r="BL196" s="2029"/>
      <c r="BM196" s="2029"/>
      <c r="BN196" s="2029"/>
      <c r="BO196" s="2029"/>
      <c r="BP196" s="2029"/>
      <c r="BQ196" s="2029"/>
      <c r="BR196" s="2029"/>
      <c r="BS196" s="2029"/>
      <c r="BT196" s="2029"/>
      <c r="BU196" s="2029"/>
      <c r="BV196" s="2029"/>
      <c r="BW196" s="2029"/>
      <c r="BX196" s="2029"/>
      <c r="BY196" s="2029"/>
      <c r="BZ196" s="2029"/>
      <c r="CA196" s="2029"/>
      <c r="CB196" s="2029"/>
      <c r="CC196" s="2029"/>
      <c r="CD196" s="2029"/>
      <c r="CE196" s="2029"/>
      <c r="CF196" s="2029"/>
      <c r="CG196" s="2029"/>
      <c r="CH196" s="2029"/>
      <c r="CI196" s="2029"/>
      <c r="CJ196" s="2029"/>
      <c r="CK196" s="2029"/>
      <c r="CL196" s="2029"/>
      <c r="CM196" s="2029"/>
      <c r="CN196" s="2029"/>
      <c r="CO196" s="2029"/>
      <c r="CP196" s="2029"/>
      <c r="CQ196" s="2029"/>
      <c r="CR196" s="2029"/>
      <c r="CS196" s="2029"/>
      <c r="CT196" s="2029"/>
      <c r="CU196" s="2029"/>
      <c r="CV196" s="2029"/>
      <c r="CW196" s="2029"/>
      <c r="CX196" s="2029"/>
      <c r="CY196" s="2029"/>
      <c r="CZ196" s="2029"/>
      <c r="DA196" s="2029"/>
      <c r="DB196" s="2029"/>
      <c r="DC196" s="2029"/>
      <c r="DD196" s="2029"/>
      <c r="DE196" s="2029"/>
      <c r="DF196" s="2029"/>
      <c r="DG196" s="2029"/>
      <c r="DH196" s="2029"/>
      <c r="DI196" s="2029"/>
      <c r="DJ196" s="2029"/>
      <c r="DK196" s="2029"/>
      <c r="DL196" s="2029"/>
      <c r="DM196" s="2029"/>
      <c r="DN196" s="2029"/>
      <c r="DO196" s="2029"/>
      <c r="DP196" s="2029"/>
      <c r="DQ196" s="2029"/>
      <c r="DR196" s="2029"/>
      <c r="DS196" s="2029"/>
      <c r="DT196" s="2029"/>
      <c r="DU196" s="2029"/>
      <c r="DV196" s="2029"/>
      <c r="DW196" s="2029"/>
      <c r="DX196" s="2029"/>
      <c r="DY196" s="2029"/>
      <c r="DZ196" s="2029"/>
      <c r="EA196" s="2029"/>
      <c r="EB196" s="2029"/>
      <c r="EC196" s="2029"/>
      <c r="ED196" s="2029"/>
      <c r="EE196" s="2029"/>
      <c r="EF196" s="2029"/>
      <c r="EG196" s="2029"/>
      <c r="EH196" s="2029"/>
      <c r="EI196" s="2029"/>
      <c r="EJ196" s="2029"/>
      <c r="EK196" s="2029"/>
      <c r="EL196" s="2029"/>
      <c r="EM196" s="2029"/>
      <c r="EN196" s="2029"/>
      <c r="EO196" s="2029"/>
      <c r="EP196" s="2029"/>
      <c r="EQ196" s="2029"/>
      <c r="ER196" s="2029"/>
      <c r="ES196" s="2029"/>
      <c r="ET196" s="2029"/>
      <c r="EU196" s="2029"/>
      <c r="EV196" s="2029"/>
      <c r="EW196" s="2029"/>
      <c r="EX196" s="2029"/>
      <c r="EY196" s="2029"/>
      <c r="EZ196" s="2029"/>
      <c r="FA196" s="2029"/>
      <c r="FB196" s="2029"/>
      <c r="FC196" s="2029"/>
      <c r="FD196" s="2029"/>
      <c r="FE196" s="2029"/>
      <c r="FF196" s="2029"/>
      <c r="FG196" s="2029"/>
      <c r="FH196" s="2029"/>
      <c r="FI196" s="2029"/>
      <c r="FJ196" s="2029"/>
    </row>
    <row r="197" spans="2:166" s="1286" customFormat="1" ht="18" customHeight="1">
      <c r="B197" s="1596"/>
      <c r="C197" s="1597"/>
      <c r="D197" s="1597"/>
      <c r="E197" s="1597"/>
      <c r="F197" s="1598"/>
      <c r="G197" s="1598"/>
      <c r="H197" s="2029"/>
      <c r="I197" s="2029"/>
      <c r="J197" s="2029"/>
      <c r="K197" s="2029"/>
      <c r="L197" s="2136"/>
      <c r="M197" s="2136"/>
      <c r="N197" s="2136"/>
      <c r="O197" s="2029"/>
      <c r="P197" s="2029"/>
      <c r="Q197" s="2029"/>
      <c r="R197" s="2029"/>
      <c r="S197" s="2029"/>
      <c r="T197" s="2029"/>
      <c r="U197" s="2029"/>
      <c r="V197" s="2029"/>
      <c r="W197" s="2029"/>
      <c r="X197" s="2029"/>
      <c r="Y197" s="2029"/>
      <c r="Z197" s="2029"/>
      <c r="AA197" s="2029"/>
      <c r="AB197" s="2029"/>
      <c r="AC197" s="2029"/>
      <c r="AD197" s="2029"/>
      <c r="AE197" s="2029"/>
      <c r="AF197" s="2029"/>
      <c r="AG197" s="2029"/>
      <c r="AH197" s="2029"/>
      <c r="AI197" s="2029"/>
      <c r="AJ197" s="2029"/>
      <c r="AK197" s="2029"/>
      <c r="AL197" s="2029"/>
      <c r="AM197" s="2029"/>
      <c r="AN197" s="2029"/>
      <c r="AO197" s="2029"/>
      <c r="AP197" s="2029"/>
      <c r="AQ197" s="2029"/>
      <c r="AR197" s="2029"/>
      <c r="AS197" s="2029"/>
      <c r="AT197" s="2029"/>
      <c r="AU197" s="2029"/>
      <c r="AV197" s="2029"/>
      <c r="AW197" s="2029"/>
      <c r="AX197" s="2029"/>
      <c r="AY197" s="2029"/>
      <c r="AZ197" s="2029"/>
      <c r="BA197" s="2029"/>
      <c r="BB197" s="2029"/>
      <c r="BC197" s="2029"/>
      <c r="BD197" s="2029"/>
      <c r="BE197" s="2029"/>
      <c r="BF197" s="2029"/>
      <c r="BG197" s="2029"/>
      <c r="BH197" s="2029"/>
      <c r="BI197" s="2029"/>
      <c r="BJ197" s="2029"/>
      <c r="BK197" s="2029"/>
      <c r="BL197" s="2029"/>
      <c r="BM197" s="2029"/>
      <c r="BN197" s="2029"/>
      <c r="BO197" s="2029"/>
      <c r="BP197" s="2029"/>
      <c r="BQ197" s="2029"/>
      <c r="BR197" s="2029"/>
      <c r="BS197" s="2029"/>
      <c r="BT197" s="2029"/>
      <c r="BU197" s="2029"/>
      <c r="BV197" s="2029"/>
      <c r="BW197" s="2029"/>
      <c r="BX197" s="2029"/>
      <c r="BY197" s="2029"/>
      <c r="BZ197" s="2029"/>
      <c r="CA197" s="2029"/>
      <c r="CB197" s="2029"/>
      <c r="CC197" s="2029"/>
      <c r="CD197" s="2029"/>
      <c r="CE197" s="2029"/>
      <c r="CF197" s="2029"/>
      <c r="CG197" s="2029"/>
      <c r="CH197" s="2029"/>
      <c r="CI197" s="2029"/>
      <c r="CJ197" s="2029"/>
      <c r="CK197" s="2029"/>
      <c r="CL197" s="2029"/>
      <c r="CM197" s="2029"/>
      <c r="CN197" s="2029"/>
      <c r="CO197" s="2029"/>
      <c r="CP197" s="2029"/>
      <c r="CQ197" s="2029"/>
      <c r="CR197" s="2029"/>
      <c r="CS197" s="2029"/>
      <c r="CT197" s="2029"/>
      <c r="CU197" s="2029"/>
      <c r="CV197" s="2029"/>
      <c r="CW197" s="2029"/>
      <c r="CX197" s="2029"/>
      <c r="CY197" s="2029"/>
      <c r="CZ197" s="2029"/>
      <c r="DA197" s="2029"/>
      <c r="DB197" s="2029"/>
      <c r="DC197" s="2029"/>
      <c r="DD197" s="2029"/>
      <c r="DE197" s="2029"/>
      <c r="DF197" s="2029"/>
      <c r="DG197" s="2029"/>
      <c r="DH197" s="2029"/>
      <c r="DI197" s="2029"/>
      <c r="DJ197" s="2029"/>
      <c r="DK197" s="2029"/>
      <c r="DL197" s="2029"/>
      <c r="DM197" s="2029"/>
      <c r="DN197" s="2029"/>
      <c r="DO197" s="2029"/>
      <c r="DP197" s="2029"/>
      <c r="DQ197" s="2029"/>
      <c r="DR197" s="2029"/>
      <c r="DS197" s="2029"/>
      <c r="DT197" s="2029"/>
      <c r="DU197" s="2029"/>
      <c r="DV197" s="2029"/>
      <c r="DW197" s="2029"/>
      <c r="DX197" s="2029"/>
      <c r="DY197" s="2029"/>
      <c r="DZ197" s="2029"/>
      <c r="EA197" s="2029"/>
      <c r="EB197" s="2029"/>
      <c r="EC197" s="2029"/>
      <c r="ED197" s="2029"/>
      <c r="EE197" s="2029"/>
      <c r="EF197" s="2029"/>
      <c r="EG197" s="2029"/>
      <c r="EH197" s="2029"/>
      <c r="EI197" s="2029"/>
      <c r="EJ197" s="2029"/>
      <c r="EK197" s="2029"/>
      <c r="EL197" s="2029"/>
      <c r="EM197" s="2029"/>
      <c r="EN197" s="2029"/>
      <c r="EO197" s="2029"/>
      <c r="EP197" s="2029"/>
      <c r="EQ197" s="2029"/>
      <c r="ER197" s="2029"/>
      <c r="ES197" s="2029"/>
      <c r="ET197" s="2029"/>
      <c r="EU197" s="2029"/>
      <c r="EV197" s="2029"/>
      <c r="EW197" s="2029"/>
      <c r="EX197" s="2029"/>
      <c r="EY197" s="2029"/>
      <c r="EZ197" s="2029"/>
      <c r="FA197" s="2029"/>
      <c r="FB197" s="2029"/>
      <c r="FC197" s="2029"/>
      <c r="FD197" s="2029"/>
      <c r="FE197" s="2029"/>
      <c r="FF197" s="2029"/>
      <c r="FG197" s="2029"/>
      <c r="FH197" s="2029"/>
      <c r="FI197" s="2029"/>
      <c r="FJ197" s="2029"/>
    </row>
    <row r="198" spans="2:166" s="1286" customFormat="1" ht="18" customHeight="1">
      <c r="B198" s="1596"/>
      <c r="C198" s="1597"/>
      <c r="D198" s="1597"/>
      <c r="E198" s="1597"/>
      <c r="F198" s="1598"/>
      <c r="G198" s="1598"/>
      <c r="H198" s="2029"/>
      <c r="I198" s="2029"/>
      <c r="J198" s="2029"/>
      <c r="K198" s="2029"/>
      <c r="L198" s="2136"/>
      <c r="M198" s="2136"/>
      <c r="N198" s="2136"/>
      <c r="O198" s="2029"/>
      <c r="P198" s="2029"/>
      <c r="Q198" s="2029"/>
      <c r="R198" s="2029"/>
      <c r="S198" s="2029"/>
      <c r="T198" s="2029"/>
      <c r="U198" s="2029"/>
      <c r="V198" s="2029"/>
      <c r="W198" s="2029"/>
      <c r="X198" s="2029"/>
      <c r="Y198" s="2029"/>
      <c r="Z198" s="2029"/>
      <c r="AA198" s="2029"/>
      <c r="AB198" s="2029"/>
      <c r="AC198" s="2029"/>
      <c r="AD198" s="2029"/>
      <c r="AE198" s="2029"/>
      <c r="AF198" s="2029"/>
      <c r="AG198" s="2029"/>
      <c r="AH198" s="2029"/>
      <c r="AI198" s="2029"/>
      <c r="AJ198" s="2029"/>
      <c r="AK198" s="2029"/>
      <c r="AL198" s="2029"/>
      <c r="AM198" s="2029"/>
      <c r="AN198" s="2029"/>
      <c r="AO198" s="2029"/>
      <c r="AP198" s="2029"/>
      <c r="AQ198" s="2029"/>
      <c r="AR198" s="2029"/>
      <c r="AS198" s="2029"/>
      <c r="AT198" s="2029"/>
      <c r="AU198" s="2029"/>
      <c r="AV198" s="2029"/>
      <c r="AW198" s="2029"/>
      <c r="AX198" s="2029"/>
      <c r="AY198" s="2029"/>
      <c r="AZ198" s="2029"/>
      <c r="BA198" s="2029"/>
      <c r="BB198" s="2029"/>
      <c r="BC198" s="2029"/>
      <c r="BD198" s="2029"/>
      <c r="BE198" s="2029"/>
      <c r="BF198" s="2029"/>
      <c r="BG198" s="2029"/>
      <c r="BH198" s="2029"/>
      <c r="BI198" s="2029"/>
      <c r="BJ198" s="2029"/>
      <c r="BK198" s="2029"/>
      <c r="BL198" s="2029"/>
      <c r="BM198" s="2029"/>
      <c r="BN198" s="2029"/>
      <c r="BO198" s="2029"/>
      <c r="BP198" s="2029"/>
      <c r="BQ198" s="2029"/>
      <c r="BR198" s="2029"/>
      <c r="BS198" s="2029"/>
      <c r="BT198" s="2029"/>
      <c r="BU198" s="2029"/>
      <c r="BV198" s="2029"/>
      <c r="BW198" s="2029"/>
      <c r="BX198" s="2029"/>
      <c r="BY198" s="2029"/>
      <c r="BZ198" s="2029"/>
      <c r="CA198" s="2029"/>
      <c r="CB198" s="2029"/>
      <c r="CC198" s="2029"/>
      <c r="CD198" s="2029"/>
      <c r="CE198" s="2029"/>
      <c r="CF198" s="2029"/>
      <c r="CG198" s="2029"/>
      <c r="CH198" s="2029"/>
      <c r="CI198" s="2029"/>
      <c r="CJ198" s="2029"/>
      <c r="CK198" s="2029"/>
      <c r="CL198" s="2029"/>
      <c r="CM198" s="2029"/>
      <c r="CN198" s="2029"/>
      <c r="CO198" s="2029"/>
      <c r="CP198" s="2029"/>
      <c r="CQ198" s="2029"/>
      <c r="CR198" s="2029"/>
      <c r="CS198" s="2029"/>
      <c r="CT198" s="2029"/>
      <c r="CU198" s="2029"/>
      <c r="CV198" s="2029"/>
      <c r="CW198" s="2029"/>
      <c r="CX198" s="2029"/>
      <c r="CY198" s="2029"/>
      <c r="CZ198" s="2029"/>
      <c r="DA198" s="2029"/>
      <c r="DB198" s="2029"/>
      <c r="DC198" s="2029"/>
      <c r="DD198" s="2029"/>
      <c r="DE198" s="2029"/>
      <c r="DF198" s="2029"/>
      <c r="DG198" s="2029"/>
      <c r="DH198" s="2029"/>
      <c r="DI198" s="2029"/>
      <c r="DJ198" s="2029"/>
      <c r="DK198" s="2029"/>
      <c r="DL198" s="2029"/>
      <c r="DM198" s="2029"/>
      <c r="DN198" s="2029"/>
      <c r="DO198" s="2029"/>
      <c r="DP198" s="2029"/>
      <c r="DQ198" s="2029"/>
      <c r="DR198" s="2029"/>
      <c r="DS198" s="2029"/>
      <c r="DT198" s="2029"/>
      <c r="DU198" s="2029"/>
      <c r="DV198" s="2029"/>
      <c r="DW198" s="2029"/>
      <c r="DX198" s="2029"/>
      <c r="DY198" s="2029"/>
      <c r="DZ198" s="2029"/>
      <c r="EA198" s="2029"/>
      <c r="EB198" s="2029"/>
      <c r="EC198" s="2029"/>
      <c r="ED198" s="2029"/>
      <c r="EE198" s="2029"/>
      <c r="EF198" s="2029"/>
      <c r="EG198" s="2029"/>
      <c r="EH198" s="2029"/>
      <c r="EI198" s="2029"/>
      <c r="EJ198" s="2029"/>
      <c r="EK198" s="2029"/>
      <c r="EL198" s="2029"/>
      <c r="EM198" s="2029"/>
      <c r="EN198" s="2029"/>
      <c r="EO198" s="2029"/>
      <c r="EP198" s="2029"/>
      <c r="EQ198" s="2029"/>
      <c r="ER198" s="2029"/>
      <c r="ES198" s="2029"/>
      <c r="ET198" s="2029"/>
      <c r="EU198" s="2029"/>
      <c r="EV198" s="2029"/>
      <c r="EW198" s="2029"/>
      <c r="EX198" s="2029"/>
      <c r="EY198" s="2029"/>
      <c r="EZ198" s="2029"/>
      <c r="FA198" s="2029"/>
      <c r="FB198" s="2029"/>
      <c r="FC198" s="2029"/>
      <c r="FD198" s="2029"/>
      <c r="FE198" s="2029"/>
      <c r="FF198" s="2029"/>
      <c r="FG198" s="2029"/>
      <c r="FH198" s="2029"/>
      <c r="FI198" s="2029"/>
      <c r="FJ198" s="2029"/>
    </row>
    <row r="199" spans="2:166" s="1286" customFormat="1" ht="18" customHeight="1">
      <c r="B199" s="1599"/>
      <c r="C199" s="1600"/>
      <c r="D199" s="1600"/>
      <c r="E199" s="1600"/>
      <c r="F199" s="1600"/>
      <c r="G199" s="1600"/>
      <c r="H199" s="2137"/>
      <c r="I199" s="2137"/>
      <c r="J199" s="2137"/>
      <c r="K199" s="2138"/>
      <c r="L199" s="2138"/>
      <c r="M199" s="2137"/>
      <c r="N199" s="2137"/>
      <c r="O199" s="2137"/>
      <c r="P199" s="2137"/>
      <c r="Q199" s="2029"/>
      <c r="R199" s="2029"/>
      <c r="S199" s="2029"/>
      <c r="T199" s="2029"/>
      <c r="U199" s="2029"/>
      <c r="V199" s="2029"/>
      <c r="W199" s="2029"/>
      <c r="X199" s="2029"/>
      <c r="Y199" s="2029"/>
      <c r="Z199" s="2029"/>
      <c r="AA199" s="2029"/>
      <c r="AB199" s="2029"/>
      <c r="AC199" s="2029"/>
      <c r="AD199" s="2029"/>
      <c r="AE199" s="2029"/>
      <c r="AF199" s="2029"/>
      <c r="AG199" s="2029"/>
      <c r="AH199" s="2029"/>
      <c r="AI199" s="2029"/>
      <c r="AJ199" s="2029"/>
      <c r="AK199" s="2029"/>
      <c r="AL199" s="2029"/>
      <c r="AM199" s="2029"/>
      <c r="AN199" s="2029"/>
      <c r="AO199" s="2029"/>
      <c r="AP199" s="2029"/>
      <c r="AQ199" s="2029"/>
      <c r="AR199" s="2029"/>
      <c r="AS199" s="2029"/>
      <c r="AT199" s="2029"/>
      <c r="AU199" s="2029"/>
      <c r="AV199" s="2029"/>
      <c r="AW199" s="2029"/>
      <c r="AX199" s="2029"/>
      <c r="AY199" s="2029"/>
      <c r="AZ199" s="2029"/>
      <c r="BA199" s="2029"/>
      <c r="BB199" s="2029"/>
      <c r="BC199" s="2029"/>
      <c r="BD199" s="2029"/>
      <c r="BE199" s="2029"/>
      <c r="BF199" s="2029"/>
      <c r="BG199" s="2029"/>
      <c r="BH199" s="2029"/>
      <c r="BI199" s="2029"/>
      <c r="BJ199" s="2029"/>
      <c r="BK199" s="2029"/>
      <c r="BL199" s="2029"/>
      <c r="BM199" s="2029"/>
      <c r="BN199" s="2029"/>
      <c r="BO199" s="2029"/>
      <c r="BP199" s="2029"/>
      <c r="BQ199" s="2029"/>
      <c r="BR199" s="2029"/>
      <c r="BS199" s="2029"/>
      <c r="BT199" s="2029"/>
      <c r="BU199" s="2029"/>
      <c r="BV199" s="2029"/>
      <c r="BW199" s="2029"/>
      <c r="BX199" s="2029"/>
      <c r="BY199" s="2029"/>
      <c r="BZ199" s="2029"/>
      <c r="CA199" s="2029"/>
      <c r="CB199" s="2029"/>
      <c r="CC199" s="2029"/>
      <c r="CD199" s="2029"/>
      <c r="CE199" s="2029"/>
      <c r="CF199" s="2029"/>
      <c r="CG199" s="2029"/>
      <c r="CH199" s="2029"/>
      <c r="CI199" s="2029"/>
      <c r="CJ199" s="2029"/>
      <c r="CK199" s="2029"/>
      <c r="CL199" s="2029"/>
      <c r="CM199" s="2029"/>
      <c r="CN199" s="2029"/>
      <c r="CO199" s="2029"/>
      <c r="CP199" s="2029"/>
      <c r="CQ199" s="2029"/>
      <c r="CR199" s="2029"/>
      <c r="CS199" s="2029"/>
      <c r="CT199" s="2029"/>
      <c r="CU199" s="2029"/>
      <c r="CV199" s="2029"/>
      <c r="CW199" s="2029"/>
      <c r="CX199" s="2029"/>
      <c r="CY199" s="2029"/>
      <c r="CZ199" s="2029"/>
      <c r="DA199" s="2029"/>
      <c r="DB199" s="2029"/>
      <c r="DC199" s="2029"/>
      <c r="DD199" s="2029"/>
      <c r="DE199" s="2029"/>
      <c r="DF199" s="2029"/>
      <c r="DG199" s="2029"/>
      <c r="DH199" s="2029"/>
      <c r="DI199" s="2029"/>
      <c r="DJ199" s="2029"/>
      <c r="DK199" s="2029"/>
      <c r="DL199" s="2029"/>
      <c r="DM199" s="2029"/>
      <c r="DN199" s="2029"/>
      <c r="DO199" s="2029"/>
      <c r="DP199" s="2029"/>
      <c r="DQ199" s="2029"/>
      <c r="DR199" s="2029"/>
      <c r="DS199" s="2029"/>
      <c r="DT199" s="2029"/>
      <c r="DU199" s="2029"/>
      <c r="DV199" s="2029"/>
      <c r="DW199" s="2029"/>
      <c r="DX199" s="2029"/>
      <c r="DY199" s="2029"/>
      <c r="DZ199" s="2029"/>
      <c r="EA199" s="2029"/>
      <c r="EB199" s="2029"/>
      <c r="EC199" s="2029"/>
      <c r="ED199" s="2029"/>
      <c r="EE199" s="2029"/>
      <c r="EF199" s="2029"/>
      <c r="EG199" s="2029"/>
      <c r="EH199" s="2029"/>
      <c r="EI199" s="2029"/>
      <c r="EJ199" s="2029"/>
      <c r="EK199" s="2029"/>
      <c r="EL199" s="2029"/>
      <c r="EM199" s="2029"/>
      <c r="EN199" s="2029"/>
      <c r="EO199" s="2029"/>
      <c r="EP199" s="2029"/>
      <c r="EQ199" s="2029"/>
      <c r="ER199" s="2029"/>
      <c r="ES199" s="2029"/>
      <c r="ET199" s="2029"/>
      <c r="EU199" s="2029"/>
      <c r="EV199" s="2029"/>
      <c r="EW199" s="2029"/>
      <c r="EX199" s="2029"/>
      <c r="EY199" s="2029"/>
      <c r="EZ199" s="2029"/>
      <c r="FA199" s="2029"/>
      <c r="FB199" s="2029"/>
      <c r="FC199" s="2029"/>
      <c r="FD199" s="2029"/>
      <c r="FE199" s="2029"/>
      <c r="FF199" s="2029"/>
      <c r="FG199" s="2029"/>
      <c r="FH199" s="2029"/>
      <c r="FI199" s="2029"/>
      <c r="FJ199" s="2029"/>
    </row>
    <row r="200" spans="2:166" s="1286" customFormat="1" ht="18" customHeight="1">
      <c r="C200" s="1600"/>
      <c r="D200" s="1600"/>
      <c r="E200" s="1600"/>
      <c r="F200" s="1600"/>
      <c r="G200" s="1600"/>
      <c r="H200" s="2029"/>
      <c r="I200" s="2029"/>
      <c r="J200" s="2029"/>
      <c r="K200" s="2138"/>
      <c r="L200" s="2138"/>
      <c r="M200" s="2029"/>
      <c r="N200" s="2029"/>
      <c r="O200" s="2029"/>
      <c r="P200" s="2029"/>
      <c r="Q200" s="2029"/>
      <c r="R200" s="2029"/>
      <c r="S200" s="2029"/>
      <c r="T200" s="2029"/>
      <c r="U200" s="2029"/>
      <c r="V200" s="2029"/>
      <c r="W200" s="2029"/>
      <c r="X200" s="2029"/>
      <c r="Y200" s="2029"/>
      <c r="Z200" s="2029"/>
      <c r="AA200" s="2029"/>
      <c r="AB200" s="2029"/>
      <c r="AC200" s="2029"/>
      <c r="AD200" s="2029"/>
      <c r="AE200" s="2029"/>
      <c r="AF200" s="2029"/>
      <c r="AG200" s="2029"/>
      <c r="AH200" s="2029"/>
      <c r="AI200" s="2029"/>
      <c r="AJ200" s="2029"/>
      <c r="AK200" s="2029"/>
      <c r="AL200" s="2029"/>
      <c r="AM200" s="2029"/>
      <c r="AN200" s="2029"/>
      <c r="AO200" s="2029"/>
      <c r="AP200" s="2029"/>
      <c r="AQ200" s="2029"/>
      <c r="AR200" s="2029"/>
      <c r="AS200" s="2029"/>
      <c r="AT200" s="2029"/>
      <c r="AU200" s="2029"/>
      <c r="AV200" s="2029"/>
      <c r="AW200" s="2029"/>
      <c r="AX200" s="2029"/>
      <c r="AY200" s="2029"/>
      <c r="AZ200" s="2029"/>
      <c r="BA200" s="2029"/>
      <c r="BB200" s="2029"/>
      <c r="BC200" s="2029"/>
      <c r="BD200" s="2029"/>
      <c r="BE200" s="2029"/>
      <c r="BF200" s="2029"/>
      <c r="BG200" s="2029"/>
      <c r="BH200" s="2029"/>
      <c r="BI200" s="2029"/>
      <c r="BJ200" s="2029"/>
      <c r="BK200" s="2029"/>
      <c r="BL200" s="2029"/>
      <c r="BM200" s="2029"/>
      <c r="BN200" s="2029"/>
      <c r="BO200" s="2029"/>
      <c r="BP200" s="2029"/>
      <c r="BQ200" s="2029"/>
      <c r="BR200" s="2029"/>
      <c r="BS200" s="2029"/>
      <c r="BT200" s="2029"/>
      <c r="BU200" s="2029"/>
      <c r="BV200" s="2029"/>
      <c r="BW200" s="2029"/>
      <c r="BX200" s="2029"/>
      <c r="BY200" s="2029"/>
      <c r="BZ200" s="2029"/>
      <c r="CA200" s="2029"/>
      <c r="CB200" s="2029"/>
      <c r="CC200" s="2029"/>
      <c r="CD200" s="2029"/>
      <c r="CE200" s="2029"/>
      <c r="CF200" s="2029"/>
      <c r="CG200" s="2029"/>
      <c r="CH200" s="2029"/>
      <c r="CI200" s="2029"/>
      <c r="CJ200" s="2029"/>
      <c r="CK200" s="2029"/>
      <c r="CL200" s="2029"/>
      <c r="CM200" s="2029"/>
      <c r="CN200" s="2029"/>
      <c r="CO200" s="2029"/>
      <c r="CP200" s="2029"/>
      <c r="CQ200" s="2029"/>
      <c r="CR200" s="2029"/>
      <c r="CS200" s="2029"/>
      <c r="CT200" s="2029"/>
      <c r="CU200" s="2029"/>
      <c r="CV200" s="2029"/>
      <c r="CW200" s="2029"/>
      <c r="CX200" s="2029"/>
      <c r="CY200" s="2029"/>
      <c r="CZ200" s="2029"/>
      <c r="DA200" s="2029"/>
      <c r="DB200" s="2029"/>
      <c r="DC200" s="2029"/>
      <c r="DD200" s="2029"/>
      <c r="DE200" s="2029"/>
      <c r="DF200" s="2029"/>
      <c r="DG200" s="2029"/>
      <c r="DH200" s="2029"/>
      <c r="DI200" s="2029"/>
      <c r="DJ200" s="2029"/>
      <c r="DK200" s="2029"/>
      <c r="DL200" s="2029"/>
      <c r="DM200" s="2029"/>
      <c r="DN200" s="2029"/>
      <c r="DO200" s="2029"/>
      <c r="DP200" s="2029"/>
      <c r="DQ200" s="2029"/>
      <c r="DR200" s="2029"/>
      <c r="DS200" s="2029"/>
      <c r="DT200" s="2029"/>
      <c r="DU200" s="2029"/>
      <c r="DV200" s="2029"/>
      <c r="DW200" s="2029"/>
      <c r="DX200" s="2029"/>
      <c r="DY200" s="2029"/>
      <c r="DZ200" s="2029"/>
      <c r="EA200" s="2029"/>
      <c r="EB200" s="2029"/>
      <c r="EC200" s="2029"/>
      <c r="ED200" s="2029"/>
      <c r="EE200" s="2029"/>
      <c r="EF200" s="2029"/>
      <c r="EG200" s="2029"/>
      <c r="EH200" s="2029"/>
      <c r="EI200" s="2029"/>
      <c r="EJ200" s="2029"/>
      <c r="EK200" s="2029"/>
      <c r="EL200" s="2029"/>
      <c r="EM200" s="2029"/>
      <c r="EN200" s="2029"/>
      <c r="EO200" s="2029"/>
      <c r="EP200" s="2029"/>
      <c r="EQ200" s="2029"/>
      <c r="ER200" s="2029"/>
      <c r="ES200" s="2029"/>
      <c r="ET200" s="2029"/>
      <c r="EU200" s="2029"/>
      <c r="EV200" s="2029"/>
      <c r="EW200" s="2029"/>
      <c r="EX200" s="2029"/>
      <c r="EY200" s="2029"/>
      <c r="EZ200" s="2029"/>
      <c r="FA200" s="2029"/>
      <c r="FB200" s="2029"/>
      <c r="FC200" s="2029"/>
      <c r="FD200" s="2029"/>
      <c r="FE200" s="2029"/>
      <c r="FF200" s="2029"/>
      <c r="FG200" s="2029"/>
      <c r="FH200" s="2029"/>
      <c r="FI200" s="2029"/>
      <c r="FJ200" s="2029"/>
    </row>
    <row r="201" spans="2:166" s="1286" customFormat="1" ht="18" customHeight="1">
      <c r="C201" s="1600"/>
      <c r="D201" s="1600"/>
      <c r="E201" s="1600"/>
      <c r="F201" s="1600"/>
      <c r="G201" s="1600"/>
      <c r="H201" s="2029"/>
      <c r="I201" s="2029"/>
      <c r="J201" s="2139"/>
      <c r="K201" s="2029"/>
      <c r="L201" s="2029"/>
      <c r="M201" s="2029"/>
      <c r="N201" s="2029"/>
      <c r="O201" s="2029"/>
      <c r="P201" s="2139"/>
      <c r="Q201" s="2029"/>
      <c r="R201" s="2029"/>
      <c r="S201" s="2029"/>
      <c r="T201" s="2029"/>
      <c r="U201" s="2029"/>
      <c r="V201" s="2029"/>
      <c r="W201" s="2029"/>
      <c r="X201" s="2029"/>
      <c r="Y201" s="2029"/>
      <c r="Z201" s="2029"/>
      <c r="AA201" s="2029"/>
      <c r="AB201" s="2029"/>
      <c r="AC201" s="2029"/>
      <c r="AD201" s="2029"/>
      <c r="AE201" s="2029"/>
      <c r="AF201" s="2029"/>
      <c r="AG201" s="2029"/>
      <c r="AH201" s="2029"/>
      <c r="AI201" s="2029"/>
      <c r="AJ201" s="2029"/>
      <c r="AK201" s="2029"/>
      <c r="AL201" s="2029"/>
      <c r="AM201" s="2029"/>
      <c r="AN201" s="2029"/>
      <c r="AO201" s="2029"/>
      <c r="AP201" s="2029"/>
      <c r="AQ201" s="2029"/>
      <c r="AR201" s="2029"/>
      <c r="AS201" s="2029"/>
      <c r="AT201" s="2029"/>
      <c r="AU201" s="2029"/>
      <c r="AV201" s="2029"/>
      <c r="AW201" s="2029"/>
      <c r="AX201" s="2029"/>
      <c r="AY201" s="2029"/>
      <c r="AZ201" s="2029"/>
      <c r="BA201" s="2029"/>
      <c r="BB201" s="2029"/>
      <c r="BC201" s="2029"/>
      <c r="BD201" s="2029"/>
      <c r="BE201" s="2029"/>
      <c r="BF201" s="2029"/>
      <c r="BG201" s="2029"/>
      <c r="BH201" s="2029"/>
      <c r="BI201" s="2029"/>
      <c r="BJ201" s="2029"/>
      <c r="BK201" s="2029"/>
      <c r="BL201" s="2029"/>
      <c r="BM201" s="2029"/>
      <c r="BN201" s="2029"/>
      <c r="BO201" s="2029"/>
      <c r="BP201" s="2029"/>
      <c r="BQ201" s="2029"/>
      <c r="BR201" s="2029"/>
      <c r="BS201" s="2029"/>
      <c r="BT201" s="2029"/>
      <c r="BU201" s="2029"/>
      <c r="BV201" s="2029"/>
      <c r="BW201" s="2029"/>
      <c r="BX201" s="2029"/>
      <c r="BY201" s="2029"/>
      <c r="BZ201" s="2029"/>
      <c r="CA201" s="2029"/>
      <c r="CB201" s="2029"/>
      <c r="CC201" s="2029"/>
      <c r="CD201" s="2029"/>
      <c r="CE201" s="2029"/>
      <c r="CF201" s="2029"/>
      <c r="CG201" s="2029"/>
      <c r="CH201" s="2029"/>
      <c r="CI201" s="2029"/>
      <c r="CJ201" s="2029"/>
      <c r="CK201" s="2029"/>
      <c r="CL201" s="2029"/>
      <c r="CM201" s="2029"/>
      <c r="CN201" s="2029"/>
      <c r="CO201" s="2029"/>
      <c r="CP201" s="2029"/>
      <c r="CQ201" s="2029"/>
      <c r="CR201" s="2029"/>
      <c r="CS201" s="2029"/>
      <c r="CT201" s="2029"/>
      <c r="CU201" s="2029"/>
      <c r="CV201" s="2029"/>
      <c r="CW201" s="2029"/>
      <c r="CX201" s="2029"/>
      <c r="CY201" s="2029"/>
      <c r="CZ201" s="2029"/>
      <c r="DA201" s="2029"/>
      <c r="DB201" s="2029"/>
      <c r="DC201" s="2029"/>
      <c r="DD201" s="2029"/>
      <c r="DE201" s="2029"/>
      <c r="DF201" s="2029"/>
      <c r="DG201" s="2029"/>
      <c r="DH201" s="2029"/>
      <c r="DI201" s="2029"/>
      <c r="DJ201" s="2029"/>
      <c r="DK201" s="2029"/>
      <c r="DL201" s="2029"/>
      <c r="DM201" s="2029"/>
      <c r="DN201" s="2029"/>
      <c r="DO201" s="2029"/>
      <c r="DP201" s="2029"/>
      <c r="DQ201" s="2029"/>
      <c r="DR201" s="2029"/>
      <c r="DS201" s="2029"/>
      <c r="DT201" s="2029"/>
      <c r="DU201" s="2029"/>
      <c r="DV201" s="2029"/>
      <c r="DW201" s="2029"/>
      <c r="DX201" s="2029"/>
      <c r="DY201" s="2029"/>
      <c r="DZ201" s="2029"/>
      <c r="EA201" s="2029"/>
      <c r="EB201" s="2029"/>
      <c r="EC201" s="2029"/>
      <c r="ED201" s="2029"/>
      <c r="EE201" s="2029"/>
      <c r="EF201" s="2029"/>
      <c r="EG201" s="2029"/>
      <c r="EH201" s="2029"/>
      <c r="EI201" s="2029"/>
      <c r="EJ201" s="2029"/>
      <c r="EK201" s="2029"/>
      <c r="EL201" s="2029"/>
      <c r="EM201" s="2029"/>
      <c r="EN201" s="2029"/>
      <c r="EO201" s="2029"/>
      <c r="EP201" s="2029"/>
      <c r="EQ201" s="2029"/>
      <c r="ER201" s="2029"/>
      <c r="ES201" s="2029"/>
      <c r="ET201" s="2029"/>
      <c r="EU201" s="2029"/>
      <c r="EV201" s="2029"/>
      <c r="EW201" s="2029"/>
      <c r="EX201" s="2029"/>
      <c r="EY201" s="2029"/>
      <c r="EZ201" s="2029"/>
      <c r="FA201" s="2029"/>
      <c r="FB201" s="2029"/>
      <c r="FC201" s="2029"/>
      <c r="FD201" s="2029"/>
      <c r="FE201" s="2029"/>
      <c r="FF201" s="2029"/>
      <c r="FG201" s="2029"/>
      <c r="FH201" s="2029"/>
      <c r="FI201" s="2029"/>
      <c r="FJ201" s="2029"/>
    </row>
    <row r="202" spans="2:166" s="1286" customFormat="1" ht="18" customHeight="1">
      <c r="C202" s="1599"/>
      <c r="D202" s="1599"/>
      <c r="E202" s="1599"/>
      <c r="F202" s="1600"/>
      <c r="G202" s="1600"/>
      <c r="H202" s="2029"/>
      <c r="I202" s="2029"/>
      <c r="J202" s="2139"/>
      <c r="K202" s="2029"/>
      <c r="L202" s="2029"/>
      <c r="M202" s="2029"/>
      <c r="N202" s="2029"/>
      <c r="O202" s="2029"/>
      <c r="P202" s="2139"/>
      <c r="Q202" s="2029"/>
      <c r="R202" s="2029"/>
      <c r="S202" s="2029"/>
      <c r="T202" s="2029"/>
      <c r="U202" s="2029"/>
      <c r="V202" s="2029"/>
      <c r="W202" s="2029"/>
      <c r="X202" s="2029"/>
      <c r="Y202" s="2029"/>
      <c r="Z202" s="2029"/>
      <c r="AA202" s="2029"/>
      <c r="AB202" s="2029"/>
      <c r="AC202" s="2029"/>
      <c r="AD202" s="2029"/>
      <c r="AE202" s="2029"/>
      <c r="AF202" s="2029"/>
      <c r="AG202" s="2029"/>
      <c r="AH202" s="2029"/>
      <c r="AI202" s="2029"/>
      <c r="AJ202" s="2029"/>
      <c r="AK202" s="2029"/>
      <c r="AL202" s="2029"/>
      <c r="AM202" s="2029"/>
      <c r="AN202" s="2029"/>
      <c r="AO202" s="2029"/>
      <c r="AP202" s="2029"/>
      <c r="AQ202" s="2029"/>
      <c r="AR202" s="2029"/>
      <c r="AS202" s="2029"/>
      <c r="AT202" s="2029"/>
      <c r="AU202" s="2029"/>
      <c r="AV202" s="2029"/>
      <c r="AW202" s="2029"/>
      <c r="AX202" s="2029"/>
      <c r="AY202" s="2029"/>
      <c r="AZ202" s="2029"/>
      <c r="BA202" s="2029"/>
      <c r="BB202" s="2029"/>
      <c r="BC202" s="2029"/>
      <c r="BD202" s="2029"/>
      <c r="BE202" s="2029"/>
      <c r="BF202" s="2029"/>
      <c r="BG202" s="2029"/>
      <c r="BH202" s="2029"/>
      <c r="BI202" s="2029"/>
      <c r="BJ202" s="2029"/>
      <c r="BK202" s="2029"/>
      <c r="BL202" s="2029"/>
      <c r="BM202" s="2029"/>
      <c r="BN202" s="2029"/>
      <c r="BO202" s="2029"/>
      <c r="BP202" s="2029"/>
      <c r="BQ202" s="2029"/>
      <c r="BR202" s="2029"/>
      <c r="BS202" s="2029"/>
      <c r="BT202" s="2029"/>
      <c r="BU202" s="2029"/>
      <c r="BV202" s="2029"/>
      <c r="BW202" s="2029"/>
      <c r="BX202" s="2029"/>
      <c r="BY202" s="2029"/>
      <c r="BZ202" s="2029"/>
      <c r="CA202" s="2029"/>
      <c r="CB202" s="2029"/>
      <c r="CC202" s="2029"/>
      <c r="CD202" s="2029"/>
      <c r="CE202" s="2029"/>
      <c r="CF202" s="2029"/>
      <c r="CG202" s="2029"/>
      <c r="CH202" s="2029"/>
      <c r="CI202" s="2029"/>
      <c r="CJ202" s="2029"/>
      <c r="CK202" s="2029"/>
      <c r="CL202" s="2029"/>
      <c r="CM202" s="2029"/>
      <c r="CN202" s="2029"/>
      <c r="CO202" s="2029"/>
      <c r="CP202" s="2029"/>
      <c r="CQ202" s="2029"/>
      <c r="CR202" s="2029"/>
      <c r="CS202" s="2029"/>
      <c r="CT202" s="2029"/>
      <c r="CU202" s="2029"/>
      <c r="CV202" s="2029"/>
      <c r="CW202" s="2029"/>
      <c r="CX202" s="2029"/>
      <c r="CY202" s="2029"/>
      <c r="CZ202" s="2029"/>
      <c r="DA202" s="2029"/>
      <c r="DB202" s="2029"/>
      <c r="DC202" s="2029"/>
      <c r="DD202" s="2029"/>
      <c r="DE202" s="2029"/>
      <c r="DF202" s="2029"/>
      <c r="DG202" s="2029"/>
      <c r="DH202" s="2029"/>
      <c r="DI202" s="2029"/>
      <c r="DJ202" s="2029"/>
      <c r="DK202" s="2029"/>
      <c r="DL202" s="2029"/>
      <c r="DM202" s="2029"/>
      <c r="DN202" s="2029"/>
      <c r="DO202" s="2029"/>
      <c r="DP202" s="2029"/>
      <c r="DQ202" s="2029"/>
      <c r="DR202" s="2029"/>
      <c r="DS202" s="2029"/>
      <c r="DT202" s="2029"/>
      <c r="DU202" s="2029"/>
      <c r="DV202" s="2029"/>
      <c r="DW202" s="2029"/>
      <c r="DX202" s="2029"/>
      <c r="DY202" s="2029"/>
      <c r="DZ202" s="2029"/>
      <c r="EA202" s="2029"/>
      <c r="EB202" s="2029"/>
      <c r="EC202" s="2029"/>
      <c r="ED202" s="2029"/>
      <c r="EE202" s="2029"/>
      <c r="EF202" s="2029"/>
      <c r="EG202" s="2029"/>
      <c r="EH202" s="2029"/>
      <c r="EI202" s="2029"/>
      <c r="EJ202" s="2029"/>
      <c r="EK202" s="2029"/>
      <c r="EL202" s="2029"/>
      <c r="EM202" s="2029"/>
      <c r="EN202" s="2029"/>
      <c r="EO202" s="2029"/>
      <c r="EP202" s="2029"/>
      <c r="EQ202" s="2029"/>
      <c r="ER202" s="2029"/>
      <c r="ES202" s="2029"/>
      <c r="ET202" s="2029"/>
      <c r="EU202" s="2029"/>
      <c r="EV202" s="2029"/>
      <c r="EW202" s="2029"/>
      <c r="EX202" s="2029"/>
      <c r="EY202" s="2029"/>
      <c r="EZ202" s="2029"/>
      <c r="FA202" s="2029"/>
      <c r="FB202" s="2029"/>
      <c r="FC202" s="2029"/>
      <c r="FD202" s="2029"/>
      <c r="FE202" s="2029"/>
      <c r="FF202" s="2029"/>
      <c r="FG202" s="2029"/>
      <c r="FH202" s="2029"/>
      <c r="FI202" s="2029"/>
      <c r="FJ202" s="2029"/>
    </row>
    <row r="203" spans="2:166" s="1286" customFormat="1" ht="18" customHeight="1">
      <c r="C203" s="1599"/>
      <c r="D203" s="1599"/>
      <c r="E203" s="1599"/>
      <c r="H203" s="2029"/>
      <c r="I203" s="2029"/>
      <c r="J203" s="2029"/>
      <c r="K203" s="2029"/>
      <c r="L203" s="2029"/>
      <c r="M203" s="2029"/>
      <c r="N203" s="2029"/>
      <c r="O203" s="2029"/>
      <c r="P203" s="2029"/>
      <c r="Q203" s="2029"/>
      <c r="R203" s="2029"/>
      <c r="S203" s="2029"/>
      <c r="T203" s="2029"/>
      <c r="U203" s="2029"/>
      <c r="V203" s="2029"/>
      <c r="W203" s="2029"/>
      <c r="X203" s="2029"/>
      <c r="Y203" s="2029"/>
      <c r="Z203" s="2029"/>
      <c r="AA203" s="2029"/>
      <c r="AB203" s="2029"/>
      <c r="AC203" s="2029"/>
      <c r="AD203" s="2029"/>
      <c r="AE203" s="2029"/>
      <c r="AF203" s="2029"/>
      <c r="AG203" s="2029"/>
      <c r="AH203" s="2029"/>
      <c r="AI203" s="2029"/>
      <c r="AJ203" s="2029"/>
      <c r="AK203" s="2029"/>
      <c r="AL203" s="2029"/>
      <c r="AM203" s="2029"/>
      <c r="AN203" s="2029"/>
      <c r="AO203" s="2029"/>
      <c r="AP203" s="2029"/>
      <c r="AQ203" s="2029"/>
      <c r="AR203" s="2029"/>
      <c r="AS203" s="2029"/>
      <c r="AT203" s="2029"/>
      <c r="AU203" s="2029"/>
      <c r="AV203" s="2029"/>
      <c r="AW203" s="2029"/>
      <c r="AX203" s="2029"/>
      <c r="AY203" s="2029"/>
      <c r="AZ203" s="2029"/>
      <c r="BA203" s="2029"/>
      <c r="BB203" s="2029"/>
      <c r="BC203" s="2029"/>
      <c r="BD203" s="2029"/>
      <c r="BE203" s="2029"/>
      <c r="BF203" s="2029"/>
      <c r="BG203" s="2029"/>
      <c r="BH203" s="2029"/>
      <c r="BI203" s="2029"/>
      <c r="BJ203" s="2029"/>
      <c r="BK203" s="2029"/>
      <c r="BL203" s="2029"/>
      <c r="BM203" s="2029"/>
      <c r="BN203" s="2029"/>
      <c r="BO203" s="2029"/>
      <c r="BP203" s="2029"/>
      <c r="BQ203" s="2029"/>
      <c r="BR203" s="2029"/>
      <c r="BS203" s="2029"/>
      <c r="BT203" s="2029"/>
      <c r="BU203" s="2029"/>
      <c r="BV203" s="2029"/>
      <c r="BW203" s="2029"/>
      <c r="BX203" s="2029"/>
      <c r="BY203" s="2029"/>
      <c r="BZ203" s="2029"/>
      <c r="CA203" s="2029"/>
      <c r="CB203" s="2029"/>
      <c r="CC203" s="2029"/>
      <c r="CD203" s="2029"/>
      <c r="CE203" s="2029"/>
      <c r="CF203" s="2029"/>
      <c r="CG203" s="2029"/>
      <c r="CH203" s="2029"/>
      <c r="CI203" s="2029"/>
      <c r="CJ203" s="2029"/>
      <c r="CK203" s="2029"/>
      <c r="CL203" s="2029"/>
      <c r="CM203" s="2029"/>
      <c r="CN203" s="2029"/>
      <c r="CO203" s="2029"/>
      <c r="CP203" s="2029"/>
      <c r="CQ203" s="2029"/>
      <c r="CR203" s="2029"/>
      <c r="CS203" s="2029"/>
      <c r="CT203" s="2029"/>
      <c r="CU203" s="2029"/>
      <c r="CV203" s="2029"/>
      <c r="CW203" s="2029"/>
      <c r="CX203" s="2029"/>
      <c r="CY203" s="2029"/>
      <c r="CZ203" s="2029"/>
      <c r="DA203" s="2029"/>
      <c r="DB203" s="2029"/>
      <c r="DC203" s="2029"/>
      <c r="DD203" s="2029"/>
      <c r="DE203" s="2029"/>
      <c r="DF203" s="2029"/>
      <c r="DG203" s="2029"/>
      <c r="DH203" s="2029"/>
      <c r="DI203" s="2029"/>
      <c r="DJ203" s="2029"/>
      <c r="DK203" s="2029"/>
      <c r="DL203" s="2029"/>
      <c r="DM203" s="2029"/>
      <c r="DN203" s="2029"/>
      <c r="DO203" s="2029"/>
      <c r="DP203" s="2029"/>
      <c r="DQ203" s="2029"/>
      <c r="DR203" s="2029"/>
      <c r="DS203" s="2029"/>
      <c r="DT203" s="2029"/>
      <c r="DU203" s="2029"/>
      <c r="DV203" s="2029"/>
      <c r="DW203" s="2029"/>
      <c r="DX203" s="2029"/>
      <c r="DY203" s="2029"/>
      <c r="DZ203" s="2029"/>
      <c r="EA203" s="2029"/>
      <c r="EB203" s="2029"/>
      <c r="EC203" s="2029"/>
      <c r="ED203" s="2029"/>
      <c r="EE203" s="2029"/>
      <c r="EF203" s="2029"/>
      <c r="EG203" s="2029"/>
      <c r="EH203" s="2029"/>
      <c r="EI203" s="2029"/>
      <c r="EJ203" s="2029"/>
      <c r="EK203" s="2029"/>
      <c r="EL203" s="2029"/>
      <c r="EM203" s="2029"/>
      <c r="EN203" s="2029"/>
      <c r="EO203" s="2029"/>
      <c r="EP203" s="2029"/>
      <c r="EQ203" s="2029"/>
      <c r="ER203" s="2029"/>
      <c r="ES203" s="2029"/>
      <c r="ET203" s="2029"/>
      <c r="EU203" s="2029"/>
      <c r="EV203" s="2029"/>
      <c r="EW203" s="2029"/>
      <c r="EX203" s="2029"/>
      <c r="EY203" s="2029"/>
      <c r="EZ203" s="2029"/>
      <c r="FA203" s="2029"/>
      <c r="FB203" s="2029"/>
      <c r="FC203" s="2029"/>
      <c r="FD203" s="2029"/>
      <c r="FE203" s="2029"/>
      <c r="FF203" s="2029"/>
      <c r="FG203" s="2029"/>
      <c r="FH203" s="2029"/>
      <c r="FI203" s="2029"/>
      <c r="FJ203" s="2029"/>
    </row>
    <row r="204" spans="2:166" s="1286" customFormat="1" ht="18" customHeight="1">
      <c r="H204" s="2029"/>
      <c r="I204" s="2029"/>
      <c r="J204" s="2029"/>
      <c r="K204" s="2029"/>
      <c r="L204" s="2029"/>
      <c r="M204" s="2029"/>
      <c r="N204" s="2029"/>
      <c r="O204" s="2029"/>
      <c r="P204" s="2029"/>
      <c r="Q204" s="2029"/>
      <c r="R204" s="2029"/>
      <c r="S204" s="2029"/>
      <c r="T204" s="2029"/>
      <c r="U204" s="2029"/>
      <c r="V204" s="2029"/>
      <c r="W204" s="2029"/>
      <c r="X204" s="2029"/>
      <c r="Y204" s="2029"/>
      <c r="Z204" s="2029"/>
      <c r="AA204" s="2029"/>
      <c r="AB204" s="2029"/>
      <c r="AC204" s="2029"/>
      <c r="AD204" s="2029"/>
      <c r="AE204" s="2029"/>
      <c r="AF204" s="2029"/>
      <c r="AG204" s="2029"/>
      <c r="AH204" s="2029"/>
      <c r="AI204" s="2029"/>
      <c r="AJ204" s="2029"/>
      <c r="AK204" s="2029"/>
      <c r="AL204" s="2029"/>
      <c r="AM204" s="2029"/>
      <c r="AN204" s="2029"/>
      <c r="AO204" s="2029"/>
      <c r="AP204" s="2029"/>
      <c r="AQ204" s="2029"/>
      <c r="AR204" s="2029"/>
      <c r="AS204" s="2029"/>
      <c r="AT204" s="2029"/>
      <c r="AU204" s="2029"/>
      <c r="AV204" s="2029"/>
      <c r="AW204" s="2029"/>
      <c r="AX204" s="2029"/>
      <c r="AY204" s="2029"/>
      <c r="AZ204" s="2029"/>
      <c r="BA204" s="2029"/>
      <c r="BB204" s="2029"/>
      <c r="BC204" s="2029"/>
      <c r="BD204" s="2029"/>
      <c r="BE204" s="2029"/>
      <c r="BF204" s="2029"/>
      <c r="BG204" s="2029"/>
      <c r="BH204" s="2029"/>
      <c r="BI204" s="2029"/>
      <c r="BJ204" s="2029"/>
      <c r="BK204" s="2029"/>
      <c r="BL204" s="2029"/>
      <c r="BM204" s="2029"/>
      <c r="BN204" s="2029"/>
      <c r="BO204" s="2029"/>
      <c r="BP204" s="2029"/>
      <c r="BQ204" s="2029"/>
      <c r="BR204" s="2029"/>
      <c r="BS204" s="2029"/>
      <c r="BT204" s="2029"/>
      <c r="BU204" s="2029"/>
      <c r="BV204" s="2029"/>
      <c r="BW204" s="2029"/>
      <c r="BX204" s="2029"/>
      <c r="BY204" s="2029"/>
      <c r="BZ204" s="2029"/>
      <c r="CA204" s="2029"/>
      <c r="CB204" s="2029"/>
      <c r="CC204" s="2029"/>
      <c r="CD204" s="2029"/>
      <c r="CE204" s="2029"/>
      <c r="CF204" s="2029"/>
      <c r="CG204" s="2029"/>
      <c r="CH204" s="2029"/>
      <c r="CI204" s="2029"/>
      <c r="CJ204" s="2029"/>
      <c r="CK204" s="2029"/>
      <c r="CL204" s="2029"/>
      <c r="CM204" s="2029"/>
      <c r="CN204" s="2029"/>
      <c r="CO204" s="2029"/>
      <c r="CP204" s="2029"/>
      <c r="CQ204" s="2029"/>
      <c r="CR204" s="2029"/>
      <c r="CS204" s="2029"/>
      <c r="CT204" s="2029"/>
      <c r="CU204" s="2029"/>
      <c r="CV204" s="2029"/>
      <c r="CW204" s="2029"/>
      <c r="CX204" s="2029"/>
      <c r="CY204" s="2029"/>
      <c r="CZ204" s="2029"/>
      <c r="DA204" s="2029"/>
      <c r="DB204" s="2029"/>
      <c r="DC204" s="2029"/>
      <c r="DD204" s="2029"/>
      <c r="DE204" s="2029"/>
      <c r="DF204" s="2029"/>
      <c r="DG204" s="2029"/>
      <c r="DH204" s="2029"/>
      <c r="DI204" s="2029"/>
      <c r="DJ204" s="2029"/>
      <c r="DK204" s="2029"/>
      <c r="DL204" s="2029"/>
      <c r="DM204" s="2029"/>
      <c r="DN204" s="2029"/>
      <c r="DO204" s="2029"/>
      <c r="DP204" s="2029"/>
      <c r="DQ204" s="2029"/>
      <c r="DR204" s="2029"/>
      <c r="DS204" s="2029"/>
      <c r="DT204" s="2029"/>
      <c r="DU204" s="2029"/>
      <c r="DV204" s="2029"/>
      <c r="DW204" s="2029"/>
      <c r="DX204" s="2029"/>
      <c r="DY204" s="2029"/>
      <c r="DZ204" s="2029"/>
      <c r="EA204" s="2029"/>
      <c r="EB204" s="2029"/>
      <c r="EC204" s="2029"/>
      <c r="ED204" s="2029"/>
      <c r="EE204" s="2029"/>
      <c r="EF204" s="2029"/>
      <c r="EG204" s="2029"/>
      <c r="EH204" s="2029"/>
      <c r="EI204" s="2029"/>
      <c r="EJ204" s="2029"/>
      <c r="EK204" s="2029"/>
      <c r="EL204" s="2029"/>
      <c r="EM204" s="2029"/>
      <c r="EN204" s="2029"/>
      <c r="EO204" s="2029"/>
      <c r="EP204" s="2029"/>
      <c r="EQ204" s="2029"/>
      <c r="ER204" s="2029"/>
      <c r="ES204" s="2029"/>
      <c r="ET204" s="2029"/>
      <c r="EU204" s="2029"/>
      <c r="EV204" s="2029"/>
      <c r="EW204" s="2029"/>
      <c r="EX204" s="2029"/>
      <c r="EY204" s="2029"/>
      <c r="EZ204" s="2029"/>
      <c r="FA204" s="2029"/>
      <c r="FB204" s="2029"/>
      <c r="FC204" s="2029"/>
      <c r="FD204" s="2029"/>
      <c r="FE204" s="2029"/>
      <c r="FF204" s="2029"/>
      <c r="FG204" s="2029"/>
      <c r="FH204" s="2029"/>
      <c r="FI204" s="2029"/>
      <c r="FJ204" s="2029"/>
    </row>
    <row r="205" spans="2:166" s="1286" customFormat="1" ht="18" customHeight="1">
      <c r="H205" s="2029"/>
      <c r="I205" s="2029"/>
      <c r="J205" s="2029"/>
      <c r="K205" s="2029"/>
      <c r="L205" s="2029"/>
      <c r="M205" s="2029"/>
      <c r="N205" s="2029"/>
      <c r="O205" s="2029"/>
      <c r="P205" s="2029"/>
      <c r="Q205" s="2029"/>
      <c r="R205" s="2029"/>
      <c r="S205" s="2029"/>
      <c r="T205" s="2029"/>
      <c r="U205" s="2029"/>
      <c r="V205" s="2029"/>
      <c r="W205" s="2029"/>
      <c r="X205" s="2029"/>
      <c r="Y205" s="2029"/>
      <c r="Z205" s="2029"/>
      <c r="AA205" s="2029"/>
      <c r="AB205" s="2029"/>
      <c r="AC205" s="2029"/>
      <c r="AD205" s="2029"/>
      <c r="AE205" s="2029"/>
      <c r="AF205" s="2029"/>
      <c r="AG205" s="2029"/>
      <c r="AH205" s="2029"/>
      <c r="AI205" s="2029"/>
      <c r="AJ205" s="2029"/>
      <c r="AK205" s="2029"/>
      <c r="AL205" s="2029"/>
      <c r="AM205" s="2029"/>
      <c r="AN205" s="2029"/>
      <c r="AO205" s="2029"/>
      <c r="AP205" s="2029"/>
      <c r="AQ205" s="2029"/>
      <c r="AR205" s="2029"/>
      <c r="AS205" s="2029"/>
      <c r="AT205" s="2029"/>
      <c r="AU205" s="2029"/>
      <c r="AV205" s="2029"/>
      <c r="AW205" s="2029"/>
      <c r="AX205" s="2029"/>
      <c r="AY205" s="2029"/>
      <c r="AZ205" s="2029"/>
      <c r="BA205" s="2029"/>
      <c r="BB205" s="2029"/>
      <c r="BC205" s="2029"/>
      <c r="BD205" s="2029"/>
      <c r="BE205" s="2029"/>
      <c r="BF205" s="2029"/>
      <c r="BG205" s="2029"/>
      <c r="BH205" s="2029"/>
      <c r="BI205" s="2029"/>
      <c r="BJ205" s="2029"/>
      <c r="BK205" s="2029"/>
      <c r="BL205" s="2029"/>
      <c r="BM205" s="2029"/>
      <c r="BN205" s="2029"/>
      <c r="BO205" s="2029"/>
      <c r="BP205" s="2029"/>
      <c r="BQ205" s="2029"/>
      <c r="BR205" s="2029"/>
      <c r="BS205" s="2029"/>
      <c r="BT205" s="2029"/>
      <c r="BU205" s="2029"/>
      <c r="BV205" s="2029"/>
      <c r="BW205" s="2029"/>
      <c r="BX205" s="2029"/>
      <c r="BY205" s="2029"/>
      <c r="BZ205" s="2029"/>
      <c r="CA205" s="2029"/>
      <c r="CB205" s="2029"/>
      <c r="CC205" s="2029"/>
      <c r="CD205" s="2029"/>
      <c r="CE205" s="2029"/>
      <c r="CF205" s="2029"/>
      <c r="CG205" s="2029"/>
      <c r="CH205" s="2029"/>
      <c r="CI205" s="2029"/>
      <c r="CJ205" s="2029"/>
      <c r="CK205" s="2029"/>
      <c r="CL205" s="2029"/>
      <c r="CM205" s="2029"/>
      <c r="CN205" s="2029"/>
      <c r="CO205" s="2029"/>
      <c r="CP205" s="2029"/>
      <c r="CQ205" s="2029"/>
      <c r="CR205" s="2029"/>
      <c r="CS205" s="2029"/>
      <c r="CT205" s="2029"/>
      <c r="CU205" s="2029"/>
      <c r="CV205" s="2029"/>
      <c r="CW205" s="2029"/>
      <c r="CX205" s="2029"/>
      <c r="CY205" s="2029"/>
      <c r="CZ205" s="2029"/>
      <c r="DA205" s="2029"/>
      <c r="DB205" s="2029"/>
      <c r="DC205" s="2029"/>
      <c r="DD205" s="2029"/>
      <c r="DE205" s="2029"/>
      <c r="DF205" s="2029"/>
      <c r="DG205" s="2029"/>
      <c r="DH205" s="2029"/>
      <c r="DI205" s="2029"/>
      <c r="DJ205" s="2029"/>
      <c r="DK205" s="2029"/>
      <c r="DL205" s="2029"/>
      <c r="DM205" s="2029"/>
      <c r="DN205" s="2029"/>
      <c r="DO205" s="2029"/>
      <c r="DP205" s="2029"/>
      <c r="DQ205" s="2029"/>
      <c r="DR205" s="2029"/>
      <c r="DS205" s="2029"/>
      <c r="DT205" s="2029"/>
      <c r="DU205" s="2029"/>
      <c r="DV205" s="2029"/>
      <c r="DW205" s="2029"/>
      <c r="DX205" s="2029"/>
      <c r="DY205" s="2029"/>
      <c r="DZ205" s="2029"/>
      <c r="EA205" s="2029"/>
      <c r="EB205" s="2029"/>
      <c r="EC205" s="2029"/>
      <c r="ED205" s="2029"/>
      <c r="EE205" s="2029"/>
      <c r="EF205" s="2029"/>
      <c r="EG205" s="2029"/>
      <c r="EH205" s="2029"/>
      <c r="EI205" s="2029"/>
      <c r="EJ205" s="2029"/>
      <c r="EK205" s="2029"/>
      <c r="EL205" s="2029"/>
      <c r="EM205" s="2029"/>
      <c r="EN205" s="2029"/>
      <c r="EO205" s="2029"/>
      <c r="EP205" s="2029"/>
      <c r="EQ205" s="2029"/>
      <c r="ER205" s="2029"/>
      <c r="ES205" s="2029"/>
      <c r="ET205" s="2029"/>
      <c r="EU205" s="2029"/>
      <c r="EV205" s="2029"/>
      <c r="EW205" s="2029"/>
      <c r="EX205" s="2029"/>
      <c r="EY205" s="2029"/>
      <c r="EZ205" s="2029"/>
      <c r="FA205" s="2029"/>
      <c r="FB205" s="2029"/>
      <c r="FC205" s="2029"/>
      <c r="FD205" s="2029"/>
      <c r="FE205" s="2029"/>
      <c r="FF205" s="2029"/>
      <c r="FG205" s="2029"/>
      <c r="FH205" s="2029"/>
      <c r="FI205" s="2029"/>
      <c r="FJ205" s="2029"/>
    </row>
    <row r="206" spans="2:166" s="1286" customFormat="1" ht="18" customHeight="1">
      <c r="H206" s="2029"/>
      <c r="I206" s="2029"/>
      <c r="J206" s="2029"/>
      <c r="K206" s="2029"/>
      <c r="L206" s="2029"/>
      <c r="M206" s="2029"/>
      <c r="N206" s="2029"/>
      <c r="O206" s="2029"/>
      <c r="P206" s="2029"/>
      <c r="Q206" s="2029"/>
      <c r="R206" s="2029"/>
      <c r="S206" s="2029"/>
      <c r="T206" s="2029"/>
      <c r="U206" s="2029"/>
      <c r="V206" s="2029"/>
      <c r="W206" s="2029"/>
      <c r="X206" s="2029"/>
      <c r="Y206" s="2029"/>
      <c r="Z206" s="2029"/>
      <c r="AA206" s="2029"/>
      <c r="AB206" s="2029"/>
      <c r="AC206" s="2029"/>
      <c r="AD206" s="2029"/>
      <c r="AE206" s="2029"/>
      <c r="AF206" s="2029"/>
      <c r="AG206" s="2029"/>
      <c r="AH206" s="2029"/>
      <c r="AI206" s="2029"/>
      <c r="AJ206" s="2029"/>
      <c r="AK206" s="2029"/>
      <c r="AL206" s="2029"/>
      <c r="AM206" s="2029"/>
      <c r="AN206" s="2029"/>
      <c r="AO206" s="2029"/>
      <c r="AP206" s="2029"/>
      <c r="AQ206" s="2029"/>
      <c r="AR206" s="2029"/>
      <c r="AS206" s="2029"/>
      <c r="AT206" s="2029"/>
      <c r="AU206" s="2029"/>
      <c r="AV206" s="2029"/>
      <c r="AW206" s="2029"/>
      <c r="AX206" s="2029"/>
      <c r="AY206" s="2029"/>
      <c r="AZ206" s="2029"/>
      <c r="BA206" s="2029"/>
      <c r="BB206" s="2029"/>
      <c r="BC206" s="2029"/>
      <c r="BD206" s="2029"/>
      <c r="BE206" s="2029"/>
      <c r="BF206" s="2029"/>
      <c r="BG206" s="2029"/>
      <c r="BH206" s="2029"/>
      <c r="BI206" s="2029"/>
      <c r="BJ206" s="2029"/>
      <c r="BK206" s="2029"/>
      <c r="BL206" s="2029"/>
      <c r="BM206" s="2029"/>
      <c r="BN206" s="2029"/>
      <c r="BO206" s="2029"/>
      <c r="BP206" s="2029"/>
      <c r="BQ206" s="2029"/>
      <c r="BR206" s="2029"/>
      <c r="BS206" s="2029"/>
      <c r="BT206" s="2029"/>
      <c r="BU206" s="2029"/>
      <c r="BV206" s="2029"/>
      <c r="BW206" s="2029"/>
      <c r="BX206" s="2029"/>
      <c r="BY206" s="2029"/>
      <c r="BZ206" s="2029"/>
      <c r="CA206" s="2029"/>
      <c r="CB206" s="2029"/>
      <c r="CC206" s="2029"/>
      <c r="CD206" s="2029"/>
      <c r="CE206" s="2029"/>
      <c r="CF206" s="2029"/>
      <c r="CG206" s="2029"/>
      <c r="CH206" s="2029"/>
      <c r="CI206" s="2029"/>
      <c r="CJ206" s="2029"/>
      <c r="CK206" s="2029"/>
      <c r="CL206" s="2029"/>
      <c r="CM206" s="2029"/>
      <c r="CN206" s="2029"/>
      <c r="CO206" s="2029"/>
      <c r="CP206" s="2029"/>
      <c r="CQ206" s="2029"/>
      <c r="CR206" s="2029"/>
      <c r="CS206" s="2029"/>
      <c r="CT206" s="2029"/>
      <c r="CU206" s="2029"/>
      <c r="CV206" s="2029"/>
      <c r="CW206" s="2029"/>
      <c r="CX206" s="2029"/>
      <c r="CY206" s="2029"/>
      <c r="CZ206" s="2029"/>
      <c r="DA206" s="2029"/>
      <c r="DB206" s="2029"/>
      <c r="DC206" s="2029"/>
      <c r="DD206" s="2029"/>
      <c r="DE206" s="2029"/>
      <c r="DF206" s="2029"/>
      <c r="DG206" s="2029"/>
      <c r="DH206" s="2029"/>
      <c r="DI206" s="2029"/>
      <c r="DJ206" s="2029"/>
      <c r="DK206" s="2029"/>
      <c r="DL206" s="2029"/>
      <c r="DM206" s="2029"/>
      <c r="DN206" s="2029"/>
      <c r="DO206" s="2029"/>
      <c r="DP206" s="2029"/>
      <c r="DQ206" s="2029"/>
      <c r="DR206" s="2029"/>
      <c r="DS206" s="2029"/>
      <c r="DT206" s="2029"/>
      <c r="DU206" s="2029"/>
      <c r="DV206" s="2029"/>
      <c r="DW206" s="2029"/>
      <c r="DX206" s="2029"/>
      <c r="DY206" s="2029"/>
      <c r="DZ206" s="2029"/>
      <c r="EA206" s="2029"/>
      <c r="EB206" s="2029"/>
      <c r="EC206" s="2029"/>
      <c r="ED206" s="2029"/>
      <c r="EE206" s="2029"/>
      <c r="EF206" s="2029"/>
      <c r="EG206" s="2029"/>
      <c r="EH206" s="2029"/>
      <c r="EI206" s="2029"/>
      <c r="EJ206" s="2029"/>
      <c r="EK206" s="2029"/>
      <c r="EL206" s="2029"/>
      <c r="EM206" s="2029"/>
      <c r="EN206" s="2029"/>
      <c r="EO206" s="2029"/>
      <c r="EP206" s="2029"/>
      <c r="EQ206" s="2029"/>
      <c r="ER206" s="2029"/>
      <c r="ES206" s="2029"/>
      <c r="ET206" s="2029"/>
      <c r="EU206" s="2029"/>
      <c r="EV206" s="2029"/>
      <c r="EW206" s="2029"/>
      <c r="EX206" s="2029"/>
      <c r="EY206" s="2029"/>
      <c r="EZ206" s="2029"/>
      <c r="FA206" s="2029"/>
      <c r="FB206" s="2029"/>
      <c r="FC206" s="2029"/>
      <c r="FD206" s="2029"/>
      <c r="FE206" s="2029"/>
      <c r="FF206" s="2029"/>
      <c r="FG206" s="2029"/>
      <c r="FH206" s="2029"/>
      <c r="FI206" s="2029"/>
      <c r="FJ206" s="2029"/>
    </row>
    <row r="207" spans="2:166" s="1286" customFormat="1" ht="18" customHeight="1">
      <c r="H207" s="2029"/>
      <c r="I207" s="2029"/>
      <c r="J207" s="2029"/>
      <c r="K207" s="2029"/>
      <c r="L207" s="2029"/>
      <c r="M207" s="2029"/>
      <c r="N207" s="2029"/>
      <c r="O207" s="2029"/>
      <c r="P207" s="2029"/>
      <c r="Q207" s="2029"/>
      <c r="R207" s="2029"/>
      <c r="S207" s="2029"/>
      <c r="T207" s="2029"/>
      <c r="U207" s="2029"/>
      <c r="V207" s="2029"/>
      <c r="W207" s="2029"/>
      <c r="X207" s="2029"/>
      <c r="Y207" s="2029"/>
      <c r="Z207" s="2029"/>
      <c r="AA207" s="2029"/>
      <c r="AB207" s="2029"/>
      <c r="AC207" s="2029"/>
      <c r="AD207" s="2029"/>
      <c r="AE207" s="2029"/>
      <c r="AF207" s="2029"/>
      <c r="AG207" s="2029"/>
      <c r="AH207" s="2029"/>
      <c r="AI207" s="2029"/>
      <c r="AJ207" s="2029"/>
      <c r="AK207" s="2029"/>
      <c r="AL207" s="2029"/>
      <c r="AM207" s="2029"/>
      <c r="AN207" s="2029"/>
      <c r="AO207" s="2029"/>
      <c r="AP207" s="2029"/>
      <c r="AQ207" s="2029"/>
      <c r="AR207" s="2029"/>
      <c r="AS207" s="2029"/>
      <c r="AT207" s="2029"/>
      <c r="AU207" s="2029"/>
      <c r="AV207" s="2029"/>
      <c r="AW207" s="2029"/>
      <c r="AX207" s="2029"/>
      <c r="AY207" s="2029"/>
      <c r="AZ207" s="2029"/>
      <c r="BA207" s="2029"/>
      <c r="BB207" s="2029"/>
      <c r="BC207" s="2029"/>
      <c r="BD207" s="2029"/>
      <c r="BE207" s="2029"/>
      <c r="BF207" s="2029"/>
      <c r="BG207" s="2029"/>
      <c r="BH207" s="2029"/>
      <c r="BI207" s="2029"/>
      <c r="BJ207" s="2029"/>
      <c r="BK207" s="2029"/>
      <c r="BL207" s="2029"/>
      <c r="BM207" s="2029"/>
      <c r="BN207" s="2029"/>
      <c r="BO207" s="2029"/>
      <c r="BP207" s="2029"/>
      <c r="BQ207" s="2029"/>
      <c r="BR207" s="2029"/>
      <c r="BS207" s="2029"/>
      <c r="BT207" s="2029"/>
      <c r="BU207" s="2029"/>
      <c r="BV207" s="2029"/>
      <c r="BW207" s="2029"/>
      <c r="BX207" s="2029"/>
      <c r="BY207" s="2029"/>
      <c r="BZ207" s="2029"/>
      <c r="CA207" s="2029"/>
      <c r="CB207" s="2029"/>
      <c r="CC207" s="2029"/>
      <c r="CD207" s="2029"/>
      <c r="CE207" s="2029"/>
      <c r="CF207" s="2029"/>
      <c r="CG207" s="2029"/>
      <c r="CH207" s="2029"/>
      <c r="CI207" s="2029"/>
      <c r="CJ207" s="2029"/>
      <c r="CK207" s="2029"/>
      <c r="CL207" s="2029"/>
      <c r="CM207" s="2029"/>
      <c r="CN207" s="2029"/>
      <c r="CO207" s="2029"/>
      <c r="CP207" s="2029"/>
      <c r="CQ207" s="2029"/>
      <c r="CR207" s="2029"/>
      <c r="CS207" s="2029"/>
      <c r="CT207" s="2029"/>
      <c r="CU207" s="2029"/>
      <c r="CV207" s="2029"/>
      <c r="CW207" s="2029"/>
      <c r="CX207" s="2029"/>
      <c r="CY207" s="2029"/>
      <c r="CZ207" s="2029"/>
      <c r="DA207" s="2029"/>
      <c r="DB207" s="2029"/>
      <c r="DC207" s="2029"/>
      <c r="DD207" s="2029"/>
      <c r="DE207" s="2029"/>
      <c r="DF207" s="2029"/>
      <c r="DG207" s="2029"/>
      <c r="DH207" s="2029"/>
      <c r="DI207" s="2029"/>
      <c r="DJ207" s="2029"/>
      <c r="DK207" s="2029"/>
      <c r="DL207" s="2029"/>
      <c r="DM207" s="2029"/>
      <c r="DN207" s="2029"/>
      <c r="DO207" s="2029"/>
      <c r="DP207" s="2029"/>
      <c r="DQ207" s="2029"/>
      <c r="DR207" s="2029"/>
      <c r="DS207" s="2029"/>
      <c r="DT207" s="2029"/>
      <c r="DU207" s="2029"/>
      <c r="DV207" s="2029"/>
      <c r="DW207" s="2029"/>
      <c r="DX207" s="2029"/>
      <c r="DY207" s="2029"/>
      <c r="DZ207" s="2029"/>
      <c r="EA207" s="2029"/>
      <c r="EB207" s="2029"/>
      <c r="EC207" s="2029"/>
      <c r="ED207" s="2029"/>
      <c r="EE207" s="2029"/>
      <c r="EF207" s="2029"/>
      <c r="EG207" s="2029"/>
      <c r="EH207" s="2029"/>
      <c r="EI207" s="2029"/>
      <c r="EJ207" s="2029"/>
      <c r="EK207" s="2029"/>
      <c r="EL207" s="2029"/>
      <c r="EM207" s="2029"/>
      <c r="EN207" s="2029"/>
      <c r="EO207" s="2029"/>
      <c r="EP207" s="2029"/>
      <c r="EQ207" s="2029"/>
      <c r="ER207" s="2029"/>
      <c r="ES207" s="2029"/>
      <c r="ET207" s="2029"/>
      <c r="EU207" s="2029"/>
      <c r="EV207" s="2029"/>
      <c r="EW207" s="2029"/>
      <c r="EX207" s="2029"/>
      <c r="EY207" s="2029"/>
      <c r="EZ207" s="2029"/>
      <c r="FA207" s="2029"/>
      <c r="FB207" s="2029"/>
      <c r="FC207" s="2029"/>
      <c r="FD207" s="2029"/>
      <c r="FE207" s="2029"/>
      <c r="FF207" s="2029"/>
      <c r="FG207" s="2029"/>
      <c r="FH207" s="2029"/>
      <c r="FI207" s="2029"/>
      <c r="FJ207" s="2029"/>
    </row>
    <row r="208" spans="2:166" s="1286" customFormat="1" ht="18" customHeight="1">
      <c r="H208" s="2029"/>
      <c r="I208" s="2029"/>
      <c r="J208" s="2029"/>
      <c r="K208" s="2029"/>
      <c r="L208" s="2029"/>
      <c r="M208" s="2029"/>
      <c r="N208" s="2029"/>
      <c r="O208" s="2029"/>
      <c r="P208" s="2029"/>
      <c r="Q208" s="2029"/>
      <c r="R208" s="2029"/>
      <c r="S208" s="2029"/>
      <c r="T208" s="2029"/>
      <c r="U208" s="2029"/>
      <c r="V208" s="2029"/>
      <c r="W208" s="2029"/>
      <c r="X208" s="2029"/>
      <c r="Y208" s="2029"/>
      <c r="Z208" s="2029"/>
      <c r="AA208" s="2029"/>
      <c r="AB208" s="2029"/>
      <c r="AC208" s="2029"/>
      <c r="AD208" s="2029"/>
      <c r="AE208" s="2029"/>
      <c r="AF208" s="2029"/>
      <c r="AG208" s="2029"/>
      <c r="AH208" s="2029"/>
      <c r="AI208" s="2029"/>
      <c r="AJ208" s="2029"/>
      <c r="AK208" s="2029"/>
      <c r="AL208" s="2029"/>
      <c r="AM208" s="2029"/>
      <c r="AN208" s="2029"/>
      <c r="AO208" s="2029"/>
      <c r="AP208" s="2029"/>
      <c r="AQ208" s="2029"/>
      <c r="AR208" s="2029"/>
      <c r="AS208" s="2029"/>
      <c r="AT208" s="2029"/>
      <c r="AU208" s="2029"/>
      <c r="AV208" s="2029"/>
      <c r="AW208" s="2029"/>
      <c r="AX208" s="2029"/>
      <c r="AY208" s="2029"/>
      <c r="AZ208" s="2029"/>
      <c r="BA208" s="2029"/>
      <c r="BB208" s="2029"/>
      <c r="BC208" s="2029"/>
      <c r="BD208" s="2029"/>
      <c r="BE208" s="2029"/>
      <c r="BF208" s="2029"/>
      <c r="BG208" s="2029"/>
      <c r="BH208" s="2029"/>
      <c r="BI208" s="2029"/>
      <c r="BJ208" s="2029"/>
      <c r="BK208" s="2029"/>
      <c r="BL208" s="2029"/>
      <c r="BM208" s="2029"/>
      <c r="BN208" s="2029"/>
      <c r="BO208" s="2029"/>
      <c r="BP208" s="2029"/>
      <c r="BQ208" s="2029"/>
      <c r="BR208" s="2029"/>
      <c r="BS208" s="2029"/>
      <c r="BT208" s="2029"/>
      <c r="BU208" s="2029"/>
      <c r="BV208" s="2029"/>
      <c r="BW208" s="2029"/>
      <c r="BX208" s="2029"/>
      <c r="BY208" s="2029"/>
      <c r="BZ208" s="2029"/>
      <c r="CA208" s="2029"/>
      <c r="CB208" s="2029"/>
      <c r="CC208" s="2029"/>
      <c r="CD208" s="2029"/>
      <c r="CE208" s="2029"/>
      <c r="CF208" s="2029"/>
      <c r="CG208" s="2029"/>
      <c r="CH208" s="2029"/>
      <c r="CI208" s="2029"/>
      <c r="CJ208" s="2029"/>
      <c r="CK208" s="2029"/>
      <c r="CL208" s="2029"/>
      <c r="CM208" s="2029"/>
      <c r="CN208" s="2029"/>
      <c r="CO208" s="2029"/>
      <c r="CP208" s="2029"/>
      <c r="CQ208" s="2029"/>
      <c r="CR208" s="2029"/>
      <c r="CS208" s="2029"/>
      <c r="CT208" s="2029"/>
      <c r="CU208" s="2029"/>
      <c r="CV208" s="2029"/>
      <c r="CW208" s="2029"/>
      <c r="CX208" s="2029"/>
      <c r="CY208" s="2029"/>
      <c r="CZ208" s="2029"/>
      <c r="DA208" s="2029"/>
      <c r="DB208" s="2029"/>
      <c r="DC208" s="2029"/>
      <c r="DD208" s="2029"/>
      <c r="DE208" s="2029"/>
      <c r="DF208" s="2029"/>
      <c r="DG208" s="2029"/>
      <c r="DH208" s="2029"/>
      <c r="DI208" s="2029"/>
      <c r="DJ208" s="2029"/>
      <c r="DK208" s="2029"/>
      <c r="DL208" s="2029"/>
      <c r="DM208" s="2029"/>
      <c r="DN208" s="2029"/>
      <c r="DO208" s="2029"/>
      <c r="DP208" s="2029"/>
      <c r="DQ208" s="2029"/>
      <c r="DR208" s="2029"/>
      <c r="DS208" s="2029"/>
      <c r="DT208" s="2029"/>
      <c r="DU208" s="2029"/>
      <c r="DV208" s="2029"/>
      <c r="DW208" s="2029"/>
      <c r="DX208" s="2029"/>
      <c r="DY208" s="2029"/>
      <c r="DZ208" s="2029"/>
      <c r="EA208" s="2029"/>
      <c r="EB208" s="2029"/>
      <c r="EC208" s="2029"/>
      <c r="ED208" s="2029"/>
      <c r="EE208" s="2029"/>
      <c r="EF208" s="2029"/>
      <c r="EG208" s="2029"/>
      <c r="EH208" s="2029"/>
      <c r="EI208" s="2029"/>
      <c r="EJ208" s="2029"/>
      <c r="EK208" s="2029"/>
      <c r="EL208" s="2029"/>
      <c r="EM208" s="2029"/>
      <c r="EN208" s="2029"/>
      <c r="EO208" s="2029"/>
      <c r="EP208" s="2029"/>
      <c r="EQ208" s="2029"/>
      <c r="ER208" s="2029"/>
      <c r="ES208" s="2029"/>
      <c r="ET208" s="2029"/>
      <c r="EU208" s="2029"/>
      <c r="EV208" s="2029"/>
      <c r="EW208" s="2029"/>
      <c r="EX208" s="2029"/>
      <c r="EY208" s="2029"/>
      <c r="EZ208" s="2029"/>
      <c r="FA208" s="2029"/>
      <c r="FB208" s="2029"/>
      <c r="FC208" s="2029"/>
      <c r="FD208" s="2029"/>
      <c r="FE208" s="2029"/>
      <c r="FF208" s="2029"/>
      <c r="FG208" s="2029"/>
      <c r="FH208" s="2029"/>
      <c r="FI208" s="2029"/>
      <c r="FJ208" s="2029"/>
    </row>
    <row r="209" spans="2:166" s="1286" customFormat="1" ht="18" customHeight="1">
      <c r="H209" s="2029"/>
      <c r="I209" s="2029"/>
      <c r="J209" s="2029"/>
      <c r="K209" s="2029"/>
      <c r="L209" s="2029"/>
      <c r="M209" s="2029"/>
      <c r="N209" s="2029"/>
      <c r="O209" s="2029"/>
      <c r="P209" s="2029"/>
      <c r="Q209" s="2029"/>
      <c r="R209" s="2029"/>
      <c r="S209" s="2029"/>
      <c r="T209" s="2029"/>
      <c r="U209" s="2029"/>
      <c r="V209" s="2029"/>
      <c r="W209" s="2029"/>
      <c r="X209" s="2029"/>
      <c r="Y209" s="2029"/>
      <c r="Z209" s="2029"/>
      <c r="AA209" s="2029"/>
      <c r="AB209" s="2029"/>
      <c r="AC209" s="2029"/>
      <c r="AD209" s="2029"/>
      <c r="AE209" s="2029"/>
      <c r="AF209" s="2029"/>
      <c r="AG209" s="2029"/>
      <c r="AH209" s="2029"/>
      <c r="AI209" s="2029"/>
      <c r="AJ209" s="2029"/>
      <c r="AK209" s="2029"/>
      <c r="AL209" s="2029"/>
      <c r="AM209" s="2029"/>
      <c r="AN209" s="2029"/>
      <c r="AO209" s="2029"/>
      <c r="AP209" s="2029"/>
      <c r="AQ209" s="2029"/>
      <c r="AR209" s="2029"/>
      <c r="AS209" s="2029"/>
      <c r="AT209" s="2029"/>
      <c r="AU209" s="2029"/>
      <c r="AV209" s="2029"/>
      <c r="AW209" s="2029"/>
      <c r="AX209" s="2029"/>
      <c r="AY209" s="2029"/>
      <c r="AZ209" s="2029"/>
      <c r="BA209" s="2029"/>
      <c r="BB209" s="2029"/>
      <c r="BC209" s="2029"/>
      <c r="BD209" s="2029"/>
      <c r="BE209" s="2029"/>
      <c r="BF209" s="2029"/>
      <c r="BG209" s="2029"/>
      <c r="BH209" s="2029"/>
      <c r="BI209" s="2029"/>
      <c r="BJ209" s="2029"/>
      <c r="BK209" s="2029"/>
      <c r="BL209" s="2029"/>
      <c r="BM209" s="2029"/>
      <c r="BN209" s="2029"/>
      <c r="BO209" s="2029"/>
      <c r="BP209" s="2029"/>
      <c r="BQ209" s="2029"/>
      <c r="BR209" s="2029"/>
      <c r="BS209" s="2029"/>
      <c r="BT209" s="2029"/>
      <c r="BU209" s="2029"/>
      <c r="BV209" s="2029"/>
      <c r="BW209" s="2029"/>
      <c r="BX209" s="2029"/>
      <c r="BY209" s="2029"/>
      <c r="BZ209" s="2029"/>
      <c r="CA209" s="2029"/>
      <c r="CB209" s="2029"/>
      <c r="CC209" s="2029"/>
      <c r="CD209" s="2029"/>
      <c r="CE209" s="2029"/>
      <c r="CF209" s="2029"/>
      <c r="CG209" s="2029"/>
      <c r="CH209" s="2029"/>
      <c r="CI209" s="2029"/>
      <c r="CJ209" s="2029"/>
      <c r="CK209" s="2029"/>
      <c r="CL209" s="2029"/>
      <c r="CM209" s="2029"/>
      <c r="CN209" s="2029"/>
      <c r="CO209" s="2029"/>
      <c r="CP209" s="2029"/>
      <c r="CQ209" s="2029"/>
      <c r="CR209" s="2029"/>
      <c r="CS209" s="2029"/>
      <c r="CT209" s="2029"/>
      <c r="CU209" s="2029"/>
      <c r="CV209" s="2029"/>
      <c r="CW209" s="2029"/>
      <c r="CX209" s="2029"/>
      <c r="CY209" s="2029"/>
      <c r="CZ209" s="2029"/>
      <c r="DA209" s="2029"/>
      <c r="DB209" s="2029"/>
      <c r="DC209" s="2029"/>
      <c r="DD209" s="2029"/>
      <c r="DE209" s="2029"/>
      <c r="DF209" s="2029"/>
      <c r="DG209" s="2029"/>
      <c r="DH209" s="2029"/>
      <c r="DI209" s="2029"/>
      <c r="DJ209" s="2029"/>
      <c r="DK209" s="2029"/>
      <c r="DL209" s="2029"/>
      <c r="DM209" s="2029"/>
      <c r="DN209" s="2029"/>
      <c r="DO209" s="2029"/>
      <c r="DP209" s="2029"/>
      <c r="DQ209" s="2029"/>
      <c r="DR209" s="2029"/>
      <c r="DS209" s="2029"/>
      <c r="DT209" s="2029"/>
      <c r="DU209" s="2029"/>
      <c r="DV209" s="2029"/>
      <c r="DW209" s="2029"/>
      <c r="DX209" s="2029"/>
      <c r="DY209" s="2029"/>
      <c r="DZ209" s="2029"/>
      <c r="EA209" s="2029"/>
      <c r="EB209" s="2029"/>
      <c r="EC209" s="2029"/>
      <c r="ED209" s="2029"/>
      <c r="EE209" s="2029"/>
      <c r="EF209" s="2029"/>
      <c r="EG209" s="2029"/>
      <c r="EH209" s="2029"/>
      <c r="EI209" s="2029"/>
      <c r="EJ209" s="2029"/>
      <c r="EK209" s="2029"/>
      <c r="EL209" s="2029"/>
      <c r="EM209" s="2029"/>
      <c r="EN209" s="2029"/>
      <c r="EO209" s="2029"/>
      <c r="EP209" s="2029"/>
      <c r="EQ209" s="2029"/>
      <c r="ER209" s="2029"/>
      <c r="ES209" s="2029"/>
      <c r="ET209" s="2029"/>
      <c r="EU209" s="2029"/>
      <c r="EV209" s="2029"/>
      <c r="EW209" s="2029"/>
      <c r="EX209" s="2029"/>
      <c r="EY209" s="2029"/>
      <c r="EZ209" s="2029"/>
      <c r="FA209" s="2029"/>
      <c r="FB209" s="2029"/>
      <c r="FC209" s="2029"/>
      <c r="FD209" s="2029"/>
      <c r="FE209" s="2029"/>
      <c r="FF209" s="2029"/>
      <c r="FG209" s="2029"/>
      <c r="FH209" s="2029"/>
      <c r="FI209" s="2029"/>
      <c r="FJ209" s="2029"/>
    </row>
    <row r="210" spans="2:166" s="1286" customFormat="1" ht="18" customHeight="1">
      <c r="H210" s="2029"/>
      <c r="I210" s="2029"/>
      <c r="J210" s="2029"/>
      <c r="K210" s="2029"/>
      <c r="L210" s="2029"/>
      <c r="M210" s="2029"/>
      <c r="N210" s="2029"/>
      <c r="O210" s="2029"/>
      <c r="P210" s="2029"/>
      <c r="Q210" s="2029"/>
      <c r="R210" s="2029"/>
      <c r="S210" s="2029"/>
      <c r="T210" s="2029"/>
      <c r="U210" s="2029"/>
      <c r="V210" s="2029"/>
      <c r="W210" s="2029"/>
      <c r="X210" s="2029"/>
      <c r="Y210" s="2029"/>
      <c r="Z210" s="2029"/>
      <c r="AA210" s="2029"/>
      <c r="AB210" s="2029"/>
      <c r="AC210" s="2029"/>
      <c r="AD210" s="2029"/>
      <c r="AE210" s="2029"/>
      <c r="AF210" s="2029"/>
      <c r="AG210" s="2029"/>
      <c r="AH210" s="2029"/>
      <c r="AI210" s="2029"/>
      <c r="AJ210" s="2029"/>
      <c r="AK210" s="2029"/>
      <c r="AL210" s="2029"/>
      <c r="AM210" s="2029"/>
      <c r="AN210" s="2029"/>
      <c r="AO210" s="2029"/>
      <c r="AP210" s="2029"/>
      <c r="AQ210" s="2029"/>
      <c r="AR210" s="2029"/>
      <c r="AS210" s="2029"/>
      <c r="AT210" s="2029"/>
      <c r="AU210" s="2029"/>
      <c r="AV210" s="2029"/>
      <c r="AW210" s="2029"/>
      <c r="AX210" s="2029"/>
      <c r="AY210" s="2029"/>
      <c r="AZ210" s="2029"/>
      <c r="BA210" s="2029"/>
      <c r="BB210" s="2029"/>
      <c r="BC210" s="2029"/>
      <c r="BD210" s="2029"/>
      <c r="BE210" s="2029"/>
      <c r="BF210" s="2029"/>
      <c r="BG210" s="2029"/>
      <c r="BH210" s="2029"/>
      <c r="BI210" s="2029"/>
      <c r="BJ210" s="2029"/>
      <c r="BK210" s="2029"/>
      <c r="BL210" s="2029"/>
      <c r="BM210" s="2029"/>
      <c r="BN210" s="2029"/>
      <c r="BO210" s="2029"/>
      <c r="BP210" s="2029"/>
      <c r="BQ210" s="2029"/>
      <c r="BR210" s="2029"/>
      <c r="BS210" s="2029"/>
      <c r="BT210" s="2029"/>
      <c r="BU210" s="2029"/>
      <c r="BV210" s="2029"/>
      <c r="BW210" s="2029"/>
      <c r="BX210" s="2029"/>
      <c r="BY210" s="2029"/>
      <c r="BZ210" s="2029"/>
      <c r="CA210" s="2029"/>
      <c r="CB210" s="2029"/>
      <c r="CC210" s="2029"/>
      <c r="CD210" s="2029"/>
      <c r="CE210" s="2029"/>
      <c r="CF210" s="2029"/>
      <c r="CG210" s="2029"/>
      <c r="CH210" s="2029"/>
      <c r="CI210" s="2029"/>
      <c r="CJ210" s="2029"/>
      <c r="CK210" s="2029"/>
      <c r="CL210" s="2029"/>
      <c r="CM210" s="2029"/>
      <c r="CN210" s="2029"/>
      <c r="CO210" s="2029"/>
      <c r="CP210" s="2029"/>
      <c r="CQ210" s="2029"/>
      <c r="CR210" s="2029"/>
      <c r="CS210" s="2029"/>
      <c r="CT210" s="2029"/>
      <c r="CU210" s="2029"/>
      <c r="CV210" s="2029"/>
      <c r="CW210" s="2029"/>
      <c r="CX210" s="2029"/>
      <c r="CY210" s="2029"/>
      <c r="CZ210" s="2029"/>
      <c r="DA210" s="2029"/>
      <c r="DB210" s="2029"/>
      <c r="DC210" s="2029"/>
      <c r="DD210" s="2029"/>
      <c r="DE210" s="2029"/>
      <c r="DF210" s="2029"/>
      <c r="DG210" s="2029"/>
      <c r="DH210" s="2029"/>
      <c r="DI210" s="2029"/>
      <c r="DJ210" s="2029"/>
      <c r="DK210" s="2029"/>
      <c r="DL210" s="2029"/>
      <c r="DM210" s="2029"/>
      <c r="DN210" s="2029"/>
      <c r="DO210" s="2029"/>
      <c r="DP210" s="2029"/>
      <c r="DQ210" s="2029"/>
      <c r="DR210" s="2029"/>
      <c r="DS210" s="2029"/>
      <c r="DT210" s="2029"/>
      <c r="DU210" s="2029"/>
      <c r="DV210" s="2029"/>
      <c r="DW210" s="2029"/>
      <c r="DX210" s="2029"/>
      <c r="DY210" s="2029"/>
      <c r="DZ210" s="2029"/>
      <c r="EA210" s="2029"/>
      <c r="EB210" s="2029"/>
      <c r="EC210" s="2029"/>
      <c r="ED210" s="2029"/>
      <c r="EE210" s="2029"/>
      <c r="EF210" s="2029"/>
      <c r="EG210" s="2029"/>
      <c r="EH210" s="2029"/>
      <c r="EI210" s="2029"/>
      <c r="EJ210" s="2029"/>
      <c r="EK210" s="2029"/>
      <c r="EL210" s="2029"/>
      <c r="EM210" s="2029"/>
      <c r="EN210" s="2029"/>
      <c r="EO210" s="2029"/>
      <c r="EP210" s="2029"/>
      <c r="EQ210" s="2029"/>
      <c r="ER210" s="2029"/>
      <c r="ES210" s="2029"/>
      <c r="ET210" s="2029"/>
      <c r="EU210" s="2029"/>
      <c r="EV210" s="2029"/>
      <c r="EW210" s="2029"/>
      <c r="EX210" s="2029"/>
      <c r="EY210" s="2029"/>
      <c r="EZ210" s="2029"/>
      <c r="FA210" s="2029"/>
      <c r="FB210" s="2029"/>
      <c r="FC210" s="2029"/>
      <c r="FD210" s="2029"/>
      <c r="FE210" s="2029"/>
      <c r="FF210" s="2029"/>
      <c r="FG210" s="2029"/>
      <c r="FH210" s="2029"/>
      <c r="FI210" s="2029"/>
      <c r="FJ210" s="2029"/>
    </row>
    <row r="211" spans="2:166" s="1286" customFormat="1" ht="18" customHeight="1">
      <c r="H211" s="2029"/>
      <c r="I211" s="2029"/>
      <c r="J211" s="2029"/>
      <c r="K211" s="2029"/>
      <c r="L211" s="2029"/>
      <c r="M211" s="2029"/>
      <c r="N211" s="2029"/>
      <c r="O211" s="2029"/>
      <c r="P211" s="2029"/>
      <c r="Q211" s="2029"/>
      <c r="R211" s="2029"/>
      <c r="S211" s="2029"/>
      <c r="T211" s="2029"/>
      <c r="U211" s="2029"/>
      <c r="V211" s="2029"/>
      <c r="W211" s="2029"/>
      <c r="X211" s="2029"/>
      <c r="Y211" s="2029"/>
      <c r="Z211" s="2029"/>
      <c r="AA211" s="2029"/>
      <c r="AB211" s="2029"/>
      <c r="AC211" s="2029"/>
      <c r="AD211" s="2029"/>
      <c r="AE211" s="2029"/>
      <c r="AF211" s="2029"/>
      <c r="AG211" s="2029"/>
      <c r="AH211" s="2029"/>
      <c r="AI211" s="2029"/>
      <c r="AJ211" s="2029"/>
      <c r="AK211" s="2029"/>
      <c r="AL211" s="2029"/>
      <c r="AM211" s="2029"/>
      <c r="AN211" s="2029"/>
      <c r="AO211" s="2029"/>
      <c r="AP211" s="2029"/>
      <c r="AQ211" s="2029"/>
      <c r="AR211" s="2029"/>
      <c r="AS211" s="2029"/>
      <c r="AT211" s="2029"/>
      <c r="AU211" s="2029"/>
      <c r="AV211" s="2029"/>
      <c r="AW211" s="2029"/>
      <c r="AX211" s="2029"/>
      <c r="AY211" s="2029"/>
      <c r="AZ211" s="2029"/>
      <c r="BA211" s="2029"/>
      <c r="BB211" s="2029"/>
      <c r="BC211" s="2029"/>
      <c r="BD211" s="2029"/>
      <c r="BE211" s="2029"/>
      <c r="BF211" s="2029"/>
      <c r="BG211" s="2029"/>
      <c r="BH211" s="2029"/>
      <c r="BI211" s="2029"/>
      <c r="BJ211" s="2029"/>
      <c r="BK211" s="2029"/>
      <c r="BL211" s="2029"/>
      <c r="BM211" s="2029"/>
      <c r="BN211" s="2029"/>
      <c r="BO211" s="2029"/>
      <c r="BP211" s="2029"/>
      <c r="BQ211" s="2029"/>
      <c r="BR211" s="2029"/>
      <c r="BS211" s="2029"/>
      <c r="BT211" s="2029"/>
      <c r="BU211" s="2029"/>
      <c r="BV211" s="2029"/>
      <c r="BW211" s="2029"/>
      <c r="BX211" s="2029"/>
      <c r="BY211" s="2029"/>
      <c r="BZ211" s="2029"/>
      <c r="CA211" s="2029"/>
      <c r="CB211" s="2029"/>
      <c r="CC211" s="2029"/>
      <c r="CD211" s="2029"/>
      <c r="CE211" s="2029"/>
      <c r="CF211" s="2029"/>
      <c r="CG211" s="2029"/>
      <c r="CH211" s="2029"/>
      <c r="CI211" s="2029"/>
      <c r="CJ211" s="2029"/>
      <c r="CK211" s="2029"/>
      <c r="CL211" s="2029"/>
      <c r="CM211" s="2029"/>
      <c r="CN211" s="2029"/>
      <c r="CO211" s="2029"/>
      <c r="CP211" s="2029"/>
      <c r="CQ211" s="2029"/>
      <c r="CR211" s="2029"/>
      <c r="CS211" s="2029"/>
      <c r="CT211" s="2029"/>
      <c r="CU211" s="2029"/>
      <c r="CV211" s="2029"/>
      <c r="CW211" s="2029"/>
      <c r="CX211" s="2029"/>
      <c r="CY211" s="2029"/>
      <c r="CZ211" s="2029"/>
      <c r="DA211" s="2029"/>
      <c r="DB211" s="2029"/>
      <c r="DC211" s="2029"/>
      <c r="DD211" s="2029"/>
      <c r="DE211" s="2029"/>
      <c r="DF211" s="2029"/>
      <c r="DG211" s="2029"/>
      <c r="DH211" s="2029"/>
      <c r="DI211" s="2029"/>
      <c r="DJ211" s="2029"/>
      <c r="DK211" s="2029"/>
      <c r="DL211" s="2029"/>
      <c r="DM211" s="2029"/>
      <c r="DN211" s="2029"/>
      <c r="DO211" s="2029"/>
      <c r="DP211" s="2029"/>
      <c r="DQ211" s="2029"/>
      <c r="DR211" s="2029"/>
      <c r="DS211" s="2029"/>
      <c r="DT211" s="2029"/>
      <c r="DU211" s="2029"/>
      <c r="DV211" s="2029"/>
      <c r="DW211" s="2029"/>
      <c r="DX211" s="2029"/>
      <c r="DY211" s="2029"/>
      <c r="DZ211" s="2029"/>
      <c r="EA211" s="2029"/>
      <c r="EB211" s="2029"/>
      <c r="EC211" s="2029"/>
      <c r="ED211" s="2029"/>
      <c r="EE211" s="2029"/>
      <c r="EF211" s="2029"/>
      <c r="EG211" s="2029"/>
      <c r="EH211" s="2029"/>
      <c r="EI211" s="2029"/>
      <c r="EJ211" s="2029"/>
      <c r="EK211" s="2029"/>
      <c r="EL211" s="2029"/>
      <c r="EM211" s="2029"/>
      <c r="EN211" s="2029"/>
      <c r="EO211" s="2029"/>
      <c r="EP211" s="2029"/>
      <c r="EQ211" s="2029"/>
      <c r="ER211" s="2029"/>
      <c r="ES211" s="2029"/>
      <c r="ET211" s="2029"/>
      <c r="EU211" s="2029"/>
      <c r="EV211" s="2029"/>
      <c r="EW211" s="2029"/>
      <c r="EX211" s="2029"/>
      <c r="EY211" s="2029"/>
      <c r="EZ211" s="2029"/>
      <c r="FA211" s="2029"/>
      <c r="FB211" s="2029"/>
      <c r="FC211" s="2029"/>
      <c r="FD211" s="2029"/>
      <c r="FE211" s="2029"/>
      <c r="FF211" s="2029"/>
      <c r="FG211" s="2029"/>
      <c r="FH211" s="2029"/>
      <c r="FI211" s="2029"/>
      <c r="FJ211" s="2029"/>
    </row>
    <row r="212" spans="2:166" s="1286" customFormat="1" ht="18" customHeight="1">
      <c r="H212" s="2029"/>
      <c r="I212" s="2029"/>
      <c r="J212" s="2029"/>
      <c r="K212" s="2029"/>
      <c r="L212" s="2029"/>
      <c r="M212" s="2029"/>
      <c r="N212" s="2029"/>
      <c r="O212" s="2029"/>
      <c r="P212" s="2029"/>
      <c r="Q212" s="2029"/>
      <c r="R212" s="2029"/>
      <c r="S212" s="2029"/>
      <c r="T212" s="2029"/>
      <c r="U212" s="2029"/>
      <c r="V212" s="2029"/>
      <c r="W212" s="2029"/>
      <c r="X212" s="2029"/>
      <c r="Y212" s="2029"/>
      <c r="Z212" s="2029"/>
      <c r="AA212" s="2029"/>
      <c r="AB212" s="2029"/>
      <c r="AC212" s="2029"/>
      <c r="AD212" s="2029"/>
      <c r="AE212" s="2029"/>
      <c r="AF212" s="2029"/>
      <c r="AG212" s="2029"/>
      <c r="AH212" s="2029"/>
      <c r="AI212" s="2029"/>
      <c r="AJ212" s="2029"/>
      <c r="AK212" s="2029"/>
      <c r="AL212" s="2029"/>
      <c r="AM212" s="2029"/>
      <c r="AN212" s="2029"/>
      <c r="AO212" s="2029"/>
      <c r="AP212" s="2029"/>
      <c r="AQ212" s="2029"/>
      <c r="AR212" s="2029"/>
      <c r="AS212" s="2029"/>
      <c r="AT212" s="2029"/>
      <c r="AU212" s="2029"/>
      <c r="AV212" s="2029"/>
      <c r="AW212" s="2029"/>
      <c r="AX212" s="2029"/>
      <c r="AY212" s="2029"/>
      <c r="AZ212" s="2029"/>
      <c r="BA212" s="2029"/>
      <c r="BB212" s="2029"/>
      <c r="BC212" s="2029"/>
      <c r="BD212" s="2029"/>
      <c r="BE212" s="2029"/>
      <c r="BF212" s="2029"/>
      <c r="BG212" s="2029"/>
      <c r="BH212" s="2029"/>
      <c r="BI212" s="2029"/>
      <c r="BJ212" s="2029"/>
      <c r="BK212" s="2029"/>
      <c r="BL212" s="2029"/>
      <c r="BM212" s="2029"/>
      <c r="BN212" s="2029"/>
      <c r="BO212" s="2029"/>
      <c r="BP212" s="2029"/>
      <c r="BQ212" s="2029"/>
      <c r="BR212" s="2029"/>
      <c r="BS212" s="2029"/>
      <c r="BT212" s="2029"/>
      <c r="BU212" s="2029"/>
      <c r="BV212" s="2029"/>
      <c r="BW212" s="2029"/>
      <c r="BX212" s="2029"/>
      <c r="BY212" s="2029"/>
      <c r="BZ212" s="2029"/>
      <c r="CA212" s="2029"/>
      <c r="CB212" s="2029"/>
      <c r="CC212" s="2029"/>
      <c r="CD212" s="2029"/>
      <c r="CE212" s="2029"/>
      <c r="CF212" s="2029"/>
      <c r="CG212" s="2029"/>
      <c r="CH212" s="2029"/>
      <c r="CI212" s="2029"/>
      <c r="CJ212" s="2029"/>
      <c r="CK212" s="2029"/>
      <c r="CL212" s="2029"/>
      <c r="CM212" s="2029"/>
      <c r="CN212" s="2029"/>
      <c r="CO212" s="2029"/>
      <c r="CP212" s="2029"/>
      <c r="CQ212" s="2029"/>
      <c r="CR212" s="2029"/>
      <c r="CS212" s="2029"/>
      <c r="CT212" s="2029"/>
      <c r="CU212" s="2029"/>
      <c r="CV212" s="2029"/>
      <c r="CW212" s="2029"/>
      <c r="CX212" s="2029"/>
      <c r="CY212" s="2029"/>
      <c r="CZ212" s="2029"/>
      <c r="DA212" s="2029"/>
      <c r="DB212" s="2029"/>
      <c r="DC212" s="2029"/>
      <c r="DD212" s="2029"/>
      <c r="DE212" s="2029"/>
      <c r="DF212" s="2029"/>
      <c r="DG212" s="2029"/>
      <c r="DH212" s="2029"/>
      <c r="DI212" s="2029"/>
      <c r="DJ212" s="2029"/>
      <c r="DK212" s="2029"/>
      <c r="DL212" s="2029"/>
      <c r="DM212" s="2029"/>
      <c r="DN212" s="2029"/>
      <c r="DO212" s="2029"/>
      <c r="DP212" s="2029"/>
      <c r="DQ212" s="2029"/>
      <c r="DR212" s="2029"/>
      <c r="DS212" s="2029"/>
      <c r="DT212" s="2029"/>
      <c r="DU212" s="2029"/>
      <c r="DV212" s="2029"/>
      <c r="DW212" s="2029"/>
      <c r="DX212" s="2029"/>
      <c r="DY212" s="2029"/>
      <c r="DZ212" s="2029"/>
      <c r="EA212" s="2029"/>
      <c r="EB212" s="2029"/>
      <c r="EC212" s="2029"/>
      <c r="ED212" s="2029"/>
      <c r="EE212" s="2029"/>
      <c r="EF212" s="2029"/>
      <c r="EG212" s="2029"/>
      <c r="EH212" s="2029"/>
      <c r="EI212" s="2029"/>
      <c r="EJ212" s="2029"/>
      <c r="EK212" s="2029"/>
      <c r="EL212" s="2029"/>
      <c r="EM212" s="2029"/>
      <c r="EN212" s="2029"/>
      <c r="EO212" s="2029"/>
      <c r="EP212" s="2029"/>
      <c r="EQ212" s="2029"/>
      <c r="ER212" s="2029"/>
      <c r="ES212" s="2029"/>
      <c r="ET212" s="2029"/>
      <c r="EU212" s="2029"/>
      <c r="EV212" s="2029"/>
      <c r="EW212" s="2029"/>
      <c r="EX212" s="2029"/>
      <c r="EY212" s="2029"/>
      <c r="EZ212" s="2029"/>
      <c r="FA212" s="2029"/>
      <c r="FB212" s="2029"/>
      <c r="FC212" s="2029"/>
      <c r="FD212" s="2029"/>
      <c r="FE212" s="2029"/>
      <c r="FF212" s="2029"/>
      <c r="FG212" s="2029"/>
      <c r="FH212" s="2029"/>
      <c r="FI212" s="2029"/>
      <c r="FJ212" s="2029"/>
    </row>
    <row r="213" spans="2:166" s="1286" customFormat="1" ht="18" customHeight="1">
      <c r="H213" s="2029"/>
      <c r="I213" s="2029"/>
      <c r="J213" s="2029"/>
      <c r="K213" s="2029"/>
      <c r="L213" s="2029"/>
      <c r="M213" s="2029"/>
      <c r="N213" s="2029"/>
      <c r="O213" s="2029"/>
      <c r="P213" s="2029"/>
      <c r="Q213" s="2029"/>
      <c r="R213" s="2029"/>
      <c r="S213" s="2029"/>
      <c r="T213" s="2029"/>
      <c r="U213" s="2029"/>
      <c r="V213" s="2029"/>
      <c r="W213" s="2029"/>
      <c r="X213" s="2029"/>
      <c r="Y213" s="2029"/>
      <c r="Z213" s="2029"/>
      <c r="AA213" s="2029"/>
      <c r="AB213" s="2029"/>
      <c r="AC213" s="2029"/>
      <c r="AD213" s="2029"/>
      <c r="AE213" s="2029"/>
      <c r="AF213" s="2029"/>
      <c r="AG213" s="2029"/>
      <c r="AH213" s="2029"/>
      <c r="AI213" s="2029"/>
      <c r="AJ213" s="2029"/>
      <c r="AK213" s="2029"/>
      <c r="AL213" s="2029"/>
      <c r="AM213" s="2029"/>
      <c r="AN213" s="2029"/>
      <c r="AO213" s="2029"/>
      <c r="AP213" s="2029"/>
      <c r="AQ213" s="2029"/>
      <c r="AR213" s="2029"/>
      <c r="AS213" s="2029"/>
      <c r="AT213" s="2029"/>
      <c r="AU213" s="2029"/>
      <c r="AV213" s="2029"/>
      <c r="AW213" s="2029"/>
      <c r="AX213" s="2029"/>
      <c r="AY213" s="2029"/>
      <c r="AZ213" s="2029"/>
      <c r="BA213" s="2029"/>
      <c r="BB213" s="2029"/>
      <c r="BC213" s="2029"/>
      <c r="BD213" s="2029"/>
      <c r="BE213" s="2029"/>
      <c r="BF213" s="2029"/>
      <c r="BG213" s="2029"/>
      <c r="BH213" s="2029"/>
      <c r="BI213" s="2029"/>
      <c r="BJ213" s="2029"/>
      <c r="BK213" s="2029"/>
      <c r="BL213" s="2029"/>
      <c r="BM213" s="2029"/>
      <c r="BN213" s="2029"/>
      <c r="BO213" s="2029"/>
      <c r="BP213" s="2029"/>
      <c r="BQ213" s="2029"/>
      <c r="BR213" s="2029"/>
      <c r="BS213" s="2029"/>
      <c r="BT213" s="2029"/>
      <c r="BU213" s="2029"/>
      <c r="BV213" s="2029"/>
      <c r="BW213" s="2029"/>
      <c r="BX213" s="2029"/>
      <c r="BY213" s="2029"/>
      <c r="BZ213" s="2029"/>
      <c r="CA213" s="2029"/>
      <c r="CB213" s="2029"/>
      <c r="CC213" s="2029"/>
      <c r="CD213" s="2029"/>
      <c r="CE213" s="2029"/>
      <c r="CF213" s="2029"/>
      <c r="CG213" s="2029"/>
      <c r="CH213" s="2029"/>
      <c r="CI213" s="2029"/>
      <c r="CJ213" s="2029"/>
      <c r="CK213" s="2029"/>
      <c r="CL213" s="2029"/>
      <c r="CM213" s="2029"/>
      <c r="CN213" s="2029"/>
      <c r="CO213" s="2029"/>
      <c r="CP213" s="2029"/>
      <c r="CQ213" s="2029"/>
      <c r="CR213" s="2029"/>
      <c r="CS213" s="2029"/>
      <c r="CT213" s="2029"/>
      <c r="CU213" s="2029"/>
      <c r="CV213" s="2029"/>
      <c r="CW213" s="2029"/>
      <c r="CX213" s="2029"/>
      <c r="CY213" s="2029"/>
      <c r="CZ213" s="2029"/>
      <c r="DA213" s="2029"/>
      <c r="DB213" s="2029"/>
      <c r="DC213" s="2029"/>
      <c r="DD213" s="2029"/>
      <c r="DE213" s="2029"/>
      <c r="DF213" s="2029"/>
      <c r="DG213" s="2029"/>
      <c r="DH213" s="2029"/>
      <c r="DI213" s="2029"/>
      <c r="DJ213" s="2029"/>
      <c r="DK213" s="2029"/>
      <c r="DL213" s="2029"/>
      <c r="DM213" s="2029"/>
      <c r="DN213" s="2029"/>
      <c r="DO213" s="2029"/>
      <c r="DP213" s="2029"/>
      <c r="DQ213" s="2029"/>
      <c r="DR213" s="2029"/>
      <c r="DS213" s="2029"/>
      <c r="DT213" s="2029"/>
      <c r="DU213" s="2029"/>
      <c r="DV213" s="2029"/>
      <c r="DW213" s="2029"/>
      <c r="DX213" s="2029"/>
      <c r="DY213" s="2029"/>
      <c r="DZ213" s="2029"/>
      <c r="EA213" s="2029"/>
      <c r="EB213" s="2029"/>
      <c r="EC213" s="2029"/>
      <c r="ED213" s="2029"/>
      <c r="EE213" s="2029"/>
      <c r="EF213" s="2029"/>
      <c r="EG213" s="2029"/>
      <c r="EH213" s="2029"/>
      <c r="EI213" s="2029"/>
      <c r="EJ213" s="2029"/>
      <c r="EK213" s="2029"/>
      <c r="EL213" s="2029"/>
      <c r="EM213" s="2029"/>
      <c r="EN213" s="2029"/>
      <c r="EO213" s="2029"/>
      <c r="EP213" s="2029"/>
      <c r="EQ213" s="2029"/>
      <c r="ER213" s="2029"/>
      <c r="ES213" s="2029"/>
      <c r="ET213" s="2029"/>
      <c r="EU213" s="2029"/>
      <c r="EV213" s="2029"/>
      <c r="EW213" s="2029"/>
      <c r="EX213" s="2029"/>
      <c r="EY213" s="2029"/>
      <c r="EZ213" s="2029"/>
      <c r="FA213" s="2029"/>
      <c r="FB213" s="2029"/>
      <c r="FC213" s="2029"/>
      <c r="FD213" s="2029"/>
      <c r="FE213" s="2029"/>
      <c r="FF213" s="2029"/>
      <c r="FG213" s="2029"/>
      <c r="FH213" s="2029"/>
      <c r="FI213" s="2029"/>
      <c r="FJ213" s="2029"/>
    </row>
    <row r="214" spans="2:166" s="1286" customFormat="1" ht="18" customHeight="1">
      <c r="H214" s="2029"/>
      <c r="I214" s="2029"/>
      <c r="J214" s="2029"/>
      <c r="K214" s="2029"/>
      <c r="L214" s="2029"/>
      <c r="M214" s="2029"/>
      <c r="N214" s="2029"/>
      <c r="O214" s="2029"/>
      <c r="P214" s="2029"/>
      <c r="Q214" s="2029"/>
      <c r="R214" s="2029"/>
      <c r="S214" s="2029"/>
      <c r="T214" s="2029"/>
      <c r="U214" s="2029"/>
      <c r="V214" s="2029"/>
      <c r="W214" s="2029"/>
      <c r="X214" s="2029"/>
      <c r="Y214" s="2029"/>
      <c r="Z214" s="2029"/>
      <c r="AA214" s="2029"/>
      <c r="AB214" s="2029"/>
      <c r="AC214" s="2029"/>
      <c r="AD214" s="2029"/>
      <c r="AE214" s="2029"/>
      <c r="AF214" s="2029"/>
      <c r="AG214" s="2029"/>
      <c r="AH214" s="2029"/>
      <c r="AI214" s="2029"/>
      <c r="AJ214" s="2029"/>
      <c r="AK214" s="2029"/>
      <c r="AL214" s="2029"/>
      <c r="AM214" s="2029"/>
      <c r="AN214" s="2029"/>
      <c r="AO214" s="2029"/>
      <c r="AP214" s="2029"/>
      <c r="AQ214" s="2029"/>
      <c r="AR214" s="2029"/>
      <c r="AS214" s="2029"/>
      <c r="AT214" s="2029"/>
      <c r="AU214" s="2029"/>
      <c r="AV214" s="2029"/>
      <c r="AW214" s="2029"/>
      <c r="AX214" s="2029"/>
      <c r="AY214" s="2029"/>
      <c r="AZ214" s="2029"/>
      <c r="BA214" s="2029"/>
      <c r="BB214" s="2029"/>
      <c r="BC214" s="2029"/>
      <c r="BD214" s="2029"/>
      <c r="BE214" s="2029"/>
      <c r="BF214" s="2029"/>
      <c r="BG214" s="2029"/>
      <c r="BH214" s="2029"/>
      <c r="BI214" s="2029"/>
      <c r="BJ214" s="2029"/>
      <c r="BK214" s="2029"/>
      <c r="BL214" s="2029"/>
      <c r="BM214" s="2029"/>
      <c r="BN214" s="2029"/>
      <c r="BO214" s="2029"/>
      <c r="BP214" s="2029"/>
      <c r="BQ214" s="2029"/>
      <c r="BR214" s="2029"/>
      <c r="BS214" s="2029"/>
      <c r="BT214" s="2029"/>
      <c r="BU214" s="2029"/>
      <c r="BV214" s="2029"/>
      <c r="BW214" s="2029"/>
      <c r="BX214" s="2029"/>
      <c r="BY214" s="2029"/>
      <c r="BZ214" s="2029"/>
      <c r="CA214" s="2029"/>
      <c r="CB214" s="2029"/>
      <c r="CC214" s="2029"/>
      <c r="CD214" s="2029"/>
      <c r="CE214" s="2029"/>
      <c r="CF214" s="2029"/>
      <c r="CG214" s="2029"/>
      <c r="CH214" s="2029"/>
      <c r="CI214" s="2029"/>
      <c r="CJ214" s="2029"/>
      <c r="CK214" s="2029"/>
      <c r="CL214" s="2029"/>
      <c r="CM214" s="2029"/>
      <c r="CN214" s="2029"/>
      <c r="CO214" s="2029"/>
      <c r="CP214" s="2029"/>
      <c r="CQ214" s="2029"/>
      <c r="CR214" s="2029"/>
      <c r="CS214" s="2029"/>
      <c r="CT214" s="2029"/>
      <c r="CU214" s="2029"/>
      <c r="CV214" s="2029"/>
      <c r="CW214" s="2029"/>
      <c r="CX214" s="2029"/>
      <c r="CY214" s="2029"/>
      <c r="CZ214" s="2029"/>
      <c r="DA214" s="2029"/>
      <c r="DB214" s="2029"/>
      <c r="DC214" s="2029"/>
      <c r="DD214" s="2029"/>
      <c r="DE214" s="2029"/>
      <c r="DF214" s="2029"/>
      <c r="DG214" s="2029"/>
      <c r="DH214" s="2029"/>
      <c r="DI214" s="2029"/>
      <c r="DJ214" s="2029"/>
      <c r="DK214" s="2029"/>
      <c r="DL214" s="2029"/>
      <c r="DM214" s="2029"/>
      <c r="DN214" s="2029"/>
      <c r="DO214" s="2029"/>
      <c r="DP214" s="2029"/>
      <c r="DQ214" s="2029"/>
      <c r="DR214" s="2029"/>
      <c r="DS214" s="2029"/>
      <c r="DT214" s="2029"/>
      <c r="DU214" s="2029"/>
      <c r="DV214" s="2029"/>
      <c r="DW214" s="2029"/>
      <c r="DX214" s="2029"/>
      <c r="DY214" s="2029"/>
      <c r="DZ214" s="2029"/>
      <c r="EA214" s="2029"/>
      <c r="EB214" s="2029"/>
      <c r="EC214" s="2029"/>
      <c r="ED214" s="2029"/>
      <c r="EE214" s="2029"/>
      <c r="EF214" s="2029"/>
      <c r="EG214" s="2029"/>
      <c r="EH214" s="2029"/>
      <c r="EI214" s="2029"/>
      <c r="EJ214" s="2029"/>
      <c r="EK214" s="2029"/>
      <c r="EL214" s="2029"/>
      <c r="EM214" s="2029"/>
      <c r="EN214" s="2029"/>
      <c r="EO214" s="2029"/>
      <c r="EP214" s="2029"/>
      <c r="EQ214" s="2029"/>
      <c r="ER214" s="2029"/>
      <c r="ES214" s="2029"/>
      <c r="ET214" s="2029"/>
      <c r="EU214" s="2029"/>
      <c r="EV214" s="2029"/>
      <c r="EW214" s="2029"/>
      <c r="EX214" s="2029"/>
      <c r="EY214" s="2029"/>
      <c r="EZ214" s="2029"/>
      <c r="FA214" s="2029"/>
      <c r="FB214" s="2029"/>
      <c r="FC214" s="2029"/>
      <c r="FD214" s="2029"/>
      <c r="FE214" s="2029"/>
      <c r="FF214" s="2029"/>
      <c r="FG214" s="2029"/>
      <c r="FH214" s="2029"/>
      <c r="FI214" s="2029"/>
      <c r="FJ214" s="2029"/>
    </row>
    <row r="215" spans="2:166" s="1286" customFormat="1" ht="18" customHeight="1">
      <c r="H215" s="2029"/>
      <c r="I215" s="2029"/>
      <c r="J215" s="2029"/>
      <c r="K215" s="2029"/>
      <c r="L215" s="2029"/>
      <c r="M215" s="2029"/>
      <c r="N215" s="2029"/>
      <c r="O215" s="2029"/>
      <c r="P215" s="2029"/>
      <c r="Q215" s="2029"/>
      <c r="R215" s="2029"/>
      <c r="S215" s="2029"/>
      <c r="T215" s="2029"/>
      <c r="U215" s="2029"/>
      <c r="V215" s="2029"/>
      <c r="W215" s="2029"/>
      <c r="X215" s="2029"/>
      <c r="Y215" s="2029"/>
      <c r="Z215" s="2029"/>
      <c r="AA215" s="2029"/>
      <c r="AB215" s="2029"/>
      <c r="AC215" s="2029"/>
      <c r="AD215" s="2029"/>
      <c r="AE215" s="2029"/>
      <c r="AF215" s="2029"/>
      <c r="AG215" s="2029"/>
      <c r="AH215" s="2029"/>
      <c r="AI215" s="2029"/>
      <c r="AJ215" s="2029"/>
      <c r="AK215" s="2029"/>
      <c r="AL215" s="2029"/>
      <c r="AM215" s="2029"/>
      <c r="AN215" s="2029"/>
      <c r="AO215" s="2029"/>
      <c r="AP215" s="2029"/>
      <c r="AQ215" s="2029"/>
      <c r="AR215" s="2029"/>
      <c r="AS215" s="2029"/>
      <c r="AT215" s="2029"/>
      <c r="AU215" s="2029"/>
      <c r="AV215" s="2029"/>
      <c r="AW215" s="2029"/>
      <c r="AX215" s="2029"/>
      <c r="AY215" s="2029"/>
      <c r="AZ215" s="2029"/>
      <c r="BA215" s="2029"/>
      <c r="BB215" s="2029"/>
      <c r="BC215" s="2029"/>
      <c r="BD215" s="2029"/>
      <c r="BE215" s="2029"/>
      <c r="BF215" s="2029"/>
      <c r="BG215" s="2029"/>
      <c r="BH215" s="2029"/>
      <c r="BI215" s="2029"/>
      <c r="BJ215" s="2029"/>
      <c r="BK215" s="2029"/>
      <c r="BL215" s="2029"/>
      <c r="BM215" s="2029"/>
      <c r="BN215" s="2029"/>
      <c r="BO215" s="2029"/>
      <c r="BP215" s="2029"/>
      <c r="BQ215" s="2029"/>
      <c r="BR215" s="2029"/>
      <c r="BS215" s="2029"/>
      <c r="BT215" s="2029"/>
      <c r="BU215" s="2029"/>
      <c r="BV215" s="2029"/>
      <c r="BW215" s="2029"/>
      <c r="BX215" s="2029"/>
      <c r="BY215" s="2029"/>
      <c r="BZ215" s="2029"/>
      <c r="CA215" s="2029"/>
      <c r="CB215" s="2029"/>
      <c r="CC215" s="2029"/>
      <c r="CD215" s="2029"/>
      <c r="CE215" s="2029"/>
      <c r="CF215" s="2029"/>
      <c r="CG215" s="2029"/>
      <c r="CH215" s="2029"/>
      <c r="CI215" s="2029"/>
      <c r="CJ215" s="2029"/>
      <c r="CK215" s="2029"/>
      <c r="CL215" s="2029"/>
      <c r="CM215" s="2029"/>
      <c r="CN215" s="2029"/>
      <c r="CO215" s="2029"/>
      <c r="CP215" s="2029"/>
      <c r="CQ215" s="2029"/>
      <c r="CR215" s="2029"/>
      <c r="CS215" s="2029"/>
      <c r="CT215" s="2029"/>
      <c r="CU215" s="2029"/>
      <c r="CV215" s="2029"/>
      <c r="CW215" s="2029"/>
      <c r="CX215" s="2029"/>
      <c r="CY215" s="2029"/>
      <c r="CZ215" s="2029"/>
      <c r="DA215" s="2029"/>
      <c r="DB215" s="2029"/>
      <c r="DC215" s="2029"/>
      <c r="DD215" s="2029"/>
      <c r="DE215" s="2029"/>
      <c r="DF215" s="2029"/>
      <c r="DG215" s="2029"/>
      <c r="DH215" s="2029"/>
      <c r="DI215" s="2029"/>
      <c r="DJ215" s="2029"/>
      <c r="DK215" s="2029"/>
      <c r="DL215" s="2029"/>
      <c r="DM215" s="2029"/>
      <c r="DN215" s="2029"/>
      <c r="DO215" s="2029"/>
      <c r="DP215" s="2029"/>
      <c r="DQ215" s="2029"/>
      <c r="DR215" s="2029"/>
      <c r="DS215" s="2029"/>
      <c r="DT215" s="2029"/>
      <c r="DU215" s="2029"/>
      <c r="DV215" s="2029"/>
      <c r="DW215" s="2029"/>
      <c r="DX215" s="2029"/>
      <c r="DY215" s="2029"/>
      <c r="DZ215" s="2029"/>
      <c r="EA215" s="2029"/>
      <c r="EB215" s="2029"/>
      <c r="EC215" s="2029"/>
      <c r="ED215" s="2029"/>
      <c r="EE215" s="2029"/>
      <c r="EF215" s="2029"/>
      <c r="EG215" s="2029"/>
      <c r="EH215" s="2029"/>
      <c r="EI215" s="2029"/>
      <c r="EJ215" s="2029"/>
      <c r="EK215" s="2029"/>
      <c r="EL215" s="2029"/>
      <c r="EM215" s="2029"/>
      <c r="EN215" s="2029"/>
      <c r="EO215" s="2029"/>
      <c r="EP215" s="2029"/>
      <c r="EQ215" s="2029"/>
      <c r="ER215" s="2029"/>
      <c r="ES215" s="2029"/>
      <c r="ET215" s="2029"/>
      <c r="EU215" s="2029"/>
      <c r="EV215" s="2029"/>
      <c r="EW215" s="2029"/>
      <c r="EX215" s="2029"/>
      <c r="EY215" s="2029"/>
      <c r="EZ215" s="2029"/>
      <c r="FA215" s="2029"/>
      <c r="FB215" s="2029"/>
      <c r="FC215" s="2029"/>
      <c r="FD215" s="2029"/>
      <c r="FE215" s="2029"/>
      <c r="FF215" s="2029"/>
      <c r="FG215" s="2029"/>
      <c r="FH215" s="2029"/>
      <c r="FI215" s="2029"/>
      <c r="FJ215" s="2029"/>
    </row>
    <row r="216" spans="2:166" s="1286" customFormat="1" ht="18" customHeight="1">
      <c r="H216" s="2029"/>
      <c r="I216" s="2029"/>
      <c r="J216" s="2029"/>
      <c r="K216" s="2029"/>
      <c r="L216" s="2029"/>
      <c r="M216" s="2029"/>
      <c r="N216" s="2029"/>
      <c r="O216" s="2029"/>
      <c r="P216" s="2029"/>
      <c r="Q216" s="2029"/>
      <c r="R216" s="2029"/>
      <c r="S216" s="2029"/>
      <c r="T216" s="2029"/>
      <c r="U216" s="2029"/>
      <c r="V216" s="2029"/>
      <c r="W216" s="2029"/>
      <c r="X216" s="2029"/>
      <c r="Y216" s="2029"/>
      <c r="Z216" s="2029"/>
      <c r="AA216" s="2029"/>
      <c r="AB216" s="2029"/>
      <c r="AC216" s="2029"/>
      <c r="AD216" s="2029"/>
      <c r="AE216" s="2029"/>
      <c r="AF216" s="2029"/>
      <c r="AG216" s="2029"/>
      <c r="AH216" s="2029"/>
      <c r="AI216" s="2029"/>
      <c r="AJ216" s="2029"/>
      <c r="AK216" s="2029"/>
      <c r="AL216" s="2029"/>
      <c r="AM216" s="2029"/>
      <c r="AN216" s="2029"/>
      <c r="AO216" s="2029"/>
      <c r="AP216" s="2029"/>
      <c r="AQ216" s="2029"/>
      <c r="AR216" s="2029"/>
      <c r="AS216" s="2029"/>
      <c r="AT216" s="2029"/>
      <c r="AU216" s="2029"/>
      <c r="AV216" s="2029"/>
      <c r="AW216" s="2029"/>
      <c r="AX216" s="2029"/>
      <c r="AY216" s="2029"/>
      <c r="AZ216" s="2029"/>
      <c r="BA216" s="2029"/>
      <c r="BB216" s="2029"/>
      <c r="BC216" s="2029"/>
      <c r="BD216" s="2029"/>
      <c r="BE216" s="2029"/>
      <c r="BF216" s="2029"/>
      <c r="BG216" s="2029"/>
      <c r="BH216" s="2029"/>
      <c r="BI216" s="2029"/>
      <c r="BJ216" s="2029"/>
      <c r="BK216" s="2029"/>
      <c r="BL216" s="2029"/>
      <c r="BM216" s="2029"/>
      <c r="BN216" s="2029"/>
      <c r="BO216" s="2029"/>
      <c r="BP216" s="2029"/>
      <c r="BQ216" s="2029"/>
      <c r="BR216" s="2029"/>
      <c r="BS216" s="2029"/>
      <c r="BT216" s="2029"/>
      <c r="BU216" s="2029"/>
      <c r="BV216" s="2029"/>
      <c r="BW216" s="2029"/>
      <c r="BX216" s="2029"/>
      <c r="BY216" s="2029"/>
      <c r="BZ216" s="2029"/>
      <c r="CA216" s="2029"/>
      <c r="CB216" s="2029"/>
      <c r="CC216" s="2029"/>
      <c r="CD216" s="2029"/>
      <c r="CE216" s="2029"/>
      <c r="CF216" s="2029"/>
      <c r="CG216" s="2029"/>
      <c r="CH216" s="2029"/>
      <c r="CI216" s="2029"/>
      <c r="CJ216" s="2029"/>
      <c r="CK216" s="2029"/>
      <c r="CL216" s="2029"/>
      <c r="CM216" s="2029"/>
      <c r="CN216" s="2029"/>
      <c r="CO216" s="2029"/>
      <c r="CP216" s="2029"/>
      <c r="CQ216" s="2029"/>
      <c r="CR216" s="2029"/>
      <c r="CS216" s="2029"/>
      <c r="CT216" s="2029"/>
      <c r="CU216" s="2029"/>
      <c r="CV216" s="2029"/>
      <c r="CW216" s="2029"/>
      <c r="CX216" s="2029"/>
      <c r="CY216" s="2029"/>
      <c r="CZ216" s="2029"/>
      <c r="DA216" s="2029"/>
      <c r="DB216" s="2029"/>
      <c r="DC216" s="2029"/>
      <c r="DD216" s="2029"/>
      <c r="DE216" s="2029"/>
      <c r="DF216" s="2029"/>
      <c r="DG216" s="2029"/>
      <c r="DH216" s="2029"/>
      <c r="DI216" s="2029"/>
      <c r="DJ216" s="2029"/>
      <c r="DK216" s="2029"/>
      <c r="DL216" s="2029"/>
      <c r="DM216" s="2029"/>
      <c r="DN216" s="2029"/>
      <c r="DO216" s="2029"/>
      <c r="DP216" s="2029"/>
      <c r="DQ216" s="2029"/>
      <c r="DR216" s="2029"/>
      <c r="DS216" s="2029"/>
      <c r="DT216" s="2029"/>
      <c r="DU216" s="2029"/>
      <c r="DV216" s="2029"/>
      <c r="DW216" s="2029"/>
      <c r="DX216" s="2029"/>
      <c r="DY216" s="2029"/>
      <c r="DZ216" s="2029"/>
      <c r="EA216" s="2029"/>
      <c r="EB216" s="2029"/>
      <c r="EC216" s="2029"/>
      <c r="ED216" s="2029"/>
      <c r="EE216" s="2029"/>
      <c r="EF216" s="2029"/>
      <c r="EG216" s="2029"/>
      <c r="EH216" s="2029"/>
      <c r="EI216" s="2029"/>
      <c r="EJ216" s="2029"/>
      <c r="EK216" s="2029"/>
      <c r="EL216" s="2029"/>
      <c r="EM216" s="2029"/>
      <c r="EN216" s="2029"/>
      <c r="EO216" s="2029"/>
      <c r="EP216" s="2029"/>
      <c r="EQ216" s="2029"/>
      <c r="ER216" s="2029"/>
      <c r="ES216" s="2029"/>
      <c r="ET216" s="2029"/>
      <c r="EU216" s="2029"/>
      <c r="EV216" s="2029"/>
      <c r="EW216" s="2029"/>
      <c r="EX216" s="2029"/>
      <c r="EY216" s="2029"/>
      <c r="EZ216" s="2029"/>
      <c r="FA216" s="2029"/>
      <c r="FB216" s="2029"/>
      <c r="FC216" s="2029"/>
      <c r="FD216" s="2029"/>
      <c r="FE216" s="2029"/>
      <c r="FF216" s="2029"/>
      <c r="FG216" s="2029"/>
      <c r="FH216" s="2029"/>
      <c r="FI216" s="2029"/>
      <c r="FJ216" s="2029"/>
    </row>
    <row r="217" spans="2:166" s="1286" customFormat="1" ht="18" customHeight="1">
      <c r="H217" s="2029"/>
      <c r="I217" s="2029"/>
      <c r="J217" s="2029"/>
      <c r="K217" s="2029"/>
      <c r="L217" s="2029"/>
      <c r="M217" s="2029"/>
      <c r="N217" s="2029"/>
      <c r="O217" s="2029"/>
      <c r="P217" s="2029"/>
      <c r="Q217" s="2029"/>
      <c r="R217" s="2029"/>
      <c r="S217" s="2029"/>
      <c r="T217" s="2029"/>
      <c r="U217" s="2029"/>
      <c r="V217" s="2029"/>
      <c r="W217" s="2029"/>
      <c r="X217" s="2029"/>
      <c r="Y217" s="2029"/>
      <c r="Z217" s="2029"/>
      <c r="AA217" s="2029"/>
      <c r="AB217" s="2029"/>
      <c r="AC217" s="2029"/>
      <c r="AD217" s="2029"/>
      <c r="AE217" s="2029"/>
      <c r="AF217" s="2029"/>
      <c r="AG217" s="2029"/>
      <c r="AH217" s="2029"/>
      <c r="AI217" s="2029"/>
      <c r="AJ217" s="2029"/>
      <c r="AK217" s="2029"/>
      <c r="AL217" s="2029"/>
      <c r="AM217" s="2029"/>
      <c r="AN217" s="2029"/>
      <c r="AO217" s="2029"/>
      <c r="AP217" s="2029"/>
      <c r="AQ217" s="2029"/>
      <c r="AR217" s="2029"/>
      <c r="AS217" s="2029"/>
      <c r="AT217" s="2029"/>
      <c r="AU217" s="2029"/>
      <c r="AV217" s="2029"/>
      <c r="AW217" s="2029"/>
      <c r="AX217" s="2029"/>
      <c r="AY217" s="2029"/>
      <c r="AZ217" s="2029"/>
      <c r="BA217" s="2029"/>
      <c r="BB217" s="2029"/>
      <c r="BC217" s="2029"/>
      <c r="BD217" s="2029"/>
      <c r="BE217" s="2029"/>
      <c r="BF217" s="2029"/>
      <c r="BG217" s="2029"/>
      <c r="BH217" s="2029"/>
      <c r="BI217" s="2029"/>
      <c r="BJ217" s="2029"/>
      <c r="BK217" s="2029"/>
      <c r="BL217" s="2029"/>
      <c r="BM217" s="2029"/>
      <c r="BN217" s="2029"/>
      <c r="BO217" s="2029"/>
      <c r="BP217" s="2029"/>
      <c r="BQ217" s="2029"/>
      <c r="BR217" s="2029"/>
      <c r="BS217" s="2029"/>
      <c r="BT217" s="2029"/>
      <c r="BU217" s="2029"/>
      <c r="BV217" s="2029"/>
      <c r="BW217" s="2029"/>
      <c r="BX217" s="2029"/>
      <c r="BY217" s="2029"/>
      <c r="BZ217" s="2029"/>
      <c r="CA217" s="2029"/>
      <c r="CB217" s="2029"/>
      <c r="CC217" s="2029"/>
      <c r="CD217" s="2029"/>
      <c r="CE217" s="2029"/>
      <c r="CF217" s="2029"/>
      <c r="CG217" s="2029"/>
      <c r="CH217" s="2029"/>
      <c r="CI217" s="2029"/>
      <c r="CJ217" s="2029"/>
      <c r="CK217" s="2029"/>
      <c r="CL217" s="2029"/>
      <c r="CM217" s="2029"/>
      <c r="CN217" s="2029"/>
      <c r="CO217" s="2029"/>
      <c r="CP217" s="2029"/>
      <c r="CQ217" s="2029"/>
      <c r="CR217" s="2029"/>
      <c r="CS217" s="2029"/>
      <c r="CT217" s="2029"/>
      <c r="CU217" s="2029"/>
      <c r="CV217" s="2029"/>
      <c r="CW217" s="2029"/>
      <c r="CX217" s="2029"/>
      <c r="CY217" s="2029"/>
      <c r="CZ217" s="2029"/>
      <c r="DA217" s="2029"/>
      <c r="DB217" s="2029"/>
      <c r="DC217" s="2029"/>
      <c r="DD217" s="2029"/>
      <c r="DE217" s="2029"/>
      <c r="DF217" s="2029"/>
      <c r="DG217" s="2029"/>
      <c r="DH217" s="2029"/>
      <c r="DI217" s="2029"/>
      <c r="DJ217" s="2029"/>
      <c r="DK217" s="2029"/>
      <c r="DL217" s="2029"/>
      <c r="DM217" s="2029"/>
      <c r="DN217" s="2029"/>
      <c r="DO217" s="2029"/>
      <c r="DP217" s="2029"/>
      <c r="DQ217" s="2029"/>
      <c r="DR217" s="2029"/>
      <c r="DS217" s="2029"/>
      <c r="DT217" s="2029"/>
      <c r="DU217" s="2029"/>
      <c r="DV217" s="2029"/>
      <c r="DW217" s="2029"/>
      <c r="DX217" s="2029"/>
      <c r="DY217" s="2029"/>
      <c r="DZ217" s="2029"/>
      <c r="EA217" s="2029"/>
      <c r="EB217" s="2029"/>
      <c r="EC217" s="2029"/>
      <c r="ED217" s="2029"/>
      <c r="EE217" s="2029"/>
      <c r="EF217" s="2029"/>
      <c r="EG217" s="2029"/>
      <c r="EH217" s="2029"/>
      <c r="EI217" s="2029"/>
      <c r="EJ217" s="2029"/>
      <c r="EK217" s="2029"/>
      <c r="EL217" s="2029"/>
      <c r="EM217" s="2029"/>
      <c r="EN217" s="2029"/>
      <c r="EO217" s="2029"/>
      <c r="EP217" s="2029"/>
      <c r="EQ217" s="2029"/>
      <c r="ER217" s="2029"/>
      <c r="ES217" s="2029"/>
      <c r="ET217" s="2029"/>
      <c r="EU217" s="2029"/>
      <c r="EV217" s="2029"/>
      <c r="EW217" s="2029"/>
      <c r="EX217" s="2029"/>
      <c r="EY217" s="2029"/>
      <c r="EZ217" s="2029"/>
      <c r="FA217" s="2029"/>
      <c r="FB217" s="2029"/>
      <c r="FC217" s="2029"/>
      <c r="FD217" s="2029"/>
      <c r="FE217" s="2029"/>
      <c r="FF217" s="2029"/>
      <c r="FG217" s="2029"/>
      <c r="FH217" s="2029"/>
      <c r="FI217" s="2029"/>
      <c r="FJ217" s="2029"/>
    </row>
    <row r="218" spans="2:166" s="1286" customFormat="1" ht="18" customHeight="1">
      <c r="H218" s="2029"/>
      <c r="I218" s="2029"/>
      <c r="J218" s="2029"/>
      <c r="K218" s="2029"/>
      <c r="L218" s="2029"/>
      <c r="M218" s="2029"/>
      <c r="N218" s="2029"/>
      <c r="O218" s="2029"/>
      <c r="P218" s="2029"/>
      <c r="Q218" s="2029"/>
      <c r="R218" s="2029"/>
      <c r="S218" s="2029"/>
      <c r="T218" s="2029"/>
      <c r="U218" s="2029"/>
      <c r="V218" s="2029"/>
      <c r="W218" s="2029"/>
      <c r="X218" s="2029"/>
      <c r="Y218" s="2029"/>
      <c r="Z218" s="2029"/>
      <c r="AA218" s="2029"/>
      <c r="AB218" s="2029"/>
      <c r="AC218" s="2029"/>
      <c r="AD218" s="2029"/>
      <c r="AE218" s="2029"/>
      <c r="AF218" s="2029"/>
      <c r="AG218" s="2029"/>
      <c r="AH218" s="2029"/>
      <c r="AI218" s="2029"/>
      <c r="AJ218" s="2029"/>
      <c r="AK218" s="2029"/>
      <c r="AL218" s="2029"/>
      <c r="AM218" s="2029"/>
      <c r="AN218" s="2029"/>
      <c r="AO218" s="2029"/>
      <c r="AP218" s="2029"/>
      <c r="AQ218" s="2029"/>
      <c r="AR218" s="2029"/>
      <c r="AS218" s="2029"/>
      <c r="AT218" s="2029"/>
      <c r="AU218" s="2029"/>
      <c r="AV218" s="2029"/>
      <c r="AW218" s="2029"/>
      <c r="AX218" s="2029"/>
      <c r="AY218" s="2029"/>
      <c r="AZ218" s="2029"/>
      <c r="BA218" s="2029"/>
      <c r="BB218" s="2029"/>
      <c r="BC218" s="2029"/>
      <c r="BD218" s="2029"/>
      <c r="BE218" s="2029"/>
      <c r="BF218" s="2029"/>
      <c r="BG218" s="2029"/>
      <c r="BH218" s="2029"/>
      <c r="BI218" s="2029"/>
      <c r="BJ218" s="2029"/>
      <c r="BK218" s="2029"/>
      <c r="BL218" s="2029"/>
      <c r="BM218" s="2029"/>
      <c r="BN218" s="2029"/>
      <c r="BO218" s="2029"/>
      <c r="BP218" s="2029"/>
      <c r="BQ218" s="2029"/>
      <c r="BR218" s="2029"/>
      <c r="BS218" s="2029"/>
      <c r="BT218" s="2029"/>
      <c r="BU218" s="2029"/>
      <c r="BV218" s="2029"/>
      <c r="BW218" s="2029"/>
      <c r="BX218" s="2029"/>
      <c r="BY218" s="2029"/>
      <c r="BZ218" s="2029"/>
      <c r="CA218" s="2029"/>
      <c r="CB218" s="2029"/>
      <c r="CC218" s="2029"/>
      <c r="CD218" s="2029"/>
      <c r="CE218" s="2029"/>
      <c r="CF218" s="2029"/>
      <c r="CG218" s="2029"/>
      <c r="CH218" s="2029"/>
      <c r="CI218" s="2029"/>
      <c r="CJ218" s="2029"/>
      <c r="CK218" s="2029"/>
      <c r="CL218" s="2029"/>
      <c r="CM218" s="2029"/>
      <c r="CN218" s="2029"/>
      <c r="CO218" s="2029"/>
      <c r="CP218" s="2029"/>
      <c r="CQ218" s="2029"/>
      <c r="CR218" s="2029"/>
      <c r="CS218" s="2029"/>
      <c r="CT218" s="2029"/>
      <c r="CU218" s="2029"/>
      <c r="CV218" s="2029"/>
      <c r="CW218" s="2029"/>
      <c r="CX218" s="2029"/>
      <c r="CY218" s="2029"/>
      <c r="CZ218" s="2029"/>
      <c r="DA218" s="2029"/>
      <c r="DB218" s="2029"/>
      <c r="DC218" s="2029"/>
      <c r="DD218" s="2029"/>
      <c r="DE218" s="2029"/>
      <c r="DF218" s="2029"/>
      <c r="DG218" s="2029"/>
      <c r="DH218" s="2029"/>
      <c r="DI218" s="2029"/>
      <c r="DJ218" s="2029"/>
      <c r="DK218" s="2029"/>
      <c r="DL218" s="2029"/>
      <c r="DM218" s="2029"/>
      <c r="DN218" s="2029"/>
      <c r="DO218" s="2029"/>
      <c r="DP218" s="2029"/>
      <c r="DQ218" s="2029"/>
      <c r="DR218" s="2029"/>
      <c r="DS218" s="2029"/>
      <c r="DT218" s="2029"/>
      <c r="DU218" s="2029"/>
      <c r="DV218" s="2029"/>
      <c r="DW218" s="2029"/>
      <c r="DX218" s="2029"/>
      <c r="DY218" s="2029"/>
      <c r="DZ218" s="2029"/>
      <c r="EA218" s="2029"/>
      <c r="EB218" s="2029"/>
      <c r="EC218" s="2029"/>
      <c r="ED218" s="2029"/>
      <c r="EE218" s="2029"/>
      <c r="EF218" s="2029"/>
      <c r="EG218" s="2029"/>
      <c r="EH218" s="2029"/>
      <c r="EI218" s="2029"/>
      <c r="EJ218" s="2029"/>
      <c r="EK218" s="2029"/>
      <c r="EL218" s="2029"/>
      <c r="EM218" s="2029"/>
      <c r="EN218" s="2029"/>
      <c r="EO218" s="2029"/>
      <c r="EP218" s="2029"/>
      <c r="EQ218" s="2029"/>
      <c r="ER218" s="2029"/>
      <c r="ES218" s="2029"/>
      <c r="ET218" s="2029"/>
      <c r="EU218" s="2029"/>
      <c r="EV218" s="2029"/>
      <c r="EW218" s="2029"/>
      <c r="EX218" s="2029"/>
      <c r="EY218" s="2029"/>
      <c r="EZ218" s="2029"/>
      <c r="FA218" s="2029"/>
      <c r="FB218" s="2029"/>
      <c r="FC218" s="2029"/>
      <c r="FD218" s="2029"/>
      <c r="FE218" s="2029"/>
      <c r="FF218" s="2029"/>
      <c r="FG218" s="2029"/>
      <c r="FH218" s="2029"/>
      <c r="FI218" s="2029"/>
      <c r="FJ218" s="2029"/>
    </row>
    <row r="219" spans="2:166" s="1286" customFormat="1" ht="18" customHeight="1">
      <c r="H219" s="2029"/>
      <c r="I219" s="2029"/>
      <c r="J219" s="2029"/>
      <c r="K219" s="2029"/>
      <c r="L219" s="2029"/>
      <c r="M219" s="2029"/>
      <c r="N219" s="2029"/>
      <c r="O219" s="2029"/>
      <c r="P219" s="2029"/>
      <c r="Q219" s="2029"/>
      <c r="R219" s="2029"/>
      <c r="S219" s="2029"/>
      <c r="T219" s="2029"/>
      <c r="U219" s="2029"/>
      <c r="V219" s="2029"/>
      <c r="W219" s="2029"/>
      <c r="X219" s="2029"/>
      <c r="Y219" s="2029"/>
      <c r="Z219" s="2029"/>
      <c r="AA219" s="2029"/>
      <c r="AB219" s="2029"/>
      <c r="AC219" s="2029"/>
      <c r="AD219" s="2029"/>
      <c r="AE219" s="2029"/>
      <c r="AF219" s="2029"/>
      <c r="AG219" s="2029"/>
      <c r="AH219" s="2029"/>
      <c r="AI219" s="2029"/>
      <c r="AJ219" s="2029"/>
      <c r="AK219" s="2029"/>
      <c r="AL219" s="2029"/>
      <c r="AM219" s="2029"/>
      <c r="AN219" s="2029"/>
      <c r="AO219" s="2029"/>
      <c r="AP219" s="2029"/>
      <c r="AQ219" s="2029"/>
      <c r="AR219" s="2029"/>
      <c r="AS219" s="2029"/>
      <c r="AT219" s="2029"/>
      <c r="AU219" s="2029"/>
      <c r="AV219" s="2029"/>
      <c r="AW219" s="2029"/>
      <c r="AX219" s="2029"/>
      <c r="AY219" s="2029"/>
      <c r="AZ219" s="2029"/>
      <c r="BA219" s="2029"/>
      <c r="BB219" s="2029"/>
      <c r="BC219" s="2029"/>
      <c r="BD219" s="2029"/>
      <c r="BE219" s="2029"/>
      <c r="BF219" s="2029"/>
      <c r="BG219" s="2029"/>
      <c r="BH219" s="2029"/>
      <c r="BI219" s="2029"/>
      <c r="BJ219" s="2029"/>
      <c r="BK219" s="2029"/>
      <c r="BL219" s="2029"/>
      <c r="BM219" s="2029"/>
      <c r="BN219" s="2029"/>
      <c r="BO219" s="2029"/>
      <c r="BP219" s="2029"/>
      <c r="BQ219" s="2029"/>
      <c r="BR219" s="2029"/>
      <c r="BS219" s="2029"/>
      <c r="BT219" s="2029"/>
      <c r="BU219" s="2029"/>
      <c r="BV219" s="2029"/>
      <c r="BW219" s="2029"/>
      <c r="BX219" s="2029"/>
      <c r="BY219" s="2029"/>
      <c r="BZ219" s="2029"/>
      <c r="CA219" s="2029"/>
      <c r="CB219" s="2029"/>
      <c r="CC219" s="2029"/>
      <c r="CD219" s="2029"/>
      <c r="CE219" s="2029"/>
      <c r="CF219" s="2029"/>
      <c r="CG219" s="2029"/>
      <c r="CH219" s="2029"/>
      <c r="CI219" s="2029"/>
      <c r="CJ219" s="2029"/>
      <c r="CK219" s="2029"/>
      <c r="CL219" s="2029"/>
      <c r="CM219" s="2029"/>
      <c r="CN219" s="2029"/>
      <c r="CO219" s="2029"/>
      <c r="CP219" s="2029"/>
      <c r="CQ219" s="2029"/>
      <c r="CR219" s="2029"/>
      <c r="CS219" s="2029"/>
      <c r="CT219" s="2029"/>
      <c r="CU219" s="2029"/>
      <c r="CV219" s="2029"/>
      <c r="CW219" s="2029"/>
      <c r="CX219" s="2029"/>
      <c r="CY219" s="2029"/>
      <c r="CZ219" s="2029"/>
      <c r="DA219" s="2029"/>
      <c r="DB219" s="2029"/>
      <c r="DC219" s="2029"/>
      <c r="DD219" s="2029"/>
      <c r="DE219" s="2029"/>
      <c r="DF219" s="2029"/>
      <c r="DG219" s="2029"/>
      <c r="DH219" s="2029"/>
      <c r="DI219" s="2029"/>
      <c r="DJ219" s="2029"/>
      <c r="DK219" s="2029"/>
      <c r="DL219" s="2029"/>
      <c r="DM219" s="2029"/>
      <c r="DN219" s="2029"/>
      <c r="DO219" s="2029"/>
      <c r="DP219" s="2029"/>
      <c r="DQ219" s="2029"/>
      <c r="DR219" s="2029"/>
      <c r="DS219" s="2029"/>
      <c r="DT219" s="2029"/>
      <c r="DU219" s="2029"/>
      <c r="DV219" s="2029"/>
      <c r="DW219" s="2029"/>
      <c r="DX219" s="2029"/>
      <c r="DY219" s="2029"/>
      <c r="DZ219" s="2029"/>
      <c r="EA219" s="2029"/>
      <c r="EB219" s="2029"/>
      <c r="EC219" s="2029"/>
      <c r="ED219" s="2029"/>
      <c r="EE219" s="2029"/>
      <c r="EF219" s="2029"/>
      <c r="EG219" s="2029"/>
      <c r="EH219" s="2029"/>
      <c r="EI219" s="2029"/>
      <c r="EJ219" s="2029"/>
      <c r="EK219" s="2029"/>
      <c r="EL219" s="2029"/>
      <c r="EM219" s="2029"/>
      <c r="EN219" s="2029"/>
      <c r="EO219" s="2029"/>
      <c r="EP219" s="2029"/>
      <c r="EQ219" s="2029"/>
      <c r="ER219" s="2029"/>
      <c r="ES219" s="2029"/>
      <c r="ET219" s="2029"/>
      <c r="EU219" s="2029"/>
      <c r="EV219" s="2029"/>
      <c r="EW219" s="2029"/>
      <c r="EX219" s="2029"/>
      <c r="EY219" s="2029"/>
      <c r="EZ219" s="2029"/>
      <c r="FA219" s="2029"/>
      <c r="FB219" s="2029"/>
      <c r="FC219" s="2029"/>
      <c r="FD219" s="2029"/>
      <c r="FE219" s="2029"/>
      <c r="FF219" s="2029"/>
      <c r="FG219" s="2029"/>
      <c r="FH219" s="2029"/>
      <c r="FI219" s="2029"/>
      <c r="FJ219" s="2029"/>
    </row>
    <row r="220" spans="2:166" s="1286" customFormat="1" ht="18" customHeight="1">
      <c r="H220" s="2029"/>
      <c r="I220" s="2029"/>
      <c r="J220" s="2029"/>
      <c r="K220" s="2029"/>
      <c r="L220" s="2029"/>
      <c r="M220" s="2029"/>
      <c r="N220" s="2029"/>
      <c r="O220" s="2029"/>
      <c r="P220" s="2029"/>
      <c r="Q220" s="2029"/>
      <c r="R220" s="2029"/>
      <c r="S220" s="2029"/>
      <c r="T220" s="2029"/>
      <c r="U220" s="2029"/>
      <c r="V220" s="2029"/>
      <c r="W220" s="2029"/>
      <c r="X220" s="2029"/>
      <c r="Y220" s="2029"/>
      <c r="Z220" s="2029"/>
      <c r="AA220" s="2029"/>
      <c r="AB220" s="2029"/>
      <c r="AC220" s="2029"/>
      <c r="AD220" s="2029"/>
      <c r="AE220" s="2029"/>
      <c r="AF220" s="2029"/>
      <c r="AG220" s="2029"/>
      <c r="AH220" s="2029"/>
      <c r="AI220" s="2029"/>
      <c r="AJ220" s="2029"/>
      <c r="AK220" s="2029"/>
      <c r="AL220" s="2029"/>
      <c r="AM220" s="2029"/>
      <c r="AN220" s="2029"/>
      <c r="AO220" s="2029"/>
      <c r="AP220" s="2029"/>
      <c r="AQ220" s="2029"/>
      <c r="AR220" s="2029"/>
      <c r="AS220" s="2029"/>
      <c r="AT220" s="2029"/>
      <c r="AU220" s="2029"/>
      <c r="AV220" s="2029"/>
      <c r="AW220" s="2029"/>
      <c r="AX220" s="2029"/>
      <c r="AY220" s="2029"/>
      <c r="AZ220" s="2029"/>
      <c r="BA220" s="2029"/>
      <c r="BB220" s="2029"/>
      <c r="BC220" s="2029"/>
      <c r="BD220" s="2029"/>
      <c r="BE220" s="2029"/>
      <c r="BF220" s="2029"/>
      <c r="BG220" s="2029"/>
      <c r="BH220" s="2029"/>
      <c r="BI220" s="2029"/>
      <c r="BJ220" s="2029"/>
      <c r="BK220" s="2029"/>
      <c r="BL220" s="2029"/>
      <c r="BM220" s="2029"/>
      <c r="BN220" s="2029"/>
      <c r="BO220" s="2029"/>
      <c r="BP220" s="2029"/>
      <c r="BQ220" s="2029"/>
      <c r="BR220" s="2029"/>
      <c r="BS220" s="2029"/>
      <c r="BT220" s="2029"/>
      <c r="BU220" s="2029"/>
      <c r="BV220" s="2029"/>
      <c r="BW220" s="2029"/>
      <c r="BX220" s="2029"/>
      <c r="BY220" s="2029"/>
      <c r="BZ220" s="2029"/>
      <c r="CA220" s="2029"/>
      <c r="CB220" s="2029"/>
      <c r="CC220" s="2029"/>
      <c r="CD220" s="2029"/>
      <c r="CE220" s="2029"/>
      <c r="CF220" s="2029"/>
      <c r="CG220" s="2029"/>
      <c r="CH220" s="2029"/>
      <c r="CI220" s="2029"/>
      <c r="CJ220" s="2029"/>
      <c r="CK220" s="2029"/>
      <c r="CL220" s="2029"/>
      <c r="CM220" s="2029"/>
      <c r="CN220" s="2029"/>
      <c r="CO220" s="2029"/>
      <c r="CP220" s="2029"/>
      <c r="CQ220" s="2029"/>
      <c r="CR220" s="2029"/>
      <c r="CS220" s="2029"/>
      <c r="CT220" s="2029"/>
      <c r="CU220" s="2029"/>
      <c r="CV220" s="2029"/>
      <c r="CW220" s="2029"/>
      <c r="CX220" s="2029"/>
      <c r="CY220" s="2029"/>
      <c r="CZ220" s="2029"/>
      <c r="DA220" s="2029"/>
      <c r="DB220" s="2029"/>
      <c r="DC220" s="2029"/>
      <c r="DD220" s="2029"/>
      <c r="DE220" s="2029"/>
      <c r="DF220" s="2029"/>
      <c r="DG220" s="2029"/>
      <c r="DH220" s="2029"/>
      <c r="DI220" s="2029"/>
      <c r="DJ220" s="2029"/>
      <c r="DK220" s="2029"/>
      <c r="DL220" s="2029"/>
      <c r="DM220" s="2029"/>
      <c r="DN220" s="2029"/>
      <c r="DO220" s="2029"/>
      <c r="DP220" s="2029"/>
      <c r="DQ220" s="2029"/>
      <c r="DR220" s="2029"/>
      <c r="DS220" s="2029"/>
      <c r="DT220" s="2029"/>
      <c r="DU220" s="2029"/>
      <c r="DV220" s="2029"/>
      <c r="DW220" s="2029"/>
      <c r="DX220" s="2029"/>
      <c r="DY220" s="2029"/>
      <c r="DZ220" s="2029"/>
      <c r="EA220" s="2029"/>
      <c r="EB220" s="2029"/>
      <c r="EC220" s="2029"/>
      <c r="ED220" s="2029"/>
      <c r="EE220" s="2029"/>
      <c r="EF220" s="2029"/>
      <c r="EG220" s="2029"/>
      <c r="EH220" s="2029"/>
      <c r="EI220" s="2029"/>
      <c r="EJ220" s="2029"/>
      <c r="EK220" s="2029"/>
      <c r="EL220" s="2029"/>
      <c r="EM220" s="2029"/>
      <c r="EN220" s="2029"/>
      <c r="EO220" s="2029"/>
      <c r="EP220" s="2029"/>
      <c r="EQ220" s="2029"/>
      <c r="ER220" s="2029"/>
      <c r="ES220" s="2029"/>
      <c r="ET220" s="2029"/>
      <c r="EU220" s="2029"/>
      <c r="EV220" s="2029"/>
      <c r="EW220" s="2029"/>
      <c r="EX220" s="2029"/>
      <c r="EY220" s="2029"/>
      <c r="EZ220" s="2029"/>
      <c r="FA220" s="2029"/>
      <c r="FB220" s="2029"/>
      <c r="FC220" s="2029"/>
      <c r="FD220" s="2029"/>
      <c r="FE220" s="2029"/>
      <c r="FF220" s="2029"/>
      <c r="FG220" s="2029"/>
      <c r="FH220" s="2029"/>
      <c r="FI220" s="2029"/>
      <c r="FJ220" s="2029"/>
    </row>
    <row r="221" spans="2:166" s="1286" customFormat="1" ht="18" customHeight="1">
      <c r="H221" s="2029"/>
      <c r="I221" s="2029"/>
      <c r="J221" s="2029"/>
      <c r="K221" s="2029"/>
      <c r="L221" s="2029"/>
      <c r="M221" s="2029"/>
      <c r="N221" s="2029"/>
      <c r="O221" s="2029"/>
      <c r="P221" s="2029"/>
      <c r="Q221" s="2029"/>
      <c r="R221" s="2029"/>
      <c r="S221" s="2029"/>
      <c r="T221" s="2029"/>
      <c r="U221" s="2029"/>
      <c r="V221" s="2029"/>
      <c r="W221" s="2029"/>
      <c r="X221" s="2029"/>
      <c r="Y221" s="2029"/>
      <c r="Z221" s="2029"/>
      <c r="AA221" s="2029"/>
      <c r="AB221" s="2029"/>
      <c r="AC221" s="2029"/>
      <c r="AD221" s="2029"/>
      <c r="AE221" s="2029"/>
      <c r="AF221" s="2029"/>
      <c r="AG221" s="2029"/>
      <c r="AH221" s="2029"/>
      <c r="AI221" s="2029"/>
      <c r="AJ221" s="2029"/>
      <c r="AK221" s="2029"/>
      <c r="AL221" s="2029"/>
      <c r="AM221" s="2029"/>
      <c r="AN221" s="2029"/>
      <c r="AO221" s="2029"/>
      <c r="AP221" s="2029"/>
      <c r="AQ221" s="2029"/>
      <c r="AR221" s="2029"/>
      <c r="AS221" s="2029"/>
      <c r="AT221" s="2029"/>
      <c r="AU221" s="2029"/>
      <c r="AV221" s="2029"/>
      <c r="AW221" s="2029"/>
      <c r="AX221" s="2029"/>
      <c r="AY221" s="2029"/>
      <c r="AZ221" s="2029"/>
      <c r="BA221" s="2029"/>
      <c r="BB221" s="2029"/>
      <c r="BC221" s="2029"/>
      <c r="BD221" s="2029"/>
      <c r="BE221" s="2029"/>
      <c r="BF221" s="2029"/>
      <c r="BG221" s="2029"/>
      <c r="BH221" s="2029"/>
      <c r="BI221" s="2029"/>
      <c r="BJ221" s="2029"/>
      <c r="BK221" s="2029"/>
      <c r="BL221" s="2029"/>
      <c r="BM221" s="2029"/>
      <c r="BN221" s="2029"/>
      <c r="BO221" s="2029"/>
      <c r="BP221" s="2029"/>
      <c r="BQ221" s="2029"/>
      <c r="BR221" s="2029"/>
      <c r="BS221" s="2029"/>
      <c r="BT221" s="2029"/>
      <c r="BU221" s="2029"/>
      <c r="BV221" s="2029"/>
      <c r="BW221" s="2029"/>
      <c r="BX221" s="2029"/>
      <c r="BY221" s="2029"/>
      <c r="BZ221" s="2029"/>
      <c r="CA221" s="2029"/>
      <c r="CB221" s="2029"/>
      <c r="CC221" s="2029"/>
      <c r="CD221" s="2029"/>
      <c r="CE221" s="2029"/>
      <c r="CF221" s="2029"/>
      <c r="CG221" s="2029"/>
      <c r="CH221" s="2029"/>
      <c r="CI221" s="2029"/>
      <c r="CJ221" s="2029"/>
      <c r="CK221" s="2029"/>
      <c r="CL221" s="2029"/>
      <c r="CM221" s="2029"/>
      <c r="CN221" s="2029"/>
      <c r="CO221" s="2029"/>
      <c r="CP221" s="2029"/>
      <c r="CQ221" s="2029"/>
      <c r="CR221" s="2029"/>
      <c r="CS221" s="2029"/>
      <c r="CT221" s="2029"/>
      <c r="CU221" s="2029"/>
      <c r="CV221" s="2029"/>
      <c r="CW221" s="2029"/>
      <c r="CX221" s="2029"/>
      <c r="CY221" s="2029"/>
      <c r="CZ221" s="2029"/>
      <c r="DA221" s="2029"/>
      <c r="DB221" s="2029"/>
      <c r="DC221" s="2029"/>
      <c r="DD221" s="2029"/>
      <c r="DE221" s="2029"/>
      <c r="DF221" s="2029"/>
      <c r="DG221" s="2029"/>
      <c r="DH221" s="2029"/>
      <c r="DI221" s="2029"/>
      <c r="DJ221" s="2029"/>
      <c r="DK221" s="2029"/>
      <c r="DL221" s="2029"/>
      <c r="DM221" s="2029"/>
      <c r="DN221" s="2029"/>
      <c r="DO221" s="2029"/>
      <c r="DP221" s="2029"/>
      <c r="DQ221" s="2029"/>
      <c r="DR221" s="2029"/>
      <c r="DS221" s="2029"/>
      <c r="DT221" s="2029"/>
      <c r="DU221" s="2029"/>
      <c r="DV221" s="2029"/>
      <c r="DW221" s="2029"/>
      <c r="DX221" s="2029"/>
      <c r="DY221" s="2029"/>
      <c r="DZ221" s="2029"/>
      <c r="EA221" s="2029"/>
      <c r="EB221" s="2029"/>
      <c r="EC221" s="2029"/>
      <c r="ED221" s="2029"/>
      <c r="EE221" s="2029"/>
      <c r="EF221" s="2029"/>
      <c r="EG221" s="2029"/>
      <c r="EH221" s="2029"/>
      <c r="EI221" s="2029"/>
      <c r="EJ221" s="2029"/>
      <c r="EK221" s="2029"/>
      <c r="EL221" s="2029"/>
      <c r="EM221" s="2029"/>
      <c r="EN221" s="2029"/>
      <c r="EO221" s="2029"/>
      <c r="EP221" s="2029"/>
      <c r="EQ221" s="2029"/>
      <c r="ER221" s="2029"/>
      <c r="ES221" s="2029"/>
      <c r="ET221" s="2029"/>
      <c r="EU221" s="2029"/>
      <c r="EV221" s="2029"/>
      <c r="EW221" s="2029"/>
      <c r="EX221" s="2029"/>
      <c r="EY221" s="2029"/>
      <c r="EZ221" s="2029"/>
      <c r="FA221" s="2029"/>
      <c r="FB221" s="2029"/>
      <c r="FC221" s="2029"/>
      <c r="FD221" s="2029"/>
      <c r="FE221" s="2029"/>
      <c r="FF221" s="2029"/>
      <c r="FG221" s="2029"/>
      <c r="FH221" s="2029"/>
      <c r="FI221" s="2029"/>
      <c r="FJ221" s="2029"/>
    </row>
    <row r="222" spans="2:166" s="1286" customFormat="1" ht="18" customHeight="1">
      <c r="B222" s="1601"/>
      <c r="C222" s="1602"/>
      <c r="D222" s="1602"/>
      <c r="E222" s="1602"/>
      <c r="F222" s="1601"/>
      <c r="G222" s="1601"/>
      <c r="H222" s="2029"/>
      <c r="I222" s="2029"/>
      <c r="J222" s="2029"/>
      <c r="K222" s="2029"/>
      <c r="L222" s="2029"/>
      <c r="M222" s="2029"/>
      <c r="N222" s="2029"/>
      <c r="O222" s="2029"/>
      <c r="P222" s="2029"/>
      <c r="Q222" s="2029"/>
      <c r="R222" s="2029"/>
      <c r="S222" s="2029"/>
      <c r="T222" s="2029"/>
      <c r="U222" s="2029"/>
      <c r="V222" s="2029"/>
      <c r="W222" s="2029"/>
      <c r="X222" s="2029"/>
      <c r="Y222" s="2029"/>
      <c r="Z222" s="2029"/>
      <c r="AA222" s="2029"/>
      <c r="AB222" s="2029"/>
      <c r="AC222" s="2029"/>
      <c r="AD222" s="2029"/>
      <c r="AE222" s="2029"/>
      <c r="AF222" s="2029"/>
      <c r="AG222" s="2029"/>
      <c r="AH222" s="2029"/>
      <c r="AI222" s="2029"/>
      <c r="AJ222" s="2029"/>
      <c r="AK222" s="2029"/>
      <c r="AL222" s="2029"/>
      <c r="AM222" s="2029"/>
      <c r="AN222" s="2029"/>
      <c r="AO222" s="2029"/>
      <c r="AP222" s="2029"/>
      <c r="AQ222" s="2029"/>
      <c r="AR222" s="2029"/>
      <c r="AS222" s="2029"/>
      <c r="AT222" s="2029"/>
      <c r="AU222" s="2029"/>
      <c r="AV222" s="2029"/>
      <c r="AW222" s="2029"/>
      <c r="AX222" s="2029"/>
      <c r="AY222" s="2029"/>
      <c r="AZ222" s="2029"/>
      <c r="BA222" s="2029"/>
      <c r="BB222" s="2029"/>
      <c r="BC222" s="2029"/>
      <c r="BD222" s="2029"/>
      <c r="BE222" s="2029"/>
      <c r="BF222" s="2029"/>
      <c r="BG222" s="2029"/>
      <c r="BH222" s="2029"/>
      <c r="BI222" s="2029"/>
      <c r="BJ222" s="2029"/>
      <c r="BK222" s="2029"/>
      <c r="BL222" s="2029"/>
      <c r="BM222" s="2029"/>
      <c r="BN222" s="2029"/>
      <c r="BO222" s="2029"/>
      <c r="BP222" s="2029"/>
      <c r="BQ222" s="2029"/>
      <c r="BR222" s="2029"/>
      <c r="BS222" s="2029"/>
      <c r="BT222" s="2029"/>
      <c r="BU222" s="2029"/>
      <c r="BV222" s="2029"/>
      <c r="BW222" s="2029"/>
      <c r="BX222" s="2029"/>
      <c r="BY222" s="2029"/>
      <c r="BZ222" s="2029"/>
      <c r="CA222" s="2029"/>
      <c r="CB222" s="2029"/>
      <c r="CC222" s="2029"/>
      <c r="CD222" s="2029"/>
      <c r="CE222" s="2029"/>
      <c r="CF222" s="2029"/>
      <c r="CG222" s="2029"/>
      <c r="CH222" s="2029"/>
      <c r="CI222" s="2029"/>
      <c r="CJ222" s="2029"/>
      <c r="CK222" s="2029"/>
      <c r="CL222" s="2029"/>
      <c r="CM222" s="2029"/>
      <c r="CN222" s="2029"/>
      <c r="CO222" s="2029"/>
      <c r="CP222" s="2029"/>
      <c r="CQ222" s="2029"/>
      <c r="CR222" s="2029"/>
      <c r="CS222" s="2029"/>
      <c r="CT222" s="2029"/>
      <c r="CU222" s="2029"/>
      <c r="CV222" s="2029"/>
      <c r="CW222" s="2029"/>
      <c r="CX222" s="2029"/>
      <c r="CY222" s="2029"/>
      <c r="CZ222" s="2029"/>
      <c r="DA222" s="2029"/>
      <c r="DB222" s="2029"/>
      <c r="DC222" s="2029"/>
      <c r="DD222" s="2029"/>
      <c r="DE222" s="2029"/>
      <c r="DF222" s="2029"/>
      <c r="DG222" s="2029"/>
      <c r="DH222" s="2029"/>
      <c r="DI222" s="2029"/>
      <c r="DJ222" s="2029"/>
      <c r="DK222" s="2029"/>
      <c r="DL222" s="2029"/>
      <c r="DM222" s="2029"/>
      <c r="DN222" s="2029"/>
      <c r="DO222" s="2029"/>
      <c r="DP222" s="2029"/>
      <c r="DQ222" s="2029"/>
      <c r="DR222" s="2029"/>
      <c r="DS222" s="2029"/>
      <c r="DT222" s="2029"/>
      <c r="DU222" s="2029"/>
      <c r="DV222" s="2029"/>
      <c r="DW222" s="2029"/>
      <c r="DX222" s="2029"/>
      <c r="DY222" s="2029"/>
      <c r="DZ222" s="2029"/>
      <c r="EA222" s="2029"/>
      <c r="EB222" s="2029"/>
      <c r="EC222" s="2029"/>
      <c r="ED222" s="2029"/>
      <c r="EE222" s="2029"/>
      <c r="EF222" s="2029"/>
      <c r="EG222" s="2029"/>
      <c r="EH222" s="2029"/>
      <c r="EI222" s="2029"/>
      <c r="EJ222" s="2029"/>
      <c r="EK222" s="2029"/>
      <c r="EL222" s="2029"/>
      <c r="EM222" s="2029"/>
      <c r="EN222" s="2029"/>
      <c r="EO222" s="2029"/>
      <c r="EP222" s="2029"/>
      <c r="EQ222" s="2029"/>
      <c r="ER222" s="2029"/>
      <c r="ES222" s="2029"/>
      <c r="ET222" s="2029"/>
      <c r="EU222" s="2029"/>
      <c r="EV222" s="2029"/>
      <c r="EW222" s="2029"/>
      <c r="EX222" s="2029"/>
      <c r="EY222" s="2029"/>
      <c r="EZ222" s="2029"/>
      <c r="FA222" s="2029"/>
      <c r="FB222" s="2029"/>
      <c r="FC222" s="2029"/>
      <c r="FD222" s="2029"/>
      <c r="FE222" s="2029"/>
      <c r="FF222" s="2029"/>
      <c r="FG222" s="2029"/>
      <c r="FH222" s="2029"/>
      <c r="FI222" s="2029"/>
      <c r="FJ222" s="2029"/>
    </row>
    <row r="223" spans="2:166" s="1286" customFormat="1" ht="18" customHeight="1">
      <c r="H223" s="2029"/>
      <c r="I223" s="2029"/>
      <c r="J223" s="2029"/>
      <c r="K223" s="2029"/>
      <c r="L223" s="2029"/>
      <c r="M223" s="2029"/>
      <c r="N223" s="2029"/>
      <c r="O223" s="2029"/>
      <c r="P223" s="2029"/>
      <c r="Q223" s="2029"/>
      <c r="R223" s="2029"/>
      <c r="S223" s="2029"/>
      <c r="T223" s="2029"/>
      <c r="U223" s="2029"/>
      <c r="V223" s="2029"/>
      <c r="W223" s="2029"/>
      <c r="X223" s="2029"/>
      <c r="Y223" s="2029"/>
      <c r="Z223" s="2029"/>
      <c r="AA223" s="2029"/>
      <c r="AB223" s="2029"/>
      <c r="AC223" s="2029"/>
      <c r="AD223" s="2029"/>
      <c r="AE223" s="2029"/>
      <c r="AF223" s="2029"/>
      <c r="AG223" s="2029"/>
      <c r="AH223" s="2029"/>
      <c r="AI223" s="2029"/>
      <c r="AJ223" s="2029"/>
      <c r="AK223" s="2029"/>
      <c r="AL223" s="2029"/>
      <c r="AM223" s="2029"/>
      <c r="AN223" s="2029"/>
      <c r="AO223" s="2029"/>
      <c r="AP223" s="2029"/>
      <c r="AQ223" s="2029"/>
      <c r="AR223" s="2029"/>
      <c r="AS223" s="2029"/>
      <c r="AT223" s="2029"/>
      <c r="AU223" s="2029"/>
      <c r="AV223" s="2029"/>
      <c r="AW223" s="2029"/>
      <c r="AX223" s="2029"/>
      <c r="AY223" s="2029"/>
      <c r="AZ223" s="2029"/>
      <c r="BA223" s="2029"/>
      <c r="BB223" s="2029"/>
      <c r="BC223" s="2029"/>
      <c r="BD223" s="2029"/>
      <c r="BE223" s="2029"/>
      <c r="BF223" s="2029"/>
      <c r="BG223" s="2029"/>
      <c r="BH223" s="2029"/>
      <c r="BI223" s="2029"/>
      <c r="BJ223" s="2029"/>
      <c r="BK223" s="2029"/>
      <c r="BL223" s="2029"/>
      <c r="BM223" s="2029"/>
      <c r="BN223" s="2029"/>
      <c r="BO223" s="2029"/>
      <c r="BP223" s="2029"/>
      <c r="BQ223" s="2029"/>
      <c r="BR223" s="2029"/>
      <c r="BS223" s="2029"/>
      <c r="BT223" s="2029"/>
      <c r="BU223" s="2029"/>
      <c r="BV223" s="2029"/>
      <c r="BW223" s="2029"/>
      <c r="BX223" s="2029"/>
      <c r="BY223" s="2029"/>
      <c r="BZ223" s="2029"/>
      <c r="CA223" s="2029"/>
      <c r="CB223" s="2029"/>
      <c r="CC223" s="2029"/>
      <c r="CD223" s="2029"/>
      <c r="CE223" s="2029"/>
      <c r="CF223" s="2029"/>
      <c r="CG223" s="2029"/>
      <c r="CH223" s="2029"/>
      <c r="CI223" s="2029"/>
      <c r="CJ223" s="2029"/>
      <c r="CK223" s="2029"/>
      <c r="CL223" s="2029"/>
      <c r="CM223" s="2029"/>
      <c r="CN223" s="2029"/>
      <c r="CO223" s="2029"/>
      <c r="CP223" s="2029"/>
      <c r="CQ223" s="2029"/>
      <c r="CR223" s="2029"/>
      <c r="CS223" s="2029"/>
      <c r="CT223" s="2029"/>
      <c r="CU223" s="2029"/>
      <c r="CV223" s="2029"/>
      <c r="CW223" s="2029"/>
      <c r="CX223" s="2029"/>
      <c r="CY223" s="2029"/>
      <c r="CZ223" s="2029"/>
      <c r="DA223" s="2029"/>
      <c r="DB223" s="2029"/>
      <c r="DC223" s="2029"/>
      <c r="DD223" s="2029"/>
      <c r="DE223" s="2029"/>
      <c r="DF223" s="2029"/>
      <c r="DG223" s="2029"/>
      <c r="DH223" s="2029"/>
      <c r="DI223" s="2029"/>
      <c r="DJ223" s="2029"/>
      <c r="DK223" s="2029"/>
      <c r="DL223" s="2029"/>
      <c r="DM223" s="2029"/>
      <c r="DN223" s="2029"/>
      <c r="DO223" s="2029"/>
      <c r="DP223" s="2029"/>
      <c r="DQ223" s="2029"/>
      <c r="DR223" s="2029"/>
      <c r="DS223" s="2029"/>
      <c r="DT223" s="2029"/>
      <c r="DU223" s="2029"/>
      <c r="DV223" s="2029"/>
      <c r="DW223" s="2029"/>
      <c r="DX223" s="2029"/>
      <c r="DY223" s="2029"/>
      <c r="DZ223" s="2029"/>
      <c r="EA223" s="2029"/>
      <c r="EB223" s="2029"/>
      <c r="EC223" s="2029"/>
      <c r="ED223" s="2029"/>
      <c r="EE223" s="2029"/>
      <c r="EF223" s="2029"/>
      <c r="EG223" s="2029"/>
      <c r="EH223" s="2029"/>
      <c r="EI223" s="2029"/>
      <c r="EJ223" s="2029"/>
      <c r="EK223" s="2029"/>
      <c r="EL223" s="2029"/>
      <c r="EM223" s="2029"/>
      <c r="EN223" s="2029"/>
      <c r="EO223" s="2029"/>
      <c r="EP223" s="2029"/>
      <c r="EQ223" s="2029"/>
      <c r="ER223" s="2029"/>
      <c r="ES223" s="2029"/>
      <c r="ET223" s="2029"/>
      <c r="EU223" s="2029"/>
      <c r="EV223" s="2029"/>
      <c r="EW223" s="2029"/>
      <c r="EX223" s="2029"/>
      <c r="EY223" s="2029"/>
      <c r="EZ223" s="2029"/>
      <c r="FA223" s="2029"/>
      <c r="FB223" s="2029"/>
      <c r="FC223" s="2029"/>
      <c r="FD223" s="2029"/>
      <c r="FE223" s="2029"/>
      <c r="FF223" s="2029"/>
      <c r="FG223" s="2029"/>
      <c r="FH223" s="2029"/>
      <c r="FI223" s="2029"/>
      <c r="FJ223" s="2029"/>
    </row>
    <row r="224" spans="2:166" s="1286" customFormat="1" ht="18" customHeight="1">
      <c r="H224" s="2029"/>
      <c r="I224" s="2029"/>
      <c r="J224" s="2029"/>
      <c r="K224" s="2029"/>
      <c r="L224" s="2029"/>
      <c r="M224" s="2029"/>
      <c r="N224" s="2029"/>
      <c r="O224" s="2029"/>
      <c r="P224" s="2029"/>
      <c r="Q224" s="2029"/>
      <c r="R224" s="2029"/>
      <c r="S224" s="2029"/>
      <c r="T224" s="2029"/>
      <c r="U224" s="2029"/>
      <c r="V224" s="2029"/>
      <c r="W224" s="2029"/>
      <c r="X224" s="2029"/>
      <c r="Y224" s="2029"/>
      <c r="Z224" s="2029"/>
      <c r="AA224" s="2029"/>
      <c r="AB224" s="2029"/>
      <c r="AC224" s="2029"/>
      <c r="AD224" s="2029"/>
      <c r="AE224" s="2029"/>
      <c r="AF224" s="2029"/>
      <c r="AG224" s="2029"/>
      <c r="AH224" s="2029"/>
      <c r="AI224" s="2029"/>
      <c r="AJ224" s="2029"/>
      <c r="AK224" s="2029"/>
      <c r="AL224" s="2029"/>
      <c r="AM224" s="2029"/>
      <c r="AN224" s="2029"/>
      <c r="AO224" s="2029"/>
      <c r="AP224" s="2029"/>
      <c r="AQ224" s="2029"/>
      <c r="AR224" s="2029"/>
      <c r="AS224" s="2029"/>
      <c r="AT224" s="2029"/>
      <c r="AU224" s="2029"/>
      <c r="AV224" s="2029"/>
      <c r="AW224" s="2029"/>
      <c r="AX224" s="2029"/>
      <c r="AY224" s="2029"/>
      <c r="AZ224" s="2029"/>
      <c r="BA224" s="2029"/>
      <c r="BB224" s="2029"/>
      <c r="BC224" s="2029"/>
      <c r="BD224" s="2029"/>
      <c r="BE224" s="2029"/>
      <c r="BF224" s="2029"/>
      <c r="BG224" s="2029"/>
      <c r="BH224" s="2029"/>
      <c r="BI224" s="2029"/>
      <c r="BJ224" s="2029"/>
      <c r="BK224" s="2029"/>
      <c r="BL224" s="2029"/>
      <c r="BM224" s="2029"/>
      <c r="BN224" s="2029"/>
      <c r="BO224" s="2029"/>
      <c r="BP224" s="2029"/>
      <c r="BQ224" s="2029"/>
      <c r="BR224" s="2029"/>
      <c r="BS224" s="2029"/>
      <c r="BT224" s="2029"/>
      <c r="BU224" s="2029"/>
      <c r="BV224" s="2029"/>
      <c r="BW224" s="2029"/>
      <c r="BX224" s="2029"/>
      <c r="BY224" s="2029"/>
      <c r="BZ224" s="2029"/>
      <c r="CA224" s="2029"/>
      <c r="CB224" s="2029"/>
      <c r="CC224" s="2029"/>
      <c r="CD224" s="2029"/>
      <c r="CE224" s="2029"/>
      <c r="CF224" s="2029"/>
      <c r="CG224" s="2029"/>
      <c r="CH224" s="2029"/>
      <c r="CI224" s="2029"/>
      <c r="CJ224" s="2029"/>
      <c r="CK224" s="2029"/>
      <c r="CL224" s="2029"/>
      <c r="CM224" s="2029"/>
      <c r="CN224" s="2029"/>
      <c r="CO224" s="2029"/>
      <c r="CP224" s="2029"/>
      <c r="CQ224" s="2029"/>
      <c r="CR224" s="2029"/>
      <c r="CS224" s="2029"/>
      <c r="CT224" s="2029"/>
      <c r="CU224" s="2029"/>
      <c r="CV224" s="2029"/>
      <c r="CW224" s="2029"/>
      <c r="CX224" s="2029"/>
      <c r="CY224" s="2029"/>
      <c r="CZ224" s="2029"/>
      <c r="DA224" s="2029"/>
      <c r="DB224" s="2029"/>
      <c r="DC224" s="2029"/>
      <c r="DD224" s="2029"/>
      <c r="DE224" s="2029"/>
      <c r="DF224" s="2029"/>
      <c r="DG224" s="2029"/>
      <c r="DH224" s="2029"/>
      <c r="DI224" s="2029"/>
      <c r="DJ224" s="2029"/>
      <c r="DK224" s="2029"/>
      <c r="DL224" s="2029"/>
      <c r="DM224" s="2029"/>
      <c r="DN224" s="2029"/>
      <c r="DO224" s="2029"/>
      <c r="DP224" s="2029"/>
      <c r="DQ224" s="2029"/>
      <c r="DR224" s="2029"/>
      <c r="DS224" s="2029"/>
      <c r="DT224" s="2029"/>
      <c r="DU224" s="2029"/>
      <c r="DV224" s="2029"/>
      <c r="DW224" s="2029"/>
      <c r="DX224" s="2029"/>
      <c r="DY224" s="2029"/>
      <c r="DZ224" s="2029"/>
      <c r="EA224" s="2029"/>
      <c r="EB224" s="2029"/>
      <c r="EC224" s="2029"/>
      <c r="ED224" s="2029"/>
      <c r="EE224" s="2029"/>
      <c r="EF224" s="2029"/>
      <c r="EG224" s="2029"/>
      <c r="EH224" s="2029"/>
      <c r="EI224" s="2029"/>
      <c r="EJ224" s="2029"/>
      <c r="EK224" s="2029"/>
      <c r="EL224" s="2029"/>
      <c r="EM224" s="2029"/>
      <c r="EN224" s="2029"/>
      <c r="EO224" s="2029"/>
      <c r="EP224" s="2029"/>
      <c r="EQ224" s="2029"/>
      <c r="ER224" s="2029"/>
      <c r="ES224" s="2029"/>
      <c r="ET224" s="2029"/>
      <c r="EU224" s="2029"/>
      <c r="EV224" s="2029"/>
      <c r="EW224" s="2029"/>
      <c r="EX224" s="2029"/>
      <c r="EY224" s="2029"/>
      <c r="EZ224" s="2029"/>
      <c r="FA224" s="2029"/>
      <c r="FB224" s="2029"/>
      <c r="FC224" s="2029"/>
      <c r="FD224" s="2029"/>
      <c r="FE224" s="2029"/>
      <c r="FF224" s="2029"/>
      <c r="FG224" s="2029"/>
      <c r="FH224" s="2029"/>
      <c r="FI224" s="2029"/>
      <c r="FJ224" s="2029"/>
    </row>
    <row r="225" spans="8:166" s="1286" customFormat="1" ht="18" customHeight="1">
      <c r="H225" s="2029"/>
      <c r="I225" s="2029"/>
      <c r="J225" s="2029"/>
      <c r="K225" s="2029"/>
      <c r="L225" s="2029"/>
      <c r="M225" s="2029"/>
      <c r="N225" s="2029"/>
      <c r="O225" s="2029"/>
      <c r="P225" s="2029"/>
      <c r="Q225" s="2029"/>
      <c r="R225" s="2029"/>
      <c r="S225" s="2029"/>
      <c r="T225" s="2029"/>
      <c r="U225" s="2029"/>
      <c r="V225" s="2029"/>
      <c r="W225" s="2029"/>
      <c r="X225" s="2029"/>
      <c r="Y225" s="2029"/>
      <c r="Z225" s="2029"/>
      <c r="AA225" s="2029"/>
      <c r="AB225" s="2029"/>
      <c r="AC225" s="2029"/>
      <c r="AD225" s="2029"/>
      <c r="AE225" s="2029"/>
      <c r="AF225" s="2029"/>
      <c r="AG225" s="2029"/>
      <c r="AH225" s="2029"/>
      <c r="AI225" s="2029"/>
      <c r="AJ225" s="2029"/>
      <c r="AK225" s="2029"/>
      <c r="AL225" s="2029"/>
      <c r="AM225" s="2029"/>
      <c r="AN225" s="2029"/>
      <c r="AO225" s="2029"/>
      <c r="AP225" s="2029"/>
      <c r="AQ225" s="2029"/>
      <c r="AR225" s="2029"/>
      <c r="AS225" s="2029"/>
      <c r="AT225" s="2029"/>
      <c r="AU225" s="2029"/>
      <c r="AV225" s="2029"/>
      <c r="AW225" s="2029"/>
      <c r="AX225" s="2029"/>
      <c r="AY225" s="2029"/>
      <c r="AZ225" s="2029"/>
      <c r="BA225" s="2029"/>
      <c r="BB225" s="2029"/>
      <c r="BC225" s="2029"/>
      <c r="BD225" s="2029"/>
      <c r="BE225" s="2029"/>
      <c r="BF225" s="2029"/>
      <c r="BG225" s="2029"/>
      <c r="BH225" s="2029"/>
      <c r="BI225" s="2029"/>
      <c r="BJ225" s="2029"/>
      <c r="BK225" s="2029"/>
      <c r="BL225" s="2029"/>
      <c r="BM225" s="2029"/>
      <c r="BN225" s="2029"/>
      <c r="BO225" s="2029"/>
      <c r="BP225" s="2029"/>
      <c r="BQ225" s="2029"/>
      <c r="BR225" s="2029"/>
      <c r="BS225" s="2029"/>
      <c r="BT225" s="2029"/>
      <c r="BU225" s="2029"/>
      <c r="BV225" s="2029"/>
      <c r="BW225" s="2029"/>
      <c r="BX225" s="2029"/>
      <c r="BY225" s="2029"/>
      <c r="BZ225" s="2029"/>
      <c r="CA225" s="2029"/>
      <c r="CB225" s="2029"/>
      <c r="CC225" s="2029"/>
      <c r="CD225" s="2029"/>
      <c r="CE225" s="2029"/>
      <c r="CF225" s="2029"/>
      <c r="CG225" s="2029"/>
      <c r="CH225" s="2029"/>
      <c r="CI225" s="2029"/>
      <c r="CJ225" s="2029"/>
      <c r="CK225" s="2029"/>
      <c r="CL225" s="2029"/>
      <c r="CM225" s="2029"/>
      <c r="CN225" s="2029"/>
      <c r="CO225" s="2029"/>
      <c r="CP225" s="2029"/>
      <c r="CQ225" s="2029"/>
      <c r="CR225" s="2029"/>
      <c r="CS225" s="2029"/>
      <c r="CT225" s="2029"/>
      <c r="CU225" s="2029"/>
      <c r="CV225" s="2029"/>
      <c r="CW225" s="2029"/>
      <c r="CX225" s="2029"/>
      <c r="CY225" s="2029"/>
      <c r="CZ225" s="2029"/>
      <c r="DA225" s="2029"/>
      <c r="DB225" s="2029"/>
      <c r="DC225" s="2029"/>
      <c r="DD225" s="2029"/>
      <c r="DE225" s="2029"/>
      <c r="DF225" s="2029"/>
      <c r="DG225" s="2029"/>
      <c r="DH225" s="2029"/>
      <c r="DI225" s="2029"/>
      <c r="DJ225" s="2029"/>
      <c r="DK225" s="2029"/>
      <c r="DL225" s="2029"/>
      <c r="DM225" s="2029"/>
      <c r="DN225" s="2029"/>
      <c r="DO225" s="2029"/>
      <c r="DP225" s="2029"/>
      <c r="DQ225" s="2029"/>
      <c r="DR225" s="2029"/>
      <c r="DS225" s="2029"/>
      <c r="DT225" s="2029"/>
      <c r="DU225" s="2029"/>
      <c r="DV225" s="2029"/>
      <c r="DW225" s="2029"/>
      <c r="DX225" s="2029"/>
      <c r="DY225" s="2029"/>
      <c r="DZ225" s="2029"/>
      <c r="EA225" s="2029"/>
      <c r="EB225" s="2029"/>
      <c r="EC225" s="2029"/>
      <c r="ED225" s="2029"/>
      <c r="EE225" s="2029"/>
      <c r="EF225" s="2029"/>
      <c r="EG225" s="2029"/>
      <c r="EH225" s="2029"/>
      <c r="EI225" s="2029"/>
      <c r="EJ225" s="2029"/>
      <c r="EK225" s="2029"/>
      <c r="EL225" s="2029"/>
      <c r="EM225" s="2029"/>
      <c r="EN225" s="2029"/>
      <c r="EO225" s="2029"/>
      <c r="EP225" s="2029"/>
      <c r="EQ225" s="2029"/>
      <c r="ER225" s="2029"/>
      <c r="ES225" s="2029"/>
      <c r="ET225" s="2029"/>
      <c r="EU225" s="2029"/>
      <c r="EV225" s="2029"/>
      <c r="EW225" s="2029"/>
      <c r="EX225" s="2029"/>
      <c r="EY225" s="2029"/>
      <c r="EZ225" s="2029"/>
      <c r="FA225" s="2029"/>
      <c r="FB225" s="2029"/>
      <c r="FC225" s="2029"/>
      <c r="FD225" s="2029"/>
      <c r="FE225" s="2029"/>
      <c r="FF225" s="2029"/>
      <c r="FG225" s="2029"/>
      <c r="FH225" s="2029"/>
      <c r="FI225" s="2029"/>
      <c r="FJ225" s="2029"/>
    </row>
    <row r="226" spans="8:166" s="1286" customFormat="1" ht="18" customHeight="1">
      <c r="H226" s="2029"/>
      <c r="I226" s="2029"/>
      <c r="J226" s="2029"/>
      <c r="K226" s="2029"/>
      <c r="L226" s="2029"/>
      <c r="M226" s="2029"/>
      <c r="N226" s="2029"/>
      <c r="O226" s="2029"/>
      <c r="P226" s="2029"/>
      <c r="Q226" s="2029"/>
      <c r="R226" s="2029"/>
      <c r="S226" s="2029"/>
      <c r="T226" s="2029"/>
      <c r="U226" s="2029"/>
      <c r="V226" s="2029"/>
      <c r="W226" s="2029"/>
      <c r="X226" s="2029"/>
      <c r="Y226" s="2029"/>
      <c r="Z226" s="2029"/>
      <c r="AA226" s="2029"/>
      <c r="AB226" s="2029"/>
      <c r="AC226" s="2029"/>
      <c r="AD226" s="2029"/>
      <c r="AE226" s="2029"/>
      <c r="AF226" s="2029"/>
      <c r="AG226" s="2029"/>
      <c r="AH226" s="2029"/>
      <c r="AI226" s="2029"/>
      <c r="AJ226" s="2029"/>
      <c r="AK226" s="2029"/>
      <c r="AL226" s="2029"/>
      <c r="AM226" s="2029"/>
      <c r="AN226" s="2029"/>
      <c r="AO226" s="2029"/>
      <c r="AP226" s="2029"/>
      <c r="AQ226" s="2029"/>
      <c r="AR226" s="2029"/>
      <c r="AS226" s="2029"/>
      <c r="AT226" s="2029"/>
      <c r="AU226" s="2029"/>
      <c r="AV226" s="2029"/>
      <c r="AW226" s="2029"/>
      <c r="AX226" s="2029"/>
      <c r="AY226" s="2029"/>
      <c r="AZ226" s="2029"/>
      <c r="BA226" s="2029"/>
      <c r="BB226" s="2029"/>
      <c r="BC226" s="2029"/>
      <c r="BD226" s="2029"/>
      <c r="BE226" s="2029"/>
      <c r="BF226" s="2029"/>
      <c r="BG226" s="2029"/>
      <c r="BH226" s="2029"/>
      <c r="BI226" s="2029"/>
      <c r="BJ226" s="2029"/>
      <c r="BK226" s="2029"/>
      <c r="BL226" s="2029"/>
      <c r="BM226" s="2029"/>
      <c r="BN226" s="2029"/>
      <c r="BO226" s="2029"/>
      <c r="BP226" s="2029"/>
      <c r="BQ226" s="2029"/>
      <c r="BR226" s="2029"/>
      <c r="BS226" s="2029"/>
      <c r="BT226" s="2029"/>
      <c r="BU226" s="2029"/>
      <c r="BV226" s="2029"/>
      <c r="BW226" s="2029"/>
      <c r="BX226" s="2029"/>
      <c r="BY226" s="2029"/>
      <c r="BZ226" s="2029"/>
      <c r="CA226" s="2029"/>
      <c r="CB226" s="2029"/>
      <c r="CC226" s="2029"/>
      <c r="CD226" s="2029"/>
      <c r="CE226" s="2029"/>
      <c r="CF226" s="2029"/>
      <c r="CG226" s="2029"/>
      <c r="CH226" s="2029"/>
      <c r="CI226" s="2029"/>
      <c r="CJ226" s="2029"/>
      <c r="CK226" s="2029"/>
      <c r="CL226" s="2029"/>
      <c r="CM226" s="2029"/>
      <c r="CN226" s="2029"/>
      <c r="CO226" s="2029"/>
      <c r="CP226" s="2029"/>
      <c r="CQ226" s="2029"/>
      <c r="CR226" s="2029"/>
      <c r="CS226" s="2029"/>
      <c r="CT226" s="2029"/>
      <c r="CU226" s="2029"/>
      <c r="CV226" s="2029"/>
      <c r="CW226" s="2029"/>
      <c r="CX226" s="2029"/>
      <c r="CY226" s="2029"/>
      <c r="CZ226" s="2029"/>
      <c r="DA226" s="2029"/>
      <c r="DB226" s="2029"/>
      <c r="DC226" s="2029"/>
      <c r="DD226" s="2029"/>
      <c r="DE226" s="2029"/>
      <c r="DF226" s="2029"/>
      <c r="DG226" s="2029"/>
      <c r="DH226" s="2029"/>
      <c r="DI226" s="2029"/>
      <c r="DJ226" s="2029"/>
      <c r="DK226" s="2029"/>
      <c r="DL226" s="2029"/>
      <c r="DM226" s="2029"/>
      <c r="DN226" s="2029"/>
      <c r="DO226" s="2029"/>
      <c r="DP226" s="2029"/>
      <c r="DQ226" s="2029"/>
      <c r="DR226" s="2029"/>
      <c r="DS226" s="2029"/>
      <c r="DT226" s="2029"/>
      <c r="DU226" s="2029"/>
      <c r="DV226" s="2029"/>
      <c r="DW226" s="2029"/>
      <c r="DX226" s="2029"/>
      <c r="DY226" s="2029"/>
      <c r="DZ226" s="2029"/>
      <c r="EA226" s="2029"/>
      <c r="EB226" s="2029"/>
      <c r="EC226" s="2029"/>
      <c r="ED226" s="2029"/>
      <c r="EE226" s="2029"/>
      <c r="EF226" s="2029"/>
      <c r="EG226" s="2029"/>
      <c r="EH226" s="2029"/>
      <c r="EI226" s="2029"/>
      <c r="EJ226" s="2029"/>
      <c r="EK226" s="2029"/>
      <c r="EL226" s="2029"/>
      <c r="EM226" s="2029"/>
      <c r="EN226" s="2029"/>
      <c r="EO226" s="2029"/>
      <c r="EP226" s="2029"/>
      <c r="EQ226" s="2029"/>
      <c r="ER226" s="2029"/>
      <c r="ES226" s="2029"/>
      <c r="ET226" s="2029"/>
      <c r="EU226" s="2029"/>
      <c r="EV226" s="2029"/>
      <c r="EW226" s="2029"/>
      <c r="EX226" s="2029"/>
      <c r="EY226" s="2029"/>
      <c r="EZ226" s="2029"/>
      <c r="FA226" s="2029"/>
      <c r="FB226" s="2029"/>
      <c r="FC226" s="2029"/>
      <c r="FD226" s="2029"/>
      <c r="FE226" s="2029"/>
      <c r="FF226" s="2029"/>
      <c r="FG226" s="2029"/>
      <c r="FH226" s="2029"/>
      <c r="FI226" s="2029"/>
      <c r="FJ226" s="2029"/>
    </row>
    <row r="227" spans="8:166" s="1286" customFormat="1" ht="18" customHeight="1">
      <c r="H227" s="2029"/>
      <c r="I227" s="2029"/>
      <c r="J227" s="2029"/>
      <c r="K227" s="2029"/>
      <c r="L227" s="2029"/>
      <c r="M227" s="2029"/>
      <c r="N227" s="2029"/>
      <c r="O227" s="2029"/>
      <c r="P227" s="2029"/>
      <c r="Q227" s="2029"/>
      <c r="R227" s="2029"/>
      <c r="S227" s="2029"/>
      <c r="T227" s="2029"/>
      <c r="U227" s="2029"/>
      <c r="V227" s="2029"/>
      <c r="W227" s="2029"/>
      <c r="X227" s="2029"/>
      <c r="Y227" s="2029"/>
      <c r="Z227" s="2029"/>
      <c r="AA227" s="2029"/>
      <c r="AB227" s="2029"/>
      <c r="AC227" s="2029"/>
      <c r="AD227" s="2029"/>
      <c r="AE227" s="2029"/>
      <c r="AF227" s="2029"/>
      <c r="AG227" s="2029"/>
      <c r="AH227" s="2029"/>
      <c r="AI227" s="2029"/>
      <c r="AJ227" s="2029"/>
      <c r="AK227" s="2029"/>
      <c r="AL227" s="2029"/>
      <c r="AM227" s="2029"/>
      <c r="AN227" s="2029"/>
      <c r="AO227" s="2029"/>
      <c r="AP227" s="2029"/>
      <c r="AQ227" s="2029"/>
      <c r="AR227" s="2029"/>
      <c r="AS227" s="2029"/>
      <c r="AT227" s="2029"/>
      <c r="AU227" s="2029"/>
      <c r="AV227" s="2029"/>
      <c r="AW227" s="2029"/>
      <c r="AX227" s="2029"/>
      <c r="AY227" s="2029"/>
      <c r="AZ227" s="2029"/>
      <c r="BA227" s="2029"/>
      <c r="BB227" s="2029"/>
      <c r="BC227" s="2029"/>
      <c r="BD227" s="2029"/>
      <c r="BE227" s="2029"/>
      <c r="BF227" s="2029"/>
      <c r="BG227" s="2029"/>
      <c r="BH227" s="2029"/>
      <c r="BI227" s="2029"/>
      <c r="BJ227" s="2029"/>
      <c r="BK227" s="2029"/>
      <c r="BL227" s="2029"/>
      <c r="BM227" s="2029"/>
      <c r="BN227" s="2029"/>
      <c r="BO227" s="2029"/>
      <c r="BP227" s="2029"/>
      <c r="BQ227" s="2029"/>
      <c r="BR227" s="2029"/>
      <c r="BS227" s="2029"/>
      <c r="BT227" s="2029"/>
      <c r="BU227" s="2029"/>
      <c r="BV227" s="2029"/>
      <c r="BW227" s="2029"/>
      <c r="BX227" s="2029"/>
      <c r="BY227" s="2029"/>
      <c r="BZ227" s="2029"/>
      <c r="CA227" s="2029"/>
      <c r="CB227" s="2029"/>
      <c r="CC227" s="2029"/>
      <c r="CD227" s="2029"/>
      <c r="CE227" s="2029"/>
      <c r="CF227" s="2029"/>
      <c r="CG227" s="2029"/>
      <c r="CH227" s="2029"/>
      <c r="CI227" s="2029"/>
      <c r="CJ227" s="2029"/>
      <c r="CK227" s="2029"/>
      <c r="CL227" s="2029"/>
      <c r="CM227" s="2029"/>
      <c r="CN227" s="2029"/>
      <c r="CO227" s="2029"/>
      <c r="CP227" s="2029"/>
      <c r="CQ227" s="2029"/>
      <c r="CR227" s="2029"/>
      <c r="CS227" s="2029"/>
      <c r="CT227" s="2029"/>
      <c r="CU227" s="2029"/>
      <c r="CV227" s="2029"/>
      <c r="CW227" s="2029"/>
      <c r="CX227" s="2029"/>
      <c r="CY227" s="2029"/>
      <c r="CZ227" s="2029"/>
      <c r="DA227" s="2029"/>
      <c r="DB227" s="2029"/>
      <c r="DC227" s="2029"/>
      <c r="DD227" s="2029"/>
      <c r="DE227" s="2029"/>
      <c r="DF227" s="2029"/>
      <c r="DG227" s="2029"/>
      <c r="DH227" s="2029"/>
      <c r="DI227" s="2029"/>
      <c r="DJ227" s="2029"/>
      <c r="DK227" s="2029"/>
      <c r="DL227" s="2029"/>
      <c r="DM227" s="2029"/>
      <c r="DN227" s="2029"/>
      <c r="DO227" s="2029"/>
      <c r="DP227" s="2029"/>
      <c r="DQ227" s="2029"/>
      <c r="DR227" s="2029"/>
      <c r="DS227" s="2029"/>
      <c r="DT227" s="2029"/>
      <c r="DU227" s="2029"/>
      <c r="DV227" s="2029"/>
      <c r="DW227" s="2029"/>
      <c r="DX227" s="2029"/>
      <c r="DY227" s="2029"/>
      <c r="DZ227" s="2029"/>
      <c r="EA227" s="2029"/>
      <c r="EB227" s="2029"/>
      <c r="EC227" s="2029"/>
      <c r="ED227" s="2029"/>
      <c r="EE227" s="2029"/>
      <c r="EF227" s="2029"/>
      <c r="EG227" s="2029"/>
      <c r="EH227" s="2029"/>
      <c r="EI227" s="2029"/>
      <c r="EJ227" s="2029"/>
      <c r="EK227" s="2029"/>
      <c r="EL227" s="2029"/>
      <c r="EM227" s="2029"/>
      <c r="EN227" s="2029"/>
      <c r="EO227" s="2029"/>
      <c r="EP227" s="2029"/>
      <c r="EQ227" s="2029"/>
      <c r="ER227" s="2029"/>
      <c r="ES227" s="2029"/>
      <c r="ET227" s="2029"/>
      <c r="EU227" s="2029"/>
      <c r="EV227" s="2029"/>
      <c r="EW227" s="2029"/>
      <c r="EX227" s="2029"/>
      <c r="EY227" s="2029"/>
      <c r="EZ227" s="2029"/>
      <c r="FA227" s="2029"/>
      <c r="FB227" s="2029"/>
      <c r="FC227" s="2029"/>
      <c r="FD227" s="2029"/>
      <c r="FE227" s="2029"/>
      <c r="FF227" s="2029"/>
      <c r="FG227" s="2029"/>
      <c r="FH227" s="2029"/>
      <c r="FI227" s="2029"/>
      <c r="FJ227" s="2029"/>
    </row>
    <row r="228" spans="8:166" s="1286" customFormat="1" ht="18" customHeight="1">
      <c r="H228" s="2029"/>
      <c r="I228" s="2029"/>
      <c r="J228" s="2029"/>
      <c r="K228" s="2029"/>
      <c r="L228" s="2029"/>
      <c r="M228" s="2029"/>
      <c r="N228" s="2029"/>
      <c r="O228" s="2029"/>
      <c r="P228" s="2029"/>
      <c r="Q228" s="2029"/>
      <c r="R228" s="2029"/>
      <c r="S228" s="2029"/>
      <c r="T228" s="2029"/>
      <c r="U228" s="2029"/>
      <c r="V228" s="2029"/>
      <c r="W228" s="2029"/>
      <c r="X228" s="2029"/>
      <c r="Y228" s="2029"/>
      <c r="Z228" s="2029"/>
      <c r="AA228" s="2029"/>
      <c r="AB228" s="2029"/>
      <c r="AC228" s="2029"/>
      <c r="AD228" s="2029"/>
      <c r="AE228" s="2029"/>
      <c r="AF228" s="2029"/>
      <c r="AG228" s="2029"/>
      <c r="AH228" s="2029"/>
      <c r="AI228" s="2029"/>
      <c r="AJ228" s="2029"/>
      <c r="AK228" s="2029"/>
      <c r="AL228" s="2029"/>
      <c r="AM228" s="2029"/>
      <c r="AN228" s="2029"/>
      <c r="AO228" s="2029"/>
      <c r="AP228" s="2029"/>
      <c r="AQ228" s="2029"/>
      <c r="AR228" s="2029"/>
      <c r="AS228" s="2029"/>
      <c r="AT228" s="2029"/>
      <c r="AU228" s="2029"/>
      <c r="AV228" s="2029"/>
      <c r="AW228" s="2029"/>
      <c r="AX228" s="2029"/>
      <c r="AY228" s="2029"/>
      <c r="AZ228" s="2029"/>
      <c r="BA228" s="2029"/>
      <c r="BB228" s="2029"/>
      <c r="BC228" s="2029"/>
      <c r="BD228" s="2029"/>
      <c r="BE228" s="2029"/>
      <c r="BF228" s="2029"/>
      <c r="BG228" s="2029"/>
      <c r="BH228" s="2029"/>
      <c r="BI228" s="2029"/>
      <c r="BJ228" s="2029"/>
      <c r="BK228" s="2029"/>
      <c r="BL228" s="2029"/>
      <c r="BM228" s="2029"/>
      <c r="BN228" s="2029"/>
      <c r="BO228" s="2029"/>
      <c r="BP228" s="2029"/>
      <c r="BQ228" s="2029"/>
      <c r="BR228" s="2029"/>
      <c r="BS228" s="2029"/>
      <c r="BT228" s="2029"/>
      <c r="BU228" s="2029"/>
      <c r="BV228" s="2029"/>
      <c r="BW228" s="2029"/>
      <c r="BX228" s="2029"/>
      <c r="BY228" s="2029"/>
      <c r="BZ228" s="2029"/>
      <c r="CA228" s="2029"/>
      <c r="CB228" s="2029"/>
      <c r="CC228" s="2029"/>
      <c r="CD228" s="2029"/>
      <c r="CE228" s="2029"/>
      <c r="CF228" s="2029"/>
      <c r="CG228" s="2029"/>
      <c r="CH228" s="2029"/>
      <c r="CI228" s="2029"/>
      <c r="CJ228" s="2029"/>
      <c r="CK228" s="2029"/>
      <c r="CL228" s="2029"/>
      <c r="CM228" s="2029"/>
      <c r="CN228" s="2029"/>
      <c r="CO228" s="2029"/>
      <c r="CP228" s="2029"/>
      <c r="CQ228" s="2029"/>
      <c r="CR228" s="2029"/>
      <c r="CS228" s="2029"/>
      <c r="CT228" s="2029"/>
      <c r="CU228" s="2029"/>
      <c r="CV228" s="2029"/>
      <c r="CW228" s="2029"/>
      <c r="CX228" s="2029"/>
      <c r="CY228" s="2029"/>
      <c r="CZ228" s="2029"/>
      <c r="DA228" s="2029"/>
      <c r="DB228" s="2029"/>
      <c r="DC228" s="2029"/>
      <c r="DD228" s="2029"/>
      <c r="DE228" s="2029"/>
      <c r="DF228" s="2029"/>
      <c r="DG228" s="2029"/>
      <c r="DH228" s="2029"/>
      <c r="DI228" s="2029"/>
      <c r="DJ228" s="2029"/>
      <c r="DK228" s="2029"/>
      <c r="DL228" s="2029"/>
      <c r="DM228" s="2029"/>
      <c r="DN228" s="2029"/>
      <c r="DO228" s="2029"/>
      <c r="DP228" s="2029"/>
      <c r="DQ228" s="2029"/>
      <c r="DR228" s="2029"/>
      <c r="DS228" s="2029"/>
      <c r="DT228" s="2029"/>
      <c r="DU228" s="2029"/>
      <c r="DV228" s="2029"/>
      <c r="DW228" s="2029"/>
      <c r="DX228" s="2029"/>
      <c r="DY228" s="2029"/>
      <c r="DZ228" s="2029"/>
      <c r="EA228" s="2029"/>
      <c r="EB228" s="2029"/>
      <c r="EC228" s="2029"/>
      <c r="ED228" s="2029"/>
      <c r="EE228" s="2029"/>
      <c r="EF228" s="2029"/>
      <c r="EG228" s="2029"/>
      <c r="EH228" s="2029"/>
      <c r="EI228" s="2029"/>
      <c r="EJ228" s="2029"/>
      <c r="EK228" s="2029"/>
      <c r="EL228" s="2029"/>
      <c r="EM228" s="2029"/>
      <c r="EN228" s="2029"/>
      <c r="EO228" s="2029"/>
      <c r="EP228" s="2029"/>
      <c r="EQ228" s="2029"/>
      <c r="ER228" s="2029"/>
      <c r="ES228" s="2029"/>
      <c r="ET228" s="2029"/>
      <c r="EU228" s="2029"/>
      <c r="EV228" s="2029"/>
      <c r="EW228" s="2029"/>
      <c r="EX228" s="2029"/>
      <c r="EY228" s="2029"/>
      <c r="EZ228" s="2029"/>
      <c r="FA228" s="2029"/>
      <c r="FB228" s="2029"/>
      <c r="FC228" s="2029"/>
      <c r="FD228" s="2029"/>
      <c r="FE228" s="2029"/>
      <c r="FF228" s="2029"/>
      <c r="FG228" s="2029"/>
      <c r="FH228" s="2029"/>
      <c r="FI228" s="2029"/>
      <c r="FJ228" s="2029"/>
    </row>
    <row r="229" spans="8:166" s="1286" customFormat="1" ht="18" customHeight="1">
      <c r="H229" s="2029"/>
      <c r="I229" s="2029"/>
      <c r="J229" s="2029"/>
      <c r="K229" s="2029"/>
      <c r="L229" s="2029"/>
      <c r="M229" s="2029"/>
      <c r="N229" s="2029"/>
      <c r="O229" s="2029"/>
      <c r="P229" s="2029"/>
      <c r="Q229" s="2029"/>
      <c r="R229" s="2029"/>
      <c r="S229" s="2029"/>
      <c r="T229" s="2029"/>
      <c r="U229" s="2029"/>
      <c r="V229" s="2029"/>
      <c r="W229" s="2029"/>
      <c r="X229" s="2029"/>
      <c r="Y229" s="2029"/>
      <c r="Z229" s="2029"/>
      <c r="AA229" s="2029"/>
      <c r="AB229" s="2029"/>
      <c r="AC229" s="2029"/>
      <c r="AD229" s="2029"/>
      <c r="AE229" s="2029"/>
      <c r="AF229" s="2029"/>
      <c r="AG229" s="2029"/>
      <c r="AH229" s="2029"/>
      <c r="AI229" s="2029"/>
      <c r="AJ229" s="2029"/>
      <c r="AK229" s="2029"/>
      <c r="AL229" s="2029"/>
      <c r="AM229" s="2029"/>
      <c r="AN229" s="2029"/>
      <c r="AO229" s="2029"/>
      <c r="AP229" s="2029"/>
      <c r="AQ229" s="2029"/>
      <c r="AR229" s="2029"/>
      <c r="AS229" s="2029"/>
      <c r="AT229" s="2029"/>
      <c r="AU229" s="2029"/>
      <c r="AV229" s="2029"/>
      <c r="AW229" s="2029"/>
      <c r="AX229" s="2029"/>
      <c r="AY229" s="2029"/>
      <c r="AZ229" s="2029"/>
      <c r="BA229" s="2029"/>
      <c r="BB229" s="2029"/>
      <c r="BC229" s="2029"/>
      <c r="BD229" s="2029"/>
      <c r="BE229" s="2029"/>
      <c r="BF229" s="2029"/>
      <c r="BG229" s="2029"/>
      <c r="BH229" s="2029"/>
      <c r="BI229" s="2029"/>
      <c r="BJ229" s="2029"/>
      <c r="BK229" s="2029"/>
      <c r="BL229" s="2029"/>
      <c r="BM229" s="2029"/>
      <c r="BN229" s="2029"/>
      <c r="BO229" s="2029"/>
      <c r="BP229" s="2029"/>
      <c r="BQ229" s="2029"/>
      <c r="BR229" s="2029"/>
      <c r="BS229" s="2029"/>
      <c r="BT229" s="2029"/>
      <c r="BU229" s="2029"/>
      <c r="BV229" s="2029"/>
      <c r="BW229" s="2029"/>
      <c r="BX229" s="2029"/>
      <c r="BY229" s="2029"/>
      <c r="BZ229" s="2029"/>
      <c r="CA229" s="2029"/>
      <c r="CB229" s="2029"/>
      <c r="CC229" s="2029"/>
      <c r="CD229" s="2029"/>
      <c r="CE229" s="2029"/>
      <c r="CF229" s="2029"/>
      <c r="CG229" s="2029"/>
      <c r="CH229" s="2029"/>
      <c r="CI229" s="2029"/>
      <c r="CJ229" s="2029"/>
      <c r="CK229" s="2029"/>
      <c r="CL229" s="2029"/>
      <c r="CM229" s="2029"/>
      <c r="CN229" s="2029"/>
      <c r="CO229" s="2029"/>
      <c r="CP229" s="2029"/>
      <c r="CQ229" s="2029"/>
      <c r="CR229" s="2029"/>
      <c r="CS229" s="2029"/>
      <c r="CT229" s="2029"/>
      <c r="CU229" s="2029"/>
      <c r="CV229" s="2029"/>
      <c r="CW229" s="2029"/>
      <c r="CX229" s="2029"/>
      <c r="CY229" s="2029"/>
      <c r="CZ229" s="2029"/>
      <c r="DA229" s="2029"/>
      <c r="DB229" s="2029"/>
      <c r="DC229" s="2029"/>
      <c r="DD229" s="2029"/>
      <c r="DE229" s="2029"/>
      <c r="DF229" s="2029"/>
      <c r="DG229" s="2029"/>
      <c r="DH229" s="2029"/>
      <c r="DI229" s="2029"/>
      <c r="DJ229" s="2029"/>
      <c r="DK229" s="2029"/>
      <c r="DL229" s="2029"/>
      <c r="DM229" s="2029"/>
      <c r="DN229" s="2029"/>
      <c r="DO229" s="2029"/>
      <c r="DP229" s="2029"/>
      <c r="DQ229" s="2029"/>
      <c r="DR229" s="2029"/>
      <c r="DS229" s="2029"/>
      <c r="DT229" s="2029"/>
      <c r="DU229" s="2029"/>
      <c r="DV229" s="2029"/>
      <c r="DW229" s="2029"/>
      <c r="DX229" s="2029"/>
      <c r="DY229" s="2029"/>
      <c r="DZ229" s="2029"/>
      <c r="EA229" s="2029"/>
      <c r="EB229" s="2029"/>
      <c r="EC229" s="2029"/>
      <c r="ED229" s="2029"/>
      <c r="EE229" s="2029"/>
      <c r="EF229" s="2029"/>
      <c r="EG229" s="2029"/>
      <c r="EH229" s="2029"/>
      <c r="EI229" s="2029"/>
      <c r="EJ229" s="2029"/>
      <c r="EK229" s="2029"/>
      <c r="EL229" s="2029"/>
      <c r="EM229" s="2029"/>
      <c r="EN229" s="2029"/>
      <c r="EO229" s="2029"/>
      <c r="EP229" s="2029"/>
      <c r="EQ229" s="2029"/>
      <c r="ER229" s="2029"/>
      <c r="ES229" s="2029"/>
      <c r="ET229" s="2029"/>
      <c r="EU229" s="2029"/>
      <c r="EV229" s="2029"/>
      <c r="EW229" s="2029"/>
      <c r="EX229" s="2029"/>
      <c r="EY229" s="2029"/>
      <c r="EZ229" s="2029"/>
      <c r="FA229" s="2029"/>
      <c r="FB229" s="2029"/>
      <c r="FC229" s="2029"/>
      <c r="FD229" s="2029"/>
      <c r="FE229" s="2029"/>
      <c r="FF229" s="2029"/>
      <c r="FG229" s="2029"/>
      <c r="FH229" s="2029"/>
      <c r="FI229" s="2029"/>
      <c r="FJ229" s="2029"/>
    </row>
    <row r="230" spans="8:166" s="1286" customFormat="1" ht="18" customHeight="1">
      <c r="H230" s="2029"/>
      <c r="I230" s="2029"/>
      <c r="J230" s="2029"/>
      <c r="K230" s="2029"/>
      <c r="L230" s="2029"/>
      <c r="M230" s="2029"/>
      <c r="N230" s="2029"/>
      <c r="O230" s="2029"/>
      <c r="P230" s="2029"/>
      <c r="Q230" s="2029"/>
      <c r="R230" s="2029"/>
      <c r="S230" s="2029"/>
      <c r="T230" s="2029"/>
      <c r="U230" s="2029"/>
      <c r="V230" s="2029"/>
      <c r="W230" s="2029"/>
      <c r="X230" s="2029"/>
      <c r="Y230" s="2029"/>
      <c r="Z230" s="2029"/>
      <c r="AA230" s="2029"/>
      <c r="AB230" s="2029"/>
      <c r="AC230" s="2029"/>
      <c r="AD230" s="2029"/>
      <c r="AE230" s="2029"/>
      <c r="AF230" s="2029"/>
      <c r="AG230" s="2029"/>
      <c r="AH230" s="2029"/>
      <c r="AI230" s="2029"/>
      <c r="AJ230" s="2029"/>
      <c r="AK230" s="2029"/>
      <c r="AL230" s="2029"/>
      <c r="AM230" s="2029"/>
      <c r="AN230" s="2029"/>
      <c r="AO230" s="2029"/>
      <c r="AP230" s="2029"/>
      <c r="AQ230" s="2029"/>
      <c r="AR230" s="2029"/>
      <c r="AS230" s="2029"/>
      <c r="AT230" s="2029"/>
      <c r="AU230" s="2029"/>
      <c r="AV230" s="2029"/>
      <c r="AW230" s="2029"/>
      <c r="AX230" s="2029"/>
      <c r="AY230" s="2029"/>
      <c r="AZ230" s="2029"/>
      <c r="BA230" s="2029"/>
      <c r="BB230" s="2029"/>
      <c r="BC230" s="2029"/>
      <c r="BD230" s="2029"/>
      <c r="BE230" s="2029"/>
      <c r="BF230" s="2029"/>
      <c r="BG230" s="2029"/>
      <c r="BH230" s="2029"/>
      <c r="BI230" s="2029"/>
      <c r="BJ230" s="2029"/>
      <c r="BK230" s="2029"/>
      <c r="BL230" s="2029"/>
      <c r="BM230" s="2029"/>
      <c r="BN230" s="2029"/>
      <c r="BO230" s="2029"/>
      <c r="BP230" s="2029"/>
      <c r="BQ230" s="2029"/>
      <c r="BR230" s="2029"/>
      <c r="BS230" s="2029"/>
      <c r="BT230" s="2029"/>
      <c r="BU230" s="2029"/>
      <c r="BV230" s="2029"/>
      <c r="BW230" s="2029"/>
      <c r="BX230" s="2029"/>
      <c r="BY230" s="2029"/>
      <c r="BZ230" s="2029"/>
      <c r="CA230" s="2029"/>
      <c r="CB230" s="2029"/>
      <c r="CC230" s="2029"/>
      <c r="CD230" s="2029"/>
      <c r="CE230" s="2029"/>
      <c r="CF230" s="2029"/>
      <c r="CG230" s="2029"/>
      <c r="CH230" s="2029"/>
      <c r="CI230" s="2029"/>
      <c r="CJ230" s="2029"/>
      <c r="CK230" s="2029"/>
      <c r="CL230" s="2029"/>
      <c r="CM230" s="2029"/>
      <c r="CN230" s="2029"/>
      <c r="CO230" s="2029"/>
      <c r="CP230" s="2029"/>
      <c r="CQ230" s="2029"/>
      <c r="CR230" s="2029"/>
      <c r="CS230" s="2029"/>
      <c r="CT230" s="2029"/>
      <c r="CU230" s="2029"/>
      <c r="CV230" s="2029"/>
      <c r="CW230" s="2029"/>
      <c r="CX230" s="2029"/>
      <c r="CY230" s="2029"/>
      <c r="CZ230" s="2029"/>
      <c r="DA230" s="2029"/>
      <c r="DB230" s="2029"/>
      <c r="DC230" s="2029"/>
      <c r="DD230" s="2029"/>
      <c r="DE230" s="2029"/>
      <c r="DF230" s="2029"/>
      <c r="DG230" s="2029"/>
      <c r="DH230" s="2029"/>
      <c r="DI230" s="2029"/>
      <c r="DJ230" s="2029"/>
      <c r="DK230" s="2029"/>
      <c r="DL230" s="2029"/>
      <c r="DM230" s="2029"/>
      <c r="DN230" s="2029"/>
      <c r="DO230" s="2029"/>
      <c r="DP230" s="2029"/>
      <c r="DQ230" s="2029"/>
      <c r="DR230" s="2029"/>
      <c r="DS230" s="2029"/>
      <c r="DT230" s="2029"/>
      <c r="DU230" s="2029"/>
      <c r="DV230" s="2029"/>
      <c r="DW230" s="2029"/>
      <c r="DX230" s="2029"/>
      <c r="DY230" s="2029"/>
      <c r="DZ230" s="2029"/>
      <c r="EA230" s="2029"/>
      <c r="EB230" s="2029"/>
      <c r="EC230" s="2029"/>
      <c r="ED230" s="2029"/>
      <c r="EE230" s="2029"/>
      <c r="EF230" s="2029"/>
      <c r="EG230" s="2029"/>
      <c r="EH230" s="2029"/>
      <c r="EI230" s="2029"/>
      <c r="EJ230" s="2029"/>
      <c r="EK230" s="2029"/>
      <c r="EL230" s="2029"/>
      <c r="EM230" s="2029"/>
      <c r="EN230" s="2029"/>
      <c r="EO230" s="2029"/>
      <c r="EP230" s="2029"/>
      <c r="EQ230" s="2029"/>
      <c r="ER230" s="2029"/>
      <c r="ES230" s="2029"/>
      <c r="ET230" s="2029"/>
      <c r="EU230" s="2029"/>
      <c r="EV230" s="2029"/>
      <c r="EW230" s="2029"/>
      <c r="EX230" s="2029"/>
      <c r="EY230" s="2029"/>
      <c r="EZ230" s="2029"/>
      <c r="FA230" s="2029"/>
      <c r="FB230" s="2029"/>
      <c r="FC230" s="2029"/>
      <c r="FD230" s="2029"/>
      <c r="FE230" s="2029"/>
      <c r="FF230" s="2029"/>
      <c r="FG230" s="2029"/>
      <c r="FH230" s="2029"/>
      <c r="FI230" s="2029"/>
      <c r="FJ230" s="2029"/>
    </row>
    <row r="231" spans="8:166" s="1286" customFormat="1">
      <c r="H231" s="2029"/>
      <c r="I231" s="2029"/>
      <c r="J231" s="2029"/>
      <c r="K231" s="2029"/>
      <c r="L231" s="2029"/>
      <c r="M231" s="2029"/>
      <c r="N231" s="2029"/>
      <c r="O231" s="2029"/>
      <c r="P231" s="2029"/>
      <c r="Q231" s="2029"/>
      <c r="R231" s="2029"/>
      <c r="S231" s="2029"/>
      <c r="T231" s="2029"/>
      <c r="U231" s="2029"/>
      <c r="V231" s="2029"/>
      <c r="W231" s="2029"/>
      <c r="X231" s="2029"/>
      <c r="Y231" s="2029"/>
      <c r="Z231" s="2029"/>
      <c r="AA231" s="2029"/>
      <c r="AB231" s="2029"/>
      <c r="AC231" s="2029"/>
      <c r="AD231" s="2029"/>
      <c r="AE231" s="2029"/>
      <c r="AF231" s="2029"/>
      <c r="AG231" s="2029"/>
      <c r="AH231" s="2029"/>
      <c r="AI231" s="2029"/>
      <c r="AJ231" s="2029"/>
      <c r="AK231" s="2029"/>
      <c r="AL231" s="2029"/>
      <c r="AM231" s="2029"/>
      <c r="AN231" s="2029"/>
      <c r="AO231" s="2029"/>
      <c r="AP231" s="2029"/>
      <c r="AQ231" s="2029"/>
      <c r="AR231" s="2029"/>
      <c r="AS231" s="2029"/>
      <c r="AT231" s="2029"/>
      <c r="AU231" s="2029"/>
      <c r="AV231" s="2029"/>
      <c r="AW231" s="2029"/>
      <c r="AX231" s="2029"/>
      <c r="AY231" s="2029"/>
      <c r="AZ231" s="2029"/>
      <c r="BA231" s="2029"/>
      <c r="BB231" s="2029"/>
      <c r="BC231" s="2029"/>
      <c r="BD231" s="2029"/>
      <c r="BE231" s="2029"/>
      <c r="BF231" s="2029"/>
      <c r="BG231" s="2029"/>
      <c r="BH231" s="2029"/>
      <c r="BI231" s="2029"/>
      <c r="BJ231" s="2029"/>
      <c r="BK231" s="2029"/>
      <c r="BL231" s="2029"/>
      <c r="BM231" s="2029"/>
      <c r="BN231" s="2029"/>
      <c r="BO231" s="2029"/>
      <c r="BP231" s="2029"/>
      <c r="BQ231" s="2029"/>
      <c r="BR231" s="2029"/>
      <c r="BS231" s="2029"/>
      <c r="BT231" s="2029"/>
      <c r="BU231" s="2029"/>
      <c r="BV231" s="2029"/>
      <c r="BW231" s="2029"/>
      <c r="BX231" s="2029"/>
      <c r="BY231" s="2029"/>
      <c r="BZ231" s="2029"/>
      <c r="CA231" s="2029"/>
      <c r="CB231" s="2029"/>
      <c r="CC231" s="2029"/>
      <c r="CD231" s="2029"/>
      <c r="CE231" s="2029"/>
      <c r="CF231" s="2029"/>
      <c r="CG231" s="2029"/>
      <c r="CH231" s="2029"/>
      <c r="CI231" s="2029"/>
      <c r="CJ231" s="2029"/>
      <c r="CK231" s="2029"/>
      <c r="CL231" s="2029"/>
      <c r="CM231" s="2029"/>
      <c r="CN231" s="2029"/>
      <c r="CO231" s="2029"/>
      <c r="CP231" s="2029"/>
      <c r="CQ231" s="2029"/>
      <c r="CR231" s="2029"/>
      <c r="CS231" s="2029"/>
      <c r="CT231" s="2029"/>
      <c r="CU231" s="2029"/>
      <c r="CV231" s="2029"/>
      <c r="CW231" s="2029"/>
      <c r="CX231" s="2029"/>
      <c r="CY231" s="2029"/>
      <c r="CZ231" s="2029"/>
      <c r="DA231" s="2029"/>
      <c r="DB231" s="2029"/>
      <c r="DC231" s="2029"/>
      <c r="DD231" s="2029"/>
      <c r="DE231" s="2029"/>
      <c r="DF231" s="2029"/>
      <c r="DG231" s="2029"/>
      <c r="DH231" s="2029"/>
      <c r="DI231" s="2029"/>
      <c r="DJ231" s="2029"/>
      <c r="DK231" s="2029"/>
      <c r="DL231" s="2029"/>
      <c r="DM231" s="2029"/>
      <c r="DN231" s="2029"/>
      <c r="DO231" s="2029"/>
      <c r="DP231" s="2029"/>
      <c r="DQ231" s="2029"/>
      <c r="DR231" s="2029"/>
      <c r="DS231" s="2029"/>
      <c r="DT231" s="2029"/>
      <c r="DU231" s="2029"/>
      <c r="DV231" s="2029"/>
      <c r="DW231" s="2029"/>
      <c r="DX231" s="2029"/>
      <c r="DY231" s="2029"/>
      <c r="DZ231" s="2029"/>
      <c r="EA231" s="2029"/>
      <c r="EB231" s="2029"/>
      <c r="EC231" s="2029"/>
      <c r="ED231" s="2029"/>
      <c r="EE231" s="2029"/>
      <c r="EF231" s="2029"/>
      <c r="EG231" s="2029"/>
      <c r="EH231" s="2029"/>
      <c r="EI231" s="2029"/>
      <c r="EJ231" s="2029"/>
      <c r="EK231" s="2029"/>
      <c r="EL231" s="2029"/>
      <c r="EM231" s="2029"/>
      <c r="EN231" s="2029"/>
      <c r="EO231" s="2029"/>
      <c r="EP231" s="2029"/>
      <c r="EQ231" s="2029"/>
      <c r="ER231" s="2029"/>
      <c r="ES231" s="2029"/>
      <c r="ET231" s="2029"/>
      <c r="EU231" s="2029"/>
      <c r="EV231" s="2029"/>
      <c r="EW231" s="2029"/>
      <c r="EX231" s="2029"/>
      <c r="EY231" s="2029"/>
      <c r="EZ231" s="2029"/>
      <c r="FA231" s="2029"/>
      <c r="FB231" s="2029"/>
      <c r="FC231" s="2029"/>
      <c r="FD231" s="2029"/>
      <c r="FE231" s="2029"/>
      <c r="FF231" s="2029"/>
      <c r="FG231" s="2029"/>
      <c r="FH231" s="2029"/>
      <c r="FI231" s="2029"/>
      <c r="FJ231" s="2029"/>
    </row>
    <row r="232" spans="8:166" s="1286" customFormat="1" ht="18" customHeight="1">
      <c r="H232" s="2029"/>
      <c r="I232" s="2029"/>
      <c r="J232" s="2029"/>
      <c r="K232" s="2029"/>
      <c r="L232" s="2029"/>
      <c r="M232" s="2029"/>
      <c r="N232" s="2029"/>
      <c r="O232" s="2029"/>
      <c r="P232" s="2029"/>
      <c r="Q232" s="2029"/>
      <c r="R232" s="2029"/>
      <c r="S232" s="2029"/>
      <c r="T232" s="2029"/>
      <c r="U232" s="2029"/>
      <c r="V232" s="2029"/>
      <c r="W232" s="2029"/>
      <c r="X232" s="2029"/>
      <c r="Y232" s="2029"/>
      <c r="Z232" s="2029"/>
      <c r="AA232" s="2029"/>
      <c r="AB232" s="2029"/>
      <c r="AC232" s="2029"/>
      <c r="AD232" s="2029"/>
      <c r="AE232" s="2029"/>
      <c r="AF232" s="2029"/>
      <c r="AG232" s="2029"/>
      <c r="AH232" s="2029"/>
      <c r="AI232" s="2029"/>
      <c r="AJ232" s="2029"/>
      <c r="AK232" s="2029"/>
      <c r="AL232" s="2029"/>
      <c r="AM232" s="2029"/>
      <c r="AN232" s="2029"/>
      <c r="AO232" s="2029"/>
      <c r="AP232" s="2029"/>
      <c r="AQ232" s="2029"/>
      <c r="AR232" s="2029"/>
      <c r="AS232" s="2029"/>
      <c r="AT232" s="2029"/>
      <c r="AU232" s="2029"/>
      <c r="AV232" s="2029"/>
      <c r="AW232" s="2029"/>
      <c r="AX232" s="2029"/>
      <c r="AY232" s="2029"/>
      <c r="AZ232" s="2029"/>
      <c r="BA232" s="2029"/>
      <c r="BB232" s="2029"/>
      <c r="BC232" s="2029"/>
      <c r="BD232" s="2029"/>
      <c r="BE232" s="2029"/>
      <c r="BF232" s="2029"/>
      <c r="BG232" s="2029"/>
      <c r="BH232" s="2029"/>
      <c r="BI232" s="2029"/>
      <c r="BJ232" s="2029"/>
      <c r="BK232" s="2029"/>
      <c r="BL232" s="2029"/>
      <c r="BM232" s="2029"/>
      <c r="BN232" s="2029"/>
      <c r="BO232" s="2029"/>
      <c r="BP232" s="2029"/>
      <c r="BQ232" s="2029"/>
      <c r="BR232" s="2029"/>
      <c r="BS232" s="2029"/>
      <c r="BT232" s="2029"/>
      <c r="BU232" s="2029"/>
      <c r="BV232" s="2029"/>
      <c r="BW232" s="2029"/>
      <c r="BX232" s="2029"/>
      <c r="BY232" s="2029"/>
      <c r="BZ232" s="2029"/>
      <c r="CA232" s="2029"/>
      <c r="CB232" s="2029"/>
      <c r="CC232" s="2029"/>
      <c r="CD232" s="2029"/>
      <c r="CE232" s="2029"/>
      <c r="CF232" s="2029"/>
      <c r="CG232" s="2029"/>
      <c r="CH232" s="2029"/>
      <c r="CI232" s="2029"/>
      <c r="CJ232" s="2029"/>
      <c r="CK232" s="2029"/>
      <c r="CL232" s="2029"/>
      <c r="CM232" s="2029"/>
      <c r="CN232" s="2029"/>
      <c r="CO232" s="2029"/>
      <c r="CP232" s="2029"/>
      <c r="CQ232" s="2029"/>
      <c r="CR232" s="2029"/>
      <c r="CS232" s="2029"/>
      <c r="CT232" s="2029"/>
      <c r="CU232" s="2029"/>
      <c r="CV232" s="2029"/>
      <c r="CW232" s="2029"/>
      <c r="CX232" s="2029"/>
      <c r="CY232" s="2029"/>
      <c r="CZ232" s="2029"/>
      <c r="DA232" s="2029"/>
      <c r="DB232" s="2029"/>
      <c r="DC232" s="2029"/>
      <c r="DD232" s="2029"/>
      <c r="DE232" s="2029"/>
      <c r="DF232" s="2029"/>
      <c r="DG232" s="2029"/>
      <c r="DH232" s="2029"/>
      <c r="DI232" s="2029"/>
      <c r="DJ232" s="2029"/>
      <c r="DK232" s="2029"/>
      <c r="DL232" s="2029"/>
      <c r="DM232" s="2029"/>
      <c r="DN232" s="2029"/>
      <c r="DO232" s="2029"/>
      <c r="DP232" s="2029"/>
      <c r="DQ232" s="2029"/>
      <c r="DR232" s="2029"/>
      <c r="DS232" s="2029"/>
      <c r="DT232" s="2029"/>
      <c r="DU232" s="2029"/>
      <c r="DV232" s="2029"/>
      <c r="DW232" s="2029"/>
      <c r="DX232" s="2029"/>
      <c r="DY232" s="2029"/>
      <c r="DZ232" s="2029"/>
      <c r="EA232" s="2029"/>
      <c r="EB232" s="2029"/>
      <c r="EC232" s="2029"/>
      <c r="ED232" s="2029"/>
      <c r="EE232" s="2029"/>
      <c r="EF232" s="2029"/>
      <c r="EG232" s="2029"/>
      <c r="EH232" s="2029"/>
      <c r="EI232" s="2029"/>
      <c r="EJ232" s="2029"/>
      <c r="EK232" s="2029"/>
      <c r="EL232" s="2029"/>
      <c r="EM232" s="2029"/>
      <c r="EN232" s="2029"/>
      <c r="EO232" s="2029"/>
      <c r="EP232" s="2029"/>
      <c r="EQ232" s="2029"/>
      <c r="ER232" s="2029"/>
      <c r="ES232" s="2029"/>
      <c r="ET232" s="2029"/>
      <c r="EU232" s="2029"/>
      <c r="EV232" s="2029"/>
      <c r="EW232" s="2029"/>
      <c r="EX232" s="2029"/>
      <c r="EY232" s="2029"/>
      <c r="EZ232" s="2029"/>
      <c r="FA232" s="2029"/>
      <c r="FB232" s="2029"/>
      <c r="FC232" s="2029"/>
      <c r="FD232" s="2029"/>
      <c r="FE232" s="2029"/>
      <c r="FF232" s="2029"/>
      <c r="FG232" s="2029"/>
      <c r="FH232" s="2029"/>
      <c r="FI232" s="2029"/>
      <c r="FJ232" s="2029"/>
    </row>
    <row r="233" spans="8:166" s="1286" customFormat="1" ht="18" customHeight="1">
      <c r="H233" s="2029"/>
      <c r="I233" s="2029"/>
      <c r="J233" s="2029"/>
      <c r="K233" s="2029"/>
      <c r="L233" s="2029"/>
      <c r="M233" s="2029"/>
      <c r="N233" s="2029"/>
      <c r="O233" s="2029"/>
      <c r="P233" s="2029"/>
      <c r="Q233" s="2029"/>
      <c r="R233" s="2029"/>
      <c r="S233" s="2029"/>
      <c r="T233" s="2029"/>
      <c r="U233" s="2029"/>
      <c r="V233" s="2029"/>
      <c r="W233" s="2029"/>
      <c r="X233" s="2029"/>
      <c r="Y233" s="2029"/>
      <c r="Z233" s="2029"/>
      <c r="AA233" s="2029"/>
      <c r="AB233" s="2029"/>
      <c r="AC233" s="2029"/>
      <c r="AD233" s="2029"/>
      <c r="AE233" s="2029"/>
      <c r="AF233" s="2029"/>
      <c r="AG233" s="2029"/>
      <c r="AH233" s="2029"/>
      <c r="AI233" s="2029"/>
      <c r="AJ233" s="2029"/>
      <c r="AK233" s="2029"/>
      <c r="AL233" s="2029"/>
      <c r="AM233" s="2029"/>
      <c r="AN233" s="2029"/>
      <c r="AO233" s="2029"/>
      <c r="AP233" s="2029"/>
      <c r="AQ233" s="2029"/>
      <c r="AR233" s="2029"/>
      <c r="AS233" s="2029"/>
      <c r="AT233" s="2029"/>
      <c r="AU233" s="2029"/>
      <c r="AV233" s="2029"/>
      <c r="AW233" s="2029"/>
      <c r="AX233" s="2029"/>
      <c r="AY233" s="2029"/>
      <c r="AZ233" s="2029"/>
      <c r="BA233" s="2029"/>
      <c r="BB233" s="2029"/>
      <c r="BC233" s="2029"/>
      <c r="BD233" s="2029"/>
      <c r="BE233" s="2029"/>
      <c r="BF233" s="2029"/>
      <c r="BG233" s="2029"/>
      <c r="BH233" s="2029"/>
      <c r="BI233" s="2029"/>
      <c r="BJ233" s="2029"/>
      <c r="BK233" s="2029"/>
      <c r="BL233" s="2029"/>
      <c r="BM233" s="2029"/>
      <c r="BN233" s="2029"/>
      <c r="BO233" s="2029"/>
      <c r="BP233" s="2029"/>
      <c r="BQ233" s="2029"/>
      <c r="BR233" s="2029"/>
      <c r="BS233" s="2029"/>
      <c r="BT233" s="2029"/>
      <c r="BU233" s="2029"/>
      <c r="BV233" s="2029"/>
      <c r="BW233" s="2029"/>
      <c r="BX233" s="2029"/>
      <c r="BY233" s="2029"/>
      <c r="BZ233" s="2029"/>
      <c r="CA233" s="2029"/>
      <c r="CB233" s="2029"/>
      <c r="CC233" s="2029"/>
      <c r="CD233" s="2029"/>
      <c r="CE233" s="2029"/>
      <c r="CF233" s="2029"/>
      <c r="CG233" s="2029"/>
      <c r="CH233" s="2029"/>
      <c r="CI233" s="2029"/>
      <c r="CJ233" s="2029"/>
      <c r="CK233" s="2029"/>
      <c r="CL233" s="2029"/>
      <c r="CM233" s="2029"/>
      <c r="CN233" s="2029"/>
      <c r="CO233" s="2029"/>
      <c r="CP233" s="2029"/>
      <c r="CQ233" s="2029"/>
      <c r="CR233" s="2029"/>
      <c r="CS233" s="2029"/>
      <c r="CT233" s="2029"/>
      <c r="CU233" s="2029"/>
      <c r="CV233" s="2029"/>
      <c r="CW233" s="2029"/>
      <c r="CX233" s="2029"/>
      <c r="CY233" s="2029"/>
      <c r="CZ233" s="2029"/>
      <c r="DA233" s="2029"/>
      <c r="DB233" s="2029"/>
      <c r="DC233" s="2029"/>
      <c r="DD233" s="2029"/>
      <c r="DE233" s="2029"/>
      <c r="DF233" s="2029"/>
      <c r="DG233" s="2029"/>
      <c r="DH233" s="2029"/>
      <c r="DI233" s="2029"/>
      <c r="DJ233" s="2029"/>
      <c r="DK233" s="2029"/>
      <c r="DL233" s="2029"/>
      <c r="DM233" s="2029"/>
      <c r="DN233" s="2029"/>
      <c r="DO233" s="2029"/>
      <c r="DP233" s="2029"/>
      <c r="DQ233" s="2029"/>
      <c r="DR233" s="2029"/>
      <c r="DS233" s="2029"/>
      <c r="DT233" s="2029"/>
      <c r="DU233" s="2029"/>
      <c r="DV233" s="2029"/>
      <c r="DW233" s="2029"/>
      <c r="DX233" s="2029"/>
      <c r="DY233" s="2029"/>
      <c r="DZ233" s="2029"/>
      <c r="EA233" s="2029"/>
      <c r="EB233" s="2029"/>
      <c r="EC233" s="2029"/>
      <c r="ED233" s="2029"/>
      <c r="EE233" s="2029"/>
      <c r="EF233" s="2029"/>
      <c r="EG233" s="2029"/>
      <c r="EH233" s="2029"/>
      <c r="EI233" s="2029"/>
      <c r="EJ233" s="2029"/>
      <c r="EK233" s="2029"/>
      <c r="EL233" s="2029"/>
      <c r="EM233" s="2029"/>
      <c r="EN233" s="2029"/>
      <c r="EO233" s="2029"/>
      <c r="EP233" s="2029"/>
      <c r="EQ233" s="2029"/>
      <c r="ER233" s="2029"/>
      <c r="ES233" s="2029"/>
      <c r="ET233" s="2029"/>
      <c r="EU233" s="2029"/>
      <c r="EV233" s="2029"/>
      <c r="EW233" s="2029"/>
      <c r="EX233" s="2029"/>
      <c r="EY233" s="2029"/>
      <c r="EZ233" s="2029"/>
      <c r="FA233" s="2029"/>
      <c r="FB233" s="2029"/>
      <c r="FC233" s="2029"/>
      <c r="FD233" s="2029"/>
      <c r="FE233" s="2029"/>
      <c r="FF233" s="2029"/>
      <c r="FG233" s="2029"/>
      <c r="FH233" s="2029"/>
      <c r="FI233" s="2029"/>
      <c r="FJ233" s="2029"/>
    </row>
    <row r="234" spans="8:166" s="1286" customFormat="1" ht="18" customHeight="1">
      <c r="H234" s="2029"/>
      <c r="I234" s="2029"/>
      <c r="J234" s="2029"/>
      <c r="K234" s="2029"/>
      <c r="L234" s="2029"/>
      <c r="M234" s="2029"/>
      <c r="N234" s="2029"/>
      <c r="O234" s="2029"/>
      <c r="P234" s="2029"/>
      <c r="Q234" s="2029"/>
      <c r="R234" s="2029"/>
      <c r="S234" s="2029"/>
      <c r="T234" s="2029"/>
      <c r="U234" s="2029"/>
      <c r="V234" s="2029"/>
      <c r="W234" s="2029"/>
      <c r="X234" s="2029"/>
      <c r="Y234" s="2029"/>
      <c r="Z234" s="2029"/>
      <c r="AA234" s="2029"/>
      <c r="AB234" s="2029"/>
      <c r="AC234" s="2029"/>
      <c r="AD234" s="2029"/>
      <c r="AE234" s="2029"/>
      <c r="AF234" s="2029"/>
      <c r="AG234" s="2029"/>
      <c r="AH234" s="2029"/>
      <c r="AI234" s="2029"/>
      <c r="AJ234" s="2029"/>
      <c r="AK234" s="2029"/>
      <c r="AL234" s="2029"/>
      <c r="AM234" s="2029"/>
      <c r="AN234" s="2029"/>
      <c r="AO234" s="2029"/>
      <c r="AP234" s="2029"/>
      <c r="AQ234" s="2029"/>
      <c r="AR234" s="2029"/>
      <c r="AS234" s="2029"/>
      <c r="AT234" s="2029"/>
      <c r="AU234" s="2029"/>
      <c r="AV234" s="2029"/>
      <c r="AW234" s="2029"/>
      <c r="AX234" s="2029"/>
      <c r="AY234" s="2029"/>
      <c r="AZ234" s="2029"/>
      <c r="BA234" s="2029"/>
      <c r="BB234" s="2029"/>
      <c r="BC234" s="2029"/>
      <c r="BD234" s="2029"/>
      <c r="BE234" s="2029"/>
      <c r="BF234" s="2029"/>
      <c r="BG234" s="2029"/>
      <c r="BH234" s="2029"/>
      <c r="BI234" s="2029"/>
      <c r="BJ234" s="2029"/>
      <c r="BK234" s="2029"/>
      <c r="BL234" s="2029"/>
      <c r="BM234" s="2029"/>
      <c r="BN234" s="2029"/>
      <c r="BO234" s="2029"/>
      <c r="BP234" s="2029"/>
      <c r="BQ234" s="2029"/>
      <c r="BR234" s="2029"/>
      <c r="BS234" s="2029"/>
      <c r="BT234" s="2029"/>
      <c r="BU234" s="2029"/>
      <c r="BV234" s="2029"/>
      <c r="BW234" s="2029"/>
      <c r="BX234" s="2029"/>
      <c r="BY234" s="2029"/>
      <c r="BZ234" s="2029"/>
      <c r="CA234" s="2029"/>
      <c r="CB234" s="2029"/>
      <c r="CC234" s="2029"/>
      <c r="CD234" s="2029"/>
      <c r="CE234" s="2029"/>
      <c r="CF234" s="2029"/>
      <c r="CG234" s="2029"/>
      <c r="CH234" s="2029"/>
      <c r="CI234" s="2029"/>
      <c r="CJ234" s="2029"/>
      <c r="CK234" s="2029"/>
      <c r="CL234" s="2029"/>
      <c r="CM234" s="2029"/>
      <c r="CN234" s="2029"/>
      <c r="CO234" s="2029"/>
      <c r="CP234" s="2029"/>
      <c r="CQ234" s="2029"/>
      <c r="CR234" s="2029"/>
      <c r="CS234" s="2029"/>
      <c r="CT234" s="2029"/>
      <c r="CU234" s="2029"/>
      <c r="CV234" s="2029"/>
      <c r="CW234" s="2029"/>
      <c r="CX234" s="2029"/>
      <c r="CY234" s="2029"/>
      <c r="CZ234" s="2029"/>
      <c r="DA234" s="2029"/>
      <c r="DB234" s="2029"/>
      <c r="DC234" s="2029"/>
      <c r="DD234" s="2029"/>
      <c r="DE234" s="2029"/>
      <c r="DF234" s="2029"/>
      <c r="DG234" s="2029"/>
      <c r="DH234" s="2029"/>
      <c r="DI234" s="2029"/>
      <c r="DJ234" s="2029"/>
      <c r="DK234" s="2029"/>
      <c r="DL234" s="2029"/>
      <c r="DM234" s="2029"/>
      <c r="DN234" s="2029"/>
      <c r="DO234" s="2029"/>
      <c r="DP234" s="2029"/>
      <c r="DQ234" s="2029"/>
      <c r="DR234" s="2029"/>
      <c r="DS234" s="2029"/>
      <c r="DT234" s="2029"/>
      <c r="DU234" s="2029"/>
      <c r="DV234" s="2029"/>
      <c r="DW234" s="2029"/>
      <c r="DX234" s="2029"/>
      <c r="DY234" s="2029"/>
      <c r="DZ234" s="2029"/>
      <c r="EA234" s="2029"/>
      <c r="EB234" s="2029"/>
      <c r="EC234" s="2029"/>
      <c r="ED234" s="2029"/>
      <c r="EE234" s="2029"/>
      <c r="EF234" s="2029"/>
      <c r="EG234" s="2029"/>
      <c r="EH234" s="2029"/>
      <c r="EI234" s="2029"/>
      <c r="EJ234" s="2029"/>
      <c r="EK234" s="2029"/>
      <c r="EL234" s="2029"/>
      <c r="EM234" s="2029"/>
      <c r="EN234" s="2029"/>
      <c r="EO234" s="2029"/>
      <c r="EP234" s="2029"/>
      <c r="EQ234" s="2029"/>
      <c r="ER234" s="2029"/>
      <c r="ES234" s="2029"/>
      <c r="ET234" s="2029"/>
      <c r="EU234" s="2029"/>
      <c r="EV234" s="2029"/>
      <c r="EW234" s="2029"/>
      <c r="EX234" s="2029"/>
      <c r="EY234" s="2029"/>
      <c r="EZ234" s="2029"/>
      <c r="FA234" s="2029"/>
      <c r="FB234" s="2029"/>
      <c r="FC234" s="2029"/>
      <c r="FD234" s="2029"/>
      <c r="FE234" s="2029"/>
      <c r="FF234" s="2029"/>
      <c r="FG234" s="2029"/>
      <c r="FH234" s="2029"/>
      <c r="FI234" s="2029"/>
      <c r="FJ234" s="2029"/>
    </row>
    <row r="235" spans="8:166" s="1286" customFormat="1" ht="18" customHeight="1">
      <c r="H235" s="2029"/>
      <c r="I235" s="2029"/>
      <c r="J235" s="2029"/>
      <c r="K235" s="2029"/>
      <c r="L235" s="2029"/>
      <c r="M235" s="2029"/>
      <c r="N235" s="2029"/>
      <c r="O235" s="2029"/>
      <c r="P235" s="2029"/>
      <c r="Q235" s="2029"/>
      <c r="R235" s="2029"/>
      <c r="S235" s="2029"/>
      <c r="T235" s="2029"/>
      <c r="U235" s="2029"/>
      <c r="V235" s="2029"/>
      <c r="W235" s="2029"/>
      <c r="X235" s="2029"/>
      <c r="Y235" s="2029"/>
      <c r="Z235" s="2029"/>
      <c r="AA235" s="2029"/>
      <c r="AB235" s="2029"/>
      <c r="AC235" s="2029"/>
      <c r="AD235" s="2029"/>
      <c r="AE235" s="2029"/>
      <c r="AF235" s="2029"/>
      <c r="AG235" s="2029"/>
      <c r="AH235" s="2029"/>
      <c r="AI235" s="2029"/>
      <c r="AJ235" s="2029"/>
      <c r="AK235" s="2029"/>
      <c r="AL235" s="2029"/>
      <c r="AM235" s="2029"/>
      <c r="AN235" s="2029"/>
      <c r="AO235" s="2029"/>
      <c r="AP235" s="2029"/>
      <c r="AQ235" s="2029"/>
      <c r="AR235" s="2029"/>
      <c r="AS235" s="2029"/>
      <c r="AT235" s="2029"/>
      <c r="AU235" s="2029"/>
      <c r="AV235" s="2029"/>
      <c r="AW235" s="2029"/>
      <c r="AX235" s="2029"/>
      <c r="AY235" s="2029"/>
      <c r="AZ235" s="2029"/>
      <c r="BA235" s="2029"/>
      <c r="BB235" s="2029"/>
      <c r="BC235" s="2029"/>
      <c r="BD235" s="2029"/>
      <c r="BE235" s="2029"/>
      <c r="BF235" s="2029"/>
      <c r="BG235" s="2029"/>
      <c r="BH235" s="2029"/>
      <c r="BI235" s="2029"/>
      <c r="BJ235" s="2029"/>
      <c r="BK235" s="2029"/>
      <c r="BL235" s="2029"/>
      <c r="BM235" s="2029"/>
      <c r="BN235" s="2029"/>
      <c r="BO235" s="2029"/>
      <c r="BP235" s="2029"/>
      <c r="BQ235" s="2029"/>
      <c r="BR235" s="2029"/>
      <c r="BS235" s="2029"/>
      <c r="BT235" s="2029"/>
      <c r="BU235" s="2029"/>
      <c r="BV235" s="2029"/>
      <c r="BW235" s="2029"/>
      <c r="BX235" s="2029"/>
      <c r="BY235" s="2029"/>
      <c r="BZ235" s="2029"/>
      <c r="CA235" s="2029"/>
      <c r="CB235" s="2029"/>
      <c r="CC235" s="2029"/>
      <c r="CD235" s="2029"/>
      <c r="CE235" s="2029"/>
      <c r="CF235" s="2029"/>
      <c r="CG235" s="2029"/>
      <c r="CH235" s="2029"/>
      <c r="CI235" s="2029"/>
      <c r="CJ235" s="2029"/>
      <c r="CK235" s="2029"/>
      <c r="CL235" s="2029"/>
      <c r="CM235" s="2029"/>
      <c r="CN235" s="2029"/>
      <c r="CO235" s="2029"/>
      <c r="CP235" s="2029"/>
      <c r="CQ235" s="2029"/>
      <c r="CR235" s="2029"/>
      <c r="CS235" s="2029"/>
      <c r="CT235" s="2029"/>
      <c r="CU235" s="2029"/>
      <c r="CV235" s="2029"/>
      <c r="CW235" s="2029"/>
      <c r="CX235" s="2029"/>
      <c r="CY235" s="2029"/>
      <c r="CZ235" s="2029"/>
      <c r="DA235" s="2029"/>
      <c r="DB235" s="2029"/>
      <c r="DC235" s="2029"/>
      <c r="DD235" s="2029"/>
      <c r="DE235" s="2029"/>
      <c r="DF235" s="2029"/>
      <c r="DG235" s="2029"/>
      <c r="DH235" s="2029"/>
      <c r="DI235" s="2029"/>
      <c r="DJ235" s="2029"/>
      <c r="DK235" s="2029"/>
      <c r="DL235" s="2029"/>
      <c r="DM235" s="2029"/>
      <c r="DN235" s="2029"/>
      <c r="DO235" s="2029"/>
      <c r="DP235" s="2029"/>
      <c r="DQ235" s="2029"/>
      <c r="DR235" s="2029"/>
      <c r="DS235" s="2029"/>
      <c r="DT235" s="2029"/>
      <c r="DU235" s="2029"/>
      <c r="DV235" s="2029"/>
      <c r="DW235" s="2029"/>
      <c r="DX235" s="2029"/>
      <c r="DY235" s="2029"/>
      <c r="DZ235" s="2029"/>
      <c r="EA235" s="2029"/>
      <c r="EB235" s="2029"/>
      <c r="EC235" s="2029"/>
      <c r="ED235" s="2029"/>
      <c r="EE235" s="2029"/>
      <c r="EF235" s="2029"/>
      <c r="EG235" s="2029"/>
      <c r="EH235" s="2029"/>
      <c r="EI235" s="2029"/>
      <c r="EJ235" s="2029"/>
      <c r="EK235" s="2029"/>
      <c r="EL235" s="2029"/>
      <c r="EM235" s="2029"/>
      <c r="EN235" s="2029"/>
      <c r="EO235" s="2029"/>
      <c r="EP235" s="2029"/>
      <c r="EQ235" s="2029"/>
      <c r="ER235" s="2029"/>
      <c r="ES235" s="2029"/>
      <c r="ET235" s="2029"/>
      <c r="EU235" s="2029"/>
      <c r="EV235" s="2029"/>
      <c r="EW235" s="2029"/>
      <c r="EX235" s="2029"/>
      <c r="EY235" s="2029"/>
      <c r="EZ235" s="2029"/>
      <c r="FA235" s="2029"/>
      <c r="FB235" s="2029"/>
      <c r="FC235" s="2029"/>
      <c r="FD235" s="2029"/>
      <c r="FE235" s="2029"/>
      <c r="FF235" s="2029"/>
      <c r="FG235" s="2029"/>
      <c r="FH235" s="2029"/>
      <c r="FI235" s="2029"/>
      <c r="FJ235" s="2029"/>
    </row>
    <row r="236" spans="8:166" s="1286" customFormat="1" ht="18" customHeight="1">
      <c r="H236" s="2029"/>
      <c r="I236" s="2029"/>
      <c r="J236" s="2029"/>
      <c r="K236" s="2029"/>
      <c r="L236" s="2029"/>
      <c r="M236" s="2029"/>
      <c r="N236" s="2029"/>
      <c r="O236" s="2029"/>
      <c r="P236" s="2029"/>
      <c r="Q236" s="2029"/>
      <c r="R236" s="2029"/>
      <c r="S236" s="2029"/>
      <c r="T236" s="2029"/>
      <c r="U236" s="2029"/>
      <c r="V236" s="2029"/>
      <c r="W236" s="2029"/>
      <c r="X236" s="2029"/>
      <c r="Y236" s="2029"/>
      <c r="Z236" s="2029"/>
      <c r="AA236" s="2029"/>
      <c r="AB236" s="2029"/>
      <c r="AC236" s="2029"/>
      <c r="AD236" s="2029"/>
      <c r="AE236" s="2029"/>
      <c r="AF236" s="2029"/>
      <c r="AG236" s="2029"/>
      <c r="AH236" s="2029"/>
      <c r="AI236" s="2029"/>
      <c r="AJ236" s="2029"/>
      <c r="AK236" s="2029"/>
      <c r="AL236" s="2029"/>
      <c r="AM236" s="2029"/>
      <c r="AN236" s="2029"/>
      <c r="AO236" s="2029"/>
      <c r="AP236" s="2029"/>
      <c r="AQ236" s="2029"/>
      <c r="AR236" s="2029"/>
      <c r="AS236" s="2029"/>
      <c r="AT236" s="2029"/>
      <c r="AU236" s="2029"/>
      <c r="AV236" s="2029"/>
      <c r="AW236" s="2029"/>
      <c r="AX236" s="2029"/>
      <c r="AY236" s="2029"/>
      <c r="AZ236" s="2029"/>
      <c r="BA236" s="2029"/>
      <c r="BB236" s="2029"/>
      <c r="BC236" s="2029"/>
      <c r="BD236" s="2029"/>
      <c r="BE236" s="2029"/>
      <c r="BF236" s="2029"/>
      <c r="BG236" s="2029"/>
      <c r="BH236" s="2029"/>
      <c r="BI236" s="2029"/>
      <c r="BJ236" s="2029"/>
      <c r="BK236" s="2029"/>
      <c r="BL236" s="2029"/>
      <c r="BM236" s="2029"/>
      <c r="BN236" s="2029"/>
      <c r="BO236" s="2029"/>
      <c r="BP236" s="2029"/>
      <c r="BQ236" s="2029"/>
      <c r="BR236" s="2029"/>
      <c r="BS236" s="2029"/>
      <c r="BT236" s="2029"/>
      <c r="BU236" s="2029"/>
      <c r="BV236" s="2029"/>
      <c r="BW236" s="2029"/>
      <c r="BX236" s="2029"/>
      <c r="BY236" s="2029"/>
      <c r="BZ236" s="2029"/>
      <c r="CA236" s="2029"/>
      <c r="CB236" s="2029"/>
      <c r="CC236" s="2029"/>
      <c r="CD236" s="2029"/>
      <c r="CE236" s="2029"/>
      <c r="CF236" s="2029"/>
      <c r="CG236" s="2029"/>
      <c r="CH236" s="2029"/>
      <c r="CI236" s="2029"/>
      <c r="CJ236" s="2029"/>
      <c r="CK236" s="2029"/>
      <c r="CL236" s="2029"/>
      <c r="CM236" s="2029"/>
      <c r="CN236" s="2029"/>
      <c r="CO236" s="2029"/>
      <c r="CP236" s="2029"/>
      <c r="CQ236" s="2029"/>
      <c r="CR236" s="2029"/>
      <c r="CS236" s="2029"/>
      <c r="CT236" s="2029"/>
      <c r="CU236" s="2029"/>
      <c r="CV236" s="2029"/>
      <c r="CW236" s="2029"/>
      <c r="CX236" s="2029"/>
      <c r="CY236" s="2029"/>
      <c r="CZ236" s="2029"/>
      <c r="DA236" s="2029"/>
      <c r="DB236" s="2029"/>
      <c r="DC236" s="2029"/>
      <c r="DD236" s="2029"/>
      <c r="DE236" s="2029"/>
      <c r="DF236" s="2029"/>
      <c r="DG236" s="2029"/>
      <c r="DH236" s="2029"/>
      <c r="DI236" s="2029"/>
      <c r="DJ236" s="2029"/>
      <c r="DK236" s="2029"/>
      <c r="DL236" s="2029"/>
      <c r="DM236" s="2029"/>
      <c r="DN236" s="2029"/>
      <c r="DO236" s="2029"/>
      <c r="DP236" s="2029"/>
      <c r="DQ236" s="2029"/>
      <c r="DR236" s="2029"/>
      <c r="DS236" s="2029"/>
      <c r="DT236" s="2029"/>
      <c r="DU236" s="2029"/>
      <c r="DV236" s="2029"/>
      <c r="DW236" s="2029"/>
      <c r="DX236" s="2029"/>
      <c r="DY236" s="2029"/>
      <c r="DZ236" s="2029"/>
      <c r="EA236" s="2029"/>
      <c r="EB236" s="2029"/>
      <c r="EC236" s="2029"/>
      <c r="ED236" s="2029"/>
      <c r="EE236" s="2029"/>
      <c r="EF236" s="2029"/>
      <c r="EG236" s="2029"/>
      <c r="EH236" s="2029"/>
      <c r="EI236" s="2029"/>
      <c r="EJ236" s="2029"/>
      <c r="EK236" s="2029"/>
      <c r="EL236" s="2029"/>
      <c r="EM236" s="2029"/>
      <c r="EN236" s="2029"/>
      <c r="EO236" s="2029"/>
      <c r="EP236" s="2029"/>
      <c r="EQ236" s="2029"/>
      <c r="ER236" s="2029"/>
      <c r="ES236" s="2029"/>
      <c r="ET236" s="2029"/>
      <c r="EU236" s="2029"/>
      <c r="EV236" s="2029"/>
      <c r="EW236" s="2029"/>
      <c r="EX236" s="2029"/>
      <c r="EY236" s="2029"/>
      <c r="EZ236" s="2029"/>
      <c r="FA236" s="2029"/>
      <c r="FB236" s="2029"/>
      <c r="FC236" s="2029"/>
      <c r="FD236" s="2029"/>
      <c r="FE236" s="2029"/>
      <c r="FF236" s="2029"/>
      <c r="FG236" s="2029"/>
      <c r="FH236" s="2029"/>
      <c r="FI236" s="2029"/>
      <c r="FJ236" s="2029"/>
    </row>
    <row r="237" spans="8:166" s="1286" customFormat="1" ht="18" customHeight="1">
      <c r="H237" s="2029"/>
      <c r="I237" s="2029"/>
      <c r="J237" s="2029"/>
      <c r="K237" s="2029"/>
      <c r="L237" s="2029"/>
      <c r="M237" s="2029"/>
      <c r="N237" s="2029"/>
      <c r="O237" s="2029"/>
      <c r="P237" s="2029"/>
      <c r="Q237" s="2029"/>
      <c r="R237" s="2029"/>
      <c r="S237" s="2029"/>
      <c r="T237" s="2029"/>
      <c r="U237" s="2029"/>
      <c r="V237" s="2029"/>
      <c r="W237" s="2029"/>
      <c r="X237" s="2029"/>
      <c r="Y237" s="2029"/>
      <c r="Z237" s="2029"/>
      <c r="AA237" s="2029"/>
      <c r="AB237" s="2029"/>
      <c r="AC237" s="2029"/>
      <c r="AD237" s="2029"/>
      <c r="AE237" s="2029"/>
      <c r="AF237" s="2029"/>
      <c r="AG237" s="2029"/>
      <c r="AH237" s="2029"/>
      <c r="AI237" s="2029"/>
      <c r="AJ237" s="2029"/>
      <c r="AK237" s="2029"/>
      <c r="AL237" s="2029"/>
      <c r="AM237" s="2029"/>
      <c r="AN237" s="2029"/>
      <c r="AO237" s="2029"/>
      <c r="AP237" s="2029"/>
      <c r="AQ237" s="2029"/>
      <c r="AR237" s="2029"/>
      <c r="AS237" s="2029"/>
      <c r="AT237" s="2029"/>
      <c r="AU237" s="2029"/>
      <c r="AV237" s="2029"/>
      <c r="AW237" s="2029"/>
      <c r="AX237" s="2029"/>
      <c r="AY237" s="2029"/>
      <c r="AZ237" s="2029"/>
      <c r="BA237" s="2029"/>
      <c r="BB237" s="2029"/>
      <c r="BC237" s="2029"/>
      <c r="BD237" s="2029"/>
      <c r="BE237" s="2029"/>
      <c r="BF237" s="2029"/>
      <c r="BG237" s="2029"/>
      <c r="BH237" s="2029"/>
      <c r="BI237" s="2029"/>
      <c r="BJ237" s="2029"/>
      <c r="BK237" s="2029"/>
      <c r="BL237" s="2029"/>
      <c r="BM237" s="2029"/>
      <c r="BN237" s="2029"/>
      <c r="BO237" s="2029"/>
      <c r="BP237" s="2029"/>
      <c r="BQ237" s="2029"/>
      <c r="BR237" s="2029"/>
      <c r="BS237" s="2029"/>
      <c r="BT237" s="2029"/>
      <c r="BU237" s="2029"/>
      <c r="BV237" s="2029"/>
      <c r="BW237" s="2029"/>
      <c r="BX237" s="2029"/>
      <c r="BY237" s="2029"/>
      <c r="BZ237" s="2029"/>
      <c r="CA237" s="2029"/>
      <c r="CB237" s="2029"/>
      <c r="CC237" s="2029"/>
      <c r="CD237" s="2029"/>
      <c r="CE237" s="2029"/>
      <c r="CF237" s="2029"/>
      <c r="CG237" s="2029"/>
      <c r="CH237" s="2029"/>
      <c r="CI237" s="2029"/>
      <c r="CJ237" s="2029"/>
      <c r="CK237" s="2029"/>
      <c r="CL237" s="2029"/>
      <c r="CM237" s="2029"/>
      <c r="CN237" s="2029"/>
      <c r="CO237" s="2029"/>
      <c r="CP237" s="2029"/>
      <c r="CQ237" s="2029"/>
      <c r="CR237" s="2029"/>
      <c r="CS237" s="2029"/>
      <c r="CT237" s="2029"/>
      <c r="CU237" s="2029"/>
      <c r="CV237" s="2029"/>
      <c r="CW237" s="2029"/>
      <c r="CX237" s="2029"/>
      <c r="CY237" s="2029"/>
      <c r="CZ237" s="2029"/>
      <c r="DA237" s="2029"/>
      <c r="DB237" s="2029"/>
      <c r="DC237" s="2029"/>
      <c r="DD237" s="2029"/>
      <c r="DE237" s="2029"/>
      <c r="DF237" s="2029"/>
      <c r="DG237" s="2029"/>
      <c r="DH237" s="2029"/>
      <c r="DI237" s="2029"/>
      <c r="DJ237" s="2029"/>
      <c r="DK237" s="2029"/>
      <c r="DL237" s="2029"/>
      <c r="DM237" s="2029"/>
      <c r="DN237" s="2029"/>
      <c r="DO237" s="2029"/>
      <c r="DP237" s="2029"/>
      <c r="DQ237" s="2029"/>
      <c r="DR237" s="2029"/>
      <c r="DS237" s="2029"/>
      <c r="DT237" s="2029"/>
      <c r="DU237" s="2029"/>
      <c r="DV237" s="2029"/>
      <c r="DW237" s="2029"/>
      <c r="DX237" s="2029"/>
      <c r="DY237" s="2029"/>
      <c r="DZ237" s="2029"/>
      <c r="EA237" s="2029"/>
      <c r="EB237" s="2029"/>
      <c r="EC237" s="2029"/>
      <c r="ED237" s="2029"/>
      <c r="EE237" s="2029"/>
      <c r="EF237" s="2029"/>
      <c r="EG237" s="2029"/>
      <c r="EH237" s="2029"/>
      <c r="EI237" s="2029"/>
      <c r="EJ237" s="2029"/>
      <c r="EK237" s="2029"/>
      <c r="EL237" s="2029"/>
      <c r="EM237" s="2029"/>
      <c r="EN237" s="2029"/>
      <c r="EO237" s="2029"/>
      <c r="EP237" s="2029"/>
      <c r="EQ237" s="2029"/>
      <c r="ER237" s="2029"/>
      <c r="ES237" s="2029"/>
      <c r="ET237" s="2029"/>
      <c r="EU237" s="2029"/>
      <c r="EV237" s="2029"/>
      <c r="EW237" s="2029"/>
      <c r="EX237" s="2029"/>
      <c r="EY237" s="2029"/>
      <c r="EZ237" s="2029"/>
      <c r="FA237" s="2029"/>
      <c r="FB237" s="2029"/>
      <c r="FC237" s="2029"/>
      <c r="FD237" s="2029"/>
      <c r="FE237" s="2029"/>
      <c r="FF237" s="2029"/>
      <c r="FG237" s="2029"/>
      <c r="FH237" s="2029"/>
      <c r="FI237" s="2029"/>
      <c r="FJ237" s="2029"/>
    </row>
    <row r="238" spans="8:166" s="1286" customFormat="1" ht="18" customHeight="1">
      <c r="H238" s="2029"/>
      <c r="I238" s="2029"/>
      <c r="J238" s="2029"/>
      <c r="K238" s="2029"/>
      <c r="L238" s="2029"/>
      <c r="M238" s="2029"/>
      <c r="N238" s="2029"/>
      <c r="O238" s="2029"/>
      <c r="P238" s="2029"/>
      <c r="Q238" s="2029"/>
      <c r="R238" s="2029"/>
      <c r="S238" s="2029"/>
      <c r="T238" s="2029"/>
      <c r="U238" s="2029"/>
      <c r="V238" s="2029"/>
      <c r="W238" s="2029"/>
      <c r="X238" s="2029"/>
      <c r="Y238" s="2029"/>
      <c r="Z238" s="2029"/>
      <c r="AA238" s="2029"/>
      <c r="AB238" s="2029"/>
      <c r="AC238" s="2029"/>
      <c r="AD238" s="2029"/>
      <c r="AE238" s="2029"/>
      <c r="AF238" s="2029"/>
      <c r="AG238" s="2029"/>
      <c r="AH238" s="2029"/>
      <c r="AI238" s="2029"/>
      <c r="AJ238" s="2029"/>
      <c r="AK238" s="2029"/>
      <c r="AL238" s="2029"/>
      <c r="AM238" s="2029"/>
      <c r="AN238" s="2029"/>
      <c r="AO238" s="2029"/>
      <c r="AP238" s="2029"/>
      <c r="AQ238" s="2029"/>
      <c r="AR238" s="2029"/>
      <c r="AS238" s="2029"/>
      <c r="AT238" s="2029"/>
      <c r="AU238" s="2029"/>
      <c r="AV238" s="2029"/>
      <c r="AW238" s="2029"/>
      <c r="AX238" s="2029"/>
      <c r="AY238" s="2029"/>
      <c r="AZ238" s="2029"/>
      <c r="BA238" s="2029"/>
      <c r="BB238" s="2029"/>
      <c r="BC238" s="2029"/>
      <c r="BD238" s="2029"/>
      <c r="BE238" s="2029"/>
      <c r="BF238" s="2029"/>
      <c r="BG238" s="2029"/>
      <c r="BH238" s="2029"/>
      <c r="BI238" s="2029"/>
      <c r="BJ238" s="2029"/>
      <c r="BK238" s="2029"/>
      <c r="BL238" s="2029"/>
      <c r="BM238" s="2029"/>
      <c r="BN238" s="2029"/>
      <c r="BO238" s="2029"/>
      <c r="BP238" s="2029"/>
      <c r="BQ238" s="2029"/>
      <c r="BR238" s="2029"/>
      <c r="BS238" s="2029"/>
      <c r="BT238" s="2029"/>
      <c r="BU238" s="2029"/>
      <c r="BV238" s="2029"/>
      <c r="BW238" s="2029"/>
      <c r="BX238" s="2029"/>
      <c r="BY238" s="2029"/>
      <c r="BZ238" s="2029"/>
      <c r="CA238" s="2029"/>
      <c r="CB238" s="2029"/>
      <c r="CC238" s="2029"/>
      <c r="CD238" s="2029"/>
      <c r="CE238" s="2029"/>
      <c r="CF238" s="2029"/>
      <c r="CG238" s="2029"/>
      <c r="CH238" s="2029"/>
      <c r="CI238" s="2029"/>
      <c r="CJ238" s="2029"/>
      <c r="CK238" s="2029"/>
      <c r="CL238" s="2029"/>
      <c r="CM238" s="2029"/>
      <c r="CN238" s="2029"/>
      <c r="CO238" s="2029"/>
      <c r="CP238" s="2029"/>
      <c r="CQ238" s="2029"/>
      <c r="CR238" s="2029"/>
      <c r="CS238" s="2029"/>
      <c r="CT238" s="2029"/>
      <c r="CU238" s="2029"/>
      <c r="CV238" s="2029"/>
      <c r="CW238" s="2029"/>
      <c r="CX238" s="2029"/>
      <c r="CY238" s="2029"/>
      <c r="CZ238" s="2029"/>
      <c r="DA238" s="2029"/>
      <c r="DB238" s="2029"/>
      <c r="DC238" s="2029"/>
      <c r="DD238" s="2029"/>
      <c r="DE238" s="2029"/>
      <c r="DF238" s="2029"/>
      <c r="DG238" s="2029"/>
      <c r="DH238" s="2029"/>
      <c r="DI238" s="2029"/>
      <c r="DJ238" s="2029"/>
      <c r="DK238" s="2029"/>
      <c r="DL238" s="2029"/>
      <c r="DM238" s="2029"/>
      <c r="DN238" s="2029"/>
      <c r="DO238" s="2029"/>
      <c r="DP238" s="2029"/>
      <c r="DQ238" s="2029"/>
      <c r="DR238" s="2029"/>
      <c r="DS238" s="2029"/>
      <c r="DT238" s="2029"/>
      <c r="DU238" s="2029"/>
      <c r="DV238" s="2029"/>
      <c r="DW238" s="2029"/>
      <c r="DX238" s="2029"/>
      <c r="DY238" s="2029"/>
      <c r="DZ238" s="2029"/>
      <c r="EA238" s="2029"/>
      <c r="EB238" s="2029"/>
      <c r="EC238" s="2029"/>
      <c r="ED238" s="2029"/>
      <c r="EE238" s="2029"/>
      <c r="EF238" s="2029"/>
      <c r="EG238" s="2029"/>
      <c r="EH238" s="2029"/>
      <c r="EI238" s="2029"/>
      <c r="EJ238" s="2029"/>
      <c r="EK238" s="2029"/>
      <c r="EL238" s="2029"/>
      <c r="EM238" s="2029"/>
      <c r="EN238" s="2029"/>
      <c r="EO238" s="2029"/>
      <c r="EP238" s="2029"/>
      <c r="EQ238" s="2029"/>
      <c r="ER238" s="2029"/>
      <c r="ES238" s="2029"/>
      <c r="ET238" s="2029"/>
      <c r="EU238" s="2029"/>
      <c r="EV238" s="2029"/>
      <c r="EW238" s="2029"/>
      <c r="EX238" s="2029"/>
      <c r="EY238" s="2029"/>
      <c r="EZ238" s="2029"/>
      <c r="FA238" s="2029"/>
      <c r="FB238" s="2029"/>
      <c r="FC238" s="2029"/>
      <c r="FD238" s="2029"/>
      <c r="FE238" s="2029"/>
      <c r="FF238" s="2029"/>
      <c r="FG238" s="2029"/>
      <c r="FH238" s="2029"/>
      <c r="FI238" s="2029"/>
      <c r="FJ238" s="2029"/>
    </row>
    <row r="239" spans="8:166" s="1286" customFormat="1" ht="18" customHeight="1">
      <c r="H239" s="2029"/>
      <c r="I239" s="2029"/>
      <c r="J239" s="2029"/>
      <c r="K239" s="2029"/>
      <c r="L239" s="2029"/>
      <c r="M239" s="2029"/>
      <c r="N239" s="2029"/>
      <c r="O239" s="2029"/>
      <c r="P239" s="2029"/>
      <c r="Q239" s="2029"/>
      <c r="R239" s="2029"/>
      <c r="S239" s="2029"/>
      <c r="T239" s="2029"/>
      <c r="U239" s="2029"/>
      <c r="V239" s="2029"/>
      <c r="W239" s="2029"/>
      <c r="X239" s="2029"/>
      <c r="Y239" s="2029"/>
      <c r="Z239" s="2029"/>
      <c r="AA239" s="2029"/>
      <c r="AB239" s="2029"/>
      <c r="AC239" s="2029"/>
      <c r="AD239" s="2029"/>
      <c r="AE239" s="2029"/>
      <c r="AF239" s="2029"/>
      <c r="AG239" s="2029"/>
      <c r="AH239" s="2029"/>
      <c r="AI239" s="2029"/>
      <c r="AJ239" s="2029"/>
      <c r="AK239" s="2029"/>
      <c r="AL239" s="2029"/>
      <c r="AM239" s="2029"/>
      <c r="AN239" s="2029"/>
      <c r="AO239" s="2029"/>
      <c r="AP239" s="2029"/>
      <c r="AQ239" s="2029"/>
      <c r="AR239" s="2029"/>
      <c r="AS239" s="2029"/>
      <c r="AT239" s="2029"/>
      <c r="AU239" s="2029"/>
      <c r="AV239" s="2029"/>
      <c r="AW239" s="2029"/>
      <c r="AX239" s="2029"/>
      <c r="AY239" s="2029"/>
      <c r="AZ239" s="2029"/>
      <c r="BA239" s="2029"/>
      <c r="BB239" s="2029"/>
      <c r="BC239" s="2029"/>
      <c r="BD239" s="2029"/>
      <c r="BE239" s="2029"/>
      <c r="BF239" s="2029"/>
      <c r="BG239" s="2029"/>
      <c r="BH239" s="2029"/>
      <c r="BI239" s="2029"/>
      <c r="BJ239" s="2029"/>
      <c r="BK239" s="2029"/>
      <c r="BL239" s="2029"/>
      <c r="BM239" s="2029"/>
      <c r="BN239" s="2029"/>
      <c r="BO239" s="2029"/>
      <c r="BP239" s="2029"/>
      <c r="BQ239" s="2029"/>
      <c r="BR239" s="2029"/>
      <c r="BS239" s="2029"/>
      <c r="BT239" s="2029"/>
      <c r="BU239" s="2029"/>
      <c r="BV239" s="2029"/>
      <c r="BW239" s="2029"/>
      <c r="BX239" s="2029"/>
      <c r="BY239" s="2029"/>
      <c r="BZ239" s="2029"/>
      <c r="CA239" s="2029"/>
      <c r="CB239" s="2029"/>
      <c r="CC239" s="2029"/>
      <c r="CD239" s="2029"/>
      <c r="CE239" s="2029"/>
      <c r="CF239" s="2029"/>
      <c r="CG239" s="2029"/>
      <c r="CH239" s="2029"/>
      <c r="CI239" s="2029"/>
      <c r="CJ239" s="2029"/>
      <c r="CK239" s="2029"/>
      <c r="CL239" s="2029"/>
      <c r="CM239" s="2029"/>
      <c r="CN239" s="2029"/>
      <c r="CO239" s="2029"/>
      <c r="CP239" s="2029"/>
      <c r="CQ239" s="2029"/>
      <c r="CR239" s="2029"/>
      <c r="CS239" s="2029"/>
      <c r="CT239" s="2029"/>
      <c r="CU239" s="2029"/>
      <c r="CV239" s="2029"/>
      <c r="CW239" s="2029"/>
      <c r="CX239" s="2029"/>
      <c r="CY239" s="2029"/>
      <c r="CZ239" s="2029"/>
      <c r="DA239" s="2029"/>
      <c r="DB239" s="2029"/>
      <c r="DC239" s="2029"/>
      <c r="DD239" s="2029"/>
      <c r="DE239" s="2029"/>
      <c r="DF239" s="2029"/>
      <c r="DG239" s="2029"/>
      <c r="DH239" s="2029"/>
      <c r="DI239" s="2029"/>
      <c r="DJ239" s="2029"/>
      <c r="DK239" s="2029"/>
      <c r="DL239" s="2029"/>
      <c r="DM239" s="2029"/>
      <c r="DN239" s="2029"/>
      <c r="DO239" s="2029"/>
      <c r="DP239" s="2029"/>
      <c r="DQ239" s="2029"/>
      <c r="DR239" s="2029"/>
      <c r="DS239" s="2029"/>
      <c r="DT239" s="2029"/>
      <c r="DU239" s="2029"/>
      <c r="DV239" s="2029"/>
      <c r="DW239" s="2029"/>
      <c r="DX239" s="2029"/>
      <c r="DY239" s="2029"/>
      <c r="DZ239" s="2029"/>
      <c r="EA239" s="2029"/>
      <c r="EB239" s="2029"/>
      <c r="EC239" s="2029"/>
      <c r="ED239" s="2029"/>
      <c r="EE239" s="2029"/>
      <c r="EF239" s="2029"/>
      <c r="EG239" s="2029"/>
      <c r="EH239" s="2029"/>
      <c r="EI239" s="2029"/>
      <c r="EJ239" s="2029"/>
      <c r="EK239" s="2029"/>
      <c r="EL239" s="2029"/>
      <c r="EM239" s="2029"/>
      <c r="EN239" s="2029"/>
      <c r="EO239" s="2029"/>
      <c r="EP239" s="2029"/>
      <c r="EQ239" s="2029"/>
      <c r="ER239" s="2029"/>
      <c r="ES239" s="2029"/>
      <c r="ET239" s="2029"/>
      <c r="EU239" s="2029"/>
      <c r="EV239" s="2029"/>
      <c r="EW239" s="2029"/>
      <c r="EX239" s="2029"/>
      <c r="EY239" s="2029"/>
      <c r="EZ239" s="2029"/>
      <c r="FA239" s="2029"/>
      <c r="FB239" s="2029"/>
      <c r="FC239" s="2029"/>
      <c r="FD239" s="2029"/>
      <c r="FE239" s="2029"/>
      <c r="FF239" s="2029"/>
      <c r="FG239" s="2029"/>
      <c r="FH239" s="2029"/>
      <c r="FI239" s="2029"/>
      <c r="FJ239" s="2029"/>
    </row>
    <row r="240" spans="8:166" s="1286" customFormat="1" ht="18" customHeight="1">
      <c r="H240" s="2029"/>
      <c r="I240" s="2029"/>
      <c r="J240" s="2029"/>
      <c r="K240" s="2029"/>
      <c r="L240" s="2029"/>
      <c r="M240" s="2029"/>
      <c r="N240" s="2029"/>
      <c r="O240" s="2029"/>
      <c r="P240" s="2029"/>
      <c r="Q240" s="2029"/>
      <c r="R240" s="2029"/>
      <c r="S240" s="2029"/>
      <c r="T240" s="2029"/>
      <c r="U240" s="2029"/>
      <c r="V240" s="2029"/>
      <c r="W240" s="2029"/>
      <c r="X240" s="2029"/>
      <c r="Y240" s="2029"/>
      <c r="Z240" s="2029"/>
      <c r="AA240" s="2029"/>
      <c r="AB240" s="2029"/>
      <c r="AC240" s="2029"/>
      <c r="AD240" s="2029"/>
      <c r="AE240" s="2029"/>
      <c r="AF240" s="2029"/>
      <c r="AG240" s="2029"/>
      <c r="AH240" s="2029"/>
      <c r="AI240" s="2029"/>
      <c r="AJ240" s="2029"/>
      <c r="AK240" s="2029"/>
      <c r="AL240" s="2029"/>
      <c r="AM240" s="2029"/>
      <c r="AN240" s="2029"/>
      <c r="AO240" s="2029"/>
      <c r="AP240" s="2029"/>
      <c r="AQ240" s="2029"/>
      <c r="AR240" s="2029"/>
      <c r="AS240" s="2029"/>
      <c r="AT240" s="2029"/>
      <c r="AU240" s="2029"/>
      <c r="AV240" s="2029"/>
      <c r="AW240" s="2029"/>
      <c r="AX240" s="2029"/>
      <c r="AY240" s="2029"/>
      <c r="AZ240" s="2029"/>
      <c r="BA240" s="2029"/>
      <c r="BB240" s="2029"/>
      <c r="BC240" s="2029"/>
      <c r="BD240" s="2029"/>
      <c r="BE240" s="2029"/>
      <c r="BF240" s="2029"/>
      <c r="BG240" s="2029"/>
      <c r="BH240" s="2029"/>
      <c r="BI240" s="2029"/>
      <c r="BJ240" s="2029"/>
      <c r="BK240" s="2029"/>
      <c r="BL240" s="2029"/>
      <c r="BM240" s="2029"/>
      <c r="BN240" s="2029"/>
      <c r="BO240" s="2029"/>
      <c r="BP240" s="2029"/>
      <c r="BQ240" s="2029"/>
      <c r="BR240" s="2029"/>
      <c r="BS240" s="2029"/>
      <c r="BT240" s="2029"/>
      <c r="BU240" s="2029"/>
      <c r="BV240" s="2029"/>
      <c r="BW240" s="2029"/>
      <c r="BX240" s="2029"/>
      <c r="BY240" s="2029"/>
      <c r="BZ240" s="2029"/>
      <c r="CA240" s="2029"/>
      <c r="CB240" s="2029"/>
      <c r="CC240" s="2029"/>
      <c r="CD240" s="2029"/>
      <c r="CE240" s="2029"/>
      <c r="CF240" s="2029"/>
      <c r="CG240" s="2029"/>
      <c r="CH240" s="2029"/>
      <c r="CI240" s="2029"/>
      <c r="CJ240" s="2029"/>
      <c r="CK240" s="2029"/>
      <c r="CL240" s="2029"/>
      <c r="CM240" s="2029"/>
      <c r="CN240" s="2029"/>
      <c r="CO240" s="2029"/>
      <c r="CP240" s="2029"/>
      <c r="CQ240" s="2029"/>
      <c r="CR240" s="2029"/>
      <c r="CS240" s="2029"/>
      <c r="CT240" s="2029"/>
      <c r="CU240" s="2029"/>
      <c r="CV240" s="2029"/>
      <c r="CW240" s="2029"/>
      <c r="CX240" s="2029"/>
      <c r="CY240" s="2029"/>
      <c r="CZ240" s="2029"/>
      <c r="DA240" s="2029"/>
      <c r="DB240" s="2029"/>
      <c r="DC240" s="2029"/>
      <c r="DD240" s="2029"/>
      <c r="DE240" s="2029"/>
      <c r="DF240" s="2029"/>
      <c r="DG240" s="2029"/>
      <c r="DH240" s="2029"/>
      <c r="DI240" s="2029"/>
      <c r="DJ240" s="2029"/>
      <c r="DK240" s="2029"/>
      <c r="DL240" s="2029"/>
      <c r="DM240" s="2029"/>
      <c r="DN240" s="2029"/>
      <c r="DO240" s="2029"/>
      <c r="DP240" s="2029"/>
      <c r="DQ240" s="2029"/>
      <c r="DR240" s="2029"/>
      <c r="DS240" s="2029"/>
      <c r="DT240" s="2029"/>
      <c r="DU240" s="2029"/>
      <c r="DV240" s="2029"/>
      <c r="DW240" s="2029"/>
      <c r="DX240" s="2029"/>
      <c r="DY240" s="2029"/>
      <c r="DZ240" s="2029"/>
      <c r="EA240" s="2029"/>
      <c r="EB240" s="2029"/>
      <c r="EC240" s="2029"/>
      <c r="ED240" s="2029"/>
      <c r="EE240" s="2029"/>
      <c r="EF240" s="2029"/>
      <c r="EG240" s="2029"/>
      <c r="EH240" s="2029"/>
      <c r="EI240" s="2029"/>
      <c r="EJ240" s="2029"/>
      <c r="EK240" s="2029"/>
      <c r="EL240" s="2029"/>
      <c r="EM240" s="2029"/>
      <c r="EN240" s="2029"/>
      <c r="EO240" s="2029"/>
      <c r="EP240" s="2029"/>
      <c r="EQ240" s="2029"/>
      <c r="ER240" s="2029"/>
      <c r="ES240" s="2029"/>
      <c r="ET240" s="2029"/>
      <c r="EU240" s="2029"/>
      <c r="EV240" s="2029"/>
      <c r="EW240" s="2029"/>
      <c r="EX240" s="2029"/>
      <c r="EY240" s="2029"/>
      <c r="EZ240" s="2029"/>
      <c r="FA240" s="2029"/>
      <c r="FB240" s="2029"/>
      <c r="FC240" s="2029"/>
      <c r="FD240" s="2029"/>
      <c r="FE240" s="2029"/>
      <c r="FF240" s="2029"/>
      <c r="FG240" s="2029"/>
      <c r="FH240" s="2029"/>
      <c r="FI240" s="2029"/>
      <c r="FJ240" s="2029"/>
    </row>
    <row r="241" spans="1:242" s="1286" customFormat="1" ht="18" customHeight="1">
      <c r="H241" s="2029"/>
      <c r="I241" s="2029"/>
      <c r="J241" s="2029"/>
      <c r="K241" s="2029"/>
      <c r="L241" s="2029"/>
      <c r="M241" s="2029"/>
      <c r="N241" s="2029"/>
      <c r="O241" s="2029"/>
      <c r="P241" s="2029"/>
      <c r="Q241" s="2029"/>
      <c r="R241" s="2029"/>
      <c r="S241" s="2029"/>
      <c r="T241" s="2029"/>
      <c r="U241" s="2029"/>
      <c r="V241" s="2029"/>
      <c r="W241" s="2029"/>
      <c r="X241" s="2029"/>
      <c r="Y241" s="2029"/>
      <c r="Z241" s="2029"/>
      <c r="AA241" s="2029"/>
      <c r="AB241" s="2029"/>
      <c r="AC241" s="2029"/>
      <c r="AD241" s="2029"/>
      <c r="AE241" s="2029"/>
      <c r="AF241" s="2029"/>
      <c r="AG241" s="2029"/>
      <c r="AH241" s="2029"/>
      <c r="AI241" s="2029"/>
      <c r="AJ241" s="2029"/>
      <c r="AK241" s="2029"/>
      <c r="AL241" s="2029"/>
      <c r="AM241" s="2029"/>
      <c r="AN241" s="2029"/>
      <c r="AO241" s="2029"/>
      <c r="AP241" s="2029"/>
      <c r="AQ241" s="2029"/>
      <c r="AR241" s="2029"/>
      <c r="AS241" s="2029"/>
      <c r="AT241" s="2029"/>
      <c r="AU241" s="2029"/>
      <c r="AV241" s="2029"/>
      <c r="AW241" s="2029"/>
      <c r="AX241" s="2029"/>
      <c r="AY241" s="2029"/>
      <c r="AZ241" s="2029"/>
      <c r="BA241" s="2029"/>
      <c r="BB241" s="2029"/>
      <c r="BC241" s="2029"/>
      <c r="BD241" s="2029"/>
      <c r="BE241" s="2029"/>
      <c r="BF241" s="2029"/>
      <c r="BG241" s="2029"/>
      <c r="BH241" s="2029"/>
      <c r="BI241" s="2029"/>
      <c r="BJ241" s="2029"/>
      <c r="BK241" s="2029"/>
      <c r="BL241" s="2029"/>
      <c r="BM241" s="2029"/>
      <c r="BN241" s="2029"/>
      <c r="BO241" s="2029"/>
      <c r="BP241" s="2029"/>
      <c r="BQ241" s="2029"/>
      <c r="BR241" s="2029"/>
      <c r="BS241" s="2029"/>
      <c r="BT241" s="2029"/>
      <c r="BU241" s="2029"/>
      <c r="BV241" s="2029"/>
      <c r="BW241" s="2029"/>
      <c r="BX241" s="2029"/>
      <c r="BY241" s="2029"/>
      <c r="BZ241" s="2029"/>
      <c r="CA241" s="2029"/>
      <c r="CB241" s="2029"/>
      <c r="CC241" s="2029"/>
      <c r="CD241" s="2029"/>
      <c r="CE241" s="2029"/>
      <c r="CF241" s="2029"/>
      <c r="CG241" s="2029"/>
      <c r="CH241" s="2029"/>
      <c r="CI241" s="2029"/>
      <c r="CJ241" s="2029"/>
      <c r="CK241" s="2029"/>
      <c r="CL241" s="2029"/>
      <c r="CM241" s="2029"/>
      <c r="CN241" s="2029"/>
      <c r="CO241" s="2029"/>
      <c r="CP241" s="2029"/>
      <c r="CQ241" s="2029"/>
      <c r="CR241" s="2029"/>
      <c r="CS241" s="2029"/>
      <c r="CT241" s="2029"/>
      <c r="CU241" s="2029"/>
      <c r="CV241" s="2029"/>
      <c r="CW241" s="2029"/>
      <c r="CX241" s="2029"/>
      <c r="CY241" s="2029"/>
      <c r="CZ241" s="2029"/>
      <c r="DA241" s="2029"/>
      <c r="DB241" s="2029"/>
      <c r="DC241" s="2029"/>
      <c r="DD241" s="2029"/>
      <c r="DE241" s="2029"/>
      <c r="DF241" s="2029"/>
      <c r="DG241" s="2029"/>
      <c r="DH241" s="2029"/>
      <c r="DI241" s="2029"/>
      <c r="DJ241" s="2029"/>
      <c r="DK241" s="2029"/>
      <c r="DL241" s="2029"/>
      <c r="DM241" s="2029"/>
      <c r="DN241" s="2029"/>
      <c r="DO241" s="2029"/>
      <c r="DP241" s="2029"/>
      <c r="DQ241" s="2029"/>
      <c r="DR241" s="2029"/>
      <c r="DS241" s="2029"/>
      <c r="DT241" s="2029"/>
      <c r="DU241" s="2029"/>
      <c r="DV241" s="2029"/>
      <c r="DW241" s="2029"/>
      <c r="DX241" s="2029"/>
      <c r="DY241" s="2029"/>
      <c r="DZ241" s="2029"/>
      <c r="EA241" s="2029"/>
      <c r="EB241" s="2029"/>
      <c r="EC241" s="2029"/>
      <c r="ED241" s="2029"/>
      <c r="EE241" s="2029"/>
      <c r="EF241" s="2029"/>
      <c r="EG241" s="2029"/>
      <c r="EH241" s="2029"/>
      <c r="EI241" s="2029"/>
      <c r="EJ241" s="2029"/>
      <c r="EK241" s="2029"/>
      <c r="EL241" s="2029"/>
      <c r="EM241" s="2029"/>
      <c r="EN241" s="2029"/>
      <c r="EO241" s="2029"/>
      <c r="EP241" s="2029"/>
      <c r="EQ241" s="2029"/>
      <c r="ER241" s="2029"/>
      <c r="ES241" s="2029"/>
      <c r="ET241" s="2029"/>
      <c r="EU241" s="2029"/>
      <c r="EV241" s="2029"/>
      <c r="EW241" s="2029"/>
      <c r="EX241" s="2029"/>
      <c r="EY241" s="2029"/>
      <c r="EZ241" s="2029"/>
      <c r="FA241" s="2029"/>
      <c r="FB241" s="2029"/>
      <c r="FC241" s="2029"/>
      <c r="FD241" s="2029"/>
      <c r="FE241" s="2029"/>
      <c r="FF241" s="2029"/>
      <c r="FG241" s="2029"/>
      <c r="FH241" s="2029"/>
      <c r="FI241" s="2029"/>
      <c r="FJ241" s="2029"/>
    </row>
    <row r="242" spans="1:242" s="1286" customFormat="1" ht="18" customHeight="1">
      <c r="H242" s="2029"/>
      <c r="I242" s="2029"/>
      <c r="J242" s="2029"/>
      <c r="K242" s="2029"/>
      <c r="L242" s="2029"/>
      <c r="M242" s="2029"/>
      <c r="N242" s="2029"/>
      <c r="O242" s="2029"/>
      <c r="P242" s="2029"/>
      <c r="Q242" s="2029"/>
      <c r="R242" s="2029"/>
      <c r="S242" s="2029"/>
      <c r="T242" s="2029"/>
      <c r="U242" s="2029"/>
      <c r="V242" s="2029"/>
      <c r="W242" s="2029"/>
      <c r="X242" s="2029"/>
      <c r="Y242" s="2029"/>
      <c r="Z242" s="2029"/>
      <c r="AA242" s="2029"/>
      <c r="AB242" s="2029"/>
      <c r="AC242" s="2029"/>
      <c r="AD242" s="2029"/>
      <c r="AE242" s="2029"/>
      <c r="AF242" s="2029"/>
      <c r="AG242" s="2029"/>
      <c r="AH242" s="2029"/>
      <c r="AI242" s="2029"/>
      <c r="AJ242" s="2029"/>
      <c r="AK242" s="2029"/>
      <c r="AL242" s="2029"/>
      <c r="AM242" s="2029"/>
      <c r="AN242" s="2029"/>
      <c r="AO242" s="2029"/>
      <c r="AP242" s="2029"/>
      <c r="AQ242" s="2029"/>
      <c r="AR242" s="2029"/>
      <c r="AS242" s="2029"/>
      <c r="AT242" s="2029"/>
      <c r="AU242" s="2029"/>
      <c r="AV242" s="2029"/>
      <c r="AW242" s="2029"/>
      <c r="AX242" s="2029"/>
      <c r="AY242" s="2029"/>
      <c r="AZ242" s="2029"/>
      <c r="BA242" s="2029"/>
      <c r="BB242" s="2029"/>
      <c r="BC242" s="2029"/>
      <c r="BD242" s="2029"/>
      <c r="BE242" s="2029"/>
      <c r="BF242" s="2029"/>
      <c r="BG242" s="2029"/>
      <c r="BH242" s="2029"/>
      <c r="BI242" s="2029"/>
      <c r="BJ242" s="2029"/>
      <c r="BK242" s="2029"/>
      <c r="BL242" s="2029"/>
      <c r="BM242" s="2029"/>
      <c r="BN242" s="2029"/>
      <c r="BO242" s="2029"/>
      <c r="BP242" s="2029"/>
      <c r="BQ242" s="2029"/>
      <c r="BR242" s="2029"/>
      <c r="BS242" s="2029"/>
      <c r="BT242" s="2029"/>
      <c r="BU242" s="2029"/>
      <c r="BV242" s="2029"/>
      <c r="BW242" s="2029"/>
      <c r="BX242" s="2029"/>
      <c r="BY242" s="2029"/>
      <c r="BZ242" s="2029"/>
      <c r="CA242" s="2029"/>
      <c r="CB242" s="2029"/>
      <c r="CC242" s="2029"/>
      <c r="CD242" s="2029"/>
      <c r="CE242" s="2029"/>
      <c r="CF242" s="2029"/>
      <c r="CG242" s="2029"/>
      <c r="CH242" s="2029"/>
      <c r="CI242" s="2029"/>
      <c r="CJ242" s="2029"/>
      <c r="CK242" s="2029"/>
      <c r="CL242" s="2029"/>
      <c r="CM242" s="2029"/>
      <c r="CN242" s="2029"/>
      <c r="CO242" s="2029"/>
      <c r="CP242" s="2029"/>
      <c r="CQ242" s="2029"/>
      <c r="CR242" s="2029"/>
      <c r="CS242" s="2029"/>
      <c r="CT242" s="2029"/>
      <c r="CU242" s="2029"/>
      <c r="CV242" s="2029"/>
      <c r="CW242" s="2029"/>
      <c r="CX242" s="2029"/>
      <c r="CY242" s="2029"/>
      <c r="CZ242" s="2029"/>
      <c r="DA242" s="2029"/>
      <c r="DB242" s="2029"/>
      <c r="DC242" s="2029"/>
      <c r="DD242" s="2029"/>
      <c r="DE242" s="2029"/>
      <c r="DF242" s="2029"/>
      <c r="DG242" s="2029"/>
      <c r="DH242" s="2029"/>
      <c r="DI242" s="2029"/>
      <c r="DJ242" s="2029"/>
      <c r="DK242" s="2029"/>
      <c r="DL242" s="2029"/>
      <c r="DM242" s="2029"/>
      <c r="DN242" s="2029"/>
      <c r="DO242" s="2029"/>
      <c r="DP242" s="2029"/>
      <c r="DQ242" s="2029"/>
      <c r="DR242" s="2029"/>
      <c r="DS242" s="2029"/>
      <c r="DT242" s="2029"/>
      <c r="DU242" s="2029"/>
      <c r="DV242" s="2029"/>
      <c r="DW242" s="2029"/>
      <c r="DX242" s="2029"/>
      <c r="DY242" s="2029"/>
      <c r="DZ242" s="2029"/>
      <c r="EA242" s="2029"/>
      <c r="EB242" s="2029"/>
      <c r="EC242" s="2029"/>
      <c r="ED242" s="2029"/>
      <c r="EE242" s="2029"/>
      <c r="EF242" s="2029"/>
      <c r="EG242" s="2029"/>
      <c r="EH242" s="2029"/>
      <c r="EI242" s="2029"/>
      <c r="EJ242" s="2029"/>
      <c r="EK242" s="2029"/>
      <c r="EL242" s="2029"/>
      <c r="EM242" s="2029"/>
      <c r="EN242" s="2029"/>
      <c r="EO242" s="2029"/>
      <c r="EP242" s="2029"/>
      <c r="EQ242" s="2029"/>
      <c r="ER242" s="2029"/>
      <c r="ES242" s="2029"/>
      <c r="ET242" s="2029"/>
      <c r="EU242" s="2029"/>
      <c r="EV242" s="2029"/>
      <c r="EW242" s="2029"/>
      <c r="EX242" s="2029"/>
      <c r="EY242" s="2029"/>
      <c r="EZ242" s="2029"/>
      <c r="FA242" s="2029"/>
      <c r="FB242" s="2029"/>
      <c r="FC242" s="2029"/>
      <c r="FD242" s="2029"/>
      <c r="FE242" s="2029"/>
      <c r="FF242" s="2029"/>
      <c r="FG242" s="2029"/>
      <c r="FH242" s="2029"/>
      <c r="FI242" s="2029"/>
      <c r="FJ242" s="2029"/>
    </row>
    <row r="243" spans="1:242" s="1286" customFormat="1" ht="18" customHeight="1">
      <c r="H243" s="2029"/>
      <c r="I243" s="2029"/>
      <c r="J243" s="2029"/>
      <c r="K243" s="2029"/>
      <c r="L243" s="2029"/>
      <c r="M243" s="2029"/>
      <c r="N243" s="2029"/>
      <c r="O243" s="2029"/>
      <c r="P243" s="2029"/>
      <c r="Q243" s="2029"/>
      <c r="R243" s="2029"/>
      <c r="S243" s="2029"/>
      <c r="T243" s="2029"/>
      <c r="U243" s="2029"/>
      <c r="V243" s="2029"/>
      <c r="W243" s="2029"/>
      <c r="X243" s="2029"/>
      <c r="Y243" s="2029"/>
      <c r="Z243" s="2029"/>
      <c r="AA243" s="2029"/>
      <c r="AB243" s="2029"/>
      <c r="AC243" s="2029"/>
      <c r="AD243" s="2029"/>
      <c r="AE243" s="2029"/>
      <c r="AF243" s="2029"/>
      <c r="AG243" s="2029"/>
      <c r="AH243" s="2029"/>
      <c r="AI243" s="2029"/>
      <c r="AJ243" s="2029"/>
      <c r="AK243" s="2029"/>
      <c r="AL243" s="2029"/>
      <c r="AM243" s="2029"/>
      <c r="AN243" s="2029"/>
      <c r="AO243" s="2029"/>
      <c r="AP243" s="2029"/>
      <c r="AQ243" s="2029"/>
      <c r="AR243" s="2029"/>
      <c r="AS243" s="2029"/>
      <c r="AT243" s="2029"/>
      <c r="AU243" s="2029"/>
      <c r="AV243" s="2029"/>
      <c r="AW243" s="2029"/>
      <c r="AX243" s="2029"/>
      <c r="AY243" s="2029"/>
      <c r="AZ243" s="2029"/>
      <c r="BA243" s="2029"/>
      <c r="BB243" s="2029"/>
      <c r="BC243" s="2029"/>
      <c r="BD243" s="2029"/>
      <c r="BE243" s="2029"/>
      <c r="BF243" s="2029"/>
      <c r="BG243" s="2029"/>
      <c r="BH243" s="2029"/>
      <c r="BI243" s="2029"/>
      <c r="BJ243" s="2029"/>
      <c r="BK243" s="2029"/>
      <c r="BL243" s="2029"/>
      <c r="BM243" s="2029"/>
      <c r="BN243" s="2029"/>
      <c r="BO243" s="2029"/>
      <c r="BP243" s="2029"/>
      <c r="BQ243" s="2029"/>
      <c r="BR243" s="2029"/>
      <c r="BS243" s="2029"/>
      <c r="BT243" s="2029"/>
      <c r="BU243" s="2029"/>
      <c r="BV243" s="2029"/>
      <c r="BW243" s="2029"/>
      <c r="BX243" s="2029"/>
      <c r="BY243" s="2029"/>
      <c r="BZ243" s="2029"/>
      <c r="CA243" s="2029"/>
      <c r="CB243" s="2029"/>
      <c r="CC243" s="2029"/>
      <c r="CD243" s="2029"/>
      <c r="CE243" s="2029"/>
      <c r="CF243" s="2029"/>
      <c r="CG243" s="2029"/>
      <c r="CH243" s="2029"/>
      <c r="CI243" s="2029"/>
      <c r="CJ243" s="2029"/>
      <c r="CK243" s="2029"/>
      <c r="CL243" s="2029"/>
      <c r="CM243" s="2029"/>
      <c r="CN243" s="2029"/>
      <c r="CO243" s="2029"/>
      <c r="CP243" s="2029"/>
      <c r="CQ243" s="2029"/>
      <c r="CR243" s="2029"/>
      <c r="CS243" s="2029"/>
      <c r="CT243" s="2029"/>
      <c r="CU243" s="2029"/>
      <c r="CV243" s="2029"/>
      <c r="CW243" s="2029"/>
      <c r="CX243" s="2029"/>
      <c r="CY243" s="2029"/>
      <c r="CZ243" s="2029"/>
      <c r="DA243" s="2029"/>
      <c r="DB243" s="2029"/>
      <c r="DC243" s="2029"/>
      <c r="DD243" s="2029"/>
      <c r="DE243" s="2029"/>
      <c r="DF243" s="2029"/>
      <c r="DG243" s="2029"/>
      <c r="DH243" s="2029"/>
      <c r="DI243" s="2029"/>
      <c r="DJ243" s="2029"/>
      <c r="DK243" s="2029"/>
      <c r="DL243" s="2029"/>
      <c r="DM243" s="2029"/>
      <c r="DN243" s="2029"/>
      <c r="DO243" s="2029"/>
      <c r="DP243" s="2029"/>
      <c r="DQ243" s="2029"/>
      <c r="DR243" s="2029"/>
      <c r="DS243" s="2029"/>
      <c r="DT243" s="2029"/>
      <c r="DU243" s="2029"/>
      <c r="DV243" s="2029"/>
      <c r="DW243" s="2029"/>
      <c r="DX243" s="2029"/>
      <c r="DY243" s="2029"/>
      <c r="DZ243" s="2029"/>
      <c r="EA243" s="2029"/>
      <c r="EB243" s="2029"/>
      <c r="EC243" s="2029"/>
      <c r="ED243" s="2029"/>
      <c r="EE243" s="2029"/>
      <c r="EF243" s="2029"/>
      <c r="EG243" s="2029"/>
      <c r="EH243" s="2029"/>
      <c r="EI243" s="2029"/>
      <c r="EJ243" s="2029"/>
      <c r="EK243" s="2029"/>
      <c r="EL243" s="2029"/>
      <c r="EM243" s="2029"/>
      <c r="EN243" s="2029"/>
      <c r="EO243" s="2029"/>
      <c r="EP243" s="2029"/>
      <c r="EQ243" s="2029"/>
      <c r="ER243" s="2029"/>
      <c r="ES243" s="2029"/>
      <c r="ET243" s="2029"/>
      <c r="EU243" s="2029"/>
      <c r="EV243" s="2029"/>
      <c r="EW243" s="2029"/>
      <c r="EX243" s="2029"/>
      <c r="EY243" s="2029"/>
      <c r="EZ243" s="2029"/>
      <c r="FA243" s="2029"/>
      <c r="FB243" s="2029"/>
      <c r="FC243" s="2029"/>
      <c r="FD243" s="2029"/>
      <c r="FE243" s="2029"/>
      <c r="FF243" s="2029"/>
      <c r="FG243" s="2029"/>
      <c r="FH243" s="2029"/>
      <c r="FI243" s="2029"/>
      <c r="FJ243" s="2029"/>
    </row>
    <row r="244" spans="1:242" s="1286" customFormat="1" ht="18" customHeight="1">
      <c r="H244" s="2029"/>
      <c r="I244" s="2029"/>
      <c r="J244" s="2029"/>
      <c r="K244" s="2029"/>
      <c r="L244" s="2029"/>
      <c r="M244" s="2029"/>
      <c r="N244" s="2029"/>
      <c r="O244" s="2029"/>
      <c r="P244" s="2029"/>
      <c r="Q244" s="2029"/>
      <c r="R244" s="2029"/>
      <c r="S244" s="2029"/>
      <c r="T244" s="2029"/>
      <c r="U244" s="2029"/>
      <c r="V244" s="2029"/>
      <c r="W244" s="2029"/>
      <c r="X244" s="2029"/>
      <c r="Y244" s="2029"/>
      <c r="Z244" s="2029"/>
      <c r="AA244" s="2029"/>
      <c r="AB244" s="2029"/>
      <c r="AC244" s="2029"/>
      <c r="AD244" s="2029"/>
      <c r="AE244" s="2029"/>
      <c r="AF244" s="2029"/>
      <c r="AG244" s="2029"/>
      <c r="AH244" s="2029"/>
      <c r="AI244" s="2029"/>
      <c r="AJ244" s="2029"/>
      <c r="AK244" s="2029"/>
      <c r="AL244" s="2029"/>
      <c r="AM244" s="2029"/>
      <c r="AN244" s="2029"/>
      <c r="AO244" s="2029"/>
      <c r="AP244" s="2029"/>
      <c r="AQ244" s="2029"/>
      <c r="AR244" s="2029"/>
      <c r="AS244" s="2029"/>
      <c r="AT244" s="2029"/>
      <c r="AU244" s="2029"/>
      <c r="AV244" s="2029"/>
      <c r="AW244" s="2029"/>
      <c r="AX244" s="2029"/>
      <c r="AY244" s="2029"/>
      <c r="AZ244" s="2029"/>
      <c r="BA244" s="2029"/>
      <c r="BB244" s="2029"/>
      <c r="BC244" s="2029"/>
      <c r="BD244" s="2029"/>
      <c r="BE244" s="2029"/>
      <c r="BF244" s="2029"/>
      <c r="BG244" s="2029"/>
      <c r="BH244" s="2029"/>
      <c r="BI244" s="2029"/>
      <c r="BJ244" s="2029"/>
      <c r="BK244" s="2029"/>
      <c r="BL244" s="2029"/>
      <c r="BM244" s="2029"/>
      <c r="BN244" s="2029"/>
      <c r="BO244" s="2029"/>
      <c r="BP244" s="2029"/>
      <c r="BQ244" s="2029"/>
      <c r="BR244" s="2029"/>
      <c r="BS244" s="2029"/>
      <c r="BT244" s="2029"/>
      <c r="BU244" s="2029"/>
      <c r="BV244" s="2029"/>
      <c r="BW244" s="2029"/>
      <c r="BX244" s="2029"/>
      <c r="BY244" s="2029"/>
      <c r="BZ244" s="2029"/>
      <c r="CA244" s="2029"/>
      <c r="CB244" s="2029"/>
      <c r="CC244" s="2029"/>
      <c r="CD244" s="2029"/>
      <c r="CE244" s="2029"/>
      <c r="CF244" s="2029"/>
      <c r="CG244" s="2029"/>
      <c r="CH244" s="2029"/>
      <c r="CI244" s="2029"/>
      <c r="CJ244" s="2029"/>
      <c r="CK244" s="2029"/>
      <c r="CL244" s="2029"/>
      <c r="CM244" s="2029"/>
      <c r="CN244" s="2029"/>
      <c r="CO244" s="2029"/>
      <c r="CP244" s="2029"/>
      <c r="CQ244" s="2029"/>
      <c r="CR244" s="2029"/>
      <c r="CS244" s="2029"/>
      <c r="CT244" s="2029"/>
      <c r="CU244" s="2029"/>
      <c r="CV244" s="2029"/>
      <c r="CW244" s="2029"/>
      <c r="CX244" s="2029"/>
      <c r="CY244" s="2029"/>
      <c r="CZ244" s="2029"/>
      <c r="DA244" s="2029"/>
      <c r="DB244" s="2029"/>
      <c r="DC244" s="2029"/>
      <c r="DD244" s="2029"/>
      <c r="DE244" s="2029"/>
      <c r="DF244" s="2029"/>
      <c r="DG244" s="2029"/>
      <c r="DH244" s="2029"/>
      <c r="DI244" s="2029"/>
      <c r="DJ244" s="2029"/>
      <c r="DK244" s="2029"/>
      <c r="DL244" s="2029"/>
      <c r="DM244" s="2029"/>
      <c r="DN244" s="2029"/>
      <c r="DO244" s="2029"/>
      <c r="DP244" s="2029"/>
      <c r="DQ244" s="2029"/>
      <c r="DR244" s="2029"/>
      <c r="DS244" s="2029"/>
      <c r="DT244" s="2029"/>
      <c r="DU244" s="2029"/>
      <c r="DV244" s="2029"/>
      <c r="DW244" s="2029"/>
      <c r="DX244" s="2029"/>
      <c r="DY244" s="2029"/>
      <c r="DZ244" s="2029"/>
      <c r="EA244" s="2029"/>
      <c r="EB244" s="2029"/>
      <c r="EC244" s="2029"/>
      <c r="ED244" s="2029"/>
      <c r="EE244" s="2029"/>
      <c r="EF244" s="2029"/>
      <c r="EG244" s="2029"/>
      <c r="EH244" s="2029"/>
      <c r="EI244" s="2029"/>
      <c r="EJ244" s="2029"/>
      <c r="EK244" s="2029"/>
      <c r="EL244" s="2029"/>
      <c r="EM244" s="2029"/>
      <c r="EN244" s="2029"/>
      <c r="EO244" s="2029"/>
      <c r="EP244" s="2029"/>
      <c r="EQ244" s="2029"/>
      <c r="ER244" s="2029"/>
      <c r="ES244" s="2029"/>
      <c r="ET244" s="2029"/>
      <c r="EU244" s="2029"/>
      <c r="EV244" s="2029"/>
      <c r="EW244" s="2029"/>
      <c r="EX244" s="2029"/>
      <c r="EY244" s="2029"/>
      <c r="EZ244" s="2029"/>
      <c r="FA244" s="2029"/>
      <c r="FB244" s="2029"/>
      <c r="FC244" s="2029"/>
      <c r="FD244" s="2029"/>
      <c r="FE244" s="2029"/>
      <c r="FF244" s="2029"/>
      <c r="FG244" s="2029"/>
      <c r="FH244" s="2029"/>
      <c r="FI244" s="2029"/>
      <c r="FJ244" s="2029"/>
    </row>
    <row r="245" spans="1:242" s="1286" customFormat="1" ht="18" customHeight="1">
      <c r="H245" s="2029"/>
      <c r="I245" s="2029"/>
      <c r="J245" s="2029"/>
      <c r="K245" s="2029"/>
      <c r="L245" s="2029"/>
      <c r="M245" s="2029"/>
      <c r="N245" s="2029"/>
      <c r="O245" s="2029"/>
      <c r="P245" s="2029"/>
      <c r="Q245" s="2029"/>
      <c r="R245" s="2029"/>
      <c r="S245" s="2029"/>
      <c r="T245" s="2029"/>
      <c r="U245" s="2029"/>
      <c r="V245" s="2029"/>
      <c r="W245" s="2029"/>
      <c r="X245" s="2029"/>
      <c r="Y245" s="2029"/>
      <c r="Z245" s="2029"/>
      <c r="AA245" s="2029"/>
      <c r="AB245" s="2029"/>
      <c r="AC245" s="2029"/>
      <c r="AD245" s="2029"/>
      <c r="AE245" s="2029"/>
      <c r="AF245" s="2029"/>
      <c r="AG245" s="2029"/>
      <c r="AH245" s="2029"/>
      <c r="AI245" s="2029"/>
      <c r="AJ245" s="2029"/>
      <c r="AK245" s="2029"/>
      <c r="AL245" s="2029"/>
      <c r="AM245" s="2029"/>
      <c r="AN245" s="2029"/>
      <c r="AO245" s="2029"/>
      <c r="AP245" s="2029"/>
      <c r="AQ245" s="2029"/>
      <c r="AR245" s="2029"/>
      <c r="AS245" s="2029"/>
      <c r="AT245" s="2029"/>
      <c r="AU245" s="2029"/>
      <c r="AV245" s="2029"/>
      <c r="AW245" s="2029"/>
      <c r="AX245" s="2029"/>
      <c r="AY245" s="2029"/>
      <c r="AZ245" s="2029"/>
      <c r="BA245" s="2029"/>
      <c r="BB245" s="2029"/>
      <c r="BC245" s="2029"/>
      <c r="BD245" s="2029"/>
      <c r="BE245" s="2029"/>
      <c r="BF245" s="2029"/>
      <c r="BG245" s="2029"/>
      <c r="BH245" s="2029"/>
      <c r="BI245" s="2029"/>
      <c r="BJ245" s="2029"/>
      <c r="BK245" s="2029"/>
      <c r="BL245" s="2029"/>
      <c r="BM245" s="2029"/>
      <c r="BN245" s="2029"/>
      <c r="BO245" s="2029"/>
      <c r="BP245" s="2029"/>
      <c r="BQ245" s="2029"/>
      <c r="BR245" s="2029"/>
      <c r="BS245" s="2029"/>
      <c r="BT245" s="2029"/>
      <c r="BU245" s="2029"/>
      <c r="BV245" s="2029"/>
      <c r="BW245" s="2029"/>
      <c r="BX245" s="2029"/>
      <c r="BY245" s="2029"/>
      <c r="BZ245" s="2029"/>
      <c r="CA245" s="2029"/>
      <c r="CB245" s="2029"/>
      <c r="CC245" s="2029"/>
      <c r="CD245" s="2029"/>
      <c r="CE245" s="2029"/>
      <c r="CF245" s="2029"/>
      <c r="CG245" s="2029"/>
      <c r="CH245" s="2029"/>
      <c r="CI245" s="2029"/>
      <c r="CJ245" s="2029"/>
      <c r="CK245" s="2029"/>
      <c r="CL245" s="2029"/>
      <c r="CM245" s="2029"/>
      <c r="CN245" s="2029"/>
      <c r="CO245" s="2029"/>
      <c r="CP245" s="2029"/>
      <c r="CQ245" s="2029"/>
      <c r="CR245" s="2029"/>
      <c r="CS245" s="2029"/>
      <c r="CT245" s="2029"/>
      <c r="CU245" s="2029"/>
      <c r="CV245" s="2029"/>
      <c r="CW245" s="2029"/>
      <c r="CX245" s="2029"/>
      <c r="CY245" s="2029"/>
      <c r="CZ245" s="2029"/>
      <c r="DA245" s="2029"/>
      <c r="DB245" s="2029"/>
      <c r="DC245" s="2029"/>
      <c r="DD245" s="2029"/>
      <c r="DE245" s="2029"/>
      <c r="DF245" s="2029"/>
      <c r="DG245" s="2029"/>
      <c r="DH245" s="2029"/>
      <c r="DI245" s="2029"/>
      <c r="DJ245" s="2029"/>
      <c r="DK245" s="2029"/>
      <c r="DL245" s="2029"/>
      <c r="DM245" s="2029"/>
      <c r="DN245" s="2029"/>
      <c r="DO245" s="2029"/>
      <c r="DP245" s="2029"/>
      <c r="DQ245" s="2029"/>
      <c r="DR245" s="2029"/>
      <c r="DS245" s="2029"/>
      <c r="DT245" s="2029"/>
      <c r="DU245" s="2029"/>
      <c r="DV245" s="2029"/>
      <c r="DW245" s="2029"/>
      <c r="DX245" s="2029"/>
      <c r="DY245" s="2029"/>
      <c r="DZ245" s="2029"/>
      <c r="EA245" s="2029"/>
      <c r="EB245" s="2029"/>
      <c r="EC245" s="2029"/>
      <c r="ED245" s="2029"/>
      <c r="EE245" s="2029"/>
      <c r="EF245" s="2029"/>
      <c r="EG245" s="2029"/>
      <c r="EH245" s="2029"/>
      <c r="EI245" s="2029"/>
      <c r="EJ245" s="2029"/>
      <c r="EK245" s="2029"/>
      <c r="EL245" s="2029"/>
      <c r="EM245" s="2029"/>
      <c r="EN245" s="2029"/>
      <c r="EO245" s="2029"/>
      <c r="EP245" s="2029"/>
      <c r="EQ245" s="2029"/>
      <c r="ER245" s="2029"/>
      <c r="ES245" s="2029"/>
      <c r="ET245" s="2029"/>
      <c r="EU245" s="2029"/>
      <c r="EV245" s="2029"/>
      <c r="EW245" s="2029"/>
      <c r="EX245" s="2029"/>
      <c r="EY245" s="2029"/>
      <c r="EZ245" s="2029"/>
      <c r="FA245" s="2029"/>
      <c r="FB245" s="2029"/>
      <c r="FC245" s="2029"/>
      <c r="FD245" s="2029"/>
      <c r="FE245" s="2029"/>
      <c r="FF245" s="2029"/>
      <c r="FG245" s="2029"/>
      <c r="FH245" s="2029"/>
      <c r="FI245" s="2029"/>
      <c r="FJ245" s="2029"/>
    </row>
    <row r="246" spans="1:242" s="1286" customFormat="1" ht="18" customHeight="1">
      <c r="H246" s="2029"/>
      <c r="I246" s="2029"/>
      <c r="J246" s="2029"/>
      <c r="K246" s="2029"/>
      <c r="L246" s="2029"/>
      <c r="M246" s="2029"/>
      <c r="N246" s="2029"/>
      <c r="O246" s="2029"/>
      <c r="P246" s="2029"/>
      <c r="Q246" s="2029"/>
      <c r="R246" s="2029"/>
      <c r="S246" s="2029"/>
      <c r="T246" s="2029"/>
      <c r="U246" s="2029"/>
      <c r="V246" s="2029"/>
      <c r="W246" s="2029"/>
      <c r="X246" s="2029"/>
      <c r="Y246" s="2029"/>
      <c r="Z246" s="2029"/>
      <c r="AA246" s="2029"/>
      <c r="AB246" s="2029"/>
      <c r="AC246" s="2029"/>
      <c r="AD246" s="2029"/>
      <c r="AE246" s="2029"/>
      <c r="AF246" s="2029"/>
      <c r="AG246" s="2029"/>
      <c r="AH246" s="2029"/>
      <c r="AI246" s="2029"/>
      <c r="AJ246" s="2029"/>
      <c r="AK246" s="2029"/>
      <c r="AL246" s="2029"/>
      <c r="AM246" s="2029"/>
      <c r="AN246" s="2029"/>
      <c r="AO246" s="2029"/>
      <c r="AP246" s="2029"/>
      <c r="AQ246" s="2029"/>
      <c r="AR246" s="2029"/>
      <c r="AS246" s="2029"/>
      <c r="AT246" s="2029"/>
      <c r="AU246" s="2029"/>
      <c r="AV246" s="2029"/>
      <c r="AW246" s="2029"/>
      <c r="AX246" s="2029"/>
      <c r="AY246" s="2029"/>
      <c r="AZ246" s="2029"/>
      <c r="BA246" s="2029"/>
      <c r="BB246" s="2029"/>
      <c r="BC246" s="2029"/>
      <c r="BD246" s="2029"/>
      <c r="BE246" s="2029"/>
      <c r="BF246" s="2029"/>
      <c r="BG246" s="2029"/>
      <c r="BH246" s="2029"/>
      <c r="BI246" s="2029"/>
      <c r="BJ246" s="2029"/>
      <c r="BK246" s="2029"/>
      <c r="BL246" s="2029"/>
      <c r="BM246" s="2029"/>
      <c r="BN246" s="2029"/>
      <c r="BO246" s="2029"/>
      <c r="BP246" s="2029"/>
      <c r="BQ246" s="2029"/>
      <c r="BR246" s="2029"/>
      <c r="BS246" s="2029"/>
      <c r="BT246" s="2029"/>
      <c r="BU246" s="2029"/>
      <c r="BV246" s="2029"/>
      <c r="BW246" s="2029"/>
      <c r="BX246" s="2029"/>
      <c r="BY246" s="2029"/>
      <c r="BZ246" s="2029"/>
      <c r="CA246" s="2029"/>
      <c r="CB246" s="2029"/>
      <c r="CC246" s="2029"/>
      <c r="CD246" s="2029"/>
      <c r="CE246" s="2029"/>
      <c r="CF246" s="2029"/>
      <c r="CG246" s="2029"/>
      <c r="CH246" s="2029"/>
      <c r="CI246" s="2029"/>
      <c r="CJ246" s="2029"/>
      <c r="CK246" s="2029"/>
      <c r="CL246" s="2029"/>
      <c r="CM246" s="2029"/>
      <c r="CN246" s="2029"/>
      <c r="CO246" s="2029"/>
      <c r="CP246" s="2029"/>
      <c r="CQ246" s="2029"/>
      <c r="CR246" s="2029"/>
      <c r="CS246" s="2029"/>
      <c r="CT246" s="2029"/>
      <c r="CU246" s="2029"/>
      <c r="CV246" s="2029"/>
      <c r="CW246" s="2029"/>
      <c r="CX246" s="2029"/>
      <c r="CY246" s="2029"/>
      <c r="CZ246" s="2029"/>
      <c r="DA246" s="2029"/>
      <c r="DB246" s="2029"/>
      <c r="DC246" s="2029"/>
      <c r="DD246" s="2029"/>
      <c r="DE246" s="2029"/>
      <c r="DF246" s="2029"/>
      <c r="DG246" s="2029"/>
      <c r="DH246" s="2029"/>
      <c r="DI246" s="2029"/>
      <c r="DJ246" s="2029"/>
      <c r="DK246" s="2029"/>
      <c r="DL246" s="2029"/>
      <c r="DM246" s="2029"/>
      <c r="DN246" s="2029"/>
      <c r="DO246" s="2029"/>
      <c r="DP246" s="2029"/>
      <c r="DQ246" s="2029"/>
      <c r="DR246" s="2029"/>
      <c r="DS246" s="2029"/>
      <c r="DT246" s="2029"/>
      <c r="DU246" s="2029"/>
      <c r="DV246" s="2029"/>
      <c r="DW246" s="2029"/>
      <c r="DX246" s="2029"/>
      <c r="DY246" s="2029"/>
      <c r="DZ246" s="2029"/>
      <c r="EA246" s="2029"/>
      <c r="EB246" s="2029"/>
      <c r="EC246" s="2029"/>
      <c r="ED246" s="2029"/>
      <c r="EE246" s="2029"/>
      <c r="EF246" s="2029"/>
      <c r="EG246" s="2029"/>
      <c r="EH246" s="2029"/>
      <c r="EI246" s="2029"/>
      <c r="EJ246" s="2029"/>
      <c r="EK246" s="2029"/>
      <c r="EL246" s="2029"/>
      <c r="EM246" s="2029"/>
      <c r="EN246" s="2029"/>
      <c r="EO246" s="2029"/>
      <c r="EP246" s="2029"/>
      <c r="EQ246" s="2029"/>
      <c r="ER246" s="2029"/>
      <c r="ES246" s="2029"/>
      <c r="ET246" s="2029"/>
      <c r="EU246" s="2029"/>
      <c r="EV246" s="2029"/>
      <c r="EW246" s="2029"/>
      <c r="EX246" s="2029"/>
      <c r="EY246" s="2029"/>
      <c r="EZ246" s="2029"/>
      <c r="FA246" s="2029"/>
      <c r="FB246" s="2029"/>
      <c r="FC246" s="2029"/>
      <c r="FD246" s="2029"/>
      <c r="FE246" s="2029"/>
      <c r="FF246" s="2029"/>
      <c r="FG246" s="2029"/>
      <c r="FH246" s="2029"/>
      <c r="FI246" s="2029"/>
      <c r="FJ246" s="2029"/>
    </row>
    <row r="247" spans="1:242" ht="12.75">
      <c r="A247" s="1548"/>
      <c r="B247" s="1548"/>
      <c r="C247" s="1548"/>
      <c r="D247" s="1548"/>
      <c r="E247" s="1548"/>
      <c r="F247" s="1548"/>
      <c r="G247" s="1548"/>
      <c r="H247" s="2058"/>
      <c r="I247" s="2058"/>
      <c r="J247" s="2058"/>
      <c r="K247" s="2058"/>
      <c r="L247" s="2058"/>
      <c r="M247" s="2058"/>
      <c r="N247" s="2058"/>
      <c r="O247" s="2058"/>
      <c r="P247" s="2058"/>
      <c r="Q247" s="2058"/>
      <c r="R247" s="2058"/>
      <c r="S247" s="2058"/>
      <c r="T247" s="2058"/>
      <c r="U247" s="2058"/>
      <c r="V247" s="2058"/>
      <c r="W247" s="2058"/>
      <c r="X247" s="2058"/>
      <c r="Y247" s="2058"/>
      <c r="Z247" s="2058"/>
      <c r="AA247" s="2058"/>
      <c r="AB247" s="2058"/>
      <c r="AC247" s="2058"/>
      <c r="AD247" s="2058"/>
      <c r="AE247" s="2058"/>
      <c r="AF247" s="2058"/>
      <c r="AG247" s="2058"/>
      <c r="AH247" s="2058"/>
      <c r="AI247" s="2058"/>
      <c r="AJ247" s="2058"/>
      <c r="AK247" s="2058"/>
      <c r="AL247" s="2058"/>
      <c r="AM247" s="2058"/>
      <c r="AN247" s="2058"/>
      <c r="AO247" s="2058"/>
      <c r="AP247" s="2058"/>
      <c r="AQ247" s="2058"/>
      <c r="AR247" s="2058"/>
      <c r="AS247" s="2058"/>
      <c r="AT247" s="2058"/>
      <c r="AU247" s="2058"/>
      <c r="AV247" s="2058"/>
      <c r="AW247" s="2058"/>
      <c r="AX247" s="2058"/>
      <c r="AY247" s="2058"/>
      <c r="AZ247" s="2058"/>
      <c r="BA247" s="2058"/>
      <c r="BB247" s="2058"/>
      <c r="BC247" s="2058"/>
      <c r="BD247" s="2058"/>
      <c r="BE247" s="2058"/>
      <c r="BF247" s="2058"/>
      <c r="BG247" s="2058"/>
      <c r="BH247" s="2058"/>
      <c r="BI247" s="2058"/>
      <c r="BJ247" s="2058"/>
      <c r="BK247" s="2058"/>
      <c r="BL247" s="2058"/>
      <c r="BM247" s="2058"/>
      <c r="BN247" s="2058"/>
      <c r="BO247" s="2058"/>
      <c r="BP247" s="2058"/>
      <c r="BQ247" s="2058"/>
      <c r="BR247" s="2058"/>
      <c r="BS247" s="2058"/>
      <c r="BT247" s="2058"/>
      <c r="BU247" s="2058"/>
      <c r="BV247" s="2058"/>
      <c r="BW247" s="2058"/>
      <c r="BX247" s="2058"/>
      <c r="BY247" s="2058"/>
      <c r="BZ247" s="2058"/>
      <c r="CA247" s="2058"/>
      <c r="CB247" s="2058"/>
      <c r="CC247" s="2058"/>
      <c r="CD247" s="2058"/>
      <c r="CE247" s="2058"/>
      <c r="CF247" s="2058"/>
      <c r="CG247" s="2058"/>
      <c r="CH247" s="2058"/>
      <c r="CI247" s="2058"/>
      <c r="CJ247" s="2058"/>
      <c r="CK247" s="2058"/>
      <c r="CL247" s="2058"/>
      <c r="CM247" s="2058"/>
      <c r="CN247" s="2058"/>
      <c r="CO247" s="2058"/>
      <c r="CP247" s="2058"/>
      <c r="CQ247" s="2058"/>
      <c r="CR247" s="2058"/>
      <c r="CS247" s="2058"/>
      <c r="CT247" s="2058"/>
      <c r="CU247" s="2058"/>
      <c r="CV247" s="2058"/>
      <c r="CW247" s="2058"/>
      <c r="CX247" s="2058"/>
      <c r="CY247" s="2058"/>
      <c r="CZ247" s="2058"/>
      <c r="DA247" s="2058"/>
      <c r="DB247" s="2058"/>
      <c r="DC247" s="2058"/>
      <c r="DD247" s="2058"/>
      <c r="DE247" s="2058"/>
      <c r="DF247" s="2058"/>
      <c r="DG247" s="2058"/>
      <c r="DH247" s="2058"/>
      <c r="DI247" s="2058"/>
      <c r="DJ247" s="2058"/>
      <c r="DK247" s="2058"/>
      <c r="DL247" s="2058"/>
      <c r="DM247" s="2058"/>
      <c r="DN247" s="2058"/>
      <c r="DO247" s="2058"/>
      <c r="DP247" s="2058"/>
      <c r="DQ247" s="2058"/>
      <c r="DR247" s="2058"/>
      <c r="DS247" s="2058"/>
      <c r="DT247" s="2058"/>
      <c r="DU247" s="2058"/>
      <c r="DV247" s="2058"/>
      <c r="DW247" s="2058"/>
      <c r="DX247" s="2058"/>
      <c r="DY247" s="2058"/>
      <c r="DZ247" s="2058"/>
      <c r="EA247" s="2058"/>
      <c r="EB247" s="2058"/>
      <c r="EC247" s="2058"/>
      <c r="ED247" s="2058"/>
      <c r="EE247" s="2058"/>
      <c r="EF247" s="2058"/>
      <c r="EG247" s="2058"/>
      <c r="EH247" s="2058"/>
      <c r="EI247" s="2058"/>
      <c r="EJ247" s="2058"/>
      <c r="EK247" s="2058"/>
      <c r="EL247" s="2058"/>
      <c r="EM247" s="2058"/>
      <c r="EN247" s="2058"/>
      <c r="EO247" s="2058"/>
      <c r="EP247" s="2058"/>
      <c r="EQ247" s="2058"/>
      <c r="ER247" s="2058"/>
      <c r="ES247" s="2058"/>
      <c r="ET247" s="2058"/>
      <c r="EU247" s="2058"/>
      <c r="EV247" s="2058"/>
      <c r="EW247" s="2058"/>
      <c r="EX247" s="2058"/>
      <c r="EY247" s="2058"/>
      <c r="EZ247" s="2058"/>
      <c r="FA247" s="2058"/>
      <c r="FB247" s="2058"/>
      <c r="FC247" s="2058"/>
      <c r="FD247" s="2058"/>
      <c r="FE247" s="2058"/>
      <c r="FF247" s="2058"/>
      <c r="FG247" s="2058"/>
      <c r="FH247" s="2058"/>
      <c r="FI247" s="2058"/>
      <c r="FJ247" s="2058"/>
      <c r="FK247" s="1548"/>
      <c r="FL247" s="1548"/>
      <c r="FM247" s="1548"/>
      <c r="FN247" s="1548"/>
      <c r="FO247" s="1548"/>
      <c r="FP247" s="1548"/>
      <c r="FQ247" s="1548"/>
      <c r="FR247" s="1548"/>
      <c r="FS247" s="1548"/>
      <c r="FT247" s="1548"/>
      <c r="FU247" s="1548"/>
      <c r="FV247" s="1548"/>
      <c r="FW247" s="1548"/>
      <c r="FX247" s="1548"/>
      <c r="FY247" s="1548"/>
      <c r="FZ247" s="1548"/>
      <c r="GA247" s="1548"/>
      <c r="GB247" s="1548"/>
      <c r="GC247" s="1548"/>
      <c r="GD247" s="1548"/>
      <c r="GE247" s="1548"/>
      <c r="GF247" s="1548"/>
      <c r="GG247" s="1548"/>
      <c r="GH247" s="1548"/>
      <c r="GI247" s="1548"/>
      <c r="GJ247" s="1548"/>
      <c r="GK247" s="1548"/>
      <c r="GL247" s="1548"/>
      <c r="GM247" s="1548"/>
      <c r="GN247" s="1548"/>
      <c r="GO247" s="1548"/>
      <c r="GP247" s="1548"/>
      <c r="GQ247" s="1548"/>
      <c r="GR247" s="1548"/>
      <c r="GS247" s="1548"/>
      <c r="GT247" s="1548"/>
      <c r="GU247" s="1548"/>
      <c r="GV247" s="1548"/>
      <c r="GW247" s="1548"/>
      <c r="GX247" s="1548"/>
      <c r="GY247" s="1548"/>
      <c r="GZ247" s="1548"/>
      <c r="HA247" s="1548"/>
      <c r="HB247" s="1548"/>
      <c r="HC247" s="1548"/>
      <c r="HD247" s="1548"/>
      <c r="HE247" s="1548"/>
      <c r="HF247" s="1548"/>
      <c r="HG247" s="1548"/>
      <c r="HH247" s="1548"/>
      <c r="HI247" s="1548"/>
      <c r="HJ247" s="1548"/>
      <c r="HK247" s="1548"/>
      <c r="HL247" s="1548"/>
      <c r="HM247" s="1548"/>
      <c r="HN247" s="1548"/>
      <c r="HO247" s="1548"/>
      <c r="HP247" s="1548"/>
      <c r="HQ247" s="1548"/>
      <c r="HR247" s="1548"/>
      <c r="HS247" s="1548"/>
      <c r="HT247" s="1548"/>
      <c r="HU247" s="1548"/>
      <c r="HV247" s="1548"/>
      <c r="HW247" s="1548"/>
      <c r="HX247" s="1548"/>
      <c r="HY247" s="1548"/>
      <c r="HZ247" s="1548"/>
      <c r="IA247" s="1548"/>
      <c r="IB247" s="1548"/>
      <c r="IC247" s="1548"/>
      <c r="ID247" s="1548"/>
      <c r="IE247" s="1548"/>
      <c r="IF247" s="1548"/>
      <c r="IG247" s="1548"/>
      <c r="IH247" s="1548"/>
    </row>
    <row r="248" spans="1:242" ht="12.75">
      <c r="A248" s="1548"/>
      <c r="B248" s="1548"/>
      <c r="C248" s="1548"/>
      <c r="D248" s="1548"/>
      <c r="E248" s="1548"/>
      <c r="F248" s="1548"/>
      <c r="G248" s="1548"/>
      <c r="H248" s="2058"/>
      <c r="I248" s="2058"/>
      <c r="J248" s="2058"/>
      <c r="K248" s="2058"/>
      <c r="L248" s="2058"/>
      <c r="M248" s="2058"/>
      <c r="N248" s="2058"/>
      <c r="O248" s="2058"/>
      <c r="P248" s="2058"/>
      <c r="Q248" s="2058"/>
      <c r="R248" s="2058"/>
      <c r="S248" s="2058"/>
      <c r="T248" s="2058"/>
      <c r="U248" s="2058"/>
      <c r="V248" s="2058"/>
      <c r="W248" s="2058"/>
      <c r="X248" s="2058"/>
      <c r="Y248" s="2058"/>
      <c r="Z248" s="2058"/>
      <c r="AA248" s="2058"/>
      <c r="AB248" s="2058"/>
      <c r="AC248" s="2058"/>
      <c r="AD248" s="2058"/>
      <c r="AE248" s="2058"/>
      <c r="AF248" s="2058"/>
      <c r="AG248" s="2058"/>
      <c r="AH248" s="2058"/>
      <c r="AI248" s="2058"/>
      <c r="AJ248" s="2058"/>
      <c r="AK248" s="2058"/>
      <c r="AL248" s="2058"/>
      <c r="AM248" s="2058"/>
      <c r="AN248" s="2058"/>
      <c r="AO248" s="2058"/>
      <c r="AP248" s="2058"/>
      <c r="AQ248" s="2058"/>
      <c r="AR248" s="2058"/>
      <c r="AS248" s="2058"/>
      <c r="AT248" s="2058"/>
      <c r="AU248" s="2058"/>
      <c r="AV248" s="2058"/>
      <c r="AW248" s="2058"/>
      <c r="AX248" s="2058"/>
      <c r="AY248" s="2058"/>
      <c r="AZ248" s="2058"/>
      <c r="BA248" s="2058"/>
      <c r="BB248" s="2058"/>
      <c r="BC248" s="2058"/>
      <c r="BD248" s="2058"/>
      <c r="BE248" s="2058"/>
      <c r="BF248" s="2058"/>
      <c r="BG248" s="2058"/>
      <c r="BH248" s="2058"/>
      <c r="BI248" s="2058"/>
      <c r="BJ248" s="2058"/>
      <c r="BK248" s="2058"/>
      <c r="BL248" s="2058"/>
      <c r="BM248" s="2058"/>
      <c r="BN248" s="2058"/>
      <c r="BO248" s="2058"/>
      <c r="BP248" s="2058"/>
      <c r="BQ248" s="2058"/>
      <c r="BR248" s="2058"/>
      <c r="BS248" s="2058"/>
      <c r="BT248" s="2058"/>
      <c r="BU248" s="2058"/>
      <c r="BV248" s="2058"/>
      <c r="BW248" s="2058"/>
      <c r="BX248" s="2058"/>
      <c r="BY248" s="2058"/>
      <c r="BZ248" s="2058"/>
      <c r="CA248" s="2058"/>
      <c r="CB248" s="2058"/>
      <c r="CC248" s="2058"/>
      <c r="CD248" s="2058"/>
      <c r="CE248" s="2058"/>
      <c r="CF248" s="2058"/>
      <c r="CG248" s="2058"/>
      <c r="CH248" s="2058"/>
      <c r="CI248" s="2058"/>
      <c r="CJ248" s="2058"/>
      <c r="CK248" s="2058"/>
      <c r="CL248" s="2058"/>
      <c r="CM248" s="2058"/>
      <c r="CN248" s="2058"/>
      <c r="CO248" s="2058"/>
      <c r="CP248" s="2058"/>
      <c r="CQ248" s="2058"/>
      <c r="CR248" s="2058"/>
      <c r="CS248" s="2058"/>
      <c r="CT248" s="2058"/>
      <c r="CU248" s="2058"/>
      <c r="CV248" s="2058"/>
      <c r="CW248" s="2058"/>
      <c r="CX248" s="2058"/>
      <c r="CY248" s="2058"/>
      <c r="CZ248" s="2058"/>
      <c r="DA248" s="2058"/>
      <c r="DB248" s="2058"/>
      <c r="DC248" s="2058"/>
      <c r="DD248" s="2058"/>
      <c r="DE248" s="2058"/>
      <c r="DF248" s="2058"/>
      <c r="DG248" s="2058"/>
      <c r="DH248" s="2058"/>
      <c r="DI248" s="2058"/>
      <c r="DJ248" s="2058"/>
      <c r="DK248" s="2058"/>
      <c r="DL248" s="2058"/>
      <c r="DM248" s="2058"/>
      <c r="DN248" s="2058"/>
      <c r="DO248" s="2058"/>
      <c r="DP248" s="2058"/>
      <c r="DQ248" s="2058"/>
      <c r="DR248" s="2058"/>
      <c r="DS248" s="2058"/>
      <c r="DT248" s="2058"/>
      <c r="DU248" s="2058"/>
      <c r="DV248" s="2058"/>
      <c r="DW248" s="2058"/>
      <c r="DX248" s="2058"/>
      <c r="DY248" s="2058"/>
      <c r="DZ248" s="2058"/>
      <c r="EA248" s="2058"/>
      <c r="EB248" s="2058"/>
      <c r="EC248" s="2058"/>
      <c r="ED248" s="2058"/>
      <c r="EE248" s="2058"/>
      <c r="EF248" s="2058"/>
      <c r="EG248" s="2058"/>
      <c r="EH248" s="2058"/>
      <c r="EI248" s="2058"/>
      <c r="EJ248" s="2058"/>
      <c r="EK248" s="2058"/>
      <c r="EL248" s="2058"/>
      <c r="EM248" s="2058"/>
      <c r="EN248" s="2058"/>
      <c r="EO248" s="2058"/>
      <c r="EP248" s="2058"/>
      <c r="EQ248" s="2058"/>
      <c r="ER248" s="2058"/>
      <c r="ES248" s="2058"/>
      <c r="ET248" s="2058"/>
      <c r="EU248" s="2058"/>
      <c r="EV248" s="2058"/>
      <c r="EW248" s="2058"/>
      <c r="EX248" s="2058"/>
      <c r="EY248" s="2058"/>
      <c r="EZ248" s="2058"/>
      <c r="FA248" s="2058"/>
      <c r="FB248" s="2058"/>
      <c r="FC248" s="2058"/>
      <c r="FD248" s="2058"/>
      <c r="FE248" s="2058"/>
      <c r="FF248" s="2058"/>
      <c r="FG248" s="2058"/>
      <c r="FH248" s="2058"/>
      <c r="FI248" s="2058"/>
      <c r="FJ248" s="2058"/>
      <c r="FK248" s="1548"/>
      <c r="FL248" s="1548"/>
      <c r="FM248" s="1548"/>
      <c r="FN248" s="1548"/>
      <c r="FO248" s="1548"/>
      <c r="FP248" s="1548"/>
      <c r="FQ248" s="1548"/>
      <c r="FR248" s="1548"/>
      <c r="FS248" s="1548"/>
      <c r="FT248" s="1548"/>
      <c r="FU248" s="1548"/>
      <c r="FV248" s="1548"/>
      <c r="FW248" s="1548"/>
      <c r="FX248" s="1548"/>
      <c r="FY248" s="1548"/>
      <c r="FZ248" s="1548"/>
      <c r="GA248" s="1548"/>
      <c r="GB248" s="1548"/>
      <c r="GC248" s="1548"/>
      <c r="GD248" s="1548"/>
      <c r="GE248" s="1548"/>
      <c r="GF248" s="1548"/>
      <c r="GG248" s="1548"/>
      <c r="GH248" s="1548"/>
      <c r="GI248" s="1548"/>
      <c r="GJ248" s="1548"/>
      <c r="GK248" s="1548"/>
      <c r="GL248" s="1548"/>
      <c r="GM248" s="1548"/>
      <c r="GN248" s="1548"/>
      <c r="GO248" s="1548"/>
      <c r="GP248" s="1548"/>
      <c r="GQ248" s="1548"/>
      <c r="GR248" s="1548"/>
      <c r="GS248" s="1548"/>
      <c r="GT248" s="1548"/>
      <c r="GU248" s="1548"/>
      <c r="GV248" s="1548"/>
      <c r="GW248" s="1548"/>
      <c r="GX248" s="1548"/>
      <c r="GY248" s="1548"/>
      <c r="GZ248" s="1548"/>
      <c r="HA248" s="1548"/>
      <c r="HB248" s="1548"/>
      <c r="HC248" s="1548"/>
      <c r="HD248" s="1548"/>
      <c r="HE248" s="1548"/>
      <c r="HF248" s="1548"/>
      <c r="HG248" s="1548"/>
      <c r="HH248" s="1548"/>
      <c r="HI248" s="1548"/>
      <c r="HJ248" s="1548"/>
      <c r="HK248" s="1548"/>
      <c r="HL248" s="1548"/>
      <c r="HM248" s="1548"/>
      <c r="HN248" s="1548"/>
      <c r="HO248" s="1548"/>
      <c r="HP248" s="1548"/>
      <c r="HQ248" s="1548"/>
      <c r="HR248" s="1548"/>
      <c r="HS248" s="1548"/>
      <c r="HT248" s="1548"/>
      <c r="HU248" s="1548"/>
      <c r="HV248" s="1548"/>
      <c r="HW248" s="1548"/>
      <c r="HX248" s="1548"/>
      <c r="HY248" s="1548"/>
      <c r="HZ248" s="1548"/>
      <c r="IA248" s="1548"/>
      <c r="IB248" s="1548"/>
      <c r="IC248" s="1548"/>
      <c r="ID248" s="1548"/>
      <c r="IE248" s="1548"/>
      <c r="IF248" s="1548"/>
      <c r="IG248" s="1548"/>
      <c r="IH248" s="1548"/>
    </row>
    <row r="258" spans="1:242" s="1286" customFormat="1">
      <c r="C258" s="1603"/>
      <c r="D258" s="1603"/>
      <c r="E258" s="1603"/>
      <c r="H258" s="2029"/>
      <c r="I258" s="2029"/>
      <c r="J258" s="2029"/>
      <c r="K258" s="2029"/>
      <c r="L258" s="2029"/>
      <c r="M258" s="2029"/>
      <c r="N258" s="2029"/>
      <c r="O258" s="2029"/>
      <c r="P258" s="2029"/>
      <c r="Q258" s="2029"/>
      <c r="R258" s="2029"/>
      <c r="S258" s="2029"/>
      <c r="T258" s="2029"/>
      <c r="U258" s="2029"/>
      <c r="V258" s="2029"/>
      <c r="W258" s="2029"/>
      <c r="X258" s="2029"/>
      <c r="Y258" s="2029"/>
      <c r="Z258" s="2029"/>
      <c r="AA258" s="2029"/>
      <c r="AB258" s="2029"/>
      <c r="AC258" s="2029"/>
      <c r="AD258" s="2029"/>
      <c r="AE258" s="2029"/>
      <c r="AF258" s="2029"/>
      <c r="AG258" s="2029"/>
      <c r="AH258" s="2029"/>
      <c r="AI258" s="2029"/>
      <c r="AJ258" s="2029"/>
      <c r="AK258" s="2029"/>
      <c r="AL258" s="2029"/>
      <c r="AM258" s="2029"/>
      <c r="AN258" s="2029"/>
      <c r="AO258" s="2029"/>
      <c r="AP258" s="2029"/>
      <c r="AQ258" s="2029"/>
      <c r="AR258" s="2029"/>
      <c r="AS258" s="2029"/>
      <c r="AT258" s="2029"/>
      <c r="AU258" s="2029"/>
      <c r="AV258" s="2029"/>
      <c r="AW258" s="2029"/>
      <c r="AX258" s="2029"/>
      <c r="AY258" s="2029"/>
      <c r="AZ258" s="2029"/>
      <c r="BA258" s="2029"/>
      <c r="BB258" s="2029"/>
      <c r="BC258" s="2029"/>
      <c r="BD258" s="2029"/>
      <c r="BE258" s="2029"/>
      <c r="BF258" s="2029"/>
      <c r="BG258" s="2029"/>
      <c r="BH258" s="2029"/>
      <c r="BI258" s="2029"/>
      <c r="BJ258" s="2029"/>
      <c r="BK258" s="2029"/>
      <c r="BL258" s="2029"/>
      <c r="BM258" s="2029"/>
      <c r="BN258" s="2029"/>
      <c r="BO258" s="2029"/>
      <c r="BP258" s="2029"/>
      <c r="BQ258" s="2029"/>
      <c r="BR258" s="2029"/>
      <c r="BS258" s="2029"/>
      <c r="BT258" s="2029"/>
      <c r="BU258" s="2029"/>
      <c r="BV258" s="2029"/>
      <c r="BW258" s="2029"/>
      <c r="BX258" s="2029"/>
      <c r="BY258" s="2029"/>
      <c r="BZ258" s="2029"/>
      <c r="CA258" s="2029"/>
      <c r="CB258" s="2029"/>
      <c r="CC258" s="2029"/>
      <c r="CD258" s="2029"/>
      <c r="CE258" s="2029"/>
      <c r="CF258" s="2029"/>
      <c r="CG258" s="2029"/>
      <c r="CH258" s="2029"/>
      <c r="CI258" s="2029"/>
      <c r="CJ258" s="2029"/>
      <c r="CK258" s="2029"/>
      <c r="CL258" s="2029"/>
      <c r="CM258" s="2029"/>
      <c r="CN258" s="2029"/>
      <c r="CO258" s="2029"/>
      <c r="CP258" s="2029"/>
      <c r="CQ258" s="2029"/>
      <c r="CR258" s="2029"/>
      <c r="CS258" s="2029"/>
      <c r="CT258" s="2029"/>
      <c r="CU258" s="2029"/>
      <c r="CV258" s="2029"/>
      <c r="CW258" s="2029"/>
      <c r="CX258" s="2029"/>
      <c r="CY258" s="2029"/>
      <c r="CZ258" s="2029"/>
      <c r="DA258" s="2029"/>
      <c r="DB258" s="2029"/>
      <c r="DC258" s="2029"/>
      <c r="DD258" s="2029"/>
      <c r="DE258" s="2029"/>
      <c r="DF258" s="2029"/>
      <c r="DG258" s="2029"/>
      <c r="DH258" s="2029"/>
      <c r="DI258" s="2029"/>
      <c r="DJ258" s="2029"/>
      <c r="DK258" s="2029"/>
      <c r="DL258" s="2029"/>
      <c r="DM258" s="2029"/>
      <c r="DN258" s="2029"/>
      <c r="DO258" s="2029"/>
      <c r="DP258" s="2029"/>
      <c r="DQ258" s="2029"/>
      <c r="DR258" s="2029"/>
      <c r="DS258" s="2029"/>
      <c r="DT258" s="2029"/>
      <c r="DU258" s="2029"/>
      <c r="DV258" s="2029"/>
      <c r="DW258" s="2029"/>
      <c r="DX258" s="2029"/>
      <c r="DY258" s="2029"/>
      <c r="DZ258" s="2029"/>
      <c r="EA258" s="2029"/>
      <c r="EB258" s="2029"/>
      <c r="EC258" s="2029"/>
      <c r="ED258" s="2029"/>
      <c r="EE258" s="2029"/>
      <c r="EF258" s="2029"/>
      <c r="EG258" s="2029"/>
      <c r="EH258" s="2029"/>
      <c r="EI258" s="2029"/>
      <c r="EJ258" s="2029"/>
      <c r="EK258" s="2029"/>
      <c r="EL258" s="2029"/>
      <c r="EM258" s="2029"/>
      <c r="EN258" s="2029"/>
      <c r="EO258" s="2029"/>
      <c r="EP258" s="2029"/>
      <c r="EQ258" s="2029"/>
      <c r="ER258" s="2029"/>
      <c r="ES258" s="2029"/>
      <c r="ET258" s="2029"/>
      <c r="EU258" s="2029"/>
      <c r="EV258" s="2029"/>
      <c r="EW258" s="2029"/>
      <c r="EX258" s="2029"/>
      <c r="EY258" s="2029"/>
      <c r="EZ258" s="2029"/>
      <c r="FA258" s="2029"/>
      <c r="FB258" s="2029"/>
      <c r="FC258" s="2029"/>
      <c r="FD258" s="2029"/>
      <c r="FE258" s="2029"/>
      <c r="FF258" s="2029"/>
      <c r="FG258" s="2029"/>
      <c r="FH258" s="2029"/>
      <c r="FI258" s="2029"/>
      <c r="FJ258" s="2029"/>
    </row>
    <row r="259" spans="1:242" s="1286" customFormat="1">
      <c r="C259" s="1603"/>
      <c r="D259" s="1603"/>
      <c r="E259" s="1603"/>
      <c r="H259" s="2029"/>
      <c r="I259" s="2029"/>
      <c r="J259" s="2029"/>
      <c r="K259" s="2029"/>
      <c r="L259" s="2029"/>
      <c r="M259" s="2029"/>
      <c r="N259" s="2029"/>
      <c r="O259" s="2029"/>
      <c r="P259" s="2029"/>
      <c r="Q259" s="2029"/>
      <c r="R259" s="2029"/>
      <c r="S259" s="2029"/>
      <c r="T259" s="2029"/>
      <c r="U259" s="2029"/>
      <c r="V259" s="2029"/>
      <c r="W259" s="2029"/>
      <c r="X259" s="2029"/>
      <c r="Y259" s="2029"/>
      <c r="Z259" s="2029"/>
      <c r="AA259" s="2029"/>
      <c r="AB259" s="2029"/>
      <c r="AC259" s="2029"/>
      <c r="AD259" s="2029"/>
      <c r="AE259" s="2029"/>
      <c r="AF259" s="2029"/>
      <c r="AG259" s="2029"/>
      <c r="AH259" s="2029"/>
      <c r="AI259" s="2029"/>
      <c r="AJ259" s="2029"/>
      <c r="AK259" s="2029"/>
      <c r="AL259" s="2029"/>
      <c r="AM259" s="2029"/>
      <c r="AN259" s="2029"/>
      <c r="AO259" s="2029"/>
      <c r="AP259" s="2029"/>
      <c r="AQ259" s="2029"/>
      <c r="AR259" s="2029"/>
      <c r="AS259" s="2029"/>
      <c r="AT259" s="2029"/>
      <c r="AU259" s="2029"/>
      <c r="AV259" s="2029"/>
      <c r="AW259" s="2029"/>
      <c r="AX259" s="2029"/>
      <c r="AY259" s="2029"/>
      <c r="AZ259" s="2029"/>
      <c r="BA259" s="2029"/>
      <c r="BB259" s="2029"/>
      <c r="BC259" s="2029"/>
      <c r="BD259" s="2029"/>
      <c r="BE259" s="2029"/>
      <c r="BF259" s="2029"/>
      <c r="BG259" s="2029"/>
      <c r="BH259" s="2029"/>
      <c r="BI259" s="2029"/>
      <c r="BJ259" s="2029"/>
      <c r="BK259" s="2029"/>
      <c r="BL259" s="2029"/>
      <c r="BM259" s="2029"/>
      <c r="BN259" s="2029"/>
      <c r="BO259" s="2029"/>
      <c r="BP259" s="2029"/>
      <c r="BQ259" s="2029"/>
      <c r="BR259" s="2029"/>
      <c r="BS259" s="2029"/>
      <c r="BT259" s="2029"/>
      <c r="BU259" s="2029"/>
      <c r="BV259" s="2029"/>
      <c r="BW259" s="2029"/>
      <c r="BX259" s="2029"/>
      <c r="BY259" s="2029"/>
      <c r="BZ259" s="2029"/>
      <c r="CA259" s="2029"/>
      <c r="CB259" s="2029"/>
      <c r="CC259" s="2029"/>
      <c r="CD259" s="2029"/>
      <c r="CE259" s="2029"/>
      <c r="CF259" s="2029"/>
      <c r="CG259" s="2029"/>
      <c r="CH259" s="2029"/>
      <c r="CI259" s="2029"/>
      <c r="CJ259" s="2029"/>
      <c r="CK259" s="2029"/>
      <c r="CL259" s="2029"/>
      <c r="CM259" s="2029"/>
      <c r="CN259" s="2029"/>
      <c r="CO259" s="2029"/>
      <c r="CP259" s="2029"/>
      <c r="CQ259" s="2029"/>
      <c r="CR259" s="2029"/>
      <c r="CS259" s="2029"/>
      <c r="CT259" s="2029"/>
      <c r="CU259" s="2029"/>
      <c r="CV259" s="2029"/>
      <c r="CW259" s="2029"/>
      <c r="CX259" s="2029"/>
      <c r="CY259" s="2029"/>
      <c r="CZ259" s="2029"/>
      <c r="DA259" s="2029"/>
      <c r="DB259" s="2029"/>
      <c r="DC259" s="2029"/>
      <c r="DD259" s="2029"/>
      <c r="DE259" s="2029"/>
      <c r="DF259" s="2029"/>
      <c r="DG259" s="2029"/>
      <c r="DH259" s="2029"/>
      <c r="DI259" s="2029"/>
      <c r="DJ259" s="2029"/>
      <c r="DK259" s="2029"/>
      <c r="DL259" s="2029"/>
      <c r="DM259" s="2029"/>
      <c r="DN259" s="2029"/>
      <c r="DO259" s="2029"/>
      <c r="DP259" s="2029"/>
      <c r="DQ259" s="2029"/>
      <c r="DR259" s="2029"/>
      <c r="DS259" s="2029"/>
      <c r="DT259" s="2029"/>
      <c r="DU259" s="2029"/>
      <c r="DV259" s="2029"/>
      <c r="DW259" s="2029"/>
      <c r="DX259" s="2029"/>
      <c r="DY259" s="2029"/>
      <c r="DZ259" s="2029"/>
      <c r="EA259" s="2029"/>
      <c r="EB259" s="2029"/>
      <c r="EC259" s="2029"/>
      <c r="ED259" s="2029"/>
      <c r="EE259" s="2029"/>
      <c r="EF259" s="2029"/>
      <c r="EG259" s="2029"/>
      <c r="EH259" s="2029"/>
      <c r="EI259" s="2029"/>
      <c r="EJ259" s="2029"/>
      <c r="EK259" s="2029"/>
      <c r="EL259" s="2029"/>
      <c r="EM259" s="2029"/>
      <c r="EN259" s="2029"/>
      <c r="EO259" s="2029"/>
      <c r="EP259" s="2029"/>
      <c r="EQ259" s="2029"/>
      <c r="ER259" s="2029"/>
      <c r="ES259" s="2029"/>
      <c r="ET259" s="2029"/>
      <c r="EU259" s="2029"/>
      <c r="EV259" s="2029"/>
      <c r="EW259" s="2029"/>
      <c r="EX259" s="2029"/>
      <c r="EY259" s="2029"/>
      <c r="EZ259" s="2029"/>
      <c r="FA259" s="2029"/>
      <c r="FB259" s="2029"/>
      <c r="FC259" s="2029"/>
      <c r="FD259" s="2029"/>
      <c r="FE259" s="2029"/>
      <c r="FF259" s="2029"/>
      <c r="FG259" s="2029"/>
      <c r="FH259" s="2029"/>
      <c r="FI259" s="2029"/>
      <c r="FJ259" s="2029"/>
    </row>
    <row r="260" spans="1:242">
      <c r="A260" s="1548"/>
      <c r="B260" s="1548"/>
      <c r="F260" s="1548"/>
      <c r="G260" s="1548"/>
      <c r="H260" s="2058"/>
      <c r="I260" s="2058"/>
      <c r="J260" s="2058"/>
      <c r="K260" s="2058"/>
      <c r="L260" s="2058"/>
      <c r="M260" s="2058"/>
      <c r="N260" s="2058"/>
      <c r="O260" s="2058"/>
      <c r="P260" s="2058"/>
      <c r="Q260" s="2058"/>
      <c r="R260" s="2058"/>
      <c r="S260" s="2058"/>
      <c r="T260" s="2058"/>
      <c r="U260" s="2058"/>
      <c r="V260" s="2058"/>
      <c r="W260" s="2058"/>
      <c r="X260" s="2058"/>
      <c r="Y260" s="2058"/>
      <c r="Z260" s="2058"/>
      <c r="AA260" s="2058"/>
      <c r="AB260" s="2058"/>
      <c r="AC260" s="2058"/>
      <c r="AD260" s="2058"/>
      <c r="AE260" s="2058"/>
      <c r="AF260" s="2058"/>
      <c r="AG260" s="2058"/>
      <c r="AH260" s="2058"/>
      <c r="AI260" s="2058"/>
      <c r="AJ260" s="2058"/>
      <c r="AK260" s="2058"/>
      <c r="AL260" s="2058"/>
      <c r="AM260" s="2058"/>
      <c r="AN260" s="2058"/>
      <c r="AO260" s="2058"/>
      <c r="AP260" s="2058"/>
      <c r="AQ260" s="2058"/>
      <c r="AR260" s="2058"/>
      <c r="AS260" s="2058"/>
      <c r="AT260" s="2058"/>
      <c r="AU260" s="2058"/>
      <c r="AV260" s="2058"/>
      <c r="AW260" s="2058"/>
      <c r="AX260" s="2058"/>
      <c r="AY260" s="2058"/>
      <c r="AZ260" s="2058"/>
      <c r="BA260" s="2058"/>
      <c r="BB260" s="2058"/>
      <c r="BC260" s="2058"/>
      <c r="BD260" s="2058"/>
      <c r="BE260" s="2058"/>
      <c r="BF260" s="2058"/>
      <c r="BG260" s="2058"/>
      <c r="BH260" s="2058"/>
      <c r="BI260" s="2058"/>
      <c r="BJ260" s="2058"/>
      <c r="BK260" s="2058"/>
      <c r="BL260" s="2058"/>
      <c r="BM260" s="2058"/>
      <c r="BN260" s="2058"/>
      <c r="BO260" s="2058"/>
      <c r="BP260" s="2058"/>
      <c r="BQ260" s="2058"/>
      <c r="BR260" s="2058"/>
      <c r="BS260" s="2058"/>
      <c r="BT260" s="2058"/>
      <c r="BU260" s="2058"/>
      <c r="BV260" s="2058"/>
      <c r="BW260" s="2058"/>
      <c r="BX260" s="2058"/>
      <c r="BY260" s="2058"/>
      <c r="BZ260" s="2058"/>
      <c r="CA260" s="2058"/>
      <c r="CB260" s="2058"/>
      <c r="CC260" s="2058"/>
      <c r="CD260" s="2058"/>
      <c r="CE260" s="2058"/>
      <c r="CF260" s="2058"/>
      <c r="CG260" s="2058"/>
      <c r="CH260" s="2058"/>
      <c r="CI260" s="2058"/>
      <c r="CJ260" s="2058"/>
      <c r="CK260" s="2058"/>
      <c r="CL260" s="2058"/>
      <c r="CM260" s="2058"/>
      <c r="CN260" s="2058"/>
      <c r="CO260" s="2058"/>
      <c r="CP260" s="2058"/>
      <c r="CQ260" s="2058"/>
      <c r="CR260" s="2058"/>
      <c r="CS260" s="2058"/>
      <c r="CT260" s="2058"/>
      <c r="CU260" s="2058"/>
      <c r="CV260" s="2058"/>
      <c r="CW260" s="2058"/>
      <c r="CX260" s="2058"/>
      <c r="CY260" s="2058"/>
      <c r="CZ260" s="2058"/>
      <c r="DA260" s="2058"/>
      <c r="DB260" s="2058"/>
      <c r="DC260" s="2058"/>
      <c r="DD260" s="2058"/>
      <c r="DE260" s="2058"/>
      <c r="DF260" s="2058"/>
      <c r="DG260" s="2058"/>
      <c r="DH260" s="2058"/>
      <c r="DI260" s="2058"/>
      <c r="DJ260" s="2058"/>
      <c r="DK260" s="2058"/>
      <c r="DL260" s="2058"/>
      <c r="DM260" s="2058"/>
      <c r="DN260" s="2058"/>
      <c r="DO260" s="2058"/>
      <c r="DP260" s="2058"/>
      <c r="DQ260" s="2058"/>
      <c r="DR260" s="2058"/>
      <c r="DS260" s="2058"/>
      <c r="DT260" s="2058"/>
      <c r="DU260" s="2058"/>
      <c r="DV260" s="2058"/>
      <c r="DW260" s="2058"/>
      <c r="DX260" s="2058"/>
      <c r="DY260" s="2058"/>
      <c r="DZ260" s="2058"/>
      <c r="EA260" s="2058"/>
      <c r="EB260" s="2058"/>
      <c r="EC260" s="2058"/>
      <c r="ED260" s="2058"/>
      <c r="EE260" s="2058"/>
      <c r="EF260" s="2058"/>
      <c r="EG260" s="2058"/>
      <c r="EH260" s="2058"/>
      <c r="EI260" s="2058"/>
      <c r="EJ260" s="2058"/>
      <c r="EK260" s="2058"/>
      <c r="EL260" s="2058"/>
      <c r="EM260" s="2058"/>
      <c r="EN260" s="2058"/>
      <c r="EO260" s="2058"/>
      <c r="EP260" s="2058"/>
      <c r="EQ260" s="2058"/>
      <c r="ER260" s="2058"/>
      <c r="ES260" s="2058"/>
      <c r="ET260" s="2058"/>
      <c r="EU260" s="2058"/>
      <c r="EV260" s="2058"/>
      <c r="EW260" s="2058"/>
      <c r="EX260" s="2058"/>
      <c r="EY260" s="2058"/>
      <c r="EZ260" s="2058"/>
      <c r="FA260" s="2058"/>
      <c r="FB260" s="2058"/>
      <c r="FC260" s="2058"/>
      <c r="FD260" s="2058"/>
      <c r="FE260" s="2058"/>
      <c r="FF260" s="2058"/>
      <c r="FG260" s="2058"/>
      <c r="FH260" s="2058"/>
      <c r="FI260" s="2058"/>
      <c r="FJ260" s="2058"/>
      <c r="FK260" s="1548"/>
      <c r="FL260" s="1548"/>
      <c r="FM260" s="1548"/>
      <c r="FN260" s="1548"/>
      <c r="FO260" s="1548"/>
      <c r="FP260" s="1548"/>
      <c r="FQ260" s="1548"/>
      <c r="FR260" s="1548"/>
      <c r="FS260" s="1548"/>
      <c r="FT260" s="1548"/>
      <c r="FU260" s="1548"/>
      <c r="FV260" s="1548"/>
      <c r="FW260" s="1548"/>
      <c r="FX260" s="1548"/>
      <c r="FY260" s="1548"/>
      <c r="FZ260" s="1548"/>
      <c r="GA260" s="1548"/>
      <c r="GB260" s="1548"/>
      <c r="GC260" s="1548"/>
      <c r="GD260" s="1548"/>
      <c r="GE260" s="1548"/>
      <c r="GF260" s="1548"/>
      <c r="GG260" s="1548"/>
      <c r="GH260" s="1548"/>
      <c r="GI260" s="1548"/>
      <c r="GJ260" s="1548"/>
      <c r="GK260" s="1548"/>
      <c r="GL260" s="1548"/>
      <c r="GM260" s="1548"/>
      <c r="GN260" s="1548"/>
      <c r="GO260" s="1548"/>
      <c r="GP260" s="1548"/>
      <c r="GQ260" s="1548"/>
      <c r="GR260" s="1548"/>
      <c r="GS260" s="1548"/>
      <c r="GT260" s="1548"/>
      <c r="GU260" s="1548"/>
      <c r="GV260" s="1548"/>
      <c r="GW260" s="1548"/>
      <c r="GX260" s="1548"/>
      <c r="GY260" s="1548"/>
      <c r="GZ260" s="1548"/>
      <c r="HA260" s="1548"/>
      <c r="HB260" s="1548"/>
      <c r="HC260" s="1548"/>
      <c r="HD260" s="1548"/>
      <c r="HE260" s="1548"/>
      <c r="HF260" s="1548"/>
      <c r="HG260" s="1548"/>
      <c r="HH260" s="1548"/>
      <c r="HI260" s="1548"/>
      <c r="HJ260" s="1548"/>
      <c r="HK260" s="1548"/>
      <c r="HL260" s="1548"/>
      <c r="HM260" s="1548"/>
      <c r="HN260" s="1548"/>
      <c r="HO260" s="1548"/>
      <c r="HP260" s="1548"/>
      <c r="HQ260" s="1548"/>
      <c r="HR260" s="1548"/>
      <c r="HS260" s="1548"/>
      <c r="HT260" s="1548"/>
      <c r="HU260" s="1548"/>
      <c r="HV260" s="1548"/>
      <c r="HW260" s="1548"/>
      <c r="HX260" s="1548"/>
      <c r="HY260" s="1548"/>
      <c r="HZ260" s="1548"/>
      <c r="IA260" s="1548"/>
      <c r="IB260" s="1548"/>
      <c r="IC260" s="1548"/>
      <c r="ID260" s="1548"/>
      <c r="IE260" s="1548"/>
      <c r="IF260" s="1548"/>
      <c r="IG260" s="1548"/>
      <c r="IH260" s="1548"/>
    </row>
    <row r="261" spans="1:242">
      <c r="A261" s="1548"/>
      <c r="B261" s="1548"/>
      <c r="F261" s="1548"/>
      <c r="G261" s="1548"/>
      <c r="H261" s="2058"/>
      <c r="I261" s="2058"/>
      <c r="J261" s="2058"/>
      <c r="K261" s="2058"/>
      <c r="L261" s="2058"/>
      <c r="M261" s="2058"/>
      <c r="N261" s="2058"/>
      <c r="O261" s="2058"/>
      <c r="P261" s="2058"/>
      <c r="Q261" s="2058"/>
      <c r="R261" s="2058"/>
      <c r="S261" s="2058"/>
      <c r="T261" s="2058"/>
      <c r="U261" s="2058"/>
      <c r="V261" s="2058"/>
      <c r="W261" s="2058"/>
      <c r="X261" s="2058"/>
      <c r="Y261" s="2058"/>
      <c r="Z261" s="2058"/>
      <c r="AA261" s="2058"/>
      <c r="AB261" s="2058"/>
      <c r="AC261" s="2058"/>
      <c r="AD261" s="2058"/>
      <c r="AE261" s="2058"/>
      <c r="AF261" s="2058"/>
      <c r="AG261" s="2058"/>
      <c r="AH261" s="2058"/>
      <c r="AI261" s="2058"/>
      <c r="AJ261" s="2058"/>
      <c r="AK261" s="2058"/>
      <c r="AL261" s="2058"/>
      <c r="AM261" s="2058"/>
      <c r="AN261" s="2058"/>
      <c r="AO261" s="2058"/>
      <c r="AP261" s="2058"/>
      <c r="AQ261" s="2058"/>
      <c r="AR261" s="2058"/>
      <c r="AS261" s="2058"/>
      <c r="AT261" s="2058"/>
      <c r="AU261" s="2058"/>
      <c r="AV261" s="2058"/>
      <c r="AW261" s="2058"/>
      <c r="AX261" s="2058"/>
      <c r="AY261" s="2058"/>
      <c r="AZ261" s="2058"/>
      <c r="BA261" s="2058"/>
      <c r="BB261" s="2058"/>
      <c r="BC261" s="2058"/>
      <c r="BD261" s="2058"/>
      <c r="BE261" s="2058"/>
      <c r="BF261" s="2058"/>
      <c r="BG261" s="2058"/>
      <c r="BH261" s="2058"/>
      <c r="BI261" s="2058"/>
      <c r="BJ261" s="2058"/>
      <c r="BK261" s="2058"/>
      <c r="BL261" s="2058"/>
      <c r="BM261" s="2058"/>
      <c r="BN261" s="2058"/>
      <c r="BO261" s="2058"/>
      <c r="BP261" s="2058"/>
      <c r="BQ261" s="2058"/>
      <c r="BR261" s="2058"/>
      <c r="BS261" s="2058"/>
      <c r="BT261" s="2058"/>
      <c r="BU261" s="2058"/>
      <c r="BV261" s="2058"/>
      <c r="BW261" s="2058"/>
      <c r="BX261" s="2058"/>
      <c r="BY261" s="2058"/>
      <c r="BZ261" s="2058"/>
      <c r="CA261" s="2058"/>
      <c r="CB261" s="2058"/>
      <c r="CC261" s="2058"/>
      <c r="CD261" s="2058"/>
      <c r="CE261" s="2058"/>
      <c r="CF261" s="2058"/>
      <c r="CG261" s="2058"/>
      <c r="CH261" s="2058"/>
      <c r="CI261" s="2058"/>
      <c r="CJ261" s="2058"/>
      <c r="CK261" s="2058"/>
      <c r="CL261" s="2058"/>
      <c r="CM261" s="2058"/>
      <c r="CN261" s="2058"/>
      <c r="CO261" s="2058"/>
      <c r="CP261" s="2058"/>
      <c r="CQ261" s="2058"/>
      <c r="CR261" s="2058"/>
      <c r="CS261" s="2058"/>
      <c r="CT261" s="2058"/>
      <c r="CU261" s="2058"/>
      <c r="CV261" s="2058"/>
      <c r="CW261" s="2058"/>
      <c r="CX261" s="2058"/>
      <c r="CY261" s="2058"/>
      <c r="CZ261" s="2058"/>
      <c r="DA261" s="2058"/>
      <c r="DB261" s="2058"/>
      <c r="DC261" s="2058"/>
      <c r="DD261" s="2058"/>
      <c r="DE261" s="2058"/>
      <c r="DF261" s="2058"/>
      <c r="DG261" s="2058"/>
      <c r="DH261" s="2058"/>
      <c r="DI261" s="2058"/>
      <c r="DJ261" s="2058"/>
      <c r="DK261" s="2058"/>
      <c r="DL261" s="2058"/>
      <c r="DM261" s="2058"/>
      <c r="DN261" s="2058"/>
      <c r="DO261" s="2058"/>
      <c r="DP261" s="2058"/>
      <c r="DQ261" s="2058"/>
      <c r="DR261" s="2058"/>
      <c r="DS261" s="2058"/>
      <c r="DT261" s="2058"/>
      <c r="DU261" s="2058"/>
      <c r="DV261" s="2058"/>
      <c r="DW261" s="2058"/>
      <c r="DX261" s="2058"/>
      <c r="DY261" s="2058"/>
      <c r="DZ261" s="2058"/>
      <c r="EA261" s="2058"/>
      <c r="EB261" s="2058"/>
      <c r="EC261" s="2058"/>
      <c r="ED261" s="2058"/>
      <c r="EE261" s="2058"/>
      <c r="EF261" s="2058"/>
      <c r="EG261" s="2058"/>
      <c r="EH261" s="2058"/>
      <c r="EI261" s="2058"/>
      <c r="EJ261" s="2058"/>
      <c r="EK261" s="2058"/>
      <c r="EL261" s="2058"/>
      <c r="EM261" s="2058"/>
      <c r="EN261" s="2058"/>
      <c r="EO261" s="2058"/>
      <c r="EP261" s="2058"/>
      <c r="EQ261" s="2058"/>
      <c r="ER261" s="2058"/>
      <c r="ES261" s="2058"/>
      <c r="ET261" s="2058"/>
      <c r="EU261" s="2058"/>
      <c r="EV261" s="2058"/>
      <c r="EW261" s="2058"/>
      <c r="EX261" s="2058"/>
      <c r="EY261" s="2058"/>
      <c r="EZ261" s="2058"/>
      <c r="FA261" s="2058"/>
      <c r="FB261" s="2058"/>
      <c r="FC261" s="2058"/>
      <c r="FD261" s="2058"/>
      <c r="FE261" s="2058"/>
      <c r="FF261" s="2058"/>
      <c r="FG261" s="2058"/>
      <c r="FH261" s="2058"/>
      <c r="FI261" s="2058"/>
      <c r="FJ261" s="2058"/>
      <c r="FK261" s="1548"/>
      <c r="FL261" s="1548"/>
      <c r="FM261" s="1548"/>
      <c r="FN261" s="1548"/>
      <c r="FO261" s="1548"/>
      <c r="FP261" s="1548"/>
      <c r="FQ261" s="1548"/>
      <c r="FR261" s="1548"/>
      <c r="FS261" s="1548"/>
      <c r="FT261" s="1548"/>
      <c r="FU261" s="1548"/>
      <c r="FV261" s="1548"/>
      <c r="FW261" s="1548"/>
      <c r="FX261" s="1548"/>
      <c r="FY261" s="1548"/>
      <c r="FZ261" s="1548"/>
      <c r="GA261" s="1548"/>
      <c r="GB261" s="1548"/>
      <c r="GC261" s="1548"/>
      <c r="GD261" s="1548"/>
      <c r="GE261" s="1548"/>
      <c r="GF261" s="1548"/>
      <c r="GG261" s="1548"/>
      <c r="GH261" s="1548"/>
      <c r="GI261" s="1548"/>
      <c r="GJ261" s="1548"/>
      <c r="GK261" s="1548"/>
      <c r="GL261" s="1548"/>
      <c r="GM261" s="1548"/>
      <c r="GN261" s="1548"/>
      <c r="GO261" s="1548"/>
      <c r="GP261" s="1548"/>
      <c r="GQ261" s="1548"/>
      <c r="GR261" s="1548"/>
      <c r="GS261" s="1548"/>
      <c r="GT261" s="1548"/>
      <c r="GU261" s="1548"/>
      <c r="GV261" s="1548"/>
      <c r="GW261" s="1548"/>
      <c r="GX261" s="1548"/>
      <c r="GY261" s="1548"/>
      <c r="GZ261" s="1548"/>
      <c r="HA261" s="1548"/>
      <c r="HB261" s="1548"/>
      <c r="HC261" s="1548"/>
      <c r="HD261" s="1548"/>
      <c r="HE261" s="1548"/>
      <c r="HF261" s="1548"/>
      <c r="HG261" s="1548"/>
      <c r="HH261" s="1548"/>
      <c r="HI261" s="1548"/>
      <c r="HJ261" s="1548"/>
      <c r="HK261" s="1548"/>
      <c r="HL261" s="1548"/>
      <c r="HM261" s="1548"/>
      <c r="HN261" s="1548"/>
      <c r="HO261" s="1548"/>
      <c r="HP261" s="1548"/>
      <c r="HQ261" s="1548"/>
      <c r="HR261" s="1548"/>
      <c r="HS261" s="1548"/>
      <c r="HT261" s="1548"/>
      <c r="HU261" s="1548"/>
      <c r="HV261" s="1548"/>
      <c r="HW261" s="1548"/>
      <c r="HX261" s="1548"/>
      <c r="HY261" s="1548"/>
      <c r="HZ261" s="1548"/>
      <c r="IA261" s="1548"/>
      <c r="IB261" s="1548"/>
      <c r="IC261" s="1548"/>
      <c r="ID261" s="1548"/>
      <c r="IE261" s="1548"/>
      <c r="IF261" s="1548"/>
      <c r="IG261" s="1548"/>
      <c r="IH261" s="1548"/>
    </row>
    <row r="267" spans="1:242" s="1286" customFormat="1">
      <c r="H267" s="2029"/>
      <c r="I267" s="2029"/>
      <c r="J267" s="2029"/>
      <c r="K267" s="2029"/>
      <c r="L267" s="2029"/>
      <c r="M267" s="2029"/>
      <c r="N267" s="2029"/>
      <c r="O267" s="2029"/>
      <c r="P267" s="2029"/>
      <c r="Q267" s="2029"/>
      <c r="R267" s="2029"/>
      <c r="S267" s="2029"/>
      <c r="T267" s="2029"/>
      <c r="U267" s="2029"/>
      <c r="V267" s="2029"/>
      <c r="W267" s="2029"/>
      <c r="X267" s="2029"/>
      <c r="Y267" s="2029"/>
      <c r="Z267" s="2029"/>
      <c r="AA267" s="2029"/>
      <c r="AB267" s="2029"/>
      <c r="AC267" s="2029"/>
      <c r="AD267" s="2029"/>
      <c r="AE267" s="2029"/>
      <c r="AF267" s="2029"/>
      <c r="AG267" s="2029"/>
      <c r="AH267" s="2029"/>
      <c r="AI267" s="2029"/>
      <c r="AJ267" s="2029"/>
      <c r="AK267" s="2029"/>
      <c r="AL267" s="2029"/>
      <c r="AM267" s="2029"/>
      <c r="AN267" s="2029"/>
      <c r="AO267" s="2029"/>
      <c r="AP267" s="2029"/>
      <c r="AQ267" s="2029"/>
      <c r="AR267" s="2029"/>
      <c r="AS267" s="2029"/>
      <c r="AT267" s="2029"/>
      <c r="AU267" s="2029"/>
      <c r="AV267" s="2029"/>
      <c r="AW267" s="2029"/>
      <c r="AX267" s="2029"/>
      <c r="AY267" s="2029"/>
      <c r="AZ267" s="2029"/>
      <c r="BA267" s="2029"/>
      <c r="BB267" s="2029"/>
      <c r="BC267" s="2029"/>
      <c r="BD267" s="2029"/>
      <c r="BE267" s="2029"/>
      <c r="BF267" s="2029"/>
      <c r="BG267" s="2029"/>
      <c r="BH267" s="2029"/>
      <c r="BI267" s="2029"/>
      <c r="BJ267" s="2029"/>
      <c r="BK267" s="2029"/>
      <c r="BL267" s="2029"/>
      <c r="BM267" s="2029"/>
      <c r="BN267" s="2029"/>
      <c r="BO267" s="2029"/>
      <c r="BP267" s="2029"/>
      <c r="BQ267" s="2029"/>
      <c r="BR267" s="2029"/>
      <c r="BS267" s="2029"/>
      <c r="BT267" s="2029"/>
      <c r="BU267" s="2029"/>
      <c r="BV267" s="2029"/>
      <c r="BW267" s="2029"/>
      <c r="BX267" s="2029"/>
      <c r="BY267" s="2029"/>
      <c r="BZ267" s="2029"/>
      <c r="CA267" s="2029"/>
      <c r="CB267" s="2029"/>
      <c r="CC267" s="2029"/>
      <c r="CD267" s="2029"/>
      <c r="CE267" s="2029"/>
      <c r="CF267" s="2029"/>
      <c r="CG267" s="2029"/>
      <c r="CH267" s="2029"/>
      <c r="CI267" s="2029"/>
      <c r="CJ267" s="2029"/>
      <c r="CK267" s="2029"/>
      <c r="CL267" s="2029"/>
      <c r="CM267" s="2029"/>
      <c r="CN267" s="2029"/>
      <c r="CO267" s="2029"/>
      <c r="CP267" s="2029"/>
      <c r="CQ267" s="2029"/>
      <c r="CR267" s="2029"/>
      <c r="CS267" s="2029"/>
      <c r="CT267" s="2029"/>
      <c r="CU267" s="2029"/>
      <c r="CV267" s="2029"/>
      <c r="CW267" s="2029"/>
      <c r="CX267" s="2029"/>
      <c r="CY267" s="2029"/>
      <c r="CZ267" s="2029"/>
      <c r="DA267" s="2029"/>
      <c r="DB267" s="2029"/>
      <c r="DC267" s="2029"/>
      <c r="DD267" s="2029"/>
      <c r="DE267" s="2029"/>
      <c r="DF267" s="2029"/>
      <c r="DG267" s="2029"/>
      <c r="DH267" s="2029"/>
      <c r="DI267" s="2029"/>
      <c r="DJ267" s="2029"/>
      <c r="DK267" s="2029"/>
      <c r="DL267" s="2029"/>
      <c r="DM267" s="2029"/>
      <c r="DN267" s="2029"/>
      <c r="DO267" s="2029"/>
      <c r="DP267" s="2029"/>
      <c r="DQ267" s="2029"/>
      <c r="DR267" s="2029"/>
      <c r="DS267" s="2029"/>
      <c r="DT267" s="2029"/>
      <c r="DU267" s="2029"/>
      <c r="DV267" s="2029"/>
      <c r="DW267" s="2029"/>
      <c r="DX267" s="2029"/>
      <c r="DY267" s="2029"/>
      <c r="DZ267" s="2029"/>
      <c r="EA267" s="2029"/>
      <c r="EB267" s="2029"/>
      <c r="EC267" s="2029"/>
      <c r="ED267" s="2029"/>
      <c r="EE267" s="2029"/>
      <c r="EF267" s="2029"/>
      <c r="EG267" s="2029"/>
      <c r="EH267" s="2029"/>
      <c r="EI267" s="2029"/>
      <c r="EJ267" s="2029"/>
      <c r="EK267" s="2029"/>
      <c r="EL267" s="2029"/>
      <c r="EM267" s="2029"/>
      <c r="EN267" s="2029"/>
      <c r="EO267" s="2029"/>
      <c r="EP267" s="2029"/>
      <c r="EQ267" s="2029"/>
      <c r="ER267" s="2029"/>
      <c r="ES267" s="2029"/>
      <c r="ET267" s="2029"/>
      <c r="EU267" s="2029"/>
      <c r="EV267" s="2029"/>
      <c r="EW267" s="2029"/>
      <c r="EX267" s="2029"/>
      <c r="EY267" s="2029"/>
      <c r="EZ267" s="2029"/>
      <c r="FA267" s="2029"/>
      <c r="FB267" s="2029"/>
      <c r="FC267" s="2029"/>
      <c r="FD267" s="2029"/>
      <c r="FE267" s="2029"/>
      <c r="FF267" s="2029"/>
      <c r="FG267" s="2029"/>
      <c r="FH267" s="2029"/>
      <c r="FI267" s="2029"/>
      <c r="FJ267" s="2029"/>
    </row>
    <row r="268" spans="1:242" s="1286" customFormat="1">
      <c r="H268" s="2029"/>
      <c r="I268" s="2029"/>
      <c r="J268" s="2029"/>
      <c r="K268" s="2029"/>
      <c r="L268" s="2029"/>
      <c r="M268" s="2029"/>
      <c r="N268" s="2029"/>
      <c r="O268" s="2029"/>
      <c r="P268" s="2029"/>
      <c r="Q268" s="2029"/>
      <c r="R268" s="2029"/>
      <c r="S268" s="2029"/>
      <c r="T268" s="2029"/>
      <c r="U268" s="2029"/>
      <c r="V268" s="2029"/>
      <c r="W268" s="2029"/>
      <c r="X268" s="2029"/>
      <c r="Y268" s="2029"/>
      <c r="Z268" s="2029"/>
      <c r="AA268" s="2029"/>
      <c r="AB268" s="2029"/>
      <c r="AC268" s="2029"/>
      <c r="AD268" s="2029"/>
      <c r="AE268" s="2029"/>
      <c r="AF268" s="2029"/>
      <c r="AG268" s="2029"/>
      <c r="AH268" s="2029"/>
      <c r="AI268" s="2029"/>
      <c r="AJ268" s="2029"/>
      <c r="AK268" s="2029"/>
      <c r="AL268" s="2029"/>
      <c r="AM268" s="2029"/>
      <c r="AN268" s="2029"/>
      <c r="AO268" s="2029"/>
      <c r="AP268" s="2029"/>
      <c r="AQ268" s="2029"/>
      <c r="AR268" s="2029"/>
      <c r="AS268" s="2029"/>
      <c r="AT268" s="2029"/>
      <c r="AU268" s="2029"/>
      <c r="AV268" s="2029"/>
      <c r="AW268" s="2029"/>
      <c r="AX268" s="2029"/>
      <c r="AY268" s="2029"/>
      <c r="AZ268" s="2029"/>
      <c r="BA268" s="2029"/>
      <c r="BB268" s="2029"/>
      <c r="BC268" s="2029"/>
      <c r="BD268" s="2029"/>
      <c r="BE268" s="2029"/>
      <c r="BF268" s="2029"/>
      <c r="BG268" s="2029"/>
      <c r="BH268" s="2029"/>
      <c r="BI268" s="2029"/>
      <c r="BJ268" s="2029"/>
      <c r="BK268" s="2029"/>
      <c r="BL268" s="2029"/>
      <c r="BM268" s="2029"/>
      <c r="BN268" s="2029"/>
      <c r="BO268" s="2029"/>
      <c r="BP268" s="2029"/>
      <c r="BQ268" s="2029"/>
      <c r="BR268" s="2029"/>
      <c r="BS268" s="2029"/>
      <c r="BT268" s="2029"/>
      <c r="BU268" s="2029"/>
      <c r="BV268" s="2029"/>
      <c r="BW268" s="2029"/>
      <c r="BX268" s="2029"/>
      <c r="BY268" s="2029"/>
      <c r="BZ268" s="2029"/>
      <c r="CA268" s="2029"/>
      <c r="CB268" s="2029"/>
      <c r="CC268" s="2029"/>
      <c r="CD268" s="2029"/>
      <c r="CE268" s="2029"/>
      <c r="CF268" s="2029"/>
      <c r="CG268" s="2029"/>
      <c r="CH268" s="2029"/>
      <c r="CI268" s="2029"/>
      <c r="CJ268" s="2029"/>
      <c r="CK268" s="2029"/>
      <c r="CL268" s="2029"/>
      <c r="CM268" s="2029"/>
      <c r="CN268" s="2029"/>
      <c r="CO268" s="2029"/>
      <c r="CP268" s="2029"/>
      <c r="CQ268" s="2029"/>
      <c r="CR268" s="2029"/>
      <c r="CS268" s="2029"/>
      <c r="CT268" s="2029"/>
      <c r="CU268" s="2029"/>
      <c r="CV268" s="2029"/>
      <c r="CW268" s="2029"/>
      <c r="CX268" s="2029"/>
      <c r="CY268" s="2029"/>
      <c r="CZ268" s="2029"/>
      <c r="DA268" s="2029"/>
      <c r="DB268" s="2029"/>
      <c r="DC268" s="2029"/>
      <c r="DD268" s="2029"/>
      <c r="DE268" s="2029"/>
      <c r="DF268" s="2029"/>
      <c r="DG268" s="2029"/>
      <c r="DH268" s="2029"/>
      <c r="DI268" s="2029"/>
      <c r="DJ268" s="2029"/>
      <c r="DK268" s="2029"/>
      <c r="DL268" s="2029"/>
      <c r="DM268" s="2029"/>
      <c r="DN268" s="2029"/>
      <c r="DO268" s="2029"/>
      <c r="DP268" s="2029"/>
      <c r="DQ268" s="2029"/>
      <c r="DR268" s="2029"/>
      <c r="DS268" s="2029"/>
      <c r="DT268" s="2029"/>
      <c r="DU268" s="2029"/>
      <c r="DV268" s="2029"/>
      <c r="DW268" s="2029"/>
      <c r="DX268" s="2029"/>
      <c r="DY268" s="2029"/>
      <c r="DZ268" s="2029"/>
      <c r="EA268" s="2029"/>
      <c r="EB268" s="2029"/>
      <c r="EC268" s="2029"/>
      <c r="ED268" s="2029"/>
      <c r="EE268" s="2029"/>
      <c r="EF268" s="2029"/>
      <c r="EG268" s="2029"/>
      <c r="EH268" s="2029"/>
      <c r="EI268" s="2029"/>
      <c r="EJ268" s="2029"/>
      <c r="EK268" s="2029"/>
      <c r="EL268" s="2029"/>
      <c r="EM268" s="2029"/>
      <c r="EN268" s="2029"/>
      <c r="EO268" s="2029"/>
      <c r="EP268" s="2029"/>
      <c r="EQ268" s="2029"/>
      <c r="ER268" s="2029"/>
      <c r="ES268" s="2029"/>
      <c r="ET268" s="2029"/>
      <c r="EU268" s="2029"/>
      <c r="EV268" s="2029"/>
      <c r="EW268" s="2029"/>
      <c r="EX268" s="2029"/>
      <c r="EY268" s="2029"/>
      <c r="EZ268" s="2029"/>
      <c r="FA268" s="2029"/>
      <c r="FB268" s="2029"/>
      <c r="FC268" s="2029"/>
      <c r="FD268" s="2029"/>
      <c r="FE268" s="2029"/>
      <c r="FF268" s="2029"/>
      <c r="FG268" s="2029"/>
      <c r="FH268" s="2029"/>
      <c r="FI268" s="2029"/>
      <c r="FJ268" s="2029"/>
    </row>
    <row r="269" spans="1:242">
      <c r="A269" s="1548"/>
      <c r="B269" s="1548"/>
      <c r="F269" s="1548"/>
      <c r="G269" s="1548"/>
      <c r="H269" s="2058"/>
      <c r="I269" s="2058"/>
      <c r="J269" s="2058"/>
      <c r="K269" s="2058"/>
      <c r="L269" s="2058"/>
      <c r="M269" s="2058"/>
      <c r="N269" s="2058"/>
      <c r="O269" s="2058"/>
      <c r="P269" s="2058"/>
      <c r="Q269" s="2058"/>
      <c r="R269" s="2058"/>
      <c r="S269" s="2058"/>
      <c r="T269" s="2058"/>
      <c r="U269" s="2058"/>
      <c r="V269" s="2058"/>
      <c r="W269" s="2058"/>
      <c r="X269" s="2058"/>
      <c r="Y269" s="2058"/>
      <c r="Z269" s="2058"/>
      <c r="AA269" s="2058"/>
      <c r="AB269" s="2058"/>
      <c r="AC269" s="2058"/>
      <c r="AD269" s="2058"/>
      <c r="AE269" s="2058"/>
      <c r="AF269" s="2058"/>
      <c r="AG269" s="2058"/>
      <c r="AH269" s="2058"/>
      <c r="AI269" s="2058"/>
      <c r="AJ269" s="2058"/>
      <c r="AK269" s="2058"/>
      <c r="AL269" s="2058"/>
      <c r="AM269" s="2058"/>
      <c r="AN269" s="2058"/>
      <c r="AO269" s="2058"/>
      <c r="AP269" s="2058"/>
      <c r="AQ269" s="2058"/>
      <c r="AR269" s="2058"/>
      <c r="AS269" s="2058"/>
      <c r="AT269" s="2058"/>
      <c r="AU269" s="2058"/>
      <c r="AV269" s="2058"/>
      <c r="AW269" s="2058"/>
      <c r="AX269" s="2058"/>
      <c r="AY269" s="2058"/>
      <c r="AZ269" s="2058"/>
      <c r="BA269" s="2058"/>
      <c r="BB269" s="2058"/>
      <c r="BC269" s="2058"/>
      <c r="BD269" s="2058"/>
      <c r="BE269" s="2058"/>
      <c r="BF269" s="2058"/>
      <c r="BG269" s="2058"/>
      <c r="BH269" s="2058"/>
      <c r="BI269" s="2058"/>
      <c r="BJ269" s="2058"/>
      <c r="BK269" s="2058"/>
      <c r="BL269" s="2058"/>
      <c r="BM269" s="2058"/>
      <c r="BN269" s="2058"/>
      <c r="BO269" s="2058"/>
      <c r="BP269" s="2058"/>
      <c r="BQ269" s="2058"/>
      <c r="BR269" s="2058"/>
      <c r="BS269" s="2058"/>
      <c r="BT269" s="2058"/>
      <c r="BU269" s="2058"/>
      <c r="BV269" s="2058"/>
      <c r="BW269" s="2058"/>
      <c r="BX269" s="2058"/>
      <c r="BY269" s="2058"/>
      <c r="BZ269" s="2058"/>
      <c r="CA269" s="2058"/>
      <c r="CB269" s="2058"/>
      <c r="CC269" s="2058"/>
      <c r="CD269" s="2058"/>
      <c r="CE269" s="2058"/>
      <c r="CF269" s="2058"/>
      <c r="CG269" s="2058"/>
      <c r="CH269" s="2058"/>
      <c r="CI269" s="2058"/>
      <c r="CJ269" s="2058"/>
      <c r="CK269" s="2058"/>
      <c r="CL269" s="2058"/>
      <c r="CM269" s="2058"/>
      <c r="CN269" s="2058"/>
      <c r="CO269" s="2058"/>
      <c r="CP269" s="2058"/>
      <c r="CQ269" s="2058"/>
      <c r="CR269" s="2058"/>
      <c r="CS269" s="2058"/>
      <c r="CT269" s="2058"/>
      <c r="CU269" s="2058"/>
      <c r="CV269" s="2058"/>
      <c r="CW269" s="2058"/>
      <c r="CX269" s="2058"/>
      <c r="CY269" s="2058"/>
      <c r="CZ269" s="2058"/>
      <c r="DA269" s="2058"/>
      <c r="DB269" s="2058"/>
      <c r="DC269" s="2058"/>
      <c r="DD269" s="2058"/>
      <c r="DE269" s="2058"/>
      <c r="DF269" s="2058"/>
      <c r="DG269" s="2058"/>
      <c r="DH269" s="2058"/>
      <c r="DI269" s="2058"/>
      <c r="DJ269" s="2058"/>
      <c r="DK269" s="2058"/>
      <c r="DL269" s="2058"/>
      <c r="DM269" s="2058"/>
      <c r="DN269" s="2058"/>
      <c r="DO269" s="2058"/>
      <c r="DP269" s="2058"/>
      <c r="DQ269" s="2058"/>
      <c r="DR269" s="2058"/>
      <c r="DS269" s="2058"/>
      <c r="DT269" s="2058"/>
      <c r="DU269" s="2058"/>
      <c r="DV269" s="2058"/>
      <c r="DW269" s="2058"/>
      <c r="DX269" s="2058"/>
      <c r="DY269" s="2058"/>
      <c r="DZ269" s="2058"/>
      <c r="EA269" s="2058"/>
      <c r="EB269" s="2058"/>
      <c r="EC269" s="2058"/>
      <c r="ED269" s="2058"/>
      <c r="EE269" s="2058"/>
      <c r="EF269" s="2058"/>
      <c r="EG269" s="2058"/>
      <c r="EH269" s="2058"/>
      <c r="EI269" s="2058"/>
      <c r="EJ269" s="2058"/>
      <c r="EK269" s="2058"/>
      <c r="EL269" s="2058"/>
      <c r="EM269" s="2058"/>
      <c r="EN269" s="2058"/>
      <c r="EO269" s="2058"/>
      <c r="EP269" s="2058"/>
      <c r="EQ269" s="2058"/>
      <c r="ER269" s="2058"/>
      <c r="ES269" s="2058"/>
      <c r="ET269" s="2058"/>
      <c r="EU269" s="2058"/>
      <c r="EV269" s="2058"/>
      <c r="EW269" s="2058"/>
      <c r="EX269" s="2058"/>
      <c r="EY269" s="2058"/>
      <c r="EZ269" s="2058"/>
      <c r="FA269" s="2058"/>
      <c r="FB269" s="2058"/>
      <c r="FC269" s="2058"/>
      <c r="FD269" s="2058"/>
      <c r="FE269" s="2058"/>
      <c r="FF269" s="2058"/>
      <c r="FG269" s="2058"/>
      <c r="FH269" s="2058"/>
      <c r="FI269" s="2058"/>
      <c r="FJ269" s="2058"/>
      <c r="FK269" s="1548"/>
      <c r="FL269" s="1548"/>
      <c r="FM269" s="1548"/>
      <c r="FN269" s="1548"/>
      <c r="FO269" s="1548"/>
      <c r="FP269" s="1548"/>
      <c r="FQ269" s="1548"/>
      <c r="FR269" s="1548"/>
      <c r="FS269" s="1548"/>
      <c r="FT269" s="1548"/>
      <c r="FU269" s="1548"/>
      <c r="FV269" s="1548"/>
      <c r="FW269" s="1548"/>
      <c r="FX269" s="1548"/>
      <c r="FY269" s="1548"/>
      <c r="FZ269" s="1548"/>
      <c r="GA269" s="1548"/>
      <c r="GB269" s="1548"/>
      <c r="GC269" s="1548"/>
      <c r="GD269" s="1548"/>
      <c r="GE269" s="1548"/>
      <c r="GF269" s="1548"/>
      <c r="GG269" s="1548"/>
      <c r="GH269" s="1548"/>
      <c r="GI269" s="1548"/>
      <c r="GJ269" s="1548"/>
      <c r="GK269" s="1548"/>
      <c r="GL269" s="1548"/>
      <c r="GM269" s="1548"/>
      <c r="GN269" s="1548"/>
      <c r="GO269" s="1548"/>
      <c r="GP269" s="1548"/>
      <c r="GQ269" s="1548"/>
      <c r="GR269" s="1548"/>
      <c r="GS269" s="1548"/>
      <c r="GT269" s="1548"/>
      <c r="GU269" s="1548"/>
      <c r="GV269" s="1548"/>
      <c r="GW269" s="1548"/>
      <c r="GX269" s="1548"/>
      <c r="GY269" s="1548"/>
      <c r="GZ269" s="1548"/>
      <c r="HA269" s="1548"/>
      <c r="HB269" s="1548"/>
      <c r="HC269" s="1548"/>
      <c r="HD269" s="1548"/>
      <c r="HE269" s="1548"/>
      <c r="HF269" s="1548"/>
      <c r="HG269" s="1548"/>
      <c r="HH269" s="1548"/>
      <c r="HI269" s="1548"/>
      <c r="HJ269" s="1548"/>
      <c r="HK269" s="1548"/>
      <c r="HL269" s="1548"/>
      <c r="HM269" s="1548"/>
      <c r="HN269" s="1548"/>
      <c r="HO269" s="1548"/>
      <c r="HP269" s="1548"/>
      <c r="HQ269" s="1548"/>
      <c r="HR269" s="1548"/>
      <c r="HS269" s="1548"/>
      <c r="HT269" s="1548"/>
      <c r="HU269" s="1548"/>
      <c r="HV269" s="1548"/>
      <c r="HW269" s="1548"/>
      <c r="HX269" s="1548"/>
      <c r="HY269" s="1548"/>
      <c r="HZ269" s="1548"/>
      <c r="IA269" s="1548"/>
      <c r="IB269" s="1548"/>
      <c r="IC269" s="1548"/>
      <c r="ID269" s="1548"/>
      <c r="IE269" s="1548"/>
      <c r="IF269" s="1548"/>
      <c r="IG269" s="1548"/>
      <c r="IH269" s="1548"/>
    </row>
    <row r="270" spans="1:242">
      <c r="A270" s="1548"/>
      <c r="B270" s="1548"/>
      <c r="F270" s="1548"/>
      <c r="G270" s="1548"/>
      <c r="H270" s="2058"/>
      <c r="I270" s="2058"/>
      <c r="J270" s="2058"/>
      <c r="K270" s="2058"/>
      <c r="L270" s="2058"/>
      <c r="M270" s="2058"/>
      <c r="N270" s="2058"/>
      <c r="O270" s="2058"/>
      <c r="P270" s="2058"/>
      <c r="Q270" s="2058"/>
      <c r="R270" s="2058"/>
      <c r="S270" s="2058"/>
      <c r="T270" s="2058"/>
      <c r="U270" s="2058"/>
      <c r="V270" s="2058"/>
      <c r="W270" s="2058"/>
      <c r="X270" s="2058"/>
      <c r="Y270" s="2058"/>
      <c r="Z270" s="2058"/>
      <c r="AA270" s="2058"/>
      <c r="AB270" s="2058"/>
      <c r="AC270" s="2058"/>
      <c r="AD270" s="2058"/>
      <c r="AE270" s="2058"/>
      <c r="AF270" s="2058"/>
      <c r="AG270" s="2058"/>
      <c r="AH270" s="2058"/>
      <c r="AI270" s="2058"/>
      <c r="AJ270" s="2058"/>
      <c r="AK270" s="2058"/>
      <c r="AL270" s="2058"/>
      <c r="AM270" s="2058"/>
      <c r="AN270" s="2058"/>
      <c r="AO270" s="2058"/>
      <c r="AP270" s="2058"/>
      <c r="AQ270" s="2058"/>
      <c r="AR270" s="2058"/>
      <c r="AS270" s="2058"/>
      <c r="AT270" s="2058"/>
      <c r="AU270" s="2058"/>
      <c r="AV270" s="2058"/>
      <c r="AW270" s="2058"/>
      <c r="AX270" s="2058"/>
      <c r="AY270" s="2058"/>
      <c r="AZ270" s="2058"/>
      <c r="BA270" s="2058"/>
      <c r="BB270" s="2058"/>
      <c r="BC270" s="2058"/>
      <c r="BD270" s="2058"/>
      <c r="BE270" s="2058"/>
      <c r="BF270" s="2058"/>
      <c r="BG270" s="2058"/>
      <c r="BH270" s="2058"/>
      <c r="BI270" s="2058"/>
      <c r="BJ270" s="2058"/>
      <c r="BK270" s="2058"/>
      <c r="BL270" s="2058"/>
      <c r="BM270" s="2058"/>
      <c r="BN270" s="2058"/>
      <c r="BO270" s="2058"/>
      <c r="BP270" s="2058"/>
      <c r="BQ270" s="2058"/>
      <c r="BR270" s="2058"/>
      <c r="BS270" s="2058"/>
      <c r="BT270" s="2058"/>
      <c r="BU270" s="2058"/>
      <c r="BV270" s="2058"/>
      <c r="BW270" s="2058"/>
      <c r="BX270" s="2058"/>
      <c r="BY270" s="2058"/>
      <c r="BZ270" s="2058"/>
      <c r="CA270" s="2058"/>
      <c r="CB270" s="2058"/>
      <c r="CC270" s="2058"/>
      <c r="CD270" s="2058"/>
      <c r="CE270" s="2058"/>
      <c r="CF270" s="2058"/>
      <c r="CG270" s="2058"/>
      <c r="CH270" s="2058"/>
      <c r="CI270" s="2058"/>
      <c r="CJ270" s="2058"/>
      <c r="CK270" s="2058"/>
      <c r="CL270" s="2058"/>
      <c r="CM270" s="2058"/>
      <c r="CN270" s="2058"/>
      <c r="CO270" s="2058"/>
      <c r="CP270" s="2058"/>
      <c r="CQ270" s="2058"/>
      <c r="CR270" s="2058"/>
      <c r="CS270" s="2058"/>
      <c r="CT270" s="2058"/>
      <c r="CU270" s="2058"/>
      <c r="CV270" s="2058"/>
      <c r="CW270" s="2058"/>
      <c r="CX270" s="2058"/>
      <c r="CY270" s="2058"/>
      <c r="CZ270" s="2058"/>
      <c r="DA270" s="2058"/>
      <c r="DB270" s="2058"/>
      <c r="DC270" s="2058"/>
      <c r="DD270" s="2058"/>
      <c r="DE270" s="2058"/>
      <c r="DF270" s="2058"/>
      <c r="DG270" s="2058"/>
      <c r="DH270" s="2058"/>
      <c r="DI270" s="2058"/>
      <c r="DJ270" s="2058"/>
      <c r="DK270" s="2058"/>
      <c r="DL270" s="2058"/>
      <c r="DM270" s="2058"/>
      <c r="DN270" s="2058"/>
      <c r="DO270" s="2058"/>
      <c r="DP270" s="2058"/>
      <c r="DQ270" s="2058"/>
      <c r="DR270" s="2058"/>
      <c r="DS270" s="2058"/>
      <c r="DT270" s="2058"/>
      <c r="DU270" s="2058"/>
      <c r="DV270" s="2058"/>
      <c r="DW270" s="2058"/>
      <c r="DX270" s="2058"/>
      <c r="DY270" s="2058"/>
      <c r="DZ270" s="2058"/>
      <c r="EA270" s="2058"/>
      <c r="EB270" s="2058"/>
      <c r="EC270" s="2058"/>
      <c r="ED270" s="2058"/>
      <c r="EE270" s="2058"/>
      <c r="EF270" s="2058"/>
      <c r="EG270" s="2058"/>
      <c r="EH270" s="2058"/>
      <c r="EI270" s="2058"/>
      <c r="EJ270" s="2058"/>
      <c r="EK270" s="2058"/>
      <c r="EL270" s="2058"/>
      <c r="EM270" s="2058"/>
      <c r="EN270" s="2058"/>
      <c r="EO270" s="2058"/>
      <c r="EP270" s="2058"/>
      <c r="EQ270" s="2058"/>
      <c r="ER270" s="2058"/>
      <c r="ES270" s="2058"/>
      <c r="ET270" s="2058"/>
      <c r="EU270" s="2058"/>
      <c r="EV270" s="2058"/>
      <c r="EW270" s="2058"/>
      <c r="EX270" s="2058"/>
      <c r="EY270" s="2058"/>
      <c r="EZ270" s="2058"/>
      <c r="FA270" s="2058"/>
      <c r="FB270" s="2058"/>
      <c r="FC270" s="2058"/>
      <c r="FD270" s="2058"/>
      <c r="FE270" s="2058"/>
      <c r="FF270" s="2058"/>
      <c r="FG270" s="2058"/>
      <c r="FH270" s="2058"/>
      <c r="FI270" s="2058"/>
      <c r="FJ270" s="2058"/>
      <c r="FK270" s="1548"/>
      <c r="FL270" s="1548"/>
      <c r="FM270" s="1548"/>
      <c r="FN270" s="1548"/>
      <c r="FO270" s="1548"/>
      <c r="FP270" s="1548"/>
      <c r="FQ270" s="1548"/>
      <c r="FR270" s="1548"/>
      <c r="FS270" s="1548"/>
      <c r="FT270" s="1548"/>
      <c r="FU270" s="1548"/>
      <c r="FV270" s="1548"/>
      <c r="FW270" s="1548"/>
      <c r="FX270" s="1548"/>
      <c r="FY270" s="1548"/>
      <c r="FZ270" s="1548"/>
      <c r="GA270" s="1548"/>
      <c r="GB270" s="1548"/>
      <c r="GC270" s="1548"/>
      <c r="GD270" s="1548"/>
      <c r="GE270" s="1548"/>
      <c r="GF270" s="1548"/>
      <c r="GG270" s="1548"/>
      <c r="GH270" s="1548"/>
      <c r="GI270" s="1548"/>
      <c r="GJ270" s="1548"/>
      <c r="GK270" s="1548"/>
      <c r="GL270" s="1548"/>
      <c r="GM270" s="1548"/>
      <c r="GN270" s="1548"/>
      <c r="GO270" s="1548"/>
      <c r="GP270" s="1548"/>
      <c r="GQ270" s="1548"/>
      <c r="GR270" s="1548"/>
      <c r="GS270" s="1548"/>
      <c r="GT270" s="1548"/>
      <c r="GU270" s="1548"/>
      <c r="GV270" s="1548"/>
      <c r="GW270" s="1548"/>
      <c r="GX270" s="1548"/>
      <c r="GY270" s="1548"/>
      <c r="GZ270" s="1548"/>
      <c r="HA270" s="1548"/>
      <c r="HB270" s="1548"/>
      <c r="HC270" s="1548"/>
      <c r="HD270" s="1548"/>
      <c r="HE270" s="1548"/>
      <c r="HF270" s="1548"/>
      <c r="HG270" s="1548"/>
      <c r="HH270" s="1548"/>
      <c r="HI270" s="1548"/>
      <c r="HJ270" s="1548"/>
      <c r="HK270" s="1548"/>
      <c r="HL270" s="1548"/>
      <c r="HM270" s="1548"/>
      <c r="HN270" s="1548"/>
      <c r="HO270" s="1548"/>
      <c r="HP270" s="1548"/>
      <c r="HQ270" s="1548"/>
      <c r="HR270" s="1548"/>
      <c r="HS270" s="1548"/>
      <c r="HT270" s="1548"/>
      <c r="HU270" s="1548"/>
      <c r="HV270" s="1548"/>
      <c r="HW270" s="1548"/>
      <c r="HX270" s="1548"/>
      <c r="HY270" s="1548"/>
      <c r="HZ270" s="1548"/>
      <c r="IA270" s="1548"/>
      <c r="IB270" s="1548"/>
      <c r="IC270" s="1548"/>
      <c r="ID270" s="1548"/>
      <c r="IE270" s="1548"/>
      <c r="IF270" s="1548"/>
      <c r="IG270" s="1548"/>
      <c r="IH270" s="1548"/>
    </row>
  </sheetData>
  <sheetProtection password="E910" sheet="1" objects="1" scenarios="1"/>
  <autoFilter ref="A4:IH181"/>
  <pageMargins left="0.23611111111111099" right="0.23611111111111099" top="0.59027777777777801" bottom="0.31527777777777799" header="0.59027777777777801" footer="0.31527777777777799"/>
  <pageSetup paperSize="9" scale="51" firstPageNumber="3" orientation="landscape" useFirstPageNumber="1" horizontalDpi="300" verticalDpi="300" r:id="rId1"/>
  <headerFooter>
    <oddHeader>&amp;R&amp;"Calibri,Regular"&amp;14ПРАЙС-ЛИСТ от 17.06.2019
&amp;11на коллекцию CLASSIC
розничная цена в рублях РФ (без НДС)</oddHeader>
    <oddFooter>&amp;L&amp;"Calibri,Regular"&amp;11&amp;P</oddFooter>
  </headerFooter>
  <rowBreaks count="2" manualBreakCount="2">
    <brk id="133" max="16383" man="1"/>
    <brk id="226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44">
    <tabColor rgb="FF92D050"/>
  </sheetPr>
  <dimension ref="A1:AP28"/>
  <sheetViews>
    <sheetView view="pageBreakPreview" zoomScale="80" zoomScaleNormal="100" zoomScaleSheetLayoutView="80" zoomScalePageLayoutView="70" workbookViewId="0">
      <pane xSplit="6" ySplit="5" topLeftCell="G6" activePane="bottomRight" state="frozen"/>
      <selection pane="topRight" activeCell="G1" sqref="G1"/>
      <selection pane="bottomLeft" activeCell="A11" sqref="A11"/>
      <selection pane="bottomRight" activeCell="B1" sqref="B1"/>
    </sheetView>
  </sheetViews>
  <sheetFormatPr defaultColWidth="8.85546875" defaultRowHeight="15"/>
  <cols>
    <col min="1" max="1" width="4.7109375" style="587" customWidth="1"/>
    <col min="2" max="5" width="11.7109375" style="587" customWidth="1"/>
    <col min="6" max="6" width="11.7109375" style="2" customWidth="1"/>
    <col min="7" max="8" width="20.7109375" style="587" customWidth="1"/>
    <col min="9" max="9" width="20.7109375" style="589" customWidth="1"/>
    <col min="10" max="13" width="20.7109375" style="587" customWidth="1"/>
    <col min="14" max="18" width="14.28515625" style="587" customWidth="1"/>
    <col min="19" max="16384" width="8.85546875" style="587"/>
  </cols>
  <sheetData>
    <row r="1" spans="1:23" ht="18" customHeight="1">
      <c r="A1" s="586"/>
      <c r="B1" s="2277" t="s">
        <v>490</v>
      </c>
      <c r="C1" s="26"/>
      <c r="D1" s="26"/>
      <c r="E1" s="26"/>
      <c r="F1" s="4"/>
      <c r="G1" s="26"/>
      <c r="H1" s="26"/>
      <c r="I1" s="26"/>
      <c r="J1" s="26"/>
      <c r="K1" s="26"/>
      <c r="L1" s="26"/>
      <c r="M1" s="1181"/>
      <c r="N1" s="593"/>
      <c r="O1" s="593"/>
      <c r="P1" s="593"/>
      <c r="Q1" s="593"/>
      <c r="R1" s="593"/>
      <c r="S1" s="242"/>
      <c r="T1" s="242"/>
      <c r="U1" s="242"/>
      <c r="V1" s="242"/>
      <c r="W1" s="242"/>
    </row>
    <row r="2" spans="1:23">
      <c r="A2" s="5"/>
      <c r="B2" s="586"/>
      <c r="C2" s="586"/>
      <c r="D2" s="586"/>
      <c r="E2" s="586"/>
      <c r="F2" s="6"/>
      <c r="G2" s="586"/>
      <c r="H2" s="586"/>
      <c r="I2" s="692"/>
      <c r="J2" s="586"/>
      <c r="K2" s="586"/>
      <c r="L2" s="586"/>
      <c r="M2" s="586"/>
      <c r="N2" s="441"/>
      <c r="O2" s="441"/>
      <c r="P2" s="441"/>
      <c r="Q2" s="441"/>
      <c r="R2" s="441"/>
      <c r="S2" s="242"/>
      <c r="T2" s="242"/>
      <c r="U2" s="242"/>
      <c r="V2" s="242"/>
      <c r="W2" s="242"/>
    </row>
    <row r="3" spans="1:23" ht="79.900000000000006" customHeight="1">
      <c r="A3" s="7"/>
      <c r="B3" s="4603" t="s">
        <v>309</v>
      </c>
      <c r="C3" s="4604"/>
      <c r="D3" s="4604"/>
      <c r="E3" s="4605"/>
      <c r="F3" s="8"/>
      <c r="G3" s="7"/>
      <c r="H3" s="7"/>
      <c r="I3" s="7"/>
      <c r="J3" s="7"/>
      <c r="K3" s="7"/>
      <c r="L3" s="7"/>
      <c r="M3" s="7"/>
      <c r="N3" s="440"/>
      <c r="O3" s="440"/>
      <c r="P3" s="440"/>
      <c r="Q3" s="440"/>
      <c r="R3" s="440"/>
      <c r="S3" s="242"/>
      <c r="T3" s="242"/>
      <c r="U3" s="242"/>
      <c r="V3" s="242"/>
      <c r="W3" s="242"/>
    </row>
    <row r="4" spans="1:23">
      <c r="A4" s="586"/>
      <c r="B4" s="19" t="s">
        <v>59</v>
      </c>
      <c r="C4" s="586"/>
      <c r="D4" s="586"/>
      <c r="E4" s="586"/>
      <c r="F4" s="6"/>
      <c r="G4" s="586"/>
      <c r="H4" s="586"/>
      <c r="I4" s="692"/>
      <c r="J4" s="586"/>
      <c r="K4" s="586"/>
      <c r="L4" s="586"/>
      <c r="M4" s="586"/>
      <c r="N4" s="441"/>
      <c r="O4" s="441"/>
      <c r="P4" s="441"/>
      <c r="Q4" s="441"/>
      <c r="R4" s="441"/>
      <c r="S4" s="242"/>
      <c r="T4" s="242"/>
      <c r="U4" s="242"/>
      <c r="V4" s="242"/>
      <c r="W4" s="242"/>
    </row>
    <row r="5" spans="1:23" s="22" customFormat="1" ht="38.1" customHeight="1">
      <c r="A5" s="4616" t="s">
        <v>2</v>
      </c>
      <c r="B5" s="4616"/>
      <c r="C5" s="4616"/>
      <c r="D5" s="2430" t="s">
        <v>42</v>
      </c>
      <c r="E5" s="2431" t="s">
        <v>47</v>
      </c>
      <c r="F5" s="2431" t="s">
        <v>8</v>
      </c>
      <c r="G5" s="2432" t="s">
        <v>744</v>
      </c>
      <c r="H5" s="2432" t="s">
        <v>745</v>
      </c>
      <c r="I5" s="2432" t="s">
        <v>900</v>
      </c>
      <c r="J5" s="2432" t="s">
        <v>746</v>
      </c>
      <c r="K5" s="2432" t="s">
        <v>747</v>
      </c>
      <c r="L5" s="2432" t="s">
        <v>769</v>
      </c>
      <c r="M5" s="2432" t="s">
        <v>770</v>
      </c>
      <c r="N5" s="441"/>
      <c r="O5" s="441"/>
      <c r="P5" s="441"/>
      <c r="Q5" s="441"/>
      <c r="R5" s="441"/>
      <c r="S5" s="596"/>
      <c r="T5" s="596"/>
      <c r="U5" s="596"/>
      <c r="V5" s="596"/>
      <c r="W5" s="596"/>
    </row>
    <row r="6" spans="1:23" s="22" customFormat="1" ht="30" customHeight="1">
      <c r="A6" s="4617" t="s">
        <v>30</v>
      </c>
      <c r="B6" s="4618" t="s">
        <v>284</v>
      </c>
      <c r="C6" s="4619"/>
      <c r="D6" s="4391" t="s">
        <v>35</v>
      </c>
      <c r="E6" s="4213" t="s">
        <v>45</v>
      </c>
      <c r="F6" s="2429" t="s">
        <v>0</v>
      </c>
      <c r="G6" s="691">
        <f>CEILING('Полотна база'!Q54*(1+скидки_наценки!$B$30)*скидки_наценки!$D$13*скидки_наценки!$F$13/скидки_наценки!$B$4, 50)</f>
        <v>27100</v>
      </c>
      <c r="H6" s="691">
        <f>CEILING('Полотна база'!Q54*(1+скидки_наценки!$B$30)*скидки_наценки!$D$13*скидки_наценки!$F$13/скидки_наценки!$B$4, 50)</f>
        <v>27100</v>
      </c>
      <c r="I6" s="691">
        <f>CEILING('Полотна база'!Q54*(1+скидки_наценки!$B$30)*скидки_наценки!$D$13*скидки_наценки!$F$13/скидки_наценки!$B$4, 50)</f>
        <v>27100</v>
      </c>
      <c r="J6" s="691">
        <f>CEILING('Полотна база'!Q54*(1+скидки_наценки!$B$30)*скидки_наценки!$D$13*скидки_наценки!$F$13/скидки_наценки!$B$4, 50)</f>
        <v>27100</v>
      </c>
      <c r="K6" s="691">
        <f>CEILING('Полотна база'!Q54*(1+скидки_наценки!$B$30)*скидки_наценки!$D$13*скидки_наценки!$F$13/скидки_наценки!$B$4, 50)</f>
        <v>27100</v>
      </c>
      <c r="L6" s="691">
        <f>CEILING('Полотна база'!Q54*(1+скидки_наценки!$B$30)*скидки_наценки!$D$13*скидки_наценки!$F$13/скидки_наценки!$B$4, 50)</f>
        <v>27100</v>
      </c>
      <c r="M6" s="691">
        <f>CEILING('Полотна база'!Q54*(1+скидки_наценки!$B$30)*скидки_наценки!$D$13*скидки_наценки!$F$13/скидки_наценки!$B$4, 50)</f>
        <v>27100</v>
      </c>
      <c r="N6" s="441"/>
      <c r="O6" s="441"/>
      <c r="P6" s="441"/>
      <c r="Q6" s="441"/>
      <c r="R6" s="441"/>
      <c r="S6" s="596"/>
      <c r="T6" s="596"/>
      <c r="U6" s="596"/>
      <c r="V6" s="596"/>
      <c r="W6" s="596"/>
    </row>
    <row r="7" spans="1:23" s="22" customFormat="1" ht="15" customHeight="1">
      <c r="A7" s="4617"/>
      <c r="B7" s="4619"/>
      <c r="C7" s="4619"/>
      <c r="D7" s="4392"/>
      <c r="E7" s="4214"/>
      <c r="F7" s="183" t="s">
        <v>306</v>
      </c>
      <c r="G7" s="373">
        <f>IF(G6=0,0,(Погонаж!$C$13*2.5+Погонаж!$E$13*5))</f>
        <v>12375</v>
      </c>
      <c r="H7" s="373">
        <f>IF(H6=0,0,(Погонаж!$C$13*2.5+Погонаж!$E$13*5))</f>
        <v>12375</v>
      </c>
      <c r="I7" s="373">
        <f>IF(I6=0,0,(Погонаж!$C$13*2.5+Погонаж!$E$13*5))</f>
        <v>12375</v>
      </c>
      <c r="J7" s="2347">
        <f>IF(J6=0,0,(Погонаж!$C$13*2.5+Погонаж!$E$13*5))</f>
        <v>12375</v>
      </c>
      <c r="K7" s="373">
        <f>IF(K6=0,0,(Погонаж!$C$13*2.5+Погонаж!$E$13*5))</f>
        <v>12375</v>
      </c>
      <c r="L7" s="373">
        <f>IF(L6=0,0,(Погонаж!$C$13*2.5+Погонаж!$E$13*5))</f>
        <v>12375</v>
      </c>
      <c r="M7" s="373">
        <f>IF(M6=0,0,(Погонаж!$C$13*2.5+Погонаж!$E$13*5))</f>
        <v>12375</v>
      </c>
      <c r="N7" s="441"/>
      <c r="O7" s="441"/>
      <c r="P7" s="441"/>
      <c r="Q7" s="441"/>
      <c r="R7" s="441"/>
      <c r="S7" s="596"/>
      <c r="T7" s="596"/>
      <c r="U7" s="596"/>
      <c r="V7" s="596"/>
      <c r="W7" s="596"/>
    </row>
    <row r="8" spans="1:23" ht="30" customHeight="1">
      <c r="A8" s="4617"/>
      <c r="B8" s="4619"/>
      <c r="C8" s="4619"/>
      <c r="D8" s="4415"/>
      <c r="E8" s="4215"/>
      <c r="F8" s="267" t="s">
        <v>1</v>
      </c>
      <c r="G8" s="690">
        <f>G6+G7</f>
        <v>39475</v>
      </c>
      <c r="H8" s="690">
        <f t="shared" ref="H8:M8" si="0">H6+H7</f>
        <v>39475</v>
      </c>
      <c r="I8" s="690">
        <f>I6+I7</f>
        <v>39475</v>
      </c>
      <c r="J8" s="623">
        <f t="shared" si="0"/>
        <v>39475</v>
      </c>
      <c r="K8" s="690">
        <f t="shared" si="0"/>
        <v>39475</v>
      </c>
      <c r="L8" s="690">
        <f t="shared" si="0"/>
        <v>39475</v>
      </c>
      <c r="M8" s="690">
        <f t="shared" si="0"/>
        <v>39475</v>
      </c>
      <c r="N8" s="441"/>
      <c r="O8" s="441"/>
      <c r="P8" s="441"/>
      <c r="Q8" s="441"/>
      <c r="R8" s="441"/>
      <c r="S8" s="597"/>
      <c r="T8" s="242"/>
      <c r="U8" s="242"/>
      <c r="V8" s="242"/>
      <c r="W8" s="242"/>
    </row>
    <row r="9" spans="1:23">
      <c r="A9" s="586"/>
      <c r="C9" s="586"/>
      <c r="D9" s="586"/>
      <c r="E9" s="586"/>
      <c r="F9" s="6"/>
      <c r="G9" s="586"/>
      <c r="H9" s="586"/>
      <c r="I9" s="692"/>
      <c r="J9" s="586"/>
      <c r="K9" s="586"/>
      <c r="L9" s="586"/>
      <c r="M9" s="586"/>
      <c r="N9" s="441"/>
      <c r="O9" s="441"/>
      <c r="P9" s="441"/>
      <c r="Q9" s="441"/>
      <c r="R9" s="441"/>
      <c r="S9" s="242"/>
      <c r="T9" s="242"/>
      <c r="U9" s="242"/>
      <c r="V9" s="242"/>
      <c r="W9" s="242"/>
    </row>
    <row r="10" spans="1:23" s="589" customFormat="1">
      <c r="A10" s="692"/>
      <c r="C10" s="692"/>
      <c r="D10" s="692"/>
      <c r="E10" s="692"/>
      <c r="F10" s="6"/>
      <c r="G10" s="692"/>
      <c r="H10" s="692"/>
      <c r="I10" s="692"/>
      <c r="J10" s="692"/>
      <c r="K10" s="692"/>
      <c r="L10" s="692"/>
      <c r="M10" s="692"/>
      <c r="N10" s="441"/>
      <c r="O10" s="441"/>
      <c r="P10" s="441"/>
      <c r="Q10" s="441"/>
      <c r="R10" s="441"/>
      <c r="S10" s="242"/>
      <c r="T10" s="242"/>
      <c r="U10" s="242"/>
      <c r="V10" s="242"/>
      <c r="W10" s="242"/>
    </row>
    <row r="11" spans="1:23" s="589" customFormat="1">
      <c r="A11" s="1000"/>
      <c r="B11" s="19" t="s">
        <v>20</v>
      </c>
      <c r="C11" s="1000"/>
      <c r="D11" s="1000"/>
      <c r="E11" s="1000"/>
      <c r="F11" s="6"/>
      <c r="G11" s="3"/>
      <c r="H11" s="3"/>
      <c r="I11" s="3"/>
      <c r="J11" s="3"/>
      <c r="K11" s="3"/>
      <c r="L11" s="3"/>
      <c r="M11" s="7"/>
      <c r="N11" s="1000"/>
      <c r="O11" s="1000"/>
    </row>
    <row r="12" spans="1:23" s="589" customFormat="1" ht="20.100000000000001" customHeight="1">
      <c r="A12" s="4601" t="s">
        <v>3</v>
      </c>
      <c r="B12" s="4601"/>
      <c r="C12" s="4601"/>
      <c r="D12" s="4601"/>
      <c r="E12" s="4602"/>
      <c r="F12" s="4601"/>
      <c r="G12" s="545" t="s">
        <v>744</v>
      </c>
      <c r="H12" s="545" t="s">
        <v>745</v>
      </c>
      <c r="I12" s="545" t="s">
        <v>900</v>
      </c>
      <c r="J12" s="545" t="s">
        <v>746</v>
      </c>
      <c r="K12" s="545" t="s">
        <v>747</v>
      </c>
      <c r="L12" s="545" t="s">
        <v>769</v>
      </c>
      <c r="M12" s="545" t="s">
        <v>770</v>
      </c>
      <c r="N12" s="1000"/>
      <c r="O12" s="1000"/>
      <c r="P12" s="1000"/>
    </row>
    <row r="13" spans="1:23" s="589" customFormat="1" ht="20.100000000000001" customHeight="1">
      <c r="A13" s="4562" t="s">
        <v>2407</v>
      </c>
      <c r="B13" s="4563"/>
      <c r="C13" s="4564"/>
      <c r="D13" s="4568" t="s">
        <v>1221</v>
      </c>
      <c r="E13" s="4569"/>
      <c r="F13" s="4570"/>
      <c r="G13" s="1067">
        <f>'Modern Bergamo'!G14</f>
        <v>4000</v>
      </c>
      <c r="H13" s="1067">
        <f>'Modern Bergamo'!H14</f>
        <v>4000</v>
      </c>
      <c r="I13" s="1067">
        <f>'Modern Bergamo'!I14</f>
        <v>4000</v>
      </c>
      <c r="J13" s="1067">
        <f>'Modern Bergamo'!J14</f>
        <v>4000</v>
      </c>
      <c r="K13" s="1067">
        <f>'Modern Bergamo'!K14</f>
        <v>4000</v>
      </c>
      <c r="L13" s="1067">
        <f>'Modern Bergamo'!L14</f>
        <v>0</v>
      </c>
      <c r="M13" s="1067">
        <f>'Modern Bergamo'!M14</f>
        <v>0</v>
      </c>
      <c r="N13" s="1000"/>
      <c r="O13" s="1000"/>
      <c r="P13" s="1000"/>
    </row>
    <row r="14" spans="1:23" s="589" customFormat="1" ht="20.100000000000001" customHeight="1">
      <c r="A14" s="4565"/>
      <c r="B14" s="4566"/>
      <c r="C14" s="4567"/>
      <c r="D14" s="4571" t="s">
        <v>1220</v>
      </c>
      <c r="E14" s="4572"/>
      <c r="F14" s="4573"/>
      <c r="G14" s="1068">
        <f>'Modern Bergamo'!G15</f>
        <v>5500</v>
      </c>
      <c r="H14" s="1068">
        <f>'Modern Bergamo'!H15</f>
        <v>5500</v>
      </c>
      <c r="I14" s="1068">
        <f>'Modern Bergamo'!I15</f>
        <v>5500</v>
      </c>
      <c r="J14" s="1068">
        <f>'Modern Bergamo'!J15</f>
        <v>5500</v>
      </c>
      <c r="K14" s="1068">
        <f>'Modern Bergamo'!K15</f>
        <v>5500</v>
      </c>
      <c r="L14" s="1068">
        <f>'Modern Bergamo'!L15</f>
        <v>0</v>
      </c>
      <c r="M14" s="1068">
        <f>'Modern Bergamo'!M15</f>
        <v>0</v>
      </c>
      <c r="N14" s="1000"/>
      <c r="O14" s="1000"/>
      <c r="P14" s="1000"/>
    </row>
    <row r="15" spans="1:23" s="589" customFormat="1" ht="20.100000000000001" customHeight="1">
      <c r="A15" s="4438"/>
      <c r="B15" s="4606"/>
      <c r="C15" s="4439"/>
      <c r="D15" s="4613" t="s">
        <v>1222</v>
      </c>
      <c r="E15" s="4614"/>
      <c r="F15" s="4615"/>
      <c r="G15" s="1066">
        <f>'Modern Bergamo'!G16</f>
        <v>6500</v>
      </c>
      <c r="H15" s="1066">
        <f>'Modern Bergamo'!H16</f>
        <v>6500</v>
      </c>
      <c r="I15" s="1066">
        <f>'Modern Bergamo'!I16</f>
        <v>6500</v>
      </c>
      <c r="J15" s="1066">
        <f>'Modern Bergamo'!J16</f>
        <v>6500</v>
      </c>
      <c r="K15" s="1066">
        <f>'Modern Bergamo'!K16</f>
        <v>6500</v>
      </c>
      <c r="L15" s="1066">
        <f>'Modern Bergamo'!L16</f>
        <v>0</v>
      </c>
      <c r="M15" s="1066">
        <f>'Modern Bergamo'!M16</f>
        <v>0</v>
      </c>
      <c r="N15" s="1000"/>
      <c r="O15" s="1000"/>
      <c r="P15" s="1000"/>
    </row>
    <row r="16" spans="1:23" s="589" customFormat="1" ht="20.100000000000001" customHeight="1">
      <c r="A16" s="4607" t="s">
        <v>1233</v>
      </c>
      <c r="B16" s="4608"/>
      <c r="C16" s="4523"/>
      <c r="D16" s="4610" t="s">
        <v>1220</v>
      </c>
      <c r="E16" s="4611"/>
      <c r="F16" s="4612"/>
      <c r="G16" s="2885">
        <f>'Modern Bergamo'!G17</f>
        <v>8000</v>
      </c>
      <c r="H16" s="2885">
        <f>'Modern Bergamo'!H17</f>
        <v>5500</v>
      </c>
      <c r="I16" s="2885">
        <f>'Modern Bergamo'!I17</f>
        <v>5500</v>
      </c>
      <c r="J16" s="2885">
        <f>'Modern Bergamo'!J17</f>
        <v>0</v>
      </c>
      <c r="K16" s="2885">
        <f>'Modern Bergamo'!K17</f>
        <v>0</v>
      </c>
      <c r="L16" s="2885">
        <f>'Modern Bergamo'!L17</f>
        <v>0</v>
      </c>
      <c r="M16" s="2885">
        <f>'Modern Bergamo'!M17</f>
        <v>0</v>
      </c>
      <c r="N16" s="1000"/>
      <c r="O16" s="1000"/>
      <c r="P16" s="1000"/>
    </row>
    <row r="17" spans="1:42" s="589" customFormat="1" ht="20.100000000000001" customHeight="1">
      <c r="A17" s="4312"/>
      <c r="B17" s="4609"/>
      <c r="C17" s="4313"/>
      <c r="D17" s="4613" t="s">
        <v>2692</v>
      </c>
      <c r="E17" s="4614"/>
      <c r="F17" s="4615"/>
      <c r="G17" s="1106">
        <f>'Modern Bergamo'!G18</f>
        <v>9000</v>
      </c>
      <c r="H17" s="1106">
        <f>'Modern Bergamo'!H18</f>
        <v>6500</v>
      </c>
      <c r="I17" s="1106">
        <f>'Modern Bergamo'!I18</f>
        <v>6500</v>
      </c>
      <c r="J17" s="1106">
        <f>'Modern Bergamo'!J18</f>
        <v>0</v>
      </c>
      <c r="K17" s="1106">
        <f>'Modern Bergamo'!K18</f>
        <v>0</v>
      </c>
      <c r="L17" s="1106">
        <f>'Modern Bergamo'!L18</f>
        <v>0</v>
      </c>
      <c r="M17" s="1106">
        <f>'Modern Bergamo'!M18</f>
        <v>0</v>
      </c>
      <c r="N17" s="1000"/>
      <c r="O17" s="1000"/>
      <c r="P17" s="1000"/>
    </row>
    <row r="18" spans="1:42" s="589" customFormat="1" ht="15" customHeight="1">
      <c r="F18" s="102"/>
      <c r="G18" s="640"/>
      <c r="H18" s="361"/>
      <c r="I18" s="361"/>
      <c r="J18" s="361"/>
      <c r="K18" s="640"/>
      <c r="L18" s="361"/>
      <c r="M18" s="638"/>
      <c r="N18" s="441"/>
      <c r="O18" s="441"/>
      <c r="P18" s="441"/>
      <c r="Q18" s="441"/>
      <c r="R18" s="441"/>
      <c r="S18" s="242"/>
      <c r="T18" s="242"/>
      <c r="U18" s="242"/>
      <c r="V18" s="242"/>
      <c r="W18" s="242"/>
    </row>
    <row r="19" spans="1:42" s="589" customFormat="1" ht="15" customHeight="1">
      <c r="F19" s="102"/>
      <c r="G19" s="1015"/>
      <c r="H19" s="361"/>
      <c r="I19" s="361"/>
      <c r="J19" s="361"/>
      <c r="K19" s="1015"/>
      <c r="L19" s="361"/>
      <c r="M19" s="1000"/>
      <c r="N19" s="441"/>
      <c r="O19" s="441"/>
      <c r="P19" s="441"/>
      <c r="Q19" s="441"/>
      <c r="R19" s="441"/>
      <c r="S19" s="242"/>
      <c r="T19" s="242"/>
      <c r="U19" s="242"/>
      <c r="V19" s="242"/>
      <c r="W19" s="242"/>
    </row>
    <row r="20" spans="1:42" s="589" customFormat="1" ht="79.900000000000006" customHeight="1">
      <c r="A20" s="7"/>
      <c r="B20" s="1146"/>
      <c r="C20" s="1146"/>
      <c r="D20" s="1146"/>
      <c r="E20" s="1146"/>
      <c r="F20" s="8"/>
      <c r="G20" s="7"/>
      <c r="H20" s="7"/>
      <c r="I20" s="7"/>
      <c r="J20" s="7"/>
      <c r="K20" s="7"/>
      <c r="L20" s="7"/>
      <c r="M20" s="7"/>
      <c r="N20" s="440"/>
      <c r="O20" s="440"/>
      <c r="P20" s="440"/>
      <c r="Q20" s="440"/>
      <c r="R20" s="440"/>
      <c r="S20" s="242"/>
      <c r="T20" s="242"/>
      <c r="U20" s="242"/>
      <c r="V20" s="242"/>
      <c r="W20" s="242"/>
    </row>
    <row r="21" spans="1:42">
      <c r="A21" s="997"/>
      <c r="B21" s="19" t="s">
        <v>25</v>
      </c>
      <c r="C21" s="997"/>
      <c r="D21" s="997"/>
      <c r="E21" s="997"/>
      <c r="F21" s="997"/>
      <c r="G21" s="6"/>
      <c r="H21" s="586"/>
      <c r="I21" s="692"/>
      <c r="J21" s="586"/>
      <c r="K21" s="586"/>
      <c r="L21" s="586"/>
      <c r="M21" s="586"/>
      <c r="N21" s="586"/>
      <c r="O21" s="586"/>
      <c r="P21" s="586"/>
      <c r="Q21" s="586"/>
      <c r="R21" s="586"/>
    </row>
    <row r="22" spans="1:42" ht="18" customHeight="1">
      <c r="A22" s="4220" t="s">
        <v>39</v>
      </c>
      <c r="B22" s="4222"/>
      <c r="C22" s="4220" t="s">
        <v>182</v>
      </c>
      <c r="D22" s="4222"/>
      <c r="E22" s="4201" t="s">
        <v>40</v>
      </c>
      <c r="F22" s="4201" t="s">
        <v>38</v>
      </c>
      <c r="G22" s="2420" t="s">
        <v>744</v>
      </c>
      <c r="H22" s="2420" t="s">
        <v>745</v>
      </c>
      <c r="I22" s="2420" t="s">
        <v>900</v>
      </c>
      <c r="J22" s="2420" t="s">
        <v>746</v>
      </c>
      <c r="K22" s="2420" t="s">
        <v>747</v>
      </c>
      <c r="L22" s="4292" t="s">
        <v>769</v>
      </c>
      <c r="M22" s="4292" t="s">
        <v>770</v>
      </c>
      <c r="N22" s="586"/>
      <c r="O22" s="586"/>
      <c r="P22" s="586"/>
      <c r="Q22" s="586"/>
    </row>
    <row r="23" spans="1:42" ht="18" customHeight="1">
      <c r="A23" s="4477"/>
      <c r="B23" s="4478"/>
      <c r="C23" s="4477"/>
      <c r="D23" s="4478"/>
      <c r="E23" s="4472"/>
      <c r="F23" s="4472"/>
      <c r="G23" s="2421" t="s">
        <v>22</v>
      </c>
      <c r="H23" s="2421" t="s">
        <v>22</v>
      </c>
      <c r="I23" s="2421" t="s">
        <v>22</v>
      </c>
      <c r="J23" s="2421" t="s">
        <v>22</v>
      </c>
      <c r="K23" s="2421" t="s">
        <v>22</v>
      </c>
      <c r="L23" s="4594"/>
      <c r="M23" s="4594"/>
    </row>
    <row r="24" spans="1:42" ht="18" customHeight="1">
      <c r="A24" s="4223"/>
      <c r="B24" s="4225"/>
      <c r="C24" s="4223"/>
      <c r="D24" s="4225"/>
      <c r="E24" s="4202"/>
      <c r="F24" s="4202"/>
      <c r="G24" s="2435" t="s">
        <v>219</v>
      </c>
      <c r="H24" s="2435" t="s">
        <v>219</v>
      </c>
      <c r="I24" s="2435" t="s">
        <v>219</v>
      </c>
      <c r="J24" s="2435" t="s">
        <v>219</v>
      </c>
      <c r="K24" s="2435" t="s">
        <v>219</v>
      </c>
      <c r="L24" s="4595"/>
      <c r="M24" s="4595"/>
    </row>
    <row r="25" spans="1:42" ht="24" customHeight="1">
      <c r="A25" s="4600" t="s">
        <v>215</v>
      </c>
      <c r="B25" s="4600"/>
      <c r="C25" s="4249" t="s">
        <v>220</v>
      </c>
      <c r="D25" s="4249"/>
      <c r="E25" s="1002" t="s">
        <v>1324</v>
      </c>
      <c r="F25" s="430" t="s">
        <v>1326</v>
      </c>
      <c r="G25" s="1043">
        <f>'Modern Bergamo'!G26</f>
        <v>5200</v>
      </c>
      <c r="H25" s="1043">
        <f>'Modern Bergamo'!H26</f>
        <v>3400</v>
      </c>
      <c r="I25" s="1043">
        <f>'Modern Bergamo'!I26</f>
        <v>3400</v>
      </c>
      <c r="J25" s="1043">
        <f>'Modern Bergamo'!J26</f>
        <v>3400</v>
      </c>
      <c r="K25" s="1043">
        <f>'Modern Bergamo'!K26</f>
        <v>3400</v>
      </c>
      <c r="L25" s="1043">
        <f>'Modern Bergamo'!L26</f>
        <v>0</v>
      </c>
      <c r="M25" s="1043">
        <f>'Modern Bergamo'!M26</f>
        <v>0</v>
      </c>
      <c r="N25" s="49"/>
      <c r="O25" s="49"/>
      <c r="P25" s="49"/>
      <c r="Q25" s="49"/>
    </row>
    <row r="26" spans="1:42" s="68" customFormat="1" ht="14.1" customHeight="1">
      <c r="A26" s="4596" t="s">
        <v>218</v>
      </c>
      <c r="B26" s="4596"/>
      <c r="C26" s="4596"/>
      <c r="D26" s="4596"/>
      <c r="E26" s="4596"/>
      <c r="F26" s="4596"/>
      <c r="G26" s="4596"/>
      <c r="H26" s="4596"/>
      <c r="I26" s="4596"/>
      <c r="J26" s="4596"/>
      <c r="K26" s="4596"/>
      <c r="L26" s="4596"/>
      <c r="M26" s="4596"/>
      <c r="N26" s="22"/>
      <c r="O26" s="613"/>
      <c r="P26" s="613"/>
      <c r="Q26" s="613"/>
      <c r="R26" s="613"/>
      <c r="S26" s="613"/>
      <c r="T26" s="613"/>
      <c r="U26" s="613"/>
      <c r="V26" s="613"/>
      <c r="W26" s="613"/>
      <c r="X26" s="613"/>
      <c r="Y26" s="613"/>
      <c r="Z26" s="613"/>
      <c r="AA26" s="613"/>
      <c r="AB26" s="613"/>
      <c r="AC26" s="613"/>
      <c r="AD26" s="613"/>
      <c r="AE26" s="613"/>
      <c r="AF26" s="613"/>
      <c r="AG26" s="613"/>
      <c r="AH26" s="613"/>
      <c r="AI26" s="613"/>
      <c r="AJ26" s="613"/>
      <c r="AK26" s="613"/>
      <c r="AL26" s="613"/>
      <c r="AM26" s="613"/>
      <c r="AN26" s="613"/>
      <c r="AO26" s="613"/>
      <c r="AP26" s="613"/>
    </row>
    <row r="27" spans="1:42" s="22" customFormat="1" ht="19.899999999999999" customHeight="1">
      <c r="A27" s="4597" t="s">
        <v>224</v>
      </c>
      <c r="B27" s="4598"/>
      <c r="C27" s="4599" t="s">
        <v>484</v>
      </c>
      <c r="D27" s="4599"/>
      <c r="E27" s="4599"/>
      <c r="F27" s="4599"/>
      <c r="G27" s="353">
        <f>'Modern Bergamo'!G28</f>
        <v>700</v>
      </c>
      <c r="H27" s="353">
        <f>'Modern Bergamo'!H28</f>
        <v>500</v>
      </c>
      <c r="I27" s="353">
        <f>'Modern Bergamo'!I28</f>
        <v>500</v>
      </c>
      <c r="J27" s="353">
        <f>'Modern Bergamo'!J28</f>
        <v>500</v>
      </c>
      <c r="K27" s="353">
        <f>'Modern Bergamo'!K28</f>
        <v>500</v>
      </c>
      <c r="L27" s="353">
        <f>'Modern Bergamo'!L28</f>
        <v>0</v>
      </c>
      <c r="M27" s="353">
        <f>'Modern Bergamo'!M28</f>
        <v>0</v>
      </c>
      <c r="O27" s="613"/>
      <c r="P27" s="613"/>
      <c r="Q27" s="613"/>
      <c r="R27" s="613"/>
      <c r="S27" s="613"/>
      <c r="T27" s="613"/>
      <c r="U27" s="613"/>
      <c r="V27" s="613"/>
      <c r="W27" s="613"/>
      <c r="X27" s="613"/>
      <c r="Y27" s="613"/>
      <c r="Z27" s="613"/>
      <c r="AA27" s="613"/>
      <c r="AB27" s="613"/>
      <c r="AC27" s="613"/>
      <c r="AD27" s="613"/>
      <c r="AE27" s="613"/>
      <c r="AF27" s="613"/>
      <c r="AG27" s="613"/>
      <c r="AH27" s="613"/>
      <c r="AI27" s="613"/>
      <c r="AJ27" s="613"/>
      <c r="AK27" s="613"/>
      <c r="AL27" s="613"/>
      <c r="AM27" s="613"/>
      <c r="AN27" s="613"/>
      <c r="AO27" s="613"/>
      <c r="AP27" s="613"/>
    </row>
    <row r="28" spans="1:42" s="24" customFormat="1" ht="12" customHeight="1">
      <c r="B28" s="31"/>
      <c r="C28" s="193"/>
      <c r="D28" s="193"/>
      <c r="E28" s="193"/>
      <c r="F28" s="196"/>
      <c r="H28" s="20"/>
      <c r="I28" s="20"/>
      <c r="N28" s="594"/>
      <c r="O28" s="594"/>
      <c r="P28" s="594"/>
      <c r="Q28" s="594"/>
      <c r="R28" s="594"/>
      <c r="S28" s="594"/>
      <c r="T28" s="594"/>
      <c r="U28" s="594"/>
      <c r="V28" s="594"/>
      <c r="W28" s="594"/>
    </row>
  </sheetData>
  <mergeCells count="25">
    <mergeCell ref="A12:F12"/>
    <mergeCell ref="B3:E3"/>
    <mergeCell ref="A13:C15"/>
    <mergeCell ref="A16:C17"/>
    <mergeCell ref="D16:F16"/>
    <mergeCell ref="D17:F17"/>
    <mergeCell ref="D13:F13"/>
    <mergeCell ref="D14:F14"/>
    <mergeCell ref="D15:F15"/>
    <mergeCell ref="A5:C5"/>
    <mergeCell ref="A6:A8"/>
    <mergeCell ref="B6:C8"/>
    <mergeCell ref="D6:D8"/>
    <mergeCell ref="E6:E8"/>
    <mergeCell ref="L22:L24"/>
    <mergeCell ref="M22:M24"/>
    <mergeCell ref="A26:M26"/>
    <mergeCell ref="A27:B27"/>
    <mergeCell ref="C27:F27"/>
    <mergeCell ref="C22:D24"/>
    <mergeCell ref="E22:E24"/>
    <mergeCell ref="F22:F24"/>
    <mergeCell ref="C25:D25"/>
    <mergeCell ref="A22:B24"/>
    <mergeCell ref="A25:B25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13" orientation="landscape" useFirstPageNumber="1" r:id="rId1"/>
  <headerFooter>
    <oddFooter>&amp;L&amp;P&amp;R&amp;16&amp;K00-044Коллекция&amp;K01+000 &amp;11
&amp;G</oddFooter>
  </headerFooter>
  <rowBreaks count="1" manualBreakCount="1">
    <brk id="28" max="13" man="1"/>
  </rowBreaks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13">
    <tabColor rgb="FF92D050"/>
  </sheetPr>
  <dimension ref="A1:AO40"/>
  <sheetViews>
    <sheetView view="pageBreakPreview" zoomScale="80" zoomScaleNormal="100" zoomScaleSheetLayoutView="80" zoomScalePageLayoutView="70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B1" sqref="B1"/>
    </sheetView>
  </sheetViews>
  <sheetFormatPr defaultColWidth="8.85546875" defaultRowHeight="15"/>
  <cols>
    <col min="1" max="1" width="4.7109375" style="21" customWidth="1"/>
    <col min="2" max="5" width="11.7109375" style="21" customWidth="1"/>
    <col min="6" max="6" width="11.7109375" style="2" customWidth="1"/>
    <col min="7" max="8" width="25.7109375" style="21" customWidth="1"/>
    <col min="9" max="9" width="19.7109375" style="21" customWidth="1"/>
    <col min="10" max="10" width="19.7109375" style="589" customWidth="1"/>
    <col min="11" max="11" width="19.7109375" style="21" customWidth="1"/>
    <col min="12" max="12" width="19.7109375" style="300" customWidth="1"/>
    <col min="13" max="14" width="14.28515625" style="300" customWidth="1"/>
    <col min="15" max="15" width="14.28515625" style="21" customWidth="1"/>
    <col min="16" max="16384" width="8.85546875" style="21"/>
  </cols>
  <sheetData>
    <row r="1" spans="1:17" s="11" customFormat="1" ht="18" customHeight="1">
      <c r="B1" s="2277" t="s">
        <v>490</v>
      </c>
      <c r="C1" s="26"/>
      <c r="D1" s="26"/>
      <c r="E1" s="26"/>
      <c r="F1" s="4"/>
      <c r="G1" s="26"/>
      <c r="H1" s="26"/>
      <c r="I1" s="26"/>
      <c r="J1" s="1181"/>
      <c r="K1" s="26"/>
      <c r="L1" s="1181"/>
      <c r="M1" s="26"/>
      <c r="N1" s="26"/>
      <c r="O1" s="26"/>
    </row>
    <row r="2" spans="1:17">
      <c r="A2" s="5"/>
      <c r="B2" s="23"/>
      <c r="C2" s="23"/>
      <c r="D2" s="23"/>
      <c r="E2" s="23"/>
      <c r="F2" s="6"/>
      <c r="G2" s="23"/>
      <c r="H2" s="23"/>
      <c r="I2" s="23"/>
      <c r="J2" s="2335"/>
      <c r="K2" s="23"/>
      <c r="L2" s="301"/>
      <c r="M2" s="301"/>
      <c r="N2" s="301"/>
      <c r="O2" s="23"/>
    </row>
    <row r="3" spans="1:17" ht="79.900000000000006" customHeight="1">
      <c r="A3" s="7"/>
      <c r="B3" s="4603" t="s">
        <v>309</v>
      </c>
      <c r="C3" s="4604"/>
      <c r="D3" s="4604"/>
      <c r="E3" s="4605"/>
      <c r="F3" s="8"/>
      <c r="G3" s="7"/>
      <c r="H3" s="7"/>
      <c r="I3" s="7"/>
      <c r="J3" s="7"/>
      <c r="K3" s="7"/>
      <c r="L3" s="7"/>
      <c r="M3" s="7"/>
      <c r="N3" s="7"/>
      <c r="O3" s="7"/>
    </row>
    <row r="4" spans="1:17">
      <c r="A4" s="23"/>
      <c r="B4" s="19" t="s">
        <v>59</v>
      </c>
      <c r="C4" s="588"/>
      <c r="D4" s="588"/>
      <c r="E4" s="23"/>
      <c r="F4" s="6"/>
      <c r="G4" s="23"/>
      <c r="H4" s="23"/>
      <c r="I4" s="23"/>
      <c r="J4" s="7"/>
      <c r="K4" s="23"/>
      <c r="L4" s="7"/>
      <c r="M4" s="301"/>
      <c r="N4" s="301"/>
      <c r="O4" s="23"/>
    </row>
    <row r="5" spans="1:17" s="22" customFormat="1">
      <c r="A5" s="4220" t="s">
        <v>2</v>
      </c>
      <c r="B5" s="4221"/>
      <c r="C5" s="4222"/>
      <c r="D5" s="4201" t="s">
        <v>42</v>
      </c>
      <c r="E5" s="4201" t="s">
        <v>47</v>
      </c>
      <c r="F5" s="4201" t="s">
        <v>8</v>
      </c>
      <c r="G5" s="4292" t="s">
        <v>940</v>
      </c>
      <c r="H5" s="4292" t="s">
        <v>941</v>
      </c>
      <c r="I5" s="4446" t="s">
        <v>942</v>
      </c>
      <c r="J5" s="4498"/>
      <c r="K5" s="4446" t="s">
        <v>943</v>
      </c>
      <c r="L5" s="4498"/>
      <c r="M5" s="309"/>
      <c r="N5" s="309"/>
      <c r="O5" s="309"/>
      <c r="P5" s="309"/>
    </row>
    <row r="6" spans="1:17" s="22" customFormat="1">
      <c r="A6" s="4223"/>
      <c r="B6" s="4224"/>
      <c r="C6" s="4225"/>
      <c r="D6" s="4412"/>
      <c r="E6" s="4412"/>
      <c r="F6" s="4412"/>
      <c r="G6" s="4293"/>
      <c r="H6" s="4293"/>
      <c r="I6" s="4396"/>
      <c r="J6" s="4500"/>
      <c r="K6" s="4396"/>
      <c r="L6" s="4500"/>
      <c r="M6" s="2335"/>
      <c r="N6" s="2335"/>
      <c r="O6" s="2335"/>
      <c r="P6" s="2335"/>
    </row>
    <row r="7" spans="1:17" s="22" customFormat="1" ht="30" customHeight="1">
      <c r="A7" s="4589" t="s">
        <v>30</v>
      </c>
      <c r="B7" s="4211" t="s">
        <v>284</v>
      </c>
      <c r="C7" s="4523"/>
      <c r="D7" s="4213" t="s">
        <v>35</v>
      </c>
      <c r="E7" s="4213" t="s">
        <v>45</v>
      </c>
      <c r="F7" s="182" t="s">
        <v>0</v>
      </c>
      <c r="G7" s="691">
        <f>CEILING('Полотна база'!V54*(1+скидки_наценки!$B$30)*скидки_наценки!$D$13*скидки_наценки!$F$13/скидки_наценки!$B$4, 50)</f>
        <v>33700</v>
      </c>
      <c r="H7" s="691">
        <f>CEILING('Полотна база'!V54*(1+скидки_наценки!$B$30)*скидки_наценки!$D$13*скидки_наценки!$F$13/скидки_наценки!$B$4, 50)</f>
        <v>33700</v>
      </c>
      <c r="I7" s="4627">
        <f>CEILING('Полотна база'!V54*(1+скидки_наценки!$B$30)*скидки_наценки!$D$13*скидки_наценки!$F$13/скидки_наценки!$B$4, 50)</f>
        <v>33700</v>
      </c>
      <c r="J7" s="4627"/>
      <c r="K7" s="4627">
        <f>CEILING('Полотна база'!V54*(1+скидки_наценки!$B$30)*скидки_наценки!$D$13*скидки_наценки!$F$13/скидки_наценки!$B$4, 50)</f>
        <v>33700</v>
      </c>
      <c r="L7" s="4627"/>
      <c r="M7" s="309"/>
      <c r="N7" s="309"/>
      <c r="O7" s="309"/>
      <c r="P7" s="309"/>
    </row>
    <row r="8" spans="1:17" s="22" customFormat="1" ht="15" customHeight="1">
      <c r="A8" s="4590"/>
      <c r="B8" s="4435"/>
      <c r="C8" s="4437"/>
      <c r="D8" s="4214"/>
      <c r="E8" s="4214"/>
      <c r="F8" s="183" t="s">
        <v>306</v>
      </c>
      <c r="G8" s="373">
        <f>IF(G7=0,0,(Погонаж!$C$13*2.5+Погонаж!$E$13*5))</f>
        <v>12375</v>
      </c>
      <c r="H8" s="373">
        <f>IF(H7=0,0,(Погонаж!$C$13*2.5+Погонаж!$E$13*5))</f>
        <v>12375</v>
      </c>
      <c r="I8" s="4628">
        <f>IF(I7=0,0,(Погонаж!$C$13*2.5+Погонаж!$E$13*5))</f>
        <v>12375</v>
      </c>
      <c r="J8" s="4628"/>
      <c r="K8" s="4628">
        <f>IF(K7=0,0,(Погонаж!$C$13*2.5+Погонаж!$E$13*5))</f>
        <v>12375</v>
      </c>
      <c r="L8" s="4628"/>
      <c r="M8" s="309"/>
      <c r="N8" s="309"/>
      <c r="O8" s="309"/>
      <c r="P8" s="309"/>
    </row>
    <row r="9" spans="1:17" ht="30" customHeight="1">
      <c r="A9" s="4621"/>
      <c r="B9" s="4312"/>
      <c r="C9" s="4313"/>
      <c r="D9" s="4215"/>
      <c r="E9" s="4215"/>
      <c r="F9" s="267" t="s">
        <v>1</v>
      </c>
      <c r="G9" s="690">
        <f>G7+G8</f>
        <v>46075</v>
      </c>
      <c r="H9" s="690">
        <f>H7+H8</f>
        <v>46075</v>
      </c>
      <c r="I9" s="4630">
        <f>I7+I8</f>
        <v>46075</v>
      </c>
      <c r="J9" s="4630"/>
      <c r="K9" s="4630">
        <f>K7+K8</f>
        <v>46075</v>
      </c>
      <c r="L9" s="4630"/>
      <c r="M9" s="309"/>
      <c r="N9" s="309"/>
      <c r="O9" s="309"/>
      <c r="P9" s="309"/>
      <c r="Q9" s="122"/>
    </row>
    <row r="10" spans="1:17">
      <c r="A10" s="23"/>
      <c r="B10" s="137"/>
      <c r="C10" s="23"/>
      <c r="D10" s="23"/>
      <c r="E10" s="23"/>
      <c r="F10" s="6"/>
      <c r="G10" s="23"/>
      <c r="H10" s="23"/>
      <c r="I10" s="23"/>
      <c r="J10" s="7"/>
      <c r="K10" s="23"/>
      <c r="L10" s="7"/>
      <c r="M10" s="309"/>
      <c r="N10" s="309"/>
      <c r="O10" s="309"/>
    </row>
    <row r="11" spans="1:17" s="345" customFormat="1">
      <c r="A11" s="348"/>
      <c r="C11" s="348"/>
      <c r="D11" s="348"/>
      <c r="E11" s="348"/>
      <c r="F11" s="6"/>
      <c r="G11" s="348"/>
      <c r="H11" s="348"/>
      <c r="I11" s="348"/>
      <c r="J11" s="7"/>
      <c r="K11" s="348"/>
      <c r="L11" s="7"/>
      <c r="M11" s="348"/>
      <c r="N11" s="348"/>
      <c r="O11" s="348"/>
    </row>
    <row r="12" spans="1:17">
      <c r="A12" s="23"/>
      <c r="B12" s="19" t="s">
        <v>20</v>
      </c>
      <c r="C12" s="23"/>
      <c r="D12" s="23"/>
      <c r="E12" s="23"/>
      <c r="F12" s="6"/>
      <c r="G12" s="15"/>
      <c r="H12" s="15"/>
      <c r="I12" s="15"/>
      <c r="J12" s="7"/>
      <c r="K12" s="15"/>
      <c r="L12" s="7"/>
      <c r="M12" s="309"/>
      <c r="N12" s="309"/>
      <c r="O12" s="309"/>
    </row>
    <row r="13" spans="1:17" ht="30" customHeight="1">
      <c r="A13" s="4601" t="s">
        <v>3</v>
      </c>
      <c r="B13" s="4601"/>
      <c r="C13" s="4601"/>
      <c r="D13" s="4601"/>
      <c r="E13" s="4602"/>
      <c r="F13" s="4601"/>
      <c r="G13" s="545" t="s">
        <v>940</v>
      </c>
      <c r="H13" s="545" t="s">
        <v>941</v>
      </c>
      <c r="I13" s="4629" t="s">
        <v>942</v>
      </c>
      <c r="J13" s="4629"/>
      <c r="K13" s="4629" t="s">
        <v>943</v>
      </c>
      <c r="L13" s="4629"/>
      <c r="M13" s="309"/>
      <c r="N13" s="309"/>
      <c r="O13" s="309"/>
      <c r="P13" s="309"/>
    </row>
    <row r="14" spans="1:17" ht="20.100000000000001" customHeight="1">
      <c r="A14" s="4562" t="s">
        <v>2407</v>
      </c>
      <c r="B14" s="4563"/>
      <c r="C14" s="4564"/>
      <c r="D14" s="4568" t="s">
        <v>1221</v>
      </c>
      <c r="E14" s="4569"/>
      <c r="F14" s="4570"/>
      <c r="G14" s="1067">
        <f>'Modern Bergamo'!G14</f>
        <v>4000</v>
      </c>
      <c r="H14" s="1067">
        <f>'Modern Bergamo'!H14</f>
        <v>4000</v>
      </c>
      <c r="I14" s="4626">
        <f>'Modern Bergamo'!J14</f>
        <v>4000</v>
      </c>
      <c r="J14" s="4626"/>
      <c r="K14" s="4626">
        <f>I14</f>
        <v>4000</v>
      </c>
      <c r="L14" s="4626"/>
      <c r="M14" s="309"/>
      <c r="N14" s="309"/>
      <c r="O14" s="309"/>
      <c r="P14" s="309"/>
    </row>
    <row r="15" spans="1:17" s="589" customFormat="1" ht="20.100000000000001" customHeight="1">
      <c r="A15" s="4565"/>
      <c r="B15" s="4566"/>
      <c r="C15" s="4567"/>
      <c r="D15" s="4571" t="s">
        <v>1220</v>
      </c>
      <c r="E15" s="4572"/>
      <c r="F15" s="4573"/>
      <c r="G15" s="1068">
        <f>'Modern Bergamo'!G15</f>
        <v>5500</v>
      </c>
      <c r="H15" s="1068">
        <f>'Modern Bergamo'!H15</f>
        <v>5500</v>
      </c>
      <c r="I15" s="4622">
        <f>'Modern Bergamo'!J15</f>
        <v>5500</v>
      </c>
      <c r="J15" s="4622"/>
      <c r="K15" s="4622">
        <f>I15</f>
        <v>5500</v>
      </c>
      <c r="L15" s="4622"/>
      <c r="M15" s="997"/>
      <c r="N15" s="997"/>
      <c r="O15" s="997"/>
      <c r="P15" s="997"/>
    </row>
    <row r="16" spans="1:17" s="589" customFormat="1" ht="20.100000000000001" customHeight="1">
      <c r="A16" s="4438"/>
      <c r="B16" s="4606"/>
      <c r="C16" s="4439"/>
      <c r="D16" s="4613" t="s">
        <v>1222</v>
      </c>
      <c r="E16" s="4614"/>
      <c r="F16" s="4615"/>
      <c r="G16" s="1066">
        <f>'Modern Bergamo'!G16</f>
        <v>6500</v>
      </c>
      <c r="H16" s="1066">
        <f>'Modern Bergamo'!H16</f>
        <v>6500</v>
      </c>
      <c r="I16" s="4623">
        <f>'Modern Bergamo'!J16</f>
        <v>6500</v>
      </c>
      <c r="J16" s="4623"/>
      <c r="K16" s="4623">
        <f>I16</f>
        <v>6500</v>
      </c>
      <c r="L16" s="4623"/>
      <c r="M16" s="997"/>
      <c r="N16" s="997"/>
      <c r="O16" s="997"/>
      <c r="P16" s="997"/>
    </row>
    <row r="17" spans="1:41" ht="20.100000000000001" customHeight="1">
      <c r="A17" s="4607" t="s">
        <v>1233</v>
      </c>
      <c r="B17" s="4608"/>
      <c r="C17" s="4523"/>
      <c r="D17" s="4610" t="s">
        <v>1220</v>
      </c>
      <c r="E17" s="4611"/>
      <c r="F17" s="4612"/>
      <c r="G17" s="2885">
        <f>'Modern Bergamo'!G17</f>
        <v>8000</v>
      </c>
      <c r="H17" s="2885">
        <f>'Modern Bergamo'!H17</f>
        <v>5500</v>
      </c>
      <c r="I17" s="4624">
        <f>'Modern Bergamo'!J17</f>
        <v>0</v>
      </c>
      <c r="J17" s="4624"/>
      <c r="K17" s="4624">
        <f>I17</f>
        <v>0</v>
      </c>
      <c r="L17" s="4624"/>
      <c r="M17" s="309"/>
      <c r="N17" s="309"/>
      <c r="O17" s="309"/>
      <c r="P17" s="309"/>
    </row>
    <row r="18" spans="1:41" s="120" customFormat="1" ht="20.100000000000001" customHeight="1">
      <c r="A18" s="4312"/>
      <c r="B18" s="4609"/>
      <c r="C18" s="4313"/>
      <c r="D18" s="4613" t="s">
        <v>2692</v>
      </c>
      <c r="E18" s="4614"/>
      <c r="F18" s="4615"/>
      <c r="G18" s="1106">
        <f>'Modern Bergamo'!G18</f>
        <v>9000</v>
      </c>
      <c r="H18" s="1106">
        <f>'Modern Bergamo'!H18</f>
        <v>6500</v>
      </c>
      <c r="I18" s="4625">
        <f>'Modern Bergamo'!J18</f>
        <v>0</v>
      </c>
      <c r="J18" s="4625"/>
      <c r="K18" s="4625">
        <f>I18</f>
        <v>0</v>
      </c>
      <c r="L18" s="4625"/>
      <c r="M18" s="309"/>
      <c r="N18" s="309"/>
      <c r="O18" s="309"/>
      <c r="P18" s="309"/>
    </row>
    <row r="19" spans="1:41" ht="15" customHeight="1">
      <c r="F19" s="102"/>
      <c r="G19" s="14"/>
      <c r="H19" s="361"/>
      <c r="I19" s="357"/>
      <c r="J19" s="7"/>
      <c r="K19" s="14"/>
      <c r="L19" s="7"/>
      <c r="M19" s="309"/>
      <c r="N19" s="309"/>
      <c r="O19" s="309"/>
    </row>
    <row r="20" spans="1:41" ht="90" customHeight="1">
      <c r="B20" s="32"/>
      <c r="F20" s="21"/>
    </row>
    <row r="21" spans="1:41">
      <c r="A21" s="23"/>
      <c r="B21" s="19" t="s">
        <v>25</v>
      </c>
      <c r="C21" s="23"/>
      <c r="D21" s="23"/>
      <c r="E21" s="23"/>
      <c r="F21" s="23"/>
      <c r="G21" s="6"/>
      <c r="H21" s="23"/>
      <c r="I21" s="23"/>
      <c r="K21" s="23"/>
      <c r="L21" s="589"/>
      <c r="M21" s="301"/>
      <c r="N21" s="301"/>
      <c r="O21" s="23"/>
    </row>
    <row r="22" spans="1:41" ht="14.45" customHeight="1">
      <c r="A22" s="4220" t="s">
        <v>39</v>
      </c>
      <c r="B22" s="4222"/>
      <c r="C22" s="4220" t="s">
        <v>182</v>
      </c>
      <c r="D22" s="4222"/>
      <c r="E22" s="4201" t="s">
        <v>40</v>
      </c>
      <c r="F22" s="4201" t="s">
        <v>38</v>
      </c>
      <c r="G22" s="2413" t="s">
        <v>940</v>
      </c>
      <c r="H22" s="2413" t="s">
        <v>941</v>
      </c>
      <c r="I22" s="2413" t="s">
        <v>942</v>
      </c>
      <c r="J22" s="2413" t="str">
        <f>I22</f>
        <v xml:space="preserve">Turin3 </v>
      </c>
      <c r="K22" s="2413" t="s">
        <v>943</v>
      </c>
      <c r="L22" s="2413" t="str">
        <f>K22</f>
        <v xml:space="preserve">Turin4 </v>
      </c>
      <c r="M22" s="309"/>
      <c r="N22" s="309"/>
      <c r="O22" s="309"/>
    </row>
    <row r="23" spans="1:41" s="322" customFormat="1">
      <c r="A23" s="4477"/>
      <c r="B23" s="4478"/>
      <c r="C23" s="4477"/>
      <c r="D23" s="4478"/>
      <c r="E23" s="4472"/>
      <c r="F23" s="4472"/>
      <c r="G23" s="2421" t="s">
        <v>22</v>
      </c>
      <c r="H23" s="2421" t="s">
        <v>22</v>
      </c>
      <c r="I23" s="2421" t="s">
        <v>22</v>
      </c>
      <c r="J23" s="2421" t="s">
        <v>2450</v>
      </c>
      <c r="K23" s="2421" t="s">
        <v>362</v>
      </c>
      <c r="L23" s="2421" t="s">
        <v>2041</v>
      </c>
      <c r="M23" s="323"/>
      <c r="N23" s="323"/>
      <c r="O23" s="323"/>
    </row>
    <row r="24" spans="1:41" s="16" customFormat="1">
      <c r="A24" s="4223"/>
      <c r="B24" s="4225"/>
      <c r="C24" s="4223"/>
      <c r="D24" s="4225"/>
      <c r="E24" s="4202"/>
      <c r="F24" s="4202"/>
      <c r="G24" s="2435" t="s">
        <v>219</v>
      </c>
      <c r="H24" s="2435" t="s">
        <v>219</v>
      </c>
      <c r="I24" s="2435" t="s">
        <v>219</v>
      </c>
      <c r="J24" s="2435" t="s">
        <v>219</v>
      </c>
      <c r="K24" s="2435" t="s">
        <v>219</v>
      </c>
      <c r="L24" s="2435" t="s">
        <v>219</v>
      </c>
      <c r="M24" s="309"/>
      <c r="N24" s="309"/>
      <c r="O24" s="309"/>
    </row>
    <row r="25" spans="1:41" s="22" customFormat="1" ht="24" customHeight="1">
      <c r="A25" s="4460" t="s">
        <v>215</v>
      </c>
      <c r="B25" s="4620"/>
      <c r="C25" s="4251" t="s">
        <v>220</v>
      </c>
      <c r="D25" s="4291"/>
      <c r="E25" s="1004" t="s">
        <v>1324</v>
      </c>
      <c r="F25" s="430" t="s">
        <v>1326</v>
      </c>
      <c r="G25" s="352">
        <f>'Modern Bergamo'!G26</f>
        <v>5200</v>
      </c>
      <c r="H25" s="352">
        <f>'Modern Bergamo'!H26</f>
        <v>3400</v>
      </c>
      <c r="I25" s="352">
        <f>'Modern Bergamo'!J26</f>
        <v>3400</v>
      </c>
      <c r="J25" s="352">
        <f>CEILING(I25*0.3, 50)</f>
        <v>1050</v>
      </c>
      <c r="K25" s="352">
        <f>I25</f>
        <v>3400</v>
      </c>
      <c r="L25" s="352">
        <f>CEILING(K25*0.3, 50)</f>
        <v>1050</v>
      </c>
      <c r="M25" s="309"/>
      <c r="N25" s="309"/>
      <c r="O25" s="309"/>
    </row>
    <row r="26" spans="1:41" s="68" customFormat="1" ht="14.1" customHeight="1">
      <c r="A26" s="2409" t="s">
        <v>218</v>
      </c>
      <c r="B26" s="1205"/>
      <c r="C26" s="1205"/>
      <c r="D26" s="1205"/>
      <c r="E26" s="1205"/>
      <c r="F26" s="1205"/>
      <c r="G26" s="1205"/>
      <c r="H26" s="1205"/>
      <c r="I26" s="1205"/>
      <c r="J26" s="1205"/>
      <c r="K26" s="2433"/>
      <c r="L26" s="1205"/>
      <c r="M26" s="22"/>
      <c r="N26" s="613"/>
      <c r="O26" s="613"/>
      <c r="P26" s="613"/>
      <c r="Q26" s="613"/>
      <c r="R26" s="613"/>
      <c r="S26" s="613"/>
      <c r="T26" s="613"/>
      <c r="U26" s="613"/>
      <c r="V26" s="613"/>
      <c r="W26" s="613"/>
      <c r="X26" s="613"/>
      <c r="Y26" s="613"/>
      <c r="Z26" s="613"/>
      <c r="AA26" s="613"/>
      <c r="AB26" s="613"/>
      <c r="AC26" s="613"/>
      <c r="AD26" s="613"/>
      <c r="AE26" s="613"/>
      <c r="AF26" s="613"/>
      <c r="AG26" s="613"/>
      <c r="AH26" s="613"/>
      <c r="AI26" s="613"/>
      <c r="AJ26" s="613"/>
      <c r="AK26" s="613"/>
      <c r="AL26" s="613"/>
      <c r="AM26" s="613"/>
      <c r="AN26" s="613"/>
      <c r="AO26" s="613"/>
    </row>
    <row r="27" spans="1:41" s="22" customFormat="1" ht="19.899999999999999" customHeight="1">
      <c r="A27" s="4597" t="s">
        <v>224</v>
      </c>
      <c r="B27" s="4598"/>
      <c r="C27" s="4599" t="s">
        <v>484</v>
      </c>
      <c r="D27" s="4599"/>
      <c r="E27" s="4599"/>
      <c r="F27" s="4599"/>
      <c r="G27" s="353">
        <f>'Modern Bergamo'!G28</f>
        <v>700</v>
      </c>
      <c r="H27" s="353">
        <f>'Modern Bergamo'!H28</f>
        <v>500</v>
      </c>
      <c r="I27" s="353">
        <f>'Modern Bergamo'!J28</f>
        <v>500</v>
      </c>
      <c r="J27" s="353">
        <f>CEILING(I27*0.3, 50)</f>
        <v>150</v>
      </c>
      <c r="K27" s="353">
        <f>'Modern Bergamo'!K28</f>
        <v>500</v>
      </c>
      <c r="L27" s="353">
        <f>CEILING(K27*0.3, 50)</f>
        <v>150</v>
      </c>
      <c r="N27" s="613"/>
      <c r="O27" s="613"/>
      <c r="P27" s="613"/>
      <c r="Q27" s="613"/>
      <c r="R27" s="613"/>
      <c r="S27" s="613"/>
      <c r="T27" s="613"/>
      <c r="U27" s="613"/>
      <c r="V27" s="613"/>
      <c r="W27" s="613"/>
      <c r="X27" s="613"/>
      <c r="Y27" s="613"/>
      <c r="Z27" s="613"/>
      <c r="AA27" s="613"/>
      <c r="AB27" s="613"/>
      <c r="AC27" s="613"/>
      <c r="AD27" s="613"/>
      <c r="AE27" s="613"/>
      <c r="AF27" s="613"/>
      <c r="AG27" s="613"/>
      <c r="AH27" s="613"/>
      <c r="AI27" s="613"/>
      <c r="AJ27" s="613"/>
      <c r="AK27" s="613"/>
      <c r="AL27" s="613"/>
      <c r="AM27" s="613"/>
      <c r="AN27" s="613"/>
      <c r="AO27" s="613"/>
    </row>
    <row r="28" spans="1:41" s="283" customFormat="1" ht="18" customHeight="1">
      <c r="A28" s="28"/>
      <c r="B28" s="122"/>
      <c r="I28" s="48"/>
      <c r="J28" s="589"/>
      <c r="L28" s="589"/>
      <c r="M28" s="300"/>
      <c r="N28" s="300"/>
    </row>
    <row r="29" spans="1:41" ht="18" customHeight="1"/>
    <row r="30" spans="1:41" ht="18" customHeight="1"/>
    <row r="31" spans="1:41" ht="18" customHeight="1"/>
    <row r="32" spans="1:41" ht="15" customHeight="1">
      <c r="F32" s="21"/>
    </row>
    <row r="33" ht="18" customHeight="1"/>
    <row r="34" ht="18" customHeight="1"/>
    <row r="35" ht="18" customHeight="1"/>
    <row r="36" ht="18" customHeight="1"/>
    <row r="37" ht="18" customHeight="1"/>
    <row r="38" ht="18" customHeight="1"/>
    <row r="39" ht="18" customHeight="1"/>
    <row r="40" ht="15" customHeight="1"/>
  </sheetData>
  <mergeCells count="47">
    <mergeCell ref="I8:J8"/>
    <mergeCell ref="I13:J13"/>
    <mergeCell ref="I9:J9"/>
    <mergeCell ref="K7:L7"/>
    <mergeCell ref="K8:L8"/>
    <mergeCell ref="K9:L9"/>
    <mergeCell ref="K13:L13"/>
    <mergeCell ref="F5:F6"/>
    <mergeCell ref="K15:L15"/>
    <mergeCell ref="K16:L16"/>
    <mergeCell ref="K17:L17"/>
    <mergeCell ref="K18:L18"/>
    <mergeCell ref="I14:J14"/>
    <mergeCell ref="I15:J15"/>
    <mergeCell ref="I16:J16"/>
    <mergeCell ref="I17:J17"/>
    <mergeCell ref="I18:J18"/>
    <mergeCell ref="G5:G6"/>
    <mergeCell ref="H5:H6"/>
    <mergeCell ref="I5:J6"/>
    <mergeCell ref="K5:L6"/>
    <mergeCell ref="K14:L14"/>
    <mergeCell ref="I7:J7"/>
    <mergeCell ref="A27:B27"/>
    <mergeCell ref="C27:F27"/>
    <mergeCell ref="A25:B25"/>
    <mergeCell ref="C22:D24"/>
    <mergeCell ref="B3:E3"/>
    <mergeCell ref="E7:E9"/>
    <mergeCell ref="A13:F13"/>
    <mergeCell ref="A17:C18"/>
    <mergeCell ref="D17:F17"/>
    <mergeCell ref="D18:F18"/>
    <mergeCell ref="A7:A9"/>
    <mergeCell ref="B7:C9"/>
    <mergeCell ref="D7:D9"/>
    <mergeCell ref="A5:C6"/>
    <mergeCell ref="D5:D6"/>
    <mergeCell ref="E5:E6"/>
    <mergeCell ref="D16:F16"/>
    <mergeCell ref="E22:E24"/>
    <mergeCell ref="F22:F24"/>
    <mergeCell ref="A22:B24"/>
    <mergeCell ref="C25:D25"/>
    <mergeCell ref="A14:C16"/>
    <mergeCell ref="D14:F14"/>
    <mergeCell ref="D15:F15"/>
  </mergeCells>
  <conditionalFormatting sqref="G20">
    <cfRule type="cellIs" dxfId="128" priority="17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11" orientation="landscape" useFirstPageNumber="1" r:id="rId1"/>
  <headerFooter>
    <oddFooter>&amp;L&amp;P&amp;R&amp;G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21">
    <tabColor rgb="FF92D050"/>
  </sheetPr>
  <dimension ref="A1:AP40"/>
  <sheetViews>
    <sheetView view="pageBreakPreview" zoomScale="80" zoomScaleNormal="100" zoomScaleSheetLayoutView="80" zoomScalePageLayoutView="70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B1" sqref="B1"/>
    </sheetView>
  </sheetViews>
  <sheetFormatPr defaultColWidth="8.85546875" defaultRowHeight="15"/>
  <cols>
    <col min="1" max="1" width="4.7109375" style="308" customWidth="1"/>
    <col min="2" max="5" width="11.7109375" style="308" customWidth="1"/>
    <col min="6" max="6" width="11.7109375" style="2" customWidth="1"/>
    <col min="7" max="13" width="20.7109375" style="308" customWidth="1"/>
    <col min="14" max="15" width="14.28515625" style="308" customWidth="1"/>
    <col min="16" max="16384" width="8.85546875" style="308"/>
  </cols>
  <sheetData>
    <row r="1" spans="1:17" s="11" customFormat="1" ht="18" customHeight="1">
      <c r="B1" s="2277" t="s">
        <v>490</v>
      </c>
      <c r="C1" s="26"/>
      <c r="D1" s="26"/>
      <c r="E1" s="26"/>
      <c r="F1" s="4"/>
      <c r="G1" s="26"/>
      <c r="H1" s="26"/>
      <c r="I1" s="26"/>
      <c r="J1" s="26"/>
      <c r="K1" s="26"/>
      <c r="L1" s="26"/>
      <c r="M1" s="1181"/>
      <c r="N1" s="26"/>
      <c r="O1" s="26"/>
    </row>
    <row r="2" spans="1:17" ht="18" customHeight="1">
      <c r="A2" s="5"/>
      <c r="B2" s="309"/>
      <c r="C2" s="309"/>
      <c r="D2" s="309"/>
      <c r="E2" s="309"/>
      <c r="F2" s="6"/>
      <c r="G2" s="309"/>
      <c r="H2" s="309"/>
      <c r="I2" s="309"/>
      <c r="J2" s="309"/>
      <c r="K2" s="309"/>
      <c r="L2" s="309"/>
      <c r="M2" s="309"/>
      <c r="N2" s="309"/>
      <c r="O2" s="309"/>
    </row>
    <row r="3" spans="1:17" ht="79.900000000000006" customHeight="1">
      <c r="A3" s="7"/>
      <c r="B3" s="4603" t="s">
        <v>309</v>
      </c>
      <c r="C3" s="4604"/>
      <c r="D3" s="4604"/>
      <c r="E3" s="4605"/>
      <c r="F3" s="1064"/>
      <c r="G3" s="7"/>
      <c r="H3" s="7"/>
      <c r="I3" s="7"/>
      <c r="J3" s="7"/>
      <c r="K3" s="7"/>
      <c r="L3" s="7"/>
      <c r="M3" s="7"/>
      <c r="N3" s="7"/>
      <c r="O3" s="7"/>
    </row>
    <row r="4" spans="1:17">
      <c r="A4" s="309"/>
      <c r="B4" s="1065" t="s">
        <v>59</v>
      </c>
      <c r="C4" s="309"/>
      <c r="D4" s="309"/>
      <c r="E4" s="309"/>
      <c r="F4" s="6"/>
      <c r="G4" s="309"/>
      <c r="H4" s="309"/>
      <c r="I4" s="309"/>
      <c r="J4" s="309"/>
      <c r="K4" s="309"/>
      <c r="L4" s="309"/>
      <c r="M4" s="7"/>
      <c r="N4" s="309"/>
      <c r="O4" s="309"/>
    </row>
    <row r="5" spans="1:17" s="22" customFormat="1" ht="30" customHeight="1">
      <c r="A5" s="4220" t="s">
        <v>2</v>
      </c>
      <c r="B5" s="4221"/>
      <c r="C5" s="4222"/>
      <c r="D5" s="4201" t="s">
        <v>42</v>
      </c>
      <c r="E5" s="4201" t="s">
        <v>47</v>
      </c>
      <c r="F5" s="4201" t="s">
        <v>8</v>
      </c>
      <c r="G5" s="4292" t="s">
        <v>364</v>
      </c>
      <c r="H5" s="4292" t="s">
        <v>365</v>
      </c>
      <c r="I5" s="4292" t="s">
        <v>367</v>
      </c>
      <c r="J5" s="4292" t="s">
        <v>368</v>
      </c>
      <c r="K5" s="4292" t="s">
        <v>369</v>
      </c>
      <c r="L5" s="4292" t="s">
        <v>370</v>
      </c>
      <c r="M5" s="4292" t="s">
        <v>371</v>
      </c>
      <c r="N5" s="309"/>
      <c r="O5" s="309"/>
      <c r="P5" s="309"/>
    </row>
    <row r="6" spans="1:17" s="22" customFormat="1" ht="30" customHeight="1">
      <c r="A6" s="4223"/>
      <c r="B6" s="4224"/>
      <c r="C6" s="4225"/>
      <c r="D6" s="4412"/>
      <c r="E6" s="4412"/>
      <c r="F6" s="4412"/>
      <c r="G6" s="4293"/>
      <c r="H6" s="4293"/>
      <c r="I6" s="4293"/>
      <c r="J6" s="4293"/>
      <c r="K6" s="4293"/>
      <c r="L6" s="4293"/>
      <c r="M6" s="4293"/>
      <c r="N6" s="2335"/>
      <c r="O6" s="2335"/>
      <c r="P6" s="2335"/>
    </row>
    <row r="7" spans="1:17" s="22" customFormat="1" ht="30" customHeight="1">
      <c r="A7" s="4589" t="s">
        <v>30</v>
      </c>
      <c r="B7" s="4211" t="s">
        <v>284</v>
      </c>
      <c r="C7" s="4523"/>
      <c r="D7" s="4213" t="s">
        <v>35</v>
      </c>
      <c r="E7" s="4213" t="s">
        <v>45</v>
      </c>
      <c r="F7" s="182" t="s">
        <v>0</v>
      </c>
      <c r="G7" s="691">
        <f>CEILING('Полотна база'!W54*(1+скидки_наценки!$B$30)*скидки_наценки!$D$15*скидки_наценки!$F$15/скидки_наценки!$B$4, 50)</f>
        <v>38450</v>
      </c>
      <c r="H7" s="691">
        <f>CEILING('Полотна база'!W54*(1+скидки_наценки!$B$30)*скидки_наценки!$D$15*скидки_наценки!$F$15/скидки_наценки!$B$4, 50)</f>
        <v>38450</v>
      </c>
      <c r="I7" s="691">
        <f>CEILING('Полотна база'!W54*(1+скидки_наценки!$B$30)*скидки_наценки!$D$15*скидки_наценки!$F$15/скидки_наценки!$B$4, 50)</f>
        <v>38450</v>
      </c>
      <c r="J7" s="691">
        <f>CEILING('Полотна база'!W54*(1+скидки_наценки!$B$30)*скидки_наценки!$D$15*скидки_наценки!$F$15/скидки_наценки!$B$4, 50)</f>
        <v>38450</v>
      </c>
      <c r="K7" s="691">
        <f>CEILING('Полотна база'!W54*(1+скидки_наценки!$B$30)*скидки_наценки!$D$15*скидки_наценки!$F$15/скидки_наценки!$B$4, 50)</f>
        <v>38450</v>
      </c>
      <c r="L7" s="691">
        <f>CEILING('Полотна база'!W54*(1+скидки_наценки!$B$30)*скидки_наценки!$D$15*скидки_наценки!$F$15/скидки_наценки!$B$4, 50)</f>
        <v>38450</v>
      </c>
      <c r="M7" s="691">
        <f>CEILING('Полотна база'!W54*(1+скидки_наценки!$B$30)*скидки_наценки!$D$15*скидки_наценки!$F$15/скидки_наценки!$B$4, 50)</f>
        <v>38450</v>
      </c>
      <c r="N7" s="309"/>
      <c r="O7" s="309"/>
      <c r="P7" s="309"/>
    </row>
    <row r="8" spans="1:17" s="22" customFormat="1" ht="15" customHeight="1">
      <c r="A8" s="4590"/>
      <c r="B8" s="4435"/>
      <c r="C8" s="4437"/>
      <c r="D8" s="4214"/>
      <c r="E8" s="4214"/>
      <c r="F8" s="183" t="s">
        <v>306</v>
      </c>
      <c r="G8" s="373">
        <f>IF(G7=0,0,(Погонаж!$C$13*2.5+Погонаж!$E$13*5))</f>
        <v>12375</v>
      </c>
      <c r="H8" s="373">
        <f>IF(H7=0,0,(Погонаж!$C$13*2.5+Погонаж!$E$13*5))</f>
        <v>12375</v>
      </c>
      <c r="I8" s="373">
        <f>IF(I7=0,0,(Погонаж!$C$13*2.5+Погонаж!$E$13*5))</f>
        <v>12375</v>
      </c>
      <c r="J8" s="373">
        <f>IF(J7=0,0,(Погонаж!$C$13*2.5+Погонаж!$E$13*5))</f>
        <v>12375</v>
      </c>
      <c r="K8" s="373">
        <f>IF(K7=0,0,(Погонаж!$C$13*2.5+Погонаж!$E$13*5))</f>
        <v>12375</v>
      </c>
      <c r="L8" s="373">
        <f>IF(L7=0,0,(Погонаж!$C$13*2.5+Погонаж!$E$13*5))</f>
        <v>12375</v>
      </c>
      <c r="M8" s="373">
        <f>IF(M7=0,0,(Погонаж!$C$13*2.5+Погонаж!$E$13*5))</f>
        <v>12375</v>
      </c>
      <c r="N8" s="309"/>
      <c r="O8" s="309"/>
      <c r="P8" s="309"/>
    </row>
    <row r="9" spans="1:17" ht="30" customHeight="1">
      <c r="A9" s="4621"/>
      <c r="B9" s="4312"/>
      <c r="C9" s="4313"/>
      <c r="D9" s="4215"/>
      <c r="E9" s="4215"/>
      <c r="F9" s="267" t="s">
        <v>1</v>
      </c>
      <c r="G9" s="690">
        <f t="shared" ref="G9:M9" si="0">G7+G8</f>
        <v>50825</v>
      </c>
      <c r="H9" s="690">
        <f t="shared" si="0"/>
        <v>50825</v>
      </c>
      <c r="I9" s="690">
        <f t="shared" si="0"/>
        <v>50825</v>
      </c>
      <c r="J9" s="690">
        <f t="shared" si="0"/>
        <v>50825</v>
      </c>
      <c r="K9" s="690">
        <f t="shared" si="0"/>
        <v>50825</v>
      </c>
      <c r="L9" s="690">
        <f t="shared" si="0"/>
        <v>50825</v>
      </c>
      <c r="M9" s="690">
        <f t="shared" si="0"/>
        <v>50825</v>
      </c>
      <c r="N9" s="309"/>
      <c r="O9" s="309"/>
      <c r="P9" s="309"/>
      <c r="Q9" s="122"/>
    </row>
    <row r="10" spans="1:17">
      <c r="A10" s="309"/>
      <c r="C10" s="309"/>
      <c r="D10" s="309"/>
      <c r="E10" s="309"/>
      <c r="F10" s="6"/>
      <c r="G10" s="309"/>
      <c r="H10" s="309"/>
      <c r="I10" s="309"/>
      <c r="J10" s="309"/>
      <c r="K10" s="309"/>
      <c r="L10" s="309"/>
      <c r="M10" s="7"/>
      <c r="N10" s="309"/>
      <c r="O10" s="309"/>
    </row>
    <row r="11" spans="1:17">
      <c r="A11" s="309"/>
      <c r="B11" s="345"/>
      <c r="C11" s="309"/>
      <c r="D11" s="309"/>
      <c r="E11" s="309"/>
      <c r="F11" s="6"/>
      <c r="G11" s="309"/>
      <c r="H11" s="309"/>
      <c r="I11" s="309"/>
      <c r="J11" s="309"/>
      <c r="K11" s="309"/>
      <c r="L11" s="309"/>
      <c r="M11" s="7"/>
      <c r="N11" s="309"/>
      <c r="O11" s="309"/>
    </row>
    <row r="12" spans="1:17">
      <c r="A12" s="309"/>
      <c r="B12" s="19" t="s">
        <v>20</v>
      </c>
      <c r="C12" s="309"/>
      <c r="D12" s="309"/>
      <c r="E12" s="309"/>
      <c r="F12" s="6"/>
      <c r="G12" s="3"/>
      <c r="H12" s="3"/>
      <c r="I12" s="3"/>
      <c r="J12" s="3"/>
      <c r="K12" s="3"/>
      <c r="L12" s="3"/>
      <c r="M12" s="7"/>
      <c r="N12" s="309"/>
      <c r="O12" s="309"/>
    </row>
    <row r="13" spans="1:17" ht="29.25" customHeight="1">
      <c r="A13" s="4601" t="s">
        <v>3</v>
      </c>
      <c r="B13" s="4601"/>
      <c r="C13" s="4601"/>
      <c r="D13" s="4601"/>
      <c r="E13" s="4602"/>
      <c r="F13" s="4601"/>
      <c r="G13" s="321" t="s">
        <v>364</v>
      </c>
      <c r="H13" s="321" t="s">
        <v>365</v>
      </c>
      <c r="I13" s="321" t="s">
        <v>367</v>
      </c>
      <c r="J13" s="321" t="s">
        <v>368</v>
      </c>
      <c r="K13" s="321" t="s">
        <v>369</v>
      </c>
      <c r="L13" s="545" t="s">
        <v>370</v>
      </c>
      <c r="M13" s="545" t="s">
        <v>371</v>
      </c>
      <c r="N13" s="309"/>
      <c r="O13" s="309"/>
      <c r="P13" s="309"/>
    </row>
    <row r="14" spans="1:17" ht="20.100000000000001" customHeight="1">
      <c r="A14" s="4639" t="s">
        <v>2601</v>
      </c>
      <c r="B14" s="4640"/>
      <c r="C14" s="4641"/>
      <c r="D14" s="4568" t="s">
        <v>1221</v>
      </c>
      <c r="E14" s="4569"/>
      <c r="F14" s="4570"/>
      <c r="G14" s="1067">
        <f>CEILING('Декоры база'!D175*(1+скидки_наценки!$B$32)*скидки_наценки!$D$13*скидки_наценки!$F$13/скидки_наценки!$B$4, 50)</f>
        <v>4000</v>
      </c>
      <c r="H14" s="1067">
        <f>G14</f>
        <v>4000</v>
      </c>
      <c r="I14" s="1067">
        <f>H14</f>
        <v>4000</v>
      </c>
      <c r="J14" s="1067">
        <f>I14</f>
        <v>4000</v>
      </c>
      <c r="K14" s="1067">
        <f>J14</f>
        <v>4000</v>
      </c>
      <c r="L14" s="1067">
        <f>CEILING('Декоры база'!AD45*(1+скидки_наценки!$B$32)*скидки_наценки!$D$13*скидки_наценки!$F$13/скидки_наценки!$B$4, 50)</f>
        <v>0</v>
      </c>
      <c r="M14" s="1067">
        <f>CEILING('Декоры база'!AE45*(1+скидки_наценки!$B$32)*скидки_наценки!$D$13*скидки_наценки!$F$13/скидки_наценки!$B$4, 50)</f>
        <v>0</v>
      </c>
      <c r="N14" s="309"/>
      <c r="O14" s="309"/>
      <c r="P14" s="309"/>
    </row>
    <row r="15" spans="1:17" s="589" customFormat="1" ht="20.100000000000001" customHeight="1">
      <c r="A15" s="4642"/>
      <c r="B15" s="4643"/>
      <c r="C15" s="4644"/>
      <c r="D15" s="4571" t="s">
        <v>1220</v>
      </c>
      <c r="E15" s="4572"/>
      <c r="F15" s="4573"/>
      <c r="G15" s="1068">
        <f>CEILING('Декоры база'!E175*(1+скидки_наценки!$B$32)*скидки_наценки!$D$13*скидки_наценки!$F$13/скидки_наценки!$B$4, 50)</f>
        <v>5500</v>
      </c>
      <c r="H15" s="1068">
        <f t="shared" ref="H15:K16" si="1">G15</f>
        <v>5500</v>
      </c>
      <c r="I15" s="1068">
        <f t="shared" si="1"/>
        <v>5500</v>
      </c>
      <c r="J15" s="1068">
        <f t="shared" si="1"/>
        <v>5500</v>
      </c>
      <c r="K15" s="1068">
        <f t="shared" si="1"/>
        <v>5500</v>
      </c>
      <c r="L15" s="1068">
        <f>CEILING('Декоры база'!AD46*(1+скидки_наценки!$B$32)*скидки_наценки!$D$13*скидки_наценки!$F$13/скидки_наценки!$B$4, 50)</f>
        <v>0</v>
      </c>
      <c r="M15" s="1068">
        <f>CEILING('Декоры база'!AE46*(1+скидки_наценки!$B$32)*скидки_наценки!$D$13*скидки_наценки!$F$13/скидки_наценки!$B$4, 50)</f>
        <v>0</v>
      </c>
      <c r="N15" s="997"/>
      <c r="O15" s="997"/>
      <c r="P15" s="997"/>
    </row>
    <row r="16" spans="1:17" s="589" customFormat="1" ht="20.100000000000001" customHeight="1">
      <c r="A16" s="4645"/>
      <c r="B16" s="4646"/>
      <c r="C16" s="4647"/>
      <c r="D16" s="4613" t="s">
        <v>1222</v>
      </c>
      <c r="E16" s="4614"/>
      <c r="F16" s="4615"/>
      <c r="G16" s="1066">
        <f>CEILING('Декоры база'!F175*(1+скидки_наценки!$B$32)*скидки_наценки!$D$13*скидки_наценки!$F$13/скидки_наценки!$B$4, 50)</f>
        <v>6500</v>
      </c>
      <c r="H16" s="1066">
        <f t="shared" si="1"/>
        <v>6500</v>
      </c>
      <c r="I16" s="1066">
        <f t="shared" si="1"/>
        <v>6500</v>
      </c>
      <c r="J16" s="1066">
        <f t="shared" si="1"/>
        <v>6500</v>
      </c>
      <c r="K16" s="1066">
        <f t="shared" si="1"/>
        <v>6500</v>
      </c>
      <c r="L16" s="1066">
        <f>CEILING('Декоры база'!AD47*(1+скидки_наценки!$B$32)*скидки_наценки!$D$13*скидки_наценки!$F$13/скидки_наценки!$B$4, 50)</f>
        <v>0</v>
      </c>
      <c r="M16" s="1066">
        <f>CEILING('Декоры база'!AE47*(1+скидки_наценки!$B$32)*скидки_наценки!$D$13*скидки_наценки!$F$13/скидки_наценки!$B$4, 50)</f>
        <v>0</v>
      </c>
      <c r="N16" s="997"/>
      <c r="O16" s="997"/>
      <c r="P16" s="997"/>
    </row>
    <row r="17" spans="1:42" ht="20.100000000000001" customHeight="1">
      <c r="A17" s="4636" t="s">
        <v>1233</v>
      </c>
      <c r="B17" s="4636"/>
      <c r="C17" s="4636"/>
      <c r="D17" s="4637" t="s">
        <v>1220</v>
      </c>
      <c r="E17" s="4637"/>
      <c r="F17" s="4637"/>
      <c r="G17" s="2883">
        <f>CEILING('стекло+зеркала_база'!H15*(1+скидки_наценки!$B$32)*скидки_наценки!$D$13*скидки_наценки!$F$13/скидки_наценки!$B$4, 50)</f>
        <v>8000</v>
      </c>
      <c r="H17" s="2883">
        <f>CEILING('стекло+зеркала_база'!$H$16*(1+скидки_наценки!$B$32)*скидки_наценки!$D$13*скидки_наценки!$F$13/скидки_наценки!$B$4, 50)</f>
        <v>5500</v>
      </c>
      <c r="I17" s="2883">
        <f>CEILING('стекло+зеркала_база'!$H$16*(1+скидки_наценки!$B$32)*скидки_наценки!$D$13*скидки_наценки!$F$13/скидки_наценки!$B$4, 50)</f>
        <v>5500</v>
      </c>
      <c r="J17" s="2881">
        <f>'Декоры база'!AB58*скидки_наценки!$D$13*скидки_наценки!$F$13/скидки_наценки!$B$4</f>
        <v>0</v>
      </c>
      <c r="K17" s="2881">
        <f>'Декоры база'!AC58*скидки_наценки!$D$13*скидки_наценки!$F$13/скидки_наценки!$B$4</f>
        <v>0</v>
      </c>
      <c r="L17" s="2881">
        <f>'Декоры база'!AD58*скидки_наценки!$D$13*скидки_наценки!$F$13/скидки_наценки!$B$4</f>
        <v>0</v>
      </c>
      <c r="M17" s="2881">
        <f>'Декоры база'!AE58*скидки_наценки!$D$13*скидки_наценки!$F$13/скидки_наценки!$B$4</f>
        <v>0</v>
      </c>
      <c r="N17" s="309"/>
      <c r="O17" s="309"/>
      <c r="P17" s="309"/>
    </row>
    <row r="18" spans="1:42" ht="20.100000000000001" customHeight="1">
      <c r="A18" s="4636"/>
      <c r="B18" s="4636"/>
      <c r="C18" s="4636"/>
      <c r="D18" s="4638" t="s">
        <v>2692</v>
      </c>
      <c r="E18" s="4638"/>
      <c r="F18" s="4638"/>
      <c r="G18" s="2884">
        <f>CEILING('стекло+зеркала_база'!I15*(1+скидки_наценки!$B$32)*скидки_наценки!$D$13*скидки_наценки!$F$13/скидки_наценки!$B$4, 50)</f>
        <v>9000</v>
      </c>
      <c r="H18" s="2884">
        <f>CEILING('стекло+зеркала_база'!$I$16*(1+скидки_наценки!$B$32)*скидки_наценки!$D$13*скидки_наценки!$F$13/скидки_наценки!$B$4, 50)</f>
        <v>6500</v>
      </c>
      <c r="I18" s="2884">
        <f>CEILING('стекло+зеркала_база'!$I$16*(1+скидки_наценки!$B$32)*скидки_наценки!$D$13*скидки_наценки!$F$13/скидки_наценки!$B$4, 50)</f>
        <v>6500</v>
      </c>
      <c r="J18" s="2882">
        <f>'Декоры база'!AB59*скидки_наценки!$D$13*скидки_наценки!$F$13/скидки_наценки!$B$4</f>
        <v>0</v>
      </c>
      <c r="K18" s="2882">
        <f>'Декоры база'!AC59*скидки_наценки!$D$13*скидки_наценки!$F$13/скидки_наценки!$B$4</f>
        <v>0</v>
      </c>
      <c r="L18" s="2882">
        <f>'Декоры база'!AD59*скидки_наценки!$D$13*скидки_наценки!$F$13/скидки_наценки!$B$4</f>
        <v>0</v>
      </c>
      <c r="M18" s="2882">
        <f>'Декоры база'!AE59*скидки_наценки!$D$13*скидки_наценки!$F$13/скидки_наценки!$B$4</f>
        <v>0</v>
      </c>
      <c r="N18" s="309"/>
      <c r="O18" s="309"/>
      <c r="P18" s="309"/>
    </row>
    <row r="19" spans="1:42" ht="15" customHeight="1">
      <c r="F19" s="102"/>
      <c r="G19" s="357"/>
      <c r="H19" s="14"/>
      <c r="I19" s="14"/>
      <c r="J19" s="14"/>
      <c r="K19" s="14"/>
      <c r="L19" s="14"/>
      <c r="M19" s="7"/>
      <c r="N19" s="309"/>
      <c r="O19" s="309"/>
    </row>
    <row r="20" spans="1:42" ht="18" customHeight="1">
      <c r="B20" s="32"/>
      <c r="F20" s="308"/>
      <c r="R20" s="25"/>
      <c r="S20" s="25"/>
      <c r="T20" s="25"/>
      <c r="U20" s="25"/>
    </row>
    <row r="21" spans="1:42" ht="90" customHeight="1">
      <c r="B21" s="32"/>
      <c r="F21" s="308"/>
      <c r="R21" s="25"/>
      <c r="S21" s="25"/>
      <c r="T21" s="25"/>
      <c r="U21" s="25"/>
    </row>
    <row r="22" spans="1:42">
      <c r="A22" s="309"/>
      <c r="B22" s="19" t="s">
        <v>25</v>
      </c>
      <c r="C22" s="309"/>
      <c r="D22" s="309"/>
      <c r="E22" s="309"/>
      <c r="F22" s="309"/>
      <c r="G22" s="6"/>
      <c r="H22" s="309"/>
      <c r="I22" s="309"/>
      <c r="J22" s="309"/>
      <c r="K22" s="309"/>
      <c r="L22" s="309"/>
      <c r="M22" s="69"/>
      <c r="N22" s="309"/>
      <c r="O22" s="309"/>
      <c r="R22" s="25"/>
      <c r="S22" s="25"/>
      <c r="T22" s="25"/>
      <c r="U22" s="25"/>
    </row>
    <row r="23" spans="1:42" ht="15" customHeight="1">
      <c r="A23" s="4633" t="s">
        <v>39</v>
      </c>
      <c r="B23" s="4235"/>
      <c r="C23" s="4220" t="s">
        <v>182</v>
      </c>
      <c r="D23" s="4222"/>
      <c r="E23" s="4201" t="s">
        <v>40</v>
      </c>
      <c r="F23" s="4201" t="s">
        <v>38</v>
      </c>
      <c r="G23" s="2420" t="s">
        <v>364</v>
      </c>
      <c r="H23" s="2420" t="s">
        <v>365</v>
      </c>
      <c r="I23" s="2420" t="s">
        <v>367</v>
      </c>
      <c r="J23" s="2420" t="s">
        <v>368</v>
      </c>
      <c r="K23" s="2420" t="s">
        <v>369</v>
      </c>
      <c r="L23" s="4292" t="s">
        <v>370</v>
      </c>
      <c r="M23" s="4292" t="s">
        <v>371</v>
      </c>
      <c r="N23" s="309"/>
      <c r="O23" s="309"/>
      <c r="R23" s="25"/>
      <c r="S23" s="25"/>
      <c r="T23" s="25"/>
      <c r="U23" s="25"/>
    </row>
    <row r="24" spans="1:42" s="589" customFormat="1" ht="15" customHeight="1">
      <c r="A24" s="4634"/>
      <c r="B24" s="4237"/>
      <c r="C24" s="4477"/>
      <c r="D24" s="4478"/>
      <c r="E24" s="4472"/>
      <c r="F24" s="4472"/>
      <c r="G24" s="2421" t="s">
        <v>22</v>
      </c>
      <c r="H24" s="2421" t="s">
        <v>22</v>
      </c>
      <c r="I24" s="2421" t="s">
        <v>22</v>
      </c>
      <c r="J24" s="2421" t="s">
        <v>22</v>
      </c>
      <c r="K24" s="2421" t="s">
        <v>22</v>
      </c>
      <c r="L24" s="4595"/>
      <c r="M24" s="4595"/>
      <c r="N24" s="1000"/>
      <c r="O24" s="1000"/>
      <c r="R24" s="897"/>
      <c r="S24" s="897"/>
      <c r="T24" s="897"/>
      <c r="U24" s="897"/>
    </row>
    <row r="25" spans="1:42" s="16" customFormat="1">
      <c r="A25" s="4635"/>
      <c r="B25" s="4239"/>
      <c r="C25" s="4223"/>
      <c r="D25" s="4225"/>
      <c r="E25" s="4202"/>
      <c r="F25" s="4202"/>
      <c r="G25" s="2435" t="s">
        <v>219</v>
      </c>
      <c r="H25" s="2435" t="s">
        <v>219</v>
      </c>
      <c r="I25" s="2435" t="s">
        <v>219</v>
      </c>
      <c r="J25" s="2435" t="s">
        <v>219</v>
      </c>
      <c r="K25" s="2435" t="s">
        <v>219</v>
      </c>
      <c r="L25" s="2435"/>
      <c r="M25" s="2435"/>
      <c r="N25" s="309"/>
      <c r="O25" s="309"/>
    </row>
    <row r="26" spans="1:42" s="22" customFormat="1" ht="45" customHeight="1">
      <c r="A26" s="4460" t="s">
        <v>215</v>
      </c>
      <c r="B26" s="4620"/>
      <c r="C26" s="4251" t="s">
        <v>220</v>
      </c>
      <c r="D26" s="4291"/>
      <c r="E26" s="1004" t="s">
        <v>1324</v>
      </c>
      <c r="F26" s="430" t="s">
        <v>1326</v>
      </c>
      <c r="G26" s="352">
        <f>CEILING('стекло+зеркала_база'!H79*(1+скидки_наценки!$B$32)*скидки_наценки!$D$13*скидки_наценки!$F$13/скидки_наценки!$B$4, 50)</f>
        <v>5200</v>
      </c>
      <c r="H26" s="352">
        <f>CEILING('стекло+зеркала_база'!H80*(1+скидки_наценки!$B$32)*скидки_наценки!$D$13*скидки_наценки!$F$13/скидки_наценки!$B$4, 50)</f>
        <v>3400</v>
      </c>
      <c r="I26" s="352">
        <f>CEILING('стекло+зеркала_база'!H80*(1+скидки_наценки!$B$32)*скидки_наценки!$D$13*скидки_наценки!$F$13/скидки_наценки!$B$4, 50)</f>
        <v>3400</v>
      </c>
      <c r="J26" s="352">
        <f>CEILING('стекло+зеркала_база'!H81*(1+скидки_наценки!$B$32)*скидки_наценки!$D$13*скидки_наценки!$F$13/скидки_наценки!$B$4, 50)</f>
        <v>3400</v>
      </c>
      <c r="K26" s="352">
        <f>CEILING('стекло+зеркала_база'!H81*(1+скидки_наценки!$B$32)*скидки_наценки!$D$13*скидки_наценки!$F$13/скидки_наценки!$B$4, 50)</f>
        <v>3400</v>
      </c>
      <c r="L26" s="352">
        <f>CEILING('Декоры база'!AD95*(1+скидки_наценки!$B$32)*скидки_наценки!$D$13*скидки_наценки!$F$13/скидки_наценки!$B$4, 50)</f>
        <v>0</v>
      </c>
      <c r="M26" s="352">
        <f>'Декоры база'!AE95*скидки_наценки!$D$13*скидки_наценки!$F$13/скидки_наценки!$B$4</f>
        <v>0</v>
      </c>
      <c r="N26" s="309"/>
      <c r="O26" s="309"/>
    </row>
    <row r="27" spans="1:42" s="68" customFormat="1" ht="14.1" customHeight="1">
      <c r="A27" s="4631" t="s">
        <v>218</v>
      </c>
      <c r="B27" s="4632"/>
      <c r="C27" s="4632"/>
      <c r="D27" s="4632"/>
      <c r="E27" s="4632"/>
      <c r="F27" s="4632"/>
      <c r="G27" s="4632"/>
      <c r="H27" s="4632"/>
      <c r="I27" s="4632"/>
      <c r="J27" s="4632"/>
      <c r="K27" s="4632"/>
      <c r="L27" s="4632"/>
      <c r="M27" s="4632"/>
      <c r="N27" s="22"/>
      <c r="O27" s="613"/>
      <c r="P27" s="613"/>
      <c r="Q27" s="613"/>
      <c r="R27" s="613"/>
      <c r="S27" s="613"/>
      <c r="T27" s="613"/>
      <c r="U27" s="613"/>
      <c r="V27" s="613"/>
      <c r="W27" s="613"/>
      <c r="X27" s="613"/>
      <c r="Y27" s="613"/>
      <c r="Z27" s="613"/>
      <c r="AA27" s="613"/>
      <c r="AB27" s="613"/>
      <c r="AC27" s="613"/>
      <c r="AD27" s="613"/>
      <c r="AE27" s="613"/>
      <c r="AF27" s="613"/>
      <c r="AG27" s="613"/>
      <c r="AH27" s="613"/>
      <c r="AI27" s="613"/>
      <c r="AJ27" s="613"/>
      <c r="AK27" s="613"/>
      <c r="AL27" s="613"/>
      <c r="AM27" s="613"/>
      <c r="AN27" s="613"/>
      <c r="AO27" s="613"/>
      <c r="AP27" s="613"/>
    </row>
    <row r="28" spans="1:42" s="22" customFormat="1" ht="19.899999999999999" customHeight="1">
      <c r="A28" s="4597" t="s">
        <v>224</v>
      </c>
      <c r="B28" s="4598"/>
      <c r="C28" s="4599" t="s">
        <v>484</v>
      </c>
      <c r="D28" s="4599"/>
      <c r="E28" s="4599"/>
      <c r="F28" s="4599"/>
      <c r="G28" s="353">
        <f>CEILING('стекло+зеркала_база'!N79*(1+скидки_наценки!$B$32)*скидки_наценки!$D$13*скидки_наценки!$F$13/скидки_наценки!$B$4, 50)</f>
        <v>700</v>
      </c>
      <c r="H28" s="353">
        <f>CEILING('стекло+зеркала_база'!N80*(1+скидки_наценки!$B$32)*скидки_наценки!$D$13*скидки_наценки!$F$13/скидки_наценки!$B$4, 50)</f>
        <v>500</v>
      </c>
      <c r="I28" s="353">
        <f>CEILING('стекло+зеркала_база'!N80*(1+скидки_наценки!$B$32)*скидки_наценки!$D$13*скидки_наценки!$F$13/скидки_наценки!$B$4, 50)</f>
        <v>500</v>
      </c>
      <c r="J28" s="353">
        <f>CEILING('стекло+зеркала_база'!N81*(1+скидки_наценки!$B$32)*скидки_наценки!$D$13*скидки_наценки!$F$13/скидки_наценки!$B$4, 50)</f>
        <v>500</v>
      </c>
      <c r="K28" s="353">
        <f>CEILING('стекло+зеркала_база'!N81*(1+скидки_наценки!$B$32)*скидки_наценки!$D$13*скидки_наценки!$F$13/скидки_наценки!$B$4, 50)</f>
        <v>500</v>
      </c>
      <c r="L28" s="353">
        <f>CEILING('Декоры база'!AD157*(1+скидки_наценки!$B$32)*скидки_наценки!$D$13*скидки_наценки!$F$13/скидки_наценки!$B$4, 50)</f>
        <v>0</v>
      </c>
      <c r="M28" s="353">
        <f>CEILING('Декоры база'!AE157*(1+скидки_наценки!$B$32)*скидки_наценки!$D$13*скидки_наценки!$F$13/скидки_наценки!$B$4, 50)</f>
        <v>0</v>
      </c>
      <c r="O28" s="613"/>
      <c r="P28" s="613"/>
      <c r="Q28" s="613"/>
      <c r="R28" s="613"/>
      <c r="S28" s="613"/>
      <c r="T28" s="613"/>
      <c r="U28" s="613"/>
      <c r="V28" s="613"/>
      <c r="W28" s="613"/>
      <c r="X28" s="613"/>
      <c r="Y28" s="613"/>
      <c r="Z28" s="613"/>
      <c r="AA28" s="613"/>
      <c r="AB28" s="613"/>
      <c r="AC28" s="613"/>
      <c r="AD28" s="613"/>
      <c r="AE28" s="613"/>
      <c r="AF28" s="613"/>
      <c r="AG28" s="613"/>
      <c r="AH28" s="613"/>
      <c r="AI28" s="613"/>
      <c r="AJ28" s="613"/>
      <c r="AK28" s="613"/>
      <c r="AL28" s="613"/>
      <c r="AM28" s="613"/>
      <c r="AN28" s="613"/>
      <c r="AO28" s="613"/>
      <c r="AP28" s="613"/>
    </row>
    <row r="29" spans="1:42" ht="18" customHeight="1"/>
    <row r="30" spans="1:42" ht="18" customHeight="1"/>
    <row r="31" spans="1:42" ht="18" customHeight="1"/>
    <row r="32" spans="1:42" ht="15" customHeight="1">
      <c r="F32" s="308"/>
    </row>
    <row r="33" ht="18" customHeight="1"/>
    <row r="34" ht="18" customHeight="1"/>
    <row r="35" ht="18" customHeight="1"/>
    <row r="36" ht="18" customHeight="1"/>
    <row r="37" ht="18" customHeight="1"/>
    <row r="38" ht="18" customHeight="1"/>
    <row r="39" ht="18" customHeight="1"/>
    <row r="40" ht="15" customHeight="1"/>
  </sheetData>
  <mergeCells count="35">
    <mergeCell ref="L5:L6"/>
    <mergeCell ref="M5:M6"/>
    <mergeCell ref="A5:C6"/>
    <mergeCell ref="D5:D6"/>
    <mergeCell ref="E5:E6"/>
    <mergeCell ref="F5:F6"/>
    <mergeCell ref="G5:G6"/>
    <mergeCell ref="H5:H6"/>
    <mergeCell ref="I5:I6"/>
    <mergeCell ref="J5:J6"/>
    <mergeCell ref="K5:K6"/>
    <mergeCell ref="A13:F13"/>
    <mergeCell ref="A17:C18"/>
    <mergeCell ref="D17:F17"/>
    <mergeCell ref="D18:F18"/>
    <mergeCell ref="A14:C16"/>
    <mergeCell ref="D14:F14"/>
    <mergeCell ref="D15:F15"/>
    <mergeCell ref="D16:F16"/>
    <mergeCell ref="B3:E3"/>
    <mergeCell ref="E7:E9"/>
    <mergeCell ref="A7:A9"/>
    <mergeCell ref="B7:C9"/>
    <mergeCell ref="D7:D9"/>
    <mergeCell ref="C26:D26"/>
    <mergeCell ref="L23:L24"/>
    <mergeCell ref="A28:B28"/>
    <mergeCell ref="C28:F28"/>
    <mergeCell ref="A27:M27"/>
    <mergeCell ref="A26:B26"/>
    <mergeCell ref="M23:M24"/>
    <mergeCell ref="C23:D25"/>
    <mergeCell ref="A23:B25"/>
    <mergeCell ref="E23:E25"/>
    <mergeCell ref="F23:F25"/>
  </mergeCells>
  <conditionalFormatting sqref="G20:G21">
    <cfRule type="cellIs" dxfId="127" priority="6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9" orientation="landscape" useFirstPageNumber="1" r:id="rId1"/>
  <headerFooter>
    <oddFooter>&amp;L&amp;P&amp;R&amp;G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26">
    <tabColor rgb="FF92D050"/>
  </sheetPr>
  <dimension ref="A1:AW74"/>
  <sheetViews>
    <sheetView view="pageBreakPreview" zoomScale="70" zoomScaleNormal="100" zoomScaleSheetLayoutView="70" zoomScalePageLayoutView="70" workbookViewId="0">
      <pane xSplit="6" ySplit="6" topLeftCell="G7" activePane="bottomRight" state="frozen"/>
      <selection pane="topRight" activeCell="G1" sqref="G1"/>
      <selection pane="bottomLeft" activeCell="A12" sqref="A12"/>
      <selection pane="bottomRight" activeCell="B1" sqref="B1"/>
    </sheetView>
  </sheetViews>
  <sheetFormatPr defaultColWidth="8.85546875" defaultRowHeight="15"/>
  <cols>
    <col min="1" max="1" width="4.7109375" style="287" customWidth="1"/>
    <col min="2" max="5" width="11.7109375" style="287" customWidth="1"/>
    <col min="6" max="6" width="11.7109375" style="2" customWidth="1"/>
    <col min="7" max="7" width="20.7109375" style="2" customWidth="1"/>
    <col min="8" max="8" width="20.7109375" style="287" customWidth="1"/>
    <col min="9" max="10" width="20.7109375" style="589" customWidth="1"/>
    <col min="11" max="11" width="20.7109375" style="287" customWidth="1"/>
    <col min="12" max="12" width="20.7109375" style="589" customWidth="1"/>
    <col min="13" max="17" width="20.7109375" style="287" customWidth="1"/>
    <col min="18" max="16384" width="8.85546875" style="287"/>
  </cols>
  <sheetData>
    <row r="1" spans="1:49" s="11" customFormat="1" ht="18" customHeight="1">
      <c r="B1" s="2277" t="s">
        <v>490</v>
      </c>
      <c r="C1" s="26"/>
      <c r="D1" s="26"/>
      <c r="E1" s="26"/>
      <c r="F1" s="4"/>
      <c r="K1" s="147"/>
      <c r="L1" s="147"/>
      <c r="M1" s="147"/>
      <c r="O1" s="1181"/>
      <c r="S1" s="2278"/>
      <c r="T1" s="2278"/>
      <c r="U1" s="2278"/>
      <c r="V1" s="2278"/>
      <c r="W1" s="2278"/>
      <c r="X1" s="2278"/>
      <c r="Y1" s="2278"/>
      <c r="Z1" s="2278"/>
      <c r="AA1" s="2278"/>
      <c r="AB1" s="2278"/>
      <c r="AC1" s="2278"/>
      <c r="AD1" s="2278"/>
      <c r="AE1" s="2278"/>
      <c r="AF1" s="2278"/>
      <c r="AG1" s="2278"/>
      <c r="AH1" s="2278"/>
      <c r="AI1" s="2278"/>
      <c r="AJ1" s="2278"/>
      <c r="AK1" s="2278"/>
      <c r="AL1" s="2278"/>
      <c r="AM1" s="2278"/>
      <c r="AN1" s="2278"/>
      <c r="AO1" s="2278"/>
      <c r="AP1" s="2278"/>
      <c r="AQ1" s="2278"/>
      <c r="AR1" s="2278"/>
      <c r="AS1" s="2278"/>
      <c r="AT1" s="2278"/>
      <c r="AU1" s="2278"/>
      <c r="AV1" s="2278"/>
      <c r="AW1" s="2278"/>
    </row>
    <row r="2" spans="1:49">
      <c r="A2" s="5"/>
      <c r="B2" s="286"/>
      <c r="C2" s="286"/>
      <c r="D2" s="286"/>
      <c r="E2" s="286"/>
      <c r="F2" s="6"/>
      <c r="G2" s="122"/>
      <c r="H2" s="122"/>
      <c r="I2" s="122"/>
      <c r="J2" s="122"/>
      <c r="K2" s="286"/>
      <c r="L2" s="2335"/>
      <c r="M2" s="286"/>
      <c r="S2" s="614"/>
      <c r="T2" s="614"/>
      <c r="U2" s="614"/>
      <c r="V2" s="614"/>
      <c r="W2" s="614"/>
      <c r="X2" s="614"/>
      <c r="Y2" s="614"/>
      <c r="Z2" s="614"/>
      <c r="AA2" s="614"/>
      <c r="AB2" s="614"/>
      <c r="AC2" s="614"/>
      <c r="AD2" s="614"/>
      <c r="AE2" s="614"/>
      <c r="AF2" s="614"/>
      <c r="AG2" s="614"/>
      <c r="AH2" s="614"/>
      <c r="AI2" s="614"/>
      <c r="AJ2" s="614"/>
      <c r="AK2" s="614"/>
      <c r="AL2" s="614"/>
      <c r="AM2" s="614"/>
      <c r="AN2" s="614"/>
      <c r="AO2" s="614"/>
      <c r="AP2" s="614"/>
      <c r="AQ2" s="614"/>
      <c r="AR2" s="614"/>
      <c r="AS2" s="614"/>
      <c r="AT2" s="614"/>
      <c r="AU2" s="614"/>
      <c r="AV2" s="614"/>
      <c r="AW2" s="614"/>
    </row>
    <row r="3" spans="1:49" ht="90" customHeight="1">
      <c r="A3" s="7"/>
      <c r="B3" s="4326" t="s">
        <v>309</v>
      </c>
      <c r="C3" s="4327"/>
      <c r="D3" s="4327"/>
      <c r="E3" s="4328"/>
      <c r="F3" s="8"/>
      <c r="G3" s="122"/>
      <c r="H3" s="69"/>
      <c r="I3" s="69"/>
      <c r="J3" s="69"/>
      <c r="K3" s="68"/>
      <c r="L3" s="68"/>
      <c r="M3" s="68"/>
      <c r="S3" s="614"/>
      <c r="T3" s="614"/>
      <c r="U3" s="614"/>
      <c r="V3" s="614"/>
      <c r="W3" s="614"/>
      <c r="X3" s="614"/>
      <c r="Y3" s="614"/>
      <c r="Z3" s="614"/>
      <c r="AA3" s="614"/>
      <c r="AB3" s="614"/>
      <c r="AC3" s="614"/>
      <c r="AD3" s="614"/>
      <c r="AE3" s="614"/>
      <c r="AF3" s="614"/>
      <c r="AG3" s="614"/>
      <c r="AH3" s="614"/>
      <c r="AI3" s="614"/>
      <c r="AJ3" s="614"/>
      <c r="AK3" s="614"/>
      <c r="AL3" s="614"/>
      <c r="AM3" s="614"/>
      <c r="AN3" s="614"/>
      <c r="AO3" s="614"/>
      <c r="AP3" s="614"/>
      <c r="AQ3" s="614"/>
      <c r="AR3" s="614"/>
      <c r="AS3" s="614"/>
      <c r="AT3" s="614"/>
      <c r="AU3" s="614"/>
      <c r="AV3" s="614"/>
      <c r="AW3" s="614"/>
    </row>
    <row r="4" spans="1:49">
      <c r="A4" s="286"/>
      <c r="B4" s="54" t="s">
        <v>489</v>
      </c>
      <c r="C4" s="286"/>
      <c r="D4" s="286"/>
      <c r="E4" s="286"/>
      <c r="F4" s="6"/>
      <c r="G4" s="300"/>
      <c r="K4" s="3"/>
      <c r="L4" s="3"/>
      <c r="M4" s="3"/>
      <c r="S4" s="614"/>
      <c r="T4" s="614"/>
      <c r="U4" s="614"/>
      <c r="V4" s="614"/>
      <c r="W4" s="614"/>
      <c r="X4" s="614"/>
      <c r="Y4" s="614"/>
      <c r="Z4" s="614"/>
      <c r="AA4" s="614"/>
      <c r="AB4" s="614"/>
      <c r="AC4" s="614"/>
      <c r="AD4" s="614"/>
      <c r="AE4" s="614"/>
      <c r="AF4" s="614"/>
      <c r="AG4" s="614"/>
      <c r="AH4" s="614"/>
      <c r="AI4" s="614"/>
      <c r="AJ4" s="614"/>
      <c r="AK4" s="614"/>
      <c r="AL4" s="614"/>
      <c r="AM4" s="614"/>
      <c r="AN4" s="614"/>
      <c r="AO4" s="614"/>
      <c r="AP4" s="614"/>
      <c r="AQ4" s="614"/>
      <c r="AR4" s="614"/>
      <c r="AS4" s="614"/>
      <c r="AT4" s="614"/>
      <c r="AU4" s="614"/>
      <c r="AV4" s="614"/>
      <c r="AW4" s="614"/>
    </row>
    <row r="5" spans="1:49" ht="16.5" customHeight="1">
      <c r="A5" s="4648" t="s">
        <v>2</v>
      </c>
      <c r="B5" s="4648"/>
      <c r="C5" s="4648"/>
      <c r="D5" s="4648" t="s">
        <v>42</v>
      </c>
      <c r="E5" s="4648" t="s">
        <v>47</v>
      </c>
      <c r="F5" s="4648" t="s">
        <v>8</v>
      </c>
      <c r="G5" s="2424" t="s">
        <v>954</v>
      </c>
      <c r="H5" s="4418" t="s">
        <v>955</v>
      </c>
      <c r="I5" s="4418"/>
      <c r="J5" s="4418"/>
      <c r="K5" s="4418" t="s">
        <v>956</v>
      </c>
      <c r="L5" s="4418"/>
      <c r="M5" s="2424" t="s">
        <v>957</v>
      </c>
      <c r="O5" s="1120"/>
      <c r="S5" s="614"/>
      <c r="T5" s="614"/>
      <c r="U5" s="614"/>
      <c r="V5" s="614"/>
      <c r="W5" s="614"/>
      <c r="X5" s="614"/>
      <c r="Y5" s="614"/>
      <c r="Z5" s="614"/>
      <c r="AA5" s="614"/>
      <c r="AB5" s="614"/>
      <c r="AC5" s="614"/>
      <c r="AD5" s="614"/>
      <c r="AE5" s="614"/>
      <c r="AF5" s="614"/>
      <c r="AG5" s="614"/>
      <c r="AH5" s="614"/>
      <c r="AI5" s="614"/>
      <c r="AJ5" s="614"/>
      <c r="AK5" s="614"/>
      <c r="AL5" s="614"/>
      <c r="AM5" s="614"/>
      <c r="AN5" s="614"/>
      <c r="AO5" s="614"/>
      <c r="AP5" s="614"/>
      <c r="AQ5" s="614"/>
      <c r="AR5" s="614"/>
      <c r="AS5" s="614"/>
      <c r="AT5" s="614"/>
      <c r="AU5" s="614"/>
      <c r="AV5" s="614"/>
      <c r="AW5" s="614"/>
    </row>
    <row r="6" spans="1:49" ht="16.5" customHeight="1">
      <c r="A6" s="4648"/>
      <c r="B6" s="4648"/>
      <c r="C6" s="4648"/>
      <c r="D6" s="4648"/>
      <c r="E6" s="4648"/>
      <c r="F6" s="4648"/>
      <c r="G6" s="2423" t="s">
        <v>21</v>
      </c>
      <c r="H6" s="1089" t="s">
        <v>22</v>
      </c>
      <c r="I6" s="1089" t="s">
        <v>23</v>
      </c>
      <c r="J6" s="1089" t="s">
        <v>2041</v>
      </c>
      <c r="K6" s="1089" t="s">
        <v>22</v>
      </c>
      <c r="L6" s="1089" t="s">
        <v>23</v>
      </c>
      <c r="M6" s="1089" t="s">
        <v>22</v>
      </c>
      <c r="N6" s="293"/>
      <c r="O6" s="293"/>
      <c r="P6" s="293"/>
      <c r="Q6" s="293"/>
      <c r="R6" s="293"/>
      <c r="S6" s="614"/>
      <c r="T6" s="614"/>
      <c r="U6" s="614"/>
      <c r="V6" s="614"/>
      <c r="W6" s="614"/>
      <c r="X6" s="614"/>
      <c r="Y6" s="614"/>
      <c r="Z6" s="614"/>
      <c r="AA6" s="614"/>
      <c r="AB6" s="614"/>
      <c r="AC6" s="614"/>
      <c r="AD6" s="614"/>
      <c r="AE6" s="614"/>
      <c r="AF6" s="614"/>
      <c r="AG6" s="614"/>
      <c r="AH6" s="614"/>
      <c r="AI6" s="614"/>
      <c r="AJ6" s="614"/>
      <c r="AK6" s="614"/>
      <c r="AL6" s="614"/>
      <c r="AM6" s="614"/>
      <c r="AN6" s="614"/>
      <c r="AO6" s="614"/>
      <c r="AP6" s="614"/>
      <c r="AQ6" s="614"/>
      <c r="AR6" s="614"/>
      <c r="AS6" s="614"/>
      <c r="AT6" s="614"/>
      <c r="AU6" s="614"/>
      <c r="AV6" s="614"/>
      <c r="AW6" s="614"/>
    </row>
    <row r="7" spans="1:49" s="68" customFormat="1" ht="30" customHeight="1">
      <c r="A7" s="4522" t="s">
        <v>30</v>
      </c>
      <c r="B7" s="4664" t="s">
        <v>284</v>
      </c>
      <c r="C7" s="4431"/>
      <c r="D7" s="4400" t="s">
        <v>35</v>
      </c>
      <c r="E7" s="4400" t="s">
        <v>45</v>
      </c>
      <c r="F7" s="2429" t="s">
        <v>0</v>
      </c>
      <c r="G7" s="2452">
        <f>CEILING('Полотна база'!S54*(1+скидки_наценки!$B$30)*скидки_наценки!$D$13*скидки_наценки!$F$13/скидки_наценки!$B$4,50)</f>
        <v>31900</v>
      </c>
      <c r="H7" s="2452">
        <f>CEILING(('Полотна база'!T54+H18)*(1+скидки_наценки!$B$30)*скидки_наценки!$D$13*скидки_наценки!$F$13/скидки_наценки!$B$4, 50)</f>
        <v>32650</v>
      </c>
      <c r="I7" s="2452">
        <f>CEILING(('Полотна база'!T54+I18)*(1+скидки_наценки!$B$30)*скидки_наценки!$D$13*скидки_наценки!$F$13/скидки_наценки!$B$4, 50)</f>
        <v>32350</v>
      </c>
      <c r="J7" s="2452">
        <f>I7+(J18-I18)</f>
        <v>32500</v>
      </c>
      <c r="K7" s="2452">
        <f>CEILING(('Полотна база'!T54+K18)*(1+скидки_наценки!$B$30)*скидки_наценки!$D$13*скидки_наценки!$F$13/скидки_наценки!$B$4, 50)</f>
        <v>32650</v>
      </c>
      <c r="L7" s="2452">
        <f>CEILING((K7+(K18-L18))*(1+скидки_наценки!$B$30)*скидки_наценки!$D$13*скидки_наценки!$F$13/скидки_наценки!$B$4,50)</f>
        <v>32950</v>
      </c>
      <c r="M7" s="2452">
        <f>CEILING('Полотна база'!U54*(1+скидки_наценки!$B$30)*скидки_наценки!$D$13*скидки_наценки!$F$13/скидки_наценки!$B$4, 50)</f>
        <v>34900</v>
      </c>
      <c r="N7" s="69"/>
      <c r="O7" s="69"/>
      <c r="P7" s="69"/>
      <c r="Q7" s="69"/>
      <c r="R7" s="69"/>
      <c r="S7" s="614"/>
      <c r="T7" s="614"/>
      <c r="U7" s="614"/>
      <c r="V7" s="614"/>
      <c r="W7" s="614"/>
      <c r="X7" s="614"/>
      <c r="Y7" s="614"/>
      <c r="Z7" s="614"/>
      <c r="AA7" s="614"/>
      <c r="AB7" s="614"/>
      <c r="AC7" s="614"/>
      <c r="AD7" s="614"/>
      <c r="AE7" s="614"/>
      <c r="AF7" s="614"/>
      <c r="AG7" s="614"/>
      <c r="AH7" s="614"/>
      <c r="AI7" s="614"/>
      <c r="AJ7" s="614"/>
      <c r="AK7" s="614"/>
      <c r="AL7" s="614"/>
      <c r="AM7" s="614"/>
      <c r="AN7" s="614"/>
      <c r="AO7" s="614"/>
      <c r="AP7" s="614"/>
      <c r="AQ7" s="614"/>
      <c r="AR7" s="614"/>
      <c r="AS7" s="614"/>
      <c r="AT7" s="614"/>
      <c r="AU7" s="614"/>
      <c r="AV7" s="614"/>
      <c r="AW7" s="614"/>
    </row>
    <row r="8" spans="1:49" s="68" customFormat="1" ht="15" customHeight="1">
      <c r="A8" s="4522"/>
      <c r="B8" s="4431"/>
      <c r="C8" s="4431"/>
      <c r="D8" s="4400"/>
      <c r="E8" s="4400"/>
      <c r="F8" s="191" t="s">
        <v>306</v>
      </c>
      <c r="G8" s="373">
        <f>IF(G7=0,0,(Погонаж!$C$13*2.5+Погонаж!$E$13*5))</f>
        <v>12375</v>
      </c>
      <c r="H8" s="373">
        <f>IF(H7=0,0,(Погонаж!$C$13*2.5+Погонаж!$E$13*5))</f>
        <v>12375</v>
      </c>
      <c r="I8" s="373">
        <f>IF(I7=0,0,(Погонаж!$C$13*2.5+Погонаж!$E$13*5))</f>
        <v>12375</v>
      </c>
      <c r="J8" s="2454">
        <f>I8</f>
        <v>12375</v>
      </c>
      <c r="K8" s="373">
        <f>IF(K7=0,0,(Погонаж!$C$13*2.5+Погонаж!$E$13*5))</f>
        <v>12375</v>
      </c>
      <c r="L8" s="373">
        <f>IF(L7=0,0,(Погонаж!$C$13*2.5+Погонаж!$E$13*5))</f>
        <v>12375</v>
      </c>
      <c r="M8" s="373">
        <f>IF(M7=0,0,(Погонаж!$C$13*2.5+Погонаж!$E$13*5))</f>
        <v>12375</v>
      </c>
      <c r="N8" s="69"/>
      <c r="O8" s="69"/>
      <c r="P8" s="69"/>
      <c r="Q8" s="69"/>
      <c r="R8" s="69"/>
      <c r="S8" s="614"/>
      <c r="T8" s="614"/>
      <c r="U8" s="614"/>
      <c r="V8" s="614"/>
      <c r="W8" s="614"/>
      <c r="X8" s="614"/>
      <c r="Y8" s="614"/>
      <c r="Z8" s="614"/>
      <c r="AA8" s="614"/>
      <c r="AB8" s="614"/>
      <c r="AC8" s="614"/>
      <c r="AD8" s="614"/>
      <c r="AE8" s="614"/>
      <c r="AF8" s="614"/>
      <c r="AG8" s="614"/>
      <c r="AH8" s="614"/>
      <c r="AI8" s="614"/>
      <c r="AJ8" s="614"/>
      <c r="AK8" s="614"/>
      <c r="AL8" s="614"/>
      <c r="AM8" s="614"/>
      <c r="AN8" s="614"/>
      <c r="AO8" s="614"/>
      <c r="AP8" s="614"/>
      <c r="AQ8" s="614"/>
      <c r="AR8" s="614"/>
      <c r="AS8" s="614"/>
      <c r="AT8" s="614"/>
      <c r="AU8" s="614"/>
      <c r="AV8" s="614"/>
      <c r="AW8" s="614"/>
    </row>
    <row r="9" spans="1:49" s="68" customFormat="1" ht="30" customHeight="1">
      <c r="A9" s="4522"/>
      <c r="B9" s="4431"/>
      <c r="C9" s="4431"/>
      <c r="D9" s="4400"/>
      <c r="E9" s="4400"/>
      <c r="F9" s="2453" t="s">
        <v>1</v>
      </c>
      <c r="G9" s="2436">
        <f>G7+G8</f>
        <v>44275</v>
      </c>
      <c r="H9" s="2436">
        <f>H7+H8</f>
        <v>45025</v>
      </c>
      <c r="I9" s="2436">
        <f>I7+I8</f>
        <v>44725</v>
      </c>
      <c r="J9" s="2436">
        <f>I9</f>
        <v>44725</v>
      </c>
      <c r="K9" s="2436">
        <f>K7+K8</f>
        <v>45025</v>
      </c>
      <c r="L9" s="2436">
        <f>L7+L8</f>
        <v>45325</v>
      </c>
      <c r="M9" s="2436">
        <f>M7+M8</f>
        <v>47275</v>
      </c>
      <c r="N9" s="69"/>
      <c r="O9" s="69"/>
      <c r="P9" s="69"/>
      <c r="Q9" s="69"/>
      <c r="R9" s="69"/>
      <c r="S9" s="614"/>
      <c r="T9" s="614"/>
      <c r="U9" s="614"/>
      <c r="V9" s="614"/>
      <c r="W9" s="614"/>
      <c r="X9" s="614"/>
      <c r="Y9" s="614"/>
      <c r="Z9" s="614"/>
      <c r="AA9" s="614"/>
      <c r="AB9" s="614"/>
      <c r="AC9" s="614"/>
      <c r="AD9" s="614"/>
      <c r="AE9" s="614"/>
      <c r="AF9" s="614"/>
      <c r="AG9" s="614"/>
      <c r="AH9" s="614"/>
      <c r="AI9" s="614"/>
      <c r="AJ9" s="614"/>
      <c r="AK9" s="614"/>
      <c r="AL9" s="614"/>
      <c r="AM9" s="614"/>
      <c r="AN9" s="614"/>
      <c r="AO9" s="614"/>
      <c r="AP9" s="614"/>
      <c r="AQ9" s="614"/>
      <c r="AR9" s="614"/>
      <c r="AS9" s="614"/>
      <c r="AT9" s="614"/>
      <c r="AU9" s="614"/>
      <c r="AV9" s="614"/>
      <c r="AW9" s="614"/>
    </row>
    <row r="10" spans="1:49">
      <c r="F10" s="287"/>
      <c r="G10" s="300"/>
      <c r="K10" s="69"/>
      <c r="L10" s="69"/>
      <c r="M10" s="69"/>
      <c r="N10" s="293"/>
      <c r="O10" s="293"/>
      <c r="P10" s="293"/>
      <c r="Q10" s="293"/>
      <c r="R10" s="293"/>
      <c r="S10" s="614"/>
      <c r="T10" s="614"/>
      <c r="U10" s="614"/>
      <c r="V10" s="614"/>
      <c r="W10" s="614"/>
      <c r="X10" s="614"/>
      <c r="Y10" s="614"/>
      <c r="Z10" s="614"/>
      <c r="AA10" s="614"/>
      <c r="AB10" s="614"/>
      <c r="AC10" s="614"/>
      <c r="AD10" s="614"/>
      <c r="AE10" s="614"/>
      <c r="AF10" s="614"/>
      <c r="AG10" s="614"/>
      <c r="AH10" s="614"/>
      <c r="AI10" s="614"/>
      <c r="AJ10" s="614"/>
      <c r="AK10" s="614"/>
      <c r="AL10" s="614"/>
      <c r="AM10" s="614"/>
      <c r="AN10" s="614"/>
      <c r="AO10" s="614"/>
      <c r="AP10" s="614"/>
      <c r="AQ10" s="614"/>
      <c r="AR10" s="614"/>
      <c r="AS10" s="614"/>
      <c r="AT10" s="614"/>
      <c r="AU10" s="614"/>
      <c r="AV10" s="614"/>
      <c r="AW10" s="614"/>
    </row>
    <row r="11" spans="1:49" s="9" customFormat="1">
      <c r="A11" s="287"/>
      <c r="B11" s="345"/>
      <c r="C11" s="287"/>
      <c r="D11" s="287"/>
      <c r="E11" s="287"/>
      <c r="F11" s="287"/>
      <c r="G11" s="300"/>
      <c r="H11" s="287"/>
      <c r="I11" s="589"/>
      <c r="J11" s="589"/>
      <c r="K11" s="69"/>
      <c r="L11" s="69"/>
      <c r="M11" s="69"/>
      <c r="N11" s="293"/>
      <c r="O11" s="293"/>
      <c r="P11" s="293"/>
      <c r="Q11" s="293"/>
      <c r="R11" s="293"/>
      <c r="S11" s="614"/>
      <c r="T11" s="614"/>
      <c r="U11" s="614"/>
      <c r="V11" s="614"/>
      <c r="W11" s="614"/>
      <c r="X11" s="614"/>
      <c r="Y11" s="614"/>
      <c r="Z11" s="614"/>
      <c r="AA11" s="614"/>
      <c r="AB11" s="614"/>
      <c r="AC11" s="614"/>
      <c r="AD11" s="614"/>
      <c r="AE11" s="614"/>
      <c r="AF11" s="614"/>
      <c r="AG11" s="614"/>
      <c r="AH11" s="614"/>
      <c r="AI11" s="614"/>
      <c r="AJ11" s="614"/>
      <c r="AK11" s="614"/>
      <c r="AL11" s="614"/>
      <c r="AM11" s="614"/>
      <c r="AN11" s="614"/>
      <c r="AO11" s="614"/>
      <c r="AP11" s="614"/>
      <c r="AQ11" s="614"/>
      <c r="AR11" s="614"/>
      <c r="AS11" s="614"/>
      <c r="AT11" s="614"/>
      <c r="AU11" s="614"/>
      <c r="AV11" s="614"/>
      <c r="AW11" s="614"/>
    </row>
    <row r="12" spans="1:49" ht="18" customHeight="1">
      <c r="A12" s="286"/>
      <c r="B12" s="19" t="s">
        <v>25</v>
      </c>
      <c r="C12" s="286"/>
      <c r="D12" s="286"/>
      <c r="E12" s="286"/>
      <c r="F12" s="6"/>
      <c r="G12" s="6"/>
      <c r="H12" s="286"/>
      <c r="I12" s="2335"/>
      <c r="J12" s="2335"/>
      <c r="K12" s="286"/>
      <c r="L12" s="2335"/>
      <c r="M12" s="286"/>
      <c r="N12" s="293"/>
      <c r="O12" s="293"/>
      <c r="P12" s="293"/>
      <c r="Q12" s="293"/>
      <c r="R12" s="293"/>
      <c r="S12" s="614"/>
      <c r="T12" s="614"/>
      <c r="U12" s="614"/>
      <c r="V12" s="614"/>
      <c r="W12" s="614"/>
      <c r="X12" s="614"/>
      <c r="Y12" s="614"/>
      <c r="Z12" s="614"/>
      <c r="AA12" s="614"/>
      <c r="AB12" s="614"/>
      <c r="AC12" s="614"/>
      <c r="AD12" s="614"/>
      <c r="AE12" s="614"/>
      <c r="AF12" s="614"/>
      <c r="AG12" s="614"/>
      <c r="AH12" s="614"/>
      <c r="AI12" s="614"/>
      <c r="AJ12" s="614"/>
      <c r="AK12" s="614"/>
      <c r="AL12" s="614"/>
      <c r="AM12" s="614"/>
      <c r="AN12" s="614"/>
      <c r="AO12" s="614"/>
      <c r="AP12" s="614"/>
      <c r="AQ12" s="614"/>
      <c r="AR12" s="614"/>
      <c r="AS12" s="614"/>
      <c r="AT12" s="614"/>
      <c r="AU12" s="614"/>
      <c r="AV12" s="614"/>
      <c r="AW12" s="614"/>
    </row>
    <row r="13" spans="1:49" ht="13.5" customHeight="1">
      <c r="A13" s="4649" t="s">
        <v>39</v>
      </c>
      <c r="B13" s="4649"/>
      <c r="C13" s="4649" t="s">
        <v>36</v>
      </c>
      <c r="D13" s="4649"/>
      <c r="E13" s="4220" t="s">
        <v>40</v>
      </c>
      <c r="F13" s="4221"/>
      <c r="G13" s="4292" t="s">
        <v>954</v>
      </c>
      <c r="H13" s="4446" t="s">
        <v>955</v>
      </c>
      <c r="I13" s="4497"/>
      <c r="J13" s="4498"/>
      <c r="K13" s="4446" t="s">
        <v>956</v>
      </c>
      <c r="L13" s="4498"/>
      <c r="M13" s="2379" t="s">
        <v>957</v>
      </c>
      <c r="N13" s="293"/>
      <c r="O13" s="293"/>
      <c r="P13" s="293"/>
      <c r="Q13" s="293"/>
      <c r="R13" s="293"/>
      <c r="S13" s="614"/>
      <c r="T13" s="614"/>
      <c r="U13" s="614"/>
      <c r="V13" s="614"/>
      <c r="W13" s="614"/>
      <c r="X13" s="614"/>
      <c r="Y13" s="614"/>
      <c r="Z13" s="614"/>
      <c r="AA13" s="614"/>
      <c r="AB13" s="614"/>
      <c r="AC13" s="614"/>
      <c r="AD13" s="614"/>
      <c r="AE13" s="614"/>
      <c r="AF13" s="614"/>
      <c r="AG13" s="614"/>
      <c r="AH13" s="614"/>
      <c r="AI13" s="614"/>
      <c r="AJ13" s="614"/>
      <c r="AK13" s="614"/>
      <c r="AL13" s="614"/>
      <c r="AM13" s="614"/>
      <c r="AN13" s="614"/>
      <c r="AO13" s="614"/>
      <c r="AP13" s="614"/>
      <c r="AQ13" s="614"/>
      <c r="AR13" s="614"/>
      <c r="AS13" s="614"/>
      <c r="AT13" s="614"/>
      <c r="AU13" s="614"/>
      <c r="AV13" s="614"/>
      <c r="AW13" s="614"/>
    </row>
    <row r="14" spans="1:49" s="589" customFormat="1" ht="15" customHeight="1">
      <c r="A14" s="4648"/>
      <c r="B14" s="4648"/>
      <c r="C14" s="4648"/>
      <c r="D14" s="4648"/>
      <c r="E14" s="4477"/>
      <c r="F14" s="4650"/>
      <c r="G14" s="4594"/>
      <c r="H14" s="3284" t="str">
        <f t="shared" ref="H14:M14" si="0">H6</f>
        <v>ДО</v>
      </c>
      <c r="I14" s="3284" t="str">
        <f t="shared" si="0"/>
        <v>ДГО</v>
      </c>
      <c r="J14" s="3284" t="str">
        <f t="shared" si="0"/>
        <v>ДГО2</v>
      </c>
      <c r="K14" s="3284" t="str">
        <f t="shared" si="0"/>
        <v>ДО</v>
      </c>
      <c r="L14" s="3284" t="str">
        <f t="shared" si="0"/>
        <v>ДГО</v>
      </c>
      <c r="M14" s="3284" t="str">
        <f t="shared" si="0"/>
        <v>ДО</v>
      </c>
      <c r="S14" s="614"/>
      <c r="T14" s="614"/>
      <c r="U14" s="614"/>
      <c r="V14" s="614"/>
      <c r="W14" s="614"/>
      <c r="X14" s="614"/>
      <c r="Y14" s="614"/>
      <c r="Z14" s="614"/>
      <c r="AA14" s="614"/>
      <c r="AB14" s="614"/>
      <c r="AC14" s="614"/>
      <c r="AD14" s="614"/>
      <c r="AE14" s="614"/>
      <c r="AF14" s="614"/>
      <c r="AG14" s="614"/>
      <c r="AH14" s="614"/>
      <c r="AI14" s="614"/>
      <c r="AJ14" s="614"/>
      <c r="AK14" s="614"/>
      <c r="AL14" s="614"/>
      <c r="AM14" s="614"/>
      <c r="AN14" s="614"/>
      <c r="AO14" s="614"/>
      <c r="AP14" s="614"/>
      <c r="AQ14" s="614"/>
      <c r="AR14" s="614"/>
      <c r="AS14" s="614"/>
      <c r="AT14" s="614"/>
      <c r="AU14" s="614"/>
      <c r="AV14" s="614"/>
      <c r="AW14" s="614"/>
    </row>
    <row r="15" spans="1:49" ht="15" customHeight="1">
      <c r="A15" s="4649"/>
      <c r="B15" s="4649"/>
      <c r="C15" s="4649"/>
      <c r="D15" s="4649"/>
      <c r="E15" s="4223"/>
      <c r="F15" s="4224"/>
      <c r="G15" s="4595"/>
      <c r="H15" s="2438" t="s">
        <v>222</v>
      </c>
      <c r="I15" s="2438" t="s">
        <v>222</v>
      </c>
      <c r="J15" s="2438" t="s">
        <v>222</v>
      </c>
      <c r="K15" s="2438" t="s">
        <v>222</v>
      </c>
      <c r="L15" s="2438" t="s">
        <v>222</v>
      </c>
      <c r="M15" s="2438" t="s">
        <v>222</v>
      </c>
      <c r="N15" s="293"/>
      <c r="O15" s="293"/>
      <c r="P15" s="293"/>
      <c r="Q15" s="293"/>
      <c r="R15" s="293"/>
      <c r="S15" s="614"/>
      <c r="T15" s="614"/>
      <c r="U15" s="614"/>
      <c r="V15" s="614"/>
      <c r="W15" s="614"/>
      <c r="X15" s="614"/>
      <c r="Y15" s="614"/>
      <c r="Z15" s="614"/>
      <c r="AA15" s="614"/>
      <c r="AB15" s="614"/>
      <c r="AC15" s="614"/>
      <c r="AD15" s="614"/>
      <c r="AE15" s="614"/>
      <c r="AF15" s="614"/>
      <c r="AG15" s="614"/>
      <c r="AH15" s="614"/>
      <c r="AI15" s="614"/>
      <c r="AJ15" s="614"/>
      <c r="AK15" s="614"/>
      <c r="AL15" s="614"/>
      <c r="AM15" s="614"/>
      <c r="AN15" s="614"/>
      <c r="AO15" s="614"/>
      <c r="AP15" s="614"/>
      <c r="AQ15" s="614"/>
      <c r="AR15" s="614"/>
      <c r="AS15" s="614"/>
      <c r="AT15" s="614"/>
      <c r="AU15" s="614"/>
      <c r="AV15" s="614"/>
      <c r="AW15" s="614"/>
    </row>
    <row r="16" spans="1:49" ht="19.899999999999999" hidden="1" customHeight="1">
      <c r="A16" s="4460" t="s">
        <v>33</v>
      </c>
      <c r="B16" s="4654"/>
      <c r="C16" s="4466" t="s">
        <v>32</v>
      </c>
      <c r="D16" s="4467"/>
      <c r="E16" s="4466" t="s">
        <v>216</v>
      </c>
      <c r="F16" s="4658"/>
      <c r="G16" s="332" t="s">
        <v>4</v>
      </c>
      <c r="H16" s="2398" t="s">
        <v>2435</v>
      </c>
      <c r="I16" s="2398" t="s">
        <v>2435</v>
      </c>
      <c r="J16" s="2398" t="s">
        <v>2435</v>
      </c>
      <c r="K16" s="2398" t="s">
        <v>2435</v>
      </c>
      <c r="L16" s="2398" t="s">
        <v>2435</v>
      </c>
      <c r="M16" s="2451" t="s">
        <v>4</v>
      </c>
      <c r="N16" s="293"/>
      <c r="O16" s="390"/>
      <c r="P16" s="388"/>
      <c r="Q16" s="293"/>
      <c r="R16" s="293"/>
      <c r="S16" s="614"/>
      <c r="T16" s="614"/>
      <c r="U16" s="614"/>
      <c r="V16" s="614"/>
      <c r="W16" s="614"/>
      <c r="X16" s="614"/>
      <c r="Y16" s="614"/>
      <c r="Z16" s="614"/>
      <c r="AA16" s="614"/>
      <c r="AB16" s="614"/>
      <c r="AC16" s="614"/>
      <c r="AD16" s="614"/>
      <c r="AE16" s="614"/>
      <c r="AF16" s="614"/>
      <c r="AG16" s="614"/>
      <c r="AH16" s="614"/>
      <c r="AI16" s="614"/>
      <c r="AJ16" s="614"/>
      <c r="AK16" s="614"/>
      <c r="AL16" s="614"/>
      <c r="AM16" s="614"/>
      <c r="AN16" s="614"/>
      <c r="AO16" s="614"/>
      <c r="AP16" s="614"/>
      <c r="AQ16" s="614"/>
      <c r="AR16" s="614"/>
      <c r="AS16" s="614"/>
      <c r="AT16" s="614"/>
      <c r="AU16" s="614"/>
      <c r="AV16" s="614"/>
      <c r="AW16" s="614"/>
    </row>
    <row r="17" spans="1:49" ht="24" customHeight="1">
      <c r="A17" s="4462"/>
      <c r="B17" s="4655"/>
      <c r="C17" s="4253" t="s">
        <v>210</v>
      </c>
      <c r="D17" s="4254"/>
      <c r="E17" s="4253" t="s">
        <v>217</v>
      </c>
      <c r="F17" s="4662"/>
      <c r="G17" s="3695" t="s">
        <v>4</v>
      </c>
      <c r="H17" s="3705" t="s">
        <v>2435</v>
      </c>
      <c r="I17" s="3705" t="s">
        <v>2435</v>
      </c>
      <c r="J17" s="3705" t="s">
        <v>2435</v>
      </c>
      <c r="K17" s="3705" t="s">
        <v>2435</v>
      </c>
      <c r="L17" s="3705" t="s">
        <v>2435</v>
      </c>
      <c r="M17" s="2401" t="s">
        <v>2616</v>
      </c>
      <c r="N17" s="293"/>
      <c r="O17" s="390"/>
      <c r="P17" s="293"/>
      <c r="Q17" s="293"/>
      <c r="R17" s="293"/>
      <c r="S17" s="614"/>
      <c r="T17" s="614"/>
      <c r="U17" s="614"/>
      <c r="V17" s="614"/>
      <c r="W17" s="614"/>
      <c r="X17" s="614"/>
      <c r="Y17" s="614"/>
      <c r="Z17" s="614"/>
      <c r="AA17" s="614"/>
      <c r="AB17" s="614"/>
      <c r="AC17" s="614"/>
      <c r="AD17" s="614"/>
      <c r="AE17" s="614"/>
      <c r="AF17" s="614"/>
      <c r="AG17" s="614"/>
      <c r="AH17" s="614"/>
      <c r="AI17" s="614"/>
      <c r="AJ17" s="614"/>
      <c r="AK17" s="614"/>
      <c r="AL17" s="614"/>
      <c r="AM17" s="614"/>
      <c r="AN17" s="614"/>
      <c r="AO17" s="614"/>
      <c r="AP17" s="614"/>
      <c r="AQ17" s="614"/>
      <c r="AR17" s="614"/>
      <c r="AS17" s="614"/>
      <c r="AT17" s="614"/>
      <c r="AU17" s="614"/>
      <c r="AV17" s="614"/>
      <c r="AW17" s="614"/>
    </row>
    <row r="18" spans="1:49" s="589" customFormat="1" ht="24" hidden="1" customHeight="1">
      <c r="A18" s="4462"/>
      <c r="B18" s="4655"/>
      <c r="C18" s="3693" t="s">
        <v>3297</v>
      </c>
      <c r="D18" s="3694"/>
      <c r="E18" s="3701"/>
      <c r="F18" s="3702"/>
      <c r="G18" s="3703"/>
      <c r="H18" s="373">
        <f>CEILING(('стекло+зеркала_база'!C98)*(1+скидки_наценки!$B$32)*скидки_наценки!$D$13*скидки_наценки!$F$13/скидки_наценки!$B$4, 50)</f>
        <v>750</v>
      </c>
      <c r="I18" s="373">
        <f>CEILING(H18*0.6, 50)</f>
        <v>450</v>
      </c>
      <c r="J18" s="373">
        <f>CEILING(H18*0.8, 50)</f>
        <v>600</v>
      </c>
      <c r="K18" s="373">
        <f>H18</f>
        <v>750</v>
      </c>
      <c r="L18" s="373">
        <f>I18</f>
        <v>450</v>
      </c>
      <c r="M18" s="3704"/>
      <c r="O18" s="390"/>
      <c r="S18" s="614"/>
      <c r="T18" s="614"/>
      <c r="U18" s="614"/>
      <c r="V18" s="614"/>
      <c r="W18" s="614"/>
      <c r="X18" s="614"/>
      <c r="Y18" s="614"/>
      <c r="Z18" s="614"/>
      <c r="AA18" s="614"/>
      <c r="AB18" s="614"/>
      <c r="AC18" s="614"/>
      <c r="AD18" s="614"/>
      <c r="AE18" s="614"/>
      <c r="AF18" s="614"/>
      <c r="AG18" s="614"/>
      <c r="AH18" s="614"/>
      <c r="AI18" s="614"/>
      <c r="AJ18" s="614"/>
      <c r="AK18" s="614"/>
      <c r="AL18" s="614"/>
      <c r="AM18" s="614"/>
      <c r="AN18" s="614"/>
      <c r="AO18" s="614"/>
      <c r="AP18" s="614"/>
      <c r="AQ18" s="614"/>
      <c r="AR18" s="614"/>
      <c r="AS18" s="614"/>
      <c r="AT18" s="614"/>
      <c r="AU18" s="614"/>
      <c r="AV18" s="614"/>
      <c r="AW18" s="614"/>
    </row>
    <row r="19" spans="1:49" ht="19.899999999999999" customHeight="1">
      <c r="A19" s="4656"/>
      <c r="B19" s="4657"/>
      <c r="C19" s="4565" t="s">
        <v>211</v>
      </c>
      <c r="D19" s="4567"/>
      <c r="E19" s="4349" t="s">
        <v>217</v>
      </c>
      <c r="F19" s="4350"/>
      <c r="G19" s="340" t="s">
        <v>4</v>
      </c>
      <c r="H19" s="364">
        <f>CEILING(('стекло+зеркала_база'!$C$99-'стекло+зеркала_база'!$C$98)*(1+скидки_наценки!$B$32)*скидки_наценки!$D$13*скидки_наценки!$F$13/скидки_наценки!$B$4, 50)</f>
        <v>750</v>
      </c>
      <c r="I19" s="2331">
        <f>CEILING(H19*0.6, 50)</f>
        <v>450</v>
      </c>
      <c r="J19" s="2331">
        <f>CEILING(H19*0.8, 50)</f>
        <v>600</v>
      </c>
      <c r="K19" s="1183">
        <f>H19</f>
        <v>750</v>
      </c>
      <c r="L19" s="2341">
        <f>I19</f>
        <v>450</v>
      </c>
      <c r="M19" s="380" t="s">
        <v>2435</v>
      </c>
      <c r="N19" s="293"/>
      <c r="O19" s="390"/>
      <c r="P19" s="293"/>
      <c r="Q19" s="293"/>
      <c r="R19" s="293"/>
      <c r="S19" s="614"/>
      <c r="T19" s="614"/>
      <c r="U19" s="614"/>
      <c r="V19" s="614"/>
      <c r="W19" s="614"/>
      <c r="X19" s="614"/>
      <c r="Y19" s="614"/>
      <c r="Z19" s="614"/>
      <c r="AA19" s="614"/>
      <c r="AB19" s="614"/>
      <c r="AC19" s="614"/>
      <c r="AD19" s="614"/>
      <c r="AE19" s="614"/>
      <c r="AF19" s="614"/>
      <c r="AG19" s="614"/>
      <c r="AH19" s="614"/>
      <c r="AI19" s="614"/>
      <c r="AJ19" s="614"/>
      <c r="AK19" s="614"/>
      <c r="AL19" s="614"/>
      <c r="AM19" s="614"/>
      <c r="AN19" s="614"/>
      <c r="AO19" s="614"/>
      <c r="AP19" s="614"/>
      <c r="AQ19" s="614"/>
      <c r="AR19" s="614"/>
      <c r="AS19" s="614"/>
      <c r="AT19" s="614"/>
      <c r="AU19" s="614"/>
      <c r="AV19" s="614"/>
      <c r="AW19" s="614"/>
    </row>
    <row r="20" spans="1:49" ht="15" customHeight="1">
      <c r="A20" s="4659" t="s">
        <v>218</v>
      </c>
      <c r="B20" s="4660"/>
      <c r="C20" s="4660"/>
      <c r="D20" s="4660"/>
      <c r="E20" s="4660"/>
      <c r="F20" s="4660"/>
      <c r="G20" s="4660"/>
      <c r="H20" s="4660"/>
      <c r="I20" s="4661"/>
      <c r="J20" s="4661"/>
      <c r="K20" s="4660"/>
      <c r="L20" s="4661"/>
      <c r="M20" s="4660"/>
      <c r="N20" s="293"/>
      <c r="O20" s="390"/>
      <c r="P20" s="293"/>
      <c r="Q20" s="293"/>
      <c r="R20" s="293"/>
      <c r="S20" s="614"/>
      <c r="T20" s="614"/>
      <c r="U20" s="614"/>
      <c r="V20" s="614"/>
      <c r="W20" s="614"/>
      <c r="X20" s="614"/>
      <c r="Y20" s="614"/>
      <c r="Z20" s="614"/>
      <c r="AA20" s="614"/>
      <c r="AB20" s="614"/>
      <c r="AC20" s="614"/>
      <c r="AD20" s="614"/>
      <c r="AE20" s="614"/>
      <c r="AF20" s="614"/>
      <c r="AG20" s="614"/>
      <c r="AH20" s="614"/>
      <c r="AI20" s="614"/>
      <c r="AJ20" s="614"/>
      <c r="AK20" s="614"/>
      <c r="AL20" s="614"/>
      <c r="AM20" s="614"/>
      <c r="AN20" s="614"/>
      <c r="AO20" s="614"/>
      <c r="AP20" s="614"/>
      <c r="AQ20" s="614"/>
      <c r="AR20" s="614"/>
      <c r="AS20" s="614"/>
      <c r="AT20" s="614"/>
      <c r="AU20" s="614"/>
      <c r="AV20" s="614"/>
      <c r="AW20" s="614"/>
    </row>
    <row r="21" spans="1:49" ht="19.899999999999999" customHeight="1">
      <c r="A21" s="4599" t="s">
        <v>224</v>
      </c>
      <c r="B21" s="4599"/>
      <c r="C21" s="4597" t="s">
        <v>484</v>
      </c>
      <c r="D21" s="4663"/>
      <c r="E21" s="4663"/>
      <c r="F21" s="4663"/>
      <c r="G21" s="353" t="s">
        <v>4</v>
      </c>
      <c r="H21" s="353">
        <f>CEILING('стекло+зеркала_база'!N79*(1+скидки_наценки!$B$32)*скидки_наценки!$D$13*скидки_наценки!$F$13/скидки_наценки!$B$4, 50)</f>
        <v>700</v>
      </c>
      <c r="I21" s="1061">
        <f>CEILING(H21*0.6, 50)</f>
        <v>450</v>
      </c>
      <c r="J21" s="1061">
        <f>CEILING(H21*0.8, 50)</f>
        <v>600</v>
      </c>
      <c r="K21" s="353">
        <f>H21</f>
        <v>700</v>
      </c>
      <c r="L21" s="1061">
        <f>I21</f>
        <v>450</v>
      </c>
      <c r="M21" s="353">
        <f>'Декоры база'!EV157*скидки_наценки!$D$13*скидки_наценки!$F$13/скидки_наценки!$B$4</f>
        <v>0</v>
      </c>
      <c r="N21" s="293"/>
      <c r="O21" s="390"/>
      <c r="P21" s="293"/>
      <c r="Q21" s="293"/>
      <c r="R21" s="293"/>
      <c r="S21" s="614"/>
      <c r="T21" s="614"/>
      <c r="U21" s="614"/>
      <c r="V21" s="614"/>
      <c r="W21" s="614"/>
      <c r="X21" s="614"/>
      <c r="Y21" s="614"/>
      <c r="Z21" s="614"/>
      <c r="AA21" s="614"/>
      <c r="AB21" s="614"/>
      <c r="AC21" s="614"/>
      <c r="AD21" s="614"/>
      <c r="AE21" s="614"/>
      <c r="AF21" s="614"/>
      <c r="AG21" s="614"/>
      <c r="AH21" s="614"/>
      <c r="AI21" s="614"/>
      <c r="AJ21" s="614"/>
      <c r="AK21" s="614"/>
      <c r="AL21" s="614"/>
      <c r="AM21" s="614"/>
      <c r="AN21" s="614"/>
      <c r="AO21" s="614"/>
      <c r="AP21" s="614"/>
      <c r="AQ21" s="614"/>
      <c r="AR21" s="614"/>
      <c r="AS21" s="614"/>
      <c r="AT21" s="614"/>
      <c r="AU21" s="614"/>
      <c r="AV21" s="614"/>
      <c r="AW21" s="614"/>
    </row>
    <row r="22" spans="1:49" s="24" customFormat="1" ht="40.15" customHeight="1">
      <c r="A22" s="4651" t="s">
        <v>234</v>
      </c>
      <c r="B22" s="4652"/>
      <c r="C22" s="4454" t="s">
        <v>485</v>
      </c>
      <c r="D22" s="4653"/>
      <c r="E22" s="4653"/>
      <c r="F22" s="4653"/>
      <c r="G22" s="333" t="s">
        <v>4</v>
      </c>
      <c r="H22" s="333">
        <f>CEILING('стекло+зеркала_база'!I79*(1+скидки_наценки!$B$32)*скидки_наценки!$D$13*скидки_наценки!$F$13/скидки_наценки!$B$4, 50)</f>
        <v>700</v>
      </c>
      <c r="I22" s="1043">
        <f>CEILING(H22*0.6, 50)</f>
        <v>450</v>
      </c>
      <c r="J22" s="1043">
        <f>CEILING(H22*0.8, 50)</f>
        <v>600</v>
      </c>
      <c r="K22" s="333">
        <f>H22</f>
        <v>700</v>
      </c>
      <c r="L22" s="1043">
        <f>I22</f>
        <v>450</v>
      </c>
      <c r="M22" s="333">
        <f>'Декоры база'!EV166*скидки_наценки!$D$13*скидки_наценки!$F$13/скидки_наценки!$B$4</f>
        <v>0</v>
      </c>
      <c r="N22" s="293"/>
      <c r="O22" s="390"/>
      <c r="P22" s="293"/>
      <c r="Q22" s="293"/>
      <c r="R22" s="293"/>
      <c r="S22" s="614"/>
      <c r="T22" s="614"/>
      <c r="U22" s="614"/>
      <c r="V22" s="614"/>
      <c r="W22" s="614"/>
      <c r="X22" s="614"/>
      <c r="Y22" s="614"/>
      <c r="Z22" s="614"/>
      <c r="AA22" s="614"/>
      <c r="AB22" s="614"/>
      <c r="AC22" s="614"/>
      <c r="AD22" s="614"/>
      <c r="AE22" s="614"/>
      <c r="AF22" s="614"/>
      <c r="AG22" s="614"/>
      <c r="AH22" s="614"/>
      <c r="AI22" s="614"/>
      <c r="AJ22" s="614"/>
      <c r="AK22" s="614"/>
      <c r="AL22" s="614"/>
      <c r="AM22" s="614"/>
      <c r="AN22" s="614"/>
      <c r="AO22" s="614"/>
      <c r="AP22" s="614"/>
      <c r="AQ22" s="614"/>
      <c r="AR22" s="614"/>
      <c r="AS22" s="614"/>
      <c r="AT22" s="614"/>
      <c r="AU22" s="614"/>
      <c r="AV22" s="614"/>
      <c r="AW22" s="614"/>
    </row>
    <row r="23" spans="1:49" s="24" customFormat="1">
      <c r="B23" s="454"/>
      <c r="C23" s="197"/>
      <c r="D23" s="197"/>
      <c r="E23" s="197"/>
      <c r="G23" s="196"/>
      <c r="H23" s="198"/>
      <c r="I23" s="198"/>
      <c r="J23" s="198"/>
      <c r="K23" s="16"/>
      <c r="L23" s="16"/>
      <c r="M23" s="20"/>
      <c r="N23" s="29"/>
      <c r="O23" s="390"/>
      <c r="P23" s="193"/>
      <c r="R23" s="20"/>
      <c r="S23" s="614"/>
      <c r="T23" s="614"/>
      <c r="U23" s="614"/>
      <c r="V23" s="614"/>
      <c r="W23" s="614"/>
      <c r="X23" s="614"/>
      <c r="Y23" s="614"/>
      <c r="Z23" s="614"/>
      <c r="AA23" s="614"/>
      <c r="AB23" s="614"/>
      <c r="AC23" s="614"/>
      <c r="AD23" s="614"/>
      <c r="AE23" s="614"/>
      <c r="AF23" s="614"/>
      <c r="AG23" s="614"/>
      <c r="AH23" s="614"/>
      <c r="AI23" s="614"/>
      <c r="AJ23" s="614"/>
      <c r="AK23" s="614"/>
      <c r="AL23" s="614"/>
      <c r="AM23" s="614"/>
      <c r="AN23" s="614"/>
      <c r="AO23" s="614"/>
      <c r="AP23" s="614"/>
      <c r="AQ23" s="614"/>
      <c r="AR23" s="614"/>
      <c r="AS23" s="614"/>
      <c r="AT23" s="614"/>
      <c r="AU23" s="614"/>
      <c r="AV23" s="614"/>
      <c r="AW23" s="614"/>
    </row>
    <row r="24" spans="1:49" ht="18" customHeight="1">
      <c r="A24" s="619"/>
      <c r="B24" s="612"/>
      <c r="C24" s="615"/>
      <c r="D24" s="615"/>
      <c r="E24" s="615"/>
      <c r="F24" s="615"/>
      <c r="G24" s="615"/>
      <c r="H24" s="615"/>
      <c r="I24" s="615"/>
      <c r="J24" s="615"/>
      <c r="K24" s="615"/>
      <c r="L24" s="615"/>
      <c r="M24" s="615"/>
      <c r="N24" s="242"/>
      <c r="O24" s="242"/>
      <c r="P24" s="242"/>
      <c r="Q24" s="242"/>
      <c r="R24" s="242"/>
    </row>
    <row r="25" spans="1:49" ht="18" customHeight="1">
      <c r="A25" s="619"/>
      <c r="B25" s="612"/>
      <c r="C25" s="615"/>
      <c r="D25" s="615"/>
      <c r="E25" s="615"/>
      <c r="F25" s="615"/>
      <c r="G25" s="615"/>
      <c r="H25" s="3700"/>
      <c r="I25" s="3700"/>
      <c r="J25" s="3700"/>
      <c r="K25" s="3700"/>
      <c r="L25" s="3700"/>
      <c r="M25" s="615"/>
      <c r="N25" s="242"/>
      <c r="O25" s="242"/>
      <c r="P25" s="242"/>
      <c r="Q25" s="242"/>
      <c r="R25" s="242"/>
    </row>
    <row r="26" spans="1:49" ht="18" customHeight="1">
      <c r="A26" s="242"/>
      <c r="B26" s="387"/>
      <c r="C26" s="242"/>
      <c r="D26" s="242"/>
      <c r="E26" s="242"/>
      <c r="F26" s="242"/>
      <c r="G26" s="242"/>
      <c r="H26" s="242"/>
      <c r="I26" s="242"/>
      <c r="J26" s="242"/>
      <c r="K26" s="242"/>
      <c r="L26" s="242"/>
      <c r="M26" s="242"/>
      <c r="N26" s="242"/>
      <c r="O26" s="242"/>
      <c r="P26" s="242"/>
      <c r="Q26" s="242"/>
      <c r="R26" s="242"/>
    </row>
    <row r="27" spans="1:49" ht="90" customHeight="1">
      <c r="A27" s="242"/>
      <c r="B27" s="387"/>
      <c r="C27" s="242"/>
      <c r="D27" s="242"/>
      <c r="E27" s="242"/>
      <c r="F27" s="242"/>
      <c r="G27" s="242"/>
      <c r="H27" s="242"/>
      <c r="I27" s="242"/>
      <c r="J27" s="242"/>
      <c r="K27" s="242"/>
      <c r="L27" s="242"/>
      <c r="M27" s="242"/>
      <c r="N27" s="242"/>
      <c r="O27" s="242"/>
      <c r="P27" s="242"/>
      <c r="Q27" s="242"/>
      <c r="R27" s="242"/>
    </row>
    <row r="28" spans="1:49">
      <c r="A28" s="242"/>
      <c r="B28" s="242"/>
      <c r="C28" s="242"/>
      <c r="D28" s="242"/>
      <c r="E28" s="242"/>
      <c r="F28" s="620"/>
      <c r="G28" s="620"/>
      <c r="H28" s="242"/>
      <c r="I28" s="242"/>
      <c r="J28" s="242"/>
      <c r="K28" s="242"/>
      <c r="L28" s="242"/>
      <c r="M28" s="242"/>
      <c r="N28" s="242"/>
      <c r="O28" s="242"/>
      <c r="P28" s="242"/>
      <c r="Q28" s="242"/>
      <c r="R28" s="242"/>
    </row>
    <row r="29" spans="1:49" ht="38.25" customHeight="1">
      <c r="A29" s="242"/>
      <c r="B29" s="242"/>
      <c r="C29" s="242"/>
      <c r="D29" s="242"/>
      <c r="E29" s="242"/>
      <c r="F29" s="620"/>
      <c r="G29" s="620"/>
      <c r="H29" s="242"/>
      <c r="I29" s="242"/>
      <c r="J29" s="242"/>
      <c r="K29" s="242"/>
      <c r="L29" s="242"/>
      <c r="M29" s="242"/>
      <c r="N29" s="242"/>
      <c r="O29" s="242"/>
      <c r="P29" s="242"/>
      <c r="Q29" s="242"/>
      <c r="R29" s="242"/>
    </row>
    <row r="30" spans="1:49" s="16" customFormat="1" ht="12" customHeight="1">
      <c r="A30" s="621"/>
      <c r="B30" s="621"/>
      <c r="C30" s="621"/>
      <c r="D30" s="621"/>
      <c r="E30" s="621"/>
      <c r="F30" s="621"/>
      <c r="G30" s="621"/>
      <c r="H30" s="621"/>
      <c r="I30" s="621"/>
      <c r="J30" s="621"/>
      <c r="K30" s="621"/>
      <c r="L30" s="621"/>
      <c r="M30" s="621"/>
      <c r="N30" s="621"/>
      <c r="O30" s="621"/>
      <c r="P30" s="621"/>
      <c r="Q30" s="621"/>
      <c r="R30" s="621"/>
    </row>
    <row r="31" spans="1:49" s="286" customFormat="1" ht="24.95" customHeight="1">
      <c r="A31" s="441"/>
      <c r="B31" s="441"/>
      <c r="C31" s="441"/>
      <c r="D31" s="441"/>
      <c r="E31" s="441"/>
      <c r="F31" s="441"/>
      <c r="G31" s="441"/>
      <c r="H31" s="441"/>
      <c r="I31" s="441"/>
      <c r="J31" s="441"/>
      <c r="K31" s="441"/>
      <c r="L31" s="441"/>
      <c r="M31" s="441"/>
      <c r="N31" s="441"/>
      <c r="O31" s="441"/>
      <c r="P31" s="441"/>
      <c r="Q31" s="441"/>
      <c r="R31" s="441"/>
    </row>
    <row r="32" spans="1:49" s="286" customFormat="1" ht="24.95" customHeight="1">
      <c r="A32" s="441"/>
      <c r="B32" s="441"/>
      <c r="C32" s="441"/>
      <c r="D32" s="441"/>
      <c r="E32" s="441"/>
      <c r="F32" s="441"/>
      <c r="G32" s="441"/>
      <c r="H32" s="441"/>
      <c r="I32" s="441"/>
      <c r="J32" s="441"/>
      <c r="K32" s="441"/>
      <c r="L32" s="441"/>
      <c r="M32" s="441"/>
      <c r="N32" s="441"/>
      <c r="O32" s="441"/>
      <c r="P32" s="441"/>
      <c r="Q32" s="441"/>
      <c r="R32" s="441"/>
    </row>
    <row r="33" spans="1:18" s="286" customFormat="1" ht="24.95" customHeight="1">
      <c r="A33" s="441"/>
      <c r="B33" s="441"/>
      <c r="C33" s="441"/>
      <c r="D33" s="441"/>
      <c r="E33" s="441"/>
      <c r="F33" s="441"/>
      <c r="G33" s="441"/>
      <c r="H33" s="441"/>
      <c r="I33" s="441"/>
      <c r="J33" s="441"/>
      <c r="K33" s="441"/>
      <c r="L33" s="441"/>
      <c r="M33" s="441"/>
      <c r="N33" s="441"/>
      <c r="O33" s="441"/>
      <c r="P33" s="441"/>
      <c r="Q33" s="441"/>
      <c r="R33" s="441"/>
    </row>
    <row r="34" spans="1:18" s="286" customFormat="1" ht="24.95" customHeight="1">
      <c r="A34" s="441"/>
      <c r="B34" s="441"/>
      <c r="C34" s="441"/>
      <c r="D34" s="441"/>
      <c r="E34" s="441"/>
      <c r="F34" s="441"/>
      <c r="G34" s="441"/>
      <c r="H34" s="441"/>
      <c r="I34" s="441"/>
      <c r="J34" s="441"/>
      <c r="K34" s="441"/>
      <c r="L34" s="441"/>
      <c r="M34" s="441"/>
      <c r="N34" s="441"/>
      <c r="O34" s="441"/>
      <c r="P34" s="441"/>
      <c r="Q34" s="441"/>
      <c r="R34" s="441"/>
    </row>
    <row r="35" spans="1:18" s="68" customFormat="1" ht="14.1" customHeight="1">
      <c r="A35" s="441"/>
      <c r="B35" s="441"/>
      <c r="C35" s="441"/>
      <c r="D35" s="441"/>
      <c r="E35" s="441"/>
      <c r="F35" s="441"/>
      <c r="G35" s="441"/>
      <c r="H35" s="441"/>
      <c r="I35" s="441"/>
      <c r="J35" s="441"/>
      <c r="K35" s="441"/>
      <c r="L35" s="441"/>
      <c r="M35" s="441"/>
      <c r="N35" s="441"/>
      <c r="O35" s="441"/>
      <c r="P35" s="441"/>
      <c r="Q35" s="441"/>
      <c r="R35" s="441"/>
    </row>
    <row r="36" spans="1:18" s="22" customFormat="1" ht="24" customHeight="1">
      <c r="A36" s="596"/>
      <c r="B36" s="596"/>
      <c r="C36" s="596"/>
      <c r="D36" s="596"/>
      <c r="E36" s="596"/>
      <c r="F36" s="596"/>
      <c r="G36" s="596"/>
      <c r="H36" s="596"/>
      <c r="I36" s="596"/>
      <c r="J36" s="596"/>
      <c r="K36" s="596"/>
      <c r="L36" s="596"/>
      <c r="M36" s="596"/>
      <c r="N36" s="596"/>
      <c r="O36" s="596"/>
      <c r="P36" s="596"/>
      <c r="Q36" s="596"/>
      <c r="R36" s="596"/>
    </row>
    <row r="37" spans="1:18" s="22" customFormat="1" ht="39.950000000000003" customHeight="1">
      <c r="A37" s="596"/>
      <c r="B37" s="596"/>
      <c r="C37" s="596"/>
      <c r="D37" s="596"/>
      <c r="E37" s="596"/>
      <c r="F37" s="596"/>
      <c r="G37" s="596"/>
      <c r="H37" s="596"/>
      <c r="I37" s="596"/>
      <c r="J37" s="596"/>
      <c r="K37" s="596"/>
      <c r="L37" s="596"/>
      <c r="M37" s="596"/>
      <c r="N37" s="596"/>
      <c r="O37" s="596"/>
      <c r="P37" s="596"/>
      <c r="Q37" s="596"/>
      <c r="R37" s="596"/>
    </row>
    <row r="38" spans="1:18" ht="18" customHeight="1">
      <c r="A38" s="242"/>
      <c r="B38" s="242"/>
      <c r="C38" s="620"/>
      <c r="D38" s="620"/>
      <c r="E38" s="242"/>
      <c r="F38" s="242"/>
      <c r="G38" s="242"/>
      <c r="H38" s="242"/>
      <c r="I38" s="242"/>
      <c r="J38" s="242"/>
      <c r="K38" s="242"/>
      <c r="L38" s="242"/>
      <c r="M38" s="242"/>
      <c r="N38" s="242"/>
      <c r="O38" s="242"/>
      <c r="P38" s="242"/>
      <c r="Q38" s="242"/>
      <c r="R38" s="242"/>
    </row>
    <row r="39" spans="1:18" s="311" customFormat="1" ht="18" customHeight="1">
      <c r="A39" s="242"/>
      <c r="B39" s="242"/>
      <c r="C39" s="620"/>
      <c r="D39" s="620"/>
      <c r="E39" s="242"/>
      <c r="F39" s="242"/>
      <c r="G39" s="242"/>
      <c r="H39" s="242"/>
      <c r="I39" s="242"/>
      <c r="J39" s="242"/>
      <c r="K39" s="242"/>
      <c r="L39" s="242"/>
      <c r="M39" s="242"/>
      <c r="N39" s="242"/>
      <c r="O39" s="242"/>
      <c r="P39" s="242"/>
      <c r="Q39" s="242"/>
      <c r="R39" s="242"/>
    </row>
    <row r="40" spans="1:18" s="311" customFormat="1" ht="18" customHeight="1">
      <c r="A40" s="242"/>
      <c r="B40" s="242"/>
      <c r="C40" s="620"/>
      <c r="D40" s="620"/>
      <c r="E40" s="242"/>
      <c r="F40" s="242"/>
      <c r="G40" s="242"/>
      <c r="H40" s="242"/>
      <c r="I40" s="242"/>
      <c r="J40" s="242"/>
      <c r="K40" s="242"/>
      <c r="L40" s="242"/>
      <c r="M40" s="242"/>
      <c r="N40" s="242"/>
      <c r="O40" s="242"/>
      <c r="P40" s="242"/>
      <c r="Q40" s="242"/>
      <c r="R40" s="242"/>
    </row>
    <row r="41" spans="1:18" s="311" customFormat="1" ht="18" customHeight="1">
      <c r="A41" s="242"/>
      <c r="B41" s="242"/>
      <c r="C41" s="620"/>
      <c r="D41" s="620"/>
      <c r="E41" s="242"/>
      <c r="F41" s="242"/>
      <c r="G41" s="242"/>
      <c r="H41" s="242"/>
      <c r="I41" s="242"/>
      <c r="J41" s="242"/>
      <c r="K41" s="242"/>
      <c r="L41" s="242"/>
      <c r="M41" s="242"/>
      <c r="N41" s="242"/>
      <c r="O41" s="242"/>
      <c r="P41" s="242"/>
      <c r="Q41" s="242"/>
      <c r="R41" s="242"/>
    </row>
    <row r="42" spans="1:18" s="311" customFormat="1" ht="18" customHeight="1">
      <c r="A42" s="242"/>
      <c r="B42" s="242"/>
      <c r="C42" s="620"/>
      <c r="D42" s="620"/>
      <c r="E42" s="242"/>
      <c r="F42" s="242"/>
      <c r="G42" s="242"/>
      <c r="H42" s="242"/>
      <c r="I42" s="242"/>
      <c r="J42" s="242"/>
      <c r="K42" s="242"/>
      <c r="L42" s="242"/>
      <c r="M42" s="242"/>
      <c r="N42" s="242"/>
      <c r="O42" s="242"/>
      <c r="P42" s="242"/>
      <c r="Q42" s="242"/>
      <c r="R42" s="242"/>
    </row>
    <row r="43" spans="1:18" s="311" customFormat="1" ht="18" customHeight="1">
      <c r="A43" s="242"/>
      <c r="B43" s="242"/>
      <c r="C43" s="620"/>
      <c r="D43" s="620"/>
      <c r="E43" s="242"/>
      <c r="F43" s="242"/>
      <c r="G43" s="242"/>
      <c r="H43" s="242"/>
      <c r="I43" s="242"/>
      <c r="J43" s="242"/>
      <c r="K43" s="242"/>
      <c r="L43" s="242"/>
      <c r="M43" s="242"/>
      <c r="N43" s="242"/>
      <c r="O43" s="242"/>
      <c r="P43" s="242"/>
      <c r="Q43" s="242"/>
      <c r="R43" s="242"/>
    </row>
    <row r="44" spans="1:18" s="311" customFormat="1" ht="18" customHeight="1">
      <c r="A44" s="242"/>
      <c r="B44" s="242"/>
      <c r="C44" s="620"/>
      <c r="D44" s="620"/>
      <c r="E44" s="242"/>
      <c r="F44" s="242"/>
      <c r="G44" s="242"/>
      <c r="H44" s="242"/>
      <c r="I44" s="242"/>
      <c r="J44" s="242"/>
      <c r="K44" s="242"/>
      <c r="L44" s="242"/>
      <c r="M44" s="242"/>
      <c r="N44" s="242"/>
      <c r="O44" s="242"/>
      <c r="P44" s="242"/>
      <c r="Q44" s="242"/>
      <c r="R44" s="242"/>
    </row>
    <row r="45" spans="1:18" ht="15" customHeight="1">
      <c r="A45" s="140"/>
      <c r="B45" s="242"/>
      <c r="C45" s="140"/>
      <c r="D45" s="140"/>
      <c r="E45" s="140"/>
      <c r="F45" s="140"/>
      <c r="G45" s="140"/>
      <c r="H45" s="29"/>
      <c r="I45" s="29"/>
      <c r="J45" s="29"/>
      <c r="K45" s="29"/>
      <c r="L45" s="29"/>
      <c r="M45" s="29"/>
      <c r="N45" s="242"/>
      <c r="O45" s="242"/>
      <c r="P45" s="242"/>
      <c r="Q45" s="242"/>
      <c r="R45" s="242"/>
    </row>
    <row r="46" spans="1:18" ht="18" customHeight="1">
      <c r="A46" s="140"/>
      <c r="B46" s="140"/>
      <c r="C46" s="140"/>
      <c r="D46" s="140"/>
      <c r="E46" s="140"/>
      <c r="F46" s="140"/>
      <c r="G46" s="140"/>
      <c r="H46" s="29"/>
      <c r="I46" s="29"/>
      <c r="J46" s="29"/>
      <c r="K46" s="29"/>
      <c r="L46" s="29"/>
      <c r="M46" s="29"/>
      <c r="N46" s="242"/>
      <c r="O46" s="242"/>
      <c r="P46" s="242"/>
      <c r="Q46" s="242"/>
      <c r="R46" s="242"/>
    </row>
    <row r="47" spans="1:18" ht="18" customHeight="1">
      <c r="A47" s="140"/>
      <c r="B47" s="242"/>
      <c r="C47" s="242"/>
      <c r="D47" s="242"/>
      <c r="E47" s="242"/>
      <c r="F47" s="242"/>
      <c r="G47" s="618"/>
      <c r="H47" s="618"/>
      <c r="I47" s="618"/>
      <c r="J47" s="618"/>
      <c r="K47" s="242"/>
      <c r="L47" s="242"/>
      <c r="M47" s="620"/>
      <c r="N47" s="242"/>
      <c r="O47" s="242"/>
      <c r="P47" s="242"/>
      <c r="Q47" s="242"/>
      <c r="R47" s="242"/>
    </row>
    <row r="48" spans="1:18" ht="18" customHeight="1">
      <c r="A48" s="140"/>
      <c r="B48" s="242"/>
      <c r="C48" s="242"/>
      <c r="D48" s="242"/>
      <c r="E48" s="242"/>
      <c r="F48" s="242"/>
      <c r="G48" s="618"/>
      <c r="H48" s="618"/>
      <c r="I48" s="618"/>
      <c r="J48" s="618"/>
      <c r="K48" s="242"/>
      <c r="L48" s="242"/>
      <c r="M48" s="620"/>
      <c r="N48" s="242"/>
      <c r="O48" s="242"/>
      <c r="P48" s="242"/>
      <c r="Q48" s="242"/>
      <c r="R48" s="242"/>
    </row>
    <row r="49" spans="1:18" ht="18" customHeight="1">
      <c r="A49" s="140"/>
      <c r="B49" s="242"/>
      <c r="C49" s="242"/>
      <c r="D49" s="242"/>
      <c r="E49" s="242"/>
      <c r="F49" s="242"/>
      <c r="G49" s="618"/>
      <c r="H49" s="618"/>
      <c r="I49" s="618"/>
      <c r="J49" s="618"/>
      <c r="K49" s="242"/>
      <c r="L49" s="242"/>
      <c r="M49" s="620"/>
      <c r="N49" s="242"/>
      <c r="O49" s="242"/>
      <c r="P49" s="242"/>
      <c r="Q49" s="242"/>
      <c r="R49" s="242"/>
    </row>
    <row r="50" spans="1:18" ht="18" customHeight="1">
      <c r="A50" s="140"/>
      <c r="B50" s="140"/>
      <c r="C50" s="140"/>
      <c r="D50" s="140"/>
      <c r="E50" s="140"/>
      <c r="F50" s="140"/>
      <c r="G50" s="140"/>
      <c r="H50" s="29"/>
      <c r="I50" s="29"/>
      <c r="J50" s="29"/>
      <c r="K50" s="29"/>
      <c r="L50" s="29"/>
      <c r="M50" s="292"/>
      <c r="N50" s="242"/>
      <c r="O50" s="242"/>
      <c r="P50" s="242"/>
      <c r="Q50" s="242"/>
      <c r="R50" s="242"/>
    </row>
    <row r="51" spans="1:18" ht="18" customHeight="1">
      <c r="A51" s="140"/>
      <c r="B51" s="140"/>
      <c r="C51" s="140"/>
      <c r="D51" s="140"/>
      <c r="E51" s="140"/>
      <c r="F51" s="140"/>
      <c r="G51" s="140"/>
      <c r="H51" s="29"/>
      <c r="I51" s="29"/>
      <c r="J51" s="29"/>
      <c r="K51" s="29"/>
      <c r="L51" s="29"/>
      <c r="M51" s="29"/>
      <c r="N51" s="242"/>
      <c r="O51" s="242"/>
      <c r="P51" s="242"/>
      <c r="Q51" s="242"/>
      <c r="R51" s="242"/>
    </row>
    <row r="52" spans="1:18" ht="18" customHeight="1">
      <c r="A52" s="140"/>
      <c r="B52" s="140"/>
      <c r="C52" s="140"/>
      <c r="D52" s="140"/>
      <c r="E52" s="140"/>
      <c r="F52" s="140"/>
      <c r="G52" s="140"/>
      <c r="H52" s="29"/>
      <c r="I52" s="29"/>
      <c r="J52" s="29"/>
      <c r="K52" s="29"/>
      <c r="L52" s="29"/>
      <c r="M52" s="29"/>
      <c r="N52" s="242"/>
      <c r="O52" s="242"/>
      <c r="P52" s="242"/>
      <c r="Q52" s="242"/>
      <c r="R52" s="242"/>
    </row>
    <row r="53" spans="1:18" ht="18" customHeight="1">
      <c r="A53" s="140"/>
      <c r="B53" s="140"/>
      <c r="C53" s="140"/>
      <c r="D53" s="140"/>
      <c r="E53" s="140"/>
      <c r="F53" s="140"/>
      <c r="G53" s="140"/>
      <c r="H53" s="29"/>
      <c r="I53" s="29"/>
      <c r="J53" s="29"/>
      <c r="K53" s="29"/>
      <c r="L53" s="29"/>
      <c r="M53" s="29"/>
      <c r="N53" s="242"/>
      <c r="O53" s="242"/>
      <c r="P53" s="242"/>
      <c r="Q53" s="242"/>
      <c r="R53" s="242"/>
    </row>
    <row r="54" spans="1:18" ht="18" customHeight="1">
      <c r="A54" s="140"/>
      <c r="B54" s="140"/>
      <c r="C54" s="242"/>
      <c r="D54" s="242"/>
      <c r="E54" s="242"/>
      <c r="F54" s="620"/>
      <c r="G54" s="620"/>
      <c r="H54" s="242"/>
      <c r="I54" s="242"/>
      <c r="J54" s="242"/>
      <c r="K54" s="29"/>
      <c r="L54" s="29"/>
      <c r="M54" s="291"/>
      <c r="N54" s="242"/>
      <c r="O54" s="242"/>
      <c r="P54" s="242"/>
      <c r="Q54" s="242"/>
      <c r="R54" s="242"/>
    </row>
    <row r="55" spans="1:18" ht="18" customHeight="1">
      <c r="A55" s="140"/>
      <c r="B55" s="140"/>
      <c r="C55" s="242"/>
      <c r="D55" s="242"/>
      <c r="E55" s="242"/>
      <c r="F55" s="620"/>
      <c r="G55" s="620"/>
      <c r="H55" s="242"/>
      <c r="I55" s="242"/>
      <c r="J55" s="242"/>
      <c r="K55" s="29"/>
      <c r="L55" s="29"/>
      <c r="M55" s="291"/>
      <c r="N55" s="242"/>
      <c r="O55" s="242"/>
      <c r="P55" s="242"/>
      <c r="Q55" s="242"/>
      <c r="R55" s="242"/>
    </row>
    <row r="56" spans="1:18" ht="18" customHeight="1">
      <c r="A56" s="140"/>
      <c r="B56" s="291"/>
      <c r="C56" s="242"/>
      <c r="D56" s="242"/>
      <c r="E56" s="242"/>
      <c r="F56" s="620"/>
      <c r="G56" s="620"/>
      <c r="H56" s="242"/>
      <c r="I56" s="242"/>
      <c r="J56" s="242"/>
      <c r="K56" s="29"/>
      <c r="L56" s="29"/>
      <c r="M56" s="29"/>
      <c r="N56" s="242"/>
      <c r="O56" s="242"/>
      <c r="P56" s="242"/>
      <c r="Q56" s="242"/>
      <c r="R56" s="242"/>
    </row>
    <row r="57" spans="1:18" ht="18" customHeight="1">
      <c r="A57" s="242"/>
      <c r="B57" s="291"/>
      <c r="C57" s="242"/>
      <c r="D57" s="242"/>
      <c r="E57" s="242"/>
      <c r="F57" s="620"/>
      <c r="G57" s="620"/>
      <c r="H57" s="242"/>
      <c r="I57" s="242"/>
      <c r="J57" s="242"/>
      <c r="K57" s="242"/>
      <c r="L57" s="242"/>
      <c r="M57" s="242"/>
      <c r="N57" s="242"/>
      <c r="O57" s="242"/>
      <c r="P57" s="242"/>
      <c r="Q57" s="242"/>
      <c r="R57" s="242"/>
    </row>
    <row r="58" spans="1:18" ht="18" customHeight="1">
      <c r="A58" s="242"/>
      <c r="B58" s="242"/>
      <c r="C58" s="242"/>
      <c r="D58" s="242"/>
      <c r="E58" s="242"/>
      <c r="F58" s="620"/>
      <c r="G58" s="620"/>
      <c r="H58" s="242"/>
      <c r="I58" s="242"/>
      <c r="J58" s="242"/>
      <c r="K58" s="242"/>
      <c r="L58" s="242"/>
      <c r="M58" s="242"/>
      <c r="N58" s="242"/>
      <c r="O58" s="242"/>
      <c r="P58" s="242"/>
      <c r="Q58" s="242"/>
      <c r="R58" s="242"/>
    </row>
    <row r="59" spans="1:18" ht="18" customHeight="1">
      <c r="A59" s="242"/>
      <c r="B59" s="242"/>
      <c r="C59" s="242"/>
      <c r="D59" s="242"/>
      <c r="E59" s="242"/>
      <c r="F59" s="620"/>
      <c r="G59" s="620"/>
      <c r="H59" s="242"/>
      <c r="I59" s="242"/>
      <c r="J59" s="242"/>
      <c r="K59" s="242"/>
      <c r="L59" s="242"/>
      <c r="M59" s="242"/>
      <c r="N59" s="242"/>
      <c r="O59" s="242"/>
      <c r="P59" s="242"/>
      <c r="Q59" s="242"/>
      <c r="R59" s="242"/>
    </row>
    <row r="60" spans="1:18" ht="18" customHeight="1">
      <c r="A60" s="242"/>
      <c r="B60" s="242"/>
      <c r="C60" s="242"/>
      <c r="D60" s="242"/>
      <c r="E60" s="242"/>
      <c r="F60" s="620"/>
      <c r="G60" s="620"/>
      <c r="H60" s="242"/>
      <c r="I60" s="242"/>
      <c r="J60" s="242"/>
      <c r="K60" s="242"/>
      <c r="L60" s="242"/>
      <c r="M60" s="242"/>
      <c r="N60" s="242"/>
      <c r="O60" s="242"/>
      <c r="P60" s="242"/>
      <c r="Q60" s="242"/>
      <c r="R60" s="242"/>
    </row>
    <row r="61" spans="1:18" ht="18" customHeight="1">
      <c r="A61" s="242"/>
      <c r="B61" s="242"/>
      <c r="C61" s="242"/>
      <c r="D61" s="242"/>
      <c r="E61" s="242"/>
      <c r="F61" s="620"/>
      <c r="G61" s="620"/>
      <c r="H61" s="242"/>
      <c r="I61" s="242"/>
      <c r="J61" s="242"/>
      <c r="K61" s="242"/>
      <c r="L61" s="242"/>
      <c r="M61" s="242"/>
      <c r="N61" s="242"/>
      <c r="O61" s="242"/>
      <c r="P61" s="242"/>
      <c r="Q61" s="242"/>
      <c r="R61" s="242"/>
    </row>
    <row r="62" spans="1:18" ht="18" customHeight="1">
      <c r="A62" s="242"/>
      <c r="B62" s="242"/>
      <c r="C62" s="242"/>
      <c r="D62" s="242"/>
      <c r="E62" s="242"/>
      <c r="F62" s="620"/>
      <c r="G62" s="620"/>
      <c r="H62" s="242"/>
      <c r="I62" s="242"/>
      <c r="J62" s="242"/>
      <c r="K62" s="242"/>
      <c r="L62" s="242"/>
      <c r="M62" s="242"/>
      <c r="N62" s="242"/>
      <c r="O62" s="242"/>
      <c r="P62" s="242"/>
      <c r="Q62" s="242"/>
      <c r="R62" s="242"/>
    </row>
    <row r="63" spans="1:18" ht="18" customHeight="1">
      <c r="A63" s="242"/>
      <c r="B63" s="242"/>
      <c r="C63" s="242"/>
      <c r="D63" s="242"/>
      <c r="E63" s="242"/>
      <c r="F63" s="620"/>
      <c r="G63" s="620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</row>
    <row r="64" spans="1:18" ht="18" customHeight="1">
      <c r="A64" s="242"/>
      <c r="B64" s="242"/>
      <c r="C64" s="242"/>
      <c r="D64" s="242"/>
      <c r="E64" s="242"/>
      <c r="F64" s="620"/>
      <c r="G64" s="620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</row>
    <row r="65" spans="1:18" ht="18" customHeight="1">
      <c r="A65" s="242"/>
      <c r="B65" s="242"/>
      <c r="C65" s="242"/>
      <c r="D65" s="242"/>
      <c r="E65" s="242"/>
      <c r="F65" s="620"/>
      <c r="G65" s="620"/>
      <c r="H65" s="242"/>
      <c r="I65" s="242"/>
      <c r="J65" s="242"/>
      <c r="K65" s="242"/>
      <c r="L65" s="242"/>
      <c r="M65" s="242"/>
      <c r="N65" s="242"/>
      <c r="O65" s="242"/>
      <c r="P65" s="242"/>
      <c r="Q65" s="242"/>
      <c r="R65" s="242"/>
    </row>
    <row r="66" spans="1:18" ht="18" customHeight="1">
      <c r="A66" s="242"/>
      <c r="B66" s="242"/>
      <c r="C66" s="242"/>
      <c r="D66" s="242"/>
      <c r="E66" s="242"/>
      <c r="F66" s="620"/>
      <c r="G66" s="620"/>
      <c r="H66" s="242"/>
      <c r="I66" s="242"/>
      <c r="J66" s="242"/>
      <c r="K66" s="242"/>
      <c r="L66" s="242"/>
      <c r="M66" s="242"/>
      <c r="N66" s="242"/>
      <c r="O66" s="242"/>
      <c r="P66" s="242"/>
      <c r="Q66" s="242"/>
      <c r="R66" s="242"/>
    </row>
    <row r="67" spans="1:18" ht="18" customHeight="1">
      <c r="A67" s="242"/>
      <c r="B67" s="242"/>
      <c r="C67" s="242"/>
      <c r="D67" s="242"/>
      <c r="E67" s="242"/>
      <c r="F67" s="620"/>
      <c r="G67" s="620"/>
      <c r="H67" s="242"/>
      <c r="I67" s="242"/>
      <c r="J67" s="242"/>
      <c r="K67" s="242"/>
      <c r="L67" s="242"/>
      <c r="M67" s="242"/>
      <c r="N67" s="242"/>
      <c r="O67" s="242"/>
      <c r="P67" s="242"/>
      <c r="Q67" s="242"/>
      <c r="R67" s="242"/>
    </row>
    <row r="68" spans="1:18" ht="18" customHeight="1">
      <c r="A68" s="242"/>
      <c r="B68" s="242"/>
      <c r="C68" s="242"/>
      <c r="D68" s="242"/>
      <c r="E68" s="242"/>
      <c r="F68" s="620"/>
      <c r="G68" s="620"/>
      <c r="H68" s="242"/>
      <c r="I68" s="242"/>
      <c r="J68" s="242"/>
      <c r="K68" s="242"/>
      <c r="L68" s="242"/>
      <c r="M68" s="242"/>
      <c r="N68" s="242"/>
      <c r="O68" s="242"/>
      <c r="P68" s="242"/>
      <c r="Q68" s="242"/>
      <c r="R68" s="242"/>
    </row>
    <row r="69" spans="1:18" ht="18" customHeight="1">
      <c r="A69" s="242"/>
      <c r="B69" s="242"/>
      <c r="C69" s="242"/>
      <c r="D69" s="242"/>
      <c r="E69" s="242"/>
      <c r="F69" s="620"/>
      <c r="G69" s="620"/>
      <c r="H69" s="242"/>
      <c r="I69" s="242"/>
      <c r="J69" s="242"/>
      <c r="K69" s="242"/>
      <c r="L69" s="242"/>
      <c r="M69" s="242"/>
      <c r="N69" s="242"/>
      <c r="O69" s="242"/>
      <c r="P69" s="242"/>
      <c r="Q69" s="242"/>
      <c r="R69" s="242"/>
    </row>
    <row r="70" spans="1:18" ht="18" customHeight="1">
      <c r="A70" s="242"/>
      <c r="B70" s="242"/>
      <c r="C70" s="242"/>
      <c r="D70" s="242"/>
      <c r="E70" s="242"/>
      <c r="F70" s="620"/>
      <c r="G70" s="620"/>
      <c r="H70" s="242"/>
      <c r="I70" s="242"/>
      <c r="J70" s="242"/>
      <c r="K70" s="242"/>
      <c r="L70" s="242"/>
      <c r="M70" s="242"/>
      <c r="N70" s="242"/>
      <c r="O70" s="242"/>
      <c r="P70" s="242"/>
      <c r="Q70" s="242"/>
      <c r="R70" s="242"/>
    </row>
    <row r="71" spans="1:18" ht="18" customHeight="1">
      <c r="A71" s="242"/>
      <c r="B71" s="242"/>
      <c r="C71" s="242"/>
      <c r="D71" s="242"/>
      <c r="E71" s="242"/>
      <c r="F71" s="620"/>
      <c r="G71" s="620"/>
      <c r="H71" s="242"/>
      <c r="I71" s="242"/>
      <c r="J71" s="242"/>
      <c r="K71" s="242"/>
      <c r="L71" s="242"/>
      <c r="M71" s="242"/>
      <c r="N71" s="242"/>
      <c r="O71" s="242"/>
      <c r="P71" s="242"/>
      <c r="Q71" s="242"/>
      <c r="R71" s="242"/>
    </row>
    <row r="72" spans="1:18">
      <c r="A72" s="242"/>
      <c r="B72" s="242"/>
      <c r="C72" s="242"/>
      <c r="D72" s="242"/>
      <c r="E72" s="242"/>
      <c r="F72" s="620"/>
      <c r="G72" s="620"/>
      <c r="H72" s="242"/>
      <c r="I72" s="242"/>
      <c r="J72" s="242"/>
      <c r="K72" s="242"/>
      <c r="L72" s="242"/>
      <c r="M72" s="242"/>
      <c r="N72" s="242"/>
      <c r="O72" s="242"/>
      <c r="P72" s="242"/>
      <c r="Q72" s="242"/>
      <c r="R72" s="242"/>
    </row>
    <row r="73" spans="1:18">
      <c r="A73" s="242"/>
      <c r="B73" s="242"/>
      <c r="C73" s="242"/>
      <c r="D73" s="242"/>
      <c r="E73" s="242"/>
      <c r="F73" s="620"/>
      <c r="G73" s="620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</row>
    <row r="74" spans="1:18">
      <c r="A74" s="242"/>
      <c r="B74" s="242"/>
      <c r="C74" s="242"/>
      <c r="D74" s="242"/>
      <c r="E74" s="242"/>
      <c r="F74" s="620"/>
      <c r="G74" s="620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</row>
  </sheetData>
  <mergeCells count="29">
    <mergeCell ref="H5:J5"/>
    <mergeCell ref="K5:L5"/>
    <mergeCell ref="H13:J13"/>
    <mergeCell ref="K13:L13"/>
    <mergeCell ref="A5:C6"/>
    <mergeCell ref="B7:C9"/>
    <mergeCell ref="A7:A9"/>
    <mergeCell ref="D7:D9"/>
    <mergeCell ref="D5:D6"/>
    <mergeCell ref="E5:E6"/>
    <mergeCell ref="E7:E9"/>
    <mergeCell ref="A22:B22"/>
    <mergeCell ref="C22:F22"/>
    <mergeCell ref="A16:B19"/>
    <mergeCell ref="C16:D16"/>
    <mergeCell ref="C17:D17"/>
    <mergeCell ref="E16:F16"/>
    <mergeCell ref="A20:M20"/>
    <mergeCell ref="E17:F17"/>
    <mergeCell ref="E19:F19"/>
    <mergeCell ref="A21:B21"/>
    <mergeCell ref="C21:F21"/>
    <mergeCell ref="C19:D19"/>
    <mergeCell ref="B3:E3"/>
    <mergeCell ref="G13:G15"/>
    <mergeCell ref="F5:F6"/>
    <mergeCell ref="A13:B15"/>
    <mergeCell ref="C13:D15"/>
    <mergeCell ref="E13:F15"/>
  </mergeCells>
  <conditionalFormatting sqref="H24:M25">
    <cfRule type="cellIs" dxfId="126" priority="15" operator="equal">
      <formula>"нет"</formula>
    </cfRule>
  </conditionalFormatting>
  <conditionalFormatting sqref="P23">
    <cfRule type="cellIs" dxfId="125" priority="1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27" orientation="landscape" useFirstPageNumber="1" r:id="rId1"/>
  <headerFooter>
    <oddFooter>&amp;L&amp;P&amp;R&amp;G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12">
    <tabColor rgb="FF92D050"/>
  </sheetPr>
  <dimension ref="A1:P51"/>
  <sheetViews>
    <sheetView view="pageBreakPreview" zoomScale="80" zoomScaleNormal="80" zoomScaleSheetLayoutView="80" zoomScalePageLayoutView="70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B10" sqref="B10:C12"/>
    </sheetView>
  </sheetViews>
  <sheetFormatPr defaultColWidth="8.85546875" defaultRowHeight="15"/>
  <cols>
    <col min="1" max="1" width="4.7109375" style="21" customWidth="1"/>
    <col min="2" max="5" width="11.7109375" style="21" customWidth="1"/>
    <col min="6" max="6" width="11.7109375" style="2" customWidth="1"/>
    <col min="7" max="7" width="20.7109375" style="2" customWidth="1"/>
    <col min="8" max="10" width="25.7109375" style="151" customWidth="1"/>
    <col min="11" max="12" width="20.7109375" style="21" customWidth="1"/>
    <col min="13" max="16384" width="8.85546875" style="21"/>
  </cols>
  <sheetData>
    <row r="1" spans="1:16" s="11" customFormat="1" ht="18" customHeight="1">
      <c r="B1" s="4665" t="s">
        <v>490</v>
      </c>
      <c r="C1" s="4665"/>
      <c r="D1" s="4665"/>
      <c r="E1" s="4665"/>
      <c r="F1" s="4665"/>
      <c r="G1" s="4665"/>
      <c r="H1" s="4665"/>
      <c r="I1" s="4665"/>
      <c r="J1" s="4665"/>
      <c r="K1" s="4665"/>
    </row>
    <row r="2" spans="1:16">
      <c r="A2" s="5"/>
      <c r="B2" s="23"/>
      <c r="C2" s="23"/>
      <c r="D2" s="23"/>
      <c r="E2" s="23"/>
      <c r="F2" s="515"/>
      <c r="G2" s="304"/>
      <c r="H2" s="15"/>
      <c r="I2" s="15"/>
      <c r="J2" s="15"/>
      <c r="K2" s="25"/>
      <c r="L2" s="25"/>
      <c r="M2" s="25"/>
      <c r="N2" s="25"/>
      <c r="O2" s="25"/>
      <c r="P2" s="25"/>
    </row>
    <row r="3" spans="1:16" ht="90" customHeight="1">
      <c r="A3" s="7"/>
      <c r="B3" s="4326" t="s">
        <v>308</v>
      </c>
      <c r="C3" s="4327"/>
      <c r="D3" s="4327"/>
      <c r="E3" s="4328"/>
      <c r="F3" s="8"/>
      <c r="G3" s="122"/>
      <c r="H3" s="152"/>
      <c r="I3" s="152"/>
      <c r="J3" s="152"/>
    </row>
    <row r="4" spans="1:16">
      <c r="A4" s="138"/>
      <c r="B4" s="54" t="s">
        <v>489</v>
      </c>
      <c r="C4" s="138"/>
      <c r="D4" s="138"/>
      <c r="E4" s="138"/>
      <c r="F4" s="6"/>
      <c r="G4" s="300"/>
      <c r="H4" s="3"/>
      <c r="I4" s="3"/>
      <c r="J4" s="3"/>
      <c r="K4" s="137"/>
    </row>
    <row r="5" spans="1:16" ht="17.100000000000001" customHeight="1">
      <c r="A5" s="4648" t="s">
        <v>2</v>
      </c>
      <c r="B5" s="4648"/>
      <c r="C5" s="4648"/>
      <c r="D5" s="4648" t="s">
        <v>42</v>
      </c>
      <c r="E5" s="4648" t="s">
        <v>47</v>
      </c>
      <c r="F5" s="4648" t="s">
        <v>8</v>
      </c>
      <c r="G5" s="2413" t="s">
        <v>307</v>
      </c>
      <c r="H5" s="2413" t="s">
        <v>2451</v>
      </c>
      <c r="I5" s="2413" t="s">
        <v>2451</v>
      </c>
      <c r="J5" s="2413" t="s">
        <v>951</v>
      </c>
      <c r="K5" s="2413" t="s">
        <v>2915</v>
      </c>
    </row>
    <row r="6" spans="1:16" ht="17.100000000000001" customHeight="1">
      <c r="A6" s="4648"/>
      <c r="B6" s="4648"/>
      <c r="C6" s="4648"/>
      <c r="D6" s="4648"/>
      <c r="E6" s="4648"/>
      <c r="F6" s="4474"/>
      <c r="G6" s="2437" t="s">
        <v>21</v>
      </c>
      <c r="H6" s="2437" t="s">
        <v>22</v>
      </c>
      <c r="I6" s="2437" t="s">
        <v>23</v>
      </c>
      <c r="J6" s="2437" t="s">
        <v>2041</v>
      </c>
      <c r="K6" s="2439" t="s">
        <v>22</v>
      </c>
    </row>
    <row r="7" spans="1:16" s="68" customFormat="1" ht="30" customHeight="1">
      <c r="A7" s="4230" t="s">
        <v>30</v>
      </c>
      <c r="B7" s="4667" t="s">
        <v>2452</v>
      </c>
      <c r="C7" s="4668"/>
      <c r="D7" s="4249" t="s">
        <v>35</v>
      </c>
      <c r="E7" s="4249" t="s">
        <v>45</v>
      </c>
      <c r="F7" s="590" t="s">
        <v>0</v>
      </c>
      <c r="G7" s="2441">
        <f>CEILING('Полотна база'!AN54*(1+скидки_наценки!$B$30)*скидки_наценки!$D$15*скидки_наценки!$F$15/скидки_наценки!$B$4, 50)</f>
        <v>36600</v>
      </c>
      <c r="H7" s="2441"/>
      <c r="I7" s="2441"/>
      <c r="J7" s="2442"/>
      <c r="K7" s="2443"/>
    </row>
    <row r="8" spans="1:16" s="68" customFormat="1" ht="15" customHeight="1">
      <c r="A8" s="4231"/>
      <c r="B8" s="4668"/>
      <c r="C8" s="4668"/>
      <c r="D8" s="4249"/>
      <c r="E8" s="4249"/>
      <c r="F8" s="181" t="s">
        <v>306</v>
      </c>
      <c r="G8" s="2331">
        <f>IF(G7=0,0,(Погонаж!$C$13*2.5+Погонаж!$E$13*5))</f>
        <v>12375</v>
      </c>
      <c r="H8" s="2331"/>
      <c r="I8" s="2331"/>
      <c r="J8" s="2442"/>
      <c r="K8" s="2346"/>
    </row>
    <row r="9" spans="1:16" s="68" customFormat="1" ht="30" customHeight="1">
      <c r="A9" s="4231"/>
      <c r="B9" s="4668"/>
      <c r="C9" s="4668"/>
      <c r="D9" s="4249"/>
      <c r="E9" s="4249"/>
      <c r="F9" s="2348" t="s">
        <v>1</v>
      </c>
      <c r="G9" s="2455">
        <f>G7+G8</f>
        <v>48975</v>
      </c>
      <c r="H9" s="2444"/>
      <c r="I9" s="2444"/>
      <c r="J9" s="2445"/>
      <c r="K9" s="2446"/>
    </row>
    <row r="10" spans="1:16" s="68" customFormat="1" ht="30" customHeight="1">
      <c r="A10" s="4231"/>
      <c r="B10" s="4664" t="s">
        <v>2453</v>
      </c>
      <c r="C10" s="4431"/>
      <c r="D10" s="4400" t="s">
        <v>35</v>
      </c>
      <c r="E10" s="4400" t="s">
        <v>45</v>
      </c>
      <c r="F10" s="2342" t="s">
        <v>0</v>
      </c>
      <c r="G10" s="2440" t="s">
        <v>4</v>
      </c>
      <c r="H10" s="2440">
        <f>CEILING('Полотна база'!AQ54*(1+скидки_наценки!$B$30)*скидки_наценки!$D$15*скидки_наценки!$F$15/скидки_наценки!$B$4, 50)</f>
        <v>44700</v>
      </c>
      <c r="I10" s="2440">
        <f>CEILING('Полотна база'!AQ54*(1+скидки_наценки!$B$30)*скидки_наценки!$D$15*скидки_наценки!$F$15/скидки_наценки!$B$4, 50)</f>
        <v>44700</v>
      </c>
      <c r="J10" s="2440">
        <f>CEILING('Полотна база'!AQ54*(1+скидки_наценки!$B$30)*скидки_наценки!$D$15*скидки_наценки!$F$15/скидки_наценки!$B$4, 50)</f>
        <v>44700</v>
      </c>
      <c r="K10" s="2440">
        <f>CEILING('Полотна база'!AT54*(1+скидки_наценки!$B$30)*скидки_наценки!$D$15*скидки_наценки!$F$15/скидки_наценки!$B$4, 50)</f>
        <v>59300</v>
      </c>
    </row>
    <row r="11" spans="1:16" s="68" customFormat="1" ht="15" customHeight="1">
      <c r="A11" s="4231"/>
      <c r="B11" s="4431"/>
      <c r="C11" s="4431"/>
      <c r="D11" s="4400"/>
      <c r="E11" s="4400"/>
      <c r="F11" s="2450" t="s">
        <v>306</v>
      </c>
      <c r="G11" s="373" t="s">
        <v>4</v>
      </c>
      <c r="H11" s="373">
        <f>IF(H10=0,0,(Погонаж!$C$13*2.5+Погонаж!$E$13*5))</f>
        <v>12375</v>
      </c>
      <c r="I11" s="373">
        <f>IF(I10=0,0,(Погонаж!$C$13*2.5+Погонаж!$E$13*5))</f>
        <v>12375</v>
      </c>
      <c r="J11" s="373">
        <f>IF(J10=0,0,(Погонаж!$C$13*2.5+Погонаж!$E$13*5))</f>
        <v>12375</v>
      </c>
      <c r="K11" s="373">
        <f>IF(K10=0,0,(Погонаж!$C$13*2.5+Погонаж!$E$13*5))</f>
        <v>12375</v>
      </c>
    </row>
    <row r="12" spans="1:16" s="68" customFormat="1" ht="30" customHeight="1">
      <c r="A12" s="4231"/>
      <c r="B12" s="4431"/>
      <c r="C12" s="4431"/>
      <c r="D12" s="4400"/>
      <c r="E12" s="4400"/>
      <c r="F12" s="267" t="s">
        <v>1</v>
      </c>
      <c r="G12" s="2447" t="s">
        <v>4</v>
      </c>
      <c r="H12" s="2456">
        <f>H10+H11</f>
        <v>57075</v>
      </c>
      <c r="I12" s="2456">
        <f>I10+I11</f>
        <v>57075</v>
      </c>
      <c r="J12" s="2456">
        <f>J10+J11</f>
        <v>57075</v>
      </c>
      <c r="K12" s="2456">
        <f>K10+K11</f>
        <v>71675</v>
      </c>
    </row>
    <row r="13" spans="1:16" s="68" customFormat="1" ht="30" customHeight="1">
      <c r="A13" s="4231"/>
      <c r="B13" s="4667" t="s">
        <v>2454</v>
      </c>
      <c r="C13" s="4668"/>
      <c r="D13" s="4249" t="s">
        <v>35</v>
      </c>
      <c r="E13" s="4249" t="s">
        <v>45</v>
      </c>
      <c r="F13" s="590" t="s">
        <v>0</v>
      </c>
      <c r="G13" s="2441" t="s">
        <v>4</v>
      </c>
      <c r="H13" s="2441">
        <f>CEILING('Полотна база'!AS54*(1+скидки_наценки!$B$30)*скидки_наценки!$D$15*скидки_наценки!$F$15/скидки_наценки!$B$4, 50)</f>
        <v>59300</v>
      </c>
      <c r="I13" s="2441">
        <f>CEILING('Полотна база'!AS54*(1+скидки_наценки!$B$32)*скидки_наценки!$D$15*скидки_наценки!$F$15/скидки_наценки!$B$4, 50)</f>
        <v>59300</v>
      </c>
      <c r="J13" s="2441">
        <f>I13</f>
        <v>59300</v>
      </c>
      <c r="K13" s="2442"/>
      <c r="L13" s="2555"/>
    </row>
    <row r="14" spans="1:16" s="68" customFormat="1" ht="15" customHeight="1">
      <c r="A14" s="4231"/>
      <c r="B14" s="4668"/>
      <c r="C14" s="4668"/>
      <c r="D14" s="4249"/>
      <c r="E14" s="4249"/>
      <c r="F14" s="181" t="s">
        <v>306</v>
      </c>
      <c r="G14" s="2331" t="s">
        <v>4</v>
      </c>
      <c r="H14" s="2331">
        <f>IF(H13=0,0,(Погонаж!$C$13*2.5+Погонаж!$E$13*5))</f>
        <v>12375</v>
      </c>
      <c r="I14" s="2331">
        <f>IF(I13=0,0,(Погонаж!$C$13*2.5+Погонаж!$E$13*5))</f>
        <v>12375</v>
      </c>
      <c r="J14" s="2331">
        <f>IF(J13=0,0,(Погонаж!$C$13*2.5+Погонаж!$E$13*5))</f>
        <v>12375</v>
      </c>
      <c r="K14" s="2442"/>
    </row>
    <row r="15" spans="1:16" s="68" customFormat="1" ht="30" customHeight="1">
      <c r="A15" s="4674"/>
      <c r="B15" s="4668"/>
      <c r="C15" s="4668"/>
      <c r="D15" s="4249"/>
      <c r="E15" s="4249"/>
      <c r="F15" s="2348" t="s">
        <v>1</v>
      </c>
      <c r="G15" s="2448" t="s">
        <v>4</v>
      </c>
      <c r="H15" s="2455">
        <f>H13+H14</f>
        <v>71675</v>
      </c>
      <c r="I15" s="2455">
        <f>I13+I14</f>
        <v>71675</v>
      </c>
      <c r="J15" s="2455">
        <f>J13+J14</f>
        <v>71675</v>
      </c>
      <c r="K15" s="2445"/>
    </row>
    <row r="16" spans="1:16" s="9" customFormat="1">
      <c r="A16" s="271"/>
      <c r="B16" s="271"/>
      <c r="C16" s="271"/>
      <c r="D16" s="271"/>
      <c r="E16" s="271"/>
      <c r="F16" s="271"/>
      <c r="G16" s="300"/>
      <c r="H16" s="69"/>
      <c r="I16" s="69"/>
      <c r="J16" s="185"/>
      <c r="K16" s="122"/>
      <c r="L16" s="441"/>
      <c r="M16" s="441"/>
      <c r="N16" s="441"/>
    </row>
    <row r="17" spans="1:14">
      <c r="A17" s="23"/>
      <c r="B17" s="19" t="s">
        <v>25</v>
      </c>
      <c r="C17" s="23"/>
      <c r="D17" s="23"/>
      <c r="E17" s="23"/>
      <c r="F17" s="6"/>
      <c r="G17" s="6"/>
      <c r="H17" s="152"/>
      <c r="I17" s="152"/>
      <c r="J17" s="152"/>
      <c r="K17" s="23"/>
    </row>
    <row r="18" spans="1:14" ht="12" customHeight="1">
      <c r="A18" s="4666" t="s">
        <v>39</v>
      </c>
      <c r="B18" s="4666"/>
      <c r="C18" s="4666" t="s">
        <v>36</v>
      </c>
      <c r="D18" s="4666"/>
      <c r="E18" s="4633" t="s">
        <v>40</v>
      </c>
      <c r="F18" s="4234"/>
      <c r="G18" s="4669" t="str">
        <f>G5</f>
        <v>Amelia</v>
      </c>
      <c r="H18" s="1012" t="str">
        <f>H5</f>
        <v>Amelia8/10/12</v>
      </c>
      <c r="I18" s="2344" t="str">
        <f>I5</f>
        <v>Amelia8/10/12</v>
      </c>
      <c r="J18" s="2344" t="str">
        <f>J5</f>
        <v>Amelia10</v>
      </c>
      <c r="K18" s="2344" t="str">
        <f>K5</f>
        <v xml:space="preserve">AmeliaArc1* </v>
      </c>
    </row>
    <row r="19" spans="1:14" ht="12" customHeight="1">
      <c r="A19" s="4666"/>
      <c r="B19" s="4666"/>
      <c r="C19" s="4666"/>
      <c r="D19" s="4666"/>
      <c r="E19" s="4634"/>
      <c r="F19" s="4236"/>
      <c r="G19" s="4670"/>
      <c r="H19" s="1006" t="str">
        <f>H6</f>
        <v>ДО</v>
      </c>
      <c r="I19" s="2340" t="str">
        <f>I6</f>
        <v>ДГО</v>
      </c>
      <c r="J19" s="2340" t="str">
        <f>J6</f>
        <v>ДГО2</v>
      </c>
      <c r="K19" s="2340" t="str">
        <f>K6</f>
        <v>ДО</v>
      </c>
    </row>
    <row r="20" spans="1:14" s="120" customFormat="1" ht="12" customHeight="1">
      <c r="A20" s="4666"/>
      <c r="B20" s="4666"/>
      <c r="C20" s="4666"/>
      <c r="D20" s="4666"/>
      <c r="E20" s="4635"/>
      <c r="F20" s="4238"/>
      <c r="G20" s="4671"/>
      <c r="H20" s="1076" t="s">
        <v>222</v>
      </c>
      <c r="I20" s="55" t="s">
        <v>222</v>
      </c>
      <c r="J20" s="55" t="s">
        <v>222</v>
      </c>
      <c r="K20" s="55" t="s">
        <v>222</v>
      </c>
    </row>
    <row r="21" spans="1:14" s="120" customFormat="1" ht="19.899999999999999" customHeight="1">
      <c r="A21" s="4460" t="s">
        <v>33</v>
      </c>
      <c r="B21" s="4654"/>
      <c r="C21" s="4466" t="s">
        <v>32</v>
      </c>
      <c r="D21" s="4467"/>
      <c r="E21" s="4466" t="s">
        <v>216</v>
      </c>
      <c r="F21" s="4658"/>
      <c r="G21" s="327" t="s">
        <v>4</v>
      </c>
      <c r="H21" s="2402" t="s">
        <v>2435</v>
      </c>
      <c r="I21" s="2402" t="s">
        <v>2435</v>
      </c>
      <c r="J21" s="2402" t="s">
        <v>2435</v>
      </c>
      <c r="K21" s="2402" t="s">
        <v>2435</v>
      </c>
      <c r="L21" s="2449"/>
    </row>
    <row r="22" spans="1:14" s="126" customFormat="1" ht="23.25" customHeight="1">
      <c r="A22" s="4462"/>
      <c r="B22" s="4655"/>
      <c r="C22" s="4253" t="s">
        <v>2917</v>
      </c>
      <c r="D22" s="4254"/>
      <c r="E22" s="4253" t="s">
        <v>217</v>
      </c>
      <c r="F22" s="4662"/>
      <c r="G22" s="373" t="s">
        <v>4</v>
      </c>
      <c r="H22" s="2401" t="s">
        <v>2435</v>
      </c>
      <c r="I22" s="2623" t="str">
        <f>I24</f>
        <v>˅</v>
      </c>
      <c r="J22" s="2623" t="str">
        <f>J24</f>
        <v>˅</v>
      </c>
      <c r="K22" s="2623" t="s">
        <v>2435</v>
      </c>
      <c r="L22" s="2449"/>
    </row>
    <row r="23" spans="1:14" ht="19.899999999999999" customHeight="1">
      <c r="A23" s="4460" t="s">
        <v>221</v>
      </c>
      <c r="B23" s="4654"/>
      <c r="C23" s="4466" t="s">
        <v>44</v>
      </c>
      <c r="D23" s="4467"/>
      <c r="E23" s="4466" t="s">
        <v>216</v>
      </c>
      <c r="F23" s="4658"/>
      <c r="G23" s="371" t="s">
        <v>4</v>
      </c>
      <c r="H23" s="2652"/>
      <c r="I23" s="2652"/>
      <c r="J23" s="2652"/>
      <c r="K23" s="2652">
        <f>IFERROR(IF(HLOOKUP(K$18,#REF!,MATCH(CONCATENATE($A23,"_",$C23),#REF!,0),0)="V","V",HLOOKUP(K$18,#REF!,MATCH(CONCATENATE($A23,"_",$C23),#REF!,0),0)*скидки_наценки!$D$13*скидки_наценки!$F$13),0)</f>
        <v>0</v>
      </c>
      <c r="L23" s="2449"/>
    </row>
    <row r="24" spans="1:14" s="24" customFormat="1" ht="27" customHeight="1">
      <c r="A24" s="4462"/>
      <c r="B24" s="4655"/>
      <c r="C24" s="4253" t="s">
        <v>2917</v>
      </c>
      <c r="D24" s="4254"/>
      <c r="E24" s="4253" t="s">
        <v>217</v>
      </c>
      <c r="F24" s="4662"/>
      <c r="G24" s="373" t="s">
        <v>4</v>
      </c>
      <c r="H24" s="2401" t="s">
        <v>2435</v>
      </c>
      <c r="I24" s="2401" t="s">
        <v>2435</v>
      </c>
      <c r="J24" s="2401" t="s">
        <v>2435</v>
      </c>
      <c r="K24" s="2653">
        <f>IFERROR(IF(HLOOKUP(K$18,#REF!,MATCH(CONCATENATE($A23,"_",$C24),#REF!,0),0)="V","V",HLOOKUP(K$18,#REF!,MATCH(CONCATENATE($A23,"_",$C24),#REF!,0),0)*скидки_наценки!$D$13*скидки_наценки!$F$13),0)</f>
        <v>0</v>
      </c>
      <c r="L24" s="2449"/>
    </row>
    <row r="25" spans="1:14" s="24" customFormat="1" ht="15" customHeight="1">
      <c r="A25" s="4672" t="s">
        <v>218</v>
      </c>
      <c r="B25" s="4673"/>
      <c r="C25" s="4673"/>
      <c r="D25" s="4673"/>
      <c r="E25" s="4673"/>
      <c r="F25" s="4673"/>
      <c r="G25" s="4673"/>
      <c r="H25" s="4673"/>
      <c r="I25" s="4673"/>
      <c r="J25" s="4673"/>
      <c r="K25" s="4673"/>
      <c r="L25" s="2449"/>
    </row>
    <row r="26" spans="1:14" s="24" customFormat="1" ht="19.899999999999999" customHeight="1">
      <c r="A26" s="4456" t="s">
        <v>224</v>
      </c>
      <c r="B26" s="4456"/>
      <c r="C26" s="4454" t="s">
        <v>484</v>
      </c>
      <c r="D26" s="4653"/>
      <c r="E26" s="4653"/>
      <c r="F26" s="4653"/>
      <c r="G26" s="333" t="s">
        <v>4</v>
      </c>
      <c r="H26" s="333">
        <f>CEILING('стекло+зеркала_база'!N79*(1+скидки_наценки!$B$32)*скидки_наценки!$D$13*скидки_наценки!$F$13/скидки_наценки!$B$4, 50)</f>
        <v>700</v>
      </c>
      <c r="I26" s="333">
        <f>CEILING('стекло+зеркала_база'!N79*(1+скидки_наценки!$B$32)*скидки_наценки!$D$13*скидки_наценки!$F$13/скидки_наценки!$B$4, 50)</f>
        <v>700</v>
      </c>
      <c r="J26" s="333">
        <f>CEILING('стекло+зеркала_база'!N79*(1+скидки_наценки!$B$32)*скидки_наценки!$D$13*скидки_наценки!$F$13/скидки_наценки!$B$4, 50)</f>
        <v>700</v>
      </c>
      <c r="K26" s="333">
        <f>CEILING('стекло+зеркала_база'!N79*(1+скидки_наценки!$B$32)*скидки_наценки!$D$13*скидки_наценки!$F$13/скидки_наценки!$B$4, 50)</f>
        <v>700</v>
      </c>
      <c r="L26" s="2449"/>
    </row>
    <row r="27" spans="1:14" s="24" customFormat="1" ht="40.15" customHeight="1">
      <c r="A27" s="4457" t="s">
        <v>363</v>
      </c>
      <c r="B27" s="4458"/>
      <c r="C27" s="4457" t="s">
        <v>485</v>
      </c>
      <c r="D27" s="4693"/>
      <c r="E27" s="4693"/>
      <c r="F27" s="4693"/>
      <c r="G27" s="334" t="s">
        <v>4</v>
      </c>
      <c r="H27" s="334" t="s">
        <v>4</v>
      </c>
      <c r="I27" s="334" t="s">
        <v>4</v>
      </c>
      <c r="J27" s="334" t="s">
        <v>4</v>
      </c>
      <c r="K27" s="334" t="s">
        <v>4</v>
      </c>
      <c r="L27" s="2449"/>
    </row>
    <row r="28" spans="1:14">
      <c r="A28" s="897"/>
      <c r="B28" s="1077"/>
      <c r="C28" s="897"/>
      <c r="D28" s="897"/>
      <c r="E28" s="897"/>
      <c r="F28" s="897"/>
      <c r="G28" s="897"/>
      <c r="H28" s="897"/>
      <c r="I28" s="897"/>
      <c r="J28" s="897"/>
      <c r="K28" s="897"/>
      <c r="L28" s="2449"/>
    </row>
    <row r="29" spans="1:14">
      <c r="A29" s="23"/>
      <c r="B29" s="19" t="s">
        <v>20</v>
      </c>
      <c r="C29" s="23"/>
      <c r="D29" s="23"/>
      <c r="E29" s="23"/>
      <c r="F29" s="6"/>
      <c r="G29" s="6"/>
      <c r="H29" s="3"/>
      <c r="I29" s="3"/>
      <c r="J29" s="3"/>
      <c r="K29" s="3"/>
      <c r="L29" s="2449"/>
      <c r="M29" s="242"/>
      <c r="N29" s="242"/>
    </row>
    <row r="30" spans="1:14" ht="18" customHeight="1">
      <c r="A30" s="4694" t="s">
        <v>3</v>
      </c>
      <c r="B30" s="4695"/>
      <c r="C30" s="4695"/>
      <c r="D30" s="4695"/>
      <c r="E30" s="4695"/>
      <c r="F30" s="4695"/>
      <c r="G30" s="545" t="s">
        <v>307</v>
      </c>
      <c r="H30" s="545" t="s">
        <v>950</v>
      </c>
      <c r="I30" s="545" t="s">
        <v>951</v>
      </c>
      <c r="J30" s="545" t="s">
        <v>952</v>
      </c>
      <c r="K30" s="545" t="s">
        <v>953</v>
      </c>
      <c r="L30" s="2449"/>
      <c r="M30" s="242"/>
      <c r="N30" s="242"/>
    </row>
    <row r="31" spans="1:14" ht="18.95" hidden="1" customHeight="1">
      <c r="A31" s="4668" t="s">
        <v>1327</v>
      </c>
      <c r="B31" s="4668"/>
      <c r="C31" s="4668"/>
      <c r="D31" s="4668"/>
      <c r="E31" s="4668"/>
      <c r="F31" s="4668"/>
      <c r="G31" s="1043">
        <f>'Декоры база'!C175*скидки_наценки!$D$13*скидки_наценки!$F$13/скидки_наценки!$B$4</f>
        <v>3000</v>
      </c>
      <c r="H31" s="1043">
        <f>G31</f>
        <v>3000</v>
      </c>
      <c r="I31" s="1043">
        <f>G31</f>
        <v>3000</v>
      </c>
      <c r="J31" s="1043">
        <f>G31</f>
        <v>3000</v>
      </c>
      <c r="K31" s="1043">
        <f>G31</f>
        <v>3000</v>
      </c>
      <c r="L31" s="2449"/>
      <c r="M31" s="242"/>
      <c r="N31" s="242"/>
    </row>
    <row r="32" spans="1:14" ht="18.95" customHeight="1">
      <c r="A32" s="4684" t="s">
        <v>2407</v>
      </c>
      <c r="B32" s="4685"/>
      <c r="C32" s="4686"/>
      <c r="D32" s="4675" t="s">
        <v>2948</v>
      </c>
      <c r="E32" s="4676"/>
      <c r="F32" s="4677"/>
      <c r="G32" s="1008">
        <f>'Декоры база'!D175*скидки_наценки!$D$13*скидки_наценки!$F$13/скидки_наценки!$B$4</f>
        <v>4000</v>
      </c>
      <c r="H32" s="1008">
        <f>G32</f>
        <v>4000</v>
      </c>
      <c r="I32" s="2333">
        <f t="shared" ref="I32:K34" si="0">H32</f>
        <v>4000</v>
      </c>
      <c r="J32" s="2333">
        <f t="shared" si="0"/>
        <v>4000</v>
      </c>
      <c r="K32" s="2333">
        <f t="shared" si="0"/>
        <v>4000</v>
      </c>
      <c r="L32" s="242"/>
      <c r="M32" s="242"/>
      <c r="N32" s="242"/>
    </row>
    <row r="33" spans="1:14" s="589" customFormat="1" ht="18.95" customHeight="1">
      <c r="A33" s="4687"/>
      <c r="B33" s="4688"/>
      <c r="C33" s="4689"/>
      <c r="D33" s="4678" t="s">
        <v>1220</v>
      </c>
      <c r="E33" s="4679"/>
      <c r="F33" s="4680"/>
      <c r="G33" s="364">
        <f>'Декоры база'!E175*скидки_наценки!$D$13*скидки_наценки!$F$13/скидки_наценки!$B$4</f>
        <v>5500</v>
      </c>
      <c r="H33" s="364">
        <f>G33</f>
        <v>5500</v>
      </c>
      <c r="I33" s="2331">
        <f t="shared" si="0"/>
        <v>5500</v>
      </c>
      <c r="J33" s="2331">
        <f t="shared" si="0"/>
        <v>5500</v>
      </c>
      <c r="K33" s="2331">
        <f t="shared" si="0"/>
        <v>5500</v>
      </c>
      <c r="L33" s="242"/>
      <c r="M33" s="242"/>
      <c r="N33" s="242"/>
    </row>
    <row r="34" spans="1:14" s="589" customFormat="1" ht="18.95" customHeight="1">
      <c r="A34" s="4690"/>
      <c r="B34" s="4691"/>
      <c r="C34" s="4692"/>
      <c r="D34" s="4681" t="s">
        <v>1222</v>
      </c>
      <c r="E34" s="4682"/>
      <c r="F34" s="4683"/>
      <c r="G34" s="1041">
        <f>'Декоры база'!F175*скидки_наценки!$D$13*скидки_наценки!$F$13/скидки_наценки!$B$4</f>
        <v>6500</v>
      </c>
      <c r="H34" s="1041">
        <f>G34</f>
        <v>6500</v>
      </c>
      <c r="I34" s="1041">
        <f t="shared" si="0"/>
        <v>6500</v>
      </c>
      <c r="J34" s="1041">
        <f t="shared" si="0"/>
        <v>6500</v>
      </c>
      <c r="K34" s="1041">
        <f t="shared" si="0"/>
        <v>6500</v>
      </c>
      <c r="L34" s="242"/>
      <c r="M34" s="242"/>
      <c r="N34" s="242"/>
    </row>
    <row r="35" spans="1:14" s="589" customFormat="1" ht="10.5" customHeight="1">
      <c r="F35" s="2"/>
      <c r="G35" s="2"/>
      <c r="K35" s="1009"/>
    </row>
    <row r="36" spans="1:14" ht="14.25" customHeight="1">
      <c r="B36" s="350" t="s">
        <v>1328</v>
      </c>
      <c r="K36" s="49"/>
    </row>
    <row r="37" spans="1:14" s="589" customFormat="1" ht="14.25" customHeight="1">
      <c r="B37" s="3314" t="s">
        <v>3441</v>
      </c>
      <c r="F37" s="2"/>
      <c r="G37" s="2"/>
      <c r="K37" s="49"/>
    </row>
    <row r="38" spans="1:14" s="589" customFormat="1" ht="20.25" customHeight="1">
      <c r="B38" s="16" t="s">
        <v>2916</v>
      </c>
      <c r="C38" s="16"/>
      <c r="D38" s="16"/>
      <c r="E38" s="16"/>
      <c r="F38" s="3105"/>
      <c r="G38" s="3105"/>
      <c r="H38" s="16"/>
      <c r="I38" s="16"/>
      <c r="K38" s="49"/>
    </row>
    <row r="39" spans="1:14" ht="18" customHeight="1">
      <c r="B39" s="16" t="s">
        <v>2943</v>
      </c>
      <c r="C39" s="16"/>
      <c r="D39" s="16"/>
      <c r="E39" s="16"/>
      <c r="F39" s="3105"/>
      <c r="G39" s="3105"/>
      <c r="H39" s="16"/>
      <c r="I39" s="16"/>
    </row>
    <row r="40" spans="1:14" ht="18" customHeight="1"/>
    <row r="41" spans="1:14" ht="18" customHeight="1"/>
    <row r="42" spans="1:14" ht="18" customHeight="1"/>
    <row r="43" spans="1:14" ht="18" customHeight="1"/>
    <row r="44" spans="1:14" ht="18" customHeight="1"/>
    <row r="45" spans="1:14">
      <c r="A45" s="15"/>
    </row>
    <row r="49" spans="1:1">
      <c r="A49" s="289"/>
    </row>
    <row r="50" spans="1:1">
      <c r="A50" s="289"/>
    </row>
    <row r="51" spans="1:1">
      <c r="A51" s="126"/>
    </row>
  </sheetData>
  <mergeCells count="41">
    <mergeCell ref="D32:F32"/>
    <mergeCell ref="D33:F33"/>
    <mergeCell ref="D34:F34"/>
    <mergeCell ref="A32:C34"/>
    <mergeCell ref="E13:E15"/>
    <mergeCell ref="A31:F31"/>
    <mergeCell ref="C27:F27"/>
    <mergeCell ref="C23:D23"/>
    <mergeCell ref="C24:D24"/>
    <mergeCell ref="A30:F30"/>
    <mergeCell ref="A26:B26"/>
    <mergeCell ref="A21:B22"/>
    <mergeCell ref="C26:F26"/>
    <mergeCell ref="A27:B27"/>
    <mergeCell ref="D7:D9"/>
    <mergeCell ref="G18:G20"/>
    <mergeCell ref="A25:K25"/>
    <mergeCell ref="A23:B24"/>
    <mergeCell ref="C22:D22"/>
    <mergeCell ref="A18:B20"/>
    <mergeCell ref="C21:D21"/>
    <mergeCell ref="E23:F23"/>
    <mergeCell ref="E24:F24"/>
    <mergeCell ref="E7:E9"/>
    <mergeCell ref="A7:A15"/>
    <mergeCell ref="B1:K1"/>
    <mergeCell ref="B3:E3"/>
    <mergeCell ref="E18:F20"/>
    <mergeCell ref="E21:F21"/>
    <mergeCell ref="E22:F22"/>
    <mergeCell ref="C18:D20"/>
    <mergeCell ref="F5:F6"/>
    <mergeCell ref="E5:E6"/>
    <mergeCell ref="D5:D6"/>
    <mergeCell ref="A5:C6"/>
    <mergeCell ref="B13:C15"/>
    <mergeCell ref="D13:D15"/>
    <mergeCell ref="B10:C12"/>
    <mergeCell ref="D10:D12"/>
    <mergeCell ref="E10:E12"/>
    <mergeCell ref="B7:C9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25" orientation="landscape" useFirstPageNumber="1" r:id="rId1"/>
  <headerFooter>
    <oddFooter>&amp;L&amp;P&amp;R&amp;G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11">
    <tabColor rgb="FF92D050"/>
  </sheetPr>
  <dimension ref="A1:CQ32"/>
  <sheetViews>
    <sheetView view="pageBreakPreview" zoomScale="80" zoomScaleNormal="85" zoomScaleSheetLayoutView="80" zoomScalePageLayoutView="70" workbookViewId="0">
      <pane xSplit="6" ySplit="5" topLeftCell="G6" activePane="bottomRight" state="frozen"/>
      <selection pane="topRight" activeCell="G1" sqref="G1"/>
      <selection pane="bottomLeft" activeCell="A11" sqref="A11"/>
      <selection pane="bottomRight" activeCell="B1" sqref="B1"/>
    </sheetView>
  </sheetViews>
  <sheetFormatPr defaultColWidth="8.85546875" defaultRowHeight="15"/>
  <cols>
    <col min="1" max="1" width="4.7109375" style="21" customWidth="1"/>
    <col min="2" max="5" width="11.7109375" style="21" customWidth="1"/>
    <col min="6" max="6" width="11.7109375" style="2" customWidth="1"/>
    <col min="7" max="7" width="20.7109375" style="151" customWidth="1"/>
    <col min="8" max="8" width="20.7109375" style="300" customWidth="1"/>
    <col min="9" max="9" width="20.7109375" style="151" customWidth="1"/>
    <col min="10" max="12" width="20.7109375" style="21" customWidth="1"/>
    <col min="13" max="13" width="20.85546875" style="21" customWidth="1"/>
    <col min="14" max="14" width="21.140625" style="21" customWidth="1"/>
    <col min="15" max="16384" width="8.85546875" style="21"/>
  </cols>
  <sheetData>
    <row r="1" spans="1:39" s="322" customFormat="1" ht="18.75">
      <c r="B1" s="2277" t="s">
        <v>490</v>
      </c>
      <c r="F1" s="2"/>
      <c r="G1" s="358" t="str">
        <f>IFERROR(MATCH(J$5,#REF!,0)-2,"")</f>
        <v/>
      </c>
      <c r="H1" s="358" t="str">
        <f>IFERROR(MATCH(K$5,#REF!,0)-2,"")</f>
        <v/>
      </c>
      <c r="I1" s="358" t="str">
        <f>IFERROR(MATCH(#REF!,#REF!,0)-2,"")</f>
        <v/>
      </c>
      <c r="J1" s="358" t="str">
        <f>IFERROR(MATCH(#REF!,#REF!,0)-2,"")</f>
        <v/>
      </c>
      <c r="K1" s="358" t="str">
        <f>IFERROR(MATCH(#REF!,#REF!,0)-2,"")</f>
        <v/>
      </c>
    </row>
    <row r="2" spans="1:39" ht="18" customHeight="1">
      <c r="A2" s="5"/>
      <c r="B2" s="23"/>
      <c r="C2" s="23"/>
      <c r="D2" s="23"/>
      <c r="E2" s="23"/>
      <c r="F2" s="6"/>
      <c r="G2" s="152"/>
      <c r="H2" s="301"/>
      <c r="I2" s="152"/>
      <c r="J2" s="23"/>
      <c r="K2" s="23"/>
      <c r="M2" s="242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242"/>
      <c r="Y2" s="242"/>
      <c r="Z2" s="242"/>
      <c r="AA2" s="242"/>
      <c r="AB2" s="242"/>
      <c r="AC2" s="242"/>
      <c r="AD2" s="242"/>
      <c r="AE2" s="242"/>
      <c r="AF2" s="242"/>
      <c r="AG2" s="242"/>
      <c r="AH2" s="242"/>
      <c r="AI2" s="242"/>
      <c r="AJ2" s="242"/>
      <c r="AK2" s="242"/>
      <c r="AL2" s="242"/>
    </row>
    <row r="3" spans="1:39" ht="79.900000000000006" customHeight="1">
      <c r="A3" s="7"/>
      <c r="B3" s="4197" t="s">
        <v>305</v>
      </c>
      <c r="C3" s="4473"/>
      <c r="D3" s="4473"/>
      <c r="E3" s="4704"/>
      <c r="F3" s="8"/>
      <c r="G3" s="7"/>
      <c r="H3" s="7"/>
      <c r="I3" s="7"/>
      <c r="J3" s="7"/>
      <c r="K3" s="7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  <c r="AK3" s="242"/>
      <c r="AL3" s="242"/>
    </row>
    <row r="4" spans="1:39">
      <c r="A4" s="138"/>
      <c r="B4" s="19" t="s">
        <v>59</v>
      </c>
      <c r="C4" s="19"/>
      <c r="D4" s="138"/>
      <c r="E4" s="138"/>
      <c r="F4" s="6"/>
      <c r="G4" s="152"/>
      <c r="H4" s="301"/>
      <c r="I4" s="152"/>
      <c r="J4" s="138"/>
      <c r="K4" s="138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2"/>
      <c r="AI4" s="242"/>
      <c r="AJ4" s="242"/>
      <c r="AK4" s="242"/>
      <c r="AL4" s="242"/>
    </row>
    <row r="5" spans="1:39" ht="30" customHeight="1">
      <c r="A5" s="4705" t="s">
        <v>2</v>
      </c>
      <c r="B5" s="4706"/>
      <c r="C5" s="4707"/>
      <c r="D5" s="135" t="s">
        <v>42</v>
      </c>
      <c r="E5" s="135" t="s">
        <v>47</v>
      </c>
      <c r="F5" s="135" t="s">
        <v>37</v>
      </c>
      <c r="G5" s="51" t="s">
        <v>931</v>
      </c>
      <c r="H5" s="51" t="s">
        <v>932</v>
      </c>
      <c r="I5" s="51" t="s">
        <v>933</v>
      </c>
      <c r="J5" s="149" t="s">
        <v>934</v>
      </c>
      <c r="K5" s="51" t="s">
        <v>935</v>
      </c>
      <c r="L5" s="2610" t="s">
        <v>937</v>
      </c>
      <c r="M5" s="2610" t="s">
        <v>938</v>
      </c>
      <c r="N5" s="2345" t="s">
        <v>939</v>
      </c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</row>
    <row r="6" spans="1:39" s="23" customFormat="1" ht="30" customHeight="1">
      <c r="A6" s="4230" t="s">
        <v>30</v>
      </c>
      <c r="B6" s="4209" t="s">
        <v>284</v>
      </c>
      <c r="C6" s="4564"/>
      <c r="D6" s="4203" t="s">
        <v>35</v>
      </c>
      <c r="E6" s="4203" t="s">
        <v>43</v>
      </c>
      <c r="F6" s="132" t="s">
        <v>0</v>
      </c>
      <c r="G6" s="363">
        <f>CEILING('Полотна база'!AO54*(1+скидки_наценки!$B$30)*скидки_наценки!$D$13*скидки_наценки!$F$13/скидки_наценки!$B$4, 50)</f>
        <v>43150</v>
      </c>
      <c r="H6" s="1182">
        <f>CEILING('Полотна база'!AO54*(1+скидки_наценки!$B$30)*скидки_наценки!$D$13*скидки_наценки!$F$13/скидки_наценки!$B$4, 50)</f>
        <v>43150</v>
      </c>
      <c r="I6" s="1182">
        <f>CEILING('Полотна база'!AO54*(1+скидки_наценки!$B$30)*скидки_наценки!$D$13*скидки_наценки!$F$13/скидки_наценки!$B$4, 50)</f>
        <v>43150</v>
      </c>
      <c r="J6" s="1182">
        <f>CEILING('Полотна база'!AP54*(1+скидки_наценки!$B$30)*скидки_наценки!$D$13*скидки_наценки!$F$13/скидки_наценки!$B$4, 50)</f>
        <v>47350</v>
      </c>
      <c r="K6" s="1182">
        <f>J6</f>
        <v>47350</v>
      </c>
      <c r="L6" s="1260">
        <f>M6</f>
        <v>53950</v>
      </c>
      <c r="M6" s="1191">
        <f>CEILING('Полотна база'!AR54*(1+скидки_наценки!$B$30)*скидки_наценки!$D$13*скидки_наценки!$F$13/скидки_наценки!$B$4, 50)</f>
        <v>53950</v>
      </c>
      <c r="N6" s="1259">
        <f>M6</f>
        <v>53950</v>
      </c>
      <c r="O6" s="441"/>
      <c r="P6" s="441"/>
      <c r="Q6" s="441"/>
      <c r="R6" s="441"/>
      <c r="S6" s="441"/>
      <c r="T6" s="441"/>
      <c r="U6" s="441"/>
      <c r="V6" s="441"/>
      <c r="W6" s="441"/>
      <c r="X6" s="441"/>
      <c r="Y6" s="441"/>
      <c r="Z6" s="441"/>
      <c r="AA6" s="441"/>
      <c r="AB6" s="441"/>
      <c r="AC6" s="441"/>
      <c r="AD6" s="441"/>
      <c r="AE6" s="441"/>
      <c r="AF6" s="441"/>
      <c r="AG6" s="441"/>
      <c r="AH6" s="441"/>
      <c r="AI6" s="441"/>
      <c r="AJ6" s="441"/>
      <c r="AK6" s="441"/>
      <c r="AL6" s="441"/>
    </row>
    <row r="7" spans="1:39" s="301" customFormat="1" ht="15" customHeight="1">
      <c r="A7" s="4231"/>
      <c r="B7" s="4565"/>
      <c r="C7" s="4567"/>
      <c r="D7" s="4204"/>
      <c r="E7" s="4204"/>
      <c r="F7" s="307" t="s">
        <v>306</v>
      </c>
      <c r="G7" s="364">
        <f>IF(G6=0,0,(Погонаж!$C$13*2.5+Погонаж!$E$13*5))</f>
        <v>12375</v>
      </c>
      <c r="H7" s="364">
        <f>IF(H6=0,0,(Погонаж!$C$13*2.5+Погонаж!$E$13*5))</f>
        <v>12375</v>
      </c>
      <c r="I7" s="364">
        <f>IF(I6=0,0,(Погонаж!$C$13*2.5+Погонаж!$E$13*5))</f>
        <v>12375</v>
      </c>
      <c r="J7" s="364">
        <f>IF(J6=0,0,(Погонаж!$C$13*2.5+Погонаж!$E$13*5))</f>
        <v>12375</v>
      </c>
      <c r="K7" s="364">
        <f>IF(K6=0,0,(Погонаж!$C$13*2.5+Погонаж!$E$13*5))</f>
        <v>12375</v>
      </c>
      <c r="L7" s="2375">
        <f>IF(L6=0,0,(Погонаж!$C$13*2.5+Погонаж!$E$13*5))</f>
        <v>12375</v>
      </c>
      <c r="M7" s="2609">
        <f>IF(M6=0,0,(Погонаж!$C$13*2.5+Погонаж!$E$13*5))</f>
        <v>12375</v>
      </c>
      <c r="N7" s="2375">
        <f>IF(N6=0,0,(Погонаж!$C$13*2.5+Погонаж!$E$13*5))</f>
        <v>12375</v>
      </c>
      <c r="O7" s="441"/>
      <c r="P7" s="441"/>
      <c r="Q7" s="441"/>
      <c r="R7" s="441"/>
      <c r="S7" s="441"/>
      <c r="T7" s="441"/>
      <c r="U7" s="441"/>
      <c r="V7" s="441"/>
      <c r="W7" s="441"/>
      <c r="X7" s="441"/>
      <c r="Y7" s="441"/>
      <c r="Z7" s="441"/>
      <c r="AA7" s="441"/>
      <c r="AB7" s="441"/>
      <c r="AC7" s="441"/>
      <c r="AD7" s="441"/>
      <c r="AE7" s="441"/>
      <c r="AF7" s="441"/>
      <c r="AG7" s="441"/>
      <c r="AH7" s="441"/>
      <c r="AI7" s="441"/>
      <c r="AJ7" s="441"/>
      <c r="AK7" s="441"/>
      <c r="AL7" s="441"/>
    </row>
    <row r="8" spans="1:39" s="23" customFormat="1" ht="30" customHeight="1">
      <c r="A8" s="4708"/>
      <c r="B8" s="4438"/>
      <c r="C8" s="4439"/>
      <c r="D8" s="4205"/>
      <c r="E8" s="4205"/>
      <c r="F8" s="30" t="s">
        <v>1</v>
      </c>
      <c r="G8" s="365">
        <f t="shared" ref="G8:N8" si="0">G6+G7</f>
        <v>55525</v>
      </c>
      <c r="H8" s="365">
        <f t="shared" si="0"/>
        <v>55525</v>
      </c>
      <c r="I8" s="365">
        <f t="shared" si="0"/>
        <v>55525</v>
      </c>
      <c r="J8" s="328">
        <f t="shared" si="0"/>
        <v>59725</v>
      </c>
      <c r="K8" s="328">
        <f t="shared" si="0"/>
        <v>59725</v>
      </c>
      <c r="L8" s="2376">
        <f t="shared" si="0"/>
        <v>66325</v>
      </c>
      <c r="M8" s="2376">
        <f t="shared" si="0"/>
        <v>66325</v>
      </c>
      <c r="N8" s="2376">
        <f t="shared" si="0"/>
        <v>66325</v>
      </c>
      <c r="O8" s="441"/>
      <c r="P8" s="441"/>
      <c r="Q8" s="441"/>
      <c r="R8" s="441"/>
      <c r="S8" s="441"/>
      <c r="T8" s="441"/>
      <c r="U8" s="441"/>
      <c r="V8" s="441"/>
      <c r="W8" s="441"/>
      <c r="X8" s="441"/>
      <c r="Y8" s="441"/>
      <c r="Z8" s="441"/>
      <c r="AA8" s="441"/>
      <c r="AB8" s="441"/>
      <c r="AC8" s="441"/>
      <c r="AD8" s="441"/>
      <c r="AE8" s="441"/>
      <c r="AF8" s="441"/>
      <c r="AG8" s="441"/>
      <c r="AH8" s="441"/>
      <c r="AI8" s="441"/>
      <c r="AJ8" s="441"/>
      <c r="AK8" s="441"/>
      <c r="AL8" s="441"/>
    </row>
    <row r="9" spans="1:39" ht="15" customHeight="1">
      <c r="F9" s="21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</row>
    <row r="10" spans="1:39" s="345" customFormat="1" ht="18" customHeight="1">
      <c r="A10" s="348"/>
      <c r="C10" s="22"/>
      <c r="D10" s="348"/>
      <c r="E10" s="348"/>
      <c r="F10" s="2"/>
      <c r="G10" s="348"/>
      <c r="H10" s="348"/>
      <c r="M10" s="242"/>
      <c r="N10" s="242"/>
      <c r="O10" s="242"/>
      <c r="P10" s="242"/>
      <c r="Q10" s="242"/>
      <c r="R10" s="242"/>
      <c r="S10" s="242"/>
      <c r="T10" s="242"/>
      <c r="U10" s="242"/>
      <c r="V10" s="242"/>
      <c r="W10" s="242"/>
      <c r="X10" s="242"/>
      <c r="Y10" s="242"/>
      <c r="Z10" s="242"/>
      <c r="AA10" s="242"/>
      <c r="AB10" s="242"/>
      <c r="AC10" s="242"/>
      <c r="AD10" s="242"/>
      <c r="AE10" s="242"/>
      <c r="AF10" s="242"/>
      <c r="AG10" s="242"/>
      <c r="AH10" s="242"/>
      <c r="AI10" s="242"/>
      <c r="AJ10" s="242"/>
      <c r="AK10" s="242"/>
      <c r="AL10" s="242"/>
    </row>
    <row r="11" spans="1:39">
      <c r="A11" s="23"/>
      <c r="B11" s="19" t="s">
        <v>20</v>
      </c>
      <c r="C11" s="19"/>
      <c r="D11" s="23"/>
      <c r="E11" s="23"/>
      <c r="F11" s="6"/>
      <c r="G11" s="152"/>
      <c r="H11" s="301"/>
      <c r="I11" s="3"/>
      <c r="J11" s="3"/>
      <c r="K11" s="3"/>
      <c r="L11" s="589"/>
      <c r="M11" s="242"/>
      <c r="N11" s="242"/>
      <c r="O11" s="242"/>
      <c r="P11" s="242"/>
      <c r="Q11" s="242"/>
      <c r="R11" s="242"/>
      <c r="S11" s="242"/>
      <c r="T11" s="242"/>
      <c r="U11" s="242"/>
      <c r="V11" s="242"/>
      <c r="W11" s="242"/>
      <c r="X11" s="242"/>
      <c r="Y11" s="242"/>
      <c r="Z11" s="242"/>
      <c r="AA11" s="242"/>
      <c r="AB11" s="242"/>
      <c r="AC11" s="242"/>
      <c r="AD11" s="242"/>
      <c r="AE11" s="242"/>
      <c r="AF11" s="242"/>
      <c r="AG11" s="242"/>
      <c r="AH11" s="242"/>
      <c r="AI11" s="242"/>
      <c r="AJ11" s="242"/>
      <c r="AK11" s="242"/>
      <c r="AL11" s="242"/>
    </row>
    <row r="12" spans="1:39" s="454" customFormat="1" ht="15" customHeight="1">
      <c r="A12" s="4602" t="s">
        <v>3</v>
      </c>
      <c r="B12" s="4602"/>
      <c r="C12" s="4602"/>
      <c r="D12" s="4602"/>
      <c r="E12" s="4602"/>
      <c r="F12" s="4602"/>
      <c r="G12" s="1033" t="s">
        <v>931</v>
      </c>
      <c r="H12" s="1033" t="s">
        <v>932</v>
      </c>
      <c r="I12" s="1034" t="s">
        <v>933</v>
      </c>
      <c r="J12" s="1034" t="s">
        <v>934</v>
      </c>
      <c r="K12" s="1035" t="s">
        <v>935</v>
      </c>
      <c r="L12" s="2373" t="s">
        <v>937</v>
      </c>
      <c r="M12" s="2373" t="s">
        <v>938</v>
      </c>
      <c r="N12" s="2374" t="s">
        <v>939</v>
      </c>
      <c r="O12" s="1023"/>
      <c r="P12" s="1023"/>
      <c r="Q12" s="1023"/>
      <c r="R12" s="1023"/>
      <c r="S12" s="1023"/>
      <c r="T12" s="1023"/>
      <c r="U12" s="1023"/>
      <c r="V12" s="1023"/>
      <c r="W12" s="1023"/>
      <c r="X12" s="1023"/>
      <c r="Y12" s="1023"/>
      <c r="Z12" s="1023"/>
      <c r="AA12" s="1023"/>
      <c r="AB12" s="1023"/>
      <c r="AC12" s="1023"/>
      <c r="AD12" s="1023"/>
      <c r="AE12" s="1023"/>
      <c r="AF12" s="1023"/>
      <c r="AG12" s="1023"/>
      <c r="AH12" s="1023"/>
      <c r="AI12" s="1023"/>
      <c r="AJ12" s="1023"/>
      <c r="AK12" s="1023"/>
      <c r="AL12" s="1023"/>
      <c r="AM12" s="1023"/>
    </row>
    <row r="13" spans="1:39" s="589" customFormat="1" ht="15" hidden="1" customHeight="1">
      <c r="A13" s="4668" t="s">
        <v>1327</v>
      </c>
      <c r="B13" s="4668"/>
      <c r="C13" s="4668"/>
      <c r="D13" s="4668"/>
      <c r="E13" s="4668"/>
      <c r="F13" s="4668"/>
      <c r="G13" s="1043">
        <f>CEILING('Декоры база'!C175*(1+скидки_наценки!$B$32)*скидки_наценки!$D$13*скидки_наценки!$F$13/скидки_наценки!$B$4, 50)</f>
        <v>3000</v>
      </c>
      <c r="H13" s="1043">
        <f>CEILING('Декоры база'!$C$175*(1+скидки_наценки!$B$32)*скидки_наценки!$D$13*скидки_наценки!$F$13/скидки_наценки!$B$4, 50)</f>
        <v>3000</v>
      </c>
      <c r="I13" s="1043">
        <f>CEILING('Декоры база'!$C$175*(1+скидки_наценки!$B$32)*скидки_наценки!$D$13*скидки_наценки!$F$13/скидки_наценки!$B$4, 50)</f>
        <v>3000</v>
      </c>
      <c r="J13" s="1043">
        <f>CEILING('Декоры база'!$C$175*(1+скидки_наценки!$B$32)*скидки_наценки!$D$13*скидки_наценки!$F$13/скидки_наценки!$B$4, 50)</f>
        <v>3000</v>
      </c>
      <c r="K13" s="1043">
        <f>CEILING('Декоры база'!$C$175*(1+скидки_наценки!$B$32)*скидки_наценки!$D$13*скидки_наценки!$F$13/скидки_наценки!$B$4, 50)</f>
        <v>3000</v>
      </c>
      <c r="L13" s="1043">
        <f>CEILING('Декоры база'!$C$175*(1+скидки_наценки!$B$32)*скидки_наценки!$D$13*скидки_наценки!$F$13/скидки_наценки!$B$4, 50)</f>
        <v>3000</v>
      </c>
      <c r="M13" s="1043">
        <f>CEILING('Декоры база'!$C$175*(1+скидки_наценки!$B$32)*скидки_наценки!$D$13*скидки_наценки!$F$13/скидки_наценки!$B$4, 50)</f>
        <v>3000</v>
      </c>
      <c r="N13" s="1043"/>
      <c r="O13" s="242"/>
      <c r="P13" s="242"/>
      <c r="Q13" s="242"/>
      <c r="R13" s="242"/>
      <c r="S13" s="242"/>
      <c r="T13" s="242"/>
      <c r="U13" s="242"/>
      <c r="V13" s="242"/>
      <c r="W13" s="242"/>
      <c r="X13" s="242"/>
      <c r="Y13" s="242"/>
      <c r="Z13" s="242"/>
      <c r="AA13" s="242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</row>
    <row r="14" spans="1:39" s="589" customFormat="1" ht="15" customHeight="1">
      <c r="A14" s="4684" t="s">
        <v>2405</v>
      </c>
      <c r="B14" s="4685"/>
      <c r="C14" s="4686"/>
      <c r="D14" s="4675" t="s">
        <v>2948</v>
      </c>
      <c r="E14" s="4676"/>
      <c r="F14" s="4677"/>
      <c r="G14" s="1008">
        <f>CEILING('Декоры база'!$D$175*(1+скидки_наценки!$B$32)*скидки_наценки!$D$13*скидки_наценки!$F$13/скидки_наценки!$B$4, 50)</f>
        <v>4000</v>
      </c>
      <c r="H14" s="2333">
        <f>CEILING('Декоры база'!$D$175*(1+скидки_наценки!$B$32)*скидки_наценки!$D$13*скидки_наценки!$F$13/скидки_наценки!$B$4, 50)</f>
        <v>4000</v>
      </c>
      <c r="I14" s="2333">
        <f>CEILING('Декоры база'!$D$175*(1+скидки_наценки!$B$32)*скидки_наценки!$D$13*скидки_наценки!$F$13/скидки_наценки!$B$4, 50)</f>
        <v>4000</v>
      </c>
      <c r="J14" s="2333">
        <f>CEILING('Декоры база'!$D$175*(1+скидки_наценки!$B$32)*скидки_наценки!$D$13*скидки_наценки!$F$13/скидки_наценки!$B$4, 50)</f>
        <v>4000</v>
      </c>
      <c r="K14" s="2333">
        <f>CEILING('Декоры база'!$D$175*(1+скидки_наценки!$B$32)*скидки_наценки!$D$13*скидки_наценки!$F$13/скидки_наценки!$B$4, 50)</f>
        <v>4000</v>
      </c>
      <c r="L14" s="2333">
        <f>CEILING('Декоры база'!$D$175*(1+скидки_наценки!$B$32)*скидки_наценки!$D$13*скидки_наценки!$F$13/скидки_наценки!$B$4, 50)</f>
        <v>4000</v>
      </c>
      <c r="M14" s="2333">
        <f>CEILING('Декоры база'!$D$175*(1+скидки_наценки!$B$32)*скидки_наценки!$D$13*скидки_наценки!$F$13/скидки_наценки!$B$4, 50)</f>
        <v>4000</v>
      </c>
      <c r="N14" s="2333"/>
      <c r="O14" s="242"/>
      <c r="P14" s="242"/>
      <c r="Q14" s="242"/>
      <c r="R14" s="242"/>
      <c r="S14" s="242"/>
      <c r="T14" s="242"/>
      <c r="U14" s="242"/>
      <c r="V14" s="242"/>
      <c r="W14" s="242"/>
      <c r="X14" s="242"/>
      <c r="Y14" s="242"/>
      <c r="Z14" s="242"/>
      <c r="AA14" s="242"/>
      <c r="AB14" s="242"/>
      <c r="AC14" s="242"/>
      <c r="AD14" s="242"/>
      <c r="AE14" s="242"/>
      <c r="AF14" s="242"/>
      <c r="AG14" s="242"/>
      <c r="AH14" s="242"/>
      <c r="AI14" s="242"/>
      <c r="AJ14" s="242"/>
      <c r="AK14" s="242"/>
      <c r="AL14" s="242"/>
      <c r="AM14" s="242"/>
    </row>
    <row r="15" spans="1:39" s="589" customFormat="1" ht="15" customHeight="1">
      <c r="A15" s="4687"/>
      <c r="B15" s="4688"/>
      <c r="C15" s="4689"/>
      <c r="D15" s="4678" t="s">
        <v>1220</v>
      </c>
      <c r="E15" s="4679"/>
      <c r="F15" s="4680"/>
      <c r="G15" s="327">
        <f>CEILING('Декоры база'!$E$175*(1+скидки_наценки!$B$32)*скидки_наценки!$D$13*скидки_наценки!$F$13/скидки_наценки!$B$4, 50)</f>
        <v>5500</v>
      </c>
      <c r="H15" s="327">
        <f>CEILING('Декоры база'!$E$175*(1+скидки_наценки!$B$32)*скидки_наценки!$D$13*скидки_наценки!$F$13/скидки_наценки!$B$4, 50)</f>
        <v>5500</v>
      </c>
      <c r="I15" s="327">
        <f>CEILING('Декоры база'!$E$175*(1+скидки_наценки!$B$32)*скидки_наценки!$D$13*скидки_наценки!$F$13/скидки_наценки!$B$4, 50)</f>
        <v>5500</v>
      </c>
      <c r="J15" s="327">
        <f>CEILING('Декоры база'!$E$175*(1+скидки_наценки!$B$32)*скидки_наценки!$D$13*скидки_наценки!$F$13/скидки_наценки!$B$4, 50)</f>
        <v>5500</v>
      </c>
      <c r="K15" s="327">
        <f>CEILING('Декоры база'!$E$175*(1+скидки_наценки!$B$32)*скидки_наценки!$D$13*скидки_наценки!$F$13/скидки_наценки!$B$4, 50)</f>
        <v>5500</v>
      </c>
      <c r="L15" s="327">
        <f>CEILING('Декоры база'!$E$175*(1+скидки_наценки!$B$32)*скидки_наценки!$D$13*скидки_наценки!$F$13/скидки_наценки!$B$4, 50)</f>
        <v>5500</v>
      </c>
      <c r="M15" s="327">
        <f>CEILING('Декоры база'!$E$175*(1+скидки_наценки!$B$32)*скидки_наценки!$D$13*скидки_наценки!$F$13/скидки_наценки!$B$4, 50)</f>
        <v>5500</v>
      </c>
      <c r="N15" s="327"/>
      <c r="O15" s="242"/>
      <c r="P15" s="242"/>
      <c r="Q15" s="242"/>
      <c r="R15" s="242"/>
      <c r="S15" s="242"/>
      <c r="T15" s="242"/>
      <c r="U15" s="242"/>
      <c r="V15" s="242"/>
      <c r="W15" s="242"/>
      <c r="X15" s="242"/>
      <c r="Y15" s="242"/>
      <c r="Z15" s="242"/>
      <c r="AA15" s="242"/>
      <c r="AB15" s="242"/>
      <c r="AC15" s="242"/>
      <c r="AD15" s="242"/>
      <c r="AE15" s="242"/>
      <c r="AF15" s="242"/>
      <c r="AG15" s="242"/>
      <c r="AH15" s="242"/>
      <c r="AI15" s="242"/>
      <c r="AJ15" s="242"/>
      <c r="AK15" s="242"/>
      <c r="AL15" s="242"/>
      <c r="AM15" s="242"/>
    </row>
    <row r="16" spans="1:39" s="589" customFormat="1" ht="15" customHeight="1">
      <c r="A16" s="4690"/>
      <c r="B16" s="4691"/>
      <c r="C16" s="4692"/>
      <c r="D16" s="4681" t="s">
        <v>1222</v>
      </c>
      <c r="E16" s="4682"/>
      <c r="F16" s="4683"/>
      <c r="G16" s="2655">
        <f>CEILING('Декоры база'!$F$175*(1+скидки_наценки!$B$32)*скидки_наценки!$D$13*скидки_наценки!$F$13/скидки_наценки!$B$4, 50)</f>
        <v>6500</v>
      </c>
      <c r="H16" s="2655">
        <f>CEILING('Декоры база'!$F$175*(1+скидки_наценки!$B$32)*скидки_наценки!$D$13*скидки_наценки!$F$13/скидки_наценки!$B$4, 50)</f>
        <v>6500</v>
      </c>
      <c r="I16" s="2655">
        <f>CEILING('Декоры база'!$F$175*(1+скидки_наценки!$B$32)*скидки_наценки!$D$13*скидки_наценки!$F$13/скидки_наценки!$B$4, 50)</f>
        <v>6500</v>
      </c>
      <c r="J16" s="2655">
        <f>CEILING('Декоры база'!$F$175*(1+скидки_наценки!$B$32)*скидки_наценки!$D$13*скидки_наценки!$F$13/скидки_наценки!$B$4, 50)</f>
        <v>6500</v>
      </c>
      <c r="K16" s="2655">
        <f>CEILING('Декоры база'!$F$175*(1+скидки_наценки!$B$32)*скидки_наценки!$D$13*скидки_наценки!$F$13/скидки_наценки!$B$4, 50)</f>
        <v>6500</v>
      </c>
      <c r="L16" s="2655">
        <f>CEILING('Декоры база'!$F$175*(1+скидки_наценки!$B$32)*скидки_наценки!$D$13*скидки_наценки!$F$13/скидки_наценки!$B$4, 50)</f>
        <v>6500</v>
      </c>
      <c r="M16" s="2655">
        <f>CEILING('Декоры база'!$F$175*(1+скидки_наценки!$B$32)*скидки_наценки!$D$13*скидки_наценки!$F$13/скидки_наценки!$B$4, 50)</f>
        <v>6500</v>
      </c>
      <c r="N16" s="2655"/>
      <c r="O16" s="242"/>
      <c r="P16" s="242"/>
      <c r="Q16" s="242"/>
      <c r="R16" s="242"/>
      <c r="S16" s="242"/>
      <c r="T16" s="242"/>
      <c r="U16" s="242"/>
      <c r="V16" s="242"/>
      <c r="W16" s="242"/>
      <c r="X16" s="242"/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</row>
    <row r="17" spans="1:95" s="72" customFormat="1" ht="15" customHeight="1">
      <c r="A17" s="4709" t="s">
        <v>1233</v>
      </c>
      <c r="B17" s="4563"/>
      <c r="C17" s="4564"/>
      <c r="D17" s="4710" t="s">
        <v>1220</v>
      </c>
      <c r="E17" s="4711"/>
      <c r="F17" s="4712"/>
      <c r="G17" s="2887">
        <f>CEILING('стекло+зеркала_база'!$H$15*(1+скидки_наценки!$B$32)*скидки_наценки!$D$13*скидки_наценки!$F$13/скидки_наценки!$B$4, 50)</f>
        <v>8000</v>
      </c>
      <c r="H17" s="2887">
        <f>CEILING('стекло+зеркала_база'!$H$16*(1+скидки_наценки!$B$32)*скидки_наценки!$D$13*скидки_наценки!$F$13/скидки_наценки!$B$4, 50)</f>
        <v>5500</v>
      </c>
      <c r="I17" s="2887">
        <f>CEILING('стекло+зеркала_база'!$H$16*(1+скидки_наценки!$B$32)*скидки_наценки!$D$13*скидки_наценки!$F$13/скидки_наценки!$B$4, 50)</f>
        <v>5500</v>
      </c>
      <c r="J17" s="2887">
        <f>CEILING('стекло+зеркала_база'!$H$15*(1+скидки_наценки!$B$32)*скидки_наценки!$D$13*скидки_наценки!$F$13/скидки_наценки!$B$4, 50)</f>
        <v>8000</v>
      </c>
      <c r="K17" s="2887">
        <f>CEILING('стекло+зеркала_база'!$H$16*(1+скидки_наценки!$B$32)*скидки_наценки!$D$13*скидки_наценки!$F$13/скидки_наценки!$B$4, 50)</f>
        <v>5500</v>
      </c>
      <c r="L17" s="2886"/>
      <c r="M17" s="2886"/>
      <c r="N17" s="2886"/>
      <c r="O17" s="442"/>
      <c r="P17" s="442"/>
      <c r="Q17" s="442"/>
      <c r="R17" s="442"/>
      <c r="S17" s="442"/>
      <c r="T17" s="442"/>
      <c r="U17" s="442"/>
      <c r="V17" s="442"/>
      <c r="W17" s="442"/>
      <c r="X17" s="442"/>
      <c r="Y17" s="442"/>
      <c r="Z17" s="442"/>
      <c r="AA17" s="442"/>
      <c r="AB17" s="442"/>
      <c r="AC17" s="442"/>
      <c r="AD17" s="442"/>
      <c r="AE17" s="442"/>
      <c r="AF17" s="442"/>
      <c r="AG17" s="442"/>
      <c r="AH17" s="442"/>
      <c r="AI17" s="442"/>
      <c r="AJ17" s="442"/>
      <c r="AK17" s="442"/>
      <c r="AL17" s="442"/>
      <c r="AM17" s="442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4"/>
      <c r="BA17" s="294"/>
      <c r="BB17" s="294"/>
      <c r="BC17" s="294"/>
      <c r="BD17" s="294"/>
      <c r="BE17" s="294"/>
      <c r="BF17" s="294"/>
      <c r="BG17" s="294"/>
      <c r="BH17" s="294"/>
      <c r="BI17" s="294"/>
      <c r="BJ17" s="294"/>
      <c r="BK17" s="294"/>
      <c r="BL17" s="294"/>
      <c r="BM17" s="294"/>
      <c r="BN17" s="294"/>
      <c r="BO17" s="294"/>
      <c r="BP17" s="294"/>
      <c r="BQ17" s="294"/>
      <c r="BR17" s="294"/>
      <c r="BS17" s="294"/>
      <c r="BT17" s="294"/>
      <c r="BU17" s="294"/>
      <c r="BV17" s="294"/>
      <c r="BW17" s="294"/>
      <c r="BX17" s="294"/>
      <c r="BY17" s="294"/>
      <c r="BZ17" s="294"/>
      <c r="CA17" s="294"/>
      <c r="CB17" s="294"/>
      <c r="CC17" s="294"/>
      <c r="CD17" s="294"/>
      <c r="CE17" s="294"/>
      <c r="CF17" s="294"/>
      <c r="CG17" s="294"/>
      <c r="CH17" s="294"/>
      <c r="CI17" s="294"/>
      <c r="CJ17" s="294"/>
      <c r="CK17" s="294"/>
      <c r="CL17" s="294"/>
      <c r="CM17" s="294"/>
      <c r="CN17" s="294"/>
      <c r="CO17" s="294"/>
      <c r="CP17" s="294"/>
      <c r="CQ17" s="294"/>
    </row>
    <row r="18" spans="1:95" s="72" customFormat="1" ht="15" customHeight="1">
      <c r="A18" s="4438"/>
      <c r="B18" s="4606"/>
      <c r="C18" s="4439"/>
      <c r="D18" s="4713" t="s">
        <v>2692</v>
      </c>
      <c r="E18" s="4714"/>
      <c r="F18" s="4715"/>
      <c r="G18" s="2888">
        <f>CEILING('стекло+зеркала_база'!$I$15*(1+скидки_наценки!$B$32)*скидки_наценки!$D$13*скидки_наценки!$F$13/скидки_наценки!$B$4, 50)</f>
        <v>9000</v>
      </c>
      <c r="H18" s="2888">
        <f>CEILING('стекло+зеркала_база'!$I$16*(1+скидки_наценки!$B$32)*скидки_наценки!$D$13*скидки_наценки!$F$13/скидки_наценки!$B$4, 50)</f>
        <v>6500</v>
      </c>
      <c r="I18" s="2888">
        <f>CEILING('стекло+зеркала_база'!$I$16*(1+скидки_наценки!$B$32)*скидки_наценки!$D$13*скидки_наценки!$F$13/скидки_наценки!$B$4, 50)</f>
        <v>6500</v>
      </c>
      <c r="J18" s="2888">
        <f>CEILING('стекло+зеркала_база'!$I$15*(1+скидки_наценки!$B$32)*скидки_наценки!$D$13*скидки_наценки!$F$13/скидки_наценки!$B$4, 50)</f>
        <v>9000</v>
      </c>
      <c r="K18" s="2888">
        <f>CEILING('стекло+зеркала_база'!$I$16*(1+скидки_наценки!$B$32)*скидки_наценки!$D$13*скидки_наценки!$F$13/скидки_наценки!$B$4, 50)</f>
        <v>6500</v>
      </c>
      <c r="L18" s="2371"/>
      <c r="M18" s="2371"/>
      <c r="N18" s="2371"/>
      <c r="O18" s="442"/>
      <c r="P18" s="442"/>
      <c r="Q18" s="442"/>
      <c r="R18" s="442"/>
      <c r="S18" s="442"/>
      <c r="T18" s="442"/>
      <c r="U18" s="442"/>
      <c r="V18" s="442"/>
      <c r="W18" s="442"/>
      <c r="X18" s="442"/>
      <c r="Y18" s="442"/>
      <c r="Z18" s="442"/>
      <c r="AA18" s="442"/>
      <c r="AB18" s="442"/>
      <c r="AC18" s="442"/>
      <c r="AD18" s="442"/>
      <c r="AE18" s="442"/>
      <c r="AF18" s="442"/>
      <c r="AG18" s="442"/>
      <c r="AH18" s="442"/>
      <c r="AI18" s="442"/>
      <c r="AJ18" s="442"/>
      <c r="AK18" s="442"/>
      <c r="AL18" s="442"/>
      <c r="AM18" s="442"/>
      <c r="AN18" s="294"/>
      <c r="AO18" s="294"/>
      <c r="AP18" s="294"/>
      <c r="AQ18" s="294"/>
      <c r="AR18" s="294"/>
      <c r="AS18" s="294"/>
      <c r="AT18" s="294"/>
      <c r="AU18" s="294"/>
      <c r="AV18" s="294"/>
      <c r="AW18" s="294"/>
      <c r="AX18" s="294"/>
      <c r="AY18" s="294"/>
      <c r="AZ18" s="294"/>
      <c r="BA18" s="294"/>
      <c r="BB18" s="294"/>
      <c r="BC18" s="294"/>
      <c r="BD18" s="294"/>
      <c r="BE18" s="294"/>
      <c r="BF18" s="294"/>
      <c r="BG18" s="294"/>
      <c r="BH18" s="294"/>
      <c r="BI18" s="294"/>
      <c r="BJ18" s="294"/>
      <c r="BK18" s="294"/>
      <c r="BL18" s="294"/>
      <c r="BM18" s="294"/>
      <c r="BN18" s="294"/>
      <c r="BO18" s="294"/>
      <c r="BP18" s="294"/>
      <c r="BQ18" s="294"/>
      <c r="BR18" s="294"/>
      <c r="BS18" s="294"/>
      <c r="BT18" s="294"/>
      <c r="BU18" s="294"/>
      <c r="BV18" s="294"/>
      <c r="BW18" s="294"/>
      <c r="BX18" s="294"/>
      <c r="BY18" s="294"/>
      <c r="BZ18" s="294"/>
      <c r="CA18" s="294"/>
      <c r="CB18" s="294"/>
      <c r="CC18" s="294"/>
      <c r="CD18" s="294"/>
      <c r="CE18" s="294"/>
      <c r="CF18" s="294"/>
      <c r="CG18" s="294"/>
      <c r="CH18" s="294"/>
      <c r="CI18" s="294"/>
      <c r="CJ18" s="294"/>
      <c r="CK18" s="294"/>
      <c r="CL18" s="294"/>
      <c r="CM18" s="294"/>
      <c r="CN18" s="294"/>
      <c r="CO18" s="294"/>
      <c r="CP18" s="294"/>
      <c r="CQ18" s="294"/>
    </row>
    <row r="19" spans="1:95" s="101" customFormat="1" ht="18" customHeight="1">
      <c r="A19" s="2"/>
      <c r="B19" s="2"/>
      <c r="C19" s="2"/>
      <c r="F19" s="102"/>
      <c r="G19" s="102"/>
      <c r="H19" s="102"/>
      <c r="I19" s="102"/>
      <c r="J19" s="102"/>
      <c r="K19" s="10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</row>
    <row r="20" spans="1:95" ht="18" customHeight="1">
      <c r="B20" s="21" t="s">
        <v>5</v>
      </c>
    </row>
    <row r="21" spans="1:95" ht="18" customHeight="1">
      <c r="A21" s="1070"/>
      <c r="B21" s="1070"/>
      <c r="C21" s="1070"/>
      <c r="D21" s="1070"/>
      <c r="E21" s="1070"/>
      <c r="F21" s="1070"/>
    </row>
    <row r="22" spans="1:95" s="283" customFormat="1" ht="18" customHeight="1">
      <c r="A22" s="1070"/>
      <c r="B22" s="1070"/>
      <c r="C22" s="1070"/>
      <c r="D22" s="1070"/>
      <c r="E22" s="1070"/>
      <c r="F22" s="1070"/>
      <c r="H22" s="300"/>
    </row>
    <row r="23" spans="1:95" ht="18" customHeight="1">
      <c r="A23" s="1070"/>
      <c r="B23" s="1070"/>
      <c r="C23" s="1070"/>
      <c r="D23" s="1070"/>
      <c r="E23" s="1070"/>
      <c r="F23" s="1070"/>
    </row>
    <row r="24" spans="1:95" ht="90" customHeight="1"/>
    <row r="25" spans="1:95">
      <c r="A25" s="23"/>
      <c r="B25" s="19" t="s">
        <v>25</v>
      </c>
      <c r="C25" s="23"/>
      <c r="D25" s="23"/>
      <c r="E25" s="23"/>
      <c r="F25" s="6"/>
      <c r="G25" s="152"/>
      <c r="H25" s="301"/>
      <c r="I25" s="152"/>
      <c r="J25" s="3"/>
      <c r="K25" s="3"/>
    </row>
    <row r="26" spans="1:95" ht="15" customHeight="1">
      <c r="A26" s="4633" t="s">
        <v>39</v>
      </c>
      <c r="B26" s="4235"/>
      <c r="C26" s="4633" t="s">
        <v>182</v>
      </c>
      <c r="D26" s="4235"/>
      <c r="E26" s="4696" t="s">
        <v>40</v>
      </c>
      <c r="F26" s="4696" t="s">
        <v>38</v>
      </c>
      <c r="G26" s="4699" t="s">
        <v>931</v>
      </c>
      <c r="H26" s="4699" t="s">
        <v>932</v>
      </c>
      <c r="I26" s="4702" t="s">
        <v>933</v>
      </c>
      <c r="J26" s="1012" t="s">
        <v>934</v>
      </c>
      <c r="K26" s="1012" t="s">
        <v>936</v>
      </c>
      <c r="L26" s="1001"/>
    </row>
    <row r="27" spans="1:95" s="589" customFormat="1" ht="15" customHeight="1">
      <c r="A27" s="4634"/>
      <c r="B27" s="4237"/>
      <c r="C27" s="4634"/>
      <c r="D27" s="4237"/>
      <c r="E27" s="4697"/>
      <c r="F27" s="4697"/>
      <c r="G27" s="4700"/>
      <c r="H27" s="4700"/>
      <c r="I27" s="4703"/>
      <c r="J27" s="1013" t="s">
        <v>22</v>
      </c>
      <c r="K27" s="1013" t="s">
        <v>22</v>
      </c>
    </row>
    <row r="28" spans="1:95" s="16" customFormat="1" ht="12" customHeight="1">
      <c r="A28" s="4635"/>
      <c r="B28" s="4239"/>
      <c r="C28" s="4635"/>
      <c r="D28" s="4239"/>
      <c r="E28" s="4698"/>
      <c r="F28" s="4698"/>
      <c r="G28" s="4701"/>
      <c r="H28" s="4701"/>
      <c r="I28" s="4701"/>
      <c r="J28" s="1069" t="s">
        <v>219</v>
      </c>
      <c r="K28" s="1069" t="s">
        <v>219</v>
      </c>
    </row>
    <row r="29" spans="1:95" s="22" customFormat="1" ht="45" customHeight="1">
      <c r="A29" s="4460" t="s">
        <v>215</v>
      </c>
      <c r="B29" s="4620"/>
      <c r="C29" s="4318" t="s">
        <v>220</v>
      </c>
      <c r="D29" s="4319"/>
      <c r="E29" s="148" t="s">
        <v>1324</v>
      </c>
      <c r="F29" s="430" t="s">
        <v>1326</v>
      </c>
      <c r="G29" s="3046" t="s">
        <v>4</v>
      </c>
      <c r="H29" s="3046" t="s">
        <v>4</v>
      </c>
      <c r="I29" s="3046" t="s">
        <v>4</v>
      </c>
      <c r="J29" s="332">
        <f>CEILING('стекло+зеркала_база'!H79*(1+скидки_наценки!$B$32)*скидки_наценки!$D$13*скидки_наценки!$F$13/скидки_наценки!$B$4, 50)</f>
        <v>5200</v>
      </c>
      <c r="K29" s="371">
        <f>CEILING('стекло+зеркала_база'!H80*(1+скидки_наценки!$B$32)*скидки_наценки!$D$13*скидки_наценки!$F$13/скидки_наценки!$B$4, 50)</f>
        <v>3400</v>
      </c>
    </row>
    <row r="30" spans="1:95" s="68" customFormat="1" ht="14.1" customHeight="1">
      <c r="A30" s="4631" t="s">
        <v>218</v>
      </c>
      <c r="B30" s="4632"/>
      <c r="C30" s="4632"/>
      <c r="D30" s="4632"/>
      <c r="E30" s="4632"/>
      <c r="F30" s="4632"/>
      <c r="G30" s="4632"/>
      <c r="H30" s="4632"/>
      <c r="I30" s="4632"/>
      <c r="J30" s="4632"/>
      <c r="K30" s="4632"/>
      <c r="L30" s="22"/>
      <c r="M30" s="22"/>
      <c r="N30" s="613"/>
      <c r="O30" s="613"/>
      <c r="P30" s="613"/>
      <c r="Q30" s="613"/>
      <c r="R30" s="613"/>
      <c r="S30" s="613"/>
      <c r="T30" s="613"/>
      <c r="U30" s="613"/>
      <c r="V30" s="613"/>
      <c r="W30" s="613"/>
      <c r="X30" s="613"/>
      <c r="Y30" s="613"/>
      <c r="Z30" s="613"/>
      <c r="AA30" s="613"/>
      <c r="AB30" s="613"/>
      <c r="AC30" s="613"/>
      <c r="AD30" s="613"/>
      <c r="AE30" s="613"/>
      <c r="AF30" s="613"/>
      <c r="AG30" s="613"/>
      <c r="AH30" s="613"/>
      <c r="AI30" s="613"/>
      <c r="AJ30" s="613"/>
      <c r="AK30" s="613"/>
      <c r="AL30" s="613"/>
      <c r="AM30" s="613"/>
    </row>
    <row r="31" spans="1:95" s="22" customFormat="1" ht="19.899999999999999" customHeight="1">
      <c r="A31" s="4597" t="s">
        <v>224</v>
      </c>
      <c r="B31" s="4598"/>
      <c r="C31" s="4599" t="s">
        <v>484</v>
      </c>
      <c r="D31" s="4599"/>
      <c r="E31" s="4599"/>
      <c r="F31" s="4599"/>
      <c r="G31" s="353">
        <f>'Декоры база'!G148*скидки_наценки!$D$13*скидки_наценки!$F$13/скидки_наценки!$B$4</f>
        <v>0</v>
      </c>
      <c r="H31" s="353">
        <f>'Декоры база'!H148*скидки_наценки!$D$13*скидки_наценки!$F$13/скидки_наценки!$B$4</f>
        <v>0</v>
      </c>
      <c r="I31" s="353">
        <f>'Декоры база'!I148*скидки_наценки!$D$13*скидки_наценки!$F$13/скидки_наценки!$B$4</f>
        <v>0</v>
      </c>
      <c r="J31" s="1014">
        <f>CEILING('стекло+зеркала_база'!N79*(1+скидки_наценки!$B$32)*скидки_наценки!$D$13*скидки_наценки!$F$13/скидки_наценки!$B$4, 50)</f>
        <v>700</v>
      </c>
      <c r="K31" s="1014">
        <f>'стекло+зеркала_база'!N79*скидки_наценки!$D$13*скидки_наценки!$F$13/скидки_наценки!$B$4</f>
        <v>700</v>
      </c>
      <c r="N31" s="613"/>
      <c r="O31" s="613"/>
      <c r="P31" s="613"/>
      <c r="Q31" s="613"/>
      <c r="R31" s="613"/>
      <c r="S31" s="613"/>
      <c r="T31" s="613"/>
      <c r="U31" s="613"/>
      <c r="V31" s="613"/>
      <c r="W31" s="613"/>
      <c r="X31" s="613"/>
      <c r="Y31" s="613"/>
      <c r="Z31" s="613"/>
      <c r="AA31" s="613"/>
      <c r="AB31" s="613"/>
      <c r="AC31" s="613"/>
      <c r="AD31" s="613"/>
      <c r="AE31" s="613"/>
      <c r="AF31" s="613"/>
      <c r="AG31" s="613"/>
      <c r="AH31" s="613"/>
      <c r="AI31" s="613"/>
      <c r="AJ31" s="613"/>
      <c r="AK31" s="613"/>
      <c r="AL31" s="613"/>
      <c r="AM31" s="613"/>
    </row>
    <row r="32" spans="1:95" ht="18" customHeight="1">
      <c r="F32" s="21"/>
    </row>
  </sheetData>
  <mergeCells count="27">
    <mergeCell ref="A13:F13"/>
    <mergeCell ref="A6:A8"/>
    <mergeCell ref="A17:C18"/>
    <mergeCell ref="D14:F14"/>
    <mergeCell ref="D15:F15"/>
    <mergeCell ref="D16:F16"/>
    <mergeCell ref="D17:F17"/>
    <mergeCell ref="D18:F18"/>
    <mergeCell ref="A14:C16"/>
    <mergeCell ref="B3:E3"/>
    <mergeCell ref="D6:D8"/>
    <mergeCell ref="E6:E8"/>
    <mergeCell ref="A12:F12"/>
    <mergeCell ref="A5:C5"/>
    <mergeCell ref="B6:C8"/>
    <mergeCell ref="A31:B31"/>
    <mergeCell ref="C31:F31"/>
    <mergeCell ref="A30:K30"/>
    <mergeCell ref="C26:D28"/>
    <mergeCell ref="A29:B29"/>
    <mergeCell ref="E26:E28"/>
    <mergeCell ref="A26:B28"/>
    <mergeCell ref="C29:D29"/>
    <mergeCell ref="G26:G28"/>
    <mergeCell ref="H26:H28"/>
    <mergeCell ref="I26:I28"/>
    <mergeCell ref="F26:F28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6" fitToHeight="2" orientation="landscape" useFirstPageNumber="1" r:id="rId1"/>
  <headerFooter>
    <oddFooter>&amp;L&amp;P&amp;R&amp;G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92D050"/>
  </sheetPr>
  <dimension ref="A1:CU43"/>
  <sheetViews>
    <sheetView view="pageBreakPreview" zoomScale="80" zoomScaleNormal="85" zoomScaleSheetLayoutView="80" zoomScalePageLayoutView="85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B1" sqref="B1"/>
    </sheetView>
  </sheetViews>
  <sheetFormatPr defaultColWidth="8.85546875" defaultRowHeight="15"/>
  <cols>
    <col min="1" max="1" width="4.7109375" style="589" customWidth="1"/>
    <col min="2" max="5" width="11.7109375" style="589" customWidth="1"/>
    <col min="6" max="6" width="11.7109375" style="2" customWidth="1"/>
    <col min="7" max="14" width="20.7109375" style="589" customWidth="1"/>
    <col min="15" max="15" width="9.85546875" style="1222" customWidth="1"/>
    <col min="16" max="16384" width="8.85546875" style="589"/>
  </cols>
  <sheetData>
    <row r="1" spans="1:43" ht="18.75" customHeight="1">
      <c r="B1" s="2277" t="s">
        <v>490</v>
      </c>
      <c r="G1" s="362" t="str">
        <f>IFERROR(MATCH(#REF!,#REF!,0)-2,"")</f>
        <v/>
      </c>
      <c r="H1" s="362"/>
      <c r="I1" s="362" t="str">
        <f>IFERROR(MATCH(#REF!,#REF!,0)-2,"")</f>
        <v/>
      </c>
      <c r="J1" s="362" t="str">
        <f>IFERROR(MATCH(#REF!,#REF!,0)-2,"")</f>
        <v/>
      </c>
      <c r="K1" s="362" t="str">
        <f>IFERROR(MATCH(#REF!,#REF!,0)-2,"")</f>
        <v/>
      </c>
      <c r="L1" s="362" t="str">
        <f>IFERROR(MATCH(G$5,#REF!,0)-2,"")</f>
        <v/>
      </c>
      <c r="M1" s="362" t="str">
        <f>IFERROR(MATCH(I$5,#REF!,0)-2,"")</f>
        <v/>
      </c>
      <c r="N1" s="362" t="str">
        <f>IFERROR(MATCH(K$5,#REF!,0)-2,"")</f>
        <v/>
      </c>
    </row>
    <row r="2" spans="1:43" ht="18" customHeight="1">
      <c r="A2" s="2328"/>
      <c r="D2" s="2272"/>
      <c r="F2" s="4"/>
      <c r="G2" s="26"/>
      <c r="H2" s="26"/>
      <c r="I2" s="26"/>
      <c r="J2" s="26"/>
      <c r="K2" s="26"/>
      <c r="L2" s="26"/>
      <c r="M2" s="26"/>
      <c r="N2" s="26"/>
      <c r="P2" s="242"/>
      <c r="Q2" s="242"/>
      <c r="R2" s="242"/>
      <c r="S2" s="242"/>
      <c r="T2" s="242"/>
      <c r="U2" s="242"/>
      <c r="V2" s="242"/>
      <c r="W2" s="242"/>
      <c r="X2" s="242"/>
      <c r="Y2" s="242"/>
      <c r="Z2" s="242"/>
      <c r="AA2" s="242"/>
      <c r="AB2" s="242"/>
      <c r="AC2" s="242"/>
      <c r="AD2" s="242"/>
      <c r="AE2" s="242"/>
      <c r="AF2" s="242"/>
      <c r="AG2" s="242"/>
      <c r="AH2" s="242"/>
      <c r="AI2" s="242"/>
      <c r="AJ2" s="242"/>
      <c r="AK2" s="242"/>
      <c r="AL2" s="242"/>
      <c r="AM2" s="242"/>
      <c r="AN2" s="242"/>
      <c r="AO2" s="242"/>
      <c r="AP2" s="242"/>
      <c r="AQ2" s="242"/>
    </row>
    <row r="3" spans="1:43" ht="84" customHeight="1">
      <c r="A3" s="7"/>
      <c r="B3" s="4397" t="s">
        <v>374</v>
      </c>
      <c r="C3" s="4398"/>
      <c r="D3" s="4398"/>
      <c r="E3" s="4399"/>
      <c r="F3" s="8"/>
      <c r="G3" s="7"/>
      <c r="H3" s="7"/>
      <c r="I3" s="7"/>
      <c r="J3" s="7"/>
      <c r="K3" s="7"/>
      <c r="L3" s="7"/>
      <c r="M3" s="7"/>
      <c r="N3" s="7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  <c r="AK3" s="242"/>
      <c r="AL3" s="242"/>
      <c r="AM3" s="242"/>
      <c r="AN3" s="242"/>
      <c r="AO3" s="242"/>
      <c r="AP3" s="242"/>
      <c r="AQ3" s="242"/>
    </row>
    <row r="4" spans="1:43" ht="15.75" thickBot="1">
      <c r="A4" s="15"/>
      <c r="B4" s="46" t="s">
        <v>59</v>
      </c>
      <c r="C4" s="2328"/>
      <c r="D4" s="2328"/>
      <c r="E4" s="2328"/>
      <c r="F4" s="6"/>
      <c r="G4" s="2328"/>
      <c r="H4" s="2335"/>
      <c r="I4" s="2328"/>
      <c r="J4" s="2328"/>
      <c r="K4" s="2328"/>
      <c r="L4" s="2328"/>
      <c r="M4" s="2328"/>
      <c r="N4" s="2328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2"/>
      <c r="AI4" s="242"/>
      <c r="AJ4" s="242"/>
      <c r="AK4" s="242"/>
      <c r="AL4" s="242"/>
      <c r="AM4" s="242"/>
      <c r="AN4" s="242"/>
      <c r="AO4" s="242"/>
      <c r="AP4" s="242"/>
      <c r="AQ4" s="242"/>
    </row>
    <row r="5" spans="1:43" s="454" customFormat="1" ht="15" customHeight="1">
      <c r="A5" s="4648" t="s">
        <v>2</v>
      </c>
      <c r="B5" s="4648"/>
      <c r="C5" s="4648"/>
      <c r="D5" s="4648" t="s">
        <v>400</v>
      </c>
      <c r="E5" s="4648" t="s">
        <v>47</v>
      </c>
      <c r="F5" s="4474" t="s">
        <v>37</v>
      </c>
      <c r="G5" s="4725" t="s">
        <v>928</v>
      </c>
      <c r="H5" s="4726"/>
      <c r="I5" s="4725" t="s">
        <v>929</v>
      </c>
      <c r="J5" s="4726"/>
      <c r="K5" s="4728" t="s">
        <v>930</v>
      </c>
      <c r="L5" s="4729"/>
      <c r="O5" s="1223"/>
      <c r="P5" s="1023"/>
      <c r="Q5" s="1023"/>
      <c r="R5" s="1023"/>
      <c r="S5" s="1023"/>
      <c r="T5" s="1023"/>
      <c r="U5" s="1023"/>
      <c r="V5" s="1023"/>
      <c r="W5" s="1023"/>
      <c r="X5" s="1023"/>
      <c r="Y5" s="1023"/>
      <c r="Z5" s="1023"/>
      <c r="AA5" s="1023"/>
      <c r="AB5" s="1023"/>
      <c r="AC5" s="1023"/>
      <c r="AD5" s="1023"/>
      <c r="AE5" s="1023"/>
      <c r="AF5" s="1023"/>
      <c r="AG5" s="1023"/>
      <c r="AH5" s="1023"/>
      <c r="AI5" s="1023"/>
      <c r="AJ5" s="1023"/>
      <c r="AK5" s="1023"/>
      <c r="AL5" s="1023"/>
      <c r="AM5" s="1023"/>
      <c r="AN5" s="1023"/>
      <c r="AO5" s="1023"/>
      <c r="AP5" s="1023"/>
      <c r="AQ5" s="1023"/>
    </row>
    <row r="6" spans="1:43" s="454" customFormat="1" ht="12.75">
      <c r="A6" s="4648"/>
      <c r="B6" s="4648"/>
      <c r="C6" s="4648"/>
      <c r="D6" s="4648"/>
      <c r="E6" s="4648"/>
      <c r="F6" s="4474"/>
      <c r="G6" s="2461" t="s">
        <v>21</v>
      </c>
      <c r="H6" s="2611" t="s">
        <v>22</v>
      </c>
      <c r="I6" s="2461" t="s">
        <v>21</v>
      </c>
      <c r="J6" s="2611" t="s">
        <v>22</v>
      </c>
      <c r="K6" s="2461" t="s">
        <v>21</v>
      </c>
      <c r="L6" s="2611" t="s">
        <v>22</v>
      </c>
      <c r="O6" s="1223"/>
      <c r="P6" s="1023"/>
      <c r="Q6" s="1023"/>
      <c r="R6" s="1023"/>
      <c r="S6" s="1023"/>
      <c r="T6" s="1023"/>
      <c r="U6" s="1023"/>
      <c r="V6" s="1023"/>
      <c r="W6" s="1023"/>
      <c r="X6" s="1023"/>
      <c r="Y6" s="1023"/>
      <c r="Z6" s="1023"/>
      <c r="AA6" s="1023"/>
      <c r="AB6" s="1023"/>
      <c r="AC6" s="1023"/>
      <c r="AD6" s="1023"/>
      <c r="AE6" s="1023"/>
      <c r="AF6" s="1023"/>
      <c r="AG6" s="1023"/>
      <c r="AH6" s="1023"/>
      <c r="AI6" s="1023"/>
      <c r="AJ6" s="1023"/>
      <c r="AK6" s="1023"/>
      <c r="AL6" s="1023"/>
      <c r="AM6" s="1023"/>
      <c r="AN6" s="1023"/>
      <c r="AO6" s="1023"/>
      <c r="AP6" s="1023"/>
      <c r="AQ6" s="1023"/>
    </row>
    <row r="7" spans="1:43" s="2328" customFormat="1" ht="30" customHeight="1">
      <c r="A7" s="4721" t="s">
        <v>26</v>
      </c>
      <c r="B7" s="4723" t="s">
        <v>2587</v>
      </c>
      <c r="C7" s="4724"/>
      <c r="D7" s="4214" t="s">
        <v>35</v>
      </c>
      <c r="E7" s="4214" t="s">
        <v>34</v>
      </c>
      <c r="F7" s="2468" t="s">
        <v>0</v>
      </c>
      <c r="G7" s="2462">
        <f>CEILING('Полотна база'!AI55*(1+скидки_наценки!$B$29)*скидки_наценки!$D$13*скидки_наценки!$F$13/скидки_наценки!$B$4, 50)</f>
        <v>33350</v>
      </c>
      <c r="H7" s="2463">
        <f>G7+$H$39</f>
        <v>37350</v>
      </c>
      <c r="I7" s="2462">
        <f>CEILING('Полотна база'!AJ55*(1+скидки_наценки!$B$29)*скидки_наценки!$D$13*скидки_наценки!$F$13/скидки_наценки!$B$4, 50)</f>
        <v>39550</v>
      </c>
      <c r="J7" s="2463">
        <f>I7+$J$39</f>
        <v>45550</v>
      </c>
      <c r="K7" s="2462">
        <f>CEILING('Полотна база'!AK55*(1+скидки_наценки!$B$29)*скидки_наценки!$D$13*скидки_наценки!$F$13/скидки_наценки!$B$4, 50)</f>
        <v>39550</v>
      </c>
      <c r="L7" s="2463">
        <f>K7+$L$39</f>
        <v>47550</v>
      </c>
      <c r="O7" s="1222"/>
      <c r="P7" s="441"/>
      <c r="Q7" s="441"/>
      <c r="R7" s="441"/>
      <c r="S7" s="441"/>
      <c r="T7" s="441"/>
      <c r="U7" s="441"/>
      <c r="V7" s="441"/>
      <c r="W7" s="441"/>
      <c r="X7" s="441"/>
      <c r="Y7" s="441"/>
      <c r="Z7" s="441"/>
      <c r="AA7" s="441"/>
      <c r="AB7" s="441"/>
      <c r="AC7" s="441"/>
      <c r="AD7" s="441"/>
      <c r="AE7" s="441"/>
      <c r="AF7" s="441"/>
      <c r="AG7" s="441"/>
      <c r="AH7" s="441"/>
      <c r="AI7" s="441"/>
      <c r="AJ7" s="441"/>
      <c r="AK7" s="441"/>
      <c r="AL7" s="441"/>
      <c r="AM7" s="441"/>
      <c r="AN7" s="441"/>
      <c r="AO7" s="441"/>
      <c r="AP7" s="441"/>
      <c r="AQ7" s="441"/>
    </row>
    <row r="8" spans="1:43" s="2328" customFormat="1" ht="15" customHeight="1">
      <c r="A8" s="4721"/>
      <c r="B8" s="4216"/>
      <c r="C8" s="4217"/>
      <c r="D8" s="4214"/>
      <c r="E8" s="4214"/>
      <c r="F8" s="2343" t="s">
        <v>306</v>
      </c>
      <c r="G8" s="2464">
        <f>IF(G7=0,0,(Погонаж!$C$14*2.5+Погонаж!$E$14*5))</f>
        <v>13250</v>
      </c>
      <c r="H8" s="2465">
        <f>IF(H7=0,0,(Погонаж!$C$14*2.5+Погонаж!$E$14*5))</f>
        <v>13250</v>
      </c>
      <c r="I8" s="2464">
        <f>IF(I7=0,0,(Погонаж!$C$14*2.5+Погонаж!$E$14*5))</f>
        <v>13250</v>
      </c>
      <c r="J8" s="2465">
        <f>IF(J7=0,0,(Погонаж!$C$14*2.5+Погонаж!$E$14*5))</f>
        <v>13250</v>
      </c>
      <c r="K8" s="2464">
        <f>IF(K7=0,0,(Погонаж!$C$14*2.5+Погонаж!$E$14*5))</f>
        <v>13250</v>
      </c>
      <c r="L8" s="2465">
        <f>IF(L7=0,0,(Погонаж!$C$14*2.5+Погонаж!$E$14*5))</f>
        <v>13250</v>
      </c>
      <c r="O8" s="1222"/>
      <c r="P8" s="441"/>
      <c r="Q8" s="441"/>
      <c r="R8" s="441"/>
      <c r="S8" s="441"/>
      <c r="T8" s="441"/>
      <c r="U8" s="441"/>
      <c r="V8" s="441"/>
      <c r="W8" s="441"/>
      <c r="X8" s="441"/>
      <c r="Y8" s="441"/>
      <c r="Z8" s="441"/>
      <c r="AA8" s="441"/>
      <c r="AB8" s="441"/>
      <c r="AC8" s="441"/>
      <c r="AD8" s="441"/>
      <c r="AE8" s="441"/>
      <c r="AF8" s="441"/>
      <c r="AG8" s="441"/>
      <c r="AH8" s="441"/>
      <c r="AI8" s="441"/>
      <c r="AJ8" s="441"/>
      <c r="AK8" s="441"/>
      <c r="AL8" s="441"/>
      <c r="AM8" s="441"/>
      <c r="AN8" s="441"/>
      <c r="AO8" s="441"/>
      <c r="AP8" s="441"/>
      <c r="AQ8" s="441"/>
    </row>
    <row r="9" spans="1:43" s="2328" customFormat="1" ht="30" customHeight="1">
      <c r="A9" s="4721"/>
      <c r="B9" s="4218"/>
      <c r="C9" s="4219"/>
      <c r="D9" s="4215"/>
      <c r="E9" s="4215"/>
      <c r="F9" s="1011" t="s">
        <v>1</v>
      </c>
      <c r="G9" s="2466">
        <f t="shared" ref="G9:L9" si="0">G7+G8</f>
        <v>46600</v>
      </c>
      <c r="H9" s="2467">
        <f t="shared" si="0"/>
        <v>50600</v>
      </c>
      <c r="I9" s="2466">
        <f t="shared" si="0"/>
        <v>52800</v>
      </c>
      <c r="J9" s="2467">
        <f t="shared" si="0"/>
        <v>58800</v>
      </c>
      <c r="K9" s="2466">
        <f t="shared" si="0"/>
        <v>52800</v>
      </c>
      <c r="L9" s="2467">
        <f t="shared" si="0"/>
        <v>60800</v>
      </c>
      <c r="O9" s="1222"/>
      <c r="P9" s="441"/>
      <c r="Q9" s="441"/>
      <c r="R9" s="441"/>
      <c r="S9" s="441"/>
      <c r="T9" s="441"/>
      <c r="U9" s="441"/>
      <c r="V9" s="441"/>
      <c r="W9" s="441"/>
      <c r="X9" s="441"/>
      <c r="Y9" s="441"/>
      <c r="Z9" s="441"/>
      <c r="AA9" s="441"/>
      <c r="AB9" s="441"/>
      <c r="AC9" s="441"/>
      <c r="AD9" s="441"/>
      <c r="AE9" s="441"/>
      <c r="AF9" s="441"/>
      <c r="AG9" s="441"/>
      <c r="AH9" s="441"/>
      <c r="AI9" s="441"/>
      <c r="AJ9" s="441"/>
      <c r="AK9" s="441"/>
      <c r="AL9" s="441"/>
      <c r="AM9" s="441"/>
      <c r="AN9" s="441"/>
      <c r="AO9" s="441"/>
      <c r="AP9" s="441"/>
      <c r="AQ9" s="441"/>
    </row>
    <row r="10" spans="1:43" s="2328" customFormat="1" ht="30" customHeight="1">
      <c r="A10" s="4721"/>
      <c r="B10" s="4209" t="s">
        <v>2583</v>
      </c>
      <c r="C10" s="4210"/>
      <c r="D10" s="4203" t="s">
        <v>35</v>
      </c>
      <c r="E10" s="4203" t="s">
        <v>34</v>
      </c>
      <c r="F10" s="2581" t="s">
        <v>0</v>
      </c>
      <c r="G10" s="2614">
        <f>CEILING('Полотна база'!AI56*(1+скидки_наценки!$B$29)*скидки_наценки!$D$13*скидки_наценки!$F$13/скидки_наценки!$B$4, 50)</f>
        <v>36700</v>
      </c>
      <c r="H10" s="2615">
        <f>G10+$H$39</f>
        <v>40700</v>
      </c>
      <c r="I10" s="2614">
        <f>CEILING('Полотна база'!AJ56*(1+скидки_наценки!$B$29)*скидки_наценки!$D$13*скидки_наценки!$F$13/скидки_наценки!$B$4, 50)</f>
        <v>43550</v>
      </c>
      <c r="J10" s="2615">
        <f>I10+$J$39</f>
        <v>49550</v>
      </c>
      <c r="K10" s="2614">
        <f>CEILING('Полотна база'!AK56*(1+скидки_наценки!$B$29)*скидки_наценки!$D$13*скидки_наценки!$F$13/скидки_наценки!$B$4, 50)</f>
        <v>43550</v>
      </c>
      <c r="L10" s="2615">
        <f>K10+$L$39</f>
        <v>51550</v>
      </c>
      <c r="O10" s="1222"/>
      <c r="P10" s="441"/>
      <c r="Q10" s="441"/>
      <c r="R10" s="441"/>
      <c r="S10" s="441"/>
      <c r="T10" s="441"/>
      <c r="U10" s="441"/>
      <c r="V10" s="441"/>
      <c r="W10" s="441"/>
      <c r="X10" s="441"/>
      <c r="Y10" s="441"/>
      <c r="Z10" s="441"/>
      <c r="AA10" s="441"/>
      <c r="AB10" s="441"/>
      <c r="AC10" s="441"/>
      <c r="AD10" s="441"/>
      <c r="AE10" s="441"/>
      <c r="AF10" s="441"/>
      <c r="AG10" s="441"/>
      <c r="AH10" s="441"/>
      <c r="AI10" s="441"/>
      <c r="AJ10" s="441"/>
      <c r="AK10" s="441"/>
      <c r="AL10" s="441"/>
      <c r="AM10" s="441"/>
      <c r="AN10" s="441"/>
      <c r="AO10" s="441"/>
      <c r="AP10" s="441"/>
      <c r="AQ10" s="441"/>
    </row>
    <row r="11" spans="1:43" s="2328" customFormat="1" ht="15" customHeight="1">
      <c r="A11" s="4721"/>
      <c r="B11" s="4226"/>
      <c r="C11" s="4227"/>
      <c r="D11" s="4204"/>
      <c r="E11" s="4204"/>
      <c r="F11" s="2584" t="s">
        <v>306</v>
      </c>
      <c r="G11" s="2612">
        <f>IF(G10=0,0,(Погонаж!$C$15*2.5+Погонаж!$E$15*5))</f>
        <v>14375</v>
      </c>
      <c r="H11" s="2613">
        <f>IF(H10=0,0,(Погонаж!$C$15*2.5+Погонаж!$E$15*5))</f>
        <v>14375</v>
      </c>
      <c r="I11" s="2612">
        <f>IF(I10=0,0,(Погонаж!$C$15*2.5+Погонаж!$E$15*5))</f>
        <v>14375</v>
      </c>
      <c r="J11" s="2613">
        <f>IF(J10=0,0,(Погонаж!$C$15*2.5+Погонаж!$E$15*5))</f>
        <v>14375</v>
      </c>
      <c r="K11" s="2612">
        <f>IF(K10=0,0,(Погонаж!$C$15*2.5+Погонаж!$E$15*5))</f>
        <v>14375</v>
      </c>
      <c r="L11" s="2613">
        <f>IF(L10=0,0,(Погонаж!$C$15*2.5+Погонаж!$E$15*5))</f>
        <v>14375</v>
      </c>
      <c r="O11" s="1222"/>
      <c r="P11" s="441"/>
      <c r="Q11" s="441"/>
      <c r="R11" s="441"/>
      <c r="S11" s="441"/>
      <c r="T11" s="441"/>
      <c r="U11" s="441"/>
      <c r="V11" s="441"/>
      <c r="W11" s="441"/>
      <c r="X11" s="441"/>
      <c r="Y11" s="441"/>
      <c r="Z11" s="441"/>
      <c r="AA11" s="441"/>
      <c r="AB11" s="441"/>
      <c r="AC11" s="441"/>
      <c r="AD11" s="441"/>
      <c r="AE11" s="441"/>
      <c r="AF11" s="441"/>
      <c r="AG11" s="441"/>
      <c r="AH11" s="441"/>
      <c r="AI11" s="441"/>
      <c r="AJ11" s="441"/>
      <c r="AK11" s="441"/>
      <c r="AL11" s="441"/>
      <c r="AM11" s="441"/>
      <c r="AN11" s="441"/>
      <c r="AO11" s="441"/>
      <c r="AP11" s="441"/>
      <c r="AQ11" s="441"/>
    </row>
    <row r="12" spans="1:43" s="2328" customFormat="1" ht="30" customHeight="1">
      <c r="A12" s="4721"/>
      <c r="B12" s="4228"/>
      <c r="C12" s="4229"/>
      <c r="D12" s="4205"/>
      <c r="E12" s="4205"/>
      <c r="F12" s="1010" t="s">
        <v>1</v>
      </c>
      <c r="G12" s="2618">
        <f t="shared" ref="G12:L12" si="1">G10+G11</f>
        <v>51075</v>
      </c>
      <c r="H12" s="2619">
        <f t="shared" si="1"/>
        <v>55075</v>
      </c>
      <c r="I12" s="2618">
        <f t="shared" si="1"/>
        <v>57925</v>
      </c>
      <c r="J12" s="2620">
        <f t="shared" si="1"/>
        <v>63925</v>
      </c>
      <c r="K12" s="2618">
        <f t="shared" si="1"/>
        <v>57925</v>
      </c>
      <c r="L12" s="2619">
        <f t="shared" si="1"/>
        <v>65925</v>
      </c>
      <c r="O12" s="1222"/>
      <c r="P12" s="441"/>
      <c r="Q12" s="441"/>
      <c r="R12" s="441"/>
      <c r="S12" s="441"/>
      <c r="T12" s="441"/>
      <c r="U12" s="441"/>
      <c r="V12" s="441"/>
      <c r="W12" s="441"/>
      <c r="X12" s="441"/>
      <c r="Y12" s="441"/>
      <c r="Z12" s="441"/>
      <c r="AA12" s="441"/>
      <c r="AB12" s="441"/>
      <c r="AC12" s="441"/>
      <c r="AD12" s="441"/>
      <c r="AE12" s="441"/>
      <c r="AF12" s="441"/>
      <c r="AG12" s="441"/>
      <c r="AH12" s="441"/>
      <c r="AI12" s="441"/>
      <c r="AJ12" s="441"/>
      <c r="AK12" s="441"/>
      <c r="AL12" s="441"/>
      <c r="AM12" s="441"/>
      <c r="AN12" s="441"/>
      <c r="AO12" s="441"/>
      <c r="AP12" s="441"/>
      <c r="AQ12" s="441"/>
    </row>
    <row r="13" spans="1:43" s="3848" customFormat="1" ht="30" hidden="1" customHeight="1">
      <c r="A13" s="4722"/>
      <c r="B13" s="4209" t="s">
        <v>3384</v>
      </c>
      <c r="C13" s="4210"/>
      <c r="D13" s="4203" t="s">
        <v>35</v>
      </c>
      <c r="E13" s="4203" t="s">
        <v>34</v>
      </c>
      <c r="F13" s="3844" t="s">
        <v>0</v>
      </c>
      <c r="G13" s="2614"/>
      <c r="H13" s="2615"/>
      <c r="I13" s="2614"/>
      <c r="J13" s="2615"/>
      <c r="K13" s="2614"/>
      <c r="L13" s="2615"/>
      <c r="O13" s="1222"/>
      <c r="P13" s="441"/>
      <c r="Q13" s="441"/>
      <c r="R13" s="441"/>
      <c r="S13" s="441"/>
      <c r="T13" s="441"/>
      <c r="U13" s="441"/>
      <c r="V13" s="441"/>
      <c r="W13" s="441"/>
      <c r="X13" s="441"/>
      <c r="Y13" s="441"/>
      <c r="Z13" s="441"/>
      <c r="AA13" s="441"/>
      <c r="AB13" s="441"/>
      <c r="AC13" s="441"/>
      <c r="AD13" s="441"/>
      <c r="AE13" s="441"/>
      <c r="AF13" s="441"/>
      <c r="AG13" s="441"/>
      <c r="AH13" s="441"/>
      <c r="AI13" s="441"/>
      <c r="AJ13" s="441"/>
      <c r="AK13" s="441"/>
      <c r="AL13" s="441"/>
      <c r="AM13" s="441"/>
      <c r="AN13" s="441"/>
      <c r="AO13" s="441"/>
      <c r="AP13" s="441"/>
      <c r="AQ13" s="441"/>
    </row>
    <row r="14" spans="1:43" s="3848" customFormat="1" ht="30" hidden="1" customHeight="1">
      <c r="A14" s="4722"/>
      <c r="B14" s="4226"/>
      <c r="C14" s="4227"/>
      <c r="D14" s="4204"/>
      <c r="E14" s="4204"/>
      <c r="F14" s="3846" t="s">
        <v>306</v>
      </c>
      <c r="G14" s="2612"/>
      <c r="H14" s="2613"/>
      <c r="I14" s="2612"/>
      <c r="J14" s="2613"/>
      <c r="K14" s="2612"/>
      <c r="L14" s="2613"/>
      <c r="O14" s="1222"/>
      <c r="P14" s="441"/>
      <c r="Q14" s="441"/>
      <c r="R14" s="441"/>
      <c r="S14" s="441"/>
      <c r="T14" s="441"/>
      <c r="U14" s="441"/>
      <c r="V14" s="441"/>
      <c r="W14" s="441"/>
      <c r="X14" s="441"/>
      <c r="Y14" s="441"/>
      <c r="Z14" s="441"/>
      <c r="AA14" s="441"/>
      <c r="AB14" s="441"/>
      <c r="AC14" s="441"/>
      <c r="AD14" s="441"/>
      <c r="AE14" s="441"/>
      <c r="AF14" s="441"/>
      <c r="AG14" s="441"/>
      <c r="AH14" s="441"/>
      <c r="AI14" s="441"/>
      <c r="AJ14" s="441"/>
      <c r="AK14" s="441"/>
      <c r="AL14" s="441"/>
      <c r="AM14" s="441"/>
      <c r="AN14" s="441"/>
      <c r="AO14" s="441"/>
      <c r="AP14" s="441"/>
      <c r="AQ14" s="441"/>
    </row>
    <row r="15" spans="1:43" s="3848" customFormat="1" ht="30" hidden="1" customHeight="1">
      <c r="A15" s="4722"/>
      <c r="B15" s="4228"/>
      <c r="C15" s="4229"/>
      <c r="D15" s="4205"/>
      <c r="E15" s="4205"/>
      <c r="F15" s="1010" t="s">
        <v>1</v>
      </c>
      <c r="G15" s="2618"/>
      <c r="H15" s="2619"/>
      <c r="I15" s="2618"/>
      <c r="J15" s="2620"/>
      <c r="K15" s="2618"/>
      <c r="L15" s="2619"/>
      <c r="O15" s="1222"/>
      <c r="P15" s="441"/>
      <c r="Q15" s="441"/>
      <c r="R15" s="441"/>
      <c r="S15" s="441"/>
      <c r="T15" s="441"/>
      <c r="U15" s="441"/>
      <c r="V15" s="441"/>
      <c r="W15" s="441"/>
      <c r="X15" s="441"/>
      <c r="Y15" s="441"/>
      <c r="Z15" s="441"/>
      <c r="AA15" s="441"/>
      <c r="AB15" s="441"/>
      <c r="AC15" s="441"/>
      <c r="AD15" s="441"/>
      <c r="AE15" s="441"/>
      <c r="AF15" s="441"/>
      <c r="AG15" s="441"/>
      <c r="AH15" s="441"/>
      <c r="AI15" s="441"/>
      <c r="AJ15" s="441"/>
      <c r="AK15" s="441"/>
      <c r="AL15" s="441"/>
      <c r="AM15" s="441"/>
      <c r="AN15" s="441"/>
      <c r="AO15" s="441"/>
      <c r="AP15" s="441"/>
      <c r="AQ15" s="441"/>
    </row>
    <row r="16" spans="1:43" s="2328" customFormat="1" ht="30" customHeight="1">
      <c r="A16" s="4721"/>
      <c r="B16" s="4723" t="s">
        <v>3443</v>
      </c>
      <c r="C16" s="4724"/>
      <c r="D16" s="4214" t="s">
        <v>35</v>
      </c>
      <c r="E16" s="4214" t="s">
        <v>34</v>
      </c>
      <c r="F16" s="2468" t="s">
        <v>0</v>
      </c>
      <c r="G16" s="2462">
        <f>CEILING('Полотна база'!AI58*(1+скидки_наценки!$B$29)*скидки_наценки!$D$13*скидки_наценки!$F$13/скидки_наценки!$B$4, 50)</f>
        <v>40050</v>
      </c>
      <c r="H16" s="2463">
        <f>G16+$H$39</f>
        <v>44050</v>
      </c>
      <c r="I16" s="2462">
        <f>CEILING('Полотна база'!AJ58*(1+скидки_наценки!$B$29)*скидки_наценки!$D$13*скидки_наценки!$F$13/скидки_наценки!$B$4, 50)</f>
        <v>47500</v>
      </c>
      <c r="J16" s="2463">
        <f>I16+$J$39</f>
        <v>53500</v>
      </c>
      <c r="K16" s="2462">
        <f>CEILING('Полотна база'!AK58*(1+скидки_наценки!$B$29)*скидки_наценки!$D$13*скидки_наценки!$F$13/скидки_наценки!$B$4, 50)</f>
        <v>47500</v>
      </c>
      <c r="L16" s="2463">
        <f>K16+$L$39</f>
        <v>55500</v>
      </c>
      <c r="O16" s="1222"/>
      <c r="P16" s="441"/>
      <c r="Q16" s="441"/>
      <c r="R16" s="441"/>
      <c r="S16" s="441"/>
      <c r="T16" s="441"/>
      <c r="U16" s="441"/>
      <c r="V16" s="441"/>
      <c r="W16" s="441"/>
      <c r="X16" s="441"/>
      <c r="Y16" s="441"/>
      <c r="Z16" s="441"/>
      <c r="AA16" s="441"/>
      <c r="AB16" s="441"/>
      <c r="AC16" s="441"/>
      <c r="AD16" s="441"/>
      <c r="AE16" s="441"/>
      <c r="AF16" s="441"/>
      <c r="AG16" s="441"/>
      <c r="AH16" s="441"/>
      <c r="AI16" s="441"/>
      <c r="AJ16" s="441"/>
      <c r="AK16" s="441"/>
      <c r="AL16" s="441"/>
      <c r="AM16" s="441"/>
      <c r="AN16" s="441"/>
      <c r="AO16" s="441"/>
      <c r="AP16" s="441"/>
      <c r="AQ16" s="441"/>
    </row>
    <row r="17" spans="1:99" s="2328" customFormat="1" ht="15" customHeight="1">
      <c r="A17" s="4721"/>
      <c r="B17" s="4216"/>
      <c r="C17" s="4217"/>
      <c r="D17" s="4214"/>
      <c r="E17" s="4214"/>
      <c r="F17" s="2583" t="s">
        <v>306</v>
      </c>
      <c r="G17" s="2464">
        <f>IF(G16=0,0,(Погонаж!$C$17*2.5+Погонаж!$E$17*5))</f>
        <v>15250</v>
      </c>
      <c r="H17" s="2465">
        <f>IF(H16=0,0,(Погонаж!$C$17*2.5+Погонаж!$E$17*5))</f>
        <v>15250</v>
      </c>
      <c r="I17" s="2464">
        <f>IF(I16=0,0,(Погонаж!$C$17*2.5+Погонаж!$E$17*5))</f>
        <v>15250</v>
      </c>
      <c r="J17" s="2465">
        <f>IF(J16=0,0,(Погонаж!$C$17*2.5+Погонаж!$E$17*5))</f>
        <v>15250</v>
      </c>
      <c r="K17" s="2464">
        <f>IF(K16=0,0,(Погонаж!$C$17*2.5+Погонаж!$E$17*5))</f>
        <v>15250</v>
      </c>
      <c r="L17" s="2465">
        <f>IF(L16=0,0,(Погонаж!$C$17*2.5+Погонаж!$E$17*5))</f>
        <v>15250</v>
      </c>
      <c r="O17" s="1222"/>
      <c r="P17" s="441"/>
      <c r="Q17" s="441"/>
      <c r="R17" s="441"/>
      <c r="S17" s="441"/>
      <c r="T17" s="441"/>
      <c r="U17" s="441"/>
      <c r="V17" s="441"/>
      <c r="W17" s="441"/>
      <c r="X17" s="441"/>
      <c r="Y17" s="441"/>
      <c r="Z17" s="441"/>
      <c r="AA17" s="441"/>
      <c r="AB17" s="441"/>
      <c r="AC17" s="441"/>
      <c r="AD17" s="441"/>
      <c r="AE17" s="441"/>
      <c r="AF17" s="441"/>
      <c r="AG17" s="441"/>
      <c r="AH17" s="441"/>
      <c r="AI17" s="441"/>
      <c r="AJ17" s="441"/>
      <c r="AK17" s="441"/>
      <c r="AL17" s="441"/>
      <c r="AM17" s="441"/>
      <c r="AN17" s="441"/>
      <c r="AO17" s="441"/>
      <c r="AP17" s="441"/>
      <c r="AQ17" s="441"/>
    </row>
    <row r="18" spans="1:99" ht="30" customHeight="1" thickBot="1">
      <c r="A18" s="4721"/>
      <c r="B18" s="4218"/>
      <c r="C18" s="4219"/>
      <c r="D18" s="4215"/>
      <c r="E18" s="4215"/>
      <c r="F18" s="1011" t="s">
        <v>1</v>
      </c>
      <c r="G18" s="2616">
        <f t="shared" ref="G18:L18" si="2">G16+G17</f>
        <v>55300</v>
      </c>
      <c r="H18" s="2617">
        <f t="shared" si="2"/>
        <v>59300</v>
      </c>
      <c r="I18" s="2616">
        <f t="shared" si="2"/>
        <v>62750</v>
      </c>
      <c r="J18" s="2617">
        <f t="shared" si="2"/>
        <v>68750</v>
      </c>
      <c r="K18" s="2616">
        <f t="shared" si="2"/>
        <v>62750</v>
      </c>
      <c r="L18" s="2617">
        <f t="shared" si="2"/>
        <v>70750</v>
      </c>
      <c r="P18" s="242"/>
      <c r="Q18" s="242"/>
      <c r="R18" s="242"/>
      <c r="S18" s="242"/>
      <c r="T18" s="242"/>
      <c r="U18" s="242"/>
      <c r="V18" s="242"/>
      <c r="W18" s="242"/>
      <c r="X18" s="242"/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</row>
    <row r="19" spans="1:99" ht="18" customHeight="1">
      <c r="F19" s="589"/>
      <c r="G19" s="27"/>
      <c r="H19" s="27"/>
      <c r="L19" s="34"/>
      <c r="M19" s="34"/>
      <c r="N19" s="34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</row>
    <row r="20" spans="1:99" ht="15" customHeight="1">
      <c r="A20" s="2328"/>
      <c r="B20" s="19" t="s">
        <v>20</v>
      </c>
      <c r="C20" s="2328"/>
      <c r="D20" s="2328"/>
      <c r="E20" s="2328"/>
      <c r="F20" s="6"/>
      <c r="G20" s="3"/>
      <c r="H20" s="3"/>
      <c r="I20" s="237"/>
      <c r="J20" s="237"/>
      <c r="K20" s="3"/>
      <c r="L20" s="3"/>
      <c r="M20" s="22"/>
      <c r="N20" s="2328"/>
      <c r="P20" s="242"/>
      <c r="Q20" s="242"/>
      <c r="R20" s="242"/>
      <c r="S20" s="242"/>
      <c r="T20" s="242"/>
      <c r="U20" s="242"/>
      <c r="V20" s="242"/>
      <c r="W20" s="242"/>
      <c r="X20" s="242"/>
      <c r="Y20" s="242"/>
      <c r="Z20" s="242"/>
      <c r="AA20" s="242"/>
      <c r="AB20" s="242"/>
      <c r="AC20" s="242"/>
      <c r="AD20" s="242"/>
      <c r="AE20" s="242"/>
      <c r="AF20" s="242"/>
      <c r="AG20" s="242"/>
      <c r="AH20" s="242"/>
      <c r="AI20" s="242"/>
      <c r="AJ20" s="242"/>
      <c r="AK20" s="242"/>
      <c r="AL20" s="242"/>
      <c r="AM20" s="242"/>
      <c r="AN20" s="242"/>
      <c r="AO20" s="242"/>
      <c r="AP20" s="242"/>
      <c r="AQ20" s="242"/>
    </row>
    <row r="21" spans="1:99" s="454" customFormat="1" ht="15" customHeight="1">
      <c r="A21" s="4649" t="s">
        <v>3</v>
      </c>
      <c r="B21" s="4649"/>
      <c r="C21" s="4649"/>
      <c r="D21" s="4649"/>
      <c r="E21" s="4649"/>
      <c r="F21" s="4649"/>
      <c r="G21" s="4742" t="s">
        <v>928</v>
      </c>
      <c r="H21" s="4742"/>
      <c r="I21" s="4742" t="s">
        <v>929</v>
      </c>
      <c r="J21" s="4742"/>
      <c r="K21" s="4742" t="s">
        <v>930</v>
      </c>
      <c r="L21" s="4742"/>
      <c r="O21" s="1223"/>
      <c r="P21" s="1023"/>
      <c r="Q21" s="1023"/>
      <c r="R21" s="1023"/>
      <c r="S21" s="1023"/>
      <c r="T21" s="1023"/>
      <c r="U21" s="1023"/>
      <c r="V21" s="1023"/>
      <c r="W21" s="1023"/>
      <c r="X21" s="1023"/>
      <c r="Y21" s="1023"/>
      <c r="Z21" s="1023"/>
      <c r="AA21" s="1023"/>
      <c r="AB21" s="1023"/>
      <c r="AC21" s="1023"/>
      <c r="AD21" s="1023"/>
      <c r="AE21" s="1023"/>
      <c r="AF21" s="1023"/>
      <c r="AG21" s="1023"/>
      <c r="AH21" s="1023"/>
      <c r="AI21" s="1023"/>
      <c r="AJ21" s="1023"/>
      <c r="AK21" s="1023"/>
      <c r="AL21" s="1023"/>
      <c r="AM21" s="1023"/>
      <c r="AN21" s="1023"/>
      <c r="AO21" s="1023"/>
      <c r="AP21" s="1023"/>
      <c r="AQ21" s="1023"/>
    </row>
    <row r="22" spans="1:99" s="72" customFormat="1" ht="15" customHeight="1">
      <c r="A22" s="4709" t="s">
        <v>1233</v>
      </c>
      <c r="B22" s="4563"/>
      <c r="C22" s="4564"/>
      <c r="D22" s="4710" t="s">
        <v>1220</v>
      </c>
      <c r="E22" s="4711"/>
      <c r="F22" s="4712"/>
      <c r="G22" s="2887">
        <f>CEILING('стекло+зеркала_база'!H16*(1+скидки_наценки!$B$32)*скидки_наценки!$D$13*скидки_наценки!$F$13/скидки_наценки!$B$4,50)</f>
        <v>5500</v>
      </c>
      <c r="H22" s="2886">
        <f>CEILING('Декоры база'!M58*(1+скидки_наценки!$B$32)*скидки_наценки!$D$13*скидки_наценки!$F$13/скидки_наценки!$B$4,50)</f>
        <v>0</v>
      </c>
      <c r="I22" s="2886">
        <f>CEILING('Декоры база'!N58*(1+скидки_наценки!$B$32)*скидки_наценки!$D$13*скидки_наценки!$F$13/скидки_наценки!$B$4,50)</f>
        <v>0</v>
      </c>
      <c r="J22" s="3044" t="s">
        <v>2612</v>
      </c>
      <c r="K22" s="3044" t="s">
        <v>2612</v>
      </c>
      <c r="L22" s="3044" t="s">
        <v>2612</v>
      </c>
      <c r="O22" s="1222"/>
      <c r="P22" s="442"/>
      <c r="Q22" s="442"/>
      <c r="R22" s="442"/>
      <c r="S22" s="442"/>
      <c r="T22" s="442"/>
      <c r="U22" s="442"/>
      <c r="V22" s="442"/>
      <c r="W22" s="442"/>
      <c r="X22" s="442"/>
      <c r="Y22" s="442"/>
      <c r="Z22" s="442"/>
      <c r="AA22" s="442"/>
      <c r="AB22" s="442"/>
      <c r="AC22" s="442"/>
      <c r="AD22" s="442"/>
      <c r="AE22" s="442"/>
      <c r="AF22" s="442"/>
      <c r="AG22" s="442"/>
      <c r="AH22" s="442"/>
      <c r="AI22" s="442"/>
      <c r="AJ22" s="442"/>
      <c r="AK22" s="442"/>
      <c r="AL22" s="442"/>
      <c r="AM22" s="442"/>
      <c r="AN22" s="442"/>
      <c r="AO22" s="442"/>
      <c r="AP22" s="442"/>
      <c r="AQ22" s="442"/>
      <c r="AR22" s="294"/>
      <c r="AS22" s="294"/>
      <c r="AT22" s="294"/>
      <c r="AU22" s="294"/>
      <c r="AV22" s="294"/>
      <c r="AW22" s="294"/>
      <c r="AX22" s="294"/>
      <c r="AY22" s="294"/>
      <c r="AZ22" s="294"/>
      <c r="BA22" s="294"/>
      <c r="BB22" s="294"/>
      <c r="BC22" s="294"/>
      <c r="BD22" s="294"/>
      <c r="BE22" s="294"/>
      <c r="BF22" s="294"/>
      <c r="BG22" s="294"/>
      <c r="BH22" s="294"/>
      <c r="BI22" s="294"/>
      <c r="BJ22" s="294"/>
      <c r="BK22" s="294"/>
      <c r="BL22" s="294"/>
      <c r="BM22" s="294"/>
      <c r="BN22" s="294"/>
      <c r="BO22" s="294"/>
      <c r="BP22" s="294"/>
      <c r="BQ22" s="294"/>
      <c r="BR22" s="294"/>
      <c r="BS22" s="294"/>
      <c r="BT22" s="294"/>
      <c r="BU22" s="294"/>
      <c r="BV22" s="294"/>
      <c r="BW22" s="294"/>
      <c r="BX22" s="294"/>
      <c r="BY22" s="294"/>
      <c r="BZ22" s="294"/>
      <c r="CA22" s="294"/>
      <c r="CB22" s="294"/>
      <c r="CC22" s="294"/>
      <c r="CD22" s="294"/>
      <c r="CE22" s="294"/>
      <c r="CF22" s="294"/>
      <c r="CG22" s="294"/>
      <c r="CH22" s="294"/>
      <c r="CI22" s="294"/>
      <c r="CJ22" s="294"/>
      <c r="CK22" s="294"/>
      <c r="CL22" s="294"/>
      <c r="CM22" s="294"/>
      <c r="CN22" s="294"/>
      <c r="CO22" s="294"/>
      <c r="CP22" s="294"/>
      <c r="CQ22" s="294"/>
      <c r="CR22" s="294"/>
      <c r="CS22" s="294"/>
      <c r="CT22" s="294"/>
      <c r="CU22" s="294"/>
    </row>
    <row r="23" spans="1:99" s="72" customFormat="1" ht="15" customHeight="1">
      <c r="A23" s="4438"/>
      <c r="B23" s="4606"/>
      <c r="C23" s="4439"/>
      <c r="D23" s="4713" t="s">
        <v>2692</v>
      </c>
      <c r="E23" s="4714"/>
      <c r="F23" s="4715"/>
      <c r="G23" s="2890">
        <f>CEILING('стекло+зеркала_база'!I16*(1+скидки_наценки!$B$32)*скидки_наценки!$D$13*скидки_наценки!$F$13/скидки_наценки!$B$4,50)</f>
        <v>6500</v>
      </c>
      <c r="H23" s="2889">
        <f>CEILING('Декоры база'!M59*(1+скидки_наценки!$B$32)*скидки_наценки!$D$13*скидки_наценки!$F$13/скидки_наценки!$B$4,50)</f>
        <v>0</v>
      </c>
      <c r="I23" s="2889">
        <f>CEILING('Декоры база'!N59*(1+скидки_наценки!$B$32)*скидки_наценки!$D$13*скидки_наценки!$F$13/скидки_наценки!$B$4,50)</f>
        <v>0</v>
      </c>
      <c r="J23" s="3045" t="s">
        <v>2612</v>
      </c>
      <c r="K23" s="3045" t="s">
        <v>2612</v>
      </c>
      <c r="L23" s="3045" t="s">
        <v>2612</v>
      </c>
      <c r="O23" s="1222"/>
      <c r="P23" s="442"/>
      <c r="Q23" s="442"/>
      <c r="R23" s="442"/>
      <c r="S23" s="442"/>
      <c r="T23" s="442"/>
      <c r="U23" s="442"/>
      <c r="V23" s="442"/>
      <c r="W23" s="442"/>
      <c r="X23" s="442"/>
      <c r="Y23" s="442"/>
      <c r="Z23" s="442"/>
      <c r="AA23" s="442"/>
      <c r="AB23" s="442"/>
      <c r="AC23" s="442"/>
      <c r="AD23" s="442"/>
      <c r="AE23" s="442"/>
      <c r="AF23" s="442"/>
      <c r="AG23" s="442"/>
      <c r="AH23" s="442"/>
      <c r="AI23" s="442"/>
      <c r="AJ23" s="442"/>
      <c r="AK23" s="442"/>
      <c r="AL23" s="442"/>
      <c r="AM23" s="442"/>
      <c r="AN23" s="442"/>
      <c r="AO23" s="442"/>
      <c r="AP23" s="442"/>
      <c r="AQ23" s="442"/>
      <c r="AR23" s="294"/>
      <c r="AS23" s="294"/>
      <c r="AT23" s="294"/>
      <c r="AU23" s="294"/>
      <c r="AV23" s="294"/>
      <c r="AW23" s="294"/>
      <c r="AX23" s="294"/>
      <c r="AY23" s="294"/>
      <c r="AZ23" s="294"/>
      <c r="BA23" s="294"/>
      <c r="BB23" s="294"/>
      <c r="BC23" s="294"/>
      <c r="BD23" s="294"/>
      <c r="BE23" s="294"/>
      <c r="BF23" s="294"/>
      <c r="BG23" s="294"/>
      <c r="BH23" s="294"/>
      <c r="BI23" s="294"/>
      <c r="BJ23" s="294"/>
      <c r="BK23" s="294"/>
      <c r="BL23" s="294"/>
      <c r="BM23" s="294"/>
      <c r="BN23" s="294"/>
      <c r="BO23" s="294"/>
      <c r="BP23" s="294"/>
      <c r="BQ23" s="294"/>
      <c r="BR23" s="294"/>
      <c r="BS23" s="294"/>
      <c r="BT23" s="294"/>
      <c r="BU23" s="294"/>
      <c r="BV23" s="294"/>
      <c r="BW23" s="294"/>
      <c r="BX23" s="294"/>
      <c r="BY23" s="294"/>
      <c r="BZ23" s="294"/>
      <c r="CA23" s="294"/>
      <c r="CB23" s="294"/>
      <c r="CC23" s="294"/>
      <c r="CD23" s="294"/>
      <c r="CE23" s="294"/>
      <c r="CF23" s="294"/>
      <c r="CG23" s="294"/>
      <c r="CH23" s="294"/>
      <c r="CI23" s="294"/>
      <c r="CJ23" s="294"/>
      <c r="CK23" s="294"/>
      <c r="CL23" s="294"/>
      <c r="CM23" s="294"/>
      <c r="CN23" s="294"/>
      <c r="CO23" s="294"/>
      <c r="CP23" s="294"/>
      <c r="CQ23" s="294"/>
      <c r="CR23" s="294"/>
      <c r="CS23" s="294"/>
      <c r="CT23" s="294"/>
      <c r="CU23" s="294"/>
    </row>
    <row r="24" spans="1:99" ht="18" customHeight="1">
      <c r="A24" s="2329"/>
      <c r="B24" s="2329"/>
      <c r="C24" s="2329"/>
      <c r="D24" s="2329"/>
      <c r="E24" s="2329"/>
      <c r="F24" s="2329"/>
      <c r="G24" s="2878"/>
      <c r="H24" s="29"/>
      <c r="I24" s="29"/>
      <c r="J24" s="29"/>
      <c r="K24" s="29"/>
      <c r="L24" s="29"/>
      <c r="M24" s="29"/>
      <c r="N24" s="36"/>
      <c r="P24" s="442"/>
      <c r="Q24" s="242"/>
      <c r="R24" s="242"/>
      <c r="S24" s="242"/>
      <c r="T24" s="242"/>
      <c r="U24" s="242"/>
      <c r="V24" s="242"/>
      <c r="W24" s="242"/>
      <c r="X24" s="242"/>
      <c r="Y24" s="242"/>
      <c r="Z24" s="242"/>
      <c r="AA24" s="242"/>
      <c r="AB24" s="242"/>
      <c r="AC24" s="242"/>
      <c r="AD24" s="242"/>
      <c r="AE24" s="242"/>
      <c r="AF24" s="242"/>
      <c r="AG24" s="242"/>
      <c r="AH24" s="242"/>
      <c r="AI24" s="242"/>
      <c r="AJ24" s="242"/>
      <c r="AK24" s="242"/>
      <c r="AL24" s="242"/>
      <c r="AM24" s="242"/>
      <c r="AN24" s="242"/>
      <c r="AO24" s="242"/>
      <c r="AP24" s="242"/>
      <c r="AQ24" s="242"/>
      <c r="AR24" s="69"/>
      <c r="AS24" s="69"/>
      <c r="AT24" s="69"/>
      <c r="AU24" s="69"/>
      <c r="AV24" s="69"/>
      <c r="AW24" s="69"/>
      <c r="AX24" s="69"/>
      <c r="AY24" s="69"/>
      <c r="AZ24" s="69"/>
      <c r="BA24" s="69"/>
      <c r="BB24" s="69"/>
      <c r="BC24" s="69"/>
      <c r="BD24" s="69"/>
      <c r="BE24" s="69"/>
      <c r="BF24" s="69"/>
      <c r="BG24" s="69"/>
      <c r="BH24" s="69"/>
      <c r="BI24" s="69"/>
      <c r="BJ24" s="69"/>
      <c r="BK24" s="69"/>
      <c r="BL24" s="69"/>
      <c r="BM24" s="69"/>
      <c r="BN24" s="69"/>
      <c r="BO24" s="69"/>
      <c r="BP24" s="69"/>
      <c r="BQ24" s="69"/>
      <c r="BR24" s="69"/>
      <c r="BS24" s="69"/>
      <c r="BT24" s="69"/>
      <c r="BU24" s="69"/>
      <c r="BV24" s="69"/>
      <c r="BW24" s="69"/>
      <c r="BX24" s="69"/>
      <c r="BY24" s="69"/>
      <c r="BZ24" s="69"/>
      <c r="CA24" s="69"/>
      <c r="CB24" s="69"/>
      <c r="CC24" s="69"/>
      <c r="CD24" s="69"/>
      <c r="CE24" s="69"/>
      <c r="CF24" s="69"/>
      <c r="CG24" s="69"/>
      <c r="CH24" s="69"/>
      <c r="CI24" s="69"/>
      <c r="CJ24" s="69"/>
      <c r="CK24" s="69"/>
      <c r="CL24" s="69"/>
      <c r="CM24" s="69"/>
      <c r="CN24" s="69"/>
      <c r="CO24" s="69"/>
      <c r="CP24" s="69"/>
      <c r="CQ24" s="69"/>
      <c r="CR24" s="69"/>
      <c r="CS24" s="69"/>
      <c r="CT24" s="69"/>
      <c r="CU24" s="69"/>
    </row>
    <row r="25" spans="1:99">
      <c r="A25" s="2328"/>
      <c r="B25" s="19" t="s">
        <v>25</v>
      </c>
      <c r="C25" s="2328"/>
      <c r="D25" s="2328"/>
      <c r="E25" s="2328"/>
      <c r="F25" s="6"/>
      <c r="G25" s="2328"/>
      <c r="H25" s="2335"/>
      <c r="I25" s="2328"/>
      <c r="J25" s="2328"/>
      <c r="K25" s="2328"/>
      <c r="L25" s="2328"/>
      <c r="M25" s="2328"/>
      <c r="N25" s="2328"/>
      <c r="P25" s="613"/>
      <c r="Q25" s="613"/>
      <c r="R25" s="613"/>
      <c r="S25" s="613"/>
      <c r="T25" s="613"/>
      <c r="U25" s="613"/>
      <c r="V25" s="613"/>
      <c r="W25" s="613"/>
      <c r="X25" s="613"/>
      <c r="Y25" s="613"/>
      <c r="Z25" s="613"/>
      <c r="AA25" s="613"/>
      <c r="AB25" s="613"/>
      <c r="AC25" s="613"/>
      <c r="AD25" s="613"/>
      <c r="AE25" s="613"/>
      <c r="AF25" s="613"/>
      <c r="AG25" s="613"/>
      <c r="AH25" s="613"/>
      <c r="AI25" s="613"/>
      <c r="AJ25" s="613"/>
      <c r="AK25" s="613"/>
      <c r="AL25" s="613"/>
      <c r="AM25" s="613"/>
      <c r="AN25" s="613"/>
      <c r="AO25" s="613"/>
      <c r="AP25" s="613"/>
      <c r="AQ25" s="613"/>
    </row>
    <row r="26" spans="1:99" ht="15" customHeight="1">
      <c r="A26" s="4220" t="s">
        <v>39</v>
      </c>
      <c r="B26" s="4222"/>
      <c r="C26" s="4220" t="s">
        <v>212</v>
      </c>
      <c r="D26" s="4222"/>
      <c r="E26" s="4201" t="s">
        <v>40</v>
      </c>
      <c r="F26" s="4201" t="s">
        <v>38</v>
      </c>
      <c r="G26" s="4446" t="s">
        <v>928</v>
      </c>
      <c r="H26" s="4498"/>
      <c r="I26" s="4446" t="s">
        <v>929</v>
      </c>
      <c r="J26" s="4498"/>
      <c r="K26" s="4446" t="s">
        <v>2455</v>
      </c>
      <c r="L26" s="4498"/>
      <c r="O26" s="1224"/>
      <c r="P26" s="613"/>
      <c r="Q26" s="613"/>
      <c r="R26" s="613"/>
      <c r="S26" s="613"/>
      <c r="T26" s="613"/>
      <c r="U26" s="613"/>
      <c r="V26" s="613"/>
      <c r="W26" s="613"/>
      <c r="X26" s="613"/>
      <c r="Y26" s="613"/>
      <c r="Z26" s="613"/>
      <c r="AA26" s="613"/>
      <c r="AB26" s="613"/>
      <c r="AC26" s="613"/>
      <c r="AD26" s="613"/>
      <c r="AE26" s="613"/>
      <c r="AF26" s="613"/>
      <c r="AG26" s="613"/>
      <c r="AH26" s="613"/>
      <c r="AI26" s="613"/>
      <c r="AJ26" s="613"/>
      <c r="AK26" s="613"/>
      <c r="AL26" s="613"/>
      <c r="AM26" s="613"/>
      <c r="AN26" s="613"/>
      <c r="AO26" s="613"/>
      <c r="AP26" s="613"/>
      <c r="AQ26" s="613"/>
    </row>
    <row r="27" spans="1:99" ht="15" customHeight="1">
      <c r="A27" s="4477"/>
      <c r="B27" s="4478"/>
      <c r="C27" s="4477"/>
      <c r="D27" s="4478"/>
      <c r="E27" s="4472"/>
      <c r="F27" s="4472"/>
      <c r="G27" s="4292" t="str">
        <f t="shared" ref="G27:L27" si="3">G6</f>
        <v>ДГ</v>
      </c>
      <c r="H27" s="2424" t="str">
        <f t="shared" si="3"/>
        <v>ДО</v>
      </c>
      <c r="I27" s="4292" t="str">
        <f t="shared" si="3"/>
        <v>ДГ</v>
      </c>
      <c r="J27" s="2424" t="str">
        <f t="shared" si="3"/>
        <v>ДО</v>
      </c>
      <c r="K27" s="4418" t="str">
        <f t="shared" si="3"/>
        <v>ДГ</v>
      </c>
      <c r="L27" s="2424" t="str">
        <f t="shared" si="3"/>
        <v>ДО</v>
      </c>
      <c r="M27" s="10"/>
      <c r="O27" s="1224"/>
      <c r="P27" s="613"/>
      <c r="Q27" s="613"/>
      <c r="R27" s="613"/>
      <c r="S27" s="613"/>
      <c r="T27" s="613"/>
      <c r="U27" s="613"/>
      <c r="V27" s="613"/>
      <c r="W27" s="613"/>
      <c r="X27" s="613"/>
      <c r="Y27" s="613"/>
      <c r="Z27" s="613"/>
      <c r="AA27" s="613"/>
      <c r="AB27" s="613"/>
      <c r="AC27" s="613"/>
      <c r="AD27" s="613"/>
      <c r="AE27" s="613"/>
      <c r="AF27" s="613"/>
      <c r="AG27" s="613"/>
      <c r="AH27" s="613"/>
      <c r="AI27" s="613"/>
      <c r="AJ27" s="613"/>
      <c r="AK27" s="613"/>
      <c r="AL27" s="613"/>
      <c r="AM27" s="613"/>
      <c r="AN27" s="613"/>
      <c r="AO27" s="613"/>
      <c r="AP27" s="613"/>
      <c r="AQ27" s="613"/>
    </row>
    <row r="28" spans="1:99" s="2328" customFormat="1" ht="15" customHeight="1">
      <c r="A28" s="4223"/>
      <c r="B28" s="4225"/>
      <c r="C28" s="4223"/>
      <c r="D28" s="4225"/>
      <c r="E28" s="4202"/>
      <c r="F28" s="4202"/>
      <c r="G28" s="4293"/>
      <c r="H28" s="2460" t="s">
        <v>2456</v>
      </c>
      <c r="I28" s="4293"/>
      <c r="J28" s="2460" t="s">
        <v>2456</v>
      </c>
      <c r="K28" s="4418"/>
      <c r="L28" s="2460" t="s">
        <v>2456</v>
      </c>
      <c r="O28" s="1224"/>
      <c r="P28" s="613"/>
      <c r="Q28" s="613"/>
      <c r="R28" s="613"/>
      <c r="S28" s="613"/>
      <c r="T28" s="613"/>
      <c r="U28" s="613"/>
      <c r="V28" s="613"/>
      <c r="W28" s="613"/>
      <c r="X28" s="613"/>
      <c r="Y28" s="613"/>
      <c r="Z28" s="613"/>
      <c r="AA28" s="613"/>
      <c r="AB28" s="613"/>
      <c r="AC28" s="613"/>
      <c r="AD28" s="613"/>
      <c r="AE28" s="613"/>
      <c r="AF28" s="613"/>
      <c r="AG28" s="613"/>
      <c r="AH28" s="613"/>
      <c r="AI28" s="613"/>
      <c r="AJ28" s="613"/>
      <c r="AK28" s="613"/>
      <c r="AL28" s="613"/>
      <c r="AM28" s="613"/>
      <c r="AN28" s="613"/>
      <c r="AO28" s="613"/>
      <c r="AP28" s="613"/>
      <c r="AQ28" s="613"/>
    </row>
    <row r="29" spans="1:99" s="2335" customFormat="1" ht="19.899999999999999" customHeight="1">
      <c r="A29" s="4730" t="s">
        <v>244</v>
      </c>
      <c r="B29" s="4731"/>
      <c r="C29" s="4736" t="s">
        <v>2023</v>
      </c>
      <c r="D29" s="4737"/>
      <c r="E29" s="2337" t="s">
        <v>216</v>
      </c>
      <c r="F29" s="139"/>
      <c r="G29" s="3315"/>
      <c r="H29" s="3318" t="s">
        <v>2435</v>
      </c>
      <c r="I29" s="3319"/>
      <c r="J29" s="3318" t="s">
        <v>2435</v>
      </c>
      <c r="K29" s="3319"/>
      <c r="L29" s="3317" t="s">
        <v>2435</v>
      </c>
      <c r="N29" s="15"/>
      <c r="O29" s="1224"/>
      <c r="P29" s="613"/>
      <c r="Q29" s="613"/>
      <c r="R29" s="613"/>
      <c r="S29" s="613"/>
      <c r="T29" s="613"/>
      <c r="U29" s="613"/>
      <c r="V29" s="613"/>
      <c r="W29" s="613"/>
      <c r="X29" s="613"/>
      <c r="Y29" s="613"/>
      <c r="Z29" s="613"/>
      <c r="AA29" s="613"/>
      <c r="AB29" s="613"/>
      <c r="AC29" s="613"/>
      <c r="AD29" s="613"/>
      <c r="AE29" s="613"/>
      <c r="AF29" s="613"/>
      <c r="AG29" s="613"/>
      <c r="AH29" s="613"/>
      <c r="AI29" s="613"/>
      <c r="AJ29" s="613"/>
      <c r="AK29" s="613"/>
      <c r="AL29" s="613"/>
      <c r="AM29" s="613"/>
      <c r="AN29" s="613"/>
      <c r="AO29" s="613"/>
      <c r="AP29" s="613"/>
      <c r="AQ29" s="613"/>
    </row>
    <row r="30" spans="1:99" s="68" customFormat="1" ht="24" customHeight="1">
      <c r="A30" s="4732"/>
      <c r="B30" s="4733"/>
      <c r="C30" s="4738" t="s">
        <v>2753</v>
      </c>
      <c r="D30" s="4739"/>
      <c r="E30" s="181" t="s">
        <v>217</v>
      </c>
      <c r="F30" s="180" t="s">
        <v>4</v>
      </c>
      <c r="G30" s="327"/>
      <c r="H30" s="327" t="s">
        <v>2435</v>
      </c>
      <c r="I30" s="327"/>
      <c r="J30" s="327" t="str">
        <f>H30</f>
        <v>˅</v>
      </c>
      <c r="K30" s="2649"/>
      <c r="L30" s="327" t="str">
        <f>H30</f>
        <v>˅</v>
      </c>
      <c r="N30" s="441"/>
      <c r="O30" s="1224"/>
      <c r="P30" s="613"/>
      <c r="Q30" s="613"/>
      <c r="R30" s="613"/>
      <c r="S30" s="613"/>
      <c r="T30" s="613"/>
      <c r="U30" s="613"/>
      <c r="V30" s="613"/>
      <c r="W30" s="613"/>
      <c r="X30" s="613"/>
      <c r="Y30" s="613"/>
      <c r="Z30" s="613"/>
      <c r="AA30" s="613"/>
      <c r="AB30" s="613"/>
      <c r="AC30" s="613"/>
      <c r="AD30" s="613"/>
      <c r="AE30" s="613"/>
      <c r="AF30" s="613"/>
      <c r="AG30" s="613"/>
      <c r="AH30" s="613"/>
      <c r="AI30" s="613"/>
      <c r="AJ30" s="613"/>
      <c r="AK30" s="613"/>
      <c r="AL30" s="613"/>
      <c r="AM30" s="613"/>
      <c r="AN30" s="613"/>
      <c r="AO30" s="613"/>
      <c r="AP30" s="613"/>
      <c r="AQ30" s="613"/>
    </row>
    <row r="31" spans="1:99" s="68" customFormat="1" ht="19.899999999999999" hidden="1" customHeight="1">
      <c r="A31" s="4734"/>
      <c r="B31" s="4735"/>
      <c r="C31" s="4740" t="s">
        <v>2025</v>
      </c>
      <c r="D31" s="4741"/>
      <c r="E31" s="183" t="s">
        <v>217</v>
      </c>
      <c r="F31" s="2336" t="s">
        <v>4</v>
      </c>
      <c r="G31" s="374"/>
      <c r="H31" s="374">
        <f>CEILING('Декоры база'!L113*(1+скидки_наценки!$B$32)*скидки_наценки!$D$13*скидки_наценки!$F$13/скидки_наценки!$B$4, 50)-H39</f>
        <v>1400</v>
      </c>
      <c r="I31" s="374"/>
      <c r="J31" s="374">
        <f>H31</f>
        <v>1400</v>
      </c>
      <c r="K31" s="374"/>
      <c r="L31" s="374">
        <f>H31</f>
        <v>1400</v>
      </c>
      <c r="N31" s="441"/>
      <c r="O31" s="1224"/>
      <c r="P31" s="613"/>
      <c r="Q31" s="613"/>
      <c r="R31" s="613"/>
      <c r="S31" s="613"/>
      <c r="T31" s="613"/>
      <c r="U31" s="613"/>
      <c r="V31" s="613"/>
      <c r="W31" s="613"/>
      <c r="X31" s="613"/>
      <c r="Y31" s="613"/>
      <c r="Z31" s="613"/>
      <c r="AA31" s="613"/>
      <c r="AB31" s="613"/>
      <c r="AC31" s="613"/>
      <c r="AD31" s="613"/>
      <c r="AE31" s="613"/>
      <c r="AF31" s="613"/>
      <c r="AG31" s="613"/>
      <c r="AH31" s="613"/>
      <c r="AI31" s="613"/>
      <c r="AJ31" s="613"/>
      <c r="AK31" s="613"/>
      <c r="AL31" s="613"/>
      <c r="AM31" s="613"/>
      <c r="AN31" s="613"/>
      <c r="AO31" s="613"/>
      <c r="AP31" s="613"/>
      <c r="AQ31" s="613"/>
    </row>
    <row r="32" spans="1:99" s="2328" customFormat="1" ht="25.15" hidden="1" customHeight="1">
      <c r="A32" s="4460" t="s">
        <v>33</v>
      </c>
      <c r="B32" s="4461"/>
      <c r="C32" s="4466" t="s">
        <v>2022</v>
      </c>
      <c r="D32" s="4467"/>
      <c r="E32" s="132" t="s">
        <v>216</v>
      </c>
      <c r="F32" s="47" t="s">
        <v>4</v>
      </c>
      <c r="G32" s="1119">
        <f>CEILING('Декоры база'!L90*(1+скидки_наценки!$B$32)*скидки_наценки!$D$13*скидки_наценки!$F$13/скидки_наценки!$B$4, 50)</f>
        <v>1250</v>
      </c>
      <c r="H32" s="1119"/>
      <c r="I32" s="1119">
        <f>CEILING('Декоры база'!M90*(1+скидки_наценки!$B$32)*скидки_наценки!$D$13*скидки_наценки!$F$13/скидки_наценки!$B$4, 50)</f>
        <v>1250</v>
      </c>
      <c r="J32" s="1119"/>
      <c r="K32" s="1119">
        <f>CEILING('Декоры база'!N90*(1+скидки_наценки!$B$32)*скидки_наценки!$D$13*скидки_наценки!$F$13/скидки_наценки!$B$4, 50)</f>
        <v>1250</v>
      </c>
      <c r="L32" s="1119"/>
      <c r="N32" s="15"/>
      <c r="O32" s="4716"/>
      <c r="P32" s="613"/>
      <c r="Q32" s="613"/>
      <c r="R32" s="613"/>
      <c r="S32" s="613"/>
      <c r="T32" s="613"/>
      <c r="U32" s="613"/>
      <c r="V32" s="613"/>
      <c r="W32" s="613"/>
      <c r="X32" s="613"/>
      <c r="Y32" s="613"/>
      <c r="Z32" s="613"/>
      <c r="AA32" s="613"/>
      <c r="AB32" s="613"/>
      <c r="AC32" s="613"/>
      <c r="AD32" s="613"/>
      <c r="AE32" s="613"/>
      <c r="AF32" s="613"/>
      <c r="AG32" s="613"/>
      <c r="AH32" s="613"/>
      <c r="AI32" s="613"/>
      <c r="AJ32" s="613"/>
      <c r="AK32" s="613"/>
      <c r="AL32" s="613"/>
      <c r="AM32" s="613"/>
      <c r="AN32" s="613"/>
      <c r="AO32" s="613"/>
      <c r="AP32" s="613"/>
      <c r="AQ32" s="613"/>
    </row>
    <row r="33" spans="1:43" s="2328" customFormat="1" ht="25.15" hidden="1" customHeight="1">
      <c r="A33" s="4462"/>
      <c r="B33" s="4463"/>
      <c r="C33" s="4285" t="s">
        <v>210</v>
      </c>
      <c r="D33" s="4352"/>
      <c r="E33" s="2457" t="s">
        <v>217</v>
      </c>
      <c r="F33" s="2458" t="s">
        <v>4</v>
      </c>
      <c r="G33" s="2459">
        <f>CEILING((G32+'Декоры база'!L91)*(1+скидки_наценки!$B$32)*скидки_наценки!$D$13*скидки_наценки!$F$13/скидки_наценки!$B$4, 50)</f>
        <v>1600</v>
      </c>
      <c r="H33" s="2459"/>
      <c r="I33" s="2459">
        <f>CEILING((I32+'Декоры база'!M91)*(1+скидки_наценки!$B$32)*скидки_наценки!$D$13*скидки_наценки!$F$13/скидки_наценки!$B$4, 50)</f>
        <v>1600</v>
      </c>
      <c r="J33" s="2459"/>
      <c r="K33" s="2459">
        <f>CEILING((K32+'Декоры база'!N91)*(1+скидки_наценки!$B$32)*скидки_наценки!$D$13*скидки_наценки!$F$13/скидки_наценки!$B$4, 50)</f>
        <v>1600</v>
      </c>
      <c r="L33" s="2459"/>
      <c r="N33" s="15"/>
      <c r="O33" s="4716"/>
      <c r="P33" s="613"/>
      <c r="Q33" s="613"/>
      <c r="R33" s="613"/>
      <c r="S33" s="613"/>
      <c r="T33" s="613"/>
      <c r="U33" s="613"/>
      <c r="V33" s="613"/>
      <c r="W33" s="613"/>
      <c r="X33" s="613"/>
      <c r="Y33" s="613"/>
      <c r="Z33" s="613"/>
      <c r="AA33" s="613"/>
      <c r="AB33" s="613"/>
      <c r="AC33" s="613"/>
      <c r="AD33" s="613"/>
      <c r="AE33" s="613"/>
      <c r="AF33" s="613"/>
      <c r="AG33" s="613"/>
      <c r="AH33" s="613"/>
      <c r="AI33" s="613"/>
      <c r="AJ33" s="613"/>
      <c r="AK33" s="613"/>
      <c r="AL33" s="613"/>
      <c r="AM33" s="613"/>
      <c r="AN33" s="613"/>
      <c r="AO33" s="613"/>
      <c r="AP33" s="613"/>
      <c r="AQ33" s="613"/>
    </row>
    <row r="34" spans="1:43" s="2328" customFormat="1" ht="25.15" hidden="1" customHeight="1">
      <c r="A34" s="4464"/>
      <c r="B34" s="4465"/>
      <c r="C34" s="4438" t="s">
        <v>211</v>
      </c>
      <c r="D34" s="4439"/>
      <c r="E34" s="1005" t="s">
        <v>217</v>
      </c>
      <c r="F34" s="2327" t="s">
        <v>4</v>
      </c>
      <c r="G34" s="327">
        <f>CEILING((G32+'Декоры база'!L92)*(1+скидки_наценки!$B$32)*скидки_наценки!$D$13*скидки_наценки!$F$13/скидки_наценки!$B$4, 50)</f>
        <v>1950</v>
      </c>
      <c r="H34" s="327"/>
      <c r="I34" s="327">
        <f>CEILING((I32+'Декоры база'!M92)*(1+скидки_наценки!$B$32)*скидки_наценки!$D$13*скидки_наценки!$F$13/скидки_наценки!$B$4, 50)</f>
        <v>1950</v>
      </c>
      <c r="J34" s="327"/>
      <c r="K34" s="327">
        <f>CEILING((K32+'Декоры база'!N92)*(1+скидки_наценки!$B$32)*скидки_наценки!$D$13*скидки_наценки!$F$13/скидки_наценки!$B$4, 50)</f>
        <v>1950</v>
      </c>
      <c r="L34" s="327"/>
      <c r="N34" s="15"/>
      <c r="O34" s="4716"/>
      <c r="P34" s="613"/>
      <c r="Q34" s="613"/>
      <c r="R34" s="613"/>
      <c r="S34" s="613"/>
      <c r="T34" s="613"/>
      <c r="U34" s="613"/>
      <c r="V34" s="613"/>
      <c r="W34" s="613"/>
      <c r="X34" s="613"/>
      <c r="Y34" s="613"/>
      <c r="Z34" s="613"/>
      <c r="AA34" s="613"/>
      <c r="AB34" s="613"/>
      <c r="AC34" s="613"/>
      <c r="AD34" s="613"/>
      <c r="AE34" s="613"/>
      <c r="AF34" s="613"/>
      <c r="AG34" s="613"/>
      <c r="AH34" s="613"/>
      <c r="AI34" s="613"/>
      <c r="AJ34" s="613"/>
      <c r="AK34" s="613"/>
      <c r="AL34" s="613"/>
      <c r="AM34" s="613"/>
      <c r="AN34" s="613"/>
      <c r="AO34" s="613"/>
      <c r="AP34" s="613"/>
      <c r="AQ34" s="613"/>
    </row>
    <row r="35" spans="1:43" s="68" customFormat="1" ht="34.9" hidden="1" customHeight="1">
      <c r="A35" s="4585" t="s">
        <v>213</v>
      </c>
      <c r="B35" s="4586"/>
      <c r="C35" s="4717" t="s">
        <v>2019</v>
      </c>
      <c r="D35" s="4718"/>
      <c r="E35" s="2385" t="s">
        <v>217</v>
      </c>
      <c r="F35" s="142" t="s">
        <v>4</v>
      </c>
      <c r="G35" s="372">
        <f>CEILING('Декоры база'!L93*(1+скидки_наценки!$B$32)*скидки_наценки!$D$13*скидки_наценки!$F$13/скидки_наценки!$B$4, 50)</f>
        <v>4500</v>
      </c>
      <c r="H35" s="372"/>
      <c r="I35" s="372">
        <f>CEILING('Декоры база'!M93*(1+скидки_наценки!$B$32)*скидки_наценки!$D$13*скидки_наценки!$F$13/скидки_наценки!$B$4, 50)</f>
        <v>4500</v>
      </c>
      <c r="J35" s="372"/>
      <c r="K35" s="372">
        <f>CEILING('Декоры база'!N93*(1+скидки_наценки!$B$32)*скидки_наценки!$D$13*скидки_наценки!$F$13/скидки_наценки!$B$4, 50)</f>
        <v>4500</v>
      </c>
      <c r="L35" s="372"/>
      <c r="N35" s="441"/>
      <c r="O35" s="4716"/>
      <c r="P35" s="613"/>
      <c r="Q35" s="613"/>
      <c r="R35" s="613"/>
      <c r="S35" s="613"/>
      <c r="T35" s="613"/>
      <c r="U35" s="613"/>
      <c r="V35" s="613"/>
      <c r="W35" s="613"/>
      <c r="X35" s="613"/>
      <c r="Y35" s="613"/>
      <c r="Z35" s="613"/>
      <c r="AA35" s="613"/>
      <c r="AB35" s="613"/>
      <c r="AC35" s="613"/>
      <c r="AD35" s="613"/>
      <c r="AE35" s="613"/>
      <c r="AF35" s="613"/>
      <c r="AG35" s="613"/>
      <c r="AH35" s="613"/>
      <c r="AI35" s="613"/>
      <c r="AJ35" s="613"/>
      <c r="AK35" s="613"/>
      <c r="AL35" s="613"/>
      <c r="AM35" s="613"/>
      <c r="AN35" s="613"/>
      <c r="AO35" s="613"/>
      <c r="AP35" s="613"/>
      <c r="AQ35" s="613"/>
    </row>
    <row r="36" spans="1:43" s="22" customFormat="1" ht="30" hidden="1" customHeight="1">
      <c r="A36" s="4452" t="s">
        <v>215</v>
      </c>
      <c r="B36" s="4453"/>
      <c r="C36" s="4719" t="s">
        <v>214</v>
      </c>
      <c r="D36" s="4720"/>
      <c r="E36" s="2338" t="s">
        <v>217</v>
      </c>
      <c r="F36" s="430" t="s">
        <v>1326</v>
      </c>
      <c r="G36" s="371">
        <f>CEILING('Декоры база'!L95*(1+скидки_наценки!$B$32)*скидки_наценки!$D$13*скидки_наценки!$F$13/скидки_наценки!$B$4, 50)</f>
        <v>4950</v>
      </c>
      <c r="H36" s="371"/>
      <c r="I36" s="371">
        <f>CEILING('Декоры база'!M95*(1+скидки_наценки!$B$32)*скидки_наценки!$D$13*скидки_наценки!$F$13/скидки_наценки!$B$4, 50)</f>
        <v>0</v>
      </c>
      <c r="J36" s="371"/>
      <c r="K36" s="371">
        <f>CEILING('Декоры база'!N95*(1+скидки_наценки!$B$32)*скидки_наценки!$D$13*скидки_наценки!$F$13/скидки_наценки!$B$4, 50)</f>
        <v>0</v>
      </c>
      <c r="L36" s="371"/>
      <c r="N36" s="3320"/>
      <c r="O36" s="4716"/>
      <c r="P36" s="613"/>
      <c r="Q36" s="613"/>
      <c r="R36" s="613"/>
      <c r="S36" s="613"/>
      <c r="T36" s="613"/>
      <c r="U36" s="613"/>
      <c r="V36" s="613"/>
      <c r="W36" s="613"/>
      <c r="X36" s="613"/>
      <c r="Y36" s="613"/>
      <c r="Z36" s="613"/>
      <c r="AA36" s="613"/>
      <c r="AB36" s="613"/>
      <c r="AC36" s="613"/>
      <c r="AD36" s="613"/>
      <c r="AE36" s="613"/>
      <c r="AF36" s="613"/>
      <c r="AG36" s="613"/>
      <c r="AH36" s="613"/>
      <c r="AI36" s="613"/>
      <c r="AJ36" s="613"/>
      <c r="AK36" s="613"/>
      <c r="AL36" s="613"/>
      <c r="AM36" s="613"/>
      <c r="AN36" s="613"/>
      <c r="AO36" s="613"/>
      <c r="AP36" s="613"/>
      <c r="AQ36" s="613"/>
    </row>
    <row r="37" spans="1:43" s="68" customFormat="1" ht="14.1" hidden="1" customHeight="1">
      <c r="A37" s="2409" t="s">
        <v>218</v>
      </c>
      <c r="B37" s="1205"/>
      <c r="C37" s="1205"/>
      <c r="D37" s="1205"/>
      <c r="E37" s="1205"/>
      <c r="F37" s="1205"/>
      <c r="G37" s="1205"/>
      <c r="H37" s="1205"/>
      <c r="I37" s="1205"/>
      <c r="J37" s="1205"/>
      <c r="K37" s="1205"/>
      <c r="L37" s="2433"/>
      <c r="N37" s="441"/>
      <c r="O37" s="4716"/>
      <c r="P37" s="613"/>
      <c r="Q37" s="613"/>
      <c r="R37" s="613"/>
      <c r="S37" s="613"/>
      <c r="T37" s="613"/>
      <c r="U37" s="613"/>
      <c r="V37" s="613"/>
      <c r="W37" s="613"/>
      <c r="X37" s="613"/>
      <c r="Y37" s="613"/>
      <c r="Z37" s="613"/>
      <c r="AA37" s="613"/>
      <c r="AB37" s="613"/>
      <c r="AC37" s="613"/>
      <c r="AD37" s="613"/>
      <c r="AE37" s="613"/>
      <c r="AF37" s="613"/>
      <c r="AG37" s="613"/>
      <c r="AH37" s="613"/>
      <c r="AI37" s="613"/>
      <c r="AJ37" s="613"/>
      <c r="AK37" s="613"/>
      <c r="AL37" s="613"/>
      <c r="AM37" s="613"/>
      <c r="AN37" s="613"/>
      <c r="AO37" s="613"/>
      <c r="AP37" s="613"/>
      <c r="AQ37" s="613"/>
    </row>
    <row r="38" spans="1:43" s="22" customFormat="1" ht="19.899999999999999" customHeight="1">
      <c r="A38" s="4597" t="s">
        <v>224</v>
      </c>
      <c r="B38" s="4598"/>
      <c r="C38" s="4599" t="s">
        <v>484</v>
      </c>
      <c r="D38" s="4599"/>
      <c r="E38" s="4599"/>
      <c r="F38" s="4599"/>
      <c r="G38" s="3316"/>
      <c r="H38" s="3316">
        <f>CEILING('стекло+зеркала_база'!N80*(1+скидки_наценки!$B$32)*скидки_наценки!$D$13*скидки_наценки!$F$13/скидки_наценки!$B$4, 50)</f>
        <v>500</v>
      </c>
      <c r="I38" s="3316"/>
      <c r="J38" s="3316">
        <f>CEILING('стекло+зеркала_база'!N80*(1+скидки_наценки!$B$32)*скидки_наценки!$D$13*скидки_наценки!$F$13/скидки_наценки!$B$4, 50)</f>
        <v>500</v>
      </c>
      <c r="K38" s="3316"/>
      <c r="L38" s="3316">
        <f>CEILING('стекло+зеркала_база'!N79*(1+скидки_наценки!$B$32)*скидки_наценки!$D$13*скидки_наценки!$F$13/скидки_наценки!$B$4, 50)</f>
        <v>700</v>
      </c>
      <c r="N38" s="3320"/>
      <c r="O38" s="4716"/>
      <c r="P38" s="613"/>
      <c r="Q38" s="613"/>
      <c r="R38" s="613"/>
      <c r="S38" s="613"/>
      <c r="T38" s="613"/>
      <c r="U38" s="613"/>
      <c r="V38" s="613"/>
      <c r="W38" s="613"/>
      <c r="X38" s="613"/>
      <c r="Y38" s="613"/>
      <c r="Z38" s="613"/>
      <c r="AA38" s="613"/>
      <c r="AB38" s="613"/>
      <c r="AC38" s="613"/>
      <c r="AD38" s="613"/>
      <c r="AE38" s="613"/>
      <c r="AF38" s="613"/>
      <c r="AG38" s="613"/>
      <c r="AH38" s="613"/>
      <c r="AI38" s="613"/>
      <c r="AJ38" s="613"/>
      <c r="AK38" s="613"/>
      <c r="AL38" s="613"/>
      <c r="AM38" s="613"/>
      <c r="AN38" s="613"/>
      <c r="AO38" s="613"/>
      <c r="AP38" s="613"/>
      <c r="AQ38" s="613"/>
    </row>
    <row r="39" spans="1:43" s="22" customFormat="1" ht="19.5" customHeight="1">
      <c r="A39" s="3116"/>
      <c r="B39" s="4727" t="s">
        <v>1328</v>
      </c>
      <c r="C39" s="4727"/>
      <c r="D39" s="3116"/>
      <c r="E39" s="3116"/>
      <c r="F39" s="3116"/>
      <c r="G39" s="3321" t="s">
        <v>2922</v>
      </c>
      <c r="H39" s="3321">
        <f>CEILING('Декоры база'!L111*(1+скидки_наценки!$B$32)*скидки_наценки!$D$13*скидки_наценки!$F$13/скидки_наценки!$B$4, 50)</f>
        <v>4000</v>
      </c>
      <c r="I39" s="3321"/>
      <c r="J39" s="3321">
        <f>CEILING('Декоры база'!M111*(1+скидки_наценки!$B$32)*скидки_наценки!$D$13*скидки_наценки!$F$13/скидки_наценки!$B$4, 50)</f>
        <v>6000</v>
      </c>
      <c r="K39" s="3321"/>
      <c r="L39" s="3321">
        <f>CEILING('Декоры база'!N111*(1+скидки_наценки!$B$32)*скидки_наценки!$D$13*скидки_наценки!$F$13/скидки_наценки!$B$4, 50)</f>
        <v>8000</v>
      </c>
      <c r="O39" s="3117"/>
      <c r="P39" s="613"/>
      <c r="Q39" s="613"/>
      <c r="R39" s="613"/>
      <c r="S39" s="613"/>
      <c r="T39" s="613"/>
      <c r="U39" s="613"/>
      <c r="V39" s="613"/>
      <c r="W39" s="613"/>
      <c r="X39" s="613"/>
      <c r="Y39" s="613"/>
      <c r="Z39" s="613"/>
      <c r="AA39" s="613"/>
      <c r="AB39" s="613"/>
      <c r="AC39" s="613"/>
      <c r="AD39" s="613"/>
      <c r="AE39" s="613"/>
      <c r="AF39" s="613"/>
      <c r="AG39" s="613"/>
      <c r="AH39" s="613"/>
      <c r="AI39" s="613"/>
      <c r="AJ39" s="613"/>
      <c r="AK39" s="613"/>
      <c r="AL39" s="613"/>
      <c r="AM39" s="613"/>
      <c r="AN39" s="613"/>
      <c r="AO39" s="613"/>
      <c r="AP39" s="613"/>
      <c r="AQ39" s="613"/>
    </row>
    <row r="40" spans="1:43" ht="15" customHeight="1">
      <c r="B40" s="454" t="s">
        <v>2812</v>
      </c>
      <c r="F40" s="589"/>
      <c r="G40" s="122"/>
      <c r="H40" s="122"/>
      <c r="J40" s="122"/>
      <c r="K40" s="122"/>
      <c r="L40" s="122"/>
      <c r="M40" s="122"/>
      <c r="N40" s="122"/>
      <c r="P40" s="613"/>
      <c r="Q40" s="613"/>
      <c r="R40" s="613"/>
      <c r="S40" s="613"/>
      <c r="T40" s="613"/>
      <c r="U40" s="613"/>
      <c r="V40" s="613"/>
      <c r="W40" s="613"/>
      <c r="X40" s="613"/>
      <c r="Y40" s="613"/>
      <c r="Z40" s="613"/>
      <c r="AA40" s="613"/>
      <c r="AB40" s="613"/>
      <c r="AC40" s="613"/>
      <c r="AD40" s="613"/>
      <c r="AE40" s="613"/>
      <c r="AF40" s="613"/>
      <c r="AG40" s="613"/>
      <c r="AH40" s="613"/>
      <c r="AI40" s="613"/>
      <c r="AJ40" s="613"/>
      <c r="AK40" s="613"/>
      <c r="AL40" s="613"/>
      <c r="AM40" s="613"/>
      <c r="AN40" s="613"/>
      <c r="AO40" s="613"/>
      <c r="AP40" s="613"/>
      <c r="AQ40" s="613"/>
    </row>
    <row r="41" spans="1:43">
      <c r="B41" s="454" t="s">
        <v>2811</v>
      </c>
      <c r="K41" s="2646"/>
    </row>
    <row r="42" spans="1:43">
      <c r="B42" s="589" t="s">
        <v>3442</v>
      </c>
      <c r="H42" s="2646"/>
      <c r="J42" s="2646"/>
    </row>
    <row r="43" spans="1:43" ht="15" customHeight="1">
      <c r="A43" s="28"/>
      <c r="C43" s="45"/>
      <c r="D43" s="45"/>
      <c r="E43" s="45"/>
      <c r="F43" s="45"/>
      <c r="G43" s="45"/>
      <c r="H43" s="45"/>
      <c r="P43" s="242"/>
      <c r="Q43" s="242"/>
      <c r="R43" s="242"/>
      <c r="S43" s="242"/>
      <c r="T43" s="242"/>
      <c r="U43" s="242"/>
      <c r="V43" s="242"/>
      <c r="W43" s="242"/>
      <c r="X43" s="242"/>
      <c r="Y43" s="242"/>
      <c r="Z43" s="242"/>
      <c r="AA43" s="242"/>
      <c r="AB43" s="242"/>
      <c r="AC43" s="242"/>
      <c r="AD43" s="242"/>
      <c r="AE43" s="242"/>
      <c r="AF43" s="242"/>
      <c r="AG43" s="242"/>
      <c r="AH43" s="242"/>
      <c r="AI43" s="242"/>
      <c r="AJ43" s="242"/>
      <c r="AK43" s="242"/>
      <c r="AL43" s="242"/>
      <c r="AM43" s="242"/>
      <c r="AN43" s="242"/>
      <c r="AO43" s="242"/>
      <c r="AP43" s="242"/>
      <c r="AQ43" s="242"/>
    </row>
  </sheetData>
  <mergeCells count="58">
    <mergeCell ref="B39:C39"/>
    <mergeCell ref="K5:L5"/>
    <mergeCell ref="G27:G28"/>
    <mergeCell ref="I27:I28"/>
    <mergeCell ref="K27:K28"/>
    <mergeCell ref="A29:B31"/>
    <mergeCell ref="C29:D29"/>
    <mergeCell ref="C30:D30"/>
    <mergeCell ref="C31:D31"/>
    <mergeCell ref="G26:H26"/>
    <mergeCell ref="I26:J26"/>
    <mergeCell ref="K26:L26"/>
    <mergeCell ref="G21:H21"/>
    <mergeCell ref="I21:J21"/>
    <mergeCell ref="K21:L21"/>
    <mergeCell ref="I5:J5"/>
    <mergeCell ref="G5:H5"/>
    <mergeCell ref="F5:F6"/>
    <mergeCell ref="E5:E6"/>
    <mergeCell ref="D5:D6"/>
    <mergeCell ref="B16:C16"/>
    <mergeCell ref="D16:D18"/>
    <mergeCell ref="E16:E18"/>
    <mergeCell ref="B17:C18"/>
    <mergeCell ref="B13:C13"/>
    <mergeCell ref="D13:D15"/>
    <mergeCell ref="E13:E15"/>
    <mergeCell ref="B14:C15"/>
    <mergeCell ref="B3:E3"/>
    <mergeCell ref="A7:A18"/>
    <mergeCell ref="B7:C7"/>
    <mergeCell ref="D7:D9"/>
    <mergeCell ref="E7:E9"/>
    <mergeCell ref="B8:C9"/>
    <mergeCell ref="A5:C6"/>
    <mergeCell ref="B10:C10"/>
    <mergeCell ref="D10:D12"/>
    <mergeCell ref="E10:E12"/>
    <mergeCell ref="B11:C12"/>
    <mergeCell ref="A21:F21"/>
    <mergeCell ref="A22:C23"/>
    <mergeCell ref="D22:F22"/>
    <mergeCell ref="D23:F23"/>
    <mergeCell ref="A26:B28"/>
    <mergeCell ref="C26:D28"/>
    <mergeCell ref="E26:E28"/>
    <mergeCell ref="F26:F28"/>
    <mergeCell ref="A32:B34"/>
    <mergeCell ref="C32:D32"/>
    <mergeCell ref="O32:O38"/>
    <mergeCell ref="C33:D33"/>
    <mergeCell ref="C34:D34"/>
    <mergeCell ref="A35:B35"/>
    <mergeCell ref="C35:D35"/>
    <mergeCell ref="A36:B36"/>
    <mergeCell ref="C36:D36"/>
    <mergeCell ref="A38:B38"/>
    <mergeCell ref="C38:F38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3" orientation="landscape" useFirstPageNumber="1" r:id="rId1"/>
  <headerFooter>
    <oddFooter>&amp;L&amp;P&amp;R&amp;G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18">
    <tabColor rgb="FF92D050"/>
  </sheetPr>
  <dimension ref="A1:CR115"/>
  <sheetViews>
    <sheetView view="pageBreakPreview" zoomScale="70" zoomScaleNormal="85" zoomScaleSheetLayoutView="70" zoomScalePageLayoutView="85" workbookViewId="0">
      <pane xSplit="6" ySplit="5" topLeftCell="G15" activePane="bottomRight" state="frozen"/>
      <selection pane="topRight" activeCell="G1" sqref="G1"/>
      <selection pane="bottomLeft" activeCell="A11" sqref="A11"/>
      <selection pane="bottomRight" activeCell="B1" sqref="B1"/>
    </sheetView>
  </sheetViews>
  <sheetFormatPr defaultColWidth="8.85546875" defaultRowHeight="15"/>
  <cols>
    <col min="1" max="1" width="4.7109375" style="278" customWidth="1"/>
    <col min="2" max="5" width="11.7109375" style="278" customWidth="1"/>
    <col min="6" max="6" width="11.7109375" style="2" customWidth="1"/>
    <col min="7" max="7" width="27.28515625" style="278" customWidth="1"/>
    <col min="8" max="8" width="28" style="278" customWidth="1"/>
    <col min="9" max="9" width="12.7109375" style="278" customWidth="1"/>
    <col min="10" max="10" width="12.7109375" style="589" customWidth="1"/>
    <col min="11" max="11" width="12.7109375" style="278" customWidth="1"/>
    <col min="12" max="12" width="9.85546875" style="1222" customWidth="1"/>
    <col min="13" max="16384" width="8.85546875" style="278"/>
  </cols>
  <sheetData>
    <row r="1" spans="1:40" s="320" customFormat="1" ht="18.75" customHeight="1">
      <c r="B1" s="2277" t="s">
        <v>490</v>
      </c>
      <c r="F1" s="2"/>
      <c r="G1" s="324" t="str">
        <f>IFERROR(MATCH(G$5,#REF!,0)-2,"")</f>
        <v/>
      </c>
      <c r="H1" s="358" t="str">
        <f>IFERROR(MATCH(H$5,#REF!,0)-2,"")</f>
        <v/>
      </c>
      <c r="I1" s="358" t="str">
        <f>IFERROR(MATCH(I$5,#REF!,0)-2,"")</f>
        <v/>
      </c>
      <c r="J1" s="362"/>
      <c r="K1" s="358" t="str">
        <f>IFERROR(MATCH(K$5,#REF!,0)-2,"")</f>
        <v/>
      </c>
      <c r="L1" s="1222"/>
    </row>
    <row r="2" spans="1:40" s="470" customFormat="1" ht="18" customHeight="1">
      <c r="A2" s="469"/>
      <c r="D2" s="2272"/>
      <c r="F2" s="4"/>
      <c r="G2" s="26"/>
      <c r="H2" s="26"/>
      <c r="I2" s="26"/>
      <c r="J2" s="26"/>
      <c r="K2" s="26"/>
      <c r="L2" s="1222"/>
      <c r="M2" s="242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242"/>
      <c r="Y2" s="242"/>
      <c r="Z2" s="242"/>
      <c r="AA2" s="242"/>
      <c r="AB2" s="242"/>
      <c r="AC2" s="242"/>
      <c r="AD2" s="242"/>
      <c r="AE2" s="242"/>
      <c r="AF2" s="242"/>
      <c r="AG2" s="242"/>
      <c r="AH2" s="242"/>
      <c r="AI2" s="242"/>
      <c r="AJ2" s="242"/>
      <c r="AK2" s="242"/>
      <c r="AL2" s="242"/>
      <c r="AM2" s="242"/>
      <c r="AN2" s="242"/>
    </row>
    <row r="3" spans="1:40" ht="84" customHeight="1">
      <c r="A3" s="7"/>
      <c r="B3" s="4397" t="s">
        <v>374</v>
      </c>
      <c r="C3" s="4398"/>
      <c r="D3" s="4398"/>
      <c r="E3" s="4399"/>
      <c r="F3" s="8"/>
      <c r="G3" s="7"/>
      <c r="H3" s="7"/>
      <c r="I3" s="7"/>
      <c r="J3" s="7"/>
      <c r="K3" s="7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  <c r="AK3" s="242"/>
      <c r="AL3" s="242"/>
      <c r="AM3" s="242"/>
      <c r="AN3" s="242"/>
    </row>
    <row r="4" spans="1:40">
      <c r="A4" s="15"/>
      <c r="B4" s="46" t="s">
        <v>59</v>
      </c>
      <c r="C4" s="277"/>
      <c r="D4" s="277"/>
      <c r="E4" s="277"/>
      <c r="F4" s="6"/>
      <c r="G4" s="277"/>
      <c r="H4" s="277"/>
      <c r="I4" s="277"/>
      <c r="J4" s="2335"/>
      <c r="K4" s="277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2"/>
      <c r="AI4" s="242"/>
      <c r="AJ4" s="242"/>
      <c r="AK4" s="242"/>
      <c r="AL4" s="242"/>
      <c r="AM4" s="242"/>
      <c r="AN4" s="242"/>
    </row>
    <row r="5" spans="1:40" s="454" customFormat="1" ht="30" customHeight="1">
      <c r="A5" s="4666" t="s">
        <v>2</v>
      </c>
      <c r="B5" s="4666"/>
      <c r="C5" s="4666"/>
      <c r="D5" s="1003" t="s">
        <v>400</v>
      </c>
      <c r="E5" s="1003" t="s">
        <v>47</v>
      </c>
      <c r="F5" s="1003" t="s">
        <v>37</v>
      </c>
      <c r="G5" s="1033" t="s">
        <v>925</v>
      </c>
      <c r="H5" s="1033" t="s">
        <v>926</v>
      </c>
      <c r="I5" s="4778" t="s">
        <v>927</v>
      </c>
      <c r="J5" s="4779"/>
      <c r="K5" s="4780"/>
      <c r="L5" s="1223"/>
      <c r="M5" s="1023"/>
      <c r="N5" s="1023"/>
      <c r="O5" s="1023"/>
      <c r="P5" s="1023"/>
      <c r="Q5" s="1023"/>
      <c r="R5" s="1023"/>
      <c r="S5" s="1023"/>
      <c r="T5" s="1023"/>
      <c r="U5" s="1023"/>
      <c r="V5" s="1023"/>
      <c r="W5" s="1023"/>
      <c r="X5" s="1023"/>
      <c r="Y5" s="1023"/>
      <c r="Z5" s="1023"/>
      <c r="AA5" s="1023"/>
      <c r="AB5" s="1023"/>
      <c r="AC5" s="1023"/>
      <c r="AD5" s="1023"/>
      <c r="AE5" s="1023"/>
      <c r="AF5" s="1023"/>
      <c r="AG5" s="1023"/>
      <c r="AH5" s="1023"/>
      <c r="AI5" s="1023"/>
      <c r="AJ5" s="1023"/>
      <c r="AK5" s="1023"/>
      <c r="AL5" s="1023"/>
      <c r="AM5" s="1023"/>
      <c r="AN5" s="1023"/>
    </row>
    <row r="6" spans="1:40" s="277" customFormat="1" ht="30" customHeight="1">
      <c r="A6" s="4743" t="s">
        <v>26</v>
      </c>
      <c r="B6" s="4211" t="s">
        <v>2587</v>
      </c>
      <c r="C6" s="4212"/>
      <c r="D6" s="4206" t="s">
        <v>35</v>
      </c>
      <c r="E6" s="4206" t="s">
        <v>34</v>
      </c>
      <c r="F6" s="50" t="s">
        <v>0</v>
      </c>
      <c r="G6" s="366">
        <f>CEILING('Полотна база'!AF55*(1+скидки_наценки!$B$29)*скидки_наценки!$D$13*скидки_наценки!$F$13/скидки_наценки!$B$4, 50)</f>
        <v>29950</v>
      </c>
      <c r="H6" s="366">
        <f>CEILING('Полотна база'!AG55*(1+скидки_наценки!$B$29)*скидки_наценки!$D$13*скидки_наценки!$F$13/скидки_наценки!$B$4, 50)</f>
        <v>30550</v>
      </c>
      <c r="I6" s="4781">
        <f>CEILING('Полотна база'!AH55*(1+скидки_наценки!$B$29)*скидки_наценки!$D$13*скидки_наценки!$F$13/скидки_наценки!$B$4, 50)</f>
        <v>31050</v>
      </c>
      <c r="J6" s="4782"/>
      <c r="K6" s="4783"/>
      <c r="L6" s="1222"/>
      <c r="M6" s="441"/>
      <c r="N6" s="441"/>
      <c r="O6" s="441"/>
      <c r="P6" s="441"/>
      <c r="Q6" s="441"/>
      <c r="R6" s="441"/>
      <c r="S6" s="441"/>
      <c r="T6" s="441"/>
      <c r="U6" s="441"/>
      <c r="V6" s="441"/>
      <c r="W6" s="441"/>
      <c r="X6" s="441"/>
      <c r="Y6" s="441"/>
      <c r="Z6" s="441"/>
      <c r="AA6" s="441"/>
      <c r="AB6" s="441"/>
      <c r="AC6" s="441"/>
      <c r="AD6" s="441"/>
      <c r="AE6" s="441"/>
      <c r="AF6" s="441"/>
      <c r="AG6" s="441"/>
      <c r="AH6" s="441"/>
      <c r="AI6" s="441"/>
      <c r="AJ6" s="441"/>
      <c r="AK6" s="441"/>
      <c r="AL6" s="441"/>
      <c r="AM6" s="441"/>
      <c r="AN6" s="441"/>
    </row>
    <row r="7" spans="1:40" s="301" customFormat="1" ht="15" customHeight="1">
      <c r="A7" s="4744"/>
      <c r="B7" s="4216"/>
      <c r="C7" s="4217"/>
      <c r="D7" s="4207"/>
      <c r="E7" s="4207"/>
      <c r="F7" s="303" t="s">
        <v>306</v>
      </c>
      <c r="G7" s="2333">
        <f>IF(G6=0,0,(Погонаж!$C$14*2.5+Погонаж!$E$14*5))</f>
        <v>13250</v>
      </c>
      <c r="H7" s="2333">
        <f>IF(H6=0,0,(Погонаж!$C$14*2.5+Погонаж!$E$14*5))</f>
        <v>13250</v>
      </c>
      <c r="I7" s="4764">
        <f>IF(I6=0,0,(Погонаж!$C$14*2.5+Погонаж!$E$14*5))</f>
        <v>13250</v>
      </c>
      <c r="J7" s="4765"/>
      <c r="K7" s="4766"/>
      <c r="L7" s="1222"/>
      <c r="M7" s="441"/>
      <c r="N7" s="441"/>
      <c r="O7" s="441"/>
      <c r="P7" s="441"/>
      <c r="Q7" s="441"/>
      <c r="R7" s="441"/>
      <c r="S7" s="441"/>
      <c r="T7" s="441"/>
      <c r="U7" s="441"/>
      <c r="V7" s="441"/>
      <c r="W7" s="441"/>
      <c r="X7" s="441"/>
      <c r="Y7" s="441"/>
      <c r="Z7" s="441"/>
      <c r="AA7" s="441"/>
      <c r="AB7" s="441"/>
      <c r="AC7" s="441"/>
      <c r="AD7" s="441"/>
      <c r="AE7" s="441"/>
      <c r="AF7" s="441"/>
      <c r="AG7" s="441"/>
      <c r="AH7" s="441"/>
      <c r="AI7" s="441"/>
      <c r="AJ7" s="441"/>
      <c r="AK7" s="441"/>
      <c r="AL7" s="441"/>
      <c r="AM7" s="441"/>
      <c r="AN7" s="441"/>
    </row>
    <row r="8" spans="1:40" s="277" customFormat="1" ht="30" customHeight="1">
      <c r="A8" s="4744"/>
      <c r="B8" s="4218"/>
      <c r="C8" s="4219"/>
      <c r="D8" s="4208"/>
      <c r="E8" s="4208"/>
      <c r="F8" s="13" t="s">
        <v>1</v>
      </c>
      <c r="G8" s="367">
        <f>G6+G7</f>
        <v>43200</v>
      </c>
      <c r="H8" s="367">
        <f>H6+H7</f>
        <v>43800</v>
      </c>
      <c r="I8" s="4784">
        <f>I6+I7</f>
        <v>44300</v>
      </c>
      <c r="J8" s="4785"/>
      <c r="K8" s="4786"/>
      <c r="L8" s="1222"/>
      <c r="M8" s="441"/>
      <c r="N8" s="441"/>
      <c r="O8" s="441"/>
      <c r="P8" s="441"/>
      <c r="Q8" s="441"/>
      <c r="R8" s="441"/>
      <c r="S8" s="441"/>
      <c r="T8" s="441"/>
      <c r="U8" s="441"/>
      <c r="V8" s="441"/>
      <c r="W8" s="441"/>
      <c r="X8" s="441"/>
      <c r="Y8" s="441"/>
      <c r="Z8" s="441"/>
      <c r="AA8" s="441"/>
      <c r="AB8" s="441"/>
      <c r="AC8" s="441"/>
      <c r="AD8" s="441"/>
      <c r="AE8" s="441"/>
      <c r="AF8" s="441"/>
      <c r="AG8" s="441"/>
      <c r="AH8" s="441"/>
      <c r="AI8" s="441"/>
      <c r="AJ8" s="441"/>
      <c r="AK8" s="441"/>
      <c r="AL8" s="441"/>
      <c r="AM8" s="441"/>
      <c r="AN8" s="441"/>
    </row>
    <row r="9" spans="1:40" s="277" customFormat="1" ht="30" customHeight="1">
      <c r="A9" s="4744"/>
      <c r="B9" s="4209" t="s">
        <v>2584</v>
      </c>
      <c r="C9" s="4210"/>
      <c r="D9" s="4203" t="s">
        <v>35</v>
      </c>
      <c r="E9" s="4203" t="s">
        <v>34</v>
      </c>
      <c r="F9" s="132" t="s">
        <v>0</v>
      </c>
      <c r="G9" s="325">
        <f>CEILING('Полотна база'!AF56*(1+скидки_наценки!$B$29)*скидки_наценки!$D$13*скидки_наценки!$F$13/скидки_наценки!$B$4, 50)</f>
        <v>32950</v>
      </c>
      <c r="H9" s="1182">
        <f>CEILING('Полотна база'!AG56*(1+скидки_наценки!$B$29)*скидки_наценки!$D$13*скидки_наценки!$F$13/скидки_наценки!$B$4, 50)</f>
        <v>33650</v>
      </c>
      <c r="I9" s="4775">
        <f>CEILING('Полотна база'!AH56*(1+скидки_наценки!$B$29)*скидки_наценки!$D$13*скидки_наценки!$F$13/скидки_наценки!$B$4, 50)</f>
        <v>34200</v>
      </c>
      <c r="J9" s="4776"/>
      <c r="K9" s="4777"/>
      <c r="L9" s="1222"/>
      <c r="M9" s="441"/>
      <c r="N9" s="441"/>
      <c r="O9" s="441"/>
      <c r="P9" s="441"/>
      <c r="Q9" s="441"/>
      <c r="R9" s="441"/>
      <c r="S9" s="441"/>
      <c r="T9" s="441"/>
      <c r="U9" s="441"/>
      <c r="V9" s="441"/>
      <c r="W9" s="441"/>
      <c r="X9" s="441"/>
      <c r="Y9" s="441"/>
      <c r="Z9" s="441"/>
      <c r="AA9" s="441"/>
      <c r="AB9" s="441"/>
      <c r="AC9" s="441"/>
      <c r="AD9" s="441"/>
      <c r="AE9" s="441"/>
      <c r="AF9" s="441"/>
      <c r="AG9" s="441"/>
      <c r="AH9" s="441"/>
      <c r="AI9" s="441"/>
      <c r="AJ9" s="441"/>
      <c r="AK9" s="441"/>
      <c r="AL9" s="441"/>
      <c r="AM9" s="441"/>
      <c r="AN9" s="441"/>
    </row>
    <row r="10" spans="1:40" s="301" customFormat="1" ht="15" customHeight="1">
      <c r="A10" s="4744"/>
      <c r="B10" s="4226"/>
      <c r="C10" s="4227"/>
      <c r="D10" s="4204"/>
      <c r="E10" s="4204"/>
      <c r="F10" s="302" t="s">
        <v>306</v>
      </c>
      <c r="G10" s="326">
        <f>IF(G9=0,0,(Погонаж!$C$15*2.5+Погонаж!$E$15*5))</f>
        <v>14375</v>
      </c>
      <c r="H10" s="364">
        <f>IF(H9=0,0,(Погонаж!$C$15*2.5+Погонаж!$E$15*5))</f>
        <v>14375</v>
      </c>
      <c r="I10" s="4757">
        <f>IF(I9=0,0,(Погонаж!$C$15*2.5+Погонаж!$E$15*5))</f>
        <v>14375</v>
      </c>
      <c r="J10" s="4758"/>
      <c r="K10" s="4759"/>
      <c r="L10" s="1222"/>
      <c r="M10" s="441"/>
      <c r="N10" s="441"/>
      <c r="O10" s="441"/>
      <c r="P10" s="441"/>
      <c r="Q10" s="441"/>
      <c r="R10" s="441"/>
      <c r="S10" s="441"/>
      <c r="T10" s="441"/>
      <c r="U10" s="441"/>
      <c r="V10" s="441"/>
      <c r="W10" s="441"/>
      <c r="X10" s="441"/>
      <c r="Y10" s="441"/>
      <c r="Z10" s="441"/>
      <c r="AA10" s="441"/>
      <c r="AB10" s="441"/>
      <c r="AC10" s="441"/>
      <c r="AD10" s="441"/>
      <c r="AE10" s="441"/>
      <c r="AF10" s="441"/>
      <c r="AG10" s="441"/>
      <c r="AH10" s="441"/>
      <c r="AI10" s="441"/>
      <c r="AJ10" s="441"/>
      <c r="AK10" s="441"/>
      <c r="AL10" s="441"/>
      <c r="AM10" s="441"/>
      <c r="AN10" s="441"/>
    </row>
    <row r="11" spans="1:40" s="277" customFormat="1" ht="30" customHeight="1">
      <c r="A11" s="4744"/>
      <c r="B11" s="4228"/>
      <c r="C11" s="4229"/>
      <c r="D11" s="4205"/>
      <c r="E11" s="4205"/>
      <c r="F11" s="30" t="s">
        <v>1</v>
      </c>
      <c r="G11" s="328">
        <f>G9+G10</f>
        <v>47325</v>
      </c>
      <c r="H11" s="365">
        <f>H9+H10</f>
        <v>48025</v>
      </c>
      <c r="I11" s="4760">
        <f>I9+I10</f>
        <v>48575</v>
      </c>
      <c r="J11" s="4761"/>
      <c r="K11" s="4762"/>
      <c r="L11" s="1222"/>
      <c r="M11" s="441"/>
      <c r="N11" s="441"/>
      <c r="O11" s="441"/>
      <c r="P11" s="441"/>
      <c r="Q11" s="441"/>
      <c r="R11" s="441"/>
      <c r="S11" s="441"/>
      <c r="T11" s="441"/>
      <c r="U11" s="441"/>
      <c r="V11" s="441"/>
      <c r="W11" s="441"/>
      <c r="X11" s="441"/>
      <c r="Y11" s="441"/>
      <c r="Z11" s="441"/>
      <c r="AA11" s="441"/>
      <c r="AB11" s="441"/>
      <c r="AC11" s="441"/>
      <c r="AD11" s="441"/>
      <c r="AE11" s="441"/>
      <c r="AF11" s="441"/>
      <c r="AG11" s="441"/>
      <c r="AH11" s="441"/>
      <c r="AI11" s="441"/>
      <c r="AJ11" s="441"/>
      <c r="AK11" s="441"/>
      <c r="AL11" s="441"/>
      <c r="AM11" s="441"/>
      <c r="AN11" s="441"/>
    </row>
    <row r="12" spans="1:40" s="3848" customFormat="1" ht="30" hidden="1" customHeight="1">
      <c r="A12" s="4744"/>
      <c r="B12" s="4209" t="s">
        <v>3385</v>
      </c>
      <c r="C12" s="4210"/>
      <c r="D12" s="4203" t="s">
        <v>35</v>
      </c>
      <c r="E12" s="4203" t="s">
        <v>34</v>
      </c>
      <c r="F12" s="132" t="s">
        <v>0</v>
      </c>
      <c r="G12" s="1191"/>
      <c r="H12" s="1191"/>
      <c r="I12" s="4775"/>
      <c r="J12" s="4776"/>
      <c r="K12" s="4777"/>
      <c r="L12" s="1222"/>
      <c r="M12" s="441"/>
      <c r="N12" s="441"/>
      <c r="O12" s="441"/>
      <c r="P12" s="441"/>
      <c r="Q12" s="441"/>
      <c r="R12" s="441"/>
      <c r="S12" s="441"/>
      <c r="T12" s="441"/>
      <c r="U12" s="441"/>
      <c r="V12" s="441"/>
      <c r="W12" s="441"/>
      <c r="X12" s="441"/>
      <c r="Y12" s="441"/>
      <c r="Z12" s="441"/>
      <c r="AA12" s="441"/>
      <c r="AB12" s="441"/>
      <c r="AC12" s="441"/>
      <c r="AD12" s="441"/>
      <c r="AE12" s="441"/>
      <c r="AF12" s="441"/>
      <c r="AG12" s="441"/>
      <c r="AH12" s="441"/>
      <c r="AI12" s="441"/>
      <c r="AJ12" s="441"/>
      <c r="AK12" s="441"/>
      <c r="AL12" s="441"/>
      <c r="AM12" s="441"/>
      <c r="AN12" s="441"/>
    </row>
    <row r="13" spans="1:40" s="3848" customFormat="1" ht="30" hidden="1" customHeight="1">
      <c r="A13" s="4744"/>
      <c r="B13" s="3843"/>
      <c r="C13" s="3853"/>
      <c r="D13" s="4204"/>
      <c r="E13" s="4204"/>
      <c r="F13" s="307" t="s">
        <v>306</v>
      </c>
      <c r="G13" s="2331"/>
      <c r="H13" s="2331"/>
      <c r="I13" s="4757"/>
      <c r="J13" s="4758"/>
      <c r="K13" s="4759"/>
      <c r="L13" s="1222"/>
      <c r="M13" s="441"/>
      <c r="N13" s="441"/>
      <c r="O13" s="441"/>
      <c r="P13" s="441"/>
      <c r="Q13" s="441"/>
      <c r="R13" s="441"/>
      <c r="S13" s="441"/>
      <c r="T13" s="441"/>
      <c r="U13" s="441"/>
      <c r="V13" s="441"/>
      <c r="W13" s="441"/>
      <c r="X13" s="441"/>
      <c r="Y13" s="441"/>
      <c r="Z13" s="441"/>
      <c r="AA13" s="441"/>
      <c r="AB13" s="441"/>
      <c r="AC13" s="441"/>
      <c r="AD13" s="441"/>
      <c r="AE13" s="441"/>
      <c r="AF13" s="441"/>
      <c r="AG13" s="441"/>
      <c r="AH13" s="441"/>
      <c r="AI13" s="441"/>
      <c r="AJ13" s="441"/>
      <c r="AK13" s="441"/>
      <c r="AL13" s="441"/>
      <c r="AM13" s="441"/>
      <c r="AN13" s="441"/>
    </row>
    <row r="14" spans="1:40" s="3848" customFormat="1" ht="30" hidden="1" customHeight="1">
      <c r="A14" s="4744"/>
      <c r="B14" s="3843"/>
      <c r="C14" s="3853"/>
      <c r="D14" s="4205"/>
      <c r="E14" s="4205"/>
      <c r="F14" s="30" t="s">
        <v>1</v>
      </c>
      <c r="G14" s="2332"/>
      <c r="H14" s="2332"/>
      <c r="I14" s="4760"/>
      <c r="J14" s="4761"/>
      <c r="K14" s="4762"/>
      <c r="L14" s="1222"/>
      <c r="M14" s="441"/>
      <c r="N14" s="441"/>
      <c r="O14" s="441"/>
      <c r="P14" s="441"/>
      <c r="Q14" s="441"/>
      <c r="R14" s="441"/>
      <c r="S14" s="441"/>
      <c r="T14" s="441"/>
      <c r="U14" s="441"/>
      <c r="V14" s="441"/>
      <c r="W14" s="441"/>
      <c r="X14" s="441"/>
      <c r="Y14" s="441"/>
      <c r="Z14" s="441"/>
      <c r="AA14" s="441"/>
      <c r="AB14" s="441"/>
      <c r="AC14" s="441"/>
      <c r="AD14" s="441"/>
      <c r="AE14" s="441"/>
      <c r="AF14" s="441"/>
      <c r="AG14" s="441"/>
      <c r="AH14" s="441"/>
      <c r="AI14" s="441"/>
      <c r="AJ14" s="441"/>
      <c r="AK14" s="441"/>
      <c r="AL14" s="441"/>
      <c r="AM14" s="441"/>
      <c r="AN14" s="441"/>
    </row>
    <row r="15" spans="1:40" s="2328" customFormat="1" ht="30" customHeight="1">
      <c r="A15" s="4744"/>
      <c r="B15" s="4211" t="s">
        <v>3445</v>
      </c>
      <c r="C15" s="4212"/>
      <c r="D15" s="4206" t="s">
        <v>35</v>
      </c>
      <c r="E15" s="4206" t="s">
        <v>34</v>
      </c>
      <c r="F15" s="50" t="s">
        <v>0</v>
      </c>
      <c r="G15" s="691">
        <f>CEILING('Полотна база'!AF58*(1+скидки_наценки!$B$29)*скидки_наценки!$D$13*скидки_наценки!$F$13/скидки_наценки!$B$4, 50)</f>
        <v>35950</v>
      </c>
      <c r="H15" s="691">
        <f>CEILING('Полотна база'!AG58*(1+скидки_наценки!$B$29)*скидки_наценки!$D$13*скидки_наценки!$F$13/скидки_наценки!$B$4, 50)</f>
        <v>36700</v>
      </c>
      <c r="I15" s="4547">
        <f>CEILING('Полотна база'!AH58*(1+скидки_наценки!$B$29)*скидки_наценки!$D$13*скидки_наценки!$F$13/скидки_наценки!$B$4, 50)</f>
        <v>37300</v>
      </c>
      <c r="J15" s="4763"/>
      <c r="K15" s="4549"/>
      <c r="L15" s="1222"/>
      <c r="M15" s="441"/>
      <c r="N15" s="441"/>
      <c r="O15" s="441"/>
      <c r="P15" s="441"/>
      <c r="Q15" s="441"/>
      <c r="R15" s="441"/>
      <c r="S15" s="441"/>
      <c r="T15" s="441"/>
      <c r="U15" s="441"/>
      <c r="V15" s="441"/>
      <c r="W15" s="441"/>
      <c r="X15" s="441"/>
      <c r="Y15" s="441"/>
      <c r="Z15" s="441"/>
      <c r="AA15" s="441"/>
      <c r="AB15" s="441"/>
      <c r="AC15" s="441"/>
      <c r="AD15" s="441"/>
      <c r="AE15" s="441"/>
      <c r="AF15" s="441"/>
      <c r="AG15" s="441"/>
      <c r="AH15" s="441"/>
      <c r="AI15" s="441"/>
      <c r="AJ15" s="441"/>
      <c r="AK15" s="441"/>
      <c r="AL15" s="441"/>
      <c r="AM15" s="441"/>
      <c r="AN15" s="441"/>
    </row>
    <row r="16" spans="1:40" s="2328" customFormat="1" ht="15" customHeight="1">
      <c r="A16" s="4744"/>
      <c r="B16" s="4216"/>
      <c r="C16" s="4217"/>
      <c r="D16" s="4207"/>
      <c r="E16" s="4207"/>
      <c r="F16" s="303" t="s">
        <v>306</v>
      </c>
      <c r="G16" s="2589">
        <f>IF(G15=0,0,(Погонаж!$C$17*2.5+Погонаж!$E$17*5))</f>
        <v>15250</v>
      </c>
      <c r="H16" s="2589">
        <f>IF(H15=0,0,(Погонаж!$C$17*2.5+Погонаж!$E$17*5))</f>
        <v>15250</v>
      </c>
      <c r="I16" s="4764">
        <f>IF(H15=0,0,(Погонаж!$C$17*2.5+Погонаж!$E$17*5))</f>
        <v>15250</v>
      </c>
      <c r="J16" s="4765"/>
      <c r="K16" s="4766"/>
      <c r="L16" s="1222"/>
      <c r="M16" s="441"/>
      <c r="N16" s="441"/>
      <c r="O16" s="441"/>
      <c r="P16" s="441"/>
      <c r="Q16" s="441"/>
      <c r="R16" s="441"/>
      <c r="S16" s="441"/>
      <c r="T16" s="441"/>
      <c r="U16" s="441"/>
      <c r="V16" s="441"/>
      <c r="W16" s="441"/>
      <c r="X16" s="441"/>
      <c r="Y16" s="441"/>
      <c r="Z16" s="441"/>
      <c r="AA16" s="441"/>
      <c r="AB16" s="441"/>
      <c r="AC16" s="441"/>
      <c r="AD16" s="441"/>
      <c r="AE16" s="441"/>
      <c r="AF16" s="441"/>
      <c r="AG16" s="441"/>
      <c r="AH16" s="441"/>
      <c r="AI16" s="441"/>
      <c r="AJ16" s="441"/>
      <c r="AK16" s="441"/>
      <c r="AL16" s="441"/>
      <c r="AM16" s="441"/>
      <c r="AN16" s="441"/>
    </row>
    <row r="17" spans="1:96" s="589" customFormat="1" ht="30" customHeight="1">
      <c r="A17" s="4744"/>
      <c r="B17" s="4218"/>
      <c r="C17" s="4219"/>
      <c r="D17" s="4208"/>
      <c r="E17" s="4208"/>
      <c r="F17" s="13" t="s">
        <v>1</v>
      </c>
      <c r="G17" s="367">
        <f>G15+G16</f>
        <v>51200</v>
      </c>
      <c r="H17" s="367">
        <f>H15+H16</f>
        <v>51950</v>
      </c>
      <c r="I17" s="4784">
        <f>I15+I16</f>
        <v>52550</v>
      </c>
      <c r="J17" s="4785"/>
      <c r="K17" s="4786"/>
      <c r="L17" s="1222"/>
      <c r="M17" s="242"/>
      <c r="N17" s="242"/>
      <c r="O17" s="242"/>
      <c r="P17" s="242"/>
      <c r="Q17" s="242"/>
      <c r="R17" s="242"/>
      <c r="S17" s="242"/>
      <c r="T17" s="242"/>
      <c r="U17" s="242"/>
      <c r="V17" s="242"/>
      <c r="W17" s="242"/>
      <c r="X17" s="242"/>
      <c r="Y17" s="242"/>
      <c r="Z17" s="242"/>
      <c r="AA17" s="242"/>
      <c r="AB17" s="242"/>
      <c r="AC17" s="242"/>
      <c r="AD17" s="242"/>
      <c r="AE17" s="242"/>
      <c r="AF17" s="242"/>
      <c r="AG17" s="242"/>
      <c r="AH17" s="242"/>
      <c r="AI17" s="242"/>
      <c r="AJ17" s="242"/>
      <c r="AK17" s="242"/>
      <c r="AL17" s="242"/>
      <c r="AM17" s="242"/>
      <c r="AN17" s="242"/>
    </row>
    <row r="18" spans="1:96" s="345" customFormat="1" ht="18" customHeight="1">
      <c r="G18" s="130"/>
      <c r="J18" s="589"/>
      <c r="L18" s="1222"/>
      <c r="M18" s="242"/>
      <c r="N18" s="242"/>
      <c r="O18" s="242"/>
      <c r="P18" s="242"/>
      <c r="Q18" s="242"/>
      <c r="R18" s="242"/>
      <c r="S18" s="242"/>
      <c r="T18" s="242"/>
      <c r="U18" s="242"/>
      <c r="V18" s="242"/>
      <c r="W18" s="242"/>
      <c r="X18" s="242"/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</row>
    <row r="19" spans="1:96" ht="15" customHeight="1">
      <c r="A19" s="277"/>
      <c r="B19" s="19" t="s">
        <v>20</v>
      </c>
      <c r="C19" s="277"/>
      <c r="D19" s="277"/>
      <c r="E19" s="277"/>
      <c r="F19" s="6"/>
      <c r="G19" s="3"/>
      <c r="H19" s="237"/>
      <c r="I19" s="237"/>
      <c r="J19" s="237"/>
      <c r="K19" s="3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</row>
    <row r="20" spans="1:96" s="454" customFormat="1" ht="15" customHeight="1">
      <c r="A20" s="4602" t="s">
        <v>3</v>
      </c>
      <c r="B20" s="4602"/>
      <c r="C20" s="4602"/>
      <c r="D20" s="4602"/>
      <c r="E20" s="4602"/>
      <c r="F20" s="4602"/>
      <c r="G20" s="1033" t="s">
        <v>925</v>
      </c>
      <c r="H20" s="1033" t="s">
        <v>926</v>
      </c>
      <c r="I20" s="4778" t="s">
        <v>927</v>
      </c>
      <c r="J20" s="4779"/>
      <c r="K20" s="4780"/>
      <c r="L20" s="1223"/>
      <c r="M20" s="1023"/>
      <c r="N20" s="1023"/>
      <c r="O20" s="1023"/>
      <c r="P20" s="1023"/>
      <c r="Q20" s="1023"/>
      <c r="R20" s="1023"/>
      <c r="S20" s="1023"/>
      <c r="T20" s="1023"/>
      <c r="U20" s="1023"/>
      <c r="V20" s="1023"/>
      <c r="W20" s="1023"/>
      <c r="X20" s="1023"/>
      <c r="Y20" s="1023"/>
      <c r="Z20" s="1023"/>
      <c r="AA20" s="1023"/>
      <c r="AB20" s="1023"/>
      <c r="AC20" s="1023"/>
      <c r="AD20" s="1023"/>
      <c r="AE20" s="1023"/>
      <c r="AF20" s="1023"/>
      <c r="AG20" s="1023"/>
      <c r="AH20" s="1023"/>
      <c r="AI20" s="1023"/>
      <c r="AJ20" s="1023"/>
      <c r="AK20" s="1023"/>
      <c r="AL20" s="1023"/>
      <c r="AM20" s="1023"/>
      <c r="AN20" s="1023"/>
    </row>
    <row r="21" spans="1:96" ht="15" customHeight="1">
      <c r="A21" s="4668" t="s">
        <v>372</v>
      </c>
      <c r="B21" s="4668"/>
      <c r="C21" s="4668"/>
      <c r="D21" s="4668"/>
      <c r="E21" s="4668"/>
      <c r="F21" s="4668"/>
      <c r="G21" s="1043" t="s">
        <v>4</v>
      </c>
      <c r="H21" s="1043">
        <f>CEILING('Декоры база'!H41*(1+скидки_наценки!$B$32)*скидки_наценки!$D$13*скидки_наценки!$F$13/скидки_наценки!$B$4, 50)</f>
        <v>2200</v>
      </c>
      <c r="I21" s="4793">
        <f>CEILING('Декоры база'!I41*(1+скидки_наценки!$B$32)*скидки_наценки!$D$13*скидки_наценки!$F$13/скидки_наценки!$B$4, 50)</f>
        <v>2200</v>
      </c>
      <c r="J21" s="4794"/>
      <c r="K21" s="4795"/>
      <c r="M21" s="242"/>
      <c r="N21" s="242"/>
      <c r="O21" s="242"/>
      <c r="P21" s="242"/>
      <c r="Q21" s="242"/>
      <c r="R21" s="242"/>
      <c r="S21" s="242"/>
      <c r="T21" s="242"/>
      <c r="U21" s="242"/>
      <c r="V21" s="242"/>
      <c r="W21" s="242"/>
      <c r="X21" s="242"/>
      <c r="Y21" s="242"/>
      <c r="Z21" s="242"/>
      <c r="AA21" s="242"/>
      <c r="AB21" s="242"/>
      <c r="AC21" s="242"/>
      <c r="AD21" s="242"/>
      <c r="AE21" s="242"/>
      <c r="AF21" s="242"/>
      <c r="AG21" s="242"/>
      <c r="AH21" s="242"/>
      <c r="AI21" s="242"/>
      <c r="AJ21" s="242"/>
      <c r="AK21" s="242"/>
      <c r="AL21" s="242"/>
      <c r="AM21" s="242"/>
      <c r="AN21" s="242"/>
    </row>
    <row r="22" spans="1:96" ht="15" customHeight="1">
      <c r="A22" s="4684" t="s">
        <v>2406</v>
      </c>
      <c r="B22" s="4685"/>
      <c r="C22" s="4686"/>
      <c r="D22" s="4675" t="s">
        <v>1221</v>
      </c>
      <c r="E22" s="4676"/>
      <c r="F22" s="4677"/>
      <c r="G22" s="1008" t="s">
        <v>4</v>
      </c>
      <c r="H22" s="1008">
        <f>CEILING('Декоры база'!D176*(1+скидки_наценки!$B$32)*скидки_наценки!$D$13*скидки_наценки!$F$13/скидки_наценки!$B$4,50)</f>
        <v>2500</v>
      </c>
      <c r="I22" s="4796">
        <f>H22</f>
        <v>2500</v>
      </c>
      <c r="J22" s="4797"/>
      <c r="K22" s="4798"/>
      <c r="M22" s="242"/>
      <c r="N22" s="242"/>
      <c r="O22" s="242"/>
      <c r="P22" s="242"/>
      <c r="Q22" s="242"/>
      <c r="R22" s="242"/>
      <c r="S22" s="242"/>
      <c r="T22" s="242"/>
      <c r="U22" s="242"/>
      <c r="V22" s="242"/>
      <c r="W22" s="242"/>
      <c r="X22" s="242"/>
      <c r="Y22" s="242"/>
      <c r="Z22" s="242"/>
      <c r="AA22" s="242"/>
      <c r="AB22" s="242"/>
      <c r="AC22" s="242"/>
      <c r="AD22" s="242"/>
      <c r="AE22" s="242"/>
      <c r="AF22" s="242"/>
      <c r="AG22" s="242"/>
      <c r="AH22" s="242"/>
      <c r="AI22" s="242"/>
      <c r="AJ22" s="242"/>
      <c r="AK22" s="242"/>
      <c r="AL22" s="242"/>
      <c r="AM22" s="242"/>
      <c r="AN22" s="242"/>
    </row>
    <row r="23" spans="1:96" s="589" customFormat="1" ht="15" customHeight="1">
      <c r="A23" s="4687"/>
      <c r="B23" s="4688"/>
      <c r="C23" s="4689"/>
      <c r="D23" s="4678" t="s">
        <v>1220</v>
      </c>
      <c r="E23" s="4679"/>
      <c r="F23" s="4680"/>
      <c r="G23" s="364" t="s">
        <v>4</v>
      </c>
      <c r="H23" s="364">
        <f>CEILING('Декоры база'!E175*(1+скидки_наценки!$B$32)*скидки_наценки!$D$13*скидки_наценки!$F$13/скидки_наценки!$B$4,50)</f>
        <v>5500</v>
      </c>
      <c r="I23" s="4757">
        <f>H23</f>
        <v>5500</v>
      </c>
      <c r="J23" s="4758"/>
      <c r="K23" s="4759"/>
      <c r="L23" s="1222"/>
      <c r="M23" s="242"/>
      <c r="N23" s="242"/>
      <c r="O23" s="242"/>
      <c r="P23" s="242"/>
      <c r="Q23" s="242"/>
      <c r="R23" s="242"/>
      <c r="S23" s="242"/>
      <c r="T23" s="242"/>
      <c r="U23" s="242"/>
      <c r="V23" s="242"/>
      <c r="W23" s="242"/>
      <c r="X23" s="242"/>
      <c r="Y23" s="242"/>
      <c r="Z23" s="242"/>
      <c r="AA23" s="242"/>
      <c r="AB23" s="242"/>
      <c r="AC23" s="242"/>
      <c r="AD23" s="242"/>
      <c r="AE23" s="242"/>
      <c r="AF23" s="242"/>
      <c r="AG23" s="242"/>
      <c r="AH23" s="242"/>
      <c r="AI23" s="242"/>
      <c r="AJ23" s="242"/>
      <c r="AK23" s="242"/>
      <c r="AL23" s="242"/>
      <c r="AM23" s="242"/>
      <c r="AN23" s="242"/>
    </row>
    <row r="24" spans="1:96" s="589" customFormat="1" ht="15" customHeight="1">
      <c r="A24" s="4690"/>
      <c r="B24" s="4691"/>
      <c r="C24" s="4692"/>
      <c r="D24" s="4681" t="s">
        <v>1222</v>
      </c>
      <c r="E24" s="4682"/>
      <c r="F24" s="4683"/>
      <c r="G24" s="1041" t="s">
        <v>4</v>
      </c>
      <c r="H24" s="1041">
        <f>CEILING('Декоры база'!F175*(1+скидки_наценки!$B$32)*скидки_наценки!$D$13*скидки_наценки!$F$13/скидки_наценки!$B$4,50)</f>
        <v>6500</v>
      </c>
      <c r="I24" s="4767">
        <f>H24</f>
        <v>6500</v>
      </c>
      <c r="J24" s="4768"/>
      <c r="K24" s="4769"/>
      <c r="L24" s="1222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242"/>
      <c r="X24" s="242"/>
      <c r="Y24" s="242"/>
      <c r="Z24" s="242"/>
      <c r="AA24" s="242"/>
      <c r="AB24" s="242"/>
      <c r="AC24" s="242"/>
      <c r="AD24" s="242"/>
      <c r="AE24" s="242"/>
      <c r="AF24" s="242"/>
      <c r="AG24" s="242"/>
      <c r="AH24" s="242"/>
      <c r="AI24" s="242"/>
      <c r="AJ24" s="242"/>
      <c r="AK24" s="242"/>
      <c r="AL24" s="242"/>
      <c r="AM24" s="242"/>
      <c r="AN24" s="242"/>
    </row>
    <row r="25" spans="1:96" s="72" customFormat="1" ht="15" customHeight="1">
      <c r="A25" s="4709" t="s">
        <v>1233</v>
      </c>
      <c r="B25" s="4563"/>
      <c r="C25" s="4564"/>
      <c r="D25" s="4710" t="s">
        <v>1220</v>
      </c>
      <c r="E25" s="4711"/>
      <c r="F25" s="4712"/>
      <c r="G25" s="2887">
        <f>CEILING('стекло+зеркала_база'!H15*(1+скидки_наценки!$B$32)*скидки_наценки!$D$13*скидки_наценки!$F$13/скидки_наценки!$B$4,50)</f>
        <v>8000</v>
      </c>
      <c r="H25" s="2887">
        <f>CEILING('стекло+зеркала_база'!H16*(1+скидки_наценки!$B$32)*скидки_наценки!$D$13*скидки_наценки!$F$13/скидки_наценки!$B$4,50)</f>
        <v>5500</v>
      </c>
      <c r="I25" s="4770">
        <f>CEILING('Декоры база'!I58*(1+скидки_наценки!$B$32)*скидки_наценки!$D$13*скидки_наценки!$F$13/скидки_наценки!$B$4,50)</f>
        <v>0</v>
      </c>
      <c r="J25" s="4771"/>
      <c r="K25" s="4772"/>
      <c r="L25" s="1222"/>
      <c r="M25" s="442"/>
      <c r="N25" s="442"/>
      <c r="O25" s="442"/>
      <c r="P25" s="442"/>
      <c r="Q25" s="442"/>
      <c r="R25" s="442"/>
      <c r="S25" s="442"/>
      <c r="T25" s="442"/>
      <c r="U25" s="442"/>
      <c r="V25" s="442"/>
      <c r="W25" s="442"/>
      <c r="X25" s="442"/>
      <c r="Y25" s="442"/>
      <c r="Z25" s="442"/>
      <c r="AA25" s="442"/>
      <c r="AB25" s="442"/>
      <c r="AC25" s="442"/>
      <c r="AD25" s="442"/>
      <c r="AE25" s="442"/>
      <c r="AF25" s="442"/>
      <c r="AG25" s="442"/>
      <c r="AH25" s="442"/>
      <c r="AI25" s="442"/>
      <c r="AJ25" s="442"/>
      <c r="AK25" s="442"/>
      <c r="AL25" s="442"/>
      <c r="AM25" s="442"/>
      <c r="AN25" s="442"/>
      <c r="AO25" s="294"/>
      <c r="AP25" s="294"/>
      <c r="AQ25" s="294"/>
      <c r="AR25" s="294"/>
      <c r="AS25" s="294"/>
      <c r="AT25" s="294"/>
      <c r="AU25" s="294"/>
      <c r="AV25" s="294"/>
      <c r="AW25" s="294"/>
      <c r="AX25" s="294"/>
      <c r="AY25" s="294"/>
      <c r="AZ25" s="294"/>
      <c r="BA25" s="294"/>
      <c r="BB25" s="294"/>
      <c r="BC25" s="294"/>
      <c r="BD25" s="294"/>
      <c r="BE25" s="294"/>
      <c r="BF25" s="294"/>
      <c r="BG25" s="294"/>
      <c r="BH25" s="294"/>
      <c r="BI25" s="294"/>
      <c r="BJ25" s="294"/>
      <c r="BK25" s="294"/>
      <c r="BL25" s="294"/>
      <c r="BM25" s="294"/>
      <c r="BN25" s="294"/>
      <c r="BO25" s="294"/>
      <c r="BP25" s="294"/>
      <c r="BQ25" s="294"/>
      <c r="BR25" s="294"/>
      <c r="BS25" s="294"/>
      <c r="BT25" s="294"/>
      <c r="BU25" s="294"/>
      <c r="BV25" s="294"/>
      <c r="BW25" s="294"/>
      <c r="BX25" s="294"/>
      <c r="BY25" s="294"/>
      <c r="BZ25" s="294"/>
      <c r="CA25" s="294"/>
      <c r="CB25" s="294"/>
      <c r="CC25" s="294"/>
      <c r="CD25" s="294"/>
      <c r="CE25" s="294"/>
      <c r="CF25" s="294"/>
      <c r="CG25" s="294"/>
      <c r="CH25" s="294"/>
      <c r="CI25" s="294"/>
      <c r="CJ25" s="294"/>
      <c r="CK25" s="294"/>
      <c r="CL25" s="294"/>
      <c r="CM25" s="294"/>
      <c r="CN25" s="294"/>
      <c r="CO25" s="294"/>
      <c r="CP25" s="294"/>
      <c r="CQ25" s="294"/>
      <c r="CR25" s="294"/>
    </row>
    <row r="26" spans="1:96" s="72" customFormat="1" ht="15" customHeight="1">
      <c r="A26" s="4438"/>
      <c r="B26" s="4606"/>
      <c r="C26" s="4439"/>
      <c r="D26" s="4713" t="s">
        <v>2692</v>
      </c>
      <c r="E26" s="4714"/>
      <c r="F26" s="4715"/>
      <c r="G26" s="2890">
        <f>CEILING('стекло+зеркала_база'!I15*(1+скидки_наценки!$B$32)*скидки_наценки!$D$13*скидки_наценки!$F$13/скидки_наценки!$B$4,50)</f>
        <v>9000</v>
      </c>
      <c r="H26" s="2890">
        <f>CEILING('стекло+зеркала_база'!I16*(1+скидки_наценки!$B$32)*скидки_наценки!$D$13*скидки_наценки!$F$13/скидки_наценки!$B$4,50)</f>
        <v>6500</v>
      </c>
      <c r="I26" s="4790">
        <f>CEILING('Декоры база'!I59*(1+скидки_наценки!$B$32)*скидки_наценки!$D$13*скидки_наценки!$F$13/скидки_наценки!$B$4,50)</f>
        <v>0</v>
      </c>
      <c r="J26" s="4791"/>
      <c r="K26" s="4792"/>
      <c r="L26" s="1222"/>
      <c r="M26" s="442"/>
      <c r="N26" s="442"/>
      <c r="O26" s="442"/>
      <c r="P26" s="442"/>
      <c r="Q26" s="442"/>
      <c r="R26" s="442"/>
      <c r="S26" s="442"/>
      <c r="T26" s="442"/>
      <c r="U26" s="442"/>
      <c r="V26" s="442"/>
      <c r="W26" s="442"/>
      <c r="X26" s="442"/>
      <c r="Y26" s="442"/>
      <c r="Z26" s="442"/>
      <c r="AA26" s="442"/>
      <c r="AB26" s="442"/>
      <c r="AC26" s="442"/>
      <c r="AD26" s="442"/>
      <c r="AE26" s="442"/>
      <c r="AF26" s="442"/>
      <c r="AG26" s="442"/>
      <c r="AH26" s="442"/>
      <c r="AI26" s="442"/>
      <c r="AJ26" s="442"/>
      <c r="AK26" s="442"/>
      <c r="AL26" s="442"/>
      <c r="AM26" s="442"/>
      <c r="AN26" s="442"/>
      <c r="AO26" s="294"/>
      <c r="AP26" s="294"/>
      <c r="AQ26" s="294"/>
      <c r="AR26" s="294"/>
      <c r="AS26" s="294"/>
      <c r="AT26" s="294"/>
      <c r="AU26" s="294"/>
      <c r="AV26" s="294"/>
      <c r="AW26" s="294"/>
      <c r="AX26" s="294"/>
      <c r="AY26" s="294"/>
      <c r="AZ26" s="294"/>
      <c r="BA26" s="294"/>
      <c r="BB26" s="294"/>
      <c r="BC26" s="294"/>
      <c r="BD26" s="294"/>
      <c r="BE26" s="294"/>
      <c r="BF26" s="294"/>
      <c r="BG26" s="294"/>
      <c r="BH26" s="294"/>
      <c r="BI26" s="294"/>
      <c r="BJ26" s="294"/>
      <c r="BK26" s="294"/>
      <c r="BL26" s="294"/>
      <c r="BM26" s="294"/>
      <c r="BN26" s="294"/>
      <c r="BO26" s="294"/>
      <c r="BP26" s="294"/>
      <c r="BQ26" s="294"/>
      <c r="BR26" s="294"/>
      <c r="BS26" s="294"/>
      <c r="BT26" s="294"/>
      <c r="BU26" s="294"/>
      <c r="BV26" s="294"/>
      <c r="BW26" s="294"/>
      <c r="BX26" s="294"/>
      <c r="BY26" s="294"/>
      <c r="BZ26" s="294"/>
      <c r="CA26" s="294"/>
      <c r="CB26" s="294"/>
      <c r="CC26" s="294"/>
      <c r="CD26" s="294"/>
      <c r="CE26" s="294"/>
      <c r="CF26" s="294"/>
      <c r="CG26" s="294"/>
      <c r="CH26" s="294"/>
      <c r="CI26" s="294"/>
      <c r="CJ26" s="294"/>
      <c r="CK26" s="294"/>
      <c r="CL26" s="294"/>
      <c r="CM26" s="294"/>
      <c r="CN26" s="294"/>
      <c r="CO26" s="294"/>
      <c r="CP26" s="294"/>
      <c r="CQ26" s="294"/>
      <c r="CR26" s="294"/>
    </row>
    <row r="27" spans="1:96" ht="18" customHeight="1">
      <c r="A27" s="35"/>
      <c r="B27" s="35"/>
      <c r="C27" s="35"/>
      <c r="D27" s="35"/>
      <c r="E27" s="35"/>
      <c r="F27" s="35"/>
      <c r="G27" s="29"/>
      <c r="H27" s="29"/>
      <c r="I27" s="29"/>
      <c r="J27" s="29"/>
      <c r="K27" s="29"/>
      <c r="M27" s="442"/>
      <c r="N27" s="242"/>
      <c r="O27" s="242"/>
      <c r="P27" s="242"/>
      <c r="Q27" s="242"/>
      <c r="R27" s="242"/>
      <c r="S27" s="242"/>
      <c r="T27" s="242"/>
      <c r="U27" s="242"/>
      <c r="V27" s="242"/>
      <c r="W27" s="242"/>
      <c r="X27" s="242"/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42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/>
      <c r="CQ27" s="69"/>
      <c r="CR27" s="69"/>
    </row>
    <row r="28" spans="1:96" ht="90" customHeight="1">
      <c r="A28" s="18"/>
      <c r="B28" s="20"/>
      <c r="C28" s="17" t="s">
        <v>261</v>
      </c>
      <c r="D28" s="17"/>
      <c r="E28" s="17"/>
      <c r="F28" s="17"/>
      <c r="G28" s="17"/>
      <c r="H28" s="17"/>
      <c r="I28" s="17"/>
      <c r="J28" s="17"/>
      <c r="K28" s="17"/>
      <c r="M28" s="613"/>
      <c r="N28" s="613"/>
      <c r="O28" s="613"/>
      <c r="P28" s="613"/>
      <c r="Q28" s="613"/>
      <c r="R28" s="613"/>
      <c r="S28" s="613"/>
      <c r="T28" s="613"/>
      <c r="U28" s="613"/>
      <c r="V28" s="613"/>
      <c r="W28" s="613"/>
      <c r="X28" s="613"/>
      <c r="Y28" s="613"/>
      <c r="Z28" s="613"/>
      <c r="AA28" s="613"/>
      <c r="AB28" s="613"/>
      <c r="AC28" s="613"/>
      <c r="AD28" s="613"/>
      <c r="AE28" s="613"/>
      <c r="AF28" s="613"/>
      <c r="AG28" s="613"/>
      <c r="AH28" s="613"/>
      <c r="AI28" s="613"/>
      <c r="AJ28" s="613"/>
      <c r="AK28" s="613"/>
      <c r="AL28" s="613"/>
      <c r="AM28" s="613"/>
      <c r="AN28" s="613"/>
    </row>
    <row r="29" spans="1:96">
      <c r="A29" s="277"/>
      <c r="B29" s="19" t="s">
        <v>25</v>
      </c>
      <c r="C29" s="277"/>
      <c r="D29" s="277"/>
      <c r="E29" s="277"/>
      <c r="F29" s="6"/>
      <c r="G29" s="277"/>
      <c r="H29" s="277"/>
      <c r="I29" s="277"/>
      <c r="J29" s="2335"/>
      <c r="K29" s="277"/>
      <c r="M29" s="613"/>
      <c r="N29" s="613"/>
      <c r="O29" s="613"/>
      <c r="P29" s="613"/>
      <c r="Q29" s="613"/>
      <c r="R29" s="613"/>
      <c r="S29" s="613"/>
      <c r="T29" s="613"/>
      <c r="U29" s="613"/>
      <c r="V29" s="613"/>
      <c r="W29" s="613"/>
      <c r="X29" s="613"/>
      <c r="Y29" s="613"/>
      <c r="Z29" s="613"/>
      <c r="AA29" s="613"/>
      <c r="AB29" s="613"/>
      <c r="AC29" s="613"/>
      <c r="AD29" s="613"/>
      <c r="AE29" s="613"/>
      <c r="AF29" s="613"/>
      <c r="AG29" s="613"/>
      <c r="AH29" s="613"/>
      <c r="AI29" s="613"/>
      <c r="AJ29" s="613"/>
      <c r="AK29" s="613"/>
      <c r="AL29" s="613"/>
      <c r="AM29" s="613"/>
      <c r="AN29" s="613"/>
    </row>
    <row r="30" spans="1:96" ht="15" customHeight="1">
      <c r="A30" s="4633" t="s">
        <v>39</v>
      </c>
      <c r="B30" s="4235"/>
      <c r="C30" s="4633" t="s">
        <v>212</v>
      </c>
      <c r="D30" s="4235"/>
      <c r="E30" s="4696" t="s">
        <v>40</v>
      </c>
      <c r="F30" s="4696" t="s">
        <v>38</v>
      </c>
      <c r="G30" s="2349" t="s">
        <v>925</v>
      </c>
      <c r="H30" s="2349" t="s">
        <v>926</v>
      </c>
      <c r="I30" s="4629" t="s">
        <v>927</v>
      </c>
      <c r="J30" s="4629"/>
      <c r="K30" s="4629"/>
      <c r="L30" s="1224"/>
      <c r="M30" s="613"/>
      <c r="N30" s="613"/>
      <c r="O30" s="613"/>
      <c r="P30" s="613"/>
      <c r="Q30" s="613"/>
      <c r="R30" s="613"/>
      <c r="S30" s="613"/>
      <c r="T30" s="613"/>
      <c r="U30" s="613"/>
      <c r="V30" s="613"/>
      <c r="W30" s="613"/>
      <c r="X30" s="613"/>
      <c r="Y30" s="613"/>
      <c r="Z30" s="613"/>
      <c r="AA30" s="613"/>
      <c r="AB30" s="613"/>
      <c r="AC30" s="613"/>
      <c r="AD30" s="613"/>
      <c r="AE30" s="613"/>
      <c r="AF30" s="613"/>
      <c r="AG30" s="613"/>
      <c r="AH30" s="613"/>
      <c r="AI30" s="613"/>
      <c r="AJ30" s="613"/>
      <c r="AK30" s="613"/>
      <c r="AL30" s="613"/>
      <c r="AM30" s="613"/>
      <c r="AN30" s="613"/>
    </row>
    <row r="31" spans="1:96" s="320" customFormat="1" ht="15" customHeight="1">
      <c r="A31" s="4634"/>
      <c r="B31" s="4237"/>
      <c r="C31" s="4634"/>
      <c r="D31" s="4237"/>
      <c r="E31" s="4697"/>
      <c r="F31" s="4697"/>
      <c r="G31" s="2349" t="s">
        <v>22</v>
      </c>
      <c r="H31" s="2349" t="s">
        <v>22</v>
      </c>
      <c r="I31" s="2349" t="s">
        <v>22</v>
      </c>
      <c r="J31" s="2349" t="s">
        <v>23</v>
      </c>
      <c r="K31" s="2349" t="s">
        <v>2041</v>
      </c>
      <c r="L31" s="1224"/>
      <c r="M31" s="613"/>
      <c r="N31" s="613"/>
      <c r="O31" s="613"/>
      <c r="P31" s="613"/>
      <c r="Q31" s="613"/>
      <c r="R31" s="613"/>
      <c r="S31" s="613"/>
      <c r="T31" s="613"/>
      <c r="U31" s="613"/>
      <c r="V31" s="613"/>
      <c r="W31" s="613"/>
      <c r="X31" s="613"/>
      <c r="Y31" s="613"/>
      <c r="Z31" s="613"/>
      <c r="AA31" s="613"/>
      <c r="AB31" s="613"/>
      <c r="AC31" s="613"/>
      <c r="AD31" s="613"/>
      <c r="AE31" s="613"/>
      <c r="AF31" s="613"/>
      <c r="AG31" s="613"/>
      <c r="AH31" s="613"/>
      <c r="AI31" s="613"/>
      <c r="AJ31" s="613"/>
      <c r="AK31" s="613"/>
      <c r="AL31" s="613"/>
      <c r="AM31" s="613"/>
      <c r="AN31" s="613"/>
    </row>
    <row r="32" spans="1:96" s="277" customFormat="1" ht="15" customHeight="1">
      <c r="A32" s="4635"/>
      <c r="B32" s="4239"/>
      <c r="C32" s="4635"/>
      <c r="D32" s="4239"/>
      <c r="E32" s="4698"/>
      <c r="F32" s="4698"/>
      <c r="G32" s="141" t="s">
        <v>208</v>
      </c>
      <c r="H32" s="141" t="s">
        <v>223</v>
      </c>
      <c r="I32" s="141" t="s">
        <v>223</v>
      </c>
      <c r="J32" s="141" t="s">
        <v>223</v>
      </c>
      <c r="K32" s="141" t="s">
        <v>223</v>
      </c>
      <c r="L32" s="1224"/>
      <c r="M32" s="613"/>
      <c r="N32" s="613"/>
      <c r="O32" s="613"/>
      <c r="P32" s="613"/>
      <c r="Q32" s="613"/>
      <c r="R32" s="613"/>
      <c r="S32" s="613"/>
      <c r="T32" s="613"/>
      <c r="U32" s="613"/>
      <c r="V32" s="613"/>
      <c r="W32" s="613"/>
      <c r="X32" s="613"/>
      <c r="Y32" s="613"/>
      <c r="Z32" s="613"/>
      <c r="AA32" s="613"/>
      <c r="AB32" s="613"/>
      <c r="AC32" s="613"/>
      <c r="AD32" s="613"/>
      <c r="AE32" s="613"/>
      <c r="AF32" s="613"/>
      <c r="AG32" s="613"/>
      <c r="AH32" s="613"/>
      <c r="AI32" s="613"/>
      <c r="AJ32" s="613"/>
      <c r="AK32" s="613"/>
      <c r="AL32" s="613"/>
      <c r="AM32" s="613"/>
      <c r="AN32" s="613"/>
    </row>
    <row r="33" spans="1:40" s="277" customFormat="1" ht="25.15" customHeight="1">
      <c r="A33" s="4460" t="s">
        <v>33</v>
      </c>
      <c r="B33" s="4461"/>
      <c r="C33" s="4466" t="s">
        <v>2022</v>
      </c>
      <c r="D33" s="4467"/>
      <c r="E33" s="132" t="s">
        <v>216</v>
      </c>
      <c r="F33" s="47" t="s">
        <v>4</v>
      </c>
      <c r="G33" s="1119">
        <f>CEILING(('стекло+зеркала_база'!C79+'стекло+зеркала_база'!I79)*(1+скидки_наценки!$B$32)*скидки_наценки!$D$13*скидки_наценки!$F$13/скидки_наценки!$B$4, 50)</f>
        <v>2200</v>
      </c>
      <c r="H33" s="1119">
        <f>CEILING('стекло+зеркала_база'!$C$80*(1+скидки_наценки!$B$32)*скидки_наценки!$D$13*скидки_наценки!$F$13/скидки_наценки!$B$4, 50)</f>
        <v>1000</v>
      </c>
      <c r="I33" s="1119">
        <f>CEILING('стекло+зеркала_база'!$C$80*(1+скидки_наценки!$B$32)*скидки_наценки!$D$13*скидки_наценки!$F$13/скидки_наценки!$B$4, 50)</f>
        <v>1000</v>
      </c>
      <c r="J33" s="1119">
        <f>CEILING('стекло+зеркала_база'!C82*(1+скидки_наценки!$B$32)*скидки_наценки!$D$13*скидки_наценки!$F$13/скидки_наценки!$B$4, 50)</f>
        <v>700</v>
      </c>
      <c r="K33" s="1119">
        <f>CEILING('стекло+зеркала_база'!C83*(1+скидки_наценки!$B$32)*скидки_наценки!$D$13*скидки_наценки!$F$13/скидки_наценки!$B$4, 50)</f>
        <v>300</v>
      </c>
      <c r="L33" s="4745"/>
      <c r="M33" s="613"/>
      <c r="N33" s="613"/>
      <c r="O33" s="613"/>
      <c r="P33" s="613"/>
      <c r="Q33" s="613"/>
      <c r="R33" s="613"/>
      <c r="S33" s="613"/>
      <c r="T33" s="613"/>
      <c r="U33" s="613"/>
      <c r="V33" s="613"/>
      <c r="W33" s="613"/>
      <c r="X33" s="613"/>
      <c r="Y33" s="613"/>
      <c r="Z33" s="613"/>
      <c r="AA33" s="613"/>
      <c r="AB33" s="613"/>
      <c r="AC33" s="613"/>
      <c r="AD33" s="613"/>
      <c r="AE33" s="613"/>
      <c r="AF33" s="613"/>
      <c r="AG33" s="613"/>
      <c r="AH33" s="613"/>
      <c r="AI33" s="613"/>
      <c r="AJ33" s="613"/>
      <c r="AK33" s="613"/>
      <c r="AL33" s="613"/>
      <c r="AM33" s="613"/>
      <c r="AN33" s="613"/>
    </row>
    <row r="34" spans="1:40" s="277" customFormat="1" ht="25.15" customHeight="1">
      <c r="A34" s="4462"/>
      <c r="B34" s="4463"/>
      <c r="C34" s="4253" t="s">
        <v>210</v>
      </c>
      <c r="D34" s="4254"/>
      <c r="E34" s="191" t="s">
        <v>217</v>
      </c>
      <c r="F34" s="188" t="s">
        <v>4</v>
      </c>
      <c r="G34" s="373">
        <f>CEILING(('стекло+зеркала_база'!I79+'стекло+зеркала_база'!D79)*(1+скидки_наценки!$B$32)*скидки_наценки!$D$13*скидки_наценки!$F$13/скидки_наценки!$B$4, 50)</f>
        <v>2700</v>
      </c>
      <c r="H34" s="373">
        <f>CEILING(('стекло+зеркала_база'!$D$80)*(1+скидки_наценки!$B$32)*скидки_наценки!$D$13*скидки_наценки!$F$13/скидки_наценки!$B$4, 50)</f>
        <v>1300</v>
      </c>
      <c r="I34" s="2780">
        <f>CEILING(('стекло+зеркала_база'!$D$80)*(1+скидки_наценки!$B$32)*скидки_наценки!$D$13*скидки_наценки!$F$13/скидки_наценки!$B$4, 50)</f>
        <v>1300</v>
      </c>
      <c r="J34" s="2780">
        <f>CEILING(('стекло+зеркала_база'!D82)*(1+скидки_наценки!$B$32)*скидки_наценки!$D$13*скидки_наценки!$F$13/скидки_наценки!$B$4, 50)</f>
        <v>1000</v>
      </c>
      <c r="K34" s="2780">
        <f>CEILING(('стекло+зеркала_база'!D83)*(1+скидки_наценки!$B$32)*скидки_наценки!$D$13*скидки_наценки!$F$13/скидки_наценки!$B$4, 50)</f>
        <v>400</v>
      </c>
      <c r="L34" s="4745"/>
      <c r="M34" s="613"/>
      <c r="N34" s="613"/>
      <c r="O34" s="613"/>
      <c r="P34" s="613"/>
      <c r="Q34" s="613"/>
      <c r="R34" s="613"/>
      <c r="S34" s="613"/>
      <c r="T34" s="613"/>
      <c r="U34" s="613"/>
      <c r="V34" s="613"/>
      <c r="W34" s="613"/>
      <c r="X34" s="613"/>
      <c r="Y34" s="613"/>
      <c r="Z34" s="613"/>
      <c r="AA34" s="613"/>
      <c r="AB34" s="613"/>
      <c r="AC34" s="613"/>
      <c r="AD34" s="613"/>
      <c r="AE34" s="613"/>
      <c r="AF34" s="613"/>
      <c r="AG34" s="613"/>
      <c r="AH34" s="613"/>
      <c r="AI34" s="613"/>
      <c r="AJ34" s="613"/>
      <c r="AK34" s="613"/>
      <c r="AL34" s="613"/>
      <c r="AM34" s="613"/>
      <c r="AN34" s="613"/>
    </row>
    <row r="35" spans="1:40" s="277" customFormat="1" ht="25.15" customHeight="1">
      <c r="A35" s="4464"/>
      <c r="B35" s="4465"/>
      <c r="C35" s="4438" t="s">
        <v>211</v>
      </c>
      <c r="D35" s="4439"/>
      <c r="E35" s="276" t="s">
        <v>217</v>
      </c>
      <c r="F35" s="275" t="s">
        <v>4</v>
      </c>
      <c r="G35" s="327">
        <f>CEILING(('стекло+зеркала_база'!E79+'стекло+зеркала_база'!I79)*(1+скидки_наценки!$B$32)*скидки_наценки!$D$13*скидки_наценки!$F$13/скидки_наценки!$B$4, 50)</f>
        <v>3200</v>
      </c>
      <c r="H35" s="327">
        <f>CEILING(('стекло+зеркала_база'!$E$80)*(1+скидки_наценки!$B$32)*скидки_наценки!$D$13*скидки_наценки!$F$13/скидки_наценки!$B$4, 50)</f>
        <v>1700</v>
      </c>
      <c r="I35" s="327">
        <f>CEILING(('стекло+зеркала_база'!$E$80)*(1+скидки_наценки!$B$32)*скидки_наценки!$D$13*скидки_наценки!$F$13/скидки_наценки!$B$4, 50)</f>
        <v>1700</v>
      </c>
      <c r="J35" s="327">
        <f>CEILING(('стекло+зеркала_база'!E82)*(1+скидки_наценки!$B$32)*скидки_наценки!$D$13*скидки_наценки!$F$13/скидки_наценки!$B$4, 50)</f>
        <v>1200</v>
      </c>
      <c r="K35" s="327">
        <f>CEILING(('стекло+зеркала_база'!E83)*(1+скидки_наценки!$B$32)*скидки_наценки!$D$13*скидки_наценки!$F$13/скидки_наценки!$B$4, 50)</f>
        <v>500</v>
      </c>
      <c r="L35" s="4745"/>
      <c r="M35" s="613"/>
      <c r="N35" s="613"/>
      <c r="O35" s="613"/>
      <c r="P35" s="613"/>
      <c r="Q35" s="613"/>
      <c r="R35" s="613"/>
      <c r="S35" s="613"/>
      <c r="T35" s="613"/>
      <c r="U35" s="613"/>
      <c r="V35" s="613"/>
      <c r="W35" s="613"/>
      <c r="X35" s="613"/>
      <c r="Y35" s="613"/>
      <c r="Z35" s="613"/>
      <c r="AA35" s="613"/>
      <c r="AB35" s="613"/>
      <c r="AC35" s="613"/>
      <c r="AD35" s="613"/>
      <c r="AE35" s="613"/>
      <c r="AF35" s="613"/>
      <c r="AG35" s="613"/>
      <c r="AH35" s="613"/>
      <c r="AI35" s="613"/>
      <c r="AJ35" s="613"/>
      <c r="AK35" s="613"/>
      <c r="AL35" s="613"/>
      <c r="AM35" s="613"/>
      <c r="AN35" s="613"/>
    </row>
    <row r="36" spans="1:40" s="68" customFormat="1" ht="39" customHeight="1">
      <c r="A36" s="4585" t="s">
        <v>213</v>
      </c>
      <c r="B36" s="4586"/>
      <c r="C36" s="4717" t="s">
        <v>2019</v>
      </c>
      <c r="D36" s="4718"/>
      <c r="E36" s="182" t="s">
        <v>217</v>
      </c>
      <c r="F36" s="142" t="s">
        <v>4</v>
      </c>
      <c r="G36" s="372">
        <f>CEILING(('стекло+зеркала_база'!I79+'стекло+зеркала_база'!F79)*(1+скидки_наценки!$B$32)*скидки_наценки!$D$13*скидки_наценки!$F$13/скидки_наценки!$B$4, 50)</f>
        <v>2900</v>
      </c>
      <c r="H36" s="372">
        <f>CEILING('стекло+зеркала_база'!$F$80*(1+скидки_наценки!$B$32)*скидки_наценки!$D$13*скидки_наценки!$F$13/скидки_наценки!$B$4, 50)</f>
        <v>1500</v>
      </c>
      <c r="I36" s="372">
        <f>CEILING('стекло+зеркала_база'!$F$80*(1+скидки_наценки!$B$32)*скидки_наценки!$D$13*скидки_наценки!$F$13/скидки_наценки!$B$4, 50)</f>
        <v>1500</v>
      </c>
      <c r="J36" s="372">
        <f>CEILING('стекло+зеркала_база'!F83*(1+скидки_наценки!$B$32)*скидки_наценки!$D$13*скидки_наценки!$F$13/скидки_наценки!$B$4, 50)</f>
        <v>500</v>
      </c>
      <c r="K36" s="372">
        <f>CEILING('стекло+зеркала_база'!F83*(1+скидки_наценки!$B$32)*скидки_наценки!$D$13*скидки_наценки!$F$13/скидки_наценки!$B$4, 50)</f>
        <v>500</v>
      </c>
      <c r="L36" s="4745"/>
      <c r="M36" s="613"/>
      <c r="N36" s="613"/>
      <c r="O36" s="613"/>
      <c r="P36" s="613"/>
      <c r="Q36" s="613"/>
      <c r="R36" s="613"/>
      <c r="S36" s="613"/>
      <c r="T36" s="613"/>
      <c r="U36" s="613"/>
      <c r="V36" s="613"/>
      <c r="W36" s="613"/>
      <c r="X36" s="613"/>
      <c r="Y36" s="613"/>
      <c r="Z36" s="613"/>
      <c r="AA36" s="613"/>
      <c r="AB36" s="613"/>
      <c r="AC36" s="613"/>
      <c r="AD36" s="613"/>
      <c r="AE36" s="613"/>
      <c r="AF36" s="613"/>
      <c r="AG36" s="613"/>
      <c r="AH36" s="613"/>
      <c r="AI36" s="613"/>
      <c r="AJ36" s="613"/>
      <c r="AK36" s="613"/>
      <c r="AL36" s="613"/>
      <c r="AM36" s="613"/>
      <c r="AN36" s="613"/>
    </row>
    <row r="37" spans="1:40" s="22" customFormat="1" ht="30" customHeight="1">
      <c r="A37" s="4452" t="s">
        <v>215</v>
      </c>
      <c r="B37" s="4453"/>
      <c r="C37" s="4719" t="s">
        <v>214</v>
      </c>
      <c r="D37" s="4720"/>
      <c r="E37" s="276" t="s">
        <v>217</v>
      </c>
      <c r="F37" s="430" t="s">
        <v>1326</v>
      </c>
      <c r="G37" s="371">
        <f>CEILING(('стекло+зеркала_база'!G79='стекло+зеркала_база'!I79)*(1+скидки_наценки!$B$32)*скидки_наценки!$D$13*скидки_наценки!$F$13/скидки_наценки!$B$4, 50)</f>
        <v>0</v>
      </c>
      <c r="H37" s="371">
        <f>CEILING('стекло+зеркала_база'!$G$80*(1+скидки_наценки!$B$32)*скидки_наценки!$D$13*скидки_наценки!$F$13/скидки_наценки!$B$4, 50)</f>
        <v>1700</v>
      </c>
      <c r="I37" s="371">
        <f>CEILING('стекло+зеркала_база'!$G$80*(1+скидки_наценки!$B$32)*скидки_наценки!$D$13*скидки_наценки!$F$13/скидки_наценки!$B$4, 50)</f>
        <v>1700</v>
      </c>
      <c r="J37" s="371">
        <f>CEILING('стекло+зеркала_база'!G83*(1+скидки_наценки!$B$32)*скидки_наценки!$D$13*скидки_наценки!$F$13/скидки_наценки!$B$4, 50)</f>
        <v>600</v>
      </c>
      <c r="K37" s="371">
        <f>CEILING('стекло+зеркала_база'!G83*(1+скидки_наценки!$B$32)*скидки_наценки!$D$13*скидки_наценки!$F$13/скидки_наценки!$B$4, 50)</f>
        <v>600</v>
      </c>
      <c r="L37" s="4745"/>
      <c r="M37" s="613"/>
      <c r="N37" s="613"/>
      <c r="O37" s="613"/>
      <c r="P37" s="613"/>
      <c r="Q37" s="613"/>
      <c r="R37" s="613"/>
      <c r="S37" s="613"/>
      <c r="T37" s="613"/>
      <c r="U37" s="613"/>
      <c r="V37" s="613"/>
      <c r="W37" s="613"/>
      <c r="X37" s="613"/>
      <c r="Y37" s="613"/>
      <c r="Z37" s="613"/>
      <c r="AA37" s="613"/>
      <c r="AB37" s="613"/>
      <c r="AC37" s="613"/>
      <c r="AD37" s="613"/>
      <c r="AE37" s="613"/>
      <c r="AF37" s="613"/>
      <c r="AG37" s="613"/>
      <c r="AH37" s="613"/>
      <c r="AI37" s="613"/>
      <c r="AJ37" s="613"/>
      <c r="AK37" s="613"/>
      <c r="AL37" s="613"/>
      <c r="AM37" s="613"/>
      <c r="AN37" s="613"/>
    </row>
    <row r="38" spans="1:40" s="277" customFormat="1" ht="12" hidden="1" customHeight="1">
      <c r="A38" s="4752" t="s">
        <v>244</v>
      </c>
      <c r="B38" s="4748"/>
      <c r="C38" s="4747" t="s">
        <v>2023</v>
      </c>
      <c r="D38" s="4748"/>
      <c r="E38" s="4788" t="s">
        <v>216</v>
      </c>
      <c r="F38" s="467" t="s">
        <v>4</v>
      </c>
      <c r="G38" s="338" t="s">
        <v>209</v>
      </c>
      <c r="H38" s="338" t="s">
        <v>209</v>
      </c>
      <c r="I38" s="338" t="s">
        <v>209</v>
      </c>
      <c r="J38" s="973"/>
      <c r="K38" s="973" t="s">
        <v>209</v>
      </c>
      <c r="L38" s="4745"/>
      <c r="M38" s="613"/>
      <c r="N38" s="613"/>
      <c r="O38" s="613"/>
      <c r="P38" s="613"/>
      <c r="Q38" s="613"/>
      <c r="R38" s="613"/>
      <c r="S38" s="613"/>
      <c r="T38" s="613"/>
      <c r="U38" s="613"/>
      <c r="V38" s="613"/>
      <c r="W38" s="613"/>
      <c r="X38" s="613"/>
      <c r="Y38" s="613"/>
      <c r="Z38" s="613"/>
      <c r="AA38" s="613"/>
      <c r="AB38" s="613"/>
      <c r="AC38" s="613"/>
      <c r="AD38" s="613"/>
      <c r="AE38" s="613"/>
      <c r="AF38" s="613"/>
      <c r="AG38" s="613"/>
      <c r="AH38" s="613"/>
      <c r="AI38" s="613"/>
      <c r="AJ38" s="613"/>
      <c r="AK38" s="613"/>
      <c r="AL38" s="613"/>
      <c r="AM38" s="613"/>
      <c r="AN38" s="613"/>
    </row>
    <row r="39" spans="1:40" s="277" customFormat="1" ht="19.899999999999999" hidden="1" customHeight="1">
      <c r="A39" s="4753"/>
      <c r="B39" s="4754"/>
      <c r="C39" s="4749"/>
      <c r="D39" s="4750"/>
      <c r="E39" s="4789"/>
      <c r="F39" s="139"/>
      <c r="G39" s="374">
        <f>CEILING('Декоры база'!G111*(1+скидки_наценки!$B$32)*скидки_наценки!$D$13*скидки_наценки!$F$13/скидки_наценки!$B$4, 50)</f>
        <v>5800</v>
      </c>
      <c r="H39" s="374">
        <f>CEILING('Декоры база'!H111*(1+скидки_наценки!$B$32)*скидки_наценки!$D$13*скидки_наценки!$F$13/скидки_наценки!$B$4, 50)</f>
        <v>4150</v>
      </c>
      <c r="I39" s="374">
        <f>CEILING('Декоры база'!I111*(1+скидки_наценки!$B$32)*скидки_наценки!$D$13*скидки_наценки!$F$13/скидки_наценки!$B$4, 50)</f>
        <v>4950</v>
      </c>
      <c r="J39" s="374"/>
      <c r="K39" s="374">
        <f>CEILING('Декоры база'!J111*(1+скидки_наценки!$B$32)*скидки_наценки!$D$13*скидки_наценки!$F$13/скидки_наценки!$B$4, 50)</f>
        <v>0</v>
      </c>
      <c r="L39" s="4745"/>
      <c r="M39" s="613"/>
      <c r="N39" s="613"/>
      <c r="O39" s="613"/>
      <c r="P39" s="613"/>
      <c r="Q39" s="613"/>
      <c r="R39" s="613"/>
      <c r="S39" s="613"/>
      <c r="T39" s="613"/>
      <c r="U39" s="613"/>
      <c r="V39" s="613"/>
      <c r="W39" s="613"/>
      <c r="X39" s="613"/>
      <c r="Y39" s="613"/>
      <c r="Z39" s="613"/>
      <c r="AA39" s="613"/>
      <c r="AB39" s="613"/>
      <c r="AC39" s="613"/>
      <c r="AD39" s="613"/>
      <c r="AE39" s="613"/>
      <c r="AF39" s="613"/>
      <c r="AG39" s="613"/>
      <c r="AH39" s="613"/>
      <c r="AI39" s="613"/>
      <c r="AJ39" s="613"/>
      <c r="AK39" s="613"/>
      <c r="AL39" s="613"/>
      <c r="AM39" s="613"/>
      <c r="AN39" s="613"/>
    </row>
    <row r="40" spans="1:40" s="68" customFormat="1" ht="19.899999999999999" hidden="1" customHeight="1">
      <c r="A40" s="4753"/>
      <c r="B40" s="4754"/>
      <c r="C40" s="4346" t="s">
        <v>2024</v>
      </c>
      <c r="D40" s="4751"/>
      <c r="E40" s="181" t="s">
        <v>217</v>
      </c>
      <c r="F40" s="180" t="s">
        <v>4</v>
      </c>
      <c r="G40" s="327">
        <f>CEILING('Декоры база'!G112*(1+скидки_наценки!$B$32)*скидки_наценки!$D$13*скидки_наценки!$F$13/скидки_наценки!$B$4, 50)</f>
        <v>6400</v>
      </c>
      <c r="H40" s="327">
        <f>CEILING('Декоры база'!H112*(1+скидки_наценки!$B$32)*скидки_наценки!$D$13*скидки_наценки!$F$13/скидки_наценки!$B$4, 50)</f>
        <v>4750</v>
      </c>
      <c r="I40" s="327">
        <f>CEILING('Декоры база'!I112*(1+скидки_наценки!$B$32)*скидки_наценки!$D$13*скидки_наценки!$F$13/скидки_наценки!$B$4, 50)</f>
        <v>5550</v>
      </c>
      <c r="J40" s="327"/>
      <c r="K40" s="327">
        <f>CEILING('Декоры база'!J112*(1+скидки_наценки!$B$32)*скидки_наценки!$D$13*скидки_наценки!$F$13/скидки_наценки!$B$4, 50)</f>
        <v>0</v>
      </c>
      <c r="L40" s="4745"/>
      <c r="M40" s="613"/>
      <c r="N40" s="613"/>
      <c r="O40" s="613"/>
      <c r="P40" s="613"/>
      <c r="Q40" s="613"/>
      <c r="R40" s="613"/>
      <c r="S40" s="613"/>
      <c r="T40" s="613"/>
      <c r="U40" s="613"/>
      <c r="V40" s="613"/>
      <c r="W40" s="613"/>
      <c r="X40" s="613"/>
      <c r="Y40" s="613"/>
      <c r="Z40" s="613"/>
      <c r="AA40" s="613"/>
      <c r="AB40" s="613"/>
      <c r="AC40" s="613"/>
      <c r="AD40" s="613"/>
      <c r="AE40" s="613"/>
      <c r="AF40" s="613"/>
      <c r="AG40" s="613"/>
      <c r="AH40" s="613"/>
      <c r="AI40" s="613"/>
      <c r="AJ40" s="613"/>
      <c r="AK40" s="613"/>
      <c r="AL40" s="613"/>
      <c r="AM40" s="613"/>
      <c r="AN40" s="613"/>
    </row>
    <row r="41" spans="1:40" s="68" customFormat="1" ht="19.899999999999999" hidden="1" customHeight="1">
      <c r="A41" s="4755"/>
      <c r="B41" s="4756"/>
      <c r="C41" s="4432" t="s">
        <v>2025</v>
      </c>
      <c r="D41" s="4787"/>
      <c r="E41" s="183" t="s">
        <v>217</v>
      </c>
      <c r="F41" s="468" t="s">
        <v>4</v>
      </c>
      <c r="G41" s="374">
        <f>CEILING('Декоры база'!G113*(1+скидки_наценки!$B$32)*скидки_наценки!$D$13*скидки_наценки!$F$13/скидки_наценки!$B$4, 50)</f>
        <v>6850</v>
      </c>
      <c r="H41" s="374">
        <f>CEILING('Декоры база'!H113*(1+скидки_наценки!$B$32)*скидки_наценки!$D$13*скидки_наценки!$F$13/скидки_наценки!$B$4, 50)</f>
        <v>5200</v>
      </c>
      <c r="I41" s="374">
        <f>CEILING('Декоры база'!I113*(1+скидки_наценки!$B$32)*скидки_наценки!$D$13*скидки_наценки!$F$13/скидки_наценки!$B$4, 50)</f>
        <v>6000</v>
      </c>
      <c r="J41" s="374"/>
      <c r="K41" s="374">
        <f>CEILING('Декоры база'!J113*(1+скидки_наценки!$B$32)*скидки_наценки!$D$13*скидки_наценки!$F$13/скидки_наценки!$B$4, 50)</f>
        <v>0</v>
      </c>
      <c r="L41" s="4745"/>
      <c r="M41" s="613"/>
      <c r="N41" s="613"/>
      <c r="O41" s="613"/>
      <c r="P41" s="613"/>
      <c r="Q41" s="613"/>
      <c r="R41" s="613"/>
      <c r="S41" s="613"/>
      <c r="T41" s="613"/>
      <c r="U41" s="613"/>
      <c r="V41" s="613"/>
      <c r="W41" s="613"/>
      <c r="X41" s="613"/>
      <c r="Y41" s="613"/>
      <c r="Z41" s="613"/>
      <c r="AA41" s="613"/>
      <c r="AB41" s="613"/>
      <c r="AC41" s="613"/>
      <c r="AD41" s="613"/>
      <c r="AE41" s="613"/>
      <c r="AF41" s="613"/>
      <c r="AG41" s="613"/>
      <c r="AH41" s="613"/>
      <c r="AI41" s="613"/>
      <c r="AJ41" s="613"/>
      <c r="AK41" s="613"/>
      <c r="AL41" s="613"/>
      <c r="AM41" s="613"/>
      <c r="AN41" s="613"/>
    </row>
    <row r="42" spans="1:40" s="68" customFormat="1" ht="14.1" customHeight="1">
      <c r="A42" s="4773" t="s">
        <v>218</v>
      </c>
      <c r="B42" s="4774"/>
      <c r="C42" s="4774"/>
      <c r="D42" s="4774"/>
      <c r="E42" s="4774"/>
      <c r="F42" s="4774"/>
      <c r="G42" s="4774"/>
      <c r="H42" s="4774"/>
      <c r="I42" s="4774"/>
      <c r="J42" s="4632"/>
      <c r="K42" s="4774"/>
      <c r="L42" s="4745"/>
      <c r="M42" s="613"/>
      <c r="N42" s="613"/>
      <c r="O42" s="613"/>
      <c r="P42" s="613"/>
      <c r="Q42" s="613"/>
      <c r="R42" s="613"/>
      <c r="S42" s="613"/>
      <c r="T42" s="613"/>
      <c r="U42" s="613"/>
      <c r="V42" s="613"/>
      <c r="W42" s="613"/>
      <c r="X42" s="613"/>
      <c r="Y42" s="613"/>
      <c r="Z42" s="613"/>
      <c r="AA42" s="613"/>
      <c r="AB42" s="613"/>
      <c r="AC42" s="613"/>
      <c r="AD42" s="613"/>
      <c r="AE42" s="613"/>
      <c r="AF42" s="613"/>
      <c r="AG42" s="613"/>
      <c r="AH42" s="613"/>
      <c r="AI42" s="613"/>
      <c r="AJ42" s="613"/>
      <c r="AK42" s="613"/>
      <c r="AL42" s="613"/>
      <c r="AM42" s="613"/>
      <c r="AN42" s="613"/>
    </row>
    <row r="43" spans="1:40" s="22" customFormat="1" ht="19.899999999999999" customHeight="1">
      <c r="A43" s="4597" t="s">
        <v>224</v>
      </c>
      <c r="B43" s="4598"/>
      <c r="C43" s="4599" t="s">
        <v>484</v>
      </c>
      <c r="D43" s="4599"/>
      <c r="E43" s="4599"/>
      <c r="F43" s="4599"/>
      <c r="G43" s="353">
        <f>CEILING('стекло+зеркала_база'!N79*(1+скидки_наценки!$B$32)*скидки_наценки!$D$13*скидки_наценки!$F$13/скидки_наценки!$B$4, 50)</f>
        <v>700</v>
      </c>
      <c r="H43" s="353">
        <f>CEILING('стекло+зеркала_база'!$N$80*(1+скидки_наценки!$B$32)*скидки_наценки!$D$13*скидки_наценки!$F$13/скидки_наценки!$B$4, 50)</f>
        <v>500</v>
      </c>
      <c r="I43" s="353">
        <f>CEILING('стекло+зеркала_база'!$N$80*(1+скидки_наценки!$B$32)*скидки_наценки!$D$13*скидки_наценки!$F$13/скидки_наценки!$B$4, 50)</f>
        <v>500</v>
      </c>
      <c r="J43" s="353">
        <f>CEILING('стекло+зеркала_база'!N82*(1+скидки_наценки!$B$32)*скидки_наценки!$D$13*скидки_наценки!$F$13/скидки_наценки!$B$4, 50)</f>
        <v>350</v>
      </c>
      <c r="K43" s="353">
        <f>CEILING('стекло+зеркала_база'!N83*(1+скидки_наценки!$B$32)*скидки_наценки!$D$13*скидки_наценки!$F$13/скидки_наценки!$B$4, 50)</f>
        <v>150</v>
      </c>
      <c r="L43" s="4745"/>
      <c r="M43" s="613"/>
      <c r="N43" s="613"/>
      <c r="O43" s="613"/>
      <c r="P43" s="613"/>
      <c r="Q43" s="613"/>
      <c r="R43" s="613"/>
      <c r="S43" s="613"/>
      <c r="T43" s="613"/>
      <c r="U43" s="613"/>
      <c r="V43" s="613"/>
      <c r="W43" s="613"/>
      <c r="X43" s="613"/>
      <c r="Y43" s="613"/>
      <c r="Z43" s="613"/>
      <c r="AA43" s="613"/>
      <c r="AB43" s="613"/>
      <c r="AC43" s="613"/>
      <c r="AD43" s="613"/>
      <c r="AE43" s="613"/>
      <c r="AF43" s="613"/>
      <c r="AG43" s="613"/>
      <c r="AH43" s="613"/>
      <c r="AI43" s="613"/>
      <c r="AJ43" s="613"/>
      <c r="AK43" s="613"/>
      <c r="AL43" s="613"/>
      <c r="AM43" s="613"/>
      <c r="AN43" s="613"/>
    </row>
    <row r="44" spans="1:40" s="22" customFormat="1" ht="45" customHeight="1">
      <c r="A44" s="4454" t="s">
        <v>363</v>
      </c>
      <c r="B44" s="4746"/>
      <c r="C44" s="4456" t="s">
        <v>485</v>
      </c>
      <c r="D44" s="4456"/>
      <c r="E44" s="4456"/>
      <c r="F44" s="4456"/>
      <c r="G44" s="333"/>
      <c r="H44" s="333">
        <f>CEILING('стекло+зеркала_база'!$I$80*(1+скидки_наценки!$B$32)*скидки_наценки!$D$13*скидки_наценки!$F$13/скидки_наценки!$B$4, 50)</f>
        <v>500</v>
      </c>
      <c r="I44" s="333">
        <f>CEILING('стекло+зеркала_база'!$I$80*(1+скидки_наценки!$B$32)*скидки_наценки!$D$13*скидки_наценки!$F$13/скидки_наценки!$B$4, 50)</f>
        <v>500</v>
      </c>
      <c r="J44" s="333">
        <f>CEILING('стекло+зеркала_база'!I82*(1+скидки_наценки!$B$32)*скидки_наценки!$D$13*скидки_наценки!$F$13/скидки_наценки!$B$4, 50)</f>
        <v>350</v>
      </c>
      <c r="K44" s="333">
        <f>CEILING('стекло+зеркала_база'!M83*(1+скидки_наценки!$B$32)*скидки_наценки!$D$13*скидки_наценки!$F$13/скидки_наценки!$B$4, 50)</f>
        <v>300</v>
      </c>
      <c r="L44" s="4745"/>
      <c r="M44" s="613"/>
      <c r="N44" s="613"/>
      <c r="O44" s="613"/>
      <c r="P44" s="613"/>
      <c r="Q44" s="613"/>
      <c r="R44" s="613"/>
      <c r="S44" s="613"/>
      <c r="T44" s="613"/>
      <c r="U44" s="613"/>
      <c r="V44" s="613"/>
      <c r="W44" s="613"/>
      <c r="X44" s="613"/>
      <c r="Y44" s="613"/>
      <c r="Z44" s="613"/>
      <c r="AA44" s="613"/>
      <c r="AB44" s="613"/>
      <c r="AC44" s="613"/>
      <c r="AD44" s="613"/>
      <c r="AE44" s="613"/>
      <c r="AF44" s="613"/>
      <c r="AG44" s="613"/>
      <c r="AH44" s="613"/>
      <c r="AI44" s="613"/>
      <c r="AJ44" s="613"/>
      <c r="AK44" s="613"/>
      <c r="AL44" s="613"/>
      <c r="AM44" s="613"/>
      <c r="AN44" s="613"/>
    </row>
    <row r="45" spans="1:40" ht="15" customHeight="1">
      <c r="F45" s="278"/>
      <c r="G45" s="122"/>
      <c r="I45" s="122"/>
      <c r="J45" s="122"/>
      <c r="K45" s="122"/>
      <c r="M45" s="613"/>
      <c r="N45" s="613"/>
      <c r="O45" s="613"/>
      <c r="P45" s="613"/>
      <c r="Q45" s="613"/>
      <c r="R45" s="613"/>
      <c r="S45" s="613"/>
      <c r="T45" s="613"/>
      <c r="U45" s="613"/>
      <c r="V45" s="613"/>
      <c r="W45" s="613"/>
      <c r="X45" s="613"/>
      <c r="Y45" s="613"/>
      <c r="Z45" s="613"/>
      <c r="AA45" s="613"/>
      <c r="AB45" s="613"/>
      <c r="AC45" s="613"/>
      <c r="AD45" s="613"/>
      <c r="AE45" s="613"/>
      <c r="AF45" s="613"/>
      <c r="AG45" s="613"/>
      <c r="AH45" s="613"/>
      <c r="AI45" s="613"/>
      <c r="AJ45" s="613"/>
      <c r="AK45" s="613"/>
      <c r="AL45" s="613"/>
      <c r="AM45" s="613"/>
      <c r="AN45" s="613"/>
    </row>
    <row r="46" spans="1:40" ht="18" customHeight="1">
      <c r="B46" s="589" t="s">
        <v>3446</v>
      </c>
      <c r="F46" s="278"/>
      <c r="M46" s="613"/>
      <c r="N46" s="613"/>
      <c r="O46" s="613"/>
      <c r="P46" s="613"/>
      <c r="Q46" s="613"/>
      <c r="R46" s="613"/>
      <c r="S46" s="613"/>
      <c r="T46" s="613"/>
      <c r="U46" s="613"/>
      <c r="V46" s="613"/>
      <c r="W46" s="613"/>
      <c r="X46" s="613"/>
      <c r="Y46" s="613"/>
      <c r="Z46" s="613"/>
      <c r="AA46" s="613"/>
      <c r="AB46" s="613"/>
      <c r="AC46" s="613"/>
      <c r="AD46" s="613"/>
      <c r="AE46" s="613"/>
      <c r="AF46" s="613"/>
      <c r="AG46" s="613"/>
      <c r="AH46" s="613"/>
      <c r="AI46" s="613"/>
      <c r="AJ46" s="613"/>
      <c r="AK46" s="613"/>
      <c r="AL46" s="613"/>
      <c r="AM46" s="613"/>
      <c r="AN46" s="613"/>
    </row>
    <row r="47" spans="1:40" ht="18" customHeight="1">
      <c r="B47" s="49"/>
      <c r="C47" s="49"/>
      <c r="D47" s="49"/>
      <c r="E47" s="49"/>
      <c r="F47" s="278"/>
      <c r="I47" s="122"/>
      <c r="J47" s="122"/>
      <c r="M47" s="613"/>
      <c r="N47" s="613"/>
      <c r="O47" s="613"/>
      <c r="P47" s="613"/>
      <c r="Q47" s="613"/>
      <c r="R47" s="613"/>
      <c r="S47" s="613"/>
      <c r="T47" s="613"/>
      <c r="U47" s="613"/>
      <c r="V47" s="613"/>
      <c r="W47" s="613"/>
      <c r="X47" s="613"/>
      <c r="Y47" s="613"/>
      <c r="Z47" s="613"/>
      <c r="AA47" s="613"/>
      <c r="AB47" s="613"/>
      <c r="AC47" s="613"/>
      <c r="AD47" s="613"/>
      <c r="AE47" s="613"/>
      <c r="AF47" s="613"/>
      <c r="AG47" s="613"/>
      <c r="AH47" s="613"/>
      <c r="AI47" s="613"/>
      <c r="AJ47" s="613"/>
      <c r="AK47" s="613"/>
      <c r="AL47" s="613"/>
      <c r="AM47" s="613"/>
      <c r="AN47" s="613"/>
    </row>
    <row r="48" spans="1:40" ht="18" customHeight="1">
      <c r="B48" s="28"/>
      <c r="C48" s="49"/>
      <c r="D48" s="49"/>
      <c r="E48" s="49"/>
      <c r="F48" s="278"/>
      <c r="I48" s="2"/>
      <c r="J48" s="2"/>
      <c r="M48" s="613"/>
      <c r="N48" s="613"/>
      <c r="O48" s="613"/>
      <c r="P48" s="613"/>
      <c r="Q48" s="613"/>
      <c r="R48" s="613"/>
      <c r="S48" s="613"/>
      <c r="T48" s="613"/>
      <c r="U48" s="613"/>
      <c r="V48" s="613"/>
      <c r="W48" s="613"/>
      <c r="X48" s="613"/>
      <c r="Y48" s="613"/>
      <c r="Z48" s="613"/>
      <c r="AA48" s="613"/>
      <c r="AB48" s="613"/>
      <c r="AC48" s="613"/>
      <c r="AD48" s="613"/>
      <c r="AE48" s="613"/>
      <c r="AF48" s="613"/>
      <c r="AG48" s="613"/>
      <c r="AH48" s="613"/>
      <c r="AI48" s="613"/>
      <c r="AJ48" s="613"/>
      <c r="AK48" s="613"/>
      <c r="AL48" s="613"/>
      <c r="AM48" s="613"/>
      <c r="AN48" s="613"/>
    </row>
    <row r="49" spans="2:40" ht="18" customHeight="1">
      <c r="B49" s="28"/>
      <c r="M49" s="613"/>
      <c r="N49" s="613"/>
      <c r="O49" s="613"/>
      <c r="P49" s="613"/>
      <c r="Q49" s="613"/>
      <c r="R49" s="613"/>
      <c r="S49" s="613"/>
      <c r="T49" s="613"/>
      <c r="U49" s="613"/>
      <c r="V49" s="613"/>
      <c r="W49" s="613"/>
      <c r="X49" s="613"/>
      <c r="Y49" s="613"/>
      <c r="Z49" s="613"/>
      <c r="AA49" s="613"/>
      <c r="AB49" s="613"/>
      <c r="AC49" s="613"/>
      <c r="AD49" s="613"/>
      <c r="AE49" s="613"/>
      <c r="AF49" s="613"/>
      <c r="AG49" s="613"/>
      <c r="AH49" s="613"/>
      <c r="AI49" s="613"/>
      <c r="AJ49" s="613"/>
      <c r="AK49" s="613"/>
      <c r="AL49" s="613"/>
      <c r="AM49" s="613"/>
      <c r="AN49" s="613"/>
    </row>
    <row r="50" spans="2:40" ht="18" customHeight="1">
      <c r="M50" s="613"/>
      <c r="N50" s="613"/>
      <c r="O50" s="613"/>
      <c r="P50" s="613"/>
      <c r="Q50" s="613"/>
      <c r="R50" s="613"/>
      <c r="S50" s="613"/>
      <c r="T50" s="613"/>
      <c r="U50" s="613"/>
      <c r="V50" s="613"/>
      <c r="W50" s="613"/>
      <c r="X50" s="613"/>
      <c r="Y50" s="613"/>
      <c r="Z50" s="613"/>
      <c r="AA50" s="613"/>
      <c r="AB50" s="613"/>
      <c r="AC50" s="613"/>
      <c r="AD50" s="613"/>
      <c r="AE50" s="613"/>
      <c r="AF50" s="613"/>
      <c r="AG50" s="613"/>
      <c r="AH50" s="613"/>
      <c r="AI50" s="613"/>
      <c r="AJ50" s="613"/>
      <c r="AK50" s="613"/>
      <c r="AL50" s="613"/>
      <c r="AM50" s="613"/>
      <c r="AN50" s="613"/>
    </row>
    <row r="51" spans="2:40" ht="18" customHeight="1">
      <c r="M51" s="613"/>
      <c r="N51" s="613"/>
      <c r="O51" s="613"/>
      <c r="P51" s="613"/>
      <c r="Q51" s="613"/>
      <c r="R51" s="613"/>
      <c r="S51" s="613"/>
      <c r="T51" s="613"/>
      <c r="U51" s="613"/>
      <c r="V51" s="613"/>
      <c r="W51" s="613"/>
      <c r="X51" s="613"/>
      <c r="Y51" s="613"/>
      <c r="Z51" s="613"/>
      <c r="AA51" s="613"/>
      <c r="AB51" s="613"/>
      <c r="AC51" s="613"/>
      <c r="AD51" s="613"/>
      <c r="AE51" s="613"/>
      <c r="AF51" s="613"/>
      <c r="AG51" s="613"/>
      <c r="AH51" s="613"/>
      <c r="AI51" s="613"/>
      <c r="AJ51" s="613"/>
      <c r="AK51" s="613"/>
      <c r="AL51" s="613"/>
      <c r="AM51" s="613"/>
      <c r="AN51" s="613"/>
    </row>
    <row r="52" spans="2:40" ht="18" customHeight="1">
      <c r="M52" s="613"/>
      <c r="N52" s="613"/>
      <c r="O52" s="613"/>
      <c r="P52" s="613"/>
      <c r="Q52" s="613"/>
      <c r="R52" s="613"/>
      <c r="S52" s="613"/>
      <c r="T52" s="613"/>
      <c r="U52" s="613"/>
      <c r="V52" s="613"/>
      <c r="W52" s="613"/>
      <c r="X52" s="613"/>
      <c r="Y52" s="613"/>
      <c r="Z52" s="613"/>
      <c r="AA52" s="613"/>
      <c r="AB52" s="613"/>
      <c r="AC52" s="613"/>
      <c r="AD52" s="613"/>
      <c r="AE52" s="613"/>
      <c r="AF52" s="613"/>
      <c r="AG52" s="613"/>
      <c r="AH52" s="613"/>
      <c r="AI52" s="613"/>
      <c r="AJ52" s="613"/>
      <c r="AK52" s="613"/>
      <c r="AL52" s="613"/>
      <c r="AM52" s="613"/>
      <c r="AN52" s="613"/>
    </row>
    <row r="53" spans="2:40" ht="18" customHeight="1">
      <c r="M53" s="613"/>
      <c r="N53" s="613"/>
      <c r="O53" s="613"/>
      <c r="P53" s="613"/>
      <c r="Q53" s="613"/>
      <c r="R53" s="613"/>
      <c r="S53" s="613"/>
      <c r="T53" s="613"/>
      <c r="U53" s="613"/>
      <c r="V53" s="613"/>
      <c r="W53" s="613"/>
      <c r="X53" s="613"/>
      <c r="Y53" s="613"/>
      <c r="Z53" s="613"/>
      <c r="AA53" s="613"/>
      <c r="AB53" s="613"/>
      <c r="AC53" s="613"/>
      <c r="AD53" s="613"/>
      <c r="AE53" s="613"/>
      <c r="AF53" s="613"/>
      <c r="AG53" s="613"/>
      <c r="AH53" s="613"/>
      <c r="AI53" s="613"/>
      <c r="AJ53" s="613"/>
      <c r="AK53" s="613"/>
      <c r="AL53" s="613"/>
      <c r="AM53" s="613"/>
      <c r="AN53" s="613"/>
    </row>
    <row r="54" spans="2:40" ht="18" customHeight="1">
      <c r="M54" s="613"/>
      <c r="N54" s="613"/>
      <c r="O54" s="613"/>
      <c r="P54" s="613"/>
      <c r="Q54" s="613"/>
      <c r="R54" s="613"/>
      <c r="S54" s="613"/>
      <c r="T54" s="613"/>
      <c r="U54" s="613"/>
      <c r="V54" s="613"/>
      <c r="W54" s="613"/>
      <c r="X54" s="613"/>
      <c r="Y54" s="613"/>
      <c r="Z54" s="613"/>
      <c r="AA54" s="613"/>
      <c r="AB54" s="613"/>
      <c r="AC54" s="613"/>
      <c r="AD54" s="613"/>
      <c r="AE54" s="613"/>
      <c r="AF54" s="613"/>
      <c r="AG54" s="613"/>
      <c r="AH54" s="613"/>
      <c r="AI54" s="613"/>
      <c r="AJ54" s="613"/>
      <c r="AK54" s="613"/>
      <c r="AL54" s="613"/>
      <c r="AM54" s="613"/>
      <c r="AN54" s="613"/>
    </row>
    <row r="55" spans="2:40" ht="18" customHeight="1">
      <c r="M55" s="613"/>
      <c r="N55" s="613"/>
      <c r="O55" s="613"/>
      <c r="P55" s="613"/>
      <c r="Q55" s="613"/>
      <c r="R55" s="613"/>
      <c r="S55" s="613"/>
      <c r="T55" s="613"/>
      <c r="U55" s="613"/>
      <c r="V55" s="613"/>
      <c r="W55" s="613"/>
      <c r="X55" s="613"/>
      <c r="Y55" s="613"/>
      <c r="Z55" s="613"/>
      <c r="AA55" s="613"/>
      <c r="AB55" s="613"/>
      <c r="AC55" s="613"/>
      <c r="AD55" s="613"/>
      <c r="AE55" s="613"/>
      <c r="AF55" s="613"/>
      <c r="AG55" s="613"/>
      <c r="AH55" s="613"/>
      <c r="AI55" s="613"/>
      <c r="AJ55" s="613"/>
      <c r="AK55" s="613"/>
      <c r="AL55" s="613"/>
      <c r="AM55" s="613"/>
      <c r="AN55" s="613"/>
    </row>
    <row r="56" spans="2:40" ht="18" customHeight="1">
      <c r="M56" s="613"/>
      <c r="N56" s="613"/>
      <c r="O56" s="613"/>
      <c r="P56" s="613"/>
      <c r="Q56" s="613"/>
      <c r="R56" s="613"/>
      <c r="S56" s="613"/>
      <c r="T56" s="613"/>
      <c r="U56" s="613"/>
      <c r="V56" s="613"/>
      <c r="W56" s="613"/>
      <c r="X56" s="613"/>
      <c r="Y56" s="613"/>
      <c r="Z56" s="613"/>
      <c r="AA56" s="613"/>
      <c r="AB56" s="613"/>
      <c r="AC56" s="613"/>
      <c r="AD56" s="613"/>
      <c r="AE56" s="613"/>
      <c r="AF56" s="613"/>
      <c r="AG56" s="613"/>
      <c r="AH56" s="613"/>
      <c r="AI56" s="613"/>
      <c r="AJ56" s="613"/>
      <c r="AK56" s="613"/>
      <c r="AL56" s="613"/>
      <c r="AM56" s="613"/>
      <c r="AN56" s="613"/>
    </row>
    <row r="57" spans="2:40" ht="18" customHeight="1">
      <c r="M57" s="613"/>
      <c r="N57" s="613"/>
      <c r="O57" s="613"/>
      <c r="P57" s="613"/>
      <c r="Q57" s="613"/>
      <c r="R57" s="613"/>
      <c r="S57" s="613"/>
      <c r="T57" s="613"/>
      <c r="U57" s="613"/>
      <c r="V57" s="613"/>
      <c r="W57" s="613"/>
      <c r="X57" s="613"/>
      <c r="Y57" s="613"/>
      <c r="Z57" s="613"/>
      <c r="AA57" s="613"/>
      <c r="AB57" s="613"/>
      <c r="AC57" s="613"/>
      <c r="AD57" s="613"/>
      <c r="AE57" s="613"/>
      <c r="AF57" s="613"/>
      <c r="AG57" s="613"/>
      <c r="AH57" s="613"/>
      <c r="AI57" s="613"/>
      <c r="AJ57" s="613"/>
      <c r="AK57" s="613"/>
      <c r="AL57" s="613"/>
      <c r="AM57" s="613"/>
      <c r="AN57" s="613"/>
    </row>
    <row r="58" spans="2:40" ht="18" customHeight="1">
      <c r="M58" s="613"/>
      <c r="N58" s="613"/>
      <c r="O58" s="613"/>
      <c r="P58" s="613"/>
      <c r="Q58" s="613"/>
      <c r="R58" s="613"/>
      <c r="S58" s="613"/>
      <c r="T58" s="613"/>
      <c r="U58" s="613"/>
      <c r="V58" s="613"/>
      <c r="W58" s="613"/>
      <c r="X58" s="613"/>
      <c r="Y58" s="613"/>
      <c r="Z58" s="613"/>
      <c r="AA58" s="613"/>
      <c r="AB58" s="613"/>
      <c r="AC58" s="613"/>
      <c r="AD58" s="613"/>
      <c r="AE58" s="613"/>
      <c r="AF58" s="613"/>
      <c r="AG58" s="613"/>
      <c r="AH58" s="613"/>
      <c r="AI58" s="613"/>
      <c r="AJ58" s="613"/>
      <c r="AK58" s="613"/>
      <c r="AL58" s="613"/>
      <c r="AM58" s="613"/>
      <c r="AN58" s="613"/>
    </row>
    <row r="59" spans="2:40" ht="18" customHeight="1">
      <c r="M59" s="613"/>
      <c r="N59" s="613"/>
      <c r="O59" s="613"/>
      <c r="P59" s="613"/>
      <c r="Q59" s="613"/>
      <c r="R59" s="613"/>
      <c r="S59" s="613"/>
      <c r="T59" s="613"/>
      <c r="U59" s="613"/>
      <c r="V59" s="613"/>
      <c r="W59" s="613"/>
      <c r="X59" s="613"/>
      <c r="Y59" s="613"/>
      <c r="Z59" s="613"/>
      <c r="AA59" s="613"/>
      <c r="AB59" s="613"/>
      <c r="AC59" s="613"/>
      <c r="AD59" s="613"/>
      <c r="AE59" s="613"/>
      <c r="AF59" s="613"/>
      <c r="AG59" s="613"/>
      <c r="AH59" s="613"/>
      <c r="AI59" s="613"/>
      <c r="AJ59" s="613"/>
      <c r="AK59" s="613"/>
      <c r="AL59" s="613"/>
      <c r="AM59" s="613"/>
      <c r="AN59" s="613"/>
    </row>
    <row r="60" spans="2:40" ht="18" customHeight="1">
      <c r="M60" s="613"/>
      <c r="N60" s="613"/>
      <c r="O60" s="613"/>
      <c r="P60" s="613"/>
      <c r="Q60" s="613"/>
      <c r="R60" s="613"/>
      <c r="S60" s="613"/>
      <c r="T60" s="613"/>
      <c r="U60" s="613"/>
      <c r="V60" s="613"/>
      <c r="W60" s="613"/>
      <c r="X60" s="613"/>
      <c r="Y60" s="613"/>
      <c r="Z60" s="613"/>
      <c r="AA60" s="613"/>
      <c r="AB60" s="613"/>
      <c r="AC60" s="613"/>
      <c r="AD60" s="613"/>
      <c r="AE60" s="613"/>
      <c r="AF60" s="613"/>
      <c r="AG60" s="613"/>
      <c r="AH60" s="613"/>
      <c r="AI60" s="613"/>
      <c r="AJ60" s="613"/>
      <c r="AK60" s="613"/>
      <c r="AL60" s="613"/>
      <c r="AM60" s="613"/>
      <c r="AN60" s="613"/>
    </row>
    <row r="61" spans="2:40" ht="18" customHeight="1"/>
    <row r="62" spans="2:40" s="589" customFormat="1" ht="18" customHeight="1">
      <c r="F62" s="2"/>
      <c r="L62" s="1222"/>
    </row>
    <row r="63" spans="2:40" s="589" customFormat="1" ht="18" customHeight="1">
      <c r="F63" s="2"/>
      <c r="L63" s="1222"/>
    </row>
    <row r="64" spans="2:40" ht="18" customHeight="1"/>
    <row r="65" spans="1:11">
      <c r="A65" s="277"/>
      <c r="B65" s="19"/>
      <c r="C65" s="277"/>
      <c r="D65" s="277"/>
      <c r="E65" s="277"/>
      <c r="F65" s="6"/>
      <c r="G65" s="277"/>
      <c r="H65" s="277"/>
      <c r="I65" s="277"/>
      <c r="J65" s="2335"/>
      <c r="K65" s="277"/>
    </row>
    <row r="66" spans="1:11" ht="18" customHeight="1"/>
    <row r="67" spans="1:11" ht="18" customHeight="1"/>
    <row r="68" spans="1:11" ht="18" customHeight="1"/>
    <row r="69" spans="1:11" ht="18" customHeight="1"/>
    <row r="70" spans="1:11" ht="18" customHeight="1"/>
    <row r="71" spans="1:11" ht="18" customHeight="1"/>
    <row r="72" spans="1:11" ht="18" customHeight="1"/>
    <row r="73" spans="1:11" ht="18" customHeight="1"/>
    <row r="74" spans="1:11" ht="18" customHeight="1"/>
    <row r="75" spans="1:11" ht="18" customHeight="1"/>
    <row r="76" spans="1:11" ht="18" customHeight="1"/>
    <row r="77" spans="1:11" ht="18" customHeight="1"/>
    <row r="78" spans="1:11" ht="18" customHeight="1"/>
    <row r="79" spans="1:11" ht="18" customHeight="1"/>
    <row r="80" spans="1:11" ht="18" customHeight="1"/>
    <row r="101" spans="2:2">
      <c r="B101" s="57"/>
    </row>
    <row r="115" spans="1:40" ht="15" customHeight="1">
      <c r="A115" s="28"/>
      <c r="C115" s="45"/>
      <c r="D115" s="45"/>
      <c r="E115" s="45"/>
      <c r="F115" s="45"/>
      <c r="G115" s="45"/>
      <c r="M115" s="242"/>
      <c r="N115" s="242"/>
      <c r="O115" s="242"/>
      <c r="P115" s="242"/>
      <c r="Q115" s="242"/>
      <c r="R115" s="242"/>
      <c r="S115" s="242"/>
      <c r="T115" s="242"/>
      <c r="U115" s="242"/>
      <c r="V115" s="242"/>
      <c r="W115" s="242"/>
      <c r="X115" s="242"/>
      <c r="Y115" s="242"/>
      <c r="Z115" s="242"/>
      <c r="AA115" s="242"/>
      <c r="AB115" s="242"/>
      <c r="AC115" s="242"/>
      <c r="AD115" s="242"/>
      <c r="AE115" s="242"/>
      <c r="AF115" s="242"/>
      <c r="AG115" s="242"/>
      <c r="AH115" s="242"/>
      <c r="AI115" s="242"/>
      <c r="AJ115" s="242"/>
      <c r="AK115" s="242"/>
      <c r="AL115" s="242"/>
      <c r="AM115" s="242"/>
      <c r="AN115" s="242"/>
    </row>
  </sheetData>
  <mergeCells count="71">
    <mergeCell ref="I26:K26"/>
    <mergeCell ref="D22:F22"/>
    <mergeCell ref="I17:K17"/>
    <mergeCell ref="I20:K20"/>
    <mergeCell ref="I21:K21"/>
    <mergeCell ref="I22:K22"/>
    <mergeCell ref="I23:K23"/>
    <mergeCell ref="A20:F20"/>
    <mergeCell ref="D23:F23"/>
    <mergeCell ref="D24:F24"/>
    <mergeCell ref="A36:B36"/>
    <mergeCell ref="A25:C26"/>
    <mergeCell ref="D25:F25"/>
    <mergeCell ref="D26:F26"/>
    <mergeCell ref="C41:D41"/>
    <mergeCell ref="E38:E39"/>
    <mergeCell ref="I5:K5"/>
    <mergeCell ref="I6:K6"/>
    <mergeCell ref="I7:K7"/>
    <mergeCell ref="I8:K8"/>
    <mergeCell ref="I9:K9"/>
    <mergeCell ref="I12:K12"/>
    <mergeCell ref="I13:K13"/>
    <mergeCell ref="I14:K14"/>
    <mergeCell ref="D12:D14"/>
    <mergeCell ref="E12:E14"/>
    <mergeCell ref="I10:K10"/>
    <mergeCell ref="I11:K11"/>
    <mergeCell ref="I15:K15"/>
    <mergeCell ref="I16:K16"/>
    <mergeCell ref="A43:B43"/>
    <mergeCell ref="I30:K30"/>
    <mergeCell ref="I24:K24"/>
    <mergeCell ref="I25:K25"/>
    <mergeCell ref="A21:F21"/>
    <mergeCell ref="A22:C24"/>
    <mergeCell ref="A42:K42"/>
    <mergeCell ref="C34:D34"/>
    <mergeCell ref="C35:D35"/>
    <mergeCell ref="B12:C12"/>
    <mergeCell ref="B10:C11"/>
    <mergeCell ref="B15:C15"/>
    <mergeCell ref="L33:L44"/>
    <mergeCell ref="A30:B32"/>
    <mergeCell ref="C30:D32"/>
    <mergeCell ref="E30:E32"/>
    <mergeCell ref="F30:F32"/>
    <mergeCell ref="A33:B35"/>
    <mergeCell ref="C33:D33"/>
    <mergeCell ref="C36:D36"/>
    <mergeCell ref="A37:B37"/>
    <mergeCell ref="C37:D37"/>
    <mergeCell ref="A44:B44"/>
    <mergeCell ref="C44:F44"/>
    <mergeCell ref="C38:D39"/>
    <mergeCell ref="C40:D40"/>
    <mergeCell ref="C43:F43"/>
    <mergeCell ref="A38:B41"/>
    <mergeCell ref="B3:E3"/>
    <mergeCell ref="A5:C5"/>
    <mergeCell ref="D6:D8"/>
    <mergeCell ref="E6:E8"/>
    <mergeCell ref="A6:A17"/>
    <mergeCell ref="D15:D17"/>
    <mergeCell ref="E15:E17"/>
    <mergeCell ref="B6:C6"/>
    <mergeCell ref="B7:C8"/>
    <mergeCell ref="B16:C17"/>
    <mergeCell ref="D9:D11"/>
    <mergeCell ref="E9:E11"/>
    <mergeCell ref="B9:C9"/>
  </mergeCells>
  <conditionalFormatting sqref="G28:K28">
    <cfRule type="cellIs" dxfId="124" priority="4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3" firstPageNumber="3" orientation="landscape" useFirstPageNumber="1" r:id="rId1"/>
  <headerFooter>
    <oddFooter>&amp;L&amp;P&amp;R&amp;G</oddFooter>
  </headerFooter>
  <rowBreaks count="1" manualBreakCount="1">
    <brk id="58" max="13" man="1"/>
  </row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15">
    <tabColor rgb="FF92D050"/>
  </sheetPr>
  <dimension ref="A1:DG87"/>
  <sheetViews>
    <sheetView view="pageBreakPreview" zoomScale="55" zoomScaleNormal="70" zoomScaleSheetLayoutView="55" zoomScalePageLayoutView="55" workbookViewId="0">
      <pane xSplit="6" ySplit="5" topLeftCell="G6" activePane="bottomRight" state="frozen"/>
      <selection pane="topRight" activeCell="G1" sqref="G1"/>
      <selection pane="bottomLeft" activeCell="A11" sqref="A11"/>
      <selection pane="bottomRight" activeCell="B1" sqref="B1"/>
    </sheetView>
  </sheetViews>
  <sheetFormatPr defaultColWidth="9.140625" defaultRowHeight="15"/>
  <cols>
    <col min="1" max="1" width="4.7109375" style="21" customWidth="1"/>
    <col min="2" max="2" width="9.85546875" style="21" customWidth="1"/>
    <col min="3" max="3" width="8.7109375" style="589" customWidth="1"/>
    <col min="4" max="4" width="11.85546875" style="21" customWidth="1"/>
    <col min="5" max="5" width="11.42578125" style="21" customWidth="1"/>
    <col min="6" max="6" width="12.7109375" style="2" customWidth="1"/>
    <col min="7" max="7" width="24.7109375" style="21" customWidth="1"/>
    <col min="8" max="8" width="24.7109375" style="151" customWidth="1"/>
    <col min="9" max="11" width="11.7109375" style="589" customWidth="1"/>
    <col min="12" max="12" width="10" style="21" customWidth="1"/>
    <col min="13" max="13" width="10" style="589" customWidth="1"/>
    <col min="14" max="14" width="10" style="21" customWidth="1"/>
    <col min="15" max="15" width="24.7109375" style="21" customWidth="1"/>
    <col min="16" max="16" width="20.7109375" style="21" customWidth="1"/>
    <col min="17" max="16384" width="9.140625" style="21"/>
  </cols>
  <sheetData>
    <row r="1" spans="1:111" s="11" customFormat="1" ht="18" customHeight="1">
      <c r="B1" s="2277" t="s">
        <v>490</v>
      </c>
      <c r="C1" s="2277"/>
      <c r="D1" s="26"/>
      <c r="E1" s="26"/>
      <c r="F1" s="4"/>
      <c r="G1" s="26"/>
      <c r="H1" s="26"/>
      <c r="I1" s="26"/>
      <c r="J1" s="26"/>
      <c r="K1" s="26"/>
      <c r="L1" s="26"/>
      <c r="M1" s="26"/>
      <c r="N1" s="26"/>
      <c r="O1" s="26"/>
      <c r="V1" s="2278"/>
      <c r="W1" s="2278"/>
      <c r="X1" s="2278"/>
      <c r="Y1" s="2278"/>
      <c r="Z1" s="2278"/>
      <c r="AA1" s="2278"/>
      <c r="AB1" s="2278"/>
      <c r="AC1" s="2278"/>
      <c r="AD1" s="2278"/>
      <c r="AE1" s="2278"/>
      <c r="AF1" s="2278"/>
      <c r="AG1" s="2278"/>
      <c r="AH1" s="2278"/>
      <c r="AI1" s="2278"/>
      <c r="AJ1" s="2278"/>
      <c r="AK1" s="2278"/>
      <c r="AL1" s="2278"/>
      <c r="AM1" s="2278"/>
      <c r="AN1" s="2278"/>
      <c r="AO1" s="2278"/>
      <c r="AP1" s="2278"/>
      <c r="AQ1" s="2278"/>
      <c r="AR1" s="2278"/>
      <c r="AS1" s="2278"/>
      <c r="AT1" s="2278"/>
      <c r="AU1" s="2278"/>
      <c r="AV1" s="2278"/>
      <c r="AW1" s="2278"/>
      <c r="AX1" s="2278"/>
      <c r="AY1" s="2278"/>
      <c r="AZ1" s="2278"/>
      <c r="BA1" s="2278"/>
      <c r="BB1" s="2278"/>
      <c r="BC1" s="2278"/>
      <c r="BD1" s="2278"/>
      <c r="BE1" s="2278"/>
      <c r="BF1" s="2278"/>
      <c r="BG1" s="2278"/>
      <c r="BH1" s="2278"/>
      <c r="BI1" s="2278"/>
      <c r="BJ1" s="2278"/>
      <c r="BK1" s="2278"/>
      <c r="BL1" s="2278"/>
      <c r="BM1" s="2278"/>
      <c r="BN1" s="2278"/>
      <c r="BO1" s="2278"/>
      <c r="BP1" s="2278"/>
      <c r="BQ1" s="2278"/>
      <c r="BR1" s="2278"/>
      <c r="BS1" s="2278"/>
      <c r="BT1" s="2278"/>
      <c r="BU1" s="2278"/>
      <c r="BV1" s="2278"/>
      <c r="BW1" s="2278"/>
      <c r="BX1" s="2278"/>
      <c r="BY1" s="2278"/>
      <c r="BZ1" s="2278"/>
      <c r="CA1" s="2278"/>
      <c r="CB1" s="2278"/>
      <c r="CC1" s="2278"/>
      <c r="CD1" s="2278"/>
      <c r="CE1" s="2278"/>
      <c r="CF1" s="2278"/>
      <c r="CG1" s="2278"/>
      <c r="CH1" s="2278"/>
      <c r="CI1" s="2278"/>
      <c r="CJ1" s="2278"/>
      <c r="CK1" s="2278"/>
      <c r="CL1" s="2278"/>
      <c r="CM1" s="2278"/>
      <c r="CN1" s="2278"/>
      <c r="CO1" s="2278"/>
      <c r="CP1" s="2278"/>
      <c r="CQ1" s="2278"/>
      <c r="CR1" s="2278"/>
      <c r="CS1" s="2278"/>
      <c r="CT1" s="2278"/>
      <c r="CU1" s="2278"/>
      <c r="CV1" s="2278"/>
      <c r="CW1" s="2278"/>
      <c r="CX1" s="2278"/>
      <c r="CY1" s="2278"/>
      <c r="CZ1" s="2278"/>
      <c r="DA1" s="2278"/>
      <c r="DB1" s="2278"/>
      <c r="DC1" s="2278"/>
      <c r="DD1" s="2278"/>
      <c r="DE1" s="2278"/>
      <c r="DF1" s="2278"/>
      <c r="DG1" s="2278"/>
    </row>
    <row r="3" spans="1:111" ht="90" customHeight="1">
      <c r="A3" s="7"/>
      <c r="B3" s="4326" t="s">
        <v>309</v>
      </c>
      <c r="C3" s="4327"/>
      <c r="D3" s="4327"/>
      <c r="E3" s="4328"/>
      <c r="F3" s="8"/>
      <c r="G3" s="7"/>
      <c r="H3" s="7"/>
      <c r="I3" s="7"/>
      <c r="J3" s="7"/>
      <c r="K3" s="7"/>
      <c r="L3" s="7"/>
      <c r="M3" s="7"/>
      <c r="N3" s="7"/>
      <c r="O3" s="7"/>
      <c r="V3" s="614"/>
      <c r="W3" s="614"/>
      <c r="X3" s="614"/>
      <c r="Y3" s="614"/>
      <c r="Z3" s="614"/>
      <c r="AA3" s="614"/>
      <c r="AB3" s="614"/>
      <c r="AC3" s="614"/>
      <c r="AD3" s="614"/>
      <c r="AE3" s="614"/>
      <c r="AF3" s="614"/>
      <c r="AG3" s="614"/>
      <c r="AH3" s="614"/>
      <c r="AI3" s="614"/>
      <c r="AJ3" s="614"/>
      <c r="AK3" s="614"/>
      <c r="AL3" s="614"/>
      <c r="AM3" s="614"/>
      <c r="AN3" s="614"/>
      <c r="AO3" s="614"/>
      <c r="AP3" s="614"/>
      <c r="AQ3" s="614"/>
      <c r="AR3" s="614"/>
      <c r="AS3" s="614"/>
      <c r="AT3" s="614"/>
      <c r="AU3" s="614"/>
      <c r="AV3" s="614"/>
      <c r="AW3" s="614"/>
      <c r="AX3" s="614"/>
      <c r="AY3" s="614"/>
      <c r="AZ3" s="614"/>
      <c r="BA3" s="614"/>
      <c r="BB3" s="614"/>
      <c r="BC3" s="614"/>
      <c r="BD3" s="614"/>
      <c r="BE3" s="614"/>
      <c r="BF3" s="614"/>
      <c r="BG3" s="614"/>
      <c r="BH3" s="614"/>
      <c r="BI3" s="614"/>
      <c r="BJ3" s="614"/>
      <c r="BK3" s="614"/>
      <c r="BL3" s="614"/>
      <c r="BM3" s="614"/>
      <c r="BN3" s="614"/>
      <c r="BO3" s="614"/>
      <c r="BP3" s="614"/>
      <c r="BQ3" s="614"/>
      <c r="BR3" s="614"/>
      <c r="BS3" s="614"/>
      <c r="BT3" s="614"/>
      <c r="BU3" s="614"/>
      <c r="BV3" s="614"/>
      <c r="BW3" s="614"/>
      <c r="BX3" s="614"/>
      <c r="BY3" s="614"/>
      <c r="BZ3" s="614"/>
      <c r="CA3" s="614"/>
      <c r="CB3" s="614"/>
      <c r="CC3" s="614"/>
      <c r="CD3" s="614"/>
      <c r="CE3" s="614"/>
      <c r="CF3" s="614"/>
      <c r="CG3" s="614"/>
      <c r="CH3" s="614"/>
      <c r="CI3" s="614"/>
      <c r="CJ3" s="614"/>
      <c r="CK3" s="614"/>
      <c r="CL3" s="614"/>
      <c r="CM3" s="614"/>
      <c r="CN3" s="614"/>
      <c r="CO3" s="614"/>
      <c r="CP3" s="614"/>
      <c r="CQ3" s="614"/>
      <c r="CR3" s="614"/>
      <c r="CS3" s="614"/>
      <c r="CT3" s="614"/>
      <c r="CU3" s="614"/>
      <c r="CV3" s="614"/>
      <c r="CW3" s="614"/>
      <c r="CX3" s="614"/>
      <c r="CY3" s="614"/>
      <c r="CZ3" s="614"/>
      <c r="DA3" s="614"/>
      <c r="DB3" s="614"/>
      <c r="DC3" s="614"/>
      <c r="DD3" s="614"/>
      <c r="DE3" s="614"/>
      <c r="DF3" s="614"/>
      <c r="DG3" s="614"/>
    </row>
    <row r="4" spans="1:111">
      <c r="A4" s="138"/>
      <c r="B4" s="19" t="s">
        <v>59</v>
      </c>
      <c r="C4" s="19"/>
      <c r="D4" s="138"/>
      <c r="E4" s="138"/>
      <c r="F4" s="6"/>
      <c r="G4" s="138"/>
      <c r="H4" s="152"/>
      <c r="I4" s="3994"/>
      <c r="J4" s="3994"/>
      <c r="K4" s="3994"/>
      <c r="L4" s="138"/>
      <c r="M4" s="2328"/>
      <c r="N4" s="138"/>
      <c r="O4" s="138"/>
      <c r="V4" s="614"/>
      <c r="W4" s="614"/>
      <c r="X4" s="614"/>
      <c r="Y4" s="614"/>
      <c r="Z4" s="614"/>
      <c r="AA4" s="614"/>
      <c r="AB4" s="614"/>
      <c r="AC4" s="614"/>
      <c r="AD4" s="614"/>
      <c r="AE4" s="614"/>
      <c r="AF4" s="614"/>
      <c r="AG4" s="614"/>
      <c r="AH4" s="614"/>
      <c r="AI4" s="614"/>
      <c r="AJ4" s="614"/>
      <c r="AK4" s="614"/>
      <c r="AL4" s="614"/>
      <c r="AM4" s="614"/>
      <c r="AN4" s="614"/>
      <c r="AO4" s="614"/>
      <c r="AP4" s="614"/>
      <c r="AQ4" s="614"/>
      <c r="AR4" s="614"/>
      <c r="AS4" s="614"/>
      <c r="AT4" s="614"/>
      <c r="AU4" s="614"/>
      <c r="AV4" s="614"/>
      <c r="AW4" s="614"/>
      <c r="AX4" s="614"/>
      <c r="AY4" s="614"/>
      <c r="AZ4" s="614"/>
      <c r="BA4" s="614"/>
      <c r="BB4" s="614"/>
      <c r="BC4" s="614"/>
      <c r="BD4" s="614"/>
      <c r="BE4" s="614"/>
      <c r="BF4" s="614"/>
      <c r="BG4" s="614"/>
      <c r="BH4" s="614"/>
      <c r="BI4" s="614"/>
      <c r="BJ4" s="614"/>
      <c r="BK4" s="614"/>
      <c r="BL4" s="614"/>
      <c r="BM4" s="614"/>
      <c r="BN4" s="614"/>
      <c r="BO4" s="614"/>
      <c r="BP4" s="614"/>
      <c r="BQ4" s="614"/>
      <c r="BR4" s="614"/>
      <c r="BS4" s="614"/>
      <c r="BT4" s="614"/>
      <c r="BU4" s="614"/>
      <c r="BV4" s="614"/>
      <c r="BW4" s="614"/>
      <c r="BX4" s="614"/>
      <c r="BY4" s="614"/>
      <c r="BZ4" s="614"/>
      <c r="CA4" s="614"/>
      <c r="CB4" s="614"/>
      <c r="CC4" s="614"/>
      <c r="CD4" s="614"/>
      <c r="CE4" s="614"/>
      <c r="CF4" s="614"/>
      <c r="CG4" s="614"/>
      <c r="CH4" s="614"/>
      <c r="CI4" s="614"/>
      <c r="CJ4" s="614"/>
      <c r="CK4" s="614"/>
      <c r="CL4" s="614"/>
      <c r="CM4" s="614"/>
      <c r="CN4" s="614"/>
      <c r="CO4" s="614"/>
      <c r="CP4" s="614"/>
      <c r="CQ4" s="614"/>
      <c r="CR4" s="614"/>
      <c r="CS4" s="614"/>
      <c r="CT4" s="614"/>
      <c r="CU4" s="614"/>
      <c r="CV4" s="614"/>
      <c r="CW4" s="614"/>
      <c r="CX4" s="614"/>
      <c r="CY4" s="614"/>
      <c r="CZ4" s="614"/>
      <c r="DA4" s="614"/>
      <c r="DB4" s="614"/>
      <c r="DC4" s="614"/>
      <c r="DD4" s="614"/>
      <c r="DE4" s="614"/>
      <c r="DF4" s="614"/>
      <c r="DG4" s="614"/>
    </row>
    <row r="5" spans="1:111" ht="30" customHeight="1">
      <c r="A5" s="4474" t="s">
        <v>2</v>
      </c>
      <c r="B5" s="4475"/>
      <c r="C5" s="4475"/>
      <c r="D5" s="2434" t="s">
        <v>42</v>
      </c>
      <c r="E5" s="2434" t="s">
        <v>41</v>
      </c>
      <c r="F5" s="2434" t="s">
        <v>8</v>
      </c>
      <c r="G5" s="2418" t="s">
        <v>944</v>
      </c>
      <c r="H5" s="2413" t="s">
        <v>945</v>
      </c>
      <c r="I5" s="4800" t="s">
        <v>1635</v>
      </c>
      <c r="J5" s="4801"/>
      <c r="K5" s="4802"/>
      <c r="L5" s="4418" t="s">
        <v>946</v>
      </c>
      <c r="M5" s="4418"/>
      <c r="N5" s="4418"/>
      <c r="O5" s="2413" t="s">
        <v>949</v>
      </c>
      <c r="V5" s="614"/>
      <c r="W5" s="614"/>
      <c r="X5" s="614"/>
      <c r="Y5" s="614"/>
      <c r="Z5" s="614"/>
      <c r="AA5" s="614"/>
      <c r="AB5" s="614"/>
      <c r="AC5" s="614"/>
      <c r="AD5" s="614"/>
      <c r="AE5" s="614"/>
      <c r="AF5" s="614"/>
      <c r="AG5" s="614"/>
      <c r="AH5" s="614"/>
      <c r="AI5" s="614"/>
      <c r="AJ5" s="614"/>
      <c r="AK5" s="614"/>
      <c r="AL5" s="614"/>
      <c r="AM5" s="614"/>
      <c r="AN5" s="614"/>
      <c r="AO5" s="614"/>
      <c r="AP5" s="614"/>
      <c r="AQ5" s="614"/>
      <c r="AR5" s="614"/>
      <c r="AS5" s="614"/>
      <c r="AT5" s="614"/>
      <c r="AU5" s="614"/>
      <c r="AV5" s="614"/>
      <c r="AW5" s="614"/>
      <c r="AX5" s="614"/>
      <c r="AY5" s="614"/>
      <c r="AZ5" s="614"/>
      <c r="BA5" s="614"/>
      <c r="BB5" s="614"/>
      <c r="BC5" s="614"/>
      <c r="BD5" s="614"/>
      <c r="BE5" s="614"/>
      <c r="BF5" s="614"/>
      <c r="BG5" s="614"/>
      <c r="BH5" s="614"/>
      <c r="BI5" s="614"/>
      <c r="BJ5" s="614"/>
      <c r="BK5" s="614"/>
      <c r="BL5" s="614"/>
      <c r="BM5" s="614"/>
      <c r="BN5" s="614"/>
      <c r="BO5" s="614"/>
      <c r="BP5" s="614"/>
      <c r="BQ5" s="614"/>
      <c r="BR5" s="614"/>
      <c r="BS5" s="614"/>
      <c r="BT5" s="614"/>
      <c r="BU5" s="614"/>
      <c r="BV5" s="614"/>
      <c r="BW5" s="614"/>
      <c r="BX5" s="614"/>
      <c r="BY5" s="614"/>
      <c r="BZ5" s="614"/>
      <c r="CA5" s="614"/>
      <c r="CB5" s="614"/>
      <c r="CC5" s="614"/>
      <c r="CD5" s="614"/>
      <c r="CE5" s="614"/>
      <c r="CF5" s="614"/>
      <c r="CG5" s="614"/>
      <c r="CH5" s="614"/>
      <c r="CI5" s="614"/>
      <c r="CJ5" s="614"/>
      <c r="CK5" s="614"/>
      <c r="CL5" s="614"/>
      <c r="CM5" s="614"/>
      <c r="CN5" s="614"/>
      <c r="CO5" s="614"/>
      <c r="CP5" s="614"/>
      <c r="CQ5" s="614"/>
      <c r="CR5" s="614"/>
      <c r="CS5" s="614"/>
      <c r="CT5" s="614"/>
      <c r="CU5" s="614"/>
      <c r="CV5" s="614"/>
      <c r="CW5" s="614"/>
      <c r="CX5" s="614"/>
      <c r="CY5" s="614"/>
      <c r="CZ5" s="614"/>
      <c r="DA5" s="614"/>
      <c r="DB5" s="614"/>
      <c r="DC5" s="614"/>
      <c r="DD5" s="614"/>
      <c r="DE5" s="614"/>
      <c r="DF5" s="614"/>
      <c r="DG5" s="614"/>
    </row>
    <row r="6" spans="1:111" s="9" customFormat="1" ht="30" customHeight="1">
      <c r="A6" s="4260" t="s">
        <v>26</v>
      </c>
      <c r="B6" s="4211" t="s">
        <v>2587</v>
      </c>
      <c r="C6" s="4212"/>
      <c r="D6" s="4213" t="s">
        <v>35</v>
      </c>
      <c r="E6" s="4213" t="s">
        <v>34</v>
      </c>
      <c r="F6" s="182" t="s">
        <v>0</v>
      </c>
      <c r="G6" s="691">
        <f>CEILING('Полотна база'!X55*(1+скидки_наценки!$B$29)*скидки_наценки!$D$13*скидки_наценки!$F$13/скидки_наценки!$B$4, 50)</f>
        <v>22000</v>
      </c>
      <c r="H6" s="691">
        <f>CEILING('Полотна база'!X55*(1+скидки_наценки!$B$29)*скидки_наценки!$D$13*скидки_наценки!$F$13/скидки_наценки!$B$4, 50)</f>
        <v>22000</v>
      </c>
      <c r="I6" s="4576">
        <f>CEILING('Полотна база'!X55*(1+скидки_наценки!$B$29)*скидки_наценки!$D$13*скидки_наценки!$F$13/скидки_наценки!$B$4, 50)</f>
        <v>22000</v>
      </c>
      <c r="J6" s="4799"/>
      <c r="K6" s="4577"/>
      <c r="L6" s="4547">
        <f>CEILING('Полотна база'!X55*(1+скидки_наценки!$B$29)*скидки_наценки!$D$13*скидки_наценки!$F$13/скидки_наценки!$B$4, 50)</f>
        <v>22000</v>
      </c>
      <c r="M6" s="4548"/>
      <c r="N6" s="4549"/>
      <c r="O6" s="691">
        <f>CEILING('Полотна база'!Y55*(1+скидки_наценки!$B$29)*скидки_наценки!$D$13*скидки_наценки!$F$13/скидки_наценки!$B$4, 50)</f>
        <v>27200</v>
      </c>
      <c r="V6" s="614"/>
      <c r="W6" s="614"/>
      <c r="X6" s="614"/>
      <c r="Y6" s="614"/>
      <c r="Z6" s="614"/>
      <c r="AA6" s="614"/>
      <c r="AB6" s="614"/>
      <c r="AC6" s="614"/>
      <c r="AD6" s="614"/>
      <c r="AE6" s="614"/>
      <c r="AF6" s="614"/>
      <c r="AG6" s="614"/>
      <c r="AH6" s="614"/>
      <c r="AI6" s="614"/>
      <c r="AJ6" s="614"/>
      <c r="AK6" s="614"/>
      <c r="AL6" s="614"/>
      <c r="AM6" s="614"/>
      <c r="AN6" s="614"/>
      <c r="AO6" s="614"/>
      <c r="AP6" s="614"/>
      <c r="AQ6" s="614"/>
      <c r="AR6" s="614"/>
      <c r="AS6" s="614"/>
      <c r="AT6" s="614"/>
      <c r="AU6" s="614"/>
      <c r="AV6" s="614"/>
      <c r="AW6" s="614"/>
      <c r="AX6" s="614"/>
      <c r="AY6" s="614"/>
      <c r="AZ6" s="614"/>
      <c r="BA6" s="614"/>
      <c r="BB6" s="614"/>
      <c r="BC6" s="614"/>
      <c r="BD6" s="614"/>
      <c r="BE6" s="614"/>
      <c r="BF6" s="614"/>
      <c r="BG6" s="614"/>
      <c r="BH6" s="614"/>
      <c r="BI6" s="614"/>
      <c r="BJ6" s="614"/>
      <c r="BK6" s="614"/>
      <c r="BL6" s="614"/>
      <c r="BM6" s="614"/>
      <c r="BN6" s="614"/>
      <c r="BO6" s="614"/>
      <c r="BP6" s="614"/>
      <c r="BQ6" s="614"/>
      <c r="BR6" s="614"/>
      <c r="BS6" s="614"/>
      <c r="BT6" s="614"/>
      <c r="BU6" s="614"/>
      <c r="BV6" s="614"/>
      <c r="BW6" s="614"/>
      <c r="BX6" s="614"/>
      <c r="BY6" s="614"/>
      <c r="BZ6" s="614"/>
      <c r="CA6" s="614"/>
      <c r="CB6" s="614"/>
      <c r="CC6" s="614"/>
      <c r="CD6" s="614"/>
      <c r="CE6" s="614"/>
      <c r="CF6" s="614"/>
      <c r="CG6" s="614"/>
      <c r="CH6" s="614"/>
      <c r="CI6" s="614"/>
      <c r="CJ6" s="614"/>
      <c r="CK6" s="614"/>
      <c r="CL6" s="614"/>
      <c r="CM6" s="614"/>
      <c r="CN6" s="614"/>
      <c r="CO6" s="614"/>
      <c r="CP6" s="614"/>
      <c r="CQ6" s="614"/>
      <c r="CR6" s="614"/>
      <c r="CS6" s="614"/>
      <c r="CT6" s="614"/>
      <c r="CU6" s="614"/>
      <c r="CV6" s="614"/>
      <c r="CW6" s="614"/>
      <c r="CX6" s="614"/>
      <c r="CY6" s="614"/>
      <c r="CZ6" s="614"/>
      <c r="DA6" s="614"/>
      <c r="DB6" s="614"/>
      <c r="DC6" s="614"/>
      <c r="DD6" s="614"/>
      <c r="DE6" s="614"/>
      <c r="DF6" s="614"/>
      <c r="DG6" s="614"/>
    </row>
    <row r="7" spans="1:111" s="9" customFormat="1" ht="15" customHeight="1">
      <c r="A7" s="4260"/>
      <c r="B7" s="4216"/>
      <c r="C7" s="4217"/>
      <c r="D7" s="4214"/>
      <c r="E7" s="4214"/>
      <c r="F7" s="183" t="s">
        <v>306</v>
      </c>
      <c r="G7" s="373">
        <f>IF(G6=0,0,(Погонаж!$C$14*2.5+Погонаж!$E$14*5))</f>
        <v>13250</v>
      </c>
      <c r="H7" s="373">
        <f>IF(H6=0,0,(Погонаж!$C$14*2.5+Погонаж!$E$14*5))</f>
        <v>13250</v>
      </c>
      <c r="I7" s="4550">
        <f>IF(H6=0,0,(Погонаж!$C$14*2.5+Погонаж!$E$14*5))</f>
        <v>13250</v>
      </c>
      <c r="J7" s="4551"/>
      <c r="K7" s="4552"/>
      <c r="L7" s="4550">
        <f>IF(L6=0,0,(Погонаж!$C$14*2.5+Погонаж!$E$14*5))</f>
        <v>13250</v>
      </c>
      <c r="M7" s="4551"/>
      <c r="N7" s="4552"/>
      <c r="O7" s="373">
        <f>IF(O6=0,0,(Погонаж!$C$14*2.5+Погонаж!$E$14*5))</f>
        <v>13250</v>
      </c>
      <c r="V7" s="614"/>
      <c r="W7" s="614"/>
      <c r="X7" s="614"/>
      <c r="Y7" s="614"/>
      <c r="Z7" s="614"/>
      <c r="AA7" s="614"/>
      <c r="AB7" s="614"/>
      <c r="AC7" s="614"/>
      <c r="AD7" s="614"/>
      <c r="AE7" s="614"/>
      <c r="AF7" s="614"/>
      <c r="AG7" s="614"/>
      <c r="AH7" s="614"/>
      <c r="AI7" s="614"/>
      <c r="AJ7" s="614"/>
      <c r="AK7" s="614"/>
      <c r="AL7" s="614"/>
      <c r="AM7" s="614"/>
      <c r="AN7" s="614"/>
      <c r="AO7" s="614"/>
      <c r="AP7" s="614"/>
      <c r="AQ7" s="614"/>
      <c r="AR7" s="614"/>
      <c r="AS7" s="614"/>
      <c r="AT7" s="614"/>
      <c r="AU7" s="614"/>
      <c r="AV7" s="614"/>
      <c r="AW7" s="614"/>
      <c r="AX7" s="614"/>
      <c r="AY7" s="614"/>
      <c r="AZ7" s="614"/>
      <c r="BA7" s="614"/>
      <c r="BB7" s="614"/>
      <c r="BC7" s="614"/>
      <c r="BD7" s="614"/>
      <c r="BE7" s="614"/>
      <c r="BF7" s="614"/>
      <c r="BG7" s="614"/>
      <c r="BH7" s="614"/>
      <c r="BI7" s="614"/>
      <c r="BJ7" s="614"/>
      <c r="BK7" s="614"/>
      <c r="BL7" s="614"/>
      <c r="BM7" s="614"/>
      <c r="BN7" s="614"/>
      <c r="BO7" s="614"/>
      <c r="BP7" s="614"/>
      <c r="BQ7" s="614"/>
      <c r="BR7" s="614"/>
      <c r="BS7" s="614"/>
      <c r="BT7" s="614"/>
      <c r="BU7" s="614"/>
      <c r="BV7" s="614"/>
      <c r="BW7" s="614"/>
      <c r="BX7" s="614"/>
      <c r="BY7" s="614"/>
      <c r="BZ7" s="614"/>
      <c r="CA7" s="614"/>
      <c r="CB7" s="614"/>
      <c r="CC7" s="614"/>
      <c r="CD7" s="614"/>
      <c r="CE7" s="614"/>
      <c r="CF7" s="614"/>
      <c r="CG7" s="614"/>
      <c r="CH7" s="614"/>
      <c r="CI7" s="614"/>
      <c r="CJ7" s="614"/>
      <c r="CK7" s="614"/>
      <c r="CL7" s="614"/>
      <c r="CM7" s="614"/>
      <c r="CN7" s="614"/>
      <c r="CO7" s="614"/>
      <c r="CP7" s="614"/>
      <c r="CQ7" s="614"/>
      <c r="CR7" s="614"/>
      <c r="CS7" s="614"/>
      <c r="CT7" s="614"/>
      <c r="CU7" s="614"/>
      <c r="CV7" s="614"/>
      <c r="CW7" s="614"/>
      <c r="CX7" s="614"/>
      <c r="CY7" s="614"/>
      <c r="CZ7" s="614"/>
      <c r="DA7" s="614"/>
      <c r="DB7" s="614"/>
      <c r="DC7" s="614"/>
      <c r="DD7" s="614"/>
      <c r="DE7" s="614"/>
      <c r="DF7" s="614"/>
      <c r="DG7" s="614"/>
    </row>
    <row r="8" spans="1:111" s="9" customFormat="1" ht="30" customHeight="1">
      <c r="A8" s="4260"/>
      <c r="B8" s="4218"/>
      <c r="C8" s="4219"/>
      <c r="D8" s="4215"/>
      <c r="E8" s="4215"/>
      <c r="F8" s="267" t="s">
        <v>1</v>
      </c>
      <c r="G8" s="690">
        <f>G6+G7</f>
        <v>35250</v>
      </c>
      <c r="H8" s="690">
        <f>H6+H7</f>
        <v>35250</v>
      </c>
      <c r="I8" s="4553">
        <f>H6+H7</f>
        <v>35250</v>
      </c>
      <c r="J8" s="4554"/>
      <c r="K8" s="4555"/>
      <c r="L8" s="4553">
        <f>L6+L7</f>
        <v>35250</v>
      </c>
      <c r="M8" s="4554"/>
      <c r="N8" s="4555"/>
      <c r="O8" s="690">
        <f>O6+O7</f>
        <v>40450</v>
      </c>
      <c r="P8" s="238"/>
      <c r="V8" s="614"/>
      <c r="W8" s="614"/>
      <c r="X8" s="614"/>
      <c r="Y8" s="614"/>
      <c r="Z8" s="614"/>
      <c r="AA8" s="614"/>
      <c r="AB8" s="614"/>
      <c r="AC8" s="614"/>
      <c r="AD8" s="614"/>
      <c r="AE8" s="614"/>
      <c r="AF8" s="614"/>
      <c r="AG8" s="614"/>
      <c r="AH8" s="614"/>
      <c r="AI8" s="614"/>
      <c r="AJ8" s="614"/>
      <c r="AK8" s="614"/>
      <c r="AL8" s="614"/>
      <c r="AM8" s="614"/>
      <c r="AN8" s="614"/>
      <c r="AO8" s="614"/>
      <c r="AP8" s="614"/>
      <c r="AQ8" s="614"/>
      <c r="AR8" s="614"/>
      <c r="AS8" s="614"/>
      <c r="AT8" s="614"/>
      <c r="AU8" s="614"/>
      <c r="AV8" s="614"/>
      <c r="AW8" s="614"/>
      <c r="AX8" s="614"/>
      <c r="AY8" s="614"/>
      <c r="AZ8" s="614"/>
      <c r="BA8" s="614"/>
      <c r="BB8" s="614"/>
      <c r="BC8" s="614"/>
      <c r="BD8" s="614"/>
      <c r="BE8" s="614"/>
      <c r="BF8" s="614"/>
      <c r="BG8" s="614"/>
      <c r="BH8" s="614"/>
      <c r="BI8" s="614"/>
      <c r="BJ8" s="614"/>
      <c r="BK8" s="614"/>
      <c r="BL8" s="614"/>
      <c r="BM8" s="614"/>
      <c r="BN8" s="614"/>
      <c r="BO8" s="614"/>
      <c r="BP8" s="614"/>
      <c r="BQ8" s="614"/>
      <c r="BR8" s="614"/>
      <c r="BS8" s="614"/>
      <c r="BT8" s="614"/>
      <c r="BU8" s="614"/>
      <c r="BV8" s="614"/>
      <c r="BW8" s="614"/>
      <c r="BX8" s="614"/>
      <c r="BY8" s="614"/>
      <c r="BZ8" s="614"/>
      <c r="CA8" s="614"/>
      <c r="CB8" s="614"/>
      <c r="CC8" s="614"/>
      <c r="CD8" s="614"/>
      <c r="CE8" s="614"/>
      <c r="CF8" s="614"/>
      <c r="CG8" s="614"/>
      <c r="CH8" s="614"/>
      <c r="CI8" s="614"/>
      <c r="CJ8" s="614"/>
      <c r="CK8" s="614"/>
      <c r="CL8" s="614"/>
      <c r="CM8" s="614"/>
      <c r="CN8" s="614"/>
      <c r="CO8" s="614"/>
      <c r="CP8" s="614"/>
      <c r="CQ8" s="614"/>
      <c r="CR8" s="614"/>
      <c r="CS8" s="614"/>
      <c r="CT8" s="614"/>
      <c r="CU8" s="614"/>
      <c r="CV8" s="614"/>
      <c r="CW8" s="614"/>
      <c r="CX8" s="614"/>
      <c r="CY8" s="614"/>
      <c r="CZ8" s="614"/>
      <c r="DA8" s="614"/>
      <c r="DB8" s="614"/>
      <c r="DC8" s="614"/>
      <c r="DD8" s="614"/>
      <c r="DE8" s="614"/>
      <c r="DF8" s="614"/>
      <c r="DG8" s="614"/>
    </row>
    <row r="9" spans="1:111" s="9" customFormat="1" ht="30" customHeight="1">
      <c r="A9" s="4260"/>
      <c r="B9" s="4209" t="s">
        <v>2580</v>
      </c>
      <c r="C9" s="4210"/>
      <c r="D9" s="4203" t="s">
        <v>35</v>
      </c>
      <c r="E9" s="4203" t="s">
        <v>34</v>
      </c>
      <c r="F9" s="132" t="s">
        <v>0</v>
      </c>
      <c r="G9" s="1191">
        <f>CEILING('Полотна база'!X56*(1+скидки_наценки!$B$29)*скидки_наценки!$D$13*скидки_наценки!$F$13/скидки_наценки!$B$4, 50)</f>
        <v>24200</v>
      </c>
      <c r="H9" s="1191">
        <f>CEILING('Полотна база'!X56*(1+скидки_наценки!$B$29)*скидки_наценки!$D$13*скидки_наценки!$F$13/скидки_наценки!$B$4, 50)</f>
        <v>24200</v>
      </c>
      <c r="I9" s="4803">
        <f>CEILING('Полотна база'!X56*(1+скидки_наценки!$B$29)*скидки_наценки!$D$13*скидки_наценки!$F$13/скидки_наценки!$B$4, 50)</f>
        <v>24200</v>
      </c>
      <c r="J9" s="4804"/>
      <c r="K9" s="4805"/>
      <c r="L9" s="4775">
        <f>CEILING('Полотна база'!X56*(1+скидки_наценки!$B$29)*скидки_наценки!$D$13*скидки_наценки!$F$13/скидки_наценки!$B$4, 50)</f>
        <v>24200</v>
      </c>
      <c r="M9" s="4806"/>
      <c r="N9" s="4777"/>
      <c r="O9" s="1191">
        <f>CEILING('Полотна база'!Y56*(1+скидки_наценки!$B$29)*скидки_наценки!$D$13*скидки_наценки!$F$13/скидки_наценки!$B$4, 50)</f>
        <v>29400</v>
      </c>
      <c r="P9" s="3692"/>
      <c r="V9" s="614"/>
      <c r="W9" s="614"/>
      <c r="X9" s="614"/>
      <c r="Y9" s="614"/>
      <c r="Z9" s="614"/>
      <c r="AA9" s="614"/>
      <c r="AB9" s="614"/>
      <c r="AC9" s="614"/>
      <c r="AD9" s="614"/>
      <c r="AE9" s="614"/>
      <c r="AF9" s="614"/>
      <c r="AG9" s="614"/>
      <c r="AH9" s="614"/>
      <c r="AI9" s="614"/>
      <c r="AJ9" s="614"/>
      <c r="AK9" s="614"/>
      <c r="AL9" s="614"/>
      <c r="AM9" s="614"/>
      <c r="AN9" s="614"/>
      <c r="AO9" s="614"/>
      <c r="AP9" s="614"/>
      <c r="AQ9" s="614"/>
      <c r="AR9" s="614"/>
      <c r="AS9" s="614"/>
      <c r="AT9" s="614"/>
      <c r="AU9" s="614"/>
      <c r="AV9" s="614"/>
      <c r="AW9" s="614"/>
      <c r="AX9" s="614"/>
      <c r="AY9" s="614"/>
      <c r="AZ9" s="614"/>
      <c r="BA9" s="614"/>
      <c r="BB9" s="614"/>
      <c r="BC9" s="614"/>
      <c r="BD9" s="614"/>
      <c r="BE9" s="614"/>
      <c r="BF9" s="614"/>
      <c r="BG9" s="614"/>
      <c r="BH9" s="614"/>
      <c r="BI9" s="614"/>
      <c r="BJ9" s="614"/>
      <c r="BK9" s="614"/>
      <c r="BL9" s="614"/>
      <c r="BM9" s="614"/>
      <c r="BN9" s="614"/>
      <c r="BO9" s="614"/>
      <c r="BP9" s="614"/>
      <c r="BQ9" s="614"/>
      <c r="BR9" s="614"/>
      <c r="BS9" s="614"/>
      <c r="BT9" s="614"/>
      <c r="BU9" s="614"/>
      <c r="BV9" s="614"/>
      <c r="BW9" s="614"/>
      <c r="BX9" s="614"/>
      <c r="BY9" s="614"/>
      <c r="BZ9" s="614"/>
      <c r="CA9" s="614"/>
      <c r="CB9" s="614"/>
      <c r="CC9" s="614"/>
      <c r="CD9" s="614"/>
      <c r="CE9" s="614"/>
      <c r="CF9" s="614"/>
      <c r="CG9" s="614"/>
      <c r="CH9" s="614"/>
      <c r="CI9" s="614"/>
      <c r="CJ9" s="614"/>
      <c r="CK9" s="614"/>
      <c r="CL9" s="614"/>
      <c r="CM9" s="614"/>
      <c r="CN9" s="614"/>
      <c r="CO9" s="614"/>
      <c r="CP9" s="614"/>
      <c r="CQ9" s="614"/>
      <c r="CR9" s="614"/>
      <c r="CS9" s="614"/>
      <c r="CT9" s="614"/>
      <c r="CU9" s="614"/>
      <c r="CV9" s="614"/>
      <c r="CW9" s="614"/>
      <c r="CX9" s="614"/>
      <c r="CY9" s="614"/>
      <c r="CZ9" s="614"/>
      <c r="DA9" s="614"/>
      <c r="DB9" s="614"/>
      <c r="DC9" s="614"/>
      <c r="DD9" s="614"/>
      <c r="DE9" s="614"/>
      <c r="DF9" s="614"/>
      <c r="DG9" s="614"/>
    </row>
    <row r="10" spans="1:111" s="9" customFormat="1" ht="15" customHeight="1">
      <c r="A10" s="4260"/>
      <c r="B10" s="4226"/>
      <c r="C10" s="4227"/>
      <c r="D10" s="4204"/>
      <c r="E10" s="4204"/>
      <c r="F10" s="307" t="s">
        <v>306</v>
      </c>
      <c r="G10" s="2331">
        <f>IF(G9=0,0,(Погонаж!$C$15*2.5+Погонаж!$E$15*5))</f>
        <v>14375</v>
      </c>
      <c r="H10" s="2331">
        <f>IF(H9=0,0,(Погонаж!$C$15*2.5+Погонаж!$E$15*5))</f>
        <v>14375</v>
      </c>
      <c r="I10" s="4757">
        <f>IF(H9=0,0,(Погонаж!$C$15*2.5+Погонаж!$E$15*5))</f>
        <v>14375</v>
      </c>
      <c r="J10" s="4758"/>
      <c r="K10" s="4759"/>
      <c r="L10" s="4757">
        <f>IF(L9=0,0,(Погонаж!$C$15*2.5+Погонаж!$E$15*5))</f>
        <v>14375</v>
      </c>
      <c r="M10" s="4758"/>
      <c r="N10" s="4759"/>
      <c r="O10" s="2331">
        <f>IF(O9=0,0,(Погонаж!$C$15*2.5+Погонаж!$E$15*5))</f>
        <v>14375</v>
      </c>
      <c r="V10" s="614"/>
      <c r="W10" s="614"/>
      <c r="X10" s="614"/>
      <c r="Y10" s="614"/>
      <c r="Z10" s="614"/>
      <c r="AA10" s="614"/>
      <c r="AB10" s="614"/>
      <c r="AC10" s="614"/>
      <c r="AD10" s="614"/>
      <c r="AE10" s="614"/>
      <c r="AF10" s="614"/>
      <c r="AG10" s="614"/>
      <c r="AH10" s="614"/>
      <c r="AI10" s="614"/>
      <c r="AJ10" s="614"/>
      <c r="AK10" s="614"/>
      <c r="AL10" s="614"/>
      <c r="AM10" s="614"/>
      <c r="AN10" s="614"/>
      <c r="AO10" s="614"/>
      <c r="AP10" s="614"/>
      <c r="AQ10" s="614"/>
      <c r="AR10" s="614"/>
      <c r="AS10" s="614"/>
      <c r="AT10" s="614"/>
      <c r="AU10" s="614"/>
      <c r="AV10" s="614"/>
      <c r="AW10" s="614"/>
      <c r="AX10" s="614"/>
      <c r="AY10" s="614"/>
      <c r="AZ10" s="614"/>
      <c r="BA10" s="614"/>
      <c r="BB10" s="614"/>
      <c r="BC10" s="614"/>
      <c r="BD10" s="614"/>
      <c r="BE10" s="614"/>
      <c r="BF10" s="614"/>
      <c r="BG10" s="614"/>
      <c r="BH10" s="614"/>
      <c r="BI10" s="614"/>
      <c r="BJ10" s="614"/>
      <c r="BK10" s="614"/>
      <c r="BL10" s="614"/>
      <c r="BM10" s="614"/>
      <c r="BN10" s="614"/>
      <c r="BO10" s="614"/>
      <c r="BP10" s="614"/>
      <c r="BQ10" s="614"/>
      <c r="BR10" s="614"/>
      <c r="BS10" s="614"/>
      <c r="BT10" s="614"/>
      <c r="BU10" s="614"/>
      <c r="BV10" s="614"/>
      <c r="BW10" s="614"/>
      <c r="BX10" s="614"/>
      <c r="BY10" s="614"/>
      <c r="BZ10" s="614"/>
      <c r="CA10" s="614"/>
      <c r="CB10" s="614"/>
      <c r="CC10" s="614"/>
      <c r="CD10" s="614"/>
      <c r="CE10" s="614"/>
      <c r="CF10" s="614"/>
      <c r="CG10" s="614"/>
      <c r="CH10" s="614"/>
      <c r="CI10" s="614"/>
      <c r="CJ10" s="614"/>
      <c r="CK10" s="614"/>
      <c r="CL10" s="614"/>
      <c r="CM10" s="614"/>
      <c r="CN10" s="614"/>
      <c r="CO10" s="614"/>
      <c r="CP10" s="614"/>
      <c r="CQ10" s="614"/>
      <c r="CR10" s="614"/>
      <c r="CS10" s="614"/>
      <c r="CT10" s="614"/>
      <c r="CU10" s="614"/>
      <c r="CV10" s="614"/>
      <c r="CW10" s="614"/>
      <c r="CX10" s="614"/>
      <c r="CY10" s="614"/>
      <c r="CZ10" s="614"/>
      <c r="DA10" s="614"/>
      <c r="DB10" s="614"/>
      <c r="DC10" s="614"/>
      <c r="DD10" s="614"/>
      <c r="DE10" s="614"/>
      <c r="DF10" s="614"/>
      <c r="DG10" s="614"/>
    </row>
    <row r="11" spans="1:111" s="9" customFormat="1" ht="38.25" customHeight="1">
      <c r="A11" s="4260"/>
      <c r="B11" s="4228"/>
      <c r="C11" s="4229"/>
      <c r="D11" s="4205"/>
      <c r="E11" s="4205"/>
      <c r="F11" s="30" t="s">
        <v>1</v>
      </c>
      <c r="G11" s="2332">
        <f>G9+G10</f>
        <v>38575</v>
      </c>
      <c r="H11" s="2332">
        <f>H9+H10</f>
        <v>38575</v>
      </c>
      <c r="I11" s="4760">
        <f>H9+H10</f>
        <v>38575</v>
      </c>
      <c r="J11" s="4761"/>
      <c r="K11" s="4762"/>
      <c r="L11" s="4760">
        <f>L9+L10</f>
        <v>38575</v>
      </c>
      <c r="M11" s="4761"/>
      <c r="N11" s="4762"/>
      <c r="O11" s="2332">
        <f>O9+O10</f>
        <v>43775</v>
      </c>
      <c r="P11" s="238"/>
      <c r="V11" s="614"/>
      <c r="W11" s="614"/>
      <c r="X11" s="614"/>
      <c r="Y11" s="614"/>
      <c r="Z11" s="614"/>
      <c r="AA11" s="614"/>
      <c r="AB11" s="614"/>
      <c r="AC11" s="614"/>
      <c r="AD11" s="614"/>
      <c r="AE11" s="614"/>
      <c r="AF11" s="614"/>
      <c r="AG11" s="614"/>
      <c r="AH11" s="614"/>
      <c r="AI11" s="614"/>
      <c r="AJ11" s="614"/>
      <c r="AK11" s="614"/>
      <c r="AL11" s="614"/>
      <c r="AM11" s="614"/>
      <c r="AN11" s="614"/>
      <c r="AO11" s="614"/>
      <c r="AP11" s="614"/>
      <c r="AQ11" s="614"/>
      <c r="AR11" s="614"/>
      <c r="AS11" s="614"/>
      <c r="AT11" s="614"/>
      <c r="AU11" s="614"/>
      <c r="AV11" s="614"/>
      <c r="AW11" s="614"/>
      <c r="AX11" s="614"/>
      <c r="AY11" s="614"/>
      <c r="AZ11" s="614"/>
      <c r="BA11" s="614"/>
      <c r="BB11" s="614"/>
      <c r="BC11" s="614"/>
      <c r="BD11" s="614"/>
      <c r="BE11" s="614"/>
      <c r="BF11" s="614"/>
      <c r="BG11" s="614"/>
      <c r="BH11" s="614"/>
      <c r="BI11" s="614"/>
      <c r="BJ11" s="614"/>
      <c r="BK11" s="614"/>
      <c r="BL11" s="614"/>
      <c r="BM11" s="614"/>
      <c r="BN11" s="614"/>
      <c r="BO11" s="614"/>
      <c r="BP11" s="614"/>
      <c r="BQ11" s="614"/>
      <c r="BR11" s="614"/>
      <c r="BS11" s="614"/>
      <c r="BT11" s="614"/>
      <c r="BU11" s="614"/>
      <c r="BV11" s="614"/>
      <c r="BW11" s="614"/>
      <c r="BX11" s="614"/>
      <c r="BY11" s="614"/>
      <c r="BZ11" s="614"/>
      <c r="CA11" s="614"/>
      <c r="CB11" s="614"/>
      <c r="CC11" s="614"/>
      <c r="CD11" s="614"/>
      <c r="CE11" s="614"/>
      <c r="CF11" s="614"/>
      <c r="CG11" s="614"/>
      <c r="CH11" s="614"/>
      <c r="CI11" s="614"/>
      <c r="CJ11" s="614"/>
      <c r="CK11" s="614"/>
      <c r="CL11" s="614"/>
      <c r="CM11" s="614"/>
      <c r="CN11" s="614"/>
      <c r="CO11" s="614"/>
      <c r="CP11" s="614"/>
      <c r="CQ11" s="614"/>
      <c r="CR11" s="614"/>
      <c r="CS11" s="614"/>
      <c r="CT11" s="614"/>
      <c r="CU11" s="614"/>
      <c r="CV11" s="614"/>
      <c r="CW11" s="614"/>
      <c r="CX11" s="614"/>
      <c r="CY11" s="614"/>
      <c r="CZ11" s="614"/>
      <c r="DA11" s="614"/>
      <c r="DB11" s="614"/>
      <c r="DC11" s="614"/>
      <c r="DD11" s="614"/>
      <c r="DE11" s="614"/>
      <c r="DF11" s="614"/>
      <c r="DG11" s="614"/>
    </row>
    <row r="12" spans="1:111" s="9" customFormat="1" ht="38.25" hidden="1" customHeight="1">
      <c r="A12" s="4261"/>
      <c r="B12" s="4209" t="s">
        <v>3383</v>
      </c>
      <c r="C12" s="4210"/>
      <c r="D12" s="4203" t="s">
        <v>35</v>
      </c>
      <c r="E12" s="4203" t="s">
        <v>34</v>
      </c>
      <c r="F12" s="132" t="s">
        <v>0</v>
      </c>
      <c r="G12" s="1191"/>
      <c r="H12" s="1191"/>
      <c r="I12" s="4000"/>
      <c r="J12" s="4000"/>
      <c r="K12" s="4000"/>
      <c r="L12" s="4775"/>
      <c r="M12" s="4806"/>
      <c r="N12" s="4777"/>
      <c r="O12" s="1191"/>
      <c r="P12" s="238"/>
      <c r="V12" s="614"/>
      <c r="W12" s="614"/>
      <c r="X12" s="614"/>
      <c r="Y12" s="614"/>
      <c r="Z12" s="614"/>
      <c r="AA12" s="614"/>
      <c r="AB12" s="614"/>
      <c r="AC12" s="614"/>
      <c r="AD12" s="614"/>
      <c r="AE12" s="614"/>
      <c r="AF12" s="614"/>
      <c r="AG12" s="614"/>
      <c r="AH12" s="614"/>
      <c r="AI12" s="614"/>
      <c r="AJ12" s="614"/>
      <c r="AK12" s="614"/>
      <c r="AL12" s="614"/>
      <c r="AM12" s="614"/>
      <c r="AN12" s="614"/>
      <c r="AO12" s="614"/>
      <c r="AP12" s="614"/>
      <c r="AQ12" s="614"/>
      <c r="AR12" s="614"/>
      <c r="AS12" s="614"/>
      <c r="AT12" s="614"/>
      <c r="AU12" s="614"/>
      <c r="AV12" s="614"/>
      <c r="AW12" s="614"/>
      <c r="AX12" s="614"/>
      <c r="AY12" s="614"/>
      <c r="AZ12" s="614"/>
      <c r="BA12" s="614"/>
      <c r="BB12" s="614"/>
      <c r="BC12" s="614"/>
      <c r="BD12" s="614"/>
      <c r="BE12" s="614"/>
      <c r="BF12" s="614"/>
      <c r="BG12" s="614"/>
      <c r="BH12" s="614"/>
      <c r="BI12" s="614"/>
      <c r="BJ12" s="614"/>
      <c r="BK12" s="614"/>
      <c r="BL12" s="614"/>
      <c r="BM12" s="614"/>
      <c r="BN12" s="614"/>
      <c r="BO12" s="614"/>
      <c r="BP12" s="614"/>
      <c r="BQ12" s="614"/>
      <c r="BR12" s="614"/>
      <c r="BS12" s="614"/>
      <c r="BT12" s="614"/>
      <c r="BU12" s="614"/>
      <c r="BV12" s="614"/>
      <c r="BW12" s="614"/>
      <c r="BX12" s="614"/>
      <c r="BY12" s="614"/>
      <c r="BZ12" s="614"/>
      <c r="CA12" s="614"/>
      <c r="CB12" s="614"/>
      <c r="CC12" s="614"/>
      <c r="CD12" s="614"/>
      <c r="CE12" s="614"/>
      <c r="CF12" s="614"/>
      <c r="CG12" s="614"/>
      <c r="CH12" s="614"/>
      <c r="CI12" s="614"/>
      <c r="CJ12" s="614"/>
      <c r="CK12" s="614"/>
      <c r="CL12" s="614"/>
      <c r="CM12" s="614"/>
      <c r="CN12" s="614"/>
      <c r="CO12" s="614"/>
      <c r="CP12" s="614"/>
      <c r="CQ12" s="614"/>
      <c r="CR12" s="614"/>
      <c r="CS12" s="614"/>
      <c r="CT12" s="614"/>
      <c r="CU12" s="614"/>
      <c r="CV12" s="614"/>
      <c r="CW12" s="614"/>
      <c r="CX12" s="614"/>
      <c r="CY12" s="614"/>
      <c r="CZ12" s="614"/>
      <c r="DA12" s="614"/>
      <c r="DB12" s="614"/>
      <c r="DC12" s="614"/>
      <c r="DD12" s="614"/>
      <c r="DE12" s="614"/>
      <c r="DF12" s="614"/>
      <c r="DG12" s="614"/>
    </row>
    <row r="13" spans="1:111" s="9" customFormat="1" ht="38.25" hidden="1" customHeight="1">
      <c r="A13" s="4261"/>
      <c r="B13" s="3843"/>
      <c r="C13" s="3853"/>
      <c r="D13" s="4204"/>
      <c r="E13" s="4204"/>
      <c r="F13" s="307" t="s">
        <v>306</v>
      </c>
      <c r="G13" s="2331"/>
      <c r="H13" s="2331"/>
      <c r="I13" s="3993"/>
      <c r="J13" s="3993"/>
      <c r="K13" s="3993"/>
      <c r="L13" s="4757"/>
      <c r="M13" s="4758"/>
      <c r="N13" s="4759"/>
      <c r="O13" s="2331"/>
      <c r="P13" s="238"/>
      <c r="V13" s="614"/>
      <c r="W13" s="614"/>
      <c r="X13" s="614"/>
      <c r="Y13" s="614"/>
      <c r="Z13" s="614"/>
      <c r="AA13" s="614"/>
      <c r="AB13" s="614"/>
      <c r="AC13" s="614"/>
      <c r="AD13" s="614"/>
      <c r="AE13" s="614"/>
      <c r="AF13" s="614"/>
      <c r="AG13" s="614"/>
      <c r="AH13" s="614"/>
      <c r="AI13" s="614"/>
      <c r="AJ13" s="614"/>
      <c r="AK13" s="614"/>
      <c r="AL13" s="614"/>
      <c r="AM13" s="614"/>
      <c r="AN13" s="614"/>
      <c r="AO13" s="614"/>
      <c r="AP13" s="614"/>
      <c r="AQ13" s="614"/>
      <c r="AR13" s="614"/>
      <c r="AS13" s="614"/>
      <c r="AT13" s="614"/>
      <c r="AU13" s="614"/>
      <c r="AV13" s="614"/>
      <c r="AW13" s="614"/>
      <c r="AX13" s="614"/>
      <c r="AY13" s="614"/>
      <c r="AZ13" s="614"/>
      <c r="BA13" s="614"/>
      <c r="BB13" s="614"/>
      <c r="BC13" s="614"/>
      <c r="BD13" s="614"/>
      <c r="BE13" s="614"/>
      <c r="BF13" s="614"/>
      <c r="BG13" s="614"/>
      <c r="BH13" s="614"/>
      <c r="BI13" s="614"/>
      <c r="BJ13" s="614"/>
      <c r="BK13" s="614"/>
      <c r="BL13" s="614"/>
      <c r="BM13" s="614"/>
      <c r="BN13" s="614"/>
      <c r="BO13" s="614"/>
      <c r="BP13" s="614"/>
      <c r="BQ13" s="614"/>
      <c r="BR13" s="614"/>
      <c r="BS13" s="614"/>
      <c r="BT13" s="614"/>
      <c r="BU13" s="614"/>
      <c r="BV13" s="614"/>
      <c r="BW13" s="614"/>
      <c r="BX13" s="614"/>
      <c r="BY13" s="614"/>
      <c r="BZ13" s="614"/>
      <c r="CA13" s="614"/>
      <c r="CB13" s="614"/>
      <c r="CC13" s="614"/>
      <c r="CD13" s="614"/>
      <c r="CE13" s="614"/>
      <c r="CF13" s="614"/>
      <c r="CG13" s="614"/>
      <c r="CH13" s="614"/>
      <c r="CI13" s="614"/>
      <c r="CJ13" s="614"/>
      <c r="CK13" s="614"/>
      <c r="CL13" s="614"/>
      <c r="CM13" s="614"/>
      <c r="CN13" s="614"/>
      <c r="CO13" s="614"/>
      <c r="CP13" s="614"/>
      <c r="CQ13" s="614"/>
      <c r="CR13" s="614"/>
      <c r="CS13" s="614"/>
      <c r="CT13" s="614"/>
      <c r="CU13" s="614"/>
      <c r="CV13" s="614"/>
      <c r="CW13" s="614"/>
      <c r="CX13" s="614"/>
      <c r="CY13" s="614"/>
      <c r="CZ13" s="614"/>
      <c r="DA13" s="614"/>
      <c r="DB13" s="614"/>
      <c r="DC13" s="614"/>
      <c r="DD13" s="614"/>
      <c r="DE13" s="614"/>
      <c r="DF13" s="614"/>
      <c r="DG13" s="614"/>
    </row>
    <row r="14" spans="1:111" s="9" customFormat="1" ht="38.25" hidden="1" customHeight="1">
      <c r="A14" s="4261"/>
      <c r="B14" s="3843"/>
      <c r="C14" s="3853"/>
      <c r="D14" s="4205"/>
      <c r="E14" s="4205"/>
      <c r="F14" s="30" t="s">
        <v>1</v>
      </c>
      <c r="G14" s="2332"/>
      <c r="H14" s="2332"/>
      <c r="I14" s="4001"/>
      <c r="J14" s="4001"/>
      <c r="K14" s="4001"/>
      <c r="L14" s="4760"/>
      <c r="M14" s="4761"/>
      <c r="N14" s="4762"/>
      <c r="O14" s="2332"/>
      <c r="P14" s="238"/>
      <c r="V14" s="614"/>
      <c r="W14" s="614"/>
      <c r="X14" s="614"/>
      <c r="Y14" s="614"/>
      <c r="Z14" s="614"/>
      <c r="AA14" s="614"/>
      <c r="AB14" s="614"/>
      <c r="AC14" s="614"/>
      <c r="AD14" s="614"/>
      <c r="AE14" s="614"/>
      <c r="AF14" s="614"/>
      <c r="AG14" s="614"/>
      <c r="AH14" s="614"/>
      <c r="AI14" s="614"/>
      <c r="AJ14" s="614"/>
      <c r="AK14" s="614"/>
      <c r="AL14" s="614"/>
      <c r="AM14" s="614"/>
      <c r="AN14" s="614"/>
      <c r="AO14" s="614"/>
      <c r="AP14" s="614"/>
      <c r="AQ14" s="614"/>
      <c r="AR14" s="614"/>
      <c r="AS14" s="614"/>
      <c r="AT14" s="614"/>
      <c r="AU14" s="614"/>
      <c r="AV14" s="614"/>
      <c r="AW14" s="614"/>
      <c r="AX14" s="614"/>
      <c r="AY14" s="614"/>
      <c r="AZ14" s="614"/>
      <c r="BA14" s="614"/>
      <c r="BB14" s="614"/>
      <c r="BC14" s="614"/>
      <c r="BD14" s="614"/>
      <c r="BE14" s="614"/>
      <c r="BF14" s="614"/>
      <c r="BG14" s="614"/>
      <c r="BH14" s="614"/>
      <c r="BI14" s="614"/>
      <c r="BJ14" s="614"/>
      <c r="BK14" s="614"/>
      <c r="BL14" s="614"/>
      <c r="BM14" s="614"/>
      <c r="BN14" s="614"/>
      <c r="BO14" s="614"/>
      <c r="BP14" s="614"/>
      <c r="BQ14" s="614"/>
      <c r="BR14" s="614"/>
      <c r="BS14" s="614"/>
      <c r="BT14" s="614"/>
      <c r="BU14" s="614"/>
      <c r="BV14" s="614"/>
      <c r="BW14" s="614"/>
      <c r="BX14" s="614"/>
      <c r="BY14" s="614"/>
      <c r="BZ14" s="614"/>
      <c r="CA14" s="614"/>
      <c r="CB14" s="614"/>
      <c r="CC14" s="614"/>
      <c r="CD14" s="614"/>
      <c r="CE14" s="614"/>
      <c r="CF14" s="614"/>
      <c r="CG14" s="614"/>
      <c r="CH14" s="614"/>
      <c r="CI14" s="614"/>
      <c r="CJ14" s="614"/>
      <c r="CK14" s="614"/>
      <c r="CL14" s="614"/>
      <c r="CM14" s="614"/>
      <c r="CN14" s="614"/>
      <c r="CO14" s="614"/>
      <c r="CP14" s="614"/>
      <c r="CQ14" s="614"/>
      <c r="CR14" s="614"/>
      <c r="CS14" s="614"/>
      <c r="CT14" s="614"/>
      <c r="CU14" s="614"/>
      <c r="CV14" s="614"/>
      <c r="CW14" s="614"/>
      <c r="CX14" s="614"/>
      <c r="CY14" s="614"/>
      <c r="CZ14" s="614"/>
      <c r="DA14" s="614"/>
      <c r="DB14" s="614"/>
      <c r="DC14" s="614"/>
      <c r="DD14" s="614"/>
      <c r="DE14" s="614"/>
      <c r="DF14" s="614"/>
      <c r="DG14" s="614"/>
    </row>
    <row r="15" spans="1:111" s="9" customFormat="1" ht="30" customHeight="1">
      <c r="A15" s="4260"/>
      <c r="B15" s="4211" t="s">
        <v>2589</v>
      </c>
      <c r="C15" s="4212"/>
      <c r="D15" s="4213" t="s">
        <v>35</v>
      </c>
      <c r="E15" s="4213" t="s">
        <v>34</v>
      </c>
      <c r="F15" s="182" t="s">
        <v>0</v>
      </c>
      <c r="G15" s="691">
        <f>CEILING('Полотна база'!X58*(1+скидки_наценки!$B$29)*скидки_наценки!$D$13*скидки_наценки!$F$13/скидки_наценки!$B$4, 50)</f>
        <v>26400</v>
      </c>
      <c r="H15" s="691">
        <f>CEILING('Полотна база'!X58*(1+скидки_наценки!$B$29)*скидки_наценки!$D$13*скидки_наценки!$F$13/скидки_наценки!$B$4, 50)</f>
        <v>26400</v>
      </c>
      <c r="I15" s="4576">
        <f>CEILING('Полотна база'!X58*(1+скидки_наценки!$B$29)*скидки_наценки!$D$13*скидки_наценки!$F$13/скидки_наценки!$B$4, 50)</f>
        <v>26400</v>
      </c>
      <c r="J15" s="4799"/>
      <c r="K15" s="4577"/>
      <c r="L15" s="4547">
        <f>CEILING('Полотна база'!X58*(1+скидки_наценки!$B$29)*скидки_наценки!$D$13*скидки_наценки!$F$13/скидки_наценки!$B$4, 50)</f>
        <v>26400</v>
      </c>
      <c r="M15" s="4548">
        <f>CEILING(M9*1.15, 50)</f>
        <v>0</v>
      </c>
      <c r="N15" s="4549">
        <f>CEILING(N9*1.15, 50)</f>
        <v>0</v>
      </c>
      <c r="O15" s="691">
        <f>CEILING('Полотна база'!Y58*(1+скидки_наценки!$B$29)*скидки_наценки!$D$13*скидки_наценки!$F$13/скидки_наценки!$B$4, 50)</f>
        <v>31600</v>
      </c>
      <c r="V15" s="614"/>
      <c r="W15" s="614"/>
      <c r="X15" s="614"/>
      <c r="Y15" s="614"/>
      <c r="Z15" s="614"/>
      <c r="AA15" s="614"/>
      <c r="AB15" s="614"/>
      <c r="AC15" s="614"/>
      <c r="AD15" s="614"/>
      <c r="AE15" s="614"/>
      <c r="AF15" s="614"/>
      <c r="AG15" s="614"/>
      <c r="AH15" s="614"/>
      <c r="AI15" s="614"/>
      <c r="AJ15" s="614"/>
      <c r="AK15" s="614"/>
      <c r="AL15" s="614"/>
      <c r="AM15" s="614"/>
      <c r="AN15" s="614"/>
      <c r="AO15" s="614"/>
      <c r="AP15" s="614"/>
      <c r="AQ15" s="614"/>
      <c r="AR15" s="614"/>
      <c r="AS15" s="614"/>
      <c r="AT15" s="614"/>
      <c r="AU15" s="614"/>
      <c r="AV15" s="614"/>
      <c r="AW15" s="614"/>
      <c r="AX15" s="614"/>
      <c r="AY15" s="614"/>
      <c r="AZ15" s="614"/>
      <c r="BA15" s="614"/>
      <c r="BB15" s="614"/>
      <c r="BC15" s="614"/>
      <c r="BD15" s="614"/>
      <c r="BE15" s="614"/>
      <c r="BF15" s="614"/>
      <c r="BG15" s="614"/>
      <c r="BH15" s="614"/>
      <c r="BI15" s="614"/>
      <c r="BJ15" s="614"/>
      <c r="BK15" s="614"/>
      <c r="BL15" s="614"/>
      <c r="BM15" s="614"/>
      <c r="BN15" s="614"/>
      <c r="BO15" s="614"/>
      <c r="BP15" s="614"/>
      <c r="BQ15" s="614"/>
      <c r="BR15" s="614"/>
      <c r="BS15" s="614"/>
      <c r="BT15" s="614"/>
      <c r="BU15" s="614"/>
      <c r="BV15" s="614"/>
      <c r="BW15" s="614"/>
      <c r="BX15" s="614"/>
      <c r="BY15" s="614"/>
      <c r="BZ15" s="614"/>
      <c r="CA15" s="614"/>
      <c r="CB15" s="614"/>
      <c r="CC15" s="614"/>
      <c r="CD15" s="614"/>
      <c r="CE15" s="614"/>
      <c r="CF15" s="614"/>
      <c r="CG15" s="614"/>
      <c r="CH15" s="614"/>
      <c r="CI15" s="614"/>
      <c r="CJ15" s="614"/>
      <c r="CK15" s="614"/>
      <c r="CL15" s="614"/>
      <c r="CM15" s="614"/>
      <c r="CN15" s="614"/>
      <c r="CO15" s="614"/>
      <c r="CP15" s="614"/>
      <c r="CQ15" s="614"/>
      <c r="CR15" s="614"/>
      <c r="CS15" s="614"/>
      <c r="CT15" s="614"/>
      <c r="CU15" s="614"/>
      <c r="CV15" s="614"/>
      <c r="CW15" s="614"/>
      <c r="CX15" s="614"/>
      <c r="CY15" s="614"/>
      <c r="CZ15" s="614"/>
      <c r="DA15" s="614"/>
      <c r="DB15" s="614"/>
      <c r="DC15" s="614"/>
      <c r="DD15" s="614"/>
      <c r="DE15" s="614"/>
      <c r="DF15" s="614"/>
      <c r="DG15" s="614"/>
    </row>
    <row r="16" spans="1:111" s="9" customFormat="1" ht="15" customHeight="1">
      <c r="A16" s="4260"/>
      <c r="B16" s="4216"/>
      <c r="C16" s="4217"/>
      <c r="D16" s="4214"/>
      <c r="E16" s="4214"/>
      <c r="F16" s="3348" t="s">
        <v>306</v>
      </c>
      <c r="G16" s="3350">
        <f>IF(G15=0,0,(Погонаж!$C$17*2.5+Погонаж!$E$17*5))</f>
        <v>15250</v>
      </c>
      <c r="H16" s="3349">
        <f>IF(H15=0,0,(Погонаж!$C$17*2.5+Погонаж!$E$17*5))</f>
        <v>15250</v>
      </c>
      <c r="I16" s="4550">
        <f>IF(H15=0,0,(Погонаж!$C$17*2.5+Погонаж!$E$17*5))</f>
        <v>15250</v>
      </c>
      <c r="J16" s="4551"/>
      <c r="K16" s="4552"/>
      <c r="L16" s="4550">
        <f>IF(H15=0,0,(Погонаж!$C$17*2.5+Погонаж!$E$17*5))</f>
        <v>15250</v>
      </c>
      <c r="M16" s="4551">
        <f>CEILING(M10*1.15, 50)</f>
        <v>0</v>
      </c>
      <c r="N16" s="4552">
        <f>CEILING(N10*1.15, 50)</f>
        <v>0</v>
      </c>
      <c r="O16" s="3349">
        <f>IF(O15=0,0,(Погонаж!$C$17*2.5+Погонаж!$E$17*5))</f>
        <v>15250</v>
      </c>
      <c r="V16" s="614"/>
      <c r="W16" s="614"/>
      <c r="X16" s="614"/>
      <c r="Y16" s="614"/>
      <c r="Z16" s="614"/>
      <c r="AA16" s="614"/>
      <c r="AB16" s="614"/>
      <c r="AC16" s="614"/>
      <c r="AD16" s="614"/>
      <c r="AE16" s="614"/>
      <c r="AF16" s="614"/>
      <c r="AG16" s="614"/>
      <c r="AH16" s="614"/>
      <c r="AI16" s="614"/>
      <c r="AJ16" s="614"/>
      <c r="AK16" s="614"/>
      <c r="AL16" s="614"/>
      <c r="AM16" s="614"/>
      <c r="AN16" s="614"/>
      <c r="AO16" s="614"/>
      <c r="AP16" s="614"/>
      <c r="AQ16" s="614"/>
      <c r="AR16" s="614"/>
      <c r="AS16" s="614"/>
      <c r="AT16" s="614"/>
      <c r="AU16" s="614"/>
      <c r="AV16" s="614"/>
      <c r="AW16" s="614"/>
      <c r="AX16" s="614"/>
      <c r="AY16" s="614"/>
      <c r="AZ16" s="614"/>
      <c r="BA16" s="614"/>
      <c r="BB16" s="614"/>
      <c r="BC16" s="614"/>
      <c r="BD16" s="614"/>
      <c r="BE16" s="614"/>
      <c r="BF16" s="614"/>
      <c r="BG16" s="614"/>
      <c r="BH16" s="614"/>
      <c r="BI16" s="614"/>
      <c r="BJ16" s="614"/>
      <c r="BK16" s="614"/>
      <c r="BL16" s="614"/>
      <c r="BM16" s="614"/>
      <c r="BN16" s="614"/>
      <c r="BO16" s="614"/>
      <c r="BP16" s="614"/>
      <c r="BQ16" s="614"/>
      <c r="BR16" s="614"/>
      <c r="BS16" s="614"/>
      <c r="BT16" s="614"/>
      <c r="BU16" s="614"/>
      <c r="BV16" s="614"/>
      <c r="BW16" s="614"/>
      <c r="BX16" s="614"/>
      <c r="BY16" s="614"/>
      <c r="BZ16" s="614"/>
      <c r="CA16" s="614"/>
      <c r="CB16" s="614"/>
      <c r="CC16" s="614"/>
      <c r="CD16" s="614"/>
      <c r="CE16" s="614"/>
      <c r="CF16" s="614"/>
      <c r="CG16" s="614"/>
      <c r="CH16" s="614"/>
      <c r="CI16" s="614"/>
      <c r="CJ16" s="614"/>
      <c r="CK16" s="614"/>
      <c r="CL16" s="614"/>
      <c r="CM16" s="614"/>
      <c r="CN16" s="614"/>
      <c r="CO16" s="614"/>
      <c r="CP16" s="614"/>
      <c r="CQ16" s="614"/>
      <c r="CR16" s="614"/>
      <c r="CS16" s="614"/>
      <c r="CT16" s="614"/>
      <c r="CU16" s="614"/>
      <c r="CV16" s="614"/>
      <c r="CW16" s="614"/>
      <c r="CX16" s="614"/>
      <c r="CY16" s="614"/>
      <c r="CZ16" s="614"/>
      <c r="DA16" s="614"/>
      <c r="DB16" s="614"/>
      <c r="DC16" s="614"/>
      <c r="DD16" s="614"/>
      <c r="DE16" s="614"/>
      <c r="DF16" s="614"/>
      <c r="DG16" s="614"/>
    </row>
    <row r="17" spans="1:111" s="9" customFormat="1" ht="30" customHeight="1">
      <c r="A17" s="4260"/>
      <c r="B17" s="4218"/>
      <c r="C17" s="4219"/>
      <c r="D17" s="4215"/>
      <c r="E17" s="4215"/>
      <c r="F17" s="267" t="s">
        <v>1</v>
      </c>
      <c r="G17" s="690">
        <f>G15+G16</f>
        <v>41650</v>
      </c>
      <c r="H17" s="690">
        <f>H15+H16</f>
        <v>41650</v>
      </c>
      <c r="I17" s="4553">
        <f>H15+H16</f>
        <v>41650</v>
      </c>
      <c r="J17" s="4554"/>
      <c r="K17" s="4555"/>
      <c r="L17" s="4553">
        <f>L15+L16</f>
        <v>41650</v>
      </c>
      <c r="M17" s="4554">
        <f>M15+M16</f>
        <v>0</v>
      </c>
      <c r="N17" s="4555">
        <f>N15+N16</f>
        <v>0</v>
      </c>
      <c r="O17" s="690">
        <f>O15+O16</f>
        <v>46850</v>
      </c>
      <c r="P17" s="238"/>
      <c r="V17" s="614"/>
      <c r="W17" s="614"/>
      <c r="X17" s="614"/>
      <c r="Y17" s="614"/>
      <c r="Z17" s="614"/>
      <c r="AA17" s="614"/>
      <c r="AB17" s="614"/>
      <c r="AC17" s="614"/>
      <c r="AD17" s="614"/>
      <c r="AE17" s="614"/>
      <c r="AF17" s="614"/>
      <c r="AG17" s="614"/>
      <c r="AH17" s="614"/>
      <c r="AI17" s="614"/>
      <c r="AJ17" s="614"/>
      <c r="AK17" s="614"/>
      <c r="AL17" s="614"/>
      <c r="AM17" s="614"/>
      <c r="AN17" s="614"/>
      <c r="AO17" s="614"/>
      <c r="AP17" s="614"/>
      <c r="AQ17" s="614"/>
      <c r="AR17" s="614"/>
      <c r="AS17" s="614"/>
      <c r="AT17" s="614"/>
      <c r="AU17" s="614"/>
      <c r="AV17" s="614"/>
      <c r="AW17" s="614"/>
      <c r="AX17" s="614"/>
      <c r="AY17" s="614"/>
      <c r="AZ17" s="614"/>
      <c r="BA17" s="614"/>
      <c r="BB17" s="614"/>
      <c r="BC17" s="614"/>
      <c r="BD17" s="614"/>
      <c r="BE17" s="614"/>
      <c r="BF17" s="614"/>
      <c r="BG17" s="614"/>
      <c r="BH17" s="614"/>
      <c r="BI17" s="614"/>
      <c r="BJ17" s="614"/>
      <c r="BK17" s="614"/>
      <c r="BL17" s="614"/>
      <c r="BM17" s="614"/>
      <c r="BN17" s="614"/>
      <c r="BO17" s="614"/>
      <c r="BP17" s="614"/>
      <c r="BQ17" s="614"/>
      <c r="BR17" s="614"/>
      <c r="BS17" s="614"/>
      <c r="BT17" s="614"/>
      <c r="BU17" s="614"/>
      <c r="BV17" s="614"/>
      <c r="BW17" s="614"/>
      <c r="BX17" s="614"/>
      <c r="BY17" s="614"/>
      <c r="BZ17" s="614"/>
      <c r="CA17" s="614"/>
      <c r="CB17" s="614"/>
      <c r="CC17" s="614"/>
      <c r="CD17" s="614"/>
      <c r="CE17" s="614"/>
      <c r="CF17" s="614"/>
      <c r="CG17" s="614"/>
      <c r="CH17" s="614"/>
      <c r="CI17" s="614"/>
      <c r="CJ17" s="614"/>
      <c r="CK17" s="614"/>
      <c r="CL17" s="614"/>
      <c r="CM17" s="614"/>
      <c r="CN17" s="614"/>
      <c r="CO17" s="614"/>
      <c r="CP17" s="614"/>
      <c r="CQ17" s="614"/>
      <c r="CR17" s="614"/>
      <c r="CS17" s="614"/>
      <c r="CT17" s="614"/>
      <c r="CU17" s="614"/>
      <c r="CV17" s="614"/>
      <c r="CW17" s="614"/>
      <c r="CX17" s="614"/>
      <c r="CY17" s="614"/>
      <c r="CZ17" s="614"/>
      <c r="DA17" s="614"/>
      <c r="DB17" s="614"/>
      <c r="DC17" s="614"/>
      <c r="DD17" s="614"/>
      <c r="DE17" s="614"/>
      <c r="DF17" s="614"/>
      <c r="DG17" s="614"/>
    </row>
    <row r="18" spans="1:111" ht="18.75" customHeight="1">
      <c r="B18" s="466"/>
      <c r="F18" s="21"/>
      <c r="V18" s="614"/>
      <c r="W18" s="614"/>
      <c r="X18" s="614"/>
      <c r="Y18" s="614"/>
      <c r="Z18" s="614"/>
      <c r="AA18" s="614"/>
      <c r="AB18" s="614"/>
      <c r="AC18" s="614"/>
      <c r="AD18" s="614"/>
      <c r="AE18" s="614"/>
      <c r="AF18" s="614"/>
      <c r="AG18" s="614"/>
      <c r="AH18" s="614"/>
      <c r="AI18" s="614"/>
      <c r="AJ18" s="614"/>
      <c r="AK18" s="614"/>
      <c r="AL18" s="614"/>
      <c r="AM18" s="614"/>
      <c r="AN18" s="614"/>
      <c r="AO18" s="614"/>
      <c r="AP18" s="614"/>
      <c r="AQ18" s="614"/>
      <c r="AR18" s="614"/>
      <c r="AS18" s="614"/>
      <c r="AT18" s="614"/>
      <c r="AU18" s="614"/>
      <c r="AV18" s="614"/>
      <c r="AW18" s="614"/>
      <c r="AX18" s="614"/>
      <c r="AY18" s="614"/>
      <c r="AZ18" s="614"/>
      <c r="BA18" s="614"/>
      <c r="BB18" s="614"/>
      <c r="BC18" s="614"/>
      <c r="BD18" s="614"/>
      <c r="BE18" s="614"/>
      <c r="BF18" s="614"/>
      <c r="BG18" s="614"/>
      <c r="BH18" s="614"/>
      <c r="BI18" s="614"/>
      <c r="BJ18" s="614"/>
      <c r="BK18" s="614"/>
      <c r="BL18" s="614"/>
      <c r="BM18" s="614"/>
      <c r="BN18" s="614"/>
      <c r="BO18" s="614"/>
      <c r="BP18" s="614"/>
      <c r="BQ18" s="614"/>
      <c r="BR18" s="614"/>
      <c r="BS18" s="614"/>
      <c r="BT18" s="614"/>
      <c r="BU18" s="614"/>
      <c r="BV18" s="614"/>
      <c r="BW18" s="614"/>
      <c r="BX18" s="614"/>
      <c r="BY18" s="614"/>
      <c r="BZ18" s="614"/>
      <c r="CA18" s="614"/>
      <c r="CB18" s="614"/>
      <c r="CC18" s="614"/>
      <c r="CD18" s="614"/>
      <c r="CE18" s="614"/>
      <c r="CF18" s="614"/>
      <c r="CG18" s="614"/>
      <c r="CH18" s="614"/>
      <c r="CI18" s="614"/>
      <c r="CJ18" s="614"/>
      <c r="CK18" s="614"/>
      <c r="CL18" s="614"/>
      <c r="CM18" s="614"/>
      <c r="CN18" s="614"/>
      <c r="CO18" s="614"/>
      <c r="CP18" s="614"/>
      <c r="CQ18" s="614"/>
      <c r="CR18" s="614"/>
      <c r="CS18" s="614"/>
      <c r="CT18" s="614"/>
      <c r="CU18" s="614"/>
      <c r="CV18" s="614"/>
      <c r="CW18" s="614"/>
      <c r="CX18" s="614"/>
      <c r="CY18" s="614"/>
      <c r="CZ18" s="614"/>
      <c r="DA18" s="614"/>
      <c r="DB18" s="614"/>
      <c r="DC18" s="614"/>
      <c r="DD18" s="614"/>
      <c r="DE18" s="614"/>
      <c r="DF18" s="614"/>
      <c r="DG18" s="614"/>
    </row>
    <row r="19" spans="1:111" ht="99.95" customHeight="1">
      <c r="B19" s="32"/>
      <c r="C19" s="32"/>
    </row>
    <row r="20" spans="1:111">
      <c r="A20" s="23"/>
      <c r="B20" s="19" t="s">
        <v>25</v>
      </c>
      <c r="C20" s="19"/>
      <c r="D20" s="23"/>
      <c r="E20" s="23"/>
      <c r="F20" s="377" t="s">
        <v>390</v>
      </c>
      <c r="G20" s="377" t="s">
        <v>344</v>
      </c>
      <c r="H20" s="152"/>
      <c r="I20" s="3994"/>
      <c r="J20" s="3994"/>
      <c r="K20" s="3994"/>
      <c r="L20" s="23"/>
      <c r="M20" s="2328"/>
      <c r="N20" s="23"/>
      <c r="O20" s="23"/>
    </row>
    <row r="21" spans="1:111" ht="14.45" customHeight="1">
      <c r="A21" s="4220" t="s">
        <v>39</v>
      </c>
      <c r="B21" s="4222"/>
      <c r="C21" s="4220" t="s">
        <v>212</v>
      </c>
      <c r="D21" s="4222"/>
      <c r="E21" s="4201" t="s">
        <v>40</v>
      </c>
      <c r="F21" s="4201" t="s">
        <v>38</v>
      </c>
      <c r="G21" s="2424" t="s">
        <v>947</v>
      </c>
      <c r="H21" s="2424" t="s">
        <v>945</v>
      </c>
      <c r="I21" s="4418" t="s">
        <v>1635</v>
      </c>
      <c r="J21" s="4418"/>
      <c r="K21" s="4418"/>
      <c r="L21" s="4418" t="s">
        <v>946</v>
      </c>
      <c r="M21" s="4418"/>
      <c r="N21" s="4418"/>
      <c r="O21" s="2424" t="s">
        <v>949</v>
      </c>
    </row>
    <row r="22" spans="1:111" s="337" customFormat="1">
      <c r="A22" s="4477"/>
      <c r="B22" s="4478"/>
      <c r="C22" s="4477"/>
      <c r="D22" s="4478"/>
      <c r="E22" s="4472"/>
      <c r="F22" s="4472"/>
      <c r="G22" s="2424" t="s">
        <v>22</v>
      </c>
      <c r="H22" s="2424" t="s">
        <v>22</v>
      </c>
      <c r="I22" s="3991" t="s">
        <v>22</v>
      </c>
      <c r="J22" s="3991" t="s">
        <v>23</v>
      </c>
      <c r="K22" s="3991" t="s">
        <v>2041</v>
      </c>
      <c r="L22" s="2424" t="s">
        <v>22</v>
      </c>
      <c r="M22" s="2424" t="s">
        <v>23</v>
      </c>
      <c r="N22" s="2424" t="s">
        <v>2041</v>
      </c>
      <c r="O22" s="2424" t="s">
        <v>22</v>
      </c>
    </row>
    <row r="23" spans="1:111" s="20" customFormat="1" ht="15" customHeight="1">
      <c r="A23" s="4223"/>
      <c r="B23" s="4225"/>
      <c r="C23" s="4223"/>
      <c r="D23" s="4225"/>
      <c r="E23" s="4202"/>
      <c r="F23" s="4202"/>
      <c r="G23" s="2437" t="s">
        <v>2738</v>
      </c>
      <c r="H23" s="2437" t="s">
        <v>222</v>
      </c>
      <c r="I23" s="2437" t="s">
        <v>222</v>
      </c>
      <c r="J23" s="2437" t="s">
        <v>222</v>
      </c>
      <c r="K23" s="2437" t="s">
        <v>222</v>
      </c>
      <c r="L23" s="2437" t="s">
        <v>222</v>
      </c>
      <c r="M23" s="2437" t="s">
        <v>222</v>
      </c>
      <c r="N23" s="2437" t="s">
        <v>222</v>
      </c>
      <c r="O23" s="2437" t="s">
        <v>222</v>
      </c>
    </row>
    <row r="24" spans="1:111" s="23" customFormat="1" ht="25.15" customHeight="1">
      <c r="A24" s="4460" t="s">
        <v>33</v>
      </c>
      <c r="B24" s="4461"/>
      <c r="C24" s="4556" t="s">
        <v>32</v>
      </c>
      <c r="D24" s="4557"/>
      <c r="E24" s="132" t="s">
        <v>216</v>
      </c>
      <c r="F24" s="47" t="s">
        <v>4</v>
      </c>
      <c r="G24" s="371">
        <f>CEILING(('стекло+зеркала_база'!C79+'стекло+зеркала_база'!I79)*(1+скидки_наценки!$B$32)*скидки_наценки!$D$13*скидки_наценки!$F$13/скидки_наценки!$B$4, 50)</f>
        <v>2200</v>
      </c>
      <c r="H24" s="371">
        <f>CEILING('стекло+зеркала_база'!C80*(1+скидки_наценки!$B$32)*скидки_наценки!$D$13*скидки_наценки!$F$13/скидки_наценки!$B$4, 50)</f>
        <v>1000</v>
      </c>
      <c r="I24" s="371">
        <f>CEILING('стекло+зеркала_база'!C81*(1+скидки_наценки!$B$32)*скидки_наценки!$D$13*скидки_наценки!$F$13/скидки_наценки!$B$4, 50)</f>
        <v>1000</v>
      </c>
      <c r="J24" s="371">
        <f>CEILING('стекло+зеркала_база'!C83*(1+скидки_наценки!$B$32)*скидки_наценки!$D$13*скидки_наценки!$F$13/скидки_наценки!$B$4, 50)</f>
        <v>300</v>
      </c>
      <c r="K24" s="371">
        <f>CEILING('стекло+зеркала_база'!C82*(1+скидки_наценки!$B$32)*скидки_наценки!$D$13*скидки_наценки!$F$13/скидки_наценки!$B$4, 50)</f>
        <v>700</v>
      </c>
      <c r="L24" s="371">
        <f>CEILING('стекло+зеркала_база'!C81*(1+скидки_наценки!$B$32)*скидки_наценки!$D$13*скидки_наценки!$F$13/скидки_наценки!$B$4, 50)</f>
        <v>1000</v>
      </c>
      <c r="M24" s="371">
        <f>CEILING('стекло+зеркала_база'!C82*(1+скидки_наценки!$B$32)*скидки_наценки!$D$13*скидки_наценки!$F$13/скидки_наценки!$B$4, 50)</f>
        <v>700</v>
      </c>
      <c r="N24" s="371">
        <f>CEILING('стекло+зеркала_база'!C83*(1+скидки_наценки!$B$32)*скидки_наценки!$D$13*скидки_наценки!$F$13/скидки_наценки!$B$4, 50)</f>
        <v>300</v>
      </c>
      <c r="O24" s="371">
        <f>M24</f>
        <v>700</v>
      </c>
      <c r="P24" s="389"/>
    </row>
    <row r="25" spans="1:111" s="134" customFormat="1" ht="25.15" customHeight="1">
      <c r="A25" s="4462"/>
      <c r="B25" s="4463"/>
      <c r="C25" s="4558" t="s">
        <v>2421</v>
      </c>
      <c r="D25" s="4559"/>
      <c r="E25" s="191" t="s">
        <v>217</v>
      </c>
      <c r="F25" s="188" t="s">
        <v>4</v>
      </c>
      <c r="G25" s="373">
        <f>CEILING(('стекло+зеркала_база'!D79+'стекло+зеркала_база'!I79)*(1+скидки_наценки!$B$32)*скидки_наценки!$D$13*скидки_наценки!$F$13/скидки_наценки!$B$4, 50)</f>
        <v>2700</v>
      </c>
      <c r="H25" s="2791">
        <f>CEILING('стекло+зеркала_база'!D80*(1+скидки_наценки!$B$32)*скидки_наценки!$D$13*скидки_наценки!$F$13/скидки_наценки!$B$4, 50)</f>
        <v>1300</v>
      </c>
      <c r="I25" s="3992">
        <f>CEILING('стекло+зеркала_база'!D81*(1+скидки_наценки!$B$32)*скидки_наценки!$D$13*скидки_наценки!$F$13/скидки_наценки!$B$4, 50)</f>
        <v>1300</v>
      </c>
      <c r="J25" s="3992">
        <f>CEILING('стекло+зеркала_база'!D83*(1+скидки_наценки!$B$32)*скидки_наценки!$D$13*скидки_наценки!$F$13/скидки_наценки!$B$4, 50)</f>
        <v>400</v>
      </c>
      <c r="K25" s="3992">
        <f>CEILING('стекло+зеркала_база'!D82*(1+скидки_наценки!$B$32)*скидки_наценки!$D$13*скидки_наценки!$F$13/скидки_наценки!$B$4, 50)</f>
        <v>1000</v>
      </c>
      <c r="L25" s="2791">
        <f>CEILING('стекло+зеркала_база'!D81*(1+скидки_наценки!$B$32)*скидки_наценки!$D$13*скидки_наценки!$F$13/скидки_наценки!$B$4, 50)</f>
        <v>1300</v>
      </c>
      <c r="M25" s="2791">
        <f>CEILING('стекло+зеркала_база'!D82*(1+скидки_наценки!$B$32)*скидки_наценки!$D$13*скидки_наценки!$F$13/скидки_наценки!$B$4, 50)</f>
        <v>1000</v>
      </c>
      <c r="N25" s="2791">
        <f>CEILING('стекло+зеркала_база'!D83*(1+скидки_наценки!$B$32)*скидки_наценки!$D$13*скидки_наценки!$F$13/скидки_наценки!$B$4, 50)</f>
        <v>400</v>
      </c>
      <c r="O25" s="2791">
        <f>M25</f>
        <v>1000</v>
      </c>
      <c r="P25" s="389"/>
    </row>
    <row r="26" spans="1:111" s="23" customFormat="1" ht="25.15" customHeight="1">
      <c r="A26" s="4464"/>
      <c r="B26" s="4465"/>
      <c r="C26" s="4560" t="s">
        <v>2422</v>
      </c>
      <c r="D26" s="4561"/>
      <c r="E26" s="1005" t="s">
        <v>217</v>
      </c>
      <c r="F26" s="999" t="s">
        <v>4</v>
      </c>
      <c r="G26" s="327">
        <f>CEILING(('стекло+зеркала_база'!E79+'стекло+зеркала_база'!I79)*(1+скидки_наценки!$B$32)*скидки_наценки!$D$13*скидки_наценки!$F$13/скидки_наценки!$B$4, 50)</f>
        <v>3200</v>
      </c>
      <c r="H26" s="327">
        <f>CEILING('стекло+зеркала_база'!E80*(1+скидки_наценки!$B$32)*скидки_наценки!$D$13*скидки_наценки!$F$13/скидки_наценки!$B$4, 50)</f>
        <v>1700</v>
      </c>
      <c r="I26" s="327">
        <f>CEILING('стекло+зеркала_база'!E81*(1+скидки_наценки!$B$32)*скидки_наценки!$D$13*скидки_наценки!$F$13/скидки_наценки!$B$4, 50)</f>
        <v>1700</v>
      </c>
      <c r="J26" s="327">
        <f>CEILING('стекло+зеркала_база'!E83*(1+скидки_наценки!$B$32)*скидки_наценки!$D$13*скидки_наценки!$F$13/скидки_наценки!$B$4, 50)</f>
        <v>500</v>
      </c>
      <c r="K26" s="327">
        <f>CEILING('стекло+зеркала_база'!E82*(1+скидки_наценки!$B$32)*скидки_наценки!$D$13*скидки_наценки!$F$13/скидки_наценки!$B$4, 50)</f>
        <v>1200</v>
      </c>
      <c r="L26" s="327">
        <f>CEILING('стекло+зеркала_база'!E81*(1+скидки_наценки!$B$32)*скидки_наценки!$D$13*скидки_наценки!$F$13/скидки_наценки!$B$4, 50)</f>
        <v>1700</v>
      </c>
      <c r="M26" s="327">
        <f>CEILING('стекло+зеркала_база'!E82*(1+скидки_наценки!$B$32)*скидки_наценки!$D$13*скидки_наценки!$F$13/скидки_наценки!$B$4, 50)</f>
        <v>1200</v>
      </c>
      <c r="N26" s="327">
        <f>CEILING('стекло+зеркала_база'!E83*(1+скидки_наценки!$B$32)*скидки_наценки!$D$13*скидки_наценки!$F$13/скидки_наценки!$B$4, 50)</f>
        <v>500</v>
      </c>
      <c r="O26" s="327">
        <f>M26</f>
        <v>1200</v>
      </c>
      <c r="P26" s="389"/>
    </row>
    <row r="27" spans="1:111" s="134" customFormat="1" ht="39" customHeight="1">
      <c r="A27" s="4585" t="s">
        <v>2420</v>
      </c>
      <c r="B27" s="4586"/>
      <c r="C27" s="4587" t="s">
        <v>2020</v>
      </c>
      <c r="D27" s="4588"/>
      <c r="E27" s="182" t="s">
        <v>217</v>
      </c>
      <c r="F27" s="142" t="s">
        <v>4</v>
      </c>
      <c r="G27" s="372">
        <f>CEILING(('стекло+зеркала_база'!F79+'стекло+зеркала_база'!I79)*(1+скидки_наценки!$B$32)*скидки_наценки!$D$13*скидки_наценки!$F$13/скидки_наценки!$B$4, 50)</f>
        <v>2900</v>
      </c>
      <c r="H27" s="372">
        <f>CEILING('стекло+зеркала_база'!F80*(1+скидки_наценки!$B$32)*скидки_наценки!$D$13*скидки_наценки!$F$13/скидки_наценки!$B$4, 50)</f>
        <v>1500</v>
      </c>
      <c r="I27" s="372">
        <f>CEILING('стекло+зеркала_база'!F81*(1+скидки_наценки!$B$32)*скидки_наценки!$D$13*скидки_наценки!$F$13/скидки_наценки!$B$4, 50)</f>
        <v>1500</v>
      </c>
      <c r="J27" s="372">
        <f>CEILING('стекло+зеркала_база'!F83*(1+скидки_наценки!$B$32)*скидки_наценки!$D$13*скидки_наценки!$F$13/скидки_наценки!$B$4, 50)</f>
        <v>500</v>
      </c>
      <c r="K27" s="372">
        <f>CEILING('стекло+зеркала_база'!F82*(1+скидки_наценки!$B$32)*скидки_наценки!$D$13*скидки_наценки!$F$13/скидки_наценки!$B$4, 50)</f>
        <v>1100</v>
      </c>
      <c r="L27" s="372">
        <f>CEILING('стекло+зеркала_база'!F81*(1+скидки_наценки!$B$32)*скидки_наценки!$D$13*скидки_наценки!$F$13/скидки_наценки!$B$4, 50)</f>
        <v>1500</v>
      </c>
      <c r="M27" s="372">
        <f>CEILING('стекло+зеркала_база'!F82*(1+скидки_наценки!$B$32)*скидки_наценки!$D$13*скидки_наценки!$F$13/скидки_наценки!$B$4, 50)</f>
        <v>1100</v>
      </c>
      <c r="N27" s="372">
        <f>CEILING('стекло+зеркала_база'!F83*(1+скидки_наценки!$B$32)*скидки_наценки!$D$13*скидки_наценки!$F$13/скидки_наценки!$B$4, 50)</f>
        <v>500</v>
      </c>
      <c r="O27" s="372">
        <f>M27</f>
        <v>1100</v>
      </c>
      <c r="P27" s="389"/>
    </row>
    <row r="28" spans="1:111" s="22" customFormat="1" ht="25.15" customHeight="1">
      <c r="A28" s="4452" t="s">
        <v>215</v>
      </c>
      <c r="B28" s="4453"/>
      <c r="C28" s="4574" t="s">
        <v>214</v>
      </c>
      <c r="D28" s="4575"/>
      <c r="E28" s="1005" t="s">
        <v>217</v>
      </c>
      <c r="F28" s="430" t="s">
        <v>1326</v>
      </c>
      <c r="G28" s="371">
        <f>CEILING(('стекло+зеркала_база'!G79+'стекло+зеркала_база'!I79)*(1+скидки_наценки!$B$32)*скидки_наценки!$D$13*скидки_наценки!$F$13/скидки_наценки!$B$4, 50)</f>
        <v>3300</v>
      </c>
      <c r="H28" s="371">
        <f>CEILING('стекло+зеркала_база'!G80*(1+скидки_наценки!$B$32)*скидки_наценки!$D$13*скидки_наценки!$F$13/скидки_наценки!$B$4, 50)</f>
        <v>1700</v>
      </c>
      <c r="I28" s="371">
        <f>CEILING('стекло+зеркала_база'!G81*(1+скидки_наценки!$B$32)*скидки_наценки!$D$13*скидки_наценки!$F$13/скидки_наценки!$B$4, 50)</f>
        <v>1700</v>
      </c>
      <c r="J28" s="371">
        <f>CEILING('стекло+зеркала_база'!G83*(1+скидки_наценки!$B$32)*скидки_наценки!$D$13*скидки_наценки!$F$13/скидки_наценки!$B$4, 50)</f>
        <v>600</v>
      </c>
      <c r="K28" s="371">
        <f>CEILING('стекло+зеркала_база'!G82*(1+скидки_наценки!$B$32)*скидки_наценки!$D$13*скидки_наценки!$F$13/скидки_наценки!$B$4, 50)</f>
        <v>1300</v>
      </c>
      <c r="L28" s="371">
        <f>CEILING('стекло+зеркала_база'!G81*(1+скидки_наценки!$B$32)*скидки_наценки!$D$13*скидки_наценки!$F$13/скидки_наценки!$B$4, 50)</f>
        <v>1700</v>
      </c>
      <c r="M28" s="371">
        <f>CEILING('стекло+зеркала_база'!G82*(1+скидки_наценки!$B$32)*скидки_наценки!$D$13*скидки_наценки!$F$13/скидки_наценки!$B$4, 50)</f>
        <v>1300</v>
      </c>
      <c r="N28" s="371">
        <f>CEILING('стекло+зеркала_база'!G83*(1+скидки_наценки!$B$32)*скидки_наценки!$D$13*скидки_наценки!$F$13/скидки_наценки!$B$4, 50)</f>
        <v>600</v>
      </c>
      <c r="O28" s="371">
        <f>M28</f>
        <v>1300</v>
      </c>
      <c r="P28" s="389"/>
    </row>
    <row r="29" spans="1:111" s="68" customFormat="1" ht="15" customHeight="1">
      <c r="A29" s="4807" t="s">
        <v>218</v>
      </c>
      <c r="B29" s="4808"/>
      <c r="C29" s="2369"/>
      <c r="D29" s="2369"/>
      <c r="E29" s="2369"/>
      <c r="F29" s="2369"/>
      <c r="G29" s="2369"/>
      <c r="H29" s="2369"/>
      <c r="I29" s="4002"/>
      <c r="J29" s="4002"/>
      <c r="K29" s="4002"/>
      <c r="L29" s="2654"/>
      <c r="M29" s="2654"/>
      <c r="N29" s="2654"/>
      <c r="O29" s="2369"/>
      <c r="P29" s="390"/>
    </row>
    <row r="30" spans="1:111" s="22" customFormat="1" ht="18" customHeight="1">
      <c r="A30" s="4456" t="s">
        <v>224</v>
      </c>
      <c r="B30" s="4456"/>
      <c r="C30" s="4456" t="s">
        <v>484</v>
      </c>
      <c r="D30" s="4456"/>
      <c r="E30" s="4456"/>
      <c r="F30" s="4456"/>
      <c r="G30" s="333">
        <f>CEILING('стекло+зеркала_база'!N79*(1+скидки_наценки!$B$32)*скидки_наценки!$D$13*скидки_наценки!$F$13/скидки_наценки!$B$4, 50)</f>
        <v>700</v>
      </c>
      <c r="H30" s="333">
        <f>CEILING('стекло+зеркала_база'!N79*(1+скидки_наценки!$B$32)*скидки_наценки!$D$13*скидки_наценки!$F$13/скидки_наценки!$B$4, 50)</f>
        <v>700</v>
      </c>
      <c r="I30" s="4003">
        <f>CEILING('стекло+зеркала_база'!N81*(1+скидки_наценки!$B$32)*скидки_наценки!$D$13*скидки_наценки!$F$13/скидки_наценки!$B$4, 50)</f>
        <v>500</v>
      </c>
      <c r="J30" s="4003">
        <f>CEILING('стекло+зеркала_база'!N83*(1+скидки_наценки!$B$32)*скидки_наценки!$D$13*скидки_наценки!$F$13/скидки_наценки!$B$4, 50)</f>
        <v>150</v>
      </c>
      <c r="K30" s="4003">
        <f>CEILING('стекло+зеркала_база'!N82*(1+скидки_наценки!$B$32)*скидки_наценки!$D$13*скидки_наценки!$F$13/скидки_наценки!$B$4, 50)</f>
        <v>350</v>
      </c>
      <c r="L30" s="333">
        <f>CEILING('стекло+зеркала_база'!N81*(1+скидки_наценки!$B$32)*скидки_наценки!$D$13*скидки_наценки!$F$13/скидки_наценки!$B$4, 50)</f>
        <v>500</v>
      </c>
      <c r="M30" s="333">
        <f>CEILING('стекло+зеркала_база'!N82*(1+скидки_наценки!$B$32)*скидки_наценки!$D$13*скидки_наценки!$F$13/скидки_наценки!$B$4, 50)</f>
        <v>350</v>
      </c>
      <c r="N30" s="333">
        <f>CEILING('стекло+зеркала_база'!N83*(1+скидки_наценки!$B$32)*скидки_наценки!$D$13*скидки_наценки!$F$13/скидки_наценки!$B$4, 50)</f>
        <v>150</v>
      </c>
      <c r="O30" s="333">
        <f>N30</f>
        <v>150</v>
      </c>
      <c r="P30" s="390"/>
    </row>
    <row r="31" spans="1:111" s="22" customFormat="1" ht="48" customHeight="1">
      <c r="A31" s="4457" t="s">
        <v>363</v>
      </c>
      <c r="B31" s="4458"/>
      <c r="C31" s="4459" t="s">
        <v>485</v>
      </c>
      <c r="D31" s="4459"/>
      <c r="E31" s="4459"/>
      <c r="F31" s="4459"/>
      <c r="G31" s="2895" t="s">
        <v>2435</v>
      </c>
      <c r="H31" s="2891">
        <f>CEILING('стекло+зеркала_база'!I79*(1+скидки_наценки!$B$32)*скидки_наценки!$D$13*скидки_наценки!$F$13/скидки_наценки!$B$4, 50)</f>
        <v>700</v>
      </c>
      <c r="I31" s="2371">
        <f>CEILING('стекло+зеркала_база'!I81*(1+скидки_наценки!$B$32)*скидки_наценки!$D$13*скидки_наценки!$F$13/скидки_наценки!$B$4, 50)</f>
        <v>500</v>
      </c>
      <c r="J31" s="2371">
        <f>CEILING('стекло+зеркала_база'!N83*(1+скидки_наценки!$B$32)*скидки_наценки!$D$13*скидки_наценки!$F$13/скидки_наценки!$B$4, 50)</f>
        <v>150</v>
      </c>
      <c r="K31" s="2371">
        <f>CEILING('стекло+зеркала_база'!N82*(1+скидки_наценки!$B$32)*скидки_наценки!$D$13*скидки_наценки!$F$13/скидки_наценки!$B$4, 50)</f>
        <v>350</v>
      </c>
      <c r="L31" s="2891">
        <f>CEILING('стекло+зеркала_база'!I81*(1+скидки_наценки!$B$32)*скидки_наценки!$D$13*скидки_наценки!$F$13/скидки_наценки!$B$4, 50)</f>
        <v>500</v>
      </c>
      <c r="M31" s="2891">
        <f>CEILING('стекло+зеркала_база'!I82*(1+скидки_наценки!$B$32)*скидки_наценки!$D$13*скидки_наценки!$F$13/скидки_наценки!$B$4, 50)</f>
        <v>350</v>
      </c>
      <c r="N31" s="2891">
        <f>CEILING('стекло+зеркала_база'!I83*(1+скидки_наценки!$B$32)*скидки_наценки!$D$13*скидки_наценки!$F$13/скидки_наценки!$B$4, 50)</f>
        <v>150</v>
      </c>
      <c r="O31" s="2891">
        <f>N31</f>
        <v>150</v>
      </c>
      <c r="P31" s="450"/>
      <c r="Q31" s="451"/>
      <c r="R31" s="451"/>
      <c r="S31" s="451"/>
    </row>
    <row r="32" spans="1:111" s="22" customFormat="1" ht="15.75">
      <c r="A32" s="2372"/>
      <c r="B32" s="2372"/>
      <c r="C32" s="2372"/>
      <c r="D32" s="2372"/>
      <c r="E32" s="2372"/>
      <c r="F32" s="2372"/>
      <c r="G32" s="2370"/>
      <c r="H32" s="2370"/>
      <c r="I32" s="2370"/>
      <c r="J32" s="2370"/>
      <c r="K32" s="2370"/>
      <c r="L32" s="2370"/>
      <c r="M32" s="2370"/>
      <c r="N32" s="2370"/>
      <c r="O32" s="2370"/>
      <c r="P32" s="451"/>
      <c r="Q32" s="451"/>
      <c r="R32" s="451"/>
      <c r="S32" s="451"/>
    </row>
    <row r="33" spans="1:15" s="151" customFormat="1">
      <c r="A33" s="152"/>
      <c r="B33" s="19" t="s">
        <v>20</v>
      </c>
      <c r="C33" s="19"/>
      <c r="D33" s="152"/>
      <c r="E33" s="152"/>
      <c r="F33" s="152"/>
      <c r="G33" s="6"/>
      <c r="H33" s="152"/>
      <c r="I33" s="3994"/>
      <c r="J33" s="3994"/>
      <c r="K33" s="3994"/>
      <c r="L33" s="152"/>
      <c r="M33" s="2328"/>
      <c r="N33" s="152"/>
      <c r="O33" s="152"/>
    </row>
    <row r="34" spans="1:15" s="133" customFormat="1" ht="14.45" customHeight="1">
      <c r="A34" s="4578" t="s">
        <v>3</v>
      </c>
      <c r="B34" s="4579"/>
      <c r="C34" s="4579"/>
      <c r="D34" s="4579"/>
      <c r="E34" s="4579"/>
      <c r="F34" s="4580"/>
      <c r="G34" s="2334" t="s">
        <v>947</v>
      </c>
      <c r="H34" s="335" t="s">
        <v>945</v>
      </c>
      <c r="I34" s="4418" t="s">
        <v>1635</v>
      </c>
      <c r="J34" s="4418"/>
      <c r="K34" s="4418"/>
      <c r="L34" s="4812" t="s">
        <v>946</v>
      </c>
      <c r="M34" s="4813"/>
      <c r="N34" s="4814"/>
      <c r="O34" s="2344" t="str">
        <f>O5</f>
        <v>Florence4</v>
      </c>
    </row>
    <row r="35" spans="1:15" s="134" customFormat="1" ht="15" customHeight="1">
      <c r="A35" s="4562" t="s">
        <v>1233</v>
      </c>
      <c r="B35" s="4563"/>
      <c r="C35" s="4564"/>
      <c r="D35" s="4568" t="s">
        <v>1220</v>
      </c>
      <c r="E35" s="4569"/>
      <c r="F35" s="4570"/>
      <c r="G35" s="2591">
        <f>CEILING('стекло+зеркала_база'!H15*(1+скидки_наценки!$B$32)*скидки_наценки!$D$13*скидки_наценки!$F$13/скидки_наценки!$B$4, 50)</f>
        <v>8000</v>
      </c>
      <c r="H35" s="2591">
        <f>CEILING('стекло+зеркала_база'!H16*(1+скидки_наценки!$B$32)*скидки_наценки!$D$13*скидки_наценки!$F$13/скидки_наценки!$B$4, 50)</f>
        <v>5500</v>
      </c>
      <c r="I35" s="4004" t="s">
        <v>4</v>
      </c>
      <c r="J35" s="4004" t="s">
        <v>4</v>
      </c>
      <c r="K35" s="4004" t="s">
        <v>4</v>
      </c>
      <c r="L35" s="4815" t="s">
        <v>4</v>
      </c>
      <c r="M35" s="4816"/>
      <c r="N35" s="4817"/>
      <c r="O35" s="1073" t="s">
        <v>4</v>
      </c>
    </row>
    <row r="36" spans="1:15" s="68" customFormat="1" ht="15" customHeight="1">
      <c r="A36" s="4565"/>
      <c r="B36" s="4566"/>
      <c r="C36" s="4567"/>
      <c r="D36" s="4571" t="s">
        <v>2692</v>
      </c>
      <c r="E36" s="4572"/>
      <c r="F36" s="4573"/>
      <c r="G36" s="2790">
        <f>CEILING('стекло+зеркала_база'!I15*(1+скидки_наценки!$B$32)*скидки_наценки!$D$13*скидки_наценки!$F$13/скидки_наценки!$B$4, 50)</f>
        <v>9000</v>
      </c>
      <c r="H36" s="2469">
        <f>'стекло+зеркала_база'!I16*скидки_наценки!$D$13*скидки_наценки!$F$13/скидки_наценки!$B$4</f>
        <v>6500</v>
      </c>
      <c r="I36" s="4005" t="s">
        <v>4</v>
      </c>
      <c r="J36" s="4005" t="s">
        <v>4</v>
      </c>
      <c r="K36" s="4005" t="s">
        <v>4</v>
      </c>
      <c r="L36" s="4809" t="s">
        <v>4</v>
      </c>
      <c r="M36" s="4810"/>
      <c r="N36" s="4811"/>
      <c r="O36" s="1074" t="s">
        <v>4</v>
      </c>
    </row>
    <row r="37" spans="1:15" s="151" customFormat="1" ht="18" customHeight="1">
      <c r="A37" s="28"/>
      <c r="B37" s="42"/>
      <c r="C37" s="42"/>
      <c r="I37" s="589"/>
      <c r="J37" s="589"/>
      <c r="K37" s="589"/>
      <c r="M37" s="589"/>
      <c r="N37" s="48"/>
    </row>
    <row r="38" spans="1:15" s="589" customFormat="1" ht="18" customHeight="1">
      <c r="A38" s="28"/>
      <c r="B38" s="42"/>
      <c r="C38" s="42"/>
      <c r="N38" s="48"/>
    </row>
    <row r="39" spans="1:15" s="589" customFormat="1" ht="18" customHeight="1">
      <c r="A39" s="28"/>
      <c r="B39" s="42"/>
      <c r="C39" s="42"/>
      <c r="N39" s="48"/>
    </row>
    <row r="40" spans="1:15" s="589" customFormat="1" ht="18" customHeight="1">
      <c r="A40" s="28"/>
      <c r="B40" s="42"/>
      <c r="C40" s="42"/>
      <c r="N40" s="48"/>
    </row>
    <row r="41" spans="1:15" ht="15" customHeight="1">
      <c r="A41" s="23"/>
      <c r="B41" s="19"/>
      <c r="C41" s="19"/>
      <c r="D41" s="23"/>
      <c r="E41" s="23"/>
      <c r="F41" s="6"/>
      <c r="G41" s="23"/>
      <c r="H41" s="152"/>
      <c r="I41" s="3994"/>
      <c r="J41" s="3994"/>
      <c r="K41" s="3994"/>
      <c r="L41" s="23"/>
      <c r="M41" s="2328"/>
      <c r="N41" s="23"/>
      <c r="O41" s="23"/>
    </row>
    <row r="42" spans="1:15" ht="18" customHeight="1">
      <c r="A42" s="23"/>
      <c r="B42" s="22"/>
      <c r="C42" s="22"/>
      <c r="D42" s="23"/>
      <c r="E42" s="23"/>
      <c r="F42" s="6"/>
      <c r="G42" s="23"/>
      <c r="H42" s="152"/>
      <c r="I42" s="3994"/>
      <c r="J42" s="3994"/>
      <c r="K42" s="3994"/>
      <c r="L42" s="23"/>
      <c r="M42" s="2328"/>
      <c r="N42" s="23"/>
      <c r="O42" s="23"/>
    </row>
    <row r="43" spans="1:15" ht="18" customHeight="1">
      <c r="A43" s="23"/>
      <c r="H43" s="152"/>
      <c r="I43" s="3994"/>
      <c r="J43" s="3994"/>
      <c r="K43" s="3994"/>
      <c r="N43" s="23"/>
      <c r="O43" s="23"/>
    </row>
    <row r="44" spans="1:15" ht="18" customHeight="1">
      <c r="A44" s="23"/>
      <c r="H44" s="152"/>
      <c r="I44" s="3994"/>
      <c r="J44" s="3994"/>
      <c r="K44" s="3994"/>
      <c r="N44" s="23"/>
      <c r="O44" s="23"/>
    </row>
    <row r="45" spans="1:15" ht="18" customHeight="1">
      <c r="A45" s="23"/>
      <c r="B45" s="49"/>
      <c r="C45" s="49"/>
      <c r="D45" s="49"/>
      <c r="E45" s="49"/>
      <c r="F45" s="6"/>
      <c r="G45" s="23"/>
      <c r="H45" s="49"/>
      <c r="I45" s="49"/>
      <c r="J45" s="49"/>
      <c r="K45" s="49"/>
      <c r="L45" s="23"/>
      <c r="M45" s="2328"/>
      <c r="N45" s="23"/>
    </row>
    <row r="46" spans="1:15" ht="18" customHeight="1">
      <c r="A46" s="23"/>
      <c r="B46" s="22"/>
      <c r="C46" s="22"/>
      <c r="D46" s="23"/>
      <c r="E46" s="23"/>
      <c r="F46" s="6"/>
      <c r="G46" s="23"/>
      <c r="H46" s="49"/>
      <c r="I46" s="49"/>
      <c r="J46" s="49"/>
      <c r="K46" s="49"/>
      <c r="L46" s="23"/>
      <c r="M46" s="2328"/>
      <c r="N46" s="23"/>
      <c r="O46" s="49"/>
    </row>
    <row r="47" spans="1:15" ht="18" customHeight="1">
      <c r="A47" s="23"/>
      <c r="B47" s="22"/>
      <c r="C47" s="22"/>
      <c r="D47" s="23"/>
      <c r="E47" s="23"/>
      <c r="F47" s="6"/>
      <c r="G47" s="23"/>
      <c r="H47" s="49"/>
      <c r="I47" s="49"/>
      <c r="J47" s="49"/>
      <c r="K47" s="49"/>
      <c r="L47" s="23"/>
      <c r="M47" s="2328"/>
      <c r="N47" s="23"/>
      <c r="O47" s="49"/>
    </row>
    <row r="48" spans="1:15" ht="18" customHeight="1">
      <c r="A48" s="23"/>
      <c r="B48" s="22"/>
      <c r="C48" s="22"/>
      <c r="D48" s="23"/>
      <c r="E48" s="23"/>
      <c r="F48" s="6"/>
      <c r="G48" s="23"/>
      <c r="H48" s="152"/>
      <c r="I48" s="3994"/>
      <c r="J48" s="3994"/>
      <c r="K48" s="3994"/>
      <c r="L48" s="23"/>
      <c r="M48" s="2328"/>
      <c r="N48" s="23"/>
      <c r="O48" s="23"/>
    </row>
    <row r="49" spans="1:15" ht="18" customHeight="1">
      <c r="A49" s="28"/>
      <c r="B49" s="28"/>
      <c r="C49" s="28"/>
      <c r="D49" s="28"/>
      <c r="E49" s="28"/>
      <c r="F49" s="28"/>
      <c r="G49" s="29"/>
      <c r="H49" s="29"/>
      <c r="I49" s="29"/>
      <c r="J49" s="29"/>
      <c r="K49" s="29"/>
      <c r="L49" s="29"/>
      <c r="M49" s="29"/>
      <c r="N49" s="29"/>
      <c r="O49" s="29"/>
    </row>
    <row r="50" spans="1:15" ht="18" customHeight="1">
      <c r="A50" s="28"/>
      <c r="B50" s="44"/>
      <c r="C50" s="44"/>
      <c r="D50" s="44"/>
      <c r="E50" s="44"/>
      <c r="F50" s="44"/>
      <c r="G50" s="44"/>
      <c r="H50" s="29"/>
      <c r="I50" s="29"/>
      <c r="J50" s="29"/>
      <c r="K50" s="29"/>
      <c r="L50" s="29"/>
      <c r="M50" s="29"/>
      <c r="N50" s="29"/>
      <c r="O50" s="29"/>
    </row>
    <row r="51" spans="1:15" ht="18" customHeight="1">
      <c r="A51" s="28"/>
      <c r="B51" s="44"/>
      <c r="C51" s="44"/>
      <c r="D51" s="44"/>
      <c r="E51" s="44"/>
      <c r="F51" s="44"/>
      <c r="G51" s="44"/>
      <c r="H51" s="29"/>
      <c r="I51" s="29"/>
      <c r="J51" s="29"/>
      <c r="K51" s="29"/>
      <c r="L51" s="29"/>
      <c r="M51" s="29"/>
      <c r="N51" s="29"/>
      <c r="O51" s="29"/>
    </row>
    <row r="52" spans="1:15" ht="18" customHeight="1">
      <c r="B52" s="32"/>
      <c r="C52" s="32"/>
      <c r="F52" s="21"/>
    </row>
    <row r="53" spans="1:15" ht="18" customHeight="1">
      <c r="B53" s="32"/>
      <c r="C53" s="32"/>
      <c r="F53" s="21"/>
    </row>
    <row r="54" spans="1:15" ht="18" customHeight="1">
      <c r="B54" s="16"/>
      <c r="C54" s="16"/>
      <c r="F54" s="21"/>
    </row>
    <row r="55" spans="1:15" ht="18" customHeight="1">
      <c r="B55" s="16"/>
      <c r="C55" s="16"/>
      <c r="F55" s="21"/>
    </row>
    <row r="56" spans="1:15" s="589" customFormat="1" ht="18" customHeight="1">
      <c r="B56" s="19"/>
      <c r="C56" s="16"/>
    </row>
    <row r="57" spans="1:15" ht="18" customHeight="1">
      <c r="B57" s="49"/>
      <c r="C57" s="49"/>
      <c r="D57" s="49"/>
      <c r="E57" s="49"/>
      <c r="F57" s="49"/>
      <c r="G57" s="49"/>
    </row>
    <row r="58" spans="1:15" ht="18" customHeight="1">
      <c r="B58" s="49"/>
      <c r="C58" s="49"/>
      <c r="D58" s="49"/>
      <c r="E58" s="49"/>
      <c r="F58" s="49"/>
      <c r="G58" s="49"/>
    </row>
    <row r="59" spans="1:15" s="151" customFormat="1" ht="15" customHeight="1">
      <c r="A59" s="152"/>
      <c r="C59" s="19"/>
      <c r="D59" s="152"/>
      <c r="E59" s="152"/>
      <c r="F59" s="6"/>
      <c r="G59" s="152"/>
      <c r="H59" s="152"/>
      <c r="I59" s="3994"/>
      <c r="J59" s="3994"/>
      <c r="K59" s="3994"/>
      <c r="L59" s="152"/>
      <c r="M59" s="2328"/>
      <c r="N59" s="152"/>
      <c r="O59" s="152"/>
    </row>
    <row r="60" spans="1:15" ht="18" customHeight="1"/>
    <row r="61" spans="1:15" ht="18" customHeight="1"/>
    <row r="62" spans="1:15" ht="18" customHeight="1"/>
    <row r="63" spans="1:15" ht="18" customHeight="1"/>
    <row r="64" spans="1:15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  <row r="71" ht="18" customHeight="1"/>
    <row r="72" ht="18" customHeight="1"/>
    <row r="73" ht="18" customHeight="1"/>
    <row r="74" ht="18" customHeight="1"/>
    <row r="75" ht="18" customHeight="1"/>
    <row r="76" ht="18" customHeight="1"/>
    <row r="77" ht="18" customHeight="1"/>
    <row r="78" ht="18" customHeight="1"/>
    <row r="79" ht="18" customHeight="1"/>
    <row r="80" ht="18" customHeight="1"/>
    <row r="81" ht="18" customHeight="1"/>
    <row r="82" ht="18" customHeight="1"/>
    <row r="83" ht="18" customHeight="1"/>
    <row r="84" ht="18" customHeight="1"/>
    <row r="85" ht="18" customHeight="1"/>
    <row r="86" ht="18" customHeight="1"/>
    <row r="87" ht="18" customHeight="1"/>
  </sheetData>
  <mergeCells count="68">
    <mergeCell ref="B3:E3"/>
    <mergeCell ref="A5:C5"/>
    <mergeCell ref="L36:N36"/>
    <mergeCell ref="A35:C36"/>
    <mergeCell ref="D35:F35"/>
    <mergeCell ref="D36:F36"/>
    <mergeCell ref="A34:F34"/>
    <mergeCell ref="C31:F31"/>
    <mergeCell ref="A30:B30"/>
    <mergeCell ref="A31:B31"/>
    <mergeCell ref="L34:N34"/>
    <mergeCell ref="L35:N35"/>
    <mergeCell ref="D9:D11"/>
    <mergeCell ref="E9:E11"/>
    <mergeCell ref="D6:D8"/>
    <mergeCell ref="A6:A17"/>
    <mergeCell ref="B6:C6"/>
    <mergeCell ref="B7:C8"/>
    <mergeCell ref="E6:E8"/>
    <mergeCell ref="B10:C11"/>
    <mergeCell ref="D15:D17"/>
    <mergeCell ref="E15:E17"/>
    <mergeCell ref="B15:C15"/>
    <mergeCell ref="B16:C17"/>
    <mergeCell ref="B9:C9"/>
    <mergeCell ref="B12:C12"/>
    <mergeCell ref="D12:D14"/>
    <mergeCell ref="E12:E14"/>
    <mergeCell ref="A27:B27"/>
    <mergeCell ref="E21:E23"/>
    <mergeCell ref="F21:F23"/>
    <mergeCell ref="C30:F30"/>
    <mergeCell ref="A28:B28"/>
    <mergeCell ref="C27:D27"/>
    <mergeCell ref="C28:D28"/>
    <mergeCell ref="C24:D24"/>
    <mergeCell ref="C25:D25"/>
    <mergeCell ref="C26:D26"/>
    <mergeCell ref="A24:B26"/>
    <mergeCell ref="A29:B29"/>
    <mergeCell ref="C21:D23"/>
    <mergeCell ref="A21:B23"/>
    <mergeCell ref="L10:N10"/>
    <mergeCell ref="L21:N21"/>
    <mergeCell ref="L5:N5"/>
    <mergeCell ref="L6:N6"/>
    <mergeCell ref="L7:N7"/>
    <mergeCell ref="L8:N8"/>
    <mergeCell ref="L9:N9"/>
    <mergeCell ref="L11:N11"/>
    <mergeCell ref="L15:N15"/>
    <mergeCell ref="L16:N16"/>
    <mergeCell ref="L17:N17"/>
    <mergeCell ref="L12:N12"/>
    <mergeCell ref="L13:N13"/>
    <mergeCell ref="L14:N14"/>
    <mergeCell ref="I5:K5"/>
    <mergeCell ref="I6:K6"/>
    <mergeCell ref="I7:K7"/>
    <mergeCell ref="I8:K8"/>
    <mergeCell ref="I9:K9"/>
    <mergeCell ref="I21:K21"/>
    <mergeCell ref="I34:K34"/>
    <mergeCell ref="I10:K10"/>
    <mergeCell ref="I11:K11"/>
    <mergeCell ref="I15:K15"/>
    <mergeCell ref="I17:K17"/>
    <mergeCell ref="I16:K16"/>
  </mergeCells>
  <conditionalFormatting sqref="G52:K56 G19:K19">
    <cfRule type="cellIs" dxfId="123" priority="19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80" firstPageNumber="20" orientation="landscape" useFirstPageNumber="1" r:id="rId1"/>
  <headerFooter>
    <oddFooter>&amp;L&amp;P&amp;R&amp;G</oddFooter>
  </headerFooter>
  <rowBreaks count="3" manualBreakCount="3">
    <brk id="17" max="11" man="1"/>
    <brk id="36" max="11" man="1"/>
    <brk id="81" max="12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22">
    <tabColor rgb="FF92D050"/>
  </sheetPr>
  <dimension ref="A1:DD70"/>
  <sheetViews>
    <sheetView view="pageBreakPreview" zoomScale="80" zoomScaleNormal="85" zoomScaleSheetLayoutView="80" zoomScalePageLayoutView="70" workbookViewId="0">
      <pane xSplit="6" ySplit="6" topLeftCell="G7" activePane="bottomRight" state="frozen"/>
      <selection pane="topRight" activeCell="G1" sqref="G1"/>
      <selection pane="bottomLeft" activeCell="A12" sqref="A12"/>
      <selection pane="bottomRight" activeCell="B1" sqref="B1"/>
    </sheetView>
  </sheetViews>
  <sheetFormatPr defaultColWidth="8.85546875" defaultRowHeight="15"/>
  <cols>
    <col min="1" max="1" width="4.7109375" style="137" customWidth="1"/>
    <col min="2" max="5" width="11.7109375" style="137" customWidth="1"/>
    <col min="6" max="6" width="11.7109375" style="2" customWidth="1"/>
    <col min="7" max="11" width="20.7109375" style="137" customWidth="1"/>
    <col min="14" max="16384" width="8.85546875" style="137"/>
  </cols>
  <sheetData>
    <row r="1" spans="1:108" s="11" customFormat="1" ht="18" customHeight="1">
      <c r="B1" s="2277" t="s">
        <v>490</v>
      </c>
      <c r="C1" s="2277"/>
      <c r="D1" s="26"/>
      <c r="E1" s="26"/>
      <c r="F1" s="4"/>
      <c r="G1" s="26"/>
      <c r="H1" s="26"/>
      <c r="I1" s="26"/>
      <c r="J1" s="26"/>
      <c r="K1" s="26"/>
      <c r="L1" s="26"/>
      <c r="S1" s="2278"/>
      <c r="T1" s="2278"/>
      <c r="U1" s="2278"/>
      <c r="V1" s="2278"/>
      <c r="W1" s="2278"/>
      <c r="X1" s="2278"/>
      <c r="Y1" s="2278"/>
      <c r="Z1" s="2278"/>
      <c r="AA1" s="2278"/>
      <c r="AB1" s="2278"/>
      <c r="AC1" s="2278"/>
      <c r="AD1" s="2278"/>
      <c r="AE1" s="2278"/>
      <c r="AF1" s="2278"/>
      <c r="AG1" s="2278"/>
      <c r="AH1" s="2278"/>
      <c r="AI1" s="2278"/>
      <c r="AJ1" s="2278"/>
      <c r="AK1" s="2278"/>
      <c r="AL1" s="2278"/>
      <c r="AM1" s="2278"/>
      <c r="AN1" s="2278"/>
      <c r="AO1" s="2278"/>
      <c r="AP1" s="2278"/>
      <c r="AQ1" s="2278"/>
      <c r="AR1" s="2278"/>
      <c r="AS1" s="2278"/>
      <c r="AT1" s="2278"/>
      <c r="AU1" s="2278"/>
      <c r="AV1" s="2278"/>
      <c r="AW1" s="2278"/>
      <c r="AX1" s="2278"/>
      <c r="AY1" s="2278"/>
      <c r="AZ1" s="2278"/>
      <c r="BA1" s="2278"/>
      <c r="BB1" s="2278"/>
      <c r="BC1" s="2278"/>
      <c r="BD1" s="2278"/>
      <c r="BE1" s="2278"/>
      <c r="BF1" s="2278"/>
      <c r="BG1" s="2278"/>
      <c r="BH1" s="2278"/>
      <c r="BI1" s="2278"/>
      <c r="BJ1" s="2278"/>
      <c r="BK1" s="2278"/>
      <c r="BL1" s="2278"/>
      <c r="BM1" s="2278"/>
      <c r="BN1" s="2278"/>
      <c r="BO1" s="2278"/>
      <c r="BP1" s="2278"/>
      <c r="BQ1" s="2278"/>
      <c r="BR1" s="2278"/>
      <c r="BS1" s="2278"/>
      <c r="BT1" s="2278"/>
      <c r="BU1" s="2278"/>
      <c r="BV1" s="2278"/>
      <c r="BW1" s="2278"/>
      <c r="BX1" s="2278"/>
      <c r="BY1" s="2278"/>
      <c r="BZ1" s="2278"/>
      <c r="CA1" s="2278"/>
      <c r="CB1" s="2278"/>
      <c r="CC1" s="2278"/>
      <c r="CD1" s="2278"/>
      <c r="CE1" s="2278"/>
      <c r="CF1" s="2278"/>
      <c r="CG1" s="2278"/>
      <c r="CH1" s="2278"/>
      <c r="CI1" s="2278"/>
      <c r="CJ1" s="2278"/>
      <c r="CK1" s="2278"/>
      <c r="CL1" s="2278"/>
      <c r="CM1" s="2278"/>
      <c r="CN1" s="2278"/>
      <c r="CO1" s="2278"/>
      <c r="CP1" s="2278"/>
      <c r="CQ1" s="2278"/>
      <c r="CR1" s="2278"/>
      <c r="CS1" s="2278"/>
      <c r="CT1" s="2278"/>
      <c r="CU1" s="2278"/>
      <c r="CV1" s="2278"/>
      <c r="CW1" s="2278"/>
      <c r="CX1" s="2278"/>
      <c r="CY1" s="2278"/>
      <c r="CZ1" s="2278"/>
      <c r="DA1" s="2278"/>
      <c r="DB1" s="2278"/>
      <c r="DC1" s="2278"/>
      <c r="DD1" s="2278"/>
    </row>
    <row r="2" spans="1:108" ht="18.75">
      <c r="A2" s="5"/>
      <c r="B2" s="138"/>
      <c r="C2" s="138"/>
      <c r="D2" s="138"/>
      <c r="E2" s="138"/>
      <c r="F2" s="515"/>
      <c r="G2" s="15"/>
      <c r="H2" s="516"/>
      <c r="I2" s="15"/>
      <c r="J2" s="15"/>
      <c r="K2" s="15"/>
      <c r="N2" s="614"/>
      <c r="O2" s="614"/>
      <c r="P2" s="614"/>
      <c r="Q2" s="614"/>
      <c r="R2" s="614"/>
      <c r="S2" s="614"/>
      <c r="T2" s="614"/>
      <c r="U2" s="614"/>
      <c r="V2" s="614"/>
      <c r="W2" s="614"/>
      <c r="X2" s="614"/>
      <c r="Y2" s="614"/>
      <c r="Z2" s="614"/>
      <c r="AA2" s="614"/>
      <c r="AB2" s="614"/>
      <c r="AC2" s="614"/>
      <c r="AD2" s="614"/>
      <c r="AE2" s="614"/>
      <c r="AF2" s="614"/>
      <c r="AG2" s="614"/>
      <c r="AH2" s="614"/>
      <c r="AI2" s="614"/>
      <c r="AJ2" s="614"/>
      <c r="AK2" s="614"/>
      <c r="AL2" s="614"/>
      <c r="AM2" s="614"/>
      <c r="AN2" s="614"/>
      <c r="AO2" s="614"/>
    </row>
    <row r="3" spans="1:108" ht="79.900000000000006" customHeight="1">
      <c r="A3" s="7"/>
      <c r="B3" s="4326" t="s">
        <v>309</v>
      </c>
      <c r="C3" s="4327"/>
      <c r="D3" s="4327"/>
      <c r="E3" s="4328"/>
      <c r="F3" s="8"/>
      <c r="G3" s="71"/>
      <c r="H3" s="1123"/>
      <c r="I3" s="7"/>
      <c r="J3" s="7"/>
      <c r="K3" s="7"/>
      <c r="N3" s="614"/>
      <c r="O3" s="614"/>
      <c r="P3" s="614"/>
      <c r="Q3" s="614"/>
      <c r="R3" s="614"/>
      <c r="S3" s="614"/>
      <c r="T3" s="614"/>
      <c r="U3" s="614"/>
      <c r="V3" s="614"/>
      <c r="W3" s="614"/>
      <c r="X3" s="614"/>
      <c r="Y3" s="614"/>
      <c r="Z3" s="614"/>
      <c r="AA3" s="614"/>
      <c r="AB3" s="614"/>
      <c r="AC3" s="614"/>
      <c r="AD3" s="614"/>
      <c r="AE3" s="614"/>
      <c r="AF3" s="614"/>
      <c r="AG3" s="614"/>
      <c r="AH3" s="614"/>
      <c r="AI3" s="614"/>
      <c r="AJ3" s="614"/>
      <c r="AK3" s="614"/>
      <c r="AL3" s="614"/>
      <c r="AM3" s="614"/>
      <c r="AN3" s="614"/>
      <c r="AO3" s="614"/>
    </row>
    <row r="4" spans="1:108">
      <c r="A4" s="138"/>
      <c r="B4" s="19" t="s">
        <v>59</v>
      </c>
      <c r="C4" s="138"/>
      <c r="D4" s="138"/>
      <c r="E4" s="138"/>
      <c r="F4" s="6"/>
      <c r="G4" s="138"/>
      <c r="H4" s="138"/>
      <c r="I4" s="138"/>
      <c r="J4" s="138"/>
      <c r="K4" s="138"/>
      <c r="N4" s="614"/>
      <c r="O4" s="614"/>
      <c r="P4" s="614"/>
      <c r="Q4" s="614"/>
      <c r="R4" s="614"/>
      <c r="S4" s="614"/>
      <c r="T4" s="614"/>
      <c r="U4" s="614"/>
      <c r="V4" s="614"/>
      <c r="W4" s="614"/>
      <c r="X4" s="614"/>
      <c r="Y4" s="614"/>
      <c r="Z4" s="614"/>
      <c r="AA4" s="614"/>
      <c r="AB4" s="614"/>
      <c r="AC4" s="614"/>
      <c r="AD4" s="614"/>
      <c r="AE4" s="614"/>
      <c r="AF4" s="614"/>
      <c r="AG4" s="614"/>
      <c r="AH4" s="614"/>
      <c r="AI4" s="614"/>
      <c r="AJ4" s="614"/>
      <c r="AK4" s="614"/>
      <c r="AL4" s="614"/>
      <c r="AM4" s="614"/>
      <c r="AN4" s="614"/>
      <c r="AO4" s="614"/>
    </row>
    <row r="5" spans="1:108" ht="15" customHeight="1">
      <c r="A5" s="4823" t="s">
        <v>2</v>
      </c>
      <c r="B5" s="4823"/>
      <c r="C5" s="4823"/>
      <c r="D5" s="4696" t="s">
        <v>42</v>
      </c>
      <c r="E5" s="4696" t="s">
        <v>41</v>
      </c>
      <c r="F5" s="4696" t="s">
        <v>37</v>
      </c>
      <c r="G5" s="4669" t="s">
        <v>1341</v>
      </c>
      <c r="H5" s="136" t="s">
        <v>1338</v>
      </c>
      <c r="I5" s="136" t="s">
        <v>1339</v>
      </c>
      <c r="J5" s="513" t="s">
        <v>1340</v>
      </c>
      <c r="K5" s="103" t="s">
        <v>1360</v>
      </c>
      <c r="N5" s="614"/>
      <c r="O5" s="614"/>
      <c r="P5" s="614"/>
      <c r="Q5" s="614"/>
      <c r="R5" s="614"/>
      <c r="S5" s="614"/>
      <c r="T5" s="614"/>
      <c r="U5" s="614"/>
      <c r="V5" s="614"/>
      <c r="W5" s="614"/>
      <c r="X5" s="614"/>
      <c r="Y5" s="614"/>
      <c r="Z5" s="614"/>
      <c r="AA5" s="614"/>
      <c r="AB5" s="614"/>
      <c r="AC5" s="614"/>
      <c r="AD5" s="614"/>
      <c r="AE5" s="614"/>
      <c r="AF5" s="614"/>
      <c r="AG5" s="614"/>
      <c r="AH5" s="614"/>
      <c r="AI5" s="614"/>
      <c r="AJ5" s="614"/>
      <c r="AK5" s="614"/>
      <c r="AL5" s="614"/>
      <c r="AM5" s="614"/>
      <c r="AN5" s="614"/>
      <c r="AO5" s="614"/>
    </row>
    <row r="6" spans="1:108" ht="15" customHeight="1">
      <c r="A6" s="4823"/>
      <c r="B6" s="4823"/>
      <c r="C6" s="4823"/>
      <c r="D6" s="4698"/>
      <c r="E6" s="4698"/>
      <c r="F6" s="4698"/>
      <c r="G6" s="4671"/>
      <c r="H6" s="59" t="s">
        <v>49</v>
      </c>
      <c r="I6" s="59" t="s">
        <v>50</v>
      </c>
      <c r="J6" s="59" t="s">
        <v>50</v>
      </c>
      <c r="K6" s="1021" t="s">
        <v>1358</v>
      </c>
      <c r="N6" s="614"/>
      <c r="O6" s="614"/>
      <c r="P6" s="614"/>
      <c r="Q6" s="614"/>
      <c r="R6" s="614"/>
      <c r="S6" s="614"/>
      <c r="T6" s="614"/>
      <c r="U6" s="614"/>
      <c r="V6" s="614"/>
      <c r="W6" s="614"/>
      <c r="X6" s="614"/>
      <c r="Y6" s="614"/>
      <c r="Z6" s="614"/>
      <c r="AA6" s="614"/>
      <c r="AB6" s="614"/>
      <c r="AC6" s="614"/>
      <c r="AD6" s="614"/>
      <c r="AE6" s="614"/>
      <c r="AF6" s="614"/>
      <c r="AG6" s="614"/>
      <c r="AH6" s="614"/>
      <c r="AI6" s="614"/>
      <c r="AJ6" s="614"/>
      <c r="AK6" s="614"/>
      <c r="AL6" s="614"/>
      <c r="AM6" s="614"/>
      <c r="AN6" s="614"/>
      <c r="AO6" s="614"/>
    </row>
    <row r="7" spans="1:108" s="9" customFormat="1" ht="24" customHeight="1">
      <c r="A7" s="4230" t="s">
        <v>30</v>
      </c>
      <c r="B7" s="4209" t="s">
        <v>284</v>
      </c>
      <c r="C7" s="4210"/>
      <c r="D7" s="4233" t="s">
        <v>35</v>
      </c>
      <c r="E7" s="4233" t="s">
        <v>34</v>
      </c>
      <c r="F7" s="1476" t="s">
        <v>0</v>
      </c>
      <c r="G7" s="1191"/>
      <c r="H7" s="1191">
        <f>CEILING( 'Полотна база'!AA54*(1+скидки_наценки!$B$30)*скидки_наценки!$D$13*скидки_наценки!$F$13/скидки_наценки!$B$4, 50)</f>
        <v>23550</v>
      </c>
      <c r="I7" s="1191">
        <f>CEILING( 'Полотна база'!AC54*(1+скидки_наценки!C30)*скидки_наценки!$D$13*скидки_наценки!$F$13/скидки_наценки!$B$4, 50)</f>
        <v>0</v>
      </c>
      <c r="J7" s="1191"/>
      <c r="K7" s="363">
        <f>CEILING('Полотна база'!AB54*(1+скидки_наценки!B30)*скидки_наценки!$D$13*скидки_наценки!$F$13/скидки_наценки!$B$4, 50)</f>
        <v>26050</v>
      </c>
      <c r="N7" s="614"/>
      <c r="O7" s="614"/>
      <c r="P7" s="614"/>
      <c r="Q7" s="614"/>
      <c r="R7" s="614"/>
      <c r="S7" s="614"/>
      <c r="T7" s="614"/>
      <c r="U7" s="614"/>
      <c r="V7" s="614"/>
      <c r="W7" s="614"/>
      <c r="X7" s="614"/>
      <c r="Y7" s="614"/>
      <c r="Z7" s="614"/>
      <c r="AA7" s="614"/>
      <c r="AB7" s="614"/>
      <c r="AC7" s="614"/>
      <c r="AD7" s="614"/>
      <c r="AE7" s="614"/>
      <c r="AF7" s="614"/>
      <c r="AG7" s="614"/>
      <c r="AH7" s="614"/>
      <c r="AI7" s="614"/>
      <c r="AJ7" s="614"/>
      <c r="AK7" s="614"/>
      <c r="AL7" s="614"/>
      <c r="AM7" s="614"/>
      <c r="AN7" s="614"/>
      <c r="AO7" s="614"/>
    </row>
    <row r="8" spans="1:108" s="9" customFormat="1" ht="24" customHeight="1">
      <c r="A8" s="4231"/>
      <c r="B8" s="4226"/>
      <c r="C8" s="4227"/>
      <c r="D8" s="4233"/>
      <c r="E8" s="4233"/>
      <c r="F8" s="307" t="s">
        <v>306</v>
      </c>
      <c r="G8" s="1474"/>
      <c r="H8" s="2331">
        <f>IF(H7=0,0,(Погонаж!$C$13*2.5+Погонаж!$E$13*5))</f>
        <v>12375</v>
      </c>
      <c r="I8" s="2331">
        <f>IF(I7=0,0,(Погонаж!$C$13*2.5+Погонаж!$E$13*5))</f>
        <v>0</v>
      </c>
      <c r="J8" s="2331">
        <f>IF(J7=0,0,(Погонаж!$C$13*2.5+Погонаж!$E$13*5))</f>
        <v>0</v>
      </c>
      <c r="K8" s="364">
        <f>IF(K7=0,0,(Погонаж!$C$13*2.5+Погонаж!$E$13*5))</f>
        <v>12375</v>
      </c>
      <c r="N8" s="614"/>
      <c r="O8" s="614"/>
      <c r="P8" s="614"/>
      <c r="Q8" s="614"/>
      <c r="R8" s="614"/>
      <c r="S8" s="614"/>
      <c r="T8" s="614"/>
      <c r="U8" s="614"/>
      <c r="V8" s="614"/>
      <c r="W8" s="614"/>
      <c r="X8" s="614"/>
      <c r="Y8" s="614"/>
      <c r="Z8" s="614"/>
      <c r="AA8" s="614"/>
      <c r="AB8" s="614"/>
      <c r="AC8" s="614"/>
      <c r="AD8" s="614"/>
      <c r="AE8" s="614"/>
      <c r="AF8" s="614"/>
      <c r="AG8" s="614"/>
      <c r="AH8" s="614"/>
      <c r="AI8" s="614"/>
      <c r="AJ8" s="614"/>
      <c r="AK8" s="614"/>
      <c r="AL8" s="614"/>
      <c r="AM8" s="614"/>
      <c r="AN8" s="614"/>
      <c r="AO8" s="614"/>
    </row>
    <row r="9" spans="1:108" s="9" customFormat="1" ht="24" customHeight="1">
      <c r="A9" s="4232"/>
      <c r="B9" s="4228"/>
      <c r="C9" s="4229"/>
      <c r="D9" s="4233"/>
      <c r="E9" s="4233"/>
      <c r="F9" s="30" t="s">
        <v>1</v>
      </c>
      <c r="G9" s="1475"/>
      <c r="H9" s="2182">
        <f>H7+H8</f>
        <v>35925</v>
      </c>
      <c r="I9" s="2182"/>
      <c r="J9" s="2182"/>
      <c r="K9" s="365">
        <f>K7+K8</f>
        <v>38425</v>
      </c>
      <c r="N9" s="614"/>
      <c r="O9" s="614"/>
      <c r="P9" s="614"/>
      <c r="Q9" s="614"/>
      <c r="R9" s="614"/>
      <c r="S9" s="614"/>
      <c r="T9" s="614"/>
      <c r="U9" s="614"/>
      <c r="V9" s="614"/>
      <c r="W9" s="614"/>
      <c r="X9" s="614"/>
      <c r="Y9" s="614"/>
      <c r="Z9" s="614"/>
      <c r="AA9" s="614"/>
      <c r="AB9" s="614"/>
      <c r="AC9" s="614"/>
      <c r="AD9" s="614"/>
      <c r="AE9" s="614"/>
      <c r="AF9" s="614"/>
      <c r="AG9" s="614"/>
      <c r="AH9" s="614"/>
      <c r="AI9" s="614"/>
      <c r="AJ9" s="614"/>
      <c r="AK9" s="614"/>
      <c r="AL9" s="614"/>
      <c r="AM9" s="614"/>
      <c r="AN9" s="614"/>
      <c r="AO9" s="614"/>
    </row>
    <row r="10" spans="1:108" s="9" customFormat="1" ht="24" customHeight="1">
      <c r="A10" s="4260" t="s">
        <v>26</v>
      </c>
      <c r="B10" s="4211" t="s">
        <v>2587</v>
      </c>
      <c r="C10" s="4212"/>
      <c r="D10" s="4213" t="s">
        <v>35</v>
      </c>
      <c r="E10" s="4213" t="s">
        <v>34</v>
      </c>
      <c r="F10" s="182" t="s">
        <v>0</v>
      </c>
      <c r="G10" s="378">
        <f>CEILING('Полотна база'!Z55*(1+скидки_наценки!$B$29)*скидки_наценки!$D$13*скидки_наценки!$F$13/скидки_наценки!$B$4, 50)</f>
        <v>19900</v>
      </c>
      <c r="H10" s="378">
        <f>CEILING('Полотна база'!AA55*(1+скидки_наценки!$B$29)*скидки_наценки!$D$13*скидки_наценки!$F$13/скидки_наценки!$B$4, 50)</f>
        <v>25100</v>
      </c>
      <c r="I10" s="378">
        <f>CEILING('Полотна база'!AC55*(1+скидки_наценки!$B$29)*скидки_наценки!$D$13*скидки_наценки!$F$13/скидки_наценки!$B$4, 50)</f>
        <v>23500</v>
      </c>
      <c r="J10" s="378">
        <f>CEILING('Полотна база'!AD55*(1+скидки_наценки!$B$29)*скидки_наценки!$D$13*скидки_наценки!$F$13/скидки_наценки!$B$4, 50)</f>
        <v>23000</v>
      </c>
      <c r="K10" s="691">
        <f>CEILING('Полотна база'!AB55*(1+скидки_наценки!$B$29)*скидки_наценки!$D$13*скидки_наценки!$F$13/скидки_наценки!$B$4, 50)</f>
        <v>26650</v>
      </c>
      <c r="N10" s="614"/>
      <c r="O10" s="614"/>
      <c r="P10" s="614"/>
      <c r="Q10" s="614"/>
      <c r="R10" s="614"/>
      <c r="S10" s="614"/>
      <c r="T10" s="614"/>
      <c r="U10" s="614"/>
      <c r="V10" s="614"/>
      <c r="W10" s="614"/>
      <c r="X10" s="614"/>
      <c r="Y10" s="614"/>
      <c r="Z10" s="614"/>
      <c r="AA10" s="614"/>
      <c r="AB10" s="614"/>
      <c r="AC10" s="614"/>
      <c r="AD10" s="614"/>
      <c r="AE10" s="614"/>
      <c r="AF10" s="614"/>
      <c r="AG10" s="614"/>
      <c r="AH10" s="614"/>
      <c r="AI10" s="614"/>
      <c r="AJ10" s="614"/>
      <c r="AK10" s="614"/>
      <c r="AL10" s="614"/>
      <c r="AM10" s="614"/>
      <c r="AN10" s="614"/>
      <c r="AO10" s="614"/>
    </row>
    <row r="11" spans="1:108" s="9" customFormat="1" ht="15" customHeight="1">
      <c r="A11" s="4260"/>
      <c r="B11" s="4216"/>
      <c r="C11" s="4217"/>
      <c r="D11" s="4214"/>
      <c r="E11" s="4214"/>
      <c r="F11" s="183" t="s">
        <v>306</v>
      </c>
      <c r="G11" s="373">
        <f>IF(G10=0,0,(Погонаж!$C$14*2.5+Погонаж!$E$14*5))</f>
        <v>13250</v>
      </c>
      <c r="H11" s="373">
        <f>IF(H10=0,0,(Погонаж!$C$14*2.5+Погонаж!$E$14*5))</f>
        <v>13250</v>
      </c>
      <c r="I11" s="373">
        <f>IF(I10=0,0,(Погонаж!$C$14*2.5+Погонаж!$E$14*5))</f>
        <v>13250</v>
      </c>
      <c r="J11" s="373">
        <f>IF(J10=0,0,(Погонаж!$C$14*2.5+Погонаж!$E$14*5))</f>
        <v>13250</v>
      </c>
      <c r="K11" s="373">
        <f>IF(K10=0,0,(Погонаж!$C$14*2.5+Погонаж!$E$14*5))</f>
        <v>13250</v>
      </c>
      <c r="N11" s="614"/>
      <c r="O11" s="614"/>
      <c r="P11" s="614"/>
      <c r="Q11" s="614"/>
      <c r="R11" s="614"/>
      <c r="S11" s="614"/>
      <c r="T11" s="614"/>
      <c r="U11" s="614"/>
      <c r="V11" s="614"/>
      <c r="W11" s="614"/>
      <c r="X11" s="614"/>
      <c r="Y11" s="614"/>
      <c r="Z11" s="614"/>
      <c r="AA11" s="614"/>
      <c r="AB11" s="614"/>
      <c r="AC11" s="614"/>
      <c r="AD11" s="614"/>
      <c r="AE11" s="614"/>
      <c r="AF11" s="614"/>
      <c r="AG11" s="614"/>
      <c r="AH11" s="614"/>
      <c r="AI11" s="614"/>
      <c r="AJ11" s="614"/>
      <c r="AK11" s="614"/>
      <c r="AL11" s="614"/>
      <c r="AM11" s="614"/>
      <c r="AN11" s="614"/>
      <c r="AO11" s="614"/>
    </row>
    <row r="12" spans="1:108" s="9" customFormat="1" ht="24" customHeight="1">
      <c r="A12" s="4260"/>
      <c r="B12" s="4218"/>
      <c r="C12" s="4219"/>
      <c r="D12" s="4215"/>
      <c r="E12" s="4215"/>
      <c r="F12" s="267" t="s">
        <v>1</v>
      </c>
      <c r="G12" s="376">
        <f>G10+G11</f>
        <v>33150</v>
      </c>
      <c r="H12" s="376">
        <f>H10+H11</f>
        <v>38350</v>
      </c>
      <c r="I12" s="376">
        <f>I10+I11</f>
        <v>36750</v>
      </c>
      <c r="J12" s="376">
        <f>J10+J11</f>
        <v>36250</v>
      </c>
      <c r="K12" s="376">
        <f>K10+K11</f>
        <v>39900</v>
      </c>
      <c r="N12" s="614"/>
      <c r="O12" s="614"/>
      <c r="P12" s="614"/>
      <c r="Q12" s="614"/>
      <c r="R12" s="614"/>
      <c r="S12" s="614"/>
      <c r="T12" s="614"/>
      <c r="U12" s="614"/>
      <c r="V12" s="614"/>
      <c r="W12" s="614"/>
      <c r="X12" s="614"/>
      <c r="Y12" s="614"/>
      <c r="Z12" s="614"/>
      <c r="AA12" s="614"/>
      <c r="AB12" s="614"/>
      <c r="AC12" s="614"/>
      <c r="AD12" s="614"/>
      <c r="AE12" s="614"/>
      <c r="AF12" s="614"/>
      <c r="AG12" s="614"/>
      <c r="AH12" s="614"/>
      <c r="AI12" s="614"/>
      <c r="AJ12" s="614"/>
      <c r="AK12" s="614"/>
      <c r="AL12" s="614"/>
      <c r="AM12" s="614"/>
      <c r="AN12" s="614"/>
      <c r="AO12" s="614"/>
    </row>
    <row r="13" spans="1:108" s="9" customFormat="1" ht="24" customHeight="1">
      <c r="A13" s="4260"/>
      <c r="B13" s="4209" t="s">
        <v>2580</v>
      </c>
      <c r="C13" s="4210"/>
      <c r="D13" s="4233" t="s">
        <v>35</v>
      </c>
      <c r="E13" s="4233" t="s">
        <v>34</v>
      </c>
      <c r="F13" s="2582" t="s">
        <v>0</v>
      </c>
      <c r="G13" s="1191">
        <f>CEILING('Полотна база'!Z56*(1+скидки_наценки!$B$29)*скидки_наценки!$D$13*скидки_наценки!$F$13/скидки_наценки!$B$4, 50)</f>
        <v>27850</v>
      </c>
      <c r="H13" s="1191">
        <f>CEILING('Полотна база'!AA56*(1+скидки_наценки!$B$29)*скидки_наценки!$D$13*скидки_наценки!$F$13/скидки_наценки!$B$4, 50)</f>
        <v>33050</v>
      </c>
      <c r="I13" s="1191">
        <f>CEILING('Полотна база'!AC56*(1+скидки_наценки!$B$29)*скидки_наценки!$D$13*скидки_наценки!$F$13/скидки_наценки!$B$4, 50)</f>
        <v>25700</v>
      </c>
      <c r="J13" s="1191">
        <f>CEILING('Полотна база'!AD56*(1+скидки_наценки!$B$29)*скидки_наценки!$D$13*скидки_наценки!$F$13/скидки_наценки!$B$4, 50)</f>
        <v>25200</v>
      </c>
      <c r="K13" s="1191">
        <f>CEILING('Полотна база'!AB56*(1+скидки_наценки!$B$29)*скидки_наценки!$D$13*скидки_наценки!$F$13/скидки_наценки!$B$4, 50)</f>
        <v>35050</v>
      </c>
      <c r="N13" s="614"/>
      <c r="O13" s="614"/>
      <c r="P13" s="614"/>
      <c r="Q13" s="614"/>
      <c r="R13" s="614"/>
      <c r="S13" s="614"/>
      <c r="T13" s="614"/>
      <c r="U13" s="614"/>
      <c r="V13" s="614"/>
      <c r="W13" s="614"/>
      <c r="X13" s="614"/>
      <c r="Y13" s="614"/>
      <c r="Z13" s="614"/>
      <c r="AA13" s="614"/>
      <c r="AB13" s="614"/>
      <c r="AC13" s="614"/>
      <c r="AD13" s="614"/>
      <c r="AE13" s="614"/>
      <c r="AF13" s="614"/>
      <c r="AG13" s="614"/>
      <c r="AH13" s="614"/>
      <c r="AI13" s="614"/>
      <c r="AJ13" s="614"/>
      <c r="AK13" s="614"/>
      <c r="AL13" s="614"/>
      <c r="AM13" s="614"/>
      <c r="AN13" s="614"/>
      <c r="AO13" s="614"/>
    </row>
    <row r="14" spans="1:108" s="9" customFormat="1" ht="15" customHeight="1">
      <c r="A14" s="4260"/>
      <c r="B14" s="4226"/>
      <c r="C14" s="4227"/>
      <c r="D14" s="4233"/>
      <c r="E14" s="4233"/>
      <c r="F14" s="307" t="s">
        <v>306</v>
      </c>
      <c r="G14" s="2331">
        <f>IF(G13=0,0,(Погонаж!$C$15*2.5+Погонаж!$E$15*5))</f>
        <v>14375</v>
      </c>
      <c r="H14" s="2331">
        <f>IF(H13=0,0,(Погонаж!$C$15*2.5+Погонаж!$E$15*5))</f>
        <v>14375</v>
      </c>
      <c r="I14" s="2331">
        <f>IF(I13=0,0,(Погонаж!$C$15*2.5+Погонаж!$E$15*5))</f>
        <v>14375</v>
      </c>
      <c r="J14" s="2331">
        <f>IF(J13=0,0,(Погонаж!$C$15*2.5+Погонаж!$E$15*5))</f>
        <v>14375</v>
      </c>
      <c r="K14" s="2331">
        <f>IF(K13=0,0,(Погонаж!$C$15*2.5+Погонаж!$E$15*5))</f>
        <v>14375</v>
      </c>
      <c r="N14" s="614"/>
      <c r="O14" s="614"/>
      <c r="P14" s="614"/>
      <c r="Q14" s="614"/>
      <c r="R14" s="614"/>
      <c r="S14" s="614"/>
      <c r="T14" s="614"/>
      <c r="U14" s="614"/>
      <c r="V14" s="614"/>
      <c r="W14" s="614"/>
      <c r="X14" s="614"/>
      <c r="Y14" s="614"/>
      <c r="Z14" s="614"/>
      <c r="AA14" s="614"/>
      <c r="AB14" s="614"/>
      <c r="AC14" s="614"/>
      <c r="AD14" s="614"/>
      <c r="AE14" s="614"/>
      <c r="AF14" s="614"/>
      <c r="AG14" s="614"/>
      <c r="AH14" s="614"/>
      <c r="AI14" s="614"/>
      <c r="AJ14" s="614"/>
      <c r="AK14" s="614"/>
      <c r="AL14" s="614"/>
      <c r="AM14" s="614"/>
      <c r="AN14" s="614"/>
      <c r="AO14" s="614"/>
    </row>
    <row r="15" spans="1:108" s="9" customFormat="1" ht="24" customHeight="1">
      <c r="A15" s="4260"/>
      <c r="B15" s="4228"/>
      <c r="C15" s="4229"/>
      <c r="D15" s="4233"/>
      <c r="E15" s="4233"/>
      <c r="F15" s="30" t="s">
        <v>1</v>
      </c>
      <c r="G15" s="2332">
        <f>G13+G14</f>
        <v>42225</v>
      </c>
      <c r="H15" s="2332">
        <f>H13+H14</f>
        <v>47425</v>
      </c>
      <c r="I15" s="2332">
        <f>I13+I14</f>
        <v>40075</v>
      </c>
      <c r="J15" s="2332">
        <f>J13+J14</f>
        <v>39575</v>
      </c>
      <c r="K15" s="2332">
        <f>K13+K14</f>
        <v>49425</v>
      </c>
      <c r="N15" s="614"/>
      <c r="O15" s="614"/>
      <c r="P15" s="614"/>
      <c r="Q15" s="614"/>
      <c r="R15" s="614"/>
      <c r="S15" s="614"/>
      <c r="T15" s="614"/>
      <c r="U15" s="614"/>
      <c r="V15" s="614"/>
      <c r="W15" s="614"/>
      <c r="X15" s="614"/>
      <c r="Y15" s="614"/>
      <c r="Z15" s="614"/>
      <c r="AA15" s="614"/>
      <c r="AB15" s="614"/>
      <c r="AC15" s="614"/>
      <c r="AD15" s="614"/>
      <c r="AE15" s="614"/>
      <c r="AF15" s="614"/>
      <c r="AG15" s="614"/>
      <c r="AH15" s="614"/>
      <c r="AI15" s="614"/>
      <c r="AJ15" s="614"/>
      <c r="AK15" s="614"/>
      <c r="AL15" s="614"/>
      <c r="AM15" s="614"/>
      <c r="AN15" s="614"/>
      <c r="AO15" s="614"/>
    </row>
    <row r="16" spans="1:108" s="9" customFormat="1" ht="24" hidden="1" customHeight="1">
      <c r="A16" s="4261"/>
      <c r="B16" s="4209" t="s">
        <v>3383</v>
      </c>
      <c r="C16" s="4210"/>
      <c r="D16" s="4233" t="s">
        <v>35</v>
      </c>
      <c r="E16" s="4233" t="s">
        <v>34</v>
      </c>
      <c r="F16" s="3842" t="s">
        <v>0</v>
      </c>
      <c r="G16" s="1191"/>
      <c r="H16" s="1191"/>
      <c r="I16" s="1191"/>
      <c r="J16" s="1191"/>
      <c r="K16" s="1191"/>
      <c r="N16" s="614"/>
      <c r="O16" s="614"/>
      <c r="P16" s="614"/>
      <c r="Q16" s="614"/>
      <c r="R16" s="614"/>
      <c r="S16" s="614"/>
      <c r="T16" s="614"/>
      <c r="U16" s="614"/>
      <c r="V16" s="614"/>
      <c r="W16" s="614"/>
      <c r="X16" s="614"/>
      <c r="Y16" s="614"/>
      <c r="Z16" s="614"/>
      <c r="AA16" s="614"/>
      <c r="AB16" s="614"/>
      <c r="AC16" s="614"/>
      <c r="AD16" s="614"/>
      <c r="AE16" s="614"/>
      <c r="AF16" s="614"/>
      <c r="AG16" s="614"/>
      <c r="AH16" s="614"/>
      <c r="AI16" s="614"/>
      <c r="AJ16" s="614"/>
      <c r="AK16" s="614"/>
      <c r="AL16" s="614"/>
      <c r="AM16" s="614"/>
      <c r="AN16" s="614"/>
      <c r="AO16" s="614"/>
    </row>
    <row r="17" spans="1:41" s="9" customFormat="1" ht="24" hidden="1" customHeight="1">
      <c r="A17" s="4261"/>
      <c r="B17" s="3843"/>
      <c r="C17" s="3853"/>
      <c r="D17" s="4233"/>
      <c r="E17" s="4233"/>
      <c r="F17" s="307" t="s">
        <v>306</v>
      </c>
      <c r="G17" s="2331"/>
      <c r="H17" s="2331"/>
      <c r="I17" s="2331"/>
      <c r="J17" s="2331"/>
      <c r="K17" s="2331"/>
      <c r="N17" s="614"/>
      <c r="O17" s="614"/>
      <c r="P17" s="614"/>
      <c r="Q17" s="614"/>
      <c r="R17" s="614"/>
      <c r="S17" s="614"/>
      <c r="T17" s="614"/>
      <c r="U17" s="614"/>
      <c r="V17" s="614"/>
      <c r="W17" s="614"/>
      <c r="X17" s="614"/>
      <c r="Y17" s="614"/>
      <c r="Z17" s="614"/>
      <c r="AA17" s="614"/>
      <c r="AB17" s="614"/>
      <c r="AC17" s="614"/>
      <c r="AD17" s="614"/>
      <c r="AE17" s="614"/>
      <c r="AF17" s="614"/>
      <c r="AG17" s="614"/>
      <c r="AH17" s="614"/>
      <c r="AI17" s="614"/>
      <c r="AJ17" s="614"/>
      <c r="AK17" s="614"/>
      <c r="AL17" s="614"/>
      <c r="AM17" s="614"/>
      <c r="AN17" s="614"/>
      <c r="AO17" s="614"/>
    </row>
    <row r="18" spans="1:41" s="9" customFormat="1" ht="24" hidden="1" customHeight="1">
      <c r="A18" s="4261"/>
      <c r="B18" s="3843"/>
      <c r="C18" s="3853"/>
      <c r="D18" s="4233"/>
      <c r="E18" s="4233"/>
      <c r="F18" s="30" t="s">
        <v>1</v>
      </c>
      <c r="G18" s="2332"/>
      <c r="H18" s="2332"/>
      <c r="I18" s="2332"/>
      <c r="J18" s="2332"/>
      <c r="K18" s="2332"/>
      <c r="N18" s="614"/>
      <c r="O18" s="614"/>
      <c r="P18" s="614"/>
      <c r="Q18" s="614"/>
      <c r="R18" s="614"/>
      <c r="S18" s="614"/>
      <c r="T18" s="614"/>
      <c r="U18" s="614"/>
      <c r="V18" s="614"/>
      <c r="W18" s="614"/>
      <c r="X18" s="614"/>
      <c r="Y18" s="614"/>
      <c r="Z18" s="614"/>
      <c r="AA18" s="614"/>
      <c r="AB18" s="614"/>
      <c r="AC18" s="614"/>
      <c r="AD18" s="614"/>
      <c r="AE18" s="614"/>
      <c r="AF18" s="614"/>
      <c r="AG18" s="614"/>
      <c r="AH18" s="614"/>
      <c r="AI18" s="614"/>
      <c r="AJ18" s="614"/>
      <c r="AK18" s="614"/>
      <c r="AL18" s="614"/>
      <c r="AM18" s="614"/>
      <c r="AN18" s="614"/>
      <c r="AO18" s="614"/>
    </row>
    <row r="19" spans="1:41" s="9" customFormat="1" ht="24" customHeight="1">
      <c r="A19" s="4260"/>
      <c r="B19" s="4211" t="s">
        <v>2589</v>
      </c>
      <c r="C19" s="4212"/>
      <c r="D19" s="4213" t="s">
        <v>35</v>
      </c>
      <c r="E19" s="4213" t="s">
        <v>34</v>
      </c>
      <c r="F19" s="182" t="s">
        <v>0</v>
      </c>
      <c r="G19" s="691">
        <f>CEILING('Полотна база'!Z58*(1+скидки_наценки!$B$29)*скидки_наценки!$D$13*скидки_наценки!$F$13/скидки_наценки!$B$4, 50)</f>
        <v>30400</v>
      </c>
      <c r="H19" s="691">
        <f>CEILING('Полотна база'!AA58*(1+скидки_наценки!$B$29)*скидки_наценки!$D$13*скидки_наценки!$F$13/скидки_наценки!$B$4, 50)</f>
        <v>35600</v>
      </c>
      <c r="I19" s="691">
        <f>CEILING('Полотна база'!AC58*(1+скидки_наценки!$B$29)*скидки_наценки!$D$13*скидки_наценки!$F$13/скидки_наценки!$B$4, 50)</f>
        <v>27900</v>
      </c>
      <c r="J19" s="691">
        <f>CEILING('Полотна база'!AD58*(1+скидки_наценки!$B$29)*скидки_наценки!$D$13*скидки_наценки!$F$13/скидки_наценки!$B$4, 50)</f>
        <v>27400</v>
      </c>
      <c r="K19" s="691">
        <f>CEILING('Полотна база'!AB58*(1+скидки_наценки!$B$29)*скидки_наценки!$D$13*скидки_наценки!$F$13/скидки_наценки!$B$4, 50)</f>
        <v>37750</v>
      </c>
      <c r="N19" s="614"/>
      <c r="O19" s="614"/>
      <c r="P19" s="614"/>
      <c r="Q19" s="614"/>
      <c r="R19" s="614"/>
      <c r="S19" s="614"/>
      <c r="T19" s="614"/>
      <c r="U19" s="614"/>
      <c r="V19" s="614"/>
      <c r="W19" s="614"/>
      <c r="X19" s="614"/>
      <c r="Y19" s="614"/>
      <c r="Z19" s="614"/>
      <c r="AA19" s="614"/>
      <c r="AB19" s="614"/>
      <c r="AC19" s="614"/>
      <c r="AD19" s="614"/>
      <c r="AE19" s="614"/>
      <c r="AF19" s="614"/>
      <c r="AG19" s="614"/>
      <c r="AH19" s="614"/>
      <c r="AI19" s="614"/>
      <c r="AJ19" s="614"/>
      <c r="AK19" s="614"/>
      <c r="AL19" s="614"/>
      <c r="AM19" s="614"/>
      <c r="AN19" s="614"/>
      <c r="AO19" s="614"/>
    </row>
    <row r="20" spans="1:41" s="9" customFormat="1" ht="15" customHeight="1">
      <c r="A20" s="4260"/>
      <c r="B20" s="4216"/>
      <c r="C20" s="4217"/>
      <c r="D20" s="4214"/>
      <c r="E20" s="4214"/>
      <c r="F20" s="183" t="s">
        <v>306</v>
      </c>
      <c r="G20" s="2589">
        <f>IF(G19=0,0,(Погонаж!$C$17*2.5+Погонаж!$E$17*5))</f>
        <v>15250</v>
      </c>
      <c r="H20" s="2589">
        <f>IF(H19=0,0,(Погонаж!$C$17*2.5+Погонаж!$E$17*5))</f>
        <v>15250</v>
      </c>
      <c r="I20" s="2589">
        <f>IF(I19=0,0,(Погонаж!$C$17*2.5+Погонаж!$E$17*5))</f>
        <v>15250</v>
      </c>
      <c r="J20" s="2589">
        <f>IF(J19=0,0,(Погонаж!$C$17*2.5+Погонаж!$E$17*5))</f>
        <v>15250</v>
      </c>
      <c r="K20" s="2589">
        <f>IF(K19=0,0,(Погонаж!$C$17*2.5+Погонаж!$E$17*5))</f>
        <v>15250</v>
      </c>
      <c r="N20" s="614"/>
      <c r="O20" s="614"/>
      <c r="P20" s="614"/>
      <c r="Q20" s="614"/>
      <c r="R20" s="614"/>
      <c r="S20" s="614"/>
      <c r="T20" s="614"/>
      <c r="U20" s="614"/>
      <c r="V20" s="614"/>
      <c r="W20" s="614"/>
      <c r="X20" s="614"/>
      <c r="Y20" s="614"/>
      <c r="Z20" s="614"/>
      <c r="AA20" s="614"/>
      <c r="AB20" s="614"/>
      <c r="AC20" s="614"/>
      <c r="AD20" s="614"/>
      <c r="AE20" s="614"/>
      <c r="AF20" s="614"/>
      <c r="AG20" s="614"/>
      <c r="AH20" s="614"/>
      <c r="AI20" s="614"/>
      <c r="AJ20" s="614"/>
      <c r="AK20" s="614"/>
      <c r="AL20" s="614"/>
      <c r="AM20" s="614"/>
      <c r="AN20" s="614"/>
      <c r="AO20" s="614"/>
    </row>
    <row r="21" spans="1:41" s="9" customFormat="1" ht="24" customHeight="1">
      <c r="A21" s="4260"/>
      <c r="B21" s="4218"/>
      <c r="C21" s="4219"/>
      <c r="D21" s="4215"/>
      <c r="E21" s="4215"/>
      <c r="F21" s="267" t="s">
        <v>1</v>
      </c>
      <c r="G21" s="690">
        <f>G19+G20</f>
        <v>45650</v>
      </c>
      <c r="H21" s="690">
        <f>H19+H20</f>
        <v>50850</v>
      </c>
      <c r="I21" s="690">
        <f>I19+I20</f>
        <v>43150</v>
      </c>
      <c r="J21" s="690">
        <f>J19+J20</f>
        <v>42650</v>
      </c>
      <c r="K21" s="690">
        <f>K19+K20</f>
        <v>53000</v>
      </c>
      <c r="N21" s="614"/>
      <c r="O21" s="614"/>
      <c r="P21" s="614"/>
      <c r="Q21" s="614"/>
      <c r="R21" s="614"/>
      <c r="S21" s="614"/>
      <c r="T21" s="614"/>
      <c r="U21" s="614"/>
      <c r="V21" s="614"/>
      <c r="W21" s="614"/>
      <c r="X21" s="614"/>
      <c r="Y21" s="614"/>
      <c r="Z21" s="614"/>
      <c r="AA21" s="614"/>
      <c r="AB21" s="614"/>
      <c r="AC21" s="614"/>
      <c r="AD21" s="614"/>
      <c r="AE21" s="614"/>
      <c r="AF21" s="614"/>
      <c r="AG21" s="614"/>
      <c r="AH21" s="614"/>
      <c r="AI21" s="614"/>
      <c r="AJ21" s="614"/>
      <c r="AK21" s="614"/>
      <c r="AL21" s="614"/>
      <c r="AM21" s="614"/>
      <c r="AN21" s="614"/>
      <c r="AO21" s="614"/>
    </row>
    <row r="22" spans="1:41" ht="15" customHeight="1">
      <c r="B22" s="1214"/>
      <c r="F22" s="137"/>
      <c r="N22" s="614"/>
      <c r="O22" s="614"/>
      <c r="P22" s="614"/>
      <c r="Q22" s="614"/>
      <c r="R22" s="614"/>
      <c r="S22" s="614"/>
      <c r="T22" s="614"/>
      <c r="U22" s="614"/>
      <c r="V22" s="614"/>
      <c r="W22" s="614"/>
      <c r="X22" s="614"/>
      <c r="Y22" s="614"/>
      <c r="Z22" s="614"/>
      <c r="AA22" s="614"/>
      <c r="AB22" s="614"/>
      <c r="AC22" s="614"/>
      <c r="AD22" s="614"/>
      <c r="AE22" s="614"/>
      <c r="AF22" s="614"/>
      <c r="AG22" s="614"/>
      <c r="AH22" s="614"/>
      <c r="AI22" s="614"/>
      <c r="AJ22" s="614"/>
      <c r="AK22" s="614"/>
      <c r="AL22" s="614"/>
      <c r="AM22" s="614"/>
      <c r="AN22" s="614"/>
      <c r="AO22" s="614"/>
    </row>
    <row r="23" spans="1:41" s="589" customFormat="1" ht="15" customHeight="1">
      <c r="B23" s="1214"/>
      <c r="N23" s="614"/>
      <c r="O23" s="614"/>
      <c r="P23" s="614"/>
      <c r="Q23" s="614"/>
      <c r="R23" s="614"/>
      <c r="S23" s="614"/>
      <c r="T23" s="614"/>
      <c r="U23" s="614"/>
      <c r="V23" s="614"/>
      <c r="W23" s="614"/>
      <c r="X23" s="614"/>
      <c r="Y23" s="614"/>
      <c r="Z23" s="614"/>
      <c r="AA23" s="614"/>
      <c r="AB23" s="614"/>
      <c r="AC23" s="614"/>
      <c r="AD23" s="614"/>
      <c r="AE23" s="614"/>
      <c r="AF23" s="614"/>
      <c r="AG23" s="614"/>
      <c r="AH23" s="614"/>
      <c r="AI23" s="614"/>
      <c r="AJ23" s="614"/>
      <c r="AK23" s="614"/>
      <c r="AL23" s="614"/>
      <c r="AM23" s="614"/>
      <c r="AN23" s="614"/>
      <c r="AO23" s="614"/>
    </row>
    <row r="24" spans="1:41" s="11" customFormat="1" ht="15" customHeight="1">
      <c r="B24" s="60" t="s">
        <v>20</v>
      </c>
      <c r="N24" s="614"/>
      <c r="O24" s="614"/>
      <c r="P24" s="614"/>
      <c r="Q24" s="614"/>
      <c r="R24" s="614"/>
      <c r="S24" s="614"/>
      <c r="T24" s="614"/>
      <c r="U24" s="614"/>
      <c r="V24" s="614"/>
      <c r="W24" s="614"/>
      <c r="X24" s="614"/>
      <c r="Y24" s="614"/>
      <c r="Z24" s="614"/>
      <c r="AA24" s="614"/>
      <c r="AB24" s="614"/>
      <c r="AC24" s="614"/>
      <c r="AD24" s="614"/>
      <c r="AE24" s="614"/>
      <c r="AF24" s="614"/>
      <c r="AG24" s="614"/>
      <c r="AH24" s="614"/>
      <c r="AI24" s="614"/>
      <c r="AJ24" s="614"/>
      <c r="AK24" s="614"/>
      <c r="AL24" s="614"/>
      <c r="AM24" s="614"/>
      <c r="AN24" s="614"/>
      <c r="AO24" s="614"/>
    </row>
    <row r="25" spans="1:41" s="589" customFormat="1" ht="15" customHeight="1">
      <c r="A25" s="4633" t="s">
        <v>3</v>
      </c>
      <c r="B25" s="4234"/>
      <c r="C25" s="4234"/>
      <c r="D25" s="4234"/>
      <c r="E25" s="4234"/>
      <c r="F25" s="4235"/>
      <c r="G25" s="4669" t="str">
        <f>G5</f>
        <v>Strada01</v>
      </c>
      <c r="H25" s="545" t="str">
        <f>H5</f>
        <v>Strada11</v>
      </c>
      <c r="I25" s="545" t="str">
        <f>I5</f>
        <v>Strada14</v>
      </c>
      <c r="J25" s="545" t="str">
        <f>J5</f>
        <v>Strada15</v>
      </c>
      <c r="K25" s="545" t="str">
        <f>K5</f>
        <v xml:space="preserve">Vario11 </v>
      </c>
      <c r="N25" s="614"/>
      <c r="O25" s="614"/>
      <c r="P25" s="614"/>
      <c r="Q25" s="614"/>
      <c r="R25" s="614"/>
      <c r="S25" s="614"/>
      <c r="T25" s="614"/>
      <c r="U25" s="614"/>
      <c r="V25" s="614"/>
      <c r="W25" s="614"/>
      <c r="X25" s="614"/>
      <c r="Y25" s="614"/>
      <c r="Z25" s="614"/>
      <c r="AA25" s="614"/>
      <c r="AB25" s="614"/>
      <c r="AC25" s="614"/>
      <c r="AD25" s="614"/>
      <c r="AE25" s="614"/>
      <c r="AF25" s="614"/>
      <c r="AG25" s="614"/>
      <c r="AH25" s="614"/>
      <c r="AI25" s="614"/>
      <c r="AJ25" s="614"/>
      <c r="AK25" s="614"/>
      <c r="AL25" s="614"/>
      <c r="AM25" s="614"/>
      <c r="AN25" s="614"/>
      <c r="AO25" s="614"/>
    </row>
    <row r="26" spans="1:41" s="589" customFormat="1" ht="15" customHeight="1">
      <c r="A26" s="4635"/>
      <c r="B26" s="4238"/>
      <c r="C26" s="4238"/>
      <c r="D26" s="4238"/>
      <c r="E26" s="4238"/>
      <c r="F26" s="4239"/>
      <c r="G26" s="4671"/>
      <c r="H26" s="59" t="str">
        <f>H6</f>
        <v>Триплекс 4+4 мм, глянец</v>
      </c>
      <c r="I26" s="59" t="str">
        <f>I6</f>
        <v>Триплекс 2+2 мм, глянец</v>
      </c>
      <c r="J26" s="59" t="str">
        <f>J6</f>
        <v>Триплекс 2+2 мм, глянец</v>
      </c>
      <c r="K26" s="59" t="str">
        <f>K6</f>
        <v>Триплекс 4+4 мм</v>
      </c>
      <c r="N26" s="614"/>
      <c r="O26" s="614"/>
      <c r="P26" s="614"/>
      <c r="Q26" s="614"/>
      <c r="R26" s="614"/>
      <c r="S26" s="614"/>
      <c r="T26" s="614"/>
      <c r="U26" s="614"/>
      <c r="V26" s="614"/>
      <c r="W26" s="614"/>
      <c r="X26" s="614"/>
      <c r="Y26" s="614"/>
      <c r="Z26" s="614"/>
      <c r="AA26" s="614"/>
      <c r="AB26" s="614"/>
      <c r="AC26" s="614"/>
      <c r="AD26" s="614"/>
      <c r="AE26" s="614"/>
      <c r="AF26" s="614"/>
      <c r="AG26" s="614"/>
      <c r="AH26" s="614"/>
      <c r="AI26" s="614"/>
      <c r="AJ26" s="614"/>
      <c r="AK26" s="614"/>
      <c r="AL26" s="614"/>
      <c r="AM26" s="614"/>
      <c r="AN26" s="614"/>
      <c r="AO26" s="614"/>
    </row>
    <row r="27" spans="1:41" s="63" customFormat="1" ht="15" customHeight="1">
      <c r="A27" s="4331" t="s">
        <v>51</v>
      </c>
      <c r="B27" s="4332"/>
      <c r="C27" s="4332"/>
      <c r="D27" s="4332"/>
      <c r="E27" s="4332"/>
      <c r="F27" s="4332"/>
      <c r="G27" s="1081"/>
      <c r="H27" s="1081"/>
      <c r="I27" s="1081"/>
      <c r="J27" s="1081"/>
      <c r="K27" s="1081"/>
      <c r="N27" s="614"/>
      <c r="O27" s="614"/>
      <c r="P27" s="614"/>
      <c r="Q27" s="614"/>
      <c r="R27" s="614"/>
      <c r="S27" s="614"/>
      <c r="T27" s="614"/>
      <c r="U27" s="614"/>
      <c r="V27" s="614"/>
      <c r="W27" s="614"/>
      <c r="X27" s="614"/>
      <c r="Y27" s="614"/>
      <c r="Z27" s="614"/>
      <c r="AA27" s="614"/>
      <c r="AB27" s="614"/>
      <c r="AC27" s="614"/>
      <c r="AD27" s="614"/>
      <c r="AE27" s="614"/>
      <c r="AF27" s="614"/>
      <c r="AG27" s="614"/>
      <c r="AH27" s="614"/>
      <c r="AI27" s="614"/>
      <c r="AJ27" s="614"/>
      <c r="AK27" s="614"/>
      <c r="AL27" s="614"/>
      <c r="AM27" s="614"/>
      <c r="AN27" s="614"/>
      <c r="AO27" s="614"/>
    </row>
    <row r="28" spans="1:41" s="64" customFormat="1" ht="15" customHeight="1">
      <c r="A28" s="4562" t="s">
        <v>77</v>
      </c>
      <c r="B28" s="4564"/>
      <c r="C28" s="4825" t="s">
        <v>78</v>
      </c>
      <c r="D28" s="4825"/>
      <c r="E28" s="4827" t="s">
        <v>227</v>
      </c>
      <c r="F28" s="4827"/>
      <c r="G28" s="369" t="s">
        <v>2612</v>
      </c>
      <c r="H28" s="369" t="s">
        <v>2612</v>
      </c>
      <c r="I28" s="369" t="s">
        <v>2435</v>
      </c>
      <c r="J28" s="369" t="s">
        <v>2435</v>
      </c>
      <c r="K28" s="369" t="s">
        <v>2612</v>
      </c>
      <c r="N28" s="614"/>
      <c r="O28" s="614"/>
      <c r="P28" s="614"/>
      <c r="Q28" s="614"/>
      <c r="R28" s="614"/>
      <c r="S28" s="614"/>
      <c r="T28" s="614"/>
      <c r="U28" s="614"/>
      <c r="V28" s="614"/>
      <c r="W28" s="614"/>
      <c r="X28" s="614"/>
      <c r="Y28" s="614"/>
      <c r="Z28" s="614"/>
      <c r="AA28" s="614"/>
      <c r="AB28" s="614"/>
      <c r="AC28" s="614"/>
      <c r="AD28" s="614"/>
      <c r="AE28" s="614"/>
      <c r="AF28" s="614"/>
      <c r="AG28" s="614"/>
      <c r="AH28" s="614"/>
      <c r="AI28" s="614"/>
      <c r="AJ28" s="614"/>
      <c r="AK28" s="614"/>
      <c r="AL28" s="614"/>
      <c r="AM28" s="614"/>
      <c r="AN28" s="614"/>
      <c r="AO28" s="614"/>
    </row>
    <row r="29" spans="1:41" s="64" customFormat="1" ht="15" customHeight="1">
      <c r="A29" s="4565"/>
      <c r="B29" s="4567"/>
      <c r="C29" s="4825"/>
      <c r="D29" s="4825"/>
      <c r="E29" s="4825" t="s">
        <v>228</v>
      </c>
      <c r="F29" s="4825"/>
      <c r="G29" s="369" t="s">
        <v>2612</v>
      </c>
      <c r="H29" s="369" t="s">
        <v>2612</v>
      </c>
      <c r="I29" s="2926">
        <f>CEILING(('Декоры база'!BW124-'Декоры база'!BW123)*(1+скидки_наценки!$B$32)*скидки_наценки!$D$13*скидки_наценки!$F$13/скидки_наценки!$B$4, 50)</f>
        <v>700</v>
      </c>
      <c r="J29" s="2926">
        <f>CEILING(('Декоры база'!BY124-'Декоры база'!BY123)*(1+скидки_наценки!$B$32)*скидки_наценки!$D$13*скидки_наценки!$F$13/скидки_наценки!$B$4, 50)</f>
        <v>400</v>
      </c>
      <c r="K29" s="369" t="s">
        <v>2612</v>
      </c>
      <c r="N29" s="614"/>
      <c r="O29" s="614"/>
      <c r="P29" s="614"/>
      <c r="Q29" s="614"/>
      <c r="R29" s="614"/>
      <c r="S29" s="614"/>
      <c r="T29" s="614"/>
      <c r="U29" s="614"/>
      <c r="V29" s="614"/>
      <c r="W29" s="614"/>
      <c r="X29" s="614"/>
      <c r="Y29" s="614"/>
      <c r="Z29" s="614"/>
      <c r="AA29" s="614"/>
      <c r="AB29" s="614"/>
      <c r="AC29" s="614"/>
      <c r="AD29" s="614"/>
      <c r="AE29" s="614"/>
      <c r="AF29" s="614"/>
      <c r="AG29" s="614"/>
      <c r="AH29" s="614"/>
      <c r="AI29" s="614"/>
      <c r="AJ29" s="614"/>
      <c r="AK29" s="614"/>
      <c r="AL29" s="614"/>
      <c r="AM29" s="614"/>
      <c r="AN29" s="614"/>
      <c r="AO29" s="614"/>
    </row>
    <row r="30" spans="1:41" s="64" customFormat="1" ht="15" customHeight="1">
      <c r="A30" s="4565"/>
      <c r="B30" s="4567"/>
      <c r="C30" s="4826" t="s">
        <v>79</v>
      </c>
      <c r="D30" s="4826"/>
      <c r="E30" s="4824" t="s">
        <v>227</v>
      </c>
      <c r="F30" s="4824"/>
      <c r="G30" s="368" t="s">
        <v>2612</v>
      </c>
      <c r="H30" s="368" t="s">
        <v>2435</v>
      </c>
      <c r="I30" s="2901"/>
      <c r="J30" s="2901"/>
      <c r="K30" s="368" t="s">
        <v>2435</v>
      </c>
      <c r="N30" s="614"/>
      <c r="O30" s="614"/>
      <c r="P30" s="614"/>
      <c r="Q30" s="614"/>
      <c r="R30" s="614"/>
      <c r="S30" s="614"/>
      <c r="T30" s="614"/>
      <c r="U30" s="614"/>
      <c r="V30" s="614"/>
      <c r="W30" s="614"/>
      <c r="X30" s="614"/>
      <c r="Y30" s="614"/>
      <c r="Z30" s="614"/>
      <c r="AA30" s="614"/>
      <c r="AB30" s="614"/>
      <c r="AC30" s="614"/>
      <c r="AD30" s="614"/>
      <c r="AE30" s="614"/>
      <c r="AF30" s="614"/>
      <c r="AG30" s="614"/>
      <c r="AH30" s="614"/>
      <c r="AI30" s="614"/>
      <c r="AJ30" s="614"/>
      <c r="AK30" s="614"/>
      <c r="AL30" s="614"/>
      <c r="AM30" s="614"/>
      <c r="AN30" s="614"/>
      <c r="AO30" s="614"/>
    </row>
    <row r="31" spans="1:41" s="64" customFormat="1" ht="15" customHeight="1">
      <c r="A31" s="4565"/>
      <c r="B31" s="4567"/>
      <c r="C31" s="4826"/>
      <c r="D31" s="4826"/>
      <c r="E31" s="4824" t="s">
        <v>229</v>
      </c>
      <c r="F31" s="4824"/>
      <c r="G31" s="368" t="s">
        <v>2612</v>
      </c>
      <c r="H31" s="368">
        <f>CEILING(('стекло+зеркала_база'!W11-'стекло+зеркала_база'!V11)*(1+скидки_наценки!$B$32)*скидки_наценки!$D$13*скидки_наценки!$F$13/скидки_наценки!$B$4, 50)</f>
        <v>500</v>
      </c>
      <c r="I31" s="2901"/>
      <c r="J31" s="2901"/>
      <c r="K31" s="368">
        <f>CEILING(('стекло+зеркала_база'!W12-'стекло+зеркала_база'!V12)*(1+скидки_наценки!$B$32)*скидки_наценки!$D$13*скидки_наценки!$F$13/скидки_наценки!$B$4, 50)</f>
        <v>500</v>
      </c>
      <c r="N31" s="614"/>
      <c r="O31" s="614"/>
      <c r="P31" s="614"/>
      <c r="Q31" s="614"/>
      <c r="R31" s="614"/>
      <c r="S31" s="614"/>
      <c r="T31" s="614"/>
      <c r="U31" s="614"/>
      <c r="V31" s="614"/>
      <c r="W31" s="614"/>
      <c r="X31" s="614"/>
      <c r="Y31" s="614"/>
      <c r="Z31" s="614"/>
      <c r="AA31" s="614"/>
      <c r="AB31" s="614"/>
      <c r="AC31" s="614"/>
      <c r="AD31" s="614"/>
      <c r="AE31" s="614"/>
      <c r="AF31" s="614"/>
      <c r="AG31" s="614"/>
      <c r="AH31" s="614"/>
      <c r="AI31" s="614"/>
      <c r="AJ31" s="614"/>
      <c r="AK31" s="614"/>
      <c r="AL31" s="614"/>
      <c r="AM31" s="614"/>
      <c r="AN31" s="614"/>
      <c r="AO31" s="614"/>
    </row>
    <row r="32" spans="1:41" s="64" customFormat="1" ht="15" customHeight="1">
      <c r="A32" s="4438"/>
      <c r="B32" s="4439"/>
      <c r="C32" s="4826"/>
      <c r="D32" s="4826"/>
      <c r="E32" s="4824" t="s">
        <v>230</v>
      </c>
      <c r="F32" s="4824"/>
      <c r="G32" s="368" t="s">
        <v>2612</v>
      </c>
      <c r="H32" s="368">
        <f>CEILING(('стекло+зеркала_база'!W11-'стекло+зеркала_база'!V11)*(1+скидки_наценки!$B$32)*скидки_наценки!$D$13*скидки_наценки!$F$13/скидки_наценки!$B$4, 50)</f>
        <v>500</v>
      </c>
      <c r="I32" s="2901"/>
      <c r="J32" s="2901"/>
      <c r="K32" s="368">
        <f>CEILING(('стекло+зеркала_база'!W12-'стекло+зеркала_база'!V12)*(1+скидки_наценки!$B$32)*скидки_наценки!$D$13*скидки_наценки!$F$13/скидки_наценки!$B$4, 50)</f>
        <v>500</v>
      </c>
      <c r="N32" s="614"/>
      <c r="O32" s="614"/>
      <c r="P32" s="614"/>
      <c r="Q32" s="614"/>
      <c r="R32" s="614"/>
      <c r="S32" s="614"/>
      <c r="T32" s="614"/>
      <c r="U32" s="614"/>
      <c r="V32" s="614"/>
      <c r="W32" s="614"/>
      <c r="X32" s="614"/>
      <c r="Y32" s="614"/>
      <c r="Z32" s="614"/>
      <c r="AA32" s="614"/>
      <c r="AB32" s="614"/>
      <c r="AC32" s="614"/>
      <c r="AD32" s="614"/>
      <c r="AE32" s="614"/>
      <c r="AF32" s="614"/>
      <c r="AG32" s="614"/>
      <c r="AH32" s="614"/>
      <c r="AI32" s="614"/>
      <c r="AJ32" s="614"/>
      <c r="AK32" s="614"/>
      <c r="AL32" s="614"/>
      <c r="AM32" s="614"/>
      <c r="AN32" s="614"/>
      <c r="AO32" s="614"/>
    </row>
    <row r="33" spans="1:41" s="64" customFormat="1" ht="15" customHeight="1">
      <c r="A33" s="4819" t="s">
        <v>80</v>
      </c>
      <c r="B33" s="4820"/>
      <c r="C33" s="4820"/>
      <c r="D33" s="4820"/>
      <c r="E33" s="4820"/>
      <c r="F33" s="4821"/>
      <c r="G33" s="369" t="s">
        <v>2612</v>
      </c>
      <c r="H33" s="370">
        <f>CEILING(('стекло+зеркала_база'!W11-'стекло+зеркала_база'!V11)*(1+скидки_наценки!$B$32)*скидки_наценки!$D$13*скидки_наценки!$F$13/скидки_наценки!$B$4, 50)</f>
        <v>500</v>
      </c>
      <c r="I33" s="2925">
        <f>CEILING('стекло+зеркала_база'!AA13*(1+скидки_наценки!$B$32)*скидки_наценки!$D$13*скидки_наценки!$F$13/скидки_наценки!$B$4, 50)</f>
        <v>450</v>
      </c>
      <c r="J33" s="2900"/>
      <c r="K33" s="2925">
        <f>CEILING('стекло+зеркала_база'!AA12*(1+скидки_наценки!$B$32)*скидки_наценки!$D$13*скидки_наценки!$F$13/скидки_наценки!$B$4, 50)</f>
        <v>750</v>
      </c>
      <c r="N33" s="614"/>
      <c r="O33" s="614"/>
      <c r="P33" s="614"/>
      <c r="Q33" s="614"/>
      <c r="R33" s="614"/>
      <c r="S33" s="614"/>
      <c r="T33" s="614"/>
      <c r="U33" s="614"/>
      <c r="V33" s="614"/>
      <c r="W33" s="614"/>
      <c r="X33" s="614"/>
      <c r="Y33" s="614"/>
      <c r="Z33" s="614"/>
      <c r="AA33" s="614"/>
      <c r="AB33" s="614"/>
      <c r="AC33" s="614"/>
      <c r="AD33" s="614"/>
      <c r="AE33" s="614"/>
      <c r="AF33" s="614"/>
      <c r="AG33" s="614"/>
      <c r="AH33" s="614"/>
      <c r="AI33" s="614"/>
      <c r="AJ33" s="614"/>
      <c r="AK33" s="614"/>
      <c r="AL33" s="614"/>
      <c r="AM33" s="614"/>
      <c r="AN33" s="614"/>
      <c r="AO33" s="614"/>
    </row>
    <row r="34" spans="1:41" s="64" customFormat="1" ht="15" customHeight="1">
      <c r="A34" s="4819" t="s">
        <v>2881</v>
      </c>
      <c r="B34" s="4820"/>
      <c r="C34" s="4820"/>
      <c r="D34" s="4820"/>
      <c r="E34" s="4820"/>
      <c r="F34" s="4821"/>
      <c r="G34" s="369" t="s">
        <v>2612</v>
      </c>
      <c r="H34" s="2881">
        <f>H33*2</f>
        <v>1000</v>
      </c>
      <c r="I34" s="2883">
        <f>I33*2</f>
        <v>900</v>
      </c>
      <c r="J34" s="3276"/>
      <c r="K34" s="2883">
        <f>K33*2</f>
        <v>1500</v>
      </c>
      <c r="N34" s="614"/>
      <c r="O34" s="614"/>
      <c r="P34" s="614"/>
      <c r="Q34" s="614"/>
      <c r="R34" s="614"/>
      <c r="S34" s="614"/>
      <c r="T34" s="614"/>
      <c r="U34" s="614"/>
      <c r="V34" s="614"/>
      <c r="W34" s="614"/>
      <c r="X34" s="614"/>
      <c r="Y34" s="614"/>
      <c r="Z34" s="614"/>
      <c r="AA34" s="614"/>
      <c r="AB34" s="614"/>
      <c r="AC34" s="614"/>
      <c r="AD34" s="614"/>
      <c r="AE34" s="614"/>
      <c r="AF34" s="614"/>
      <c r="AG34" s="614"/>
      <c r="AH34" s="614"/>
      <c r="AI34" s="614"/>
      <c r="AJ34" s="614"/>
      <c r="AK34" s="614"/>
      <c r="AL34" s="614"/>
      <c r="AM34" s="614"/>
      <c r="AN34" s="614"/>
      <c r="AO34" s="614"/>
    </row>
    <row r="35" spans="1:41" s="64" customFormat="1" ht="15" customHeight="1">
      <c r="A35" s="4819" t="s">
        <v>1352</v>
      </c>
      <c r="B35" s="4820"/>
      <c r="C35" s="4820"/>
      <c r="D35" s="4820"/>
      <c r="E35" s="4820"/>
      <c r="F35" s="4821"/>
      <c r="G35" s="369" t="s">
        <v>2612</v>
      </c>
      <c r="H35" s="2925">
        <f>CEILING('Декоры база'!BT96*(1+скидки_наценки!$B$32)*скидки_наценки!$D$13*скидки_наценки!$F$13/скидки_наценки!$B$4, 50)</f>
        <v>2000</v>
      </c>
      <c r="I35" s="2900"/>
      <c r="J35" s="2900"/>
      <c r="K35" s="2900"/>
      <c r="N35" s="614"/>
      <c r="O35" s="614"/>
      <c r="P35" s="614"/>
      <c r="Q35" s="614"/>
      <c r="R35" s="614"/>
      <c r="S35" s="614"/>
      <c r="T35" s="614"/>
      <c r="U35" s="614"/>
      <c r="V35" s="614"/>
      <c r="W35" s="614"/>
      <c r="X35" s="614"/>
      <c r="Y35" s="614"/>
      <c r="Z35" s="614"/>
      <c r="AA35" s="614"/>
      <c r="AB35" s="614"/>
      <c r="AC35" s="614"/>
      <c r="AD35" s="614"/>
      <c r="AE35" s="614"/>
      <c r="AF35" s="614"/>
      <c r="AG35" s="614"/>
      <c r="AH35" s="614"/>
      <c r="AI35" s="614"/>
      <c r="AJ35" s="614"/>
      <c r="AK35" s="614"/>
      <c r="AL35" s="614"/>
      <c r="AM35" s="614"/>
      <c r="AN35" s="614"/>
      <c r="AO35" s="614"/>
    </row>
    <row r="36" spans="1:41" s="64" customFormat="1" ht="15" customHeight="1">
      <c r="A36" s="4819" t="s">
        <v>1356</v>
      </c>
      <c r="B36" s="4820"/>
      <c r="C36" s="4820"/>
      <c r="D36" s="4820"/>
      <c r="E36" s="4820"/>
      <c r="F36" s="4821"/>
      <c r="G36" s="369" t="s">
        <v>2612</v>
      </c>
      <c r="H36" s="2925"/>
      <c r="I36" s="2902"/>
      <c r="J36" s="2902"/>
      <c r="K36" s="2925">
        <f>CEILING('стекло+зеркала_база'!Y12*(1+скидки_наценки!$B$32)*скидки_наценки!$D$13*скидки_наценки!$F$13/скидки_наценки!$B$4, 50)</f>
        <v>2000</v>
      </c>
      <c r="N36" s="614"/>
      <c r="O36" s="614"/>
      <c r="P36" s="614"/>
      <c r="Q36" s="614"/>
      <c r="R36" s="614"/>
      <c r="S36" s="614"/>
      <c r="T36" s="614"/>
      <c r="U36" s="614"/>
      <c r="V36" s="614"/>
      <c r="W36" s="614"/>
      <c r="X36" s="614"/>
      <c r="Y36" s="614"/>
      <c r="Z36" s="614"/>
      <c r="AA36" s="614"/>
      <c r="AB36" s="614"/>
      <c r="AC36" s="614"/>
      <c r="AD36" s="614"/>
      <c r="AE36" s="614"/>
      <c r="AF36" s="614"/>
      <c r="AG36" s="614"/>
      <c r="AH36" s="614"/>
      <c r="AI36" s="614"/>
      <c r="AJ36" s="614"/>
      <c r="AK36" s="614"/>
      <c r="AL36" s="614"/>
      <c r="AM36" s="614"/>
      <c r="AN36" s="614"/>
      <c r="AO36" s="614"/>
    </row>
    <row r="37" spans="1:41" s="64" customFormat="1" ht="15" customHeight="1">
      <c r="A37" s="4819" t="s">
        <v>1357</v>
      </c>
      <c r="B37" s="4820"/>
      <c r="C37" s="4820"/>
      <c r="D37" s="4820"/>
      <c r="E37" s="4820"/>
      <c r="F37" s="4821"/>
      <c r="G37" s="369" t="s">
        <v>2612</v>
      </c>
      <c r="H37" s="2902"/>
      <c r="I37" s="2902"/>
      <c r="J37" s="2902"/>
      <c r="K37" s="2925">
        <f>CEILING(('стекло+зеркала_база'!Z12)*(1+скидки_наценки!$B$32)*скидки_наценки!$D$13*скидки_наценки!$F$13/скидки_наценки!$B$4, 50)</f>
        <v>3000</v>
      </c>
      <c r="N37" s="614"/>
      <c r="O37" s="614"/>
      <c r="P37" s="614"/>
      <c r="Q37" s="614"/>
      <c r="R37" s="614"/>
      <c r="S37" s="614"/>
      <c r="T37" s="614"/>
      <c r="U37" s="614"/>
      <c r="V37" s="614"/>
      <c r="W37" s="614"/>
      <c r="X37" s="614"/>
      <c r="Y37" s="614"/>
      <c r="Z37" s="614"/>
      <c r="AA37" s="614"/>
      <c r="AB37" s="614"/>
      <c r="AC37" s="614"/>
      <c r="AD37" s="614"/>
      <c r="AE37" s="614"/>
      <c r="AF37" s="614"/>
      <c r="AG37" s="614"/>
      <c r="AH37" s="614"/>
      <c r="AI37" s="614"/>
      <c r="AJ37" s="614"/>
      <c r="AK37" s="614"/>
      <c r="AL37" s="614"/>
      <c r="AM37" s="614"/>
      <c r="AN37" s="614"/>
      <c r="AO37" s="614"/>
    </row>
    <row r="38" spans="1:41" s="64" customFormat="1" ht="43.5" customHeight="1">
      <c r="A38" s="4719" t="s">
        <v>53</v>
      </c>
      <c r="B38" s="4822"/>
      <c r="C38" s="4822"/>
      <c r="D38" s="4822"/>
      <c r="E38" s="4822"/>
      <c r="F38" s="4720"/>
      <c r="G38" s="368"/>
      <c r="H38" s="2901"/>
      <c r="I38" s="2901"/>
      <c r="J38" s="2901"/>
      <c r="K38" s="2927">
        <f>CEILING('стекло+зеркала_база'!AB12*(1+скидки_наценки!$B$32)*скидки_наценки!$D$13*скидки_наценки!$F$13/скидки_наценки!$B$4, 50)</f>
        <v>10000</v>
      </c>
      <c r="N38" s="614"/>
      <c r="O38" s="614"/>
      <c r="P38" s="614"/>
      <c r="Q38" s="614"/>
      <c r="R38" s="614"/>
      <c r="S38" s="614"/>
      <c r="T38" s="614"/>
      <c r="U38" s="614"/>
      <c r="V38" s="614"/>
      <c r="W38" s="614"/>
      <c r="X38" s="614"/>
      <c r="Y38" s="614"/>
      <c r="Z38" s="614"/>
      <c r="AA38" s="614"/>
      <c r="AB38" s="614"/>
      <c r="AC38" s="614"/>
      <c r="AD38" s="614"/>
      <c r="AE38" s="614"/>
      <c r="AF38" s="614"/>
      <c r="AG38" s="614"/>
      <c r="AH38" s="614"/>
      <c r="AI38" s="614"/>
      <c r="AJ38" s="614"/>
      <c r="AK38" s="614"/>
      <c r="AL38" s="614"/>
      <c r="AM38" s="614"/>
      <c r="AN38" s="614"/>
      <c r="AO38" s="614"/>
    </row>
    <row r="39" spans="1:41" s="63" customFormat="1" ht="15" customHeight="1">
      <c r="A39" s="4331" t="s">
        <v>52</v>
      </c>
      <c r="B39" s="4332"/>
      <c r="C39" s="4332"/>
      <c r="D39" s="4332"/>
      <c r="E39" s="4332"/>
      <c r="F39" s="4332"/>
      <c r="G39" s="1081"/>
      <c r="H39" s="1081"/>
      <c r="I39" s="1081"/>
      <c r="J39" s="1081"/>
      <c r="K39" s="1081"/>
      <c r="N39" s="614"/>
      <c r="O39" s="614"/>
      <c r="P39" s="614"/>
      <c r="Q39" s="614"/>
      <c r="R39" s="614"/>
      <c r="S39" s="614"/>
      <c r="T39" s="614"/>
      <c r="U39" s="614"/>
      <c r="V39" s="614"/>
      <c r="W39" s="614"/>
      <c r="X39" s="614"/>
      <c r="Y39" s="614"/>
      <c r="Z39" s="614"/>
      <c r="AA39" s="614"/>
      <c r="AB39" s="614"/>
      <c r="AC39" s="614"/>
      <c r="AD39" s="614"/>
      <c r="AE39" s="614"/>
      <c r="AF39" s="614"/>
      <c r="AG39" s="614"/>
      <c r="AH39" s="614"/>
      <c r="AI39" s="614"/>
      <c r="AJ39" s="614"/>
      <c r="AK39" s="614"/>
      <c r="AL39" s="614"/>
      <c r="AM39" s="614"/>
      <c r="AN39" s="614"/>
      <c r="AO39" s="614"/>
    </row>
    <row r="40" spans="1:41" s="72" customFormat="1" ht="15" customHeight="1">
      <c r="A40" s="4562" t="s">
        <v>1353</v>
      </c>
      <c r="B40" s="4563"/>
      <c r="C40" s="4563"/>
      <c r="D40" s="4564"/>
      <c r="E40" s="4256" t="s">
        <v>1220</v>
      </c>
      <c r="F40" s="4257"/>
      <c r="G40" s="2896" t="s">
        <v>4</v>
      </c>
      <c r="H40" s="2896">
        <f>CEILING('Декоры база'!BT62*(1+скидки_наценки!$B$32)*скидки_наценки!$D$13*скидки_наценки!$F$13/скидки_наценки!$B$4, 50)</f>
        <v>2300</v>
      </c>
      <c r="I40" s="1067" t="s">
        <v>4</v>
      </c>
      <c r="J40" s="2896" t="s">
        <v>4</v>
      </c>
      <c r="K40" s="2896" t="s">
        <v>4</v>
      </c>
      <c r="N40" s="614"/>
      <c r="O40" s="614"/>
      <c r="P40" s="614"/>
      <c r="Q40" s="614"/>
      <c r="R40" s="614"/>
      <c r="S40" s="614"/>
      <c r="T40" s="614"/>
      <c r="U40" s="614"/>
      <c r="V40" s="614"/>
      <c r="W40" s="614"/>
      <c r="X40" s="614"/>
      <c r="Y40" s="614"/>
      <c r="Z40" s="614"/>
      <c r="AA40" s="614"/>
      <c r="AB40" s="614"/>
      <c r="AC40" s="614"/>
      <c r="AD40" s="614"/>
      <c r="AE40" s="614"/>
      <c r="AF40" s="614"/>
      <c r="AG40" s="614"/>
      <c r="AH40" s="614"/>
      <c r="AI40" s="614"/>
      <c r="AJ40" s="614"/>
      <c r="AK40" s="614"/>
      <c r="AL40" s="614"/>
      <c r="AM40" s="614"/>
      <c r="AN40" s="614"/>
      <c r="AO40" s="614"/>
    </row>
    <row r="41" spans="1:41" s="72" customFormat="1" ht="15" customHeight="1">
      <c r="A41" s="4438"/>
      <c r="B41" s="4606"/>
      <c r="C41" s="4606"/>
      <c r="D41" s="4439"/>
      <c r="E41" s="4416" t="s">
        <v>2692</v>
      </c>
      <c r="F41" s="4417"/>
      <c r="G41" s="2897" t="s">
        <v>4</v>
      </c>
      <c r="H41" s="2898">
        <f>CEILING('Декоры база'!BT63*(1+скидки_наценки!$B$32)*скидки_наценки!$D$13*скидки_наценки!$F$13/скидки_наценки!$B$4, 50)</f>
        <v>5000</v>
      </c>
      <c r="I41" s="2897" t="s">
        <v>4</v>
      </c>
      <c r="J41" s="2899" t="s">
        <v>4</v>
      </c>
      <c r="K41" s="2899" t="s">
        <v>4</v>
      </c>
      <c r="N41" s="614"/>
      <c r="O41" s="614"/>
      <c r="P41" s="614"/>
      <c r="Q41" s="614"/>
      <c r="R41" s="614"/>
      <c r="S41" s="614"/>
      <c r="T41" s="614"/>
      <c r="U41" s="614"/>
      <c r="V41" s="614"/>
      <c r="W41" s="614"/>
      <c r="X41" s="614"/>
      <c r="Y41" s="614"/>
      <c r="Z41" s="614"/>
      <c r="AA41" s="614"/>
      <c r="AB41" s="614"/>
      <c r="AC41" s="614"/>
      <c r="AD41" s="614"/>
      <c r="AE41" s="614"/>
      <c r="AF41" s="614"/>
      <c r="AG41" s="614"/>
      <c r="AH41" s="614"/>
      <c r="AI41" s="614"/>
      <c r="AJ41" s="614"/>
      <c r="AK41" s="614"/>
      <c r="AL41" s="614"/>
      <c r="AM41" s="614"/>
      <c r="AN41" s="614"/>
      <c r="AO41" s="614"/>
    </row>
    <row r="42" spans="1:41" s="9" customFormat="1" ht="18" customHeight="1">
      <c r="A42" s="454"/>
      <c r="B42" s="137"/>
      <c r="C42" s="137"/>
      <c r="D42" s="137"/>
      <c r="E42" s="137"/>
      <c r="F42" s="384"/>
      <c r="G42" s="384"/>
      <c r="H42" s="384"/>
      <c r="I42" s="384"/>
      <c r="J42" s="384"/>
      <c r="K42" s="384"/>
      <c r="N42" s="614"/>
      <c r="O42" s="614"/>
      <c r="P42" s="614"/>
      <c r="Q42" s="614"/>
      <c r="R42" s="614"/>
      <c r="S42" s="614"/>
      <c r="T42" s="614"/>
      <c r="U42" s="614"/>
      <c r="V42" s="614"/>
      <c r="W42" s="614"/>
      <c r="X42" s="614"/>
      <c r="Y42" s="614"/>
      <c r="Z42" s="614"/>
      <c r="AA42" s="614"/>
      <c r="AB42" s="614"/>
      <c r="AC42" s="614"/>
      <c r="AD42" s="614"/>
      <c r="AE42" s="614"/>
      <c r="AF42" s="614"/>
      <c r="AG42" s="614"/>
      <c r="AH42" s="614"/>
      <c r="AI42" s="614"/>
      <c r="AJ42" s="614"/>
      <c r="AK42" s="614"/>
      <c r="AL42" s="614"/>
      <c r="AM42" s="614"/>
      <c r="AN42" s="614"/>
      <c r="AO42" s="614"/>
    </row>
    <row r="43" spans="1:41" s="9" customFormat="1" ht="31.5" customHeight="1">
      <c r="A43" s="137"/>
      <c r="B43" s="19" t="s">
        <v>46</v>
      </c>
      <c r="C43" s="137"/>
      <c r="D43" s="137"/>
      <c r="E43" s="137"/>
      <c r="F43" s="384"/>
      <c r="G43" s="384"/>
      <c r="H43" s="384"/>
      <c r="I43" s="384"/>
      <c r="J43" s="384"/>
      <c r="K43" s="384"/>
      <c r="N43" s="614"/>
      <c r="O43" s="614"/>
      <c r="P43" s="614"/>
      <c r="Q43" s="614"/>
      <c r="R43" s="614"/>
      <c r="S43" s="614"/>
      <c r="T43" s="614"/>
      <c r="U43" s="614"/>
      <c r="V43" s="614"/>
      <c r="W43" s="614"/>
      <c r="X43" s="614"/>
      <c r="Y43" s="614"/>
      <c r="Z43" s="614"/>
      <c r="AA43" s="614"/>
      <c r="AB43" s="614"/>
      <c r="AC43" s="614"/>
      <c r="AD43" s="614"/>
      <c r="AE43" s="614"/>
      <c r="AF43" s="614"/>
      <c r="AG43" s="614"/>
      <c r="AH43" s="614"/>
      <c r="AI43" s="614"/>
      <c r="AJ43" s="614"/>
      <c r="AK43" s="614"/>
      <c r="AL43" s="614"/>
      <c r="AM43" s="614"/>
      <c r="AN43" s="614"/>
      <c r="AO43" s="614"/>
    </row>
    <row r="44" spans="1:41" ht="18" customHeight="1">
      <c r="F44" s="137"/>
      <c r="G44" s="14"/>
      <c r="H44" s="1102" t="s">
        <v>127</v>
      </c>
      <c r="I44" s="24"/>
      <c r="J44" s="24"/>
      <c r="N44" s="614"/>
      <c r="O44" s="614"/>
      <c r="P44" s="614"/>
      <c r="Q44" s="614"/>
      <c r="R44" s="614"/>
      <c r="S44" s="614"/>
      <c r="T44" s="614"/>
      <c r="U44" s="614"/>
      <c r="V44" s="614"/>
      <c r="W44" s="614"/>
      <c r="X44" s="614"/>
      <c r="Y44" s="614"/>
      <c r="Z44" s="614"/>
      <c r="AA44" s="614"/>
      <c r="AB44" s="614"/>
      <c r="AC44" s="614"/>
      <c r="AD44" s="614"/>
      <c r="AE44" s="614"/>
      <c r="AF44" s="614"/>
      <c r="AG44" s="614"/>
      <c r="AH44" s="614"/>
      <c r="AI44" s="614"/>
      <c r="AJ44" s="614"/>
      <c r="AK44" s="614"/>
      <c r="AL44" s="614"/>
      <c r="AM44" s="614"/>
      <c r="AN44" s="614"/>
      <c r="AO44" s="614"/>
    </row>
    <row r="45" spans="1:41" ht="27" customHeight="1">
      <c r="A45" s="289"/>
      <c r="B45" s="289"/>
      <c r="C45" s="289"/>
      <c r="D45" s="289"/>
      <c r="E45" s="289"/>
      <c r="F45" s="289"/>
      <c r="G45" s="289"/>
      <c r="H45" s="4818" t="s">
        <v>3435</v>
      </c>
      <c r="I45" s="4818"/>
      <c r="J45" s="4818"/>
      <c r="K45" s="289"/>
      <c r="N45" s="614"/>
      <c r="O45" s="614"/>
      <c r="P45" s="614"/>
      <c r="Q45" s="614"/>
      <c r="R45" s="614"/>
      <c r="S45" s="614"/>
      <c r="T45" s="614"/>
      <c r="U45" s="614"/>
      <c r="V45" s="614"/>
      <c r="W45" s="614"/>
      <c r="X45" s="614"/>
      <c r="Y45" s="614"/>
      <c r="Z45" s="614"/>
      <c r="AA45" s="614"/>
      <c r="AB45" s="614"/>
      <c r="AC45" s="614"/>
      <c r="AD45" s="614"/>
      <c r="AE45" s="614"/>
      <c r="AF45" s="614"/>
      <c r="AG45" s="614"/>
      <c r="AH45" s="614"/>
      <c r="AI45" s="614"/>
      <c r="AJ45" s="614"/>
      <c r="AK45" s="614"/>
      <c r="AL45" s="614"/>
      <c r="AM45" s="614"/>
      <c r="AN45" s="614"/>
      <c r="AO45" s="614"/>
    </row>
    <row r="46" spans="1:41" ht="27" customHeight="1">
      <c r="A46" s="289"/>
      <c r="B46" s="289"/>
      <c r="C46" s="289"/>
      <c r="D46" s="289"/>
      <c r="E46" s="289"/>
      <c r="F46" s="289"/>
      <c r="G46" s="289"/>
      <c r="H46" s="4818"/>
      <c r="I46" s="4818"/>
      <c r="J46" s="4818"/>
      <c r="K46" s="289"/>
      <c r="N46" s="614"/>
      <c r="O46" s="614"/>
      <c r="P46" s="614"/>
      <c r="Q46" s="614"/>
      <c r="R46" s="614"/>
      <c r="S46" s="614"/>
      <c r="T46" s="614"/>
      <c r="U46" s="614"/>
      <c r="V46" s="614"/>
      <c r="W46" s="614"/>
      <c r="X46" s="614"/>
      <c r="Y46" s="614"/>
      <c r="Z46" s="614"/>
      <c r="AA46" s="614"/>
      <c r="AB46" s="614"/>
      <c r="AC46" s="614"/>
      <c r="AD46" s="614"/>
      <c r="AE46" s="614"/>
      <c r="AF46" s="614"/>
      <c r="AG46" s="614"/>
      <c r="AH46" s="614"/>
      <c r="AI46" s="614"/>
      <c r="AJ46" s="614"/>
      <c r="AK46" s="614"/>
      <c r="AL46" s="614"/>
      <c r="AM46" s="614"/>
      <c r="AN46" s="614"/>
      <c r="AO46" s="614"/>
    </row>
    <row r="47" spans="1:41" ht="18" customHeight="1">
      <c r="B47" s="289"/>
      <c r="C47" s="289"/>
      <c r="D47" s="289"/>
      <c r="F47" s="137"/>
      <c r="H47" s="4818"/>
      <c r="I47" s="4818"/>
      <c r="J47" s="4818"/>
      <c r="N47" s="614"/>
      <c r="O47" s="614"/>
      <c r="P47" s="614"/>
      <c r="Q47" s="614"/>
      <c r="R47" s="614"/>
      <c r="S47" s="614"/>
      <c r="T47" s="614"/>
      <c r="U47" s="614"/>
      <c r="V47" s="614"/>
      <c r="W47" s="614"/>
      <c r="X47" s="614"/>
      <c r="Y47" s="614"/>
      <c r="Z47" s="614"/>
      <c r="AA47" s="614"/>
      <c r="AB47" s="614"/>
      <c r="AC47" s="614"/>
      <c r="AD47" s="614"/>
      <c r="AE47" s="614"/>
      <c r="AF47" s="614"/>
      <c r="AG47" s="614"/>
      <c r="AH47" s="614"/>
      <c r="AI47" s="614"/>
      <c r="AJ47" s="614"/>
      <c r="AK47" s="614"/>
      <c r="AL47" s="614"/>
      <c r="AM47" s="614"/>
      <c r="AN47" s="614"/>
      <c r="AO47" s="614"/>
    </row>
    <row r="48" spans="1:41" ht="15" customHeight="1">
      <c r="A48" s="28"/>
      <c r="B48" s="289"/>
      <c r="C48" s="289"/>
      <c r="D48" s="289"/>
      <c r="E48" s="19"/>
      <c r="F48" s="53"/>
      <c r="G48" s="53"/>
      <c r="H48" s="4818"/>
      <c r="I48" s="4818"/>
      <c r="J48" s="4818"/>
      <c r="N48" s="614"/>
      <c r="O48" s="614"/>
      <c r="P48" s="614"/>
      <c r="Q48" s="614"/>
      <c r="R48" s="614"/>
      <c r="S48" s="614"/>
      <c r="T48" s="614"/>
      <c r="U48" s="614"/>
      <c r="V48" s="614"/>
      <c r="W48" s="614"/>
      <c r="X48" s="614"/>
      <c r="Y48" s="614"/>
      <c r="Z48" s="614"/>
      <c r="AA48" s="614"/>
      <c r="AB48" s="614"/>
      <c r="AC48" s="614"/>
      <c r="AD48" s="614"/>
      <c r="AE48" s="614"/>
      <c r="AF48" s="614"/>
      <c r="AG48" s="614"/>
      <c r="AH48" s="614"/>
      <c r="AI48" s="614"/>
      <c r="AJ48" s="614"/>
      <c r="AK48" s="614"/>
      <c r="AL48" s="614"/>
      <c r="AM48" s="614"/>
      <c r="AN48" s="614"/>
      <c r="AO48" s="614"/>
    </row>
    <row r="49" spans="2:41" s="24" customFormat="1" ht="12" customHeight="1">
      <c r="B49" s="289"/>
      <c r="C49" s="289"/>
      <c r="D49" s="289"/>
      <c r="E49" s="192"/>
      <c r="F49" s="20"/>
      <c r="G49" s="193"/>
      <c r="H49" s="4818"/>
      <c r="I49" s="4818"/>
      <c r="J49" s="4818"/>
      <c r="K49" s="137"/>
      <c r="N49" s="614"/>
      <c r="O49" s="614"/>
      <c r="P49" s="614"/>
      <c r="Q49" s="614"/>
      <c r="R49" s="614"/>
      <c r="S49" s="614"/>
      <c r="T49" s="614"/>
      <c r="U49" s="614"/>
      <c r="V49" s="614"/>
      <c r="W49" s="614"/>
      <c r="X49" s="614"/>
      <c r="Y49" s="614"/>
      <c r="Z49" s="614"/>
      <c r="AA49" s="614"/>
      <c r="AB49" s="614"/>
      <c r="AC49" s="614"/>
      <c r="AD49" s="614"/>
      <c r="AE49" s="614"/>
      <c r="AF49" s="614"/>
      <c r="AG49" s="614"/>
      <c r="AH49" s="614"/>
      <c r="AI49" s="614"/>
      <c r="AJ49" s="614"/>
      <c r="AK49" s="614"/>
      <c r="AL49" s="614"/>
      <c r="AM49" s="614"/>
      <c r="AN49" s="614"/>
      <c r="AO49" s="614"/>
    </row>
    <row r="50" spans="2:41" s="24" customFormat="1" ht="16.5" customHeight="1">
      <c r="B50" s="289"/>
      <c r="C50" s="289"/>
      <c r="D50" s="289"/>
      <c r="E50" s="199"/>
      <c r="F50" s="20"/>
      <c r="G50" s="199"/>
      <c r="H50" s="3986" t="s">
        <v>3436</v>
      </c>
      <c r="N50" s="614"/>
      <c r="O50" s="614"/>
      <c r="P50" s="614"/>
      <c r="Q50" s="614"/>
      <c r="R50" s="614"/>
      <c r="S50" s="614"/>
      <c r="T50" s="614"/>
      <c r="U50" s="614"/>
      <c r="V50" s="614"/>
      <c r="W50" s="614"/>
      <c r="X50" s="614"/>
      <c r="Y50" s="614"/>
      <c r="Z50" s="614"/>
      <c r="AA50" s="614"/>
      <c r="AB50" s="614"/>
      <c r="AC50" s="614"/>
      <c r="AD50" s="614"/>
      <c r="AE50" s="614"/>
      <c r="AF50" s="614"/>
      <c r="AG50" s="614"/>
      <c r="AH50" s="614"/>
      <c r="AI50" s="614"/>
      <c r="AJ50" s="614"/>
      <c r="AK50" s="614"/>
      <c r="AL50" s="614"/>
      <c r="AM50" s="614"/>
      <c r="AN50" s="614"/>
      <c r="AO50" s="614"/>
    </row>
    <row r="51" spans="2:41" s="24" customFormat="1" ht="12" customHeight="1">
      <c r="B51" s="289"/>
      <c r="C51" s="289"/>
      <c r="D51" s="289"/>
      <c r="E51" s="199"/>
      <c r="F51" s="20"/>
      <c r="G51" s="199"/>
      <c r="H51" s="194"/>
      <c r="N51" s="614"/>
      <c r="O51" s="614"/>
      <c r="P51" s="614"/>
      <c r="Q51" s="614"/>
      <c r="R51" s="614"/>
      <c r="S51" s="614"/>
      <c r="T51" s="614"/>
      <c r="U51" s="614"/>
      <c r="V51" s="614"/>
      <c r="W51" s="614"/>
      <c r="X51" s="614"/>
      <c r="Y51" s="614"/>
      <c r="Z51" s="614"/>
      <c r="AA51" s="614"/>
      <c r="AB51" s="614"/>
      <c r="AC51" s="614"/>
      <c r="AD51" s="614"/>
      <c r="AE51" s="614"/>
      <c r="AF51" s="614"/>
      <c r="AG51" s="614"/>
      <c r="AH51" s="614"/>
      <c r="AI51" s="614"/>
      <c r="AJ51" s="614"/>
      <c r="AK51" s="614"/>
      <c r="AL51" s="614"/>
      <c r="AM51" s="614"/>
      <c r="AN51" s="614"/>
      <c r="AO51" s="614"/>
    </row>
    <row r="52" spans="2:41" s="24" customFormat="1" ht="12" customHeight="1">
      <c r="B52" s="289"/>
      <c r="C52" s="289"/>
      <c r="D52" s="289"/>
      <c r="E52" s="199"/>
      <c r="F52" s="20"/>
      <c r="G52" s="199"/>
      <c r="H52" s="196"/>
      <c r="I52" s="65"/>
      <c r="J52" s="65"/>
      <c r="K52" s="65"/>
      <c r="N52" s="614"/>
      <c r="O52" s="614"/>
      <c r="P52" s="614"/>
      <c r="Q52" s="614"/>
      <c r="R52" s="614"/>
      <c r="S52" s="614"/>
      <c r="T52" s="614"/>
      <c r="U52" s="614"/>
      <c r="V52" s="614"/>
      <c r="W52" s="614"/>
      <c r="X52" s="614"/>
      <c r="Y52" s="614"/>
      <c r="Z52" s="614"/>
      <c r="AA52" s="614"/>
      <c r="AB52" s="614"/>
      <c r="AC52" s="614"/>
      <c r="AD52" s="614"/>
      <c r="AE52" s="614"/>
      <c r="AF52" s="614"/>
      <c r="AG52" s="614"/>
      <c r="AH52" s="614"/>
      <c r="AI52" s="614"/>
      <c r="AJ52" s="614"/>
      <c r="AK52" s="614"/>
      <c r="AL52" s="614"/>
      <c r="AM52" s="614"/>
      <c r="AN52" s="614"/>
      <c r="AO52" s="614"/>
    </row>
    <row r="53" spans="2:41" s="24" customFormat="1" ht="12" customHeight="1">
      <c r="B53" s="289"/>
      <c r="C53" s="289"/>
      <c r="D53" s="289"/>
      <c r="E53" s="199"/>
      <c r="F53" s="20"/>
      <c r="G53" s="199"/>
      <c r="H53" s="192"/>
      <c r="N53" s="614"/>
      <c r="O53" s="614"/>
      <c r="P53" s="614"/>
      <c r="Q53" s="614"/>
      <c r="R53" s="614"/>
      <c r="S53" s="614"/>
      <c r="T53" s="614"/>
      <c r="U53" s="614"/>
      <c r="V53" s="614"/>
      <c r="W53" s="614"/>
      <c r="X53" s="614"/>
      <c r="Y53" s="614"/>
      <c r="Z53" s="614"/>
      <c r="AA53" s="614"/>
      <c r="AB53" s="614"/>
      <c r="AC53" s="614"/>
      <c r="AD53" s="614"/>
      <c r="AE53" s="614"/>
      <c r="AF53" s="614"/>
      <c r="AG53" s="614"/>
      <c r="AH53" s="614"/>
      <c r="AI53" s="614"/>
      <c r="AJ53" s="614"/>
      <c r="AK53" s="614"/>
      <c r="AL53" s="614"/>
      <c r="AM53" s="614"/>
      <c r="AN53" s="614"/>
      <c r="AO53" s="614"/>
    </row>
    <row r="54" spans="2:41" s="24" customFormat="1" ht="12" customHeight="1">
      <c r="B54" s="289"/>
      <c r="C54" s="289"/>
      <c r="D54" s="289"/>
      <c r="E54" s="199"/>
      <c r="F54" s="20"/>
      <c r="G54" s="199"/>
      <c r="H54" s="192"/>
      <c r="N54" s="614"/>
      <c r="O54" s="614"/>
      <c r="P54" s="614"/>
      <c r="Q54" s="614"/>
      <c r="R54" s="614"/>
      <c r="S54" s="614"/>
      <c r="T54" s="614"/>
      <c r="U54" s="614"/>
      <c r="V54" s="614"/>
      <c r="W54" s="614"/>
      <c r="X54" s="614"/>
      <c r="Y54" s="614"/>
      <c r="Z54" s="614"/>
      <c r="AA54" s="614"/>
      <c r="AB54" s="614"/>
      <c r="AC54" s="614"/>
      <c r="AD54" s="614"/>
      <c r="AE54" s="614"/>
      <c r="AF54" s="614"/>
      <c r="AG54" s="614"/>
      <c r="AH54" s="614"/>
      <c r="AI54" s="614"/>
      <c r="AJ54" s="614"/>
      <c r="AK54" s="614"/>
      <c r="AL54" s="614"/>
      <c r="AM54" s="614"/>
      <c r="AN54" s="614"/>
      <c r="AO54" s="614"/>
    </row>
    <row r="55" spans="2:41" s="24" customFormat="1" ht="12" customHeight="1">
      <c r="B55" s="196"/>
      <c r="C55" s="199"/>
      <c r="D55" s="199"/>
      <c r="E55" s="199"/>
      <c r="F55" s="20"/>
      <c r="G55" s="199"/>
      <c r="H55" s="192"/>
      <c r="N55" s="614"/>
      <c r="O55" s="614"/>
      <c r="P55" s="614"/>
      <c r="Q55" s="614"/>
      <c r="R55" s="614"/>
      <c r="S55" s="614"/>
      <c r="T55" s="614"/>
      <c r="U55" s="614"/>
      <c r="V55" s="614"/>
      <c r="W55" s="614"/>
      <c r="X55" s="614"/>
      <c r="Y55" s="614"/>
      <c r="Z55" s="614"/>
      <c r="AA55" s="614"/>
      <c r="AB55" s="614"/>
      <c r="AC55" s="614"/>
      <c r="AD55" s="614"/>
      <c r="AE55" s="614"/>
      <c r="AF55" s="614"/>
      <c r="AG55" s="614"/>
      <c r="AH55" s="614"/>
      <c r="AI55" s="614"/>
      <c r="AJ55" s="614"/>
      <c r="AK55" s="614"/>
      <c r="AL55" s="614"/>
      <c r="AM55" s="614"/>
      <c r="AN55" s="614"/>
      <c r="AO55" s="614"/>
    </row>
    <row r="56" spans="2:41" s="24" customFormat="1" ht="18" customHeight="1">
      <c r="B56" s="196"/>
      <c r="C56" s="52"/>
      <c r="D56" s="52"/>
      <c r="E56" s="52"/>
      <c r="G56" s="52"/>
      <c r="H56" s="43"/>
      <c r="I56" s="65"/>
      <c r="J56" s="65"/>
      <c r="K56" s="65"/>
      <c r="N56" s="614"/>
      <c r="O56" s="614"/>
      <c r="P56" s="614"/>
      <c r="Q56" s="614"/>
      <c r="R56" s="614"/>
      <c r="S56" s="614"/>
      <c r="T56" s="614"/>
      <c r="U56" s="614"/>
      <c r="V56" s="614"/>
      <c r="W56" s="614"/>
      <c r="X56" s="614"/>
      <c r="Y56" s="614"/>
      <c r="Z56" s="614"/>
      <c r="AA56" s="614"/>
      <c r="AB56" s="614"/>
      <c r="AC56" s="614"/>
      <c r="AD56" s="614"/>
      <c r="AE56" s="614"/>
      <c r="AF56" s="614"/>
      <c r="AG56" s="614"/>
      <c r="AH56" s="614"/>
      <c r="AI56" s="614"/>
      <c r="AJ56" s="614"/>
      <c r="AK56" s="614"/>
      <c r="AL56" s="614"/>
      <c r="AM56" s="614"/>
      <c r="AN56" s="614"/>
      <c r="AO56" s="614"/>
    </row>
    <row r="57" spans="2:41" s="24" customFormat="1" ht="18" customHeight="1">
      <c r="B57" s="196"/>
      <c r="C57" s="52"/>
      <c r="D57" s="52"/>
      <c r="E57" s="52"/>
      <c r="G57" s="52"/>
      <c r="H57" s="43"/>
      <c r="I57" s="65"/>
      <c r="J57" s="65"/>
      <c r="K57" s="65"/>
      <c r="N57" s="614"/>
      <c r="O57" s="614"/>
      <c r="P57" s="614"/>
      <c r="Q57" s="614"/>
      <c r="R57" s="614"/>
      <c r="S57" s="614"/>
      <c r="T57" s="614"/>
      <c r="U57" s="614"/>
      <c r="V57" s="614"/>
      <c r="W57" s="614"/>
      <c r="X57" s="614"/>
      <c r="Y57" s="614"/>
      <c r="Z57" s="614"/>
      <c r="AA57" s="614"/>
      <c r="AB57" s="614"/>
      <c r="AC57" s="614"/>
      <c r="AD57" s="614"/>
      <c r="AE57" s="614"/>
      <c r="AF57" s="614"/>
      <c r="AG57" s="614"/>
      <c r="AH57" s="614"/>
      <c r="AI57" s="614"/>
      <c r="AJ57" s="614"/>
      <c r="AK57" s="614"/>
      <c r="AL57" s="614"/>
      <c r="AM57" s="614"/>
      <c r="AN57" s="614"/>
      <c r="AO57" s="614"/>
    </row>
    <row r="58" spans="2:41" s="24" customFormat="1" ht="18" customHeight="1">
      <c r="B58" s="196"/>
      <c r="C58" s="52"/>
      <c r="D58" s="52"/>
      <c r="E58" s="52"/>
      <c r="G58" s="52"/>
      <c r="H58" s="43"/>
      <c r="I58" s="65"/>
      <c r="J58" s="65"/>
      <c r="K58" s="65"/>
      <c r="N58" s="614"/>
      <c r="O58" s="614"/>
      <c r="P58" s="614"/>
      <c r="Q58" s="614"/>
      <c r="R58" s="614"/>
      <c r="S58" s="614"/>
      <c r="T58" s="614"/>
      <c r="U58" s="614"/>
      <c r="V58" s="614"/>
      <c r="W58" s="614"/>
      <c r="X58" s="614"/>
      <c r="Y58" s="614"/>
      <c r="Z58" s="614"/>
      <c r="AA58" s="614"/>
      <c r="AB58" s="614"/>
      <c r="AC58" s="614"/>
      <c r="AD58" s="614"/>
      <c r="AE58" s="614"/>
      <c r="AF58" s="614"/>
      <c r="AG58" s="614"/>
      <c r="AH58" s="614"/>
      <c r="AI58" s="614"/>
      <c r="AJ58" s="614"/>
      <c r="AK58" s="614"/>
      <c r="AL58" s="614"/>
      <c r="AM58" s="614"/>
      <c r="AN58" s="614"/>
      <c r="AO58" s="614"/>
    </row>
    <row r="59" spans="2:41" ht="17.25" customHeight="1"/>
    <row r="60" spans="2:41" ht="17.25" customHeight="1"/>
    <row r="64" spans="2:41" ht="32.25" customHeight="1"/>
    <row r="70" ht="15" customHeight="1"/>
  </sheetData>
  <mergeCells count="49">
    <mergeCell ref="A28:B32"/>
    <mergeCell ref="A33:F33"/>
    <mergeCell ref="A25:F26"/>
    <mergeCell ref="C30:D32"/>
    <mergeCell ref="E30:F30"/>
    <mergeCell ref="C28:D29"/>
    <mergeCell ref="E28:F28"/>
    <mergeCell ref="B3:E3"/>
    <mergeCell ref="B19:C19"/>
    <mergeCell ref="B13:C13"/>
    <mergeCell ref="B14:C15"/>
    <mergeCell ref="B11:C12"/>
    <mergeCell ref="G5:G6"/>
    <mergeCell ref="G25:G26"/>
    <mergeCell ref="B16:C16"/>
    <mergeCell ref="F5:F6"/>
    <mergeCell ref="E16:E18"/>
    <mergeCell ref="E41:F41"/>
    <mergeCell ref="A5:C6"/>
    <mergeCell ref="D5:D6"/>
    <mergeCell ref="E5:E6"/>
    <mergeCell ref="D10:D12"/>
    <mergeCell ref="E10:E12"/>
    <mergeCell ref="D13:D15"/>
    <mergeCell ref="E13:E15"/>
    <mergeCell ref="A27:F27"/>
    <mergeCell ref="D19:D21"/>
    <mergeCell ref="E32:F32"/>
    <mergeCell ref="E31:F31"/>
    <mergeCell ref="E29:F29"/>
    <mergeCell ref="B10:C10"/>
    <mergeCell ref="D16:D18"/>
    <mergeCell ref="A34:F34"/>
    <mergeCell ref="H45:J49"/>
    <mergeCell ref="A7:A9"/>
    <mergeCell ref="D7:D9"/>
    <mergeCell ref="E7:E9"/>
    <mergeCell ref="A36:F36"/>
    <mergeCell ref="A39:F39"/>
    <mergeCell ref="A35:F35"/>
    <mergeCell ref="A37:F37"/>
    <mergeCell ref="A38:F38"/>
    <mergeCell ref="B7:C7"/>
    <mergeCell ref="B8:C9"/>
    <mergeCell ref="B20:C21"/>
    <mergeCell ref="E19:E21"/>
    <mergeCell ref="A10:A21"/>
    <mergeCell ref="A40:D41"/>
    <mergeCell ref="E40:F40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5" firstPageNumber="28" orientation="landscape" useFirstPageNumber="1" r:id="rId1"/>
  <headerFooter>
    <oddFooter>&amp;L&amp;P&amp;R&amp;G</oddFooter>
  </headerFooter>
  <rowBreaks count="1" manualBreakCount="1">
    <brk id="23" max="10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F0"/>
  </sheetPr>
  <dimension ref="A1:AC35"/>
  <sheetViews>
    <sheetView topLeftCell="AC1" zoomScale="90" zoomScaleNormal="90" workbookViewId="0">
      <selection activeCell="L36" sqref="L36"/>
    </sheetView>
  </sheetViews>
  <sheetFormatPr defaultColWidth="9.140625" defaultRowHeight="15" outlineLevelRow="1" outlineLevelCol="2"/>
  <cols>
    <col min="1" max="1" width="9.140625" style="589" hidden="1" customWidth="1" outlineLevel="1"/>
    <col min="2" max="2" width="13.7109375" style="589" hidden="1" customWidth="1" outlineLevel="1"/>
    <col min="3" max="3" width="10.28515625" style="1232" hidden="1" customWidth="1" outlineLevel="2"/>
    <col min="4" max="4" width="6.7109375" style="1233" hidden="1" customWidth="1" outlineLevel="2"/>
    <col min="5" max="5" width="10.28515625" style="1250" hidden="1" customWidth="1" outlineLevel="1"/>
    <col min="6" max="6" width="13.28515625" style="589" hidden="1" customWidth="1" outlineLevel="1"/>
    <col min="7" max="7" width="13.28515625" style="589" hidden="1" customWidth="1" outlineLevel="2"/>
    <col min="8" max="8" width="10" style="1232" hidden="1" customWidth="1" outlineLevel="2"/>
    <col min="9" max="9" width="9.5703125" style="1232" hidden="1" customWidth="1" outlineLevel="1"/>
    <col min="10" max="10" width="14.7109375" style="589" hidden="1" customWidth="1" outlineLevel="1"/>
    <col min="11" max="11" width="14.7109375" style="589" hidden="1" customWidth="1" outlineLevel="2"/>
    <col min="12" max="12" width="10" style="1232" hidden="1" customWidth="1" outlineLevel="2"/>
    <col min="13" max="13" width="9.5703125" style="1232" hidden="1" customWidth="1" outlineLevel="1"/>
    <col min="14" max="14" width="9.140625" style="589" hidden="1" customWidth="1" outlineLevel="1"/>
    <col min="15" max="15" width="9.140625" style="589" hidden="1" customWidth="1" outlineLevel="2"/>
    <col min="16" max="17" width="10" style="1232" hidden="1" customWidth="1" outlineLevel="2"/>
    <col min="18" max="18" width="9.140625" style="589" hidden="1" customWidth="1" outlineLevel="1"/>
    <col min="19" max="19" width="9.140625" style="589" hidden="1" customWidth="1" outlineLevel="2"/>
    <col min="20" max="21" width="9.5703125" style="1232" hidden="1" customWidth="1" outlineLevel="2"/>
    <col min="22" max="22" width="9.140625" style="589" hidden="1" customWidth="1" outlineLevel="1"/>
    <col min="23" max="25" width="9.140625" style="589" hidden="1" customWidth="1" outlineLevel="2"/>
    <col min="26" max="26" width="9.5703125" style="589" hidden="1" customWidth="1" outlineLevel="1"/>
    <col min="27" max="28" width="9.140625" style="589" hidden="1" customWidth="1" outlineLevel="1"/>
    <col min="29" max="29" width="9.140625" style="589" collapsed="1"/>
    <col min="30" max="16384" width="9.140625" style="589"/>
  </cols>
  <sheetData>
    <row r="1" spans="1:26">
      <c r="B1" s="22" t="s">
        <v>236</v>
      </c>
    </row>
    <row r="2" spans="1:26" s="1234" customFormat="1" ht="12.75" hidden="1" outlineLevel="1">
      <c r="B2" s="4045" t="s">
        <v>1610</v>
      </c>
      <c r="C2" s="4046"/>
      <c r="D2" s="4046"/>
      <c r="E2" s="4046"/>
      <c r="F2" s="1235" t="s">
        <v>1611</v>
      </c>
      <c r="G2" s="1236">
        <v>0.33</v>
      </c>
      <c r="H2" s="1237"/>
      <c r="I2" s="1238"/>
      <c r="J2" s="1235" t="s">
        <v>1612</v>
      </c>
      <c r="K2" s="1236">
        <v>0.32</v>
      </c>
      <c r="L2" s="1237"/>
      <c r="M2" s="1238"/>
      <c r="N2" s="1235" t="s">
        <v>1613</v>
      </c>
      <c r="O2" s="1236">
        <v>0.41</v>
      </c>
      <c r="P2" s="1237"/>
      <c r="Q2" s="1237"/>
      <c r="R2" s="1235" t="s">
        <v>1614</v>
      </c>
      <c r="S2" s="1236">
        <v>0.4</v>
      </c>
      <c r="T2" s="1237"/>
      <c r="U2" s="1238"/>
      <c r="V2" s="1235" t="s">
        <v>1615</v>
      </c>
      <c r="W2" s="1236">
        <v>0.4</v>
      </c>
      <c r="X2" s="1237"/>
      <c r="Y2" s="1238"/>
      <c r="Z2" s="1239"/>
    </row>
    <row r="3" spans="1:26" s="39" customFormat="1" ht="24" hidden="1" outlineLevel="1">
      <c r="B3" s="1240" t="s">
        <v>1616</v>
      </c>
      <c r="C3" s="1240" t="s">
        <v>1226</v>
      </c>
      <c r="D3" s="1241" t="s">
        <v>1617</v>
      </c>
      <c r="E3" s="1242" t="s">
        <v>1618</v>
      </c>
      <c r="F3" s="1240" t="s">
        <v>1616</v>
      </c>
      <c r="G3" s="1240" t="s">
        <v>1383</v>
      </c>
      <c r="H3" s="1240" t="s">
        <v>1618</v>
      </c>
      <c r="I3" s="1240" t="s">
        <v>1619</v>
      </c>
      <c r="J3" s="1240" t="s">
        <v>1616</v>
      </c>
      <c r="K3" s="1240" t="s">
        <v>1383</v>
      </c>
      <c r="L3" s="1240" t="s">
        <v>1618</v>
      </c>
      <c r="M3" s="1240" t="s">
        <v>1620</v>
      </c>
      <c r="N3" s="1240" t="s">
        <v>1616</v>
      </c>
      <c r="O3" s="1240" t="s">
        <v>1383</v>
      </c>
      <c r="P3" s="1240" t="s">
        <v>1618</v>
      </c>
      <c r="Q3" s="1240" t="s">
        <v>1620</v>
      </c>
      <c r="R3" s="1240" t="s">
        <v>1616</v>
      </c>
      <c r="S3" s="1240" t="s">
        <v>1383</v>
      </c>
      <c r="T3" s="1240" t="s">
        <v>1618</v>
      </c>
      <c r="U3" s="1240" t="s">
        <v>1620</v>
      </c>
      <c r="V3" s="1240" t="s">
        <v>1616</v>
      </c>
      <c r="W3" s="1240" t="s">
        <v>1383</v>
      </c>
      <c r="X3" s="1240" t="s">
        <v>1618</v>
      </c>
      <c r="Y3" s="1240" t="s">
        <v>1620</v>
      </c>
    </row>
    <row r="4" spans="1:26" hidden="1" outlineLevel="1">
      <c r="A4" s="589">
        <v>3</v>
      </c>
      <c r="B4" s="1254" t="s">
        <v>1711</v>
      </c>
      <c r="C4" s="1244" t="e">
        <f>E4*(1-D4)</f>
        <v>#REF!</v>
      </c>
      <c r="D4" s="1245">
        <v>0.27</v>
      </c>
      <c r="E4" s="1246" t="e">
        <f>#REF!</f>
        <v>#REF!</v>
      </c>
      <c r="F4" s="1254" t="s">
        <v>1712</v>
      </c>
      <c r="G4" s="1248">
        <f>H4*(1-$G$2)</f>
        <v>663.3</v>
      </c>
      <c r="H4" s="1244">
        <v>990</v>
      </c>
      <c r="I4" s="1247" t="e">
        <f>E4/H4-1</f>
        <v>#REF!</v>
      </c>
      <c r="J4" s="1254"/>
      <c r="K4" s="1248">
        <f>L4*(1-$K$2)</f>
        <v>0</v>
      </c>
      <c r="L4" s="1244"/>
      <c r="M4" s="1247" t="e">
        <f t="shared" ref="M4:M9" si="0">E4/L4-1</f>
        <v>#REF!</v>
      </c>
      <c r="N4" s="1254"/>
      <c r="O4" s="1145"/>
      <c r="P4" s="1244"/>
      <c r="Q4" s="1244"/>
      <c r="R4" s="1145"/>
      <c r="S4" s="1145"/>
      <c r="T4" s="1244"/>
      <c r="U4" s="1244"/>
    </row>
    <row r="5" spans="1:26" hidden="1" outlineLevel="1">
      <c r="A5" s="589">
        <v>4</v>
      </c>
      <c r="B5" s="1254" t="s">
        <v>1747</v>
      </c>
      <c r="C5" s="1244" t="e">
        <f>E5*0.73</f>
        <v>#REF!</v>
      </c>
      <c r="D5" s="1245">
        <v>0.27</v>
      </c>
      <c r="E5" s="1246" t="e">
        <f>#REF!</f>
        <v>#REF!</v>
      </c>
      <c r="F5" s="1254" t="s">
        <v>1713</v>
      </c>
      <c r="G5" s="1248">
        <f>H5*(1-$G$2)</f>
        <v>2103.7999999999997</v>
      </c>
      <c r="H5" s="1244">
        <v>3140</v>
      </c>
      <c r="I5" s="1247" t="e">
        <f>E5/H5-1</f>
        <v>#REF!</v>
      </c>
      <c r="J5" s="1254" t="s">
        <v>1714</v>
      </c>
      <c r="K5" s="1248">
        <f>L5*(1-$K$2)</f>
        <v>1400.8</v>
      </c>
      <c r="L5" s="1244">
        <v>2060</v>
      </c>
      <c r="M5" s="1247" t="e">
        <f t="shared" si="0"/>
        <v>#REF!</v>
      </c>
      <c r="N5" s="1254" t="s">
        <v>1715</v>
      </c>
      <c r="O5" s="1248">
        <f>P5*(1-$O$2)</f>
        <v>1657.9000000000003</v>
      </c>
      <c r="P5" s="1244">
        <v>2810</v>
      </c>
      <c r="Q5" s="1247" t="e">
        <f>E5/P5-1</f>
        <v>#REF!</v>
      </c>
      <c r="R5" s="1145"/>
      <c r="S5" s="1145"/>
      <c r="T5" s="1244"/>
      <c r="U5" s="1244"/>
      <c r="Y5" s="1276"/>
      <c r="Z5" s="1276"/>
    </row>
    <row r="6" spans="1:26" hidden="1" outlineLevel="1">
      <c r="A6" s="589">
        <v>5</v>
      </c>
      <c r="B6" s="1254" t="s">
        <v>1384</v>
      </c>
      <c r="C6" s="1244" t="e">
        <f>E6*0.73</f>
        <v>#REF!</v>
      </c>
      <c r="D6" s="1245">
        <v>0.27</v>
      </c>
      <c r="E6" s="1246" t="e">
        <f>#REF!</f>
        <v>#REF!</v>
      </c>
      <c r="F6" s="1254" t="s">
        <v>1384</v>
      </c>
      <c r="G6" s="1248">
        <f>H6*(1-$G$2)</f>
        <v>817.39999999999986</v>
      </c>
      <c r="H6" s="1244">
        <v>1220</v>
      </c>
      <c r="I6" s="1247" t="e">
        <f>E6/H6-1</f>
        <v>#REF!</v>
      </c>
      <c r="J6" s="1254" t="s">
        <v>1716</v>
      </c>
      <c r="K6" s="1248">
        <f>L6*(1-$K$2)</f>
        <v>618.79999999999995</v>
      </c>
      <c r="L6" s="1244">
        <v>910</v>
      </c>
      <c r="M6" s="1247" t="e">
        <f t="shared" si="0"/>
        <v>#REF!</v>
      </c>
      <c r="N6" s="1254" t="s">
        <v>1717</v>
      </c>
      <c r="O6" s="1248">
        <f>P6*(1-$O$2)</f>
        <v>826.00000000000011</v>
      </c>
      <c r="P6" s="1244">
        <f>1060+340</f>
        <v>1400</v>
      </c>
      <c r="Q6" s="1247" t="e">
        <f>E6/P6-1</f>
        <v>#REF!</v>
      </c>
      <c r="R6" s="1145"/>
      <c r="S6" s="1145"/>
      <c r="T6" s="1244"/>
      <c r="U6" s="1247" t="e">
        <f>T6/#REF!</f>
        <v>#REF!</v>
      </c>
      <c r="Y6" s="1276"/>
    </row>
    <row r="7" spans="1:26" hidden="1" outlineLevel="1">
      <c r="A7" s="589">
        <v>6</v>
      </c>
      <c r="B7" s="1254" t="s">
        <v>1718</v>
      </c>
      <c r="C7" s="1244">
        <f>E7*0.73</f>
        <v>0</v>
      </c>
      <c r="D7" s="1245">
        <v>0.27</v>
      </c>
      <c r="E7" s="1246"/>
      <c r="F7" s="1254" t="s">
        <v>1718</v>
      </c>
      <c r="G7" s="1145"/>
      <c r="H7" s="1244"/>
      <c r="I7" s="1247"/>
      <c r="J7" s="1254" t="s">
        <v>1718</v>
      </c>
      <c r="K7" s="1248">
        <f>L7*(1-$K$13)</f>
        <v>1098</v>
      </c>
      <c r="L7" s="1244">
        <f>3*600</f>
        <v>1800</v>
      </c>
      <c r="M7" s="1247">
        <f t="shared" si="0"/>
        <v>-1</v>
      </c>
      <c r="N7" s="1254" t="s">
        <v>1718</v>
      </c>
      <c r="O7" s="1248">
        <f>P7*(1-$O$2)</f>
        <v>1003.0000000000001</v>
      </c>
      <c r="P7" s="1244">
        <f>510+1190</f>
        <v>1700</v>
      </c>
      <c r="Q7" s="1247">
        <f>E7/P7-1</f>
        <v>-1</v>
      </c>
      <c r="R7" s="1145"/>
      <c r="S7" s="1145"/>
      <c r="T7" s="1244"/>
      <c r="U7" s="1247" t="e">
        <f>T7/#REF!</f>
        <v>#REF!</v>
      </c>
      <c r="Y7" s="1276"/>
    </row>
    <row r="8" spans="1:26" hidden="1" outlineLevel="1">
      <c r="B8" s="1285" t="s">
        <v>1719</v>
      </c>
      <c r="C8" s="1277" t="e">
        <f>C4*2+C6</f>
        <v>#REF!</v>
      </c>
      <c r="E8" s="1250" t="e">
        <f>E4*2+E6</f>
        <v>#REF!</v>
      </c>
      <c r="F8" s="1023" t="s">
        <v>1719</v>
      </c>
      <c r="G8" s="1248">
        <f>H8*(1-$G$2)</f>
        <v>2144</v>
      </c>
      <c r="H8" s="1232">
        <f>H4*2+H6</f>
        <v>3200</v>
      </c>
      <c r="I8" s="1247" t="e">
        <f>E8/H8-1</f>
        <v>#REF!</v>
      </c>
    </row>
    <row r="9" spans="1:26" hidden="1" outlineLevel="1">
      <c r="B9" s="1285" t="s">
        <v>1748</v>
      </c>
      <c r="C9" s="1277" t="e">
        <f>C5*2+C6</f>
        <v>#REF!</v>
      </c>
      <c r="E9" s="1250" t="e">
        <f>E5*2+E6+E7</f>
        <v>#REF!</v>
      </c>
      <c r="F9" s="1023" t="s">
        <v>1720</v>
      </c>
      <c r="G9" s="1248">
        <f>H9*(1-$G$2)</f>
        <v>5560.9999999999991</v>
      </c>
      <c r="H9" s="1232">
        <f>H17</f>
        <v>8300</v>
      </c>
      <c r="I9" s="1247" t="e">
        <f>E9/H9-1</f>
        <v>#REF!</v>
      </c>
      <c r="J9" s="1023" t="s">
        <v>1720</v>
      </c>
      <c r="K9" s="1248">
        <f>K5*2+K6+K7</f>
        <v>4518.3999999999996</v>
      </c>
      <c r="L9" s="1250">
        <f>L5*2+L6+L7</f>
        <v>6830</v>
      </c>
      <c r="M9" s="1247" t="e">
        <f t="shared" si="0"/>
        <v>#REF!</v>
      </c>
      <c r="N9" s="1023" t="s">
        <v>1720</v>
      </c>
      <c r="O9" s="1248">
        <f>P9*(1-$O$2)</f>
        <v>5144.8000000000011</v>
      </c>
      <c r="P9" s="1250">
        <f>P5*2+P6+P7</f>
        <v>8720</v>
      </c>
      <c r="Q9" s="1247" t="e">
        <f>E9/P9-1</f>
        <v>#REF!</v>
      </c>
    </row>
    <row r="10" spans="1:26" hidden="1" outlineLevel="1">
      <c r="N10" s="1232"/>
      <c r="O10" s="1232"/>
      <c r="P10" s="589"/>
      <c r="Q10" s="589"/>
      <c r="T10" s="589"/>
      <c r="U10" s="589"/>
    </row>
    <row r="11" spans="1:26" collapsed="1">
      <c r="P11" s="589"/>
      <c r="Q11" s="589"/>
      <c r="T11" s="589"/>
      <c r="U11" s="589"/>
    </row>
    <row r="12" spans="1:26">
      <c r="B12" s="22" t="s">
        <v>1721</v>
      </c>
    </row>
    <row r="13" spans="1:26" s="1234" customFormat="1" ht="12.75" hidden="1" outlineLevel="1">
      <c r="B13" s="4045" t="s">
        <v>1610</v>
      </c>
      <c r="C13" s="4046"/>
      <c r="D13" s="4046"/>
      <c r="E13" s="4046"/>
      <c r="F13" s="1235" t="s">
        <v>1611</v>
      </c>
      <c r="G13" s="1236">
        <v>0.33</v>
      </c>
      <c r="H13" s="1237"/>
      <c r="I13" s="1238"/>
      <c r="J13" s="1235" t="s">
        <v>1612</v>
      </c>
      <c r="K13" s="1236">
        <v>0.39</v>
      </c>
      <c r="L13" s="1237"/>
      <c r="M13" s="1238"/>
      <c r="N13" s="1235" t="s">
        <v>1613</v>
      </c>
      <c r="O13" s="1236">
        <v>0.41</v>
      </c>
      <c r="P13" s="1237"/>
      <c r="Q13" s="1237"/>
      <c r="R13" s="1235" t="s">
        <v>1614</v>
      </c>
      <c r="S13" s="1236">
        <v>0.4</v>
      </c>
      <c r="T13" s="1237"/>
      <c r="U13" s="1238"/>
      <c r="V13" s="1235" t="s">
        <v>1615</v>
      </c>
      <c r="W13" s="1236">
        <v>0.4</v>
      </c>
      <c r="X13" s="1237"/>
      <c r="Y13" s="1238"/>
      <c r="Z13" s="1239"/>
    </row>
    <row r="14" spans="1:26" s="39" customFormat="1" ht="24" hidden="1" outlineLevel="1">
      <c r="B14" s="1240" t="s">
        <v>1616</v>
      </c>
      <c r="C14" s="1240" t="s">
        <v>1226</v>
      </c>
      <c r="D14" s="1241" t="s">
        <v>1617</v>
      </c>
      <c r="E14" s="1242" t="s">
        <v>1618</v>
      </c>
      <c r="F14" s="1240" t="s">
        <v>1616</v>
      </c>
      <c r="G14" s="1240" t="s">
        <v>1383</v>
      </c>
      <c r="H14" s="1240" t="s">
        <v>1618</v>
      </c>
      <c r="I14" s="1240" t="s">
        <v>1619</v>
      </c>
      <c r="J14" s="1240" t="s">
        <v>1616</v>
      </c>
      <c r="K14" s="1240" t="s">
        <v>1383</v>
      </c>
      <c r="L14" s="1240" t="s">
        <v>1618</v>
      </c>
      <c r="M14" s="1240" t="s">
        <v>1620</v>
      </c>
      <c r="N14" s="1240" t="s">
        <v>1616</v>
      </c>
      <c r="O14" s="1240" t="s">
        <v>1383</v>
      </c>
      <c r="P14" s="1240" t="s">
        <v>1618</v>
      </c>
      <c r="Q14" s="1240" t="s">
        <v>1620</v>
      </c>
      <c r="R14" s="1240" t="s">
        <v>1616</v>
      </c>
      <c r="S14" s="1240" t="s">
        <v>1383</v>
      </c>
      <c r="T14" s="1240" t="s">
        <v>1618</v>
      </c>
      <c r="U14" s="1240" t="s">
        <v>1620</v>
      </c>
      <c r="V14" s="1240" t="s">
        <v>1616</v>
      </c>
      <c r="W14" s="1240" t="s">
        <v>1383</v>
      </c>
      <c r="X14" s="1240" t="s">
        <v>1618</v>
      </c>
      <c r="Y14" s="1240" t="s">
        <v>1620</v>
      </c>
    </row>
    <row r="15" spans="1:26" hidden="1" outlineLevel="1">
      <c r="A15" s="589">
        <v>1</v>
      </c>
      <c r="B15" s="1254" t="s">
        <v>1722</v>
      </c>
      <c r="C15" s="1244">
        <f>E15*(1-D15)</f>
        <v>8265.5</v>
      </c>
      <c r="D15" s="1245">
        <v>0.39</v>
      </c>
      <c r="E15" s="1255">
        <f>К_эмаль!E108</f>
        <v>13550</v>
      </c>
      <c r="F15" s="1145" t="s">
        <v>1723</v>
      </c>
      <c r="G15" s="1248">
        <f>H15*(1-$G$13)</f>
        <v>8173.329999999999</v>
      </c>
      <c r="H15" s="1278">
        <v>12199</v>
      </c>
      <c r="I15" s="1247">
        <f>E15/H15-1</f>
        <v>0.11074678252315762</v>
      </c>
      <c r="J15" s="1254" t="s">
        <v>1724</v>
      </c>
      <c r="K15" s="1248">
        <f>L15*(1-$K$13)</f>
        <v>9326.9</v>
      </c>
      <c r="L15" s="1244">
        <v>15290</v>
      </c>
      <c r="M15" s="1247">
        <f>E15/L15-1</f>
        <v>-0.11379986919555263</v>
      </c>
      <c r="N15" s="1145"/>
      <c r="O15" s="1248">
        <f>P15*(1-$O$13)</f>
        <v>6354.3000000000011</v>
      </c>
      <c r="P15" s="1244">
        <v>10770</v>
      </c>
      <c r="Q15" s="1247">
        <f>E15/P15-1</f>
        <v>0.25812441968430822</v>
      </c>
      <c r="R15" s="1145"/>
      <c r="S15" s="1145"/>
      <c r="T15" s="1244"/>
      <c r="U15" s="1244"/>
    </row>
    <row r="16" spans="1:26" hidden="1" outlineLevel="1">
      <c r="A16" s="589">
        <v>2</v>
      </c>
      <c r="B16" s="1254" t="s">
        <v>1725</v>
      </c>
      <c r="C16" s="1244" t="e">
        <f>E16*(1-D16)</f>
        <v>#REF!</v>
      </c>
      <c r="D16" s="1245">
        <v>0.39</v>
      </c>
      <c r="E16" s="1255" t="e">
        <f>Алюм.погонаж!#REF!</f>
        <v>#REF!</v>
      </c>
      <c r="F16" s="1254" t="s">
        <v>1726</v>
      </c>
      <c r="G16" s="1248">
        <f>H16*(1-$G$13)</f>
        <v>11992.999999999998</v>
      </c>
      <c r="H16" s="1256">
        <v>17900</v>
      </c>
      <c r="I16" s="1247" t="e">
        <f>E16/H16-1</f>
        <v>#REF!</v>
      </c>
      <c r="J16" s="1254" t="s">
        <v>1727</v>
      </c>
      <c r="K16" s="1248">
        <f>L16*(1-$K$13)</f>
        <v>7063.8</v>
      </c>
      <c r="L16" s="1244">
        <v>11580</v>
      </c>
      <c r="M16" s="1247" t="e">
        <f>E16/L16-1</f>
        <v>#REF!</v>
      </c>
      <c r="N16" s="1145"/>
      <c r="O16" s="1248">
        <f>P16*(1-$O$13)</f>
        <v>6755.5000000000009</v>
      </c>
      <c r="P16" s="1244">
        <v>11450</v>
      </c>
      <c r="Q16" s="1247" t="e">
        <f>E16/P16-1</f>
        <v>#REF!</v>
      </c>
      <c r="R16" s="1145"/>
      <c r="S16" s="1145"/>
      <c r="T16" s="1244"/>
      <c r="U16" s="1244"/>
    </row>
    <row r="17" spans="1:26" hidden="1" outlineLevel="1">
      <c r="A17" s="589">
        <v>3</v>
      </c>
      <c r="B17" s="1254" t="s">
        <v>1728</v>
      </c>
      <c r="C17" s="1244" t="e">
        <f>E17*0.73</f>
        <v>#REF!</v>
      </c>
      <c r="D17" s="1245">
        <v>0.27</v>
      </c>
      <c r="E17" s="1255" t="e">
        <f>#REF!*2+#REF!</f>
        <v>#REF!</v>
      </c>
      <c r="F17" s="1279" t="s">
        <v>1720</v>
      </c>
      <c r="G17" s="1248">
        <f>H17*(1-$G$13)</f>
        <v>5560.9999999999991</v>
      </c>
      <c r="H17" s="1244">
        <v>8300</v>
      </c>
      <c r="I17" s="1247" t="e">
        <f>E17/H17-1</f>
        <v>#REF!</v>
      </c>
      <c r="J17" s="1254" t="s">
        <v>1728</v>
      </c>
      <c r="K17" s="1248">
        <f>L17*(1-$K$2)</f>
        <v>8051.1999999999989</v>
      </c>
      <c r="L17" s="1244">
        <v>11840</v>
      </c>
      <c r="M17" s="1247" t="e">
        <f>E17/L17-1</f>
        <v>#REF!</v>
      </c>
      <c r="N17" s="1145"/>
      <c r="O17" s="1145"/>
      <c r="P17" s="1244">
        <v>7920</v>
      </c>
      <c r="Q17" s="1247" t="e">
        <f>E17/P17-1</f>
        <v>#REF!</v>
      </c>
      <c r="R17" s="1145"/>
      <c r="S17" s="1145"/>
      <c r="T17" s="1244"/>
      <c r="U17" s="1244"/>
      <c r="Y17" s="1276"/>
      <c r="Z17" s="1276"/>
    </row>
    <row r="18" spans="1:26" hidden="1" outlineLevel="1">
      <c r="E18" s="1250" t="e">
        <f>SUM(E15:E17)</f>
        <v>#REF!</v>
      </c>
      <c r="H18" s="1232">
        <f>SUM(H15:H17)</f>
        <v>38399</v>
      </c>
      <c r="I18" s="1247" t="e">
        <f>E18/H18-1</f>
        <v>#REF!</v>
      </c>
      <c r="L18" s="1250">
        <f>SUM(L15:L17)</f>
        <v>38710</v>
      </c>
      <c r="M18" s="1247" t="e">
        <f>E18/L18-1</f>
        <v>#REF!</v>
      </c>
      <c r="P18" s="1250">
        <f>SUM(P15:P17)</f>
        <v>30140</v>
      </c>
      <c r="Q18" s="1247" t="e">
        <f>E18/P18-1</f>
        <v>#REF!</v>
      </c>
    </row>
    <row r="19" spans="1:26" collapsed="1"/>
    <row r="20" spans="1:26">
      <c r="E20" s="1280"/>
      <c r="H20" s="403"/>
    </row>
    <row r="21" spans="1:26">
      <c r="B21" s="22" t="s">
        <v>1729</v>
      </c>
    </row>
    <row r="22" spans="1:26" s="1234" customFormat="1" ht="12.75" hidden="1" outlineLevel="1">
      <c r="B22" s="4045" t="s">
        <v>1610</v>
      </c>
      <c r="C22" s="4046"/>
      <c r="D22" s="4046"/>
      <c r="E22" s="4046"/>
      <c r="F22" s="1235" t="s">
        <v>1611</v>
      </c>
      <c r="G22" s="1236">
        <v>0.33</v>
      </c>
      <c r="H22" s="1237"/>
      <c r="I22" s="1238"/>
      <c r="J22" s="1235" t="s">
        <v>1612</v>
      </c>
      <c r="K22" s="1236">
        <v>0.39</v>
      </c>
      <c r="L22" s="1237"/>
      <c r="M22" s="1238"/>
      <c r="N22" s="1235" t="s">
        <v>1613</v>
      </c>
      <c r="O22" s="1236">
        <v>0.4</v>
      </c>
      <c r="P22" s="1237"/>
      <c r="Q22" s="1237"/>
      <c r="R22" s="1235" t="s">
        <v>1614</v>
      </c>
      <c r="S22" s="1236">
        <v>0.4</v>
      </c>
      <c r="T22" s="1237"/>
      <c r="U22" s="1238"/>
      <c r="V22" s="1235" t="s">
        <v>1615</v>
      </c>
      <c r="W22" s="1236">
        <v>0.4</v>
      </c>
      <c r="X22" s="1237"/>
      <c r="Y22" s="1238"/>
      <c r="Z22" s="1239"/>
    </row>
    <row r="23" spans="1:26" s="39" customFormat="1" ht="24" hidden="1" outlineLevel="1">
      <c r="B23" s="1240" t="s">
        <v>1616</v>
      </c>
      <c r="C23" s="1240" t="s">
        <v>1226</v>
      </c>
      <c r="D23" s="1241" t="s">
        <v>1617</v>
      </c>
      <c r="E23" s="1242" t="s">
        <v>1618</v>
      </c>
      <c r="F23" s="1240" t="s">
        <v>1616</v>
      </c>
      <c r="G23" s="1240" t="s">
        <v>1383</v>
      </c>
      <c r="H23" s="1240" t="s">
        <v>1618</v>
      </c>
      <c r="I23" s="1240" t="s">
        <v>1619</v>
      </c>
      <c r="J23" s="1240" t="s">
        <v>1616</v>
      </c>
      <c r="K23" s="1240" t="s">
        <v>1383</v>
      </c>
      <c r="L23" s="1240" t="s">
        <v>1618</v>
      </c>
      <c r="M23" s="1240" t="s">
        <v>1620</v>
      </c>
      <c r="N23" s="1240" t="s">
        <v>1616</v>
      </c>
      <c r="O23" s="1240" t="s">
        <v>1383</v>
      </c>
      <c r="P23" s="1240" t="s">
        <v>1618</v>
      </c>
      <c r="Q23" s="1240" t="s">
        <v>1620</v>
      </c>
      <c r="R23" s="1240" t="s">
        <v>1616</v>
      </c>
      <c r="S23" s="1240" t="s">
        <v>1383</v>
      </c>
      <c r="T23" s="1240" t="s">
        <v>1618</v>
      </c>
      <c r="U23" s="1240" t="s">
        <v>1620</v>
      </c>
      <c r="V23" s="1240" t="s">
        <v>1616</v>
      </c>
      <c r="W23" s="1240" t="s">
        <v>1383</v>
      </c>
      <c r="X23" s="1240" t="s">
        <v>1618</v>
      </c>
      <c r="Y23" s="1240" t="s">
        <v>1620</v>
      </c>
    </row>
    <row r="24" spans="1:26" hidden="1" outlineLevel="1">
      <c r="A24" s="589">
        <v>1</v>
      </c>
      <c r="B24" s="1254" t="s">
        <v>1722</v>
      </c>
      <c r="C24" s="1244">
        <f>E24*(1-D24)</f>
        <v>8845</v>
      </c>
      <c r="D24" s="1245">
        <v>0.39</v>
      </c>
      <c r="E24" s="1255">
        <f>CEILING(E15*1.07, 50)</f>
        <v>14500</v>
      </c>
      <c r="F24" s="1145" t="s">
        <v>1723</v>
      </c>
      <c r="G24" s="1248">
        <f>H24*(1-$G$22)</f>
        <v>8173.329999999999</v>
      </c>
      <c r="H24" s="1256">
        <f>H15</f>
        <v>12199</v>
      </c>
      <c r="I24" s="1247">
        <f>E24/H24-1</f>
        <v>0.188622018198213</v>
      </c>
      <c r="J24" s="1254" t="s">
        <v>1724</v>
      </c>
      <c r="K24" s="1248">
        <f>L24*(1-$K$22)</f>
        <v>11327.699999999999</v>
      </c>
      <c r="L24" s="1244">
        <v>18570</v>
      </c>
      <c r="M24" s="1247">
        <f>E24/L24-1</f>
        <v>-0.21917070543887995</v>
      </c>
      <c r="N24" s="1145"/>
      <c r="O24" s="1248">
        <f>P24*(1-$O$13)</f>
        <v>0</v>
      </c>
      <c r="P24" s="1244"/>
      <c r="Q24" s="1247" t="e">
        <f>E24/P24-1</f>
        <v>#DIV/0!</v>
      </c>
      <c r="R24" s="1145"/>
      <c r="S24" s="1145"/>
      <c r="T24" s="1244"/>
      <c r="U24" s="1244"/>
    </row>
    <row r="25" spans="1:26" hidden="1" outlineLevel="1">
      <c r="A25" s="589">
        <v>2</v>
      </c>
      <c r="B25" s="1254" t="s">
        <v>1730</v>
      </c>
      <c r="C25" s="1244" t="e">
        <f>E25*(1-D25)</f>
        <v>#REF!</v>
      </c>
      <c r="D25" s="1245">
        <v>0.39</v>
      </c>
      <c r="E25" s="1255" t="e">
        <f>Алюм.погонаж!#REF!</f>
        <v>#REF!</v>
      </c>
      <c r="F25" s="1254" t="s">
        <v>1731</v>
      </c>
      <c r="G25" s="1248">
        <f>H25*(1-$G$22)</f>
        <v>13198.999999999998</v>
      </c>
      <c r="H25" s="1256">
        <v>19700</v>
      </c>
      <c r="I25" s="1247" t="e">
        <f>E25/H25-1</f>
        <v>#REF!</v>
      </c>
      <c r="J25" s="1254" t="s">
        <v>1732</v>
      </c>
      <c r="K25" s="1248">
        <f>L25*(1-$K$22)</f>
        <v>7576.2</v>
      </c>
      <c r="L25" s="1244">
        <v>12420</v>
      </c>
      <c r="M25" s="1247" t="e">
        <f>E25/L25-1</f>
        <v>#REF!</v>
      </c>
      <c r="N25" s="1145"/>
      <c r="O25" s="1248">
        <f>P25*(1-$O$13)</f>
        <v>6944.3000000000011</v>
      </c>
      <c r="P25" s="1244">
        <v>11770</v>
      </c>
      <c r="Q25" s="1247" t="e">
        <f>E25/P25-1</f>
        <v>#REF!</v>
      </c>
      <c r="R25" s="1145"/>
      <c r="S25" s="1145"/>
      <c r="T25" s="1244"/>
      <c r="U25" s="1244"/>
    </row>
    <row r="26" spans="1:26" hidden="1" outlineLevel="1">
      <c r="A26" s="589">
        <v>3</v>
      </c>
      <c r="B26" s="1254" t="s">
        <v>1728</v>
      </c>
      <c r="C26" s="1244" t="e">
        <f>E26*0.73</f>
        <v>#REF!</v>
      </c>
      <c r="D26" s="1245">
        <v>0.27</v>
      </c>
      <c r="E26" s="1255" t="e">
        <f>#REF!*2+#REF!</f>
        <v>#REF!</v>
      </c>
      <c r="F26" s="1279" t="s">
        <v>1720</v>
      </c>
      <c r="G26" s="1248">
        <f>H26*(1-$G$22)</f>
        <v>7905.9999999999991</v>
      </c>
      <c r="H26" s="1244">
        <v>11800</v>
      </c>
      <c r="I26" s="1247" t="e">
        <f>E26/H26-1</f>
        <v>#REF!</v>
      </c>
      <c r="J26" s="1254" t="s">
        <v>1728</v>
      </c>
      <c r="K26" s="1248">
        <f>L26*(1-$K$22)</f>
        <v>7222.4</v>
      </c>
      <c r="L26" s="1244">
        <v>11840</v>
      </c>
      <c r="M26" s="1247" t="e">
        <f>E26/L26-1</f>
        <v>#REF!</v>
      </c>
      <c r="N26" s="1145"/>
      <c r="O26" s="1145"/>
      <c r="P26" s="1244" t="e">
        <f>E26</f>
        <v>#REF!</v>
      </c>
      <c r="Q26" s="1247" t="e">
        <f>E26/P26-1</f>
        <v>#REF!</v>
      </c>
      <c r="R26" s="1145"/>
      <c r="S26" s="1145"/>
      <c r="T26" s="1244"/>
      <c r="U26" s="1244"/>
      <c r="Y26" s="1276"/>
      <c r="Z26" s="1276"/>
    </row>
    <row r="27" spans="1:26" hidden="1" outlineLevel="1">
      <c r="E27" s="1250" t="e">
        <f>SUM(E24:E26)</f>
        <v>#REF!</v>
      </c>
      <c r="H27" s="1232">
        <f>SUM(H24:H26)</f>
        <v>43699</v>
      </c>
      <c r="I27" s="1247" t="e">
        <f>E27/H27-1</f>
        <v>#REF!</v>
      </c>
      <c r="L27" s="1250">
        <f>SUM(L24:L26)</f>
        <v>42830</v>
      </c>
      <c r="M27" s="1247" t="e">
        <f>E27/L27-1</f>
        <v>#REF!</v>
      </c>
      <c r="P27" s="1250" t="e">
        <f>SUM(P24:P26)</f>
        <v>#REF!</v>
      </c>
      <c r="Q27" s="1247" t="e">
        <f>E27/P27-1</f>
        <v>#REF!</v>
      </c>
    </row>
    <row r="28" spans="1:26" collapsed="1"/>
    <row r="29" spans="1:26">
      <c r="B29" s="22" t="s">
        <v>1733</v>
      </c>
    </row>
    <row r="30" spans="1:26" s="1234" customFormat="1" ht="12.75" hidden="1" outlineLevel="1">
      <c r="B30" s="4045" t="s">
        <v>1610</v>
      </c>
      <c r="C30" s="4046"/>
      <c r="D30" s="4046"/>
      <c r="E30" s="4046"/>
      <c r="F30" s="1235" t="s">
        <v>1611</v>
      </c>
      <c r="G30" s="1236">
        <v>0.33</v>
      </c>
      <c r="H30" s="1237"/>
      <c r="I30" s="1238"/>
      <c r="J30" s="1235" t="s">
        <v>1612</v>
      </c>
      <c r="K30" s="1236">
        <v>0.39</v>
      </c>
      <c r="L30" s="1237"/>
      <c r="M30" s="1238"/>
      <c r="N30" s="1235" t="s">
        <v>1613</v>
      </c>
      <c r="O30" s="1236">
        <v>0.12</v>
      </c>
      <c r="P30" s="1237"/>
      <c r="Q30" s="1237"/>
      <c r="R30" s="1235" t="s">
        <v>1614</v>
      </c>
      <c r="S30" s="1236">
        <v>0.4</v>
      </c>
      <c r="T30" s="1237"/>
      <c r="U30" s="1238"/>
      <c r="V30" s="1235" t="s">
        <v>1615</v>
      </c>
      <c r="W30" s="1236">
        <v>0.4</v>
      </c>
      <c r="X30" s="1237"/>
      <c r="Y30" s="1238"/>
      <c r="Z30" s="1239"/>
    </row>
    <row r="31" spans="1:26" s="39" customFormat="1" ht="24" hidden="1" outlineLevel="1">
      <c r="B31" s="1240" t="s">
        <v>1616</v>
      </c>
      <c r="C31" s="1240" t="s">
        <v>1226</v>
      </c>
      <c r="D31" s="1241" t="s">
        <v>1617</v>
      </c>
      <c r="E31" s="1242" t="s">
        <v>1618</v>
      </c>
      <c r="F31" s="1240" t="s">
        <v>1616</v>
      </c>
      <c r="G31" s="1240" t="s">
        <v>1383</v>
      </c>
      <c r="H31" s="1240" t="s">
        <v>1618</v>
      </c>
      <c r="I31" s="1240" t="s">
        <v>1619</v>
      </c>
      <c r="J31" s="1240" t="s">
        <v>1616</v>
      </c>
      <c r="K31" s="1240" t="s">
        <v>1383</v>
      </c>
      <c r="L31" s="1240" t="s">
        <v>1618</v>
      </c>
      <c r="M31" s="1240" t="s">
        <v>1620</v>
      </c>
      <c r="N31" s="1240" t="s">
        <v>1616</v>
      </c>
      <c r="O31" s="1240" t="s">
        <v>1383</v>
      </c>
      <c r="P31" s="1240" t="s">
        <v>1618</v>
      </c>
      <c r="Q31" s="1240" t="s">
        <v>1620</v>
      </c>
      <c r="R31" s="1240" t="s">
        <v>1616</v>
      </c>
      <c r="S31" s="1240" t="s">
        <v>1383</v>
      </c>
      <c r="T31" s="1240" t="s">
        <v>1618</v>
      </c>
      <c r="U31" s="1240" t="s">
        <v>1620</v>
      </c>
      <c r="V31" s="1240" t="s">
        <v>1616</v>
      </c>
      <c r="W31" s="1240" t="s">
        <v>1383</v>
      </c>
      <c r="X31" s="1240" t="s">
        <v>1618</v>
      </c>
      <c r="Y31" s="1240" t="s">
        <v>1620</v>
      </c>
    </row>
    <row r="32" spans="1:26" collapsed="1">
      <c r="B32" s="1145" t="s">
        <v>1734</v>
      </c>
      <c r="C32" s="1244">
        <f>E32*(1-D32)</f>
        <v>1738.5</v>
      </c>
      <c r="D32" s="1281">
        <v>0.39</v>
      </c>
      <c r="E32" s="1246">
        <f>Алюм.погонаж!E24</f>
        <v>2850</v>
      </c>
      <c r="F32" s="1145"/>
      <c r="G32" s="1248">
        <f>H32*(1-$G$30)</f>
        <v>0</v>
      </c>
      <c r="H32" s="1244"/>
      <c r="I32" s="1244"/>
      <c r="J32" s="1145" t="s">
        <v>1734</v>
      </c>
      <c r="K32" s="1244">
        <v>1160</v>
      </c>
      <c r="L32" s="1244">
        <v>2420</v>
      </c>
      <c r="M32" s="1247">
        <f>E32/L32-1</f>
        <v>0.1776859504132231</v>
      </c>
      <c r="N32" s="1145" t="s">
        <v>1734</v>
      </c>
      <c r="O32" s="1282">
        <v>2360</v>
      </c>
      <c r="P32" s="1283">
        <v>4020</v>
      </c>
      <c r="Q32" s="1247">
        <f>E32/P32-1</f>
        <v>-0.29104477611940294</v>
      </c>
      <c r="T32" s="589"/>
      <c r="U32" s="589"/>
    </row>
    <row r="33" spans="2:21">
      <c r="B33" s="1145" t="s">
        <v>1735</v>
      </c>
      <c r="C33" s="1244">
        <f>E33*(1-D33)</f>
        <v>2348.5</v>
      </c>
      <c r="D33" s="1281">
        <v>0.39</v>
      </c>
      <c r="E33" s="1246">
        <f>Алюм.погонаж!E25</f>
        <v>3850</v>
      </c>
      <c r="F33" s="1145"/>
      <c r="G33" s="1248">
        <f>H33*(1-$G$30)</f>
        <v>0</v>
      </c>
      <c r="H33" s="1244"/>
      <c r="I33" s="1244"/>
      <c r="J33" s="1145" t="s">
        <v>1735</v>
      </c>
      <c r="K33" s="1244">
        <f>K32*1.05</f>
        <v>1218</v>
      </c>
      <c r="L33" s="1244">
        <f>L32*1.1</f>
        <v>2662</v>
      </c>
      <c r="M33" s="1247">
        <f>E33/L33-1</f>
        <v>0.44628099173553726</v>
      </c>
      <c r="N33" s="1145" t="s">
        <v>1735</v>
      </c>
      <c r="O33" s="1282">
        <v>2570</v>
      </c>
      <c r="P33" s="1283">
        <v>4370</v>
      </c>
      <c r="Q33" s="1247">
        <f>E33/P33-1</f>
        <v>-0.1189931350114416</v>
      </c>
      <c r="T33" s="589"/>
      <c r="U33" s="589"/>
    </row>
    <row r="34" spans="2:21">
      <c r="B34" s="1145" t="s">
        <v>1736</v>
      </c>
      <c r="C34" s="1244">
        <f>E34*(1-D34)</f>
        <v>2531.5</v>
      </c>
      <c r="D34" s="1281">
        <v>0.39</v>
      </c>
      <c r="E34" s="1246">
        <f>Алюм.погонаж!H24</f>
        <v>4150</v>
      </c>
      <c r="F34" s="1145"/>
      <c r="G34" s="1248">
        <f>H34*(1-$G$30)</f>
        <v>268</v>
      </c>
      <c r="H34" s="1244">
        <v>400</v>
      </c>
      <c r="I34" s="1244"/>
      <c r="J34" s="1145" t="s">
        <v>1736</v>
      </c>
      <c r="K34" s="1244">
        <v>2310</v>
      </c>
      <c r="L34" s="1244">
        <v>4820</v>
      </c>
      <c r="M34" s="1247">
        <f>E34/L34-1</f>
        <v>-0.13900414937759331</v>
      </c>
      <c r="N34" s="1145" t="s">
        <v>1736</v>
      </c>
      <c r="O34" s="1282">
        <v>3540</v>
      </c>
      <c r="P34" s="1283">
        <v>6020</v>
      </c>
      <c r="Q34" s="1247">
        <f>E34/P34-1</f>
        <v>-0.31063122923588038</v>
      </c>
    </row>
    <row r="35" spans="2:21">
      <c r="B35" s="1145" t="s">
        <v>1737</v>
      </c>
      <c r="C35" s="1244">
        <f>E35*(1-D35)</f>
        <v>3416</v>
      </c>
      <c r="D35" s="1281">
        <v>0.39</v>
      </c>
      <c r="E35" s="1246">
        <f>Алюм.погонаж!H25</f>
        <v>5600</v>
      </c>
      <c r="F35" s="1145"/>
      <c r="G35" s="1248">
        <f>H35*(1-$G$30)</f>
        <v>0</v>
      </c>
      <c r="H35" s="1244"/>
      <c r="I35" s="1244"/>
      <c r="J35" s="1145" t="s">
        <v>1737</v>
      </c>
      <c r="K35" s="1244">
        <f>K34*1.05</f>
        <v>2425.5</v>
      </c>
      <c r="L35" s="1244">
        <f>L34*1.1</f>
        <v>5302</v>
      </c>
      <c r="M35" s="1247">
        <f>E35/L35-1</f>
        <v>5.6205205582798845E-2</v>
      </c>
      <c r="N35" s="1145" t="s">
        <v>1737</v>
      </c>
      <c r="O35" s="1282">
        <v>3860</v>
      </c>
      <c r="P35" s="1283">
        <v>6570</v>
      </c>
      <c r="Q35" s="1247">
        <f>E35/P35-1</f>
        <v>-0.14764079147640796</v>
      </c>
    </row>
  </sheetData>
  <sheetProtection password="E910" sheet="1" objects="1" scenarios="1" formatCells="0" formatColumns="0" formatRows="0" insertColumns="0" insertRows="0" insertHyperlinks="0" deleteColumns="0" deleteRows="0" sort="0" autoFilter="0" pivotTables="0"/>
  <mergeCells count="4">
    <mergeCell ref="B2:E2"/>
    <mergeCell ref="B13:E13"/>
    <mergeCell ref="B22:E22"/>
    <mergeCell ref="B30:E30"/>
  </mergeCells>
  <conditionalFormatting sqref="I11 I19:I20 I28 I25 M16 M4:M6 M25 I1 I32:I1048576">
    <cfRule type="cellIs" dxfId="391" priority="24" operator="greaterThan">
      <formula>0</formula>
    </cfRule>
  </conditionalFormatting>
  <conditionalFormatting sqref="I4:I6">
    <cfRule type="cellIs" dxfId="390" priority="23" operator="greaterThan">
      <formula>0</formula>
    </cfRule>
  </conditionalFormatting>
  <conditionalFormatting sqref="I8:I9">
    <cfRule type="cellIs" dxfId="389" priority="22" operator="greaterThan">
      <formula>0</formula>
    </cfRule>
  </conditionalFormatting>
  <conditionalFormatting sqref="I2">
    <cfRule type="cellIs" dxfId="388" priority="21" operator="greaterThan">
      <formula>0</formula>
    </cfRule>
  </conditionalFormatting>
  <conditionalFormatting sqref="I12">
    <cfRule type="cellIs" dxfId="387" priority="20" operator="greaterThan">
      <formula>0</formula>
    </cfRule>
  </conditionalFormatting>
  <conditionalFormatting sqref="I15:I18">
    <cfRule type="cellIs" dxfId="386" priority="19" operator="greaterThan">
      <formula>0</formula>
    </cfRule>
  </conditionalFormatting>
  <conditionalFormatting sqref="I13">
    <cfRule type="cellIs" dxfId="385" priority="18" operator="greaterThan">
      <formula>0</formula>
    </cfRule>
  </conditionalFormatting>
  <conditionalFormatting sqref="M15 M17:M18">
    <cfRule type="cellIs" dxfId="384" priority="17" operator="greaterThan">
      <formula>0</formula>
    </cfRule>
  </conditionalFormatting>
  <conditionalFormatting sqref="I7">
    <cfRule type="cellIs" dxfId="383" priority="16" operator="greaterThan">
      <formula>0</formula>
    </cfRule>
  </conditionalFormatting>
  <conditionalFormatting sqref="M7">
    <cfRule type="cellIs" dxfId="382" priority="15" operator="greaterThan">
      <formula>0</formula>
    </cfRule>
  </conditionalFormatting>
  <conditionalFormatting sqref="I21">
    <cfRule type="cellIs" dxfId="381" priority="14" operator="greaterThan">
      <formula>0</formula>
    </cfRule>
  </conditionalFormatting>
  <conditionalFormatting sqref="I24 I26:I27">
    <cfRule type="cellIs" dxfId="380" priority="13" operator="greaterThan">
      <formula>0</formula>
    </cfRule>
  </conditionalFormatting>
  <conditionalFormatting sqref="I22">
    <cfRule type="cellIs" dxfId="379" priority="12" operator="greaterThan">
      <formula>0</formula>
    </cfRule>
  </conditionalFormatting>
  <conditionalFormatting sqref="M24 M26:M27">
    <cfRule type="cellIs" dxfId="378" priority="11" operator="greaterThan">
      <formula>0</formula>
    </cfRule>
  </conditionalFormatting>
  <conditionalFormatting sqref="I29">
    <cfRule type="cellIs" dxfId="377" priority="10" operator="greaterThan">
      <formula>0</formula>
    </cfRule>
  </conditionalFormatting>
  <conditionalFormatting sqref="I30">
    <cfRule type="cellIs" dxfId="376" priority="9" operator="greaterThan">
      <formula>0</formula>
    </cfRule>
  </conditionalFormatting>
  <conditionalFormatting sqref="M9">
    <cfRule type="cellIs" dxfId="375" priority="8" operator="greaterThan">
      <formula>0</formula>
    </cfRule>
  </conditionalFormatting>
  <conditionalFormatting sqref="Q5:Q7">
    <cfRule type="cellIs" dxfId="374" priority="7" operator="greaterThan">
      <formula>0</formula>
    </cfRule>
  </conditionalFormatting>
  <conditionalFormatting sqref="Q9">
    <cfRule type="cellIs" dxfId="373" priority="6" operator="greaterThan">
      <formula>0</formula>
    </cfRule>
  </conditionalFormatting>
  <conditionalFormatting sqref="M33">
    <cfRule type="cellIs" dxfId="372" priority="5" operator="greaterThan">
      <formula>0</formula>
    </cfRule>
  </conditionalFormatting>
  <conditionalFormatting sqref="M32 M34:M35">
    <cfRule type="cellIs" dxfId="371" priority="4" operator="greaterThan">
      <formula>0</formula>
    </cfRule>
  </conditionalFormatting>
  <conditionalFormatting sqref="Q32:Q35">
    <cfRule type="cellIs" dxfId="370" priority="3" operator="greaterThan">
      <formula>0</formula>
    </cfRule>
  </conditionalFormatting>
  <conditionalFormatting sqref="Q15:Q18">
    <cfRule type="cellIs" dxfId="369" priority="2" operator="greaterThan">
      <formula>0</formula>
    </cfRule>
  </conditionalFormatting>
  <conditionalFormatting sqref="Q24:Q27">
    <cfRule type="cellIs" dxfId="368" priority="1" operator="greater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theme="5" tint="0.39997558519241921"/>
  </sheetPr>
  <dimension ref="A1:DB85"/>
  <sheetViews>
    <sheetView view="pageBreakPreview" zoomScale="70" zoomScaleNormal="70" zoomScaleSheetLayoutView="70" zoomScalePageLayoutView="55" workbookViewId="0">
      <pane xSplit="7" ySplit="5" topLeftCell="H6" activePane="bottomRight" state="frozen"/>
      <selection pane="topRight" activeCell="G1" sqref="G1"/>
      <selection pane="bottomLeft" activeCell="A11" sqref="A11"/>
      <selection pane="bottomRight" activeCell="M23" sqref="M23"/>
    </sheetView>
  </sheetViews>
  <sheetFormatPr defaultColWidth="9.140625" defaultRowHeight="15"/>
  <cols>
    <col min="1" max="1" width="4.7109375" style="589" customWidth="1"/>
    <col min="2" max="2" width="9.85546875" style="589" customWidth="1"/>
    <col min="3" max="4" width="8.7109375" style="589" customWidth="1"/>
    <col min="5" max="5" width="11.85546875" style="589" customWidth="1"/>
    <col min="6" max="6" width="11.42578125" style="589" customWidth="1"/>
    <col min="7" max="7" width="12.7109375" style="2" customWidth="1"/>
    <col min="8" max="10" width="24.7109375" style="589" customWidth="1"/>
    <col min="11" max="11" width="20.7109375" style="589" customWidth="1"/>
    <col min="12" max="16384" width="9.140625" style="589"/>
  </cols>
  <sheetData>
    <row r="1" spans="1:106" s="11" customFormat="1" ht="18" customHeight="1">
      <c r="B1" s="2277" t="s">
        <v>490</v>
      </c>
      <c r="C1" s="2277"/>
      <c r="D1" s="2277"/>
      <c r="E1" s="26"/>
      <c r="F1" s="26"/>
      <c r="G1" s="4"/>
      <c r="H1" s="26"/>
      <c r="I1" s="26"/>
      <c r="J1" s="26"/>
      <c r="Q1" s="2278"/>
      <c r="R1" s="2278"/>
      <c r="S1" s="2278"/>
      <c r="T1" s="2278"/>
      <c r="U1" s="2278"/>
      <c r="V1" s="2278"/>
      <c r="W1" s="2278"/>
      <c r="X1" s="2278"/>
      <c r="Y1" s="2278"/>
      <c r="Z1" s="2278"/>
      <c r="AA1" s="2278"/>
      <c r="AB1" s="2278"/>
      <c r="AC1" s="2278"/>
      <c r="AD1" s="2278"/>
      <c r="AE1" s="2278"/>
      <c r="AF1" s="2278"/>
      <c r="AG1" s="2278"/>
      <c r="AH1" s="2278"/>
      <c r="AI1" s="2278"/>
      <c r="AJ1" s="2278"/>
      <c r="AK1" s="2278"/>
      <c r="AL1" s="2278"/>
      <c r="AM1" s="2278"/>
      <c r="AN1" s="2278"/>
      <c r="AO1" s="2278"/>
      <c r="AP1" s="2278"/>
      <c r="AQ1" s="2278"/>
      <c r="AR1" s="2278"/>
      <c r="AS1" s="2278"/>
      <c r="AT1" s="2278"/>
      <c r="AU1" s="2278"/>
      <c r="AV1" s="2278"/>
      <c r="AW1" s="2278"/>
      <c r="AX1" s="2278"/>
      <c r="AY1" s="2278"/>
      <c r="AZ1" s="2278"/>
      <c r="BA1" s="2278"/>
      <c r="BB1" s="2278"/>
      <c r="BC1" s="2278"/>
      <c r="BD1" s="2278"/>
      <c r="BE1" s="2278"/>
      <c r="BF1" s="2278"/>
      <c r="BG1" s="2278"/>
      <c r="BH1" s="2278"/>
      <c r="BI1" s="2278"/>
      <c r="BJ1" s="2278"/>
      <c r="BK1" s="2278"/>
      <c r="BL1" s="2278"/>
      <c r="BM1" s="2278"/>
      <c r="BN1" s="2278"/>
      <c r="BO1" s="2278"/>
      <c r="BP1" s="2278"/>
      <c r="BQ1" s="2278"/>
      <c r="BR1" s="2278"/>
      <c r="BS1" s="2278"/>
      <c r="BT1" s="2278"/>
      <c r="BU1" s="2278"/>
      <c r="BV1" s="2278"/>
      <c r="BW1" s="2278"/>
      <c r="BX1" s="2278"/>
      <c r="BY1" s="2278"/>
      <c r="BZ1" s="2278"/>
      <c r="CA1" s="2278"/>
      <c r="CB1" s="2278"/>
      <c r="CC1" s="2278"/>
      <c r="CD1" s="2278"/>
      <c r="CE1" s="2278"/>
      <c r="CF1" s="2278"/>
      <c r="CG1" s="2278"/>
      <c r="CH1" s="2278"/>
      <c r="CI1" s="2278"/>
      <c r="CJ1" s="2278"/>
      <c r="CK1" s="2278"/>
      <c r="CL1" s="2278"/>
      <c r="CM1" s="2278"/>
      <c r="CN1" s="2278"/>
      <c r="CO1" s="2278"/>
      <c r="CP1" s="2278"/>
      <c r="CQ1" s="2278"/>
      <c r="CR1" s="2278"/>
      <c r="CS1" s="2278"/>
      <c r="CT1" s="2278"/>
      <c r="CU1" s="2278"/>
      <c r="CV1" s="2278"/>
      <c r="CW1" s="2278"/>
      <c r="CX1" s="2278"/>
      <c r="CY1" s="2278"/>
      <c r="CZ1" s="2278"/>
      <c r="DA1" s="2278"/>
      <c r="DB1" s="2278"/>
    </row>
    <row r="3" spans="1:106" ht="90" customHeight="1">
      <c r="A3" s="7"/>
      <c r="B3" s="4326" t="s">
        <v>3207</v>
      </c>
      <c r="C3" s="4327"/>
      <c r="D3" s="4327"/>
      <c r="E3" s="4327"/>
      <c r="F3" s="4328"/>
      <c r="G3" s="8"/>
      <c r="H3" s="7"/>
      <c r="I3" s="7"/>
      <c r="J3" s="7"/>
      <c r="Q3" s="614"/>
      <c r="R3" s="614"/>
      <c r="S3" s="614"/>
      <c r="T3" s="614"/>
      <c r="U3" s="614"/>
      <c r="V3" s="614"/>
      <c r="W3" s="614"/>
      <c r="X3" s="614"/>
      <c r="Y3" s="614"/>
      <c r="Z3" s="614"/>
      <c r="AA3" s="614"/>
      <c r="AB3" s="614"/>
      <c r="AC3" s="614"/>
      <c r="AD3" s="614"/>
      <c r="AE3" s="614"/>
      <c r="AF3" s="614"/>
      <c r="AG3" s="614"/>
      <c r="AH3" s="614"/>
      <c r="AI3" s="614"/>
      <c r="AJ3" s="614"/>
      <c r="AK3" s="614"/>
      <c r="AL3" s="614"/>
      <c r="AM3" s="614"/>
      <c r="AN3" s="614"/>
      <c r="AO3" s="614"/>
      <c r="AP3" s="614"/>
      <c r="AQ3" s="614"/>
      <c r="AR3" s="614"/>
      <c r="AS3" s="614"/>
      <c r="AT3" s="614"/>
      <c r="AU3" s="614"/>
      <c r="AV3" s="614"/>
      <c r="AW3" s="614"/>
      <c r="AX3" s="614"/>
      <c r="AY3" s="614"/>
      <c r="AZ3" s="614"/>
      <c r="BA3" s="614"/>
      <c r="BB3" s="614"/>
      <c r="BC3" s="614"/>
      <c r="BD3" s="614"/>
      <c r="BE3" s="614"/>
      <c r="BF3" s="614"/>
      <c r="BG3" s="614"/>
      <c r="BH3" s="614"/>
      <c r="BI3" s="614"/>
      <c r="BJ3" s="614"/>
      <c r="BK3" s="614"/>
      <c r="BL3" s="614"/>
      <c r="BM3" s="614"/>
      <c r="BN3" s="614"/>
      <c r="BO3" s="614"/>
      <c r="BP3" s="614"/>
      <c r="BQ3" s="614"/>
      <c r="BR3" s="614"/>
      <c r="BS3" s="614"/>
      <c r="BT3" s="614"/>
      <c r="BU3" s="614"/>
      <c r="BV3" s="614"/>
      <c r="BW3" s="614"/>
      <c r="BX3" s="614"/>
      <c r="BY3" s="614"/>
      <c r="BZ3" s="614"/>
      <c r="CA3" s="614"/>
      <c r="CB3" s="614"/>
      <c r="CC3" s="614"/>
      <c r="CD3" s="614"/>
      <c r="CE3" s="614"/>
      <c r="CF3" s="614"/>
      <c r="CG3" s="614"/>
      <c r="CH3" s="614"/>
      <c r="CI3" s="614"/>
      <c r="CJ3" s="614"/>
      <c r="CK3" s="614"/>
      <c r="CL3" s="614"/>
      <c r="CM3" s="614"/>
      <c r="CN3" s="614"/>
      <c r="CO3" s="614"/>
      <c r="CP3" s="614"/>
      <c r="CQ3" s="614"/>
      <c r="CR3" s="614"/>
      <c r="CS3" s="614"/>
      <c r="CT3" s="614"/>
      <c r="CU3" s="614"/>
      <c r="CV3" s="614"/>
      <c r="CW3" s="614"/>
      <c r="CX3" s="614"/>
      <c r="CY3" s="614"/>
      <c r="CZ3" s="614"/>
      <c r="DA3" s="614"/>
      <c r="DB3" s="614"/>
    </row>
    <row r="4" spans="1:106">
      <c r="A4" s="3574"/>
      <c r="B4" s="19" t="s">
        <v>59</v>
      </c>
      <c r="C4" s="19"/>
      <c r="D4" s="19"/>
      <c r="E4" s="3574"/>
      <c r="F4" s="3574"/>
      <c r="G4" s="6"/>
      <c r="H4" s="3574"/>
      <c r="I4" s="3574"/>
      <c r="J4" s="3574"/>
      <c r="Q4" s="614"/>
      <c r="R4" s="614"/>
      <c r="S4" s="614"/>
      <c r="T4" s="614"/>
      <c r="U4" s="614"/>
      <c r="V4" s="614"/>
      <c r="W4" s="614"/>
      <c r="X4" s="614"/>
      <c r="Y4" s="614"/>
      <c r="Z4" s="614"/>
      <c r="AA4" s="614"/>
      <c r="AB4" s="614"/>
      <c r="AC4" s="614"/>
      <c r="AD4" s="614"/>
      <c r="AE4" s="614"/>
      <c r="AF4" s="614"/>
      <c r="AG4" s="614"/>
      <c r="AH4" s="614"/>
      <c r="AI4" s="614"/>
      <c r="AJ4" s="614"/>
      <c r="AK4" s="614"/>
      <c r="AL4" s="614"/>
      <c r="AM4" s="614"/>
      <c r="AN4" s="614"/>
      <c r="AO4" s="614"/>
      <c r="AP4" s="614"/>
      <c r="AQ4" s="614"/>
      <c r="AR4" s="614"/>
      <c r="AS4" s="614"/>
      <c r="AT4" s="614"/>
      <c r="AU4" s="614"/>
      <c r="AV4" s="614"/>
      <c r="AW4" s="614"/>
      <c r="AX4" s="614"/>
      <c r="AY4" s="614"/>
      <c r="AZ4" s="614"/>
      <c r="BA4" s="614"/>
      <c r="BB4" s="614"/>
      <c r="BC4" s="614"/>
      <c r="BD4" s="614"/>
      <c r="BE4" s="614"/>
      <c r="BF4" s="614"/>
      <c r="BG4" s="614"/>
      <c r="BH4" s="614"/>
      <c r="BI4" s="614"/>
      <c r="BJ4" s="614"/>
      <c r="BK4" s="614"/>
      <c r="BL4" s="614"/>
      <c r="BM4" s="614"/>
      <c r="BN4" s="614"/>
      <c r="BO4" s="614"/>
      <c r="BP4" s="614"/>
      <c r="BQ4" s="614"/>
      <c r="BR4" s="614"/>
      <c r="BS4" s="614"/>
      <c r="BT4" s="614"/>
      <c r="BU4" s="614"/>
      <c r="BV4" s="614"/>
      <c r="BW4" s="614"/>
      <c r="BX4" s="614"/>
      <c r="BY4" s="614"/>
      <c r="BZ4" s="614"/>
      <c r="CA4" s="614"/>
      <c r="CB4" s="614"/>
      <c r="CC4" s="614"/>
      <c r="CD4" s="614"/>
      <c r="CE4" s="614"/>
      <c r="CF4" s="614"/>
      <c r="CG4" s="614"/>
      <c r="CH4" s="614"/>
      <c r="CI4" s="614"/>
      <c r="CJ4" s="614"/>
      <c r="CK4" s="614"/>
      <c r="CL4" s="614"/>
      <c r="CM4" s="614"/>
      <c r="CN4" s="614"/>
      <c r="CO4" s="614"/>
      <c r="CP4" s="614"/>
      <c r="CQ4" s="614"/>
      <c r="CR4" s="614"/>
      <c r="CS4" s="614"/>
      <c r="CT4" s="614"/>
      <c r="CU4" s="614"/>
      <c r="CV4" s="614"/>
      <c r="CW4" s="614"/>
      <c r="CX4" s="614"/>
      <c r="CY4" s="614"/>
      <c r="CZ4" s="614"/>
      <c r="DA4" s="614"/>
      <c r="DB4" s="614"/>
    </row>
    <row r="5" spans="1:106" ht="30" customHeight="1">
      <c r="A5" s="4220" t="s">
        <v>3206</v>
      </c>
      <c r="B5" s="4221"/>
      <c r="C5" s="4221"/>
      <c r="D5" s="4222" t="s">
        <v>1444</v>
      </c>
      <c r="E5" s="4201" t="s">
        <v>42</v>
      </c>
      <c r="F5" s="4201" t="s">
        <v>41</v>
      </c>
      <c r="G5" s="3585" t="s">
        <v>8</v>
      </c>
      <c r="H5" s="3580" t="s">
        <v>3199</v>
      </c>
      <c r="I5" s="3580" t="s">
        <v>3200</v>
      </c>
      <c r="J5" s="3580" t="s">
        <v>3201</v>
      </c>
      <c r="Q5" s="614"/>
      <c r="R5" s="614"/>
      <c r="S5" s="614"/>
      <c r="T5" s="614"/>
      <c r="U5" s="614"/>
      <c r="V5" s="614"/>
      <c r="W5" s="614"/>
      <c r="X5" s="614"/>
      <c r="Y5" s="614"/>
      <c r="Z5" s="614"/>
      <c r="AA5" s="614"/>
      <c r="AB5" s="614"/>
      <c r="AC5" s="614"/>
      <c r="AD5" s="614"/>
      <c r="AE5" s="614"/>
      <c r="AF5" s="614"/>
      <c r="AG5" s="614"/>
      <c r="AH5" s="614"/>
      <c r="AI5" s="614"/>
      <c r="AJ5" s="614"/>
      <c r="AK5" s="614"/>
      <c r="AL5" s="614"/>
      <c r="AM5" s="614"/>
      <c r="AN5" s="614"/>
      <c r="AO5" s="614"/>
      <c r="AP5" s="614"/>
      <c r="AQ5" s="614"/>
      <c r="AR5" s="614"/>
      <c r="AS5" s="614"/>
      <c r="AT5" s="614"/>
      <c r="AU5" s="614"/>
      <c r="AV5" s="614"/>
      <c r="AW5" s="614"/>
      <c r="AX5" s="614"/>
      <c r="AY5" s="614"/>
      <c r="AZ5" s="614"/>
      <c r="BA5" s="614"/>
      <c r="BB5" s="614"/>
      <c r="BC5" s="614"/>
      <c r="BD5" s="614"/>
      <c r="BE5" s="614"/>
      <c r="BF5" s="614"/>
      <c r="BG5" s="614"/>
      <c r="BH5" s="614"/>
      <c r="BI5" s="614"/>
      <c r="BJ5" s="614"/>
      <c r="BK5" s="614"/>
      <c r="BL5" s="614"/>
      <c r="BM5" s="614"/>
      <c r="BN5" s="614"/>
      <c r="BO5" s="614"/>
      <c r="BP5" s="614"/>
      <c r="BQ5" s="614"/>
      <c r="BR5" s="614"/>
      <c r="BS5" s="614"/>
      <c r="BT5" s="614"/>
      <c r="BU5" s="614"/>
      <c r="BV5" s="614"/>
      <c r="BW5" s="614"/>
      <c r="BX5" s="614"/>
      <c r="BY5" s="614"/>
      <c r="BZ5" s="614"/>
      <c r="CA5" s="614"/>
      <c r="CB5" s="614"/>
      <c r="CC5" s="614"/>
      <c r="CD5" s="614"/>
      <c r="CE5" s="614"/>
      <c r="CF5" s="614"/>
      <c r="CG5" s="614"/>
      <c r="CH5" s="614"/>
      <c r="CI5" s="614"/>
      <c r="CJ5" s="614"/>
      <c r="CK5" s="614"/>
      <c r="CL5" s="614"/>
      <c r="CM5" s="614"/>
      <c r="CN5" s="614"/>
      <c r="CO5" s="614"/>
      <c r="CP5" s="614"/>
      <c r="CQ5" s="614"/>
      <c r="CR5" s="614"/>
      <c r="CS5" s="614"/>
      <c r="CT5" s="614"/>
      <c r="CU5" s="614"/>
      <c r="CV5" s="614"/>
      <c r="CW5" s="614"/>
      <c r="CX5" s="614"/>
      <c r="CY5" s="614"/>
      <c r="CZ5" s="614"/>
      <c r="DA5" s="614"/>
      <c r="DB5" s="614"/>
    </row>
    <row r="6" spans="1:106" ht="20.25" customHeight="1">
      <c r="A6" s="4223"/>
      <c r="B6" s="4224"/>
      <c r="C6" s="4224"/>
      <c r="D6" s="4225"/>
      <c r="E6" s="4412"/>
      <c r="F6" s="4412"/>
      <c r="G6" s="3575"/>
      <c r="H6" s="3579" t="s">
        <v>222</v>
      </c>
      <c r="I6" s="3579" t="s">
        <v>222</v>
      </c>
      <c r="J6" s="3579"/>
      <c r="Q6" s="614"/>
      <c r="R6" s="614"/>
      <c r="S6" s="614"/>
      <c r="T6" s="614"/>
      <c r="U6" s="614"/>
      <c r="V6" s="614"/>
      <c r="W6" s="614"/>
      <c r="X6" s="614"/>
      <c r="Y6" s="614"/>
      <c r="Z6" s="614"/>
      <c r="AA6" s="614"/>
      <c r="AB6" s="614"/>
      <c r="AC6" s="614"/>
      <c r="AD6" s="614"/>
      <c r="AE6" s="614"/>
      <c r="AF6" s="614"/>
      <c r="AG6" s="614"/>
      <c r="AH6" s="614"/>
      <c r="AI6" s="614"/>
      <c r="AJ6" s="614"/>
      <c r="AK6" s="614"/>
      <c r="AL6" s="614"/>
      <c r="AM6" s="614"/>
      <c r="AN6" s="614"/>
      <c r="AO6" s="614"/>
      <c r="AP6" s="614"/>
      <c r="AQ6" s="614"/>
      <c r="AR6" s="614"/>
      <c r="AS6" s="614"/>
      <c r="AT6" s="614"/>
      <c r="AU6" s="614"/>
      <c r="AV6" s="614"/>
      <c r="AW6" s="614"/>
      <c r="AX6" s="614"/>
      <c r="AY6" s="614"/>
      <c r="AZ6" s="614"/>
      <c r="BA6" s="614"/>
      <c r="BB6" s="614"/>
      <c r="BC6" s="614"/>
      <c r="BD6" s="614"/>
      <c r="BE6" s="614"/>
      <c r="BF6" s="614"/>
      <c r="BG6" s="614"/>
      <c r="BH6" s="614"/>
      <c r="BI6" s="614"/>
      <c r="BJ6" s="614"/>
      <c r="BK6" s="614"/>
      <c r="BL6" s="614"/>
      <c r="BM6" s="614"/>
      <c r="BN6" s="614"/>
      <c r="BO6" s="614"/>
      <c r="BP6" s="614"/>
      <c r="BQ6" s="614"/>
      <c r="BR6" s="614"/>
      <c r="BS6" s="614"/>
      <c r="BT6" s="614"/>
      <c r="BU6" s="614"/>
      <c r="BV6" s="614"/>
      <c r="BW6" s="614"/>
      <c r="BX6" s="614"/>
      <c r="BY6" s="614"/>
      <c r="BZ6" s="614"/>
      <c r="CA6" s="614"/>
      <c r="CB6" s="614"/>
      <c r="CC6" s="614"/>
      <c r="CD6" s="614"/>
      <c r="CE6" s="614"/>
      <c r="CF6" s="614"/>
      <c r="CG6" s="614"/>
      <c r="CH6" s="614"/>
      <c r="CI6" s="614"/>
      <c r="CJ6" s="614"/>
      <c r="CK6" s="614"/>
      <c r="CL6" s="614"/>
      <c r="CM6" s="614"/>
      <c r="CN6" s="614"/>
      <c r="CO6" s="614"/>
      <c r="CP6" s="614"/>
      <c r="CQ6" s="614"/>
      <c r="CR6" s="614"/>
      <c r="CS6" s="614"/>
      <c r="CT6" s="614"/>
      <c r="CU6" s="614"/>
      <c r="CV6" s="614"/>
      <c r="CW6" s="614"/>
      <c r="CX6" s="614"/>
      <c r="CY6" s="614"/>
      <c r="CZ6" s="614"/>
      <c r="DA6" s="614"/>
      <c r="DB6" s="614"/>
    </row>
    <row r="7" spans="1:106" s="9" customFormat="1" ht="30" customHeight="1">
      <c r="A7" s="4260" t="s">
        <v>3202</v>
      </c>
      <c r="B7" s="4828" t="s">
        <v>202</v>
      </c>
      <c r="C7" s="4829"/>
      <c r="D7" s="3604"/>
      <c r="E7" s="4213" t="s">
        <v>35</v>
      </c>
      <c r="F7" s="4213" t="s">
        <v>34</v>
      </c>
      <c r="G7" s="182" t="s">
        <v>0</v>
      </c>
      <c r="H7" s="691">
        <f>CEILING('Полотна база'!X55*(1+скидки_наценки!$B$29)*скидки_наценки!$D$13*скидки_наценки!$F$13/скидки_наценки!$B$4, 50)</f>
        <v>22000</v>
      </c>
      <c r="I7" s="691">
        <f>CEILING('Полотна база'!X55*(1+скидки_наценки!$B$29)*скидки_наценки!$D$13*скидки_наценки!$F$13/скидки_наценки!$B$4, 50)</f>
        <v>22000</v>
      </c>
      <c r="J7" s="691">
        <f>CEILING('Полотна база'!Y55*(1+скидки_наценки!$B$29)*скидки_наценки!$D$13*скидки_наценки!$F$13/скидки_наценки!$B$4, 50)</f>
        <v>27200</v>
      </c>
      <c r="Q7" s="614"/>
      <c r="R7" s="614"/>
      <c r="S7" s="614"/>
      <c r="T7" s="614"/>
      <c r="U7" s="614"/>
      <c r="V7" s="614"/>
      <c r="W7" s="614"/>
      <c r="X7" s="614"/>
      <c r="Y7" s="614"/>
      <c r="Z7" s="614"/>
      <c r="AA7" s="614"/>
      <c r="AB7" s="614"/>
      <c r="AC7" s="614"/>
      <c r="AD7" s="614"/>
      <c r="AE7" s="614"/>
      <c r="AF7" s="614"/>
      <c r="AG7" s="614"/>
      <c r="AH7" s="614"/>
      <c r="AI7" s="614"/>
      <c r="AJ7" s="614"/>
      <c r="AK7" s="614"/>
      <c r="AL7" s="614"/>
      <c r="AM7" s="614"/>
      <c r="AN7" s="614"/>
      <c r="AO7" s="614"/>
      <c r="AP7" s="614"/>
      <c r="AQ7" s="614"/>
      <c r="AR7" s="614"/>
      <c r="AS7" s="614"/>
      <c r="AT7" s="614"/>
      <c r="AU7" s="614"/>
      <c r="AV7" s="614"/>
      <c r="AW7" s="614"/>
      <c r="AX7" s="614"/>
      <c r="AY7" s="614"/>
      <c r="AZ7" s="614"/>
      <c r="BA7" s="614"/>
      <c r="BB7" s="614"/>
      <c r="BC7" s="614"/>
      <c r="BD7" s="614"/>
      <c r="BE7" s="614"/>
      <c r="BF7" s="614"/>
      <c r="BG7" s="614"/>
      <c r="BH7" s="614"/>
      <c r="BI7" s="614"/>
      <c r="BJ7" s="614"/>
      <c r="BK7" s="614"/>
      <c r="BL7" s="614"/>
      <c r="BM7" s="614"/>
      <c r="BN7" s="614"/>
      <c r="BO7" s="614"/>
      <c r="BP7" s="614"/>
      <c r="BQ7" s="614"/>
      <c r="BR7" s="614"/>
      <c r="BS7" s="614"/>
      <c r="BT7" s="614"/>
      <c r="BU7" s="614"/>
      <c r="BV7" s="614"/>
      <c r="BW7" s="614"/>
      <c r="BX7" s="614"/>
      <c r="BY7" s="614"/>
      <c r="BZ7" s="614"/>
      <c r="CA7" s="614"/>
      <c r="CB7" s="614"/>
      <c r="CC7" s="614"/>
      <c r="CD7" s="614"/>
      <c r="CE7" s="614"/>
      <c r="CF7" s="614"/>
      <c r="CG7" s="614"/>
      <c r="CH7" s="614"/>
      <c r="CI7" s="614"/>
      <c r="CJ7" s="614"/>
      <c r="CK7" s="614"/>
      <c r="CL7" s="614"/>
      <c r="CM7" s="614"/>
      <c r="CN7" s="614"/>
      <c r="CO7" s="614"/>
      <c r="CP7" s="614"/>
      <c r="CQ7" s="614"/>
      <c r="CR7" s="614"/>
      <c r="CS7" s="614"/>
      <c r="CT7" s="614"/>
      <c r="CU7" s="614"/>
      <c r="CV7" s="614"/>
      <c r="CW7" s="614"/>
      <c r="CX7" s="614"/>
      <c r="CY7" s="614"/>
      <c r="CZ7" s="614"/>
      <c r="DA7" s="614"/>
      <c r="DB7" s="614"/>
    </row>
    <row r="8" spans="1:106" s="9" customFormat="1" ht="17.25" customHeight="1">
      <c r="A8" s="4260"/>
      <c r="B8" s="4830"/>
      <c r="C8" s="4831"/>
      <c r="D8" s="3605"/>
      <c r="E8" s="4214"/>
      <c r="F8" s="4214"/>
      <c r="G8" s="2735" t="s">
        <v>306</v>
      </c>
      <c r="H8" s="3584">
        <f>IF(H7=0,0,(Алюм.погонаж!$F$6))</f>
        <v>13800</v>
      </c>
      <c r="I8" s="3584">
        <f>IF(I7=0,0,(Алюм.погонаж!$F$6))</f>
        <v>13800</v>
      </c>
      <c r="J8" s="3584">
        <f>IF(J7=0,0,(Алюм.погонаж!$F$6))</f>
        <v>13800</v>
      </c>
      <c r="Q8" s="614"/>
      <c r="R8" s="614"/>
      <c r="S8" s="614"/>
      <c r="T8" s="614"/>
      <c r="U8" s="614"/>
      <c r="V8" s="614"/>
      <c r="W8" s="614"/>
      <c r="X8" s="614"/>
      <c r="Y8" s="614"/>
      <c r="Z8" s="614"/>
      <c r="AA8" s="614"/>
      <c r="AB8" s="614"/>
      <c r="AC8" s="614"/>
      <c r="AD8" s="614"/>
      <c r="AE8" s="614"/>
      <c r="AF8" s="614"/>
      <c r="AG8" s="614"/>
      <c r="AH8" s="614"/>
      <c r="AI8" s="614"/>
      <c r="AJ8" s="614"/>
      <c r="AK8" s="614"/>
      <c r="AL8" s="614"/>
      <c r="AM8" s="614"/>
      <c r="AN8" s="614"/>
      <c r="AO8" s="614"/>
      <c r="AP8" s="614"/>
      <c r="AQ8" s="614"/>
      <c r="AR8" s="614"/>
      <c r="AS8" s="614"/>
      <c r="AT8" s="614"/>
      <c r="AU8" s="614"/>
      <c r="AV8" s="614"/>
      <c r="AW8" s="614"/>
      <c r="AX8" s="614"/>
      <c r="AY8" s="614"/>
      <c r="AZ8" s="614"/>
      <c r="BA8" s="614"/>
      <c r="BB8" s="614"/>
      <c r="BC8" s="614"/>
      <c r="BD8" s="614"/>
      <c r="BE8" s="614"/>
      <c r="BF8" s="614"/>
      <c r="BG8" s="614"/>
      <c r="BH8" s="614"/>
      <c r="BI8" s="614"/>
      <c r="BJ8" s="614"/>
      <c r="BK8" s="614"/>
      <c r="BL8" s="614"/>
      <c r="BM8" s="614"/>
      <c r="BN8" s="614"/>
      <c r="BO8" s="614"/>
      <c r="BP8" s="614"/>
      <c r="BQ8" s="614"/>
      <c r="BR8" s="614"/>
      <c r="BS8" s="614"/>
      <c r="BT8" s="614"/>
      <c r="BU8" s="614"/>
      <c r="BV8" s="614"/>
      <c r="BW8" s="614"/>
      <c r="BX8" s="614"/>
      <c r="BY8" s="614"/>
      <c r="BZ8" s="614"/>
      <c r="CA8" s="614"/>
      <c r="CB8" s="614"/>
      <c r="CC8" s="614"/>
      <c r="CD8" s="614"/>
      <c r="CE8" s="614"/>
      <c r="CF8" s="614"/>
      <c r="CG8" s="614"/>
      <c r="CH8" s="614"/>
      <c r="CI8" s="614"/>
      <c r="CJ8" s="614"/>
      <c r="CK8" s="614"/>
      <c r="CL8" s="614"/>
      <c r="CM8" s="614"/>
      <c r="CN8" s="614"/>
      <c r="CO8" s="614"/>
      <c r="CP8" s="614"/>
      <c r="CQ8" s="614"/>
      <c r="CR8" s="614"/>
      <c r="CS8" s="614"/>
      <c r="CT8" s="614"/>
      <c r="CU8" s="614"/>
      <c r="CV8" s="614"/>
      <c r="CW8" s="614"/>
      <c r="CX8" s="614"/>
      <c r="CY8" s="614"/>
      <c r="CZ8" s="614"/>
      <c r="DA8" s="614"/>
      <c r="DB8" s="614"/>
    </row>
    <row r="9" spans="1:106" s="9" customFormat="1" ht="30" customHeight="1">
      <c r="A9" s="4260"/>
      <c r="B9" s="4832"/>
      <c r="C9" s="4833"/>
      <c r="D9" s="3606"/>
      <c r="E9" s="4215"/>
      <c r="F9" s="4215"/>
      <c r="G9" s="267" t="s">
        <v>1</v>
      </c>
      <c r="H9" s="690">
        <f>H7+H8</f>
        <v>35800</v>
      </c>
      <c r="I9" s="690">
        <f>I7+I8</f>
        <v>35800</v>
      </c>
      <c r="J9" s="690">
        <f>J7+J8</f>
        <v>41000</v>
      </c>
      <c r="K9" s="238"/>
      <c r="Q9" s="614"/>
      <c r="R9" s="614"/>
      <c r="S9" s="614"/>
      <c r="T9" s="614"/>
      <c r="U9" s="614"/>
      <c r="V9" s="614"/>
      <c r="W9" s="614"/>
      <c r="X9" s="614"/>
      <c r="Y9" s="614"/>
      <c r="Z9" s="614"/>
      <c r="AA9" s="614"/>
      <c r="AB9" s="614"/>
      <c r="AC9" s="614"/>
      <c r="AD9" s="614"/>
      <c r="AE9" s="614"/>
      <c r="AF9" s="614"/>
      <c r="AG9" s="614"/>
      <c r="AH9" s="614"/>
      <c r="AI9" s="614"/>
      <c r="AJ9" s="614"/>
      <c r="AK9" s="614"/>
      <c r="AL9" s="614"/>
      <c r="AM9" s="614"/>
      <c r="AN9" s="614"/>
      <c r="AO9" s="614"/>
      <c r="AP9" s="614"/>
      <c r="AQ9" s="614"/>
      <c r="AR9" s="614"/>
      <c r="AS9" s="614"/>
      <c r="AT9" s="614"/>
      <c r="AU9" s="614"/>
      <c r="AV9" s="614"/>
      <c r="AW9" s="614"/>
      <c r="AX9" s="614"/>
      <c r="AY9" s="614"/>
      <c r="AZ9" s="614"/>
      <c r="BA9" s="614"/>
      <c r="BB9" s="614"/>
      <c r="BC9" s="614"/>
      <c r="BD9" s="614"/>
      <c r="BE9" s="614"/>
      <c r="BF9" s="614"/>
      <c r="BG9" s="614"/>
      <c r="BH9" s="614"/>
      <c r="BI9" s="614"/>
      <c r="BJ9" s="614"/>
      <c r="BK9" s="614"/>
      <c r="BL9" s="614"/>
      <c r="BM9" s="614"/>
      <c r="BN9" s="614"/>
      <c r="BO9" s="614"/>
      <c r="BP9" s="614"/>
      <c r="BQ9" s="614"/>
      <c r="BR9" s="614"/>
      <c r="BS9" s="614"/>
      <c r="BT9" s="614"/>
      <c r="BU9" s="614"/>
      <c r="BV9" s="614"/>
      <c r="BW9" s="614"/>
      <c r="BX9" s="614"/>
      <c r="BY9" s="614"/>
      <c r="BZ9" s="614"/>
      <c r="CA9" s="614"/>
      <c r="CB9" s="614"/>
      <c r="CC9" s="614"/>
      <c r="CD9" s="614"/>
      <c r="CE9" s="614"/>
      <c r="CF9" s="614"/>
      <c r="CG9" s="614"/>
      <c r="CH9" s="614"/>
      <c r="CI9" s="614"/>
      <c r="CJ9" s="614"/>
      <c r="CK9" s="614"/>
      <c r="CL9" s="614"/>
      <c r="CM9" s="614"/>
      <c r="CN9" s="614"/>
      <c r="CO9" s="614"/>
      <c r="CP9" s="614"/>
      <c r="CQ9" s="614"/>
      <c r="CR9" s="614"/>
      <c r="CS9" s="614"/>
      <c r="CT9" s="614"/>
      <c r="CU9" s="614"/>
      <c r="CV9" s="614"/>
      <c r="CW9" s="614"/>
      <c r="CX9" s="614"/>
      <c r="CY9" s="614"/>
      <c r="CZ9" s="614"/>
      <c r="DA9" s="614"/>
      <c r="DB9" s="614"/>
    </row>
    <row r="10" spans="1:106" ht="18.75" customHeight="1">
      <c r="F10" s="359" t="s">
        <v>3209</v>
      </c>
      <c r="G10" s="589"/>
      <c r="Q10" s="614"/>
      <c r="R10" s="614"/>
      <c r="S10" s="614"/>
      <c r="T10" s="614"/>
      <c r="U10" s="614"/>
      <c r="V10" s="614"/>
      <c r="W10" s="614"/>
      <c r="X10" s="614"/>
      <c r="Y10" s="614"/>
      <c r="Z10" s="614"/>
      <c r="AA10" s="614"/>
      <c r="AB10" s="614"/>
      <c r="AC10" s="614"/>
      <c r="AD10" s="614"/>
      <c r="AE10" s="614"/>
      <c r="AF10" s="614"/>
      <c r="AG10" s="614"/>
      <c r="AH10" s="614"/>
      <c r="AI10" s="614"/>
      <c r="AJ10" s="614"/>
      <c r="AK10" s="614"/>
      <c r="AL10" s="614"/>
      <c r="AM10" s="614"/>
      <c r="AN10" s="614"/>
      <c r="AO10" s="614"/>
      <c r="AP10" s="614"/>
      <c r="AQ10" s="614"/>
      <c r="AR10" s="614"/>
      <c r="AS10" s="614"/>
      <c r="AT10" s="614"/>
      <c r="AU10" s="614"/>
      <c r="AV10" s="614"/>
      <c r="AW10" s="614"/>
      <c r="AX10" s="614"/>
      <c r="AY10" s="614"/>
      <c r="AZ10" s="614"/>
      <c r="BA10" s="614"/>
      <c r="BB10" s="614"/>
      <c r="BC10" s="614"/>
      <c r="BD10" s="614"/>
      <c r="BE10" s="614"/>
      <c r="BF10" s="614"/>
      <c r="BG10" s="614"/>
      <c r="BH10" s="614"/>
      <c r="BI10" s="614"/>
      <c r="BJ10" s="614"/>
      <c r="BK10" s="614"/>
      <c r="BL10" s="614"/>
      <c r="BM10" s="614"/>
      <c r="BN10" s="614"/>
      <c r="BO10" s="614"/>
      <c r="BP10" s="614"/>
      <c r="BQ10" s="614"/>
      <c r="BR10" s="614"/>
      <c r="BS10" s="614"/>
      <c r="BT10" s="614"/>
      <c r="BU10" s="614"/>
      <c r="BV10" s="614"/>
      <c r="BW10" s="614"/>
      <c r="BX10" s="614"/>
      <c r="BY10" s="614"/>
      <c r="BZ10" s="614"/>
      <c r="CA10" s="614"/>
      <c r="CB10" s="614"/>
      <c r="CC10" s="614"/>
      <c r="CD10" s="614"/>
      <c r="CE10" s="614"/>
      <c r="CF10" s="614"/>
      <c r="CG10" s="614"/>
      <c r="CH10" s="614"/>
      <c r="CI10" s="614"/>
      <c r="CJ10" s="614"/>
      <c r="CK10" s="614"/>
      <c r="CL10" s="614"/>
      <c r="CM10" s="614"/>
      <c r="CN10" s="614"/>
      <c r="CO10" s="614"/>
      <c r="CP10" s="614"/>
      <c r="CQ10" s="614"/>
      <c r="CR10" s="614"/>
      <c r="CS10" s="614"/>
      <c r="CT10" s="614"/>
      <c r="CU10" s="614"/>
      <c r="CV10" s="614"/>
      <c r="CW10" s="614"/>
      <c r="CX10" s="614"/>
      <c r="CY10" s="614"/>
      <c r="CZ10" s="614"/>
      <c r="DA10" s="614"/>
      <c r="DB10" s="614"/>
    </row>
    <row r="11" spans="1:106" ht="34.5" customHeight="1">
      <c r="B11" s="32"/>
      <c r="C11" s="32"/>
      <c r="D11" s="32"/>
      <c r="F11" s="589" t="s">
        <v>3208</v>
      </c>
    </row>
    <row r="12" spans="1:106">
      <c r="B12" s="19" t="s">
        <v>165</v>
      </c>
      <c r="C12" s="32"/>
      <c r="D12" s="32"/>
    </row>
    <row r="13" spans="1:106" ht="42" customHeight="1">
      <c r="A13" s="4834" t="s">
        <v>3204</v>
      </c>
      <c r="B13" s="4835"/>
      <c r="C13" s="3568"/>
      <c r="D13" s="3569"/>
      <c r="E13" s="3570"/>
      <c r="F13" s="3576"/>
      <c r="G13" s="3565"/>
      <c r="H13" s="2886"/>
      <c r="I13" s="2886"/>
      <c r="J13" s="2886"/>
    </row>
    <row r="14" spans="1:106" ht="42" customHeight="1">
      <c r="A14" s="4834" t="s">
        <v>3205</v>
      </c>
      <c r="B14" s="4835"/>
      <c r="C14" s="3571"/>
      <c r="D14" s="3572"/>
      <c r="E14" s="3573"/>
      <c r="F14" s="3607"/>
      <c r="G14" s="3567"/>
      <c r="H14" s="3608"/>
      <c r="I14" s="3608"/>
      <c r="J14" s="3608"/>
    </row>
    <row r="15" spans="1:106" ht="23.25" customHeight="1">
      <c r="A15" s="3574"/>
      <c r="B15" s="19" t="s">
        <v>3203</v>
      </c>
      <c r="C15" s="19"/>
      <c r="D15" s="19"/>
      <c r="E15" s="3574"/>
      <c r="F15" s="3574"/>
      <c r="G15" s="377" t="s">
        <v>390</v>
      </c>
      <c r="H15" s="377" t="s">
        <v>344</v>
      </c>
      <c r="I15" s="3574"/>
      <c r="J15" s="3574"/>
    </row>
    <row r="16" spans="1:106" ht="14.45" customHeight="1">
      <c r="A16" s="4220" t="s">
        <v>39</v>
      </c>
      <c r="B16" s="4222"/>
      <c r="C16" s="4220" t="s">
        <v>212</v>
      </c>
      <c r="D16" s="4221"/>
      <c r="E16" s="4222"/>
      <c r="F16" s="4201" t="s">
        <v>40</v>
      </c>
      <c r="G16" s="4201" t="s">
        <v>38</v>
      </c>
      <c r="H16" s="3578" t="str">
        <f>H5</f>
        <v xml:space="preserve">Steel 1 </v>
      </c>
      <c r="I16" s="3578" t="str">
        <f>I5</f>
        <v>Steel 2</v>
      </c>
      <c r="J16" s="3578" t="str">
        <f>J5</f>
        <v>Steel 3</v>
      </c>
    </row>
    <row r="17" spans="1:14">
      <c r="A17" s="4477"/>
      <c r="B17" s="4478"/>
      <c r="C17" s="4477"/>
      <c r="D17" s="4650"/>
      <c r="E17" s="4478"/>
      <c r="F17" s="4472"/>
      <c r="G17" s="4472"/>
      <c r="H17" s="3578"/>
      <c r="I17" s="3578"/>
      <c r="J17" s="3578"/>
    </row>
    <row r="18" spans="1:14" s="20" customFormat="1" ht="15" customHeight="1">
      <c r="A18" s="4223"/>
      <c r="B18" s="4225"/>
      <c r="C18" s="4223"/>
      <c r="D18" s="4224"/>
      <c r="E18" s="4225"/>
      <c r="F18" s="4202"/>
      <c r="G18" s="4202"/>
      <c r="H18" s="2437" t="s">
        <v>2738</v>
      </c>
      <c r="I18" s="2437" t="s">
        <v>222</v>
      </c>
      <c r="J18" s="2437" t="s">
        <v>222</v>
      </c>
    </row>
    <row r="19" spans="1:14" s="3574" customFormat="1" ht="25.15" customHeight="1">
      <c r="A19" s="4460" t="s">
        <v>33</v>
      </c>
      <c r="B19" s="4461"/>
      <c r="C19" s="4556" t="s">
        <v>32</v>
      </c>
      <c r="D19" s="4839"/>
      <c r="E19" s="4557"/>
      <c r="F19" s="132" t="s">
        <v>216</v>
      </c>
      <c r="G19" s="47" t="s">
        <v>4</v>
      </c>
      <c r="H19" s="371">
        <f>CEILING('стекло+зеркала_база'!C79+'стекло+зеркала_база'!I79*(1+скидки_наценки!$B$32)*скидки_наценки!$D$13*скидки_наценки!$F$13/скидки_наценки!$B$4, 50)</f>
        <v>2200</v>
      </c>
      <c r="I19" s="371">
        <f>CEILING('стекло+зеркала_база'!C80*(1+скидки_наценки!$B$32)*скидки_наценки!$D$13*скидки_наценки!$F$13/скидки_наценки!$B$4, 50)</f>
        <v>1000</v>
      </c>
      <c r="J19" s="371" t="e">
        <f>#REF!</f>
        <v>#REF!</v>
      </c>
      <c r="K19" s="389"/>
    </row>
    <row r="20" spans="1:14" s="3574" customFormat="1" ht="25.15" customHeight="1">
      <c r="A20" s="4462"/>
      <c r="B20" s="4463"/>
      <c r="C20" s="4558" t="s">
        <v>2421</v>
      </c>
      <c r="D20" s="4840"/>
      <c r="E20" s="4559"/>
      <c r="F20" s="3577" t="s">
        <v>217</v>
      </c>
      <c r="G20" s="188" t="s">
        <v>4</v>
      </c>
      <c r="H20" s="3584">
        <f>CEILING(('стекло+зеркала_база'!D79+'стекло+зеркала_база'!I79)*(1+скидки_наценки!$B$32)*скидки_наценки!$D$13*скидки_наценки!$F$13/скидки_наценки!$B$4, 50)</f>
        <v>2700</v>
      </c>
      <c r="I20" s="3584">
        <f>CEILING('стекло+зеркала_база'!D80*(1+скидки_наценки!$B$32)*скидки_наценки!$D$13*скидки_наценки!$F$13/скидки_наценки!$B$4, 50)</f>
        <v>1300</v>
      </c>
      <c r="J20" s="3584" t="e">
        <f>#REF!</f>
        <v>#REF!</v>
      </c>
      <c r="K20" s="389"/>
    </row>
    <row r="21" spans="1:14" s="3574" customFormat="1" ht="25.15" customHeight="1">
      <c r="A21" s="4464"/>
      <c r="B21" s="4465"/>
      <c r="C21" s="4560" t="s">
        <v>2422</v>
      </c>
      <c r="D21" s="4841"/>
      <c r="E21" s="4561"/>
      <c r="F21" s="1005" t="s">
        <v>217</v>
      </c>
      <c r="G21" s="3566" t="s">
        <v>4</v>
      </c>
      <c r="H21" s="327">
        <f>CEILING(('стекло+зеркала_база'!E79+'стекло+зеркала_база'!I79)*(1+скидки_наценки!$B$32)*скидки_наценки!$D$13*скидки_наценки!$F$13/скидки_наценки!$B$4, 50)</f>
        <v>3200</v>
      </c>
      <c r="I21" s="327">
        <f>CEILING('стекло+зеркала_база'!E80*(1+скидки_наценки!$B$32)*скидки_наценки!$D$13*скидки_наценки!$F$13/скидки_наценки!$B$4, 50)</f>
        <v>1700</v>
      </c>
      <c r="J21" s="327" t="e">
        <f>#REF!</f>
        <v>#REF!</v>
      </c>
      <c r="K21" s="389"/>
    </row>
    <row r="22" spans="1:14" s="3574" customFormat="1" ht="39" customHeight="1">
      <c r="A22" s="4585" t="s">
        <v>2420</v>
      </c>
      <c r="B22" s="4586"/>
      <c r="C22" s="4587" t="s">
        <v>2020</v>
      </c>
      <c r="D22" s="4842"/>
      <c r="E22" s="4588"/>
      <c r="F22" s="182" t="s">
        <v>217</v>
      </c>
      <c r="G22" s="142" t="s">
        <v>4</v>
      </c>
      <c r="H22" s="372">
        <f>CEILING(('стекло+зеркала_база'!F79+'стекло+зеркала_база'!I79)*(1+скидки_наценки!$B$32)*скидки_наценки!$D$13*скидки_наценки!$F$13/скидки_наценки!$B$4, 50)</f>
        <v>2900</v>
      </c>
      <c r="I22" s="372">
        <f>CEILING('стекло+зеркала_база'!F80*(1+скидки_наценки!$B$32)*скидки_наценки!$D$13*скидки_наценки!$F$13/скидки_наценки!$B$4, 50)</f>
        <v>1500</v>
      </c>
      <c r="J22" s="372" t="e">
        <f>#REF!</f>
        <v>#REF!</v>
      </c>
      <c r="K22" s="389"/>
    </row>
    <row r="23" spans="1:14" s="22" customFormat="1" ht="25.15" customHeight="1">
      <c r="A23" s="4452" t="s">
        <v>215</v>
      </c>
      <c r="B23" s="4453"/>
      <c r="C23" s="4574" t="s">
        <v>214</v>
      </c>
      <c r="D23" s="4836"/>
      <c r="E23" s="4575"/>
      <c r="F23" s="1005" t="s">
        <v>217</v>
      </c>
      <c r="G23" s="430" t="s">
        <v>1326</v>
      </c>
      <c r="H23" s="371">
        <f>CEILING(('стекло+зеркала_база'!G79+'стекло+зеркала_база'!I79)*(1+скидки_наценки!$B$32)*скидки_наценки!$D$13*скидки_наценки!$F$13/скидки_наценки!$B$4, 50)</f>
        <v>3300</v>
      </c>
      <c r="I23" s="371">
        <f>CEILING('стекло+зеркала_база'!G80*(1+скидки_наценки!$B$32)*скидки_наценки!$D$13*скидки_наценки!$F$13/скидки_наценки!$B$4, 50)</f>
        <v>1700</v>
      </c>
      <c r="J23" s="371" t="e">
        <f>#REF!</f>
        <v>#REF!</v>
      </c>
      <c r="K23" s="389"/>
    </row>
    <row r="24" spans="1:14" s="68" customFormat="1" ht="15" customHeight="1">
      <c r="A24" s="4807" t="s">
        <v>218</v>
      </c>
      <c r="B24" s="4808"/>
      <c r="C24" s="2369"/>
      <c r="D24" s="2369"/>
      <c r="E24" s="2369"/>
      <c r="F24" s="2369"/>
      <c r="G24" s="2369"/>
      <c r="H24" s="2369"/>
      <c r="I24" s="2369"/>
      <c r="J24" s="2369"/>
      <c r="K24" s="390"/>
    </row>
    <row r="25" spans="1:14" s="22" customFormat="1" ht="18" customHeight="1">
      <c r="A25" s="4456" t="s">
        <v>224</v>
      </c>
      <c r="B25" s="4456"/>
      <c r="C25" s="4456" t="s">
        <v>484</v>
      </c>
      <c r="D25" s="4838"/>
      <c r="E25" s="4456"/>
      <c r="F25" s="4456"/>
      <c r="G25" s="4456"/>
      <c r="H25" s="333">
        <f>CEILING('стекло+зеркала_база'!N79*(1+скидки_наценки!$B$32)*скидки_наценки!$D$13*скидки_наценки!$F$13/скидки_наценки!$B$4, 50)</f>
        <v>700</v>
      </c>
      <c r="I25" s="333">
        <f>CEILING('стекло+зеркала_база'!N79*(1+скидки_наценки!$B$32)*скидки_наценки!$D$13*скидки_наценки!$F$13/скидки_наценки!$B$4, 50)</f>
        <v>700</v>
      </c>
      <c r="J25" s="333" t="e">
        <f>#REF!</f>
        <v>#REF!</v>
      </c>
      <c r="K25" s="390"/>
    </row>
    <row r="26" spans="1:14" s="22" customFormat="1" ht="48" customHeight="1">
      <c r="A26" s="4457" t="s">
        <v>363</v>
      </c>
      <c r="B26" s="4458"/>
      <c r="C26" s="4459" t="s">
        <v>485</v>
      </c>
      <c r="D26" s="4837"/>
      <c r="E26" s="4459"/>
      <c r="F26" s="4459"/>
      <c r="G26" s="4459"/>
      <c r="H26" s="2895" t="s">
        <v>2435</v>
      </c>
      <c r="I26" s="2891">
        <f>CEILING('стекло+зеркала_база'!I79*(1+скидки_наценки!$B$32)*скидки_наценки!$D$13*скидки_наценки!$F$13/скидки_наценки!$B$4, 50)</f>
        <v>700</v>
      </c>
      <c r="J26" s="2891" t="e">
        <f>#REF!</f>
        <v>#REF!</v>
      </c>
      <c r="K26" s="450"/>
      <c r="L26" s="451"/>
      <c r="M26" s="451"/>
      <c r="N26" s="451"/>
    </row>
    <row r="27" spans="1:14" s="22" customFormat="1" ht="15.75">
      <c r="A27" s="2372"/>
      <c r="B27" s="2372"/>
      <c r="C27" s="2372"/>
      <c r="D27" s="2372"/>
      <c r="E27" s="2372"/>
      <c r="F27" s="2372"/>
      <c r="G27" s="2372"/>
      <c r="H27" s="3609"/>
      <c r="I27" s="2370"/>
      <c r="J27" s="2370"/>
      <c r="K27" s="451"/>
      <c r="L27" s="451"/>
      <c r="M27" s="451"/>
      <c r="N27" s="451"/>
    </row>
    <row r="28" spans="1:14" s="22" customFormat="1" ht="15.75">
      <c r="A28" s="2372"/>
      <c r="B28" s="19" t="s">
        <v>696</v>
      </c>
      <c r="C28" s="19" t="s">
        <v>2869</v>
      </c>
      <c r="D28" s="2372"/>
      <c r="E28" s="2372"/>
      <c r="F28" s="2372"/>
      <c r="G28" s="2372"/>
      <c r="H28" s="3609"/>
      <c r="I28" s="2370"/>
      <c r="J28" s="2370"/>
      <c r="K28" s="451"/>
      <c r="L28" s="451"/>
      <c r="M28" s="451"/>
      <c r="N28" s="451"/>
    </row>
    <row r="29" spans="1:14" s="22" customFormat="1" ht="15.75">
      <c r="A29" s="2372"/>
      <c r="B29" s="2372"/>
      <c r="C29" s="2372"/>
      <c r="D29" s="2372"/>
      <c r="E29" s="2372"/>
      <c r="F29" s="2372"/>
      <c r="G29" s="2372"/>
      <c r="H29" s="3609"/>
      <c r="I29" s="2370"/>
      <c r="J29" s="2370"/>
      <c r="K29" s="451"/>
      <c r="L29" s="451"/>
      <c r="M29" s="451"/>
      <c r="N29" s="451"/>
    </row>
    <row r="30" spans="1:14" s="22" customFormat="1" ht="15.75">
      <c r="A30" s="2372"/>
      <c r="B30" s="2372"/>
      <c r="C30" s="2372"/>
      <c r="D30" s="2372"/>
      <c r="E30" s="2372"/>
      <c r="F30" s="2372"/>
      <c r="G30" s="2372"/>
      <c r="H30" s="2370"/>
      <c r="I30" s="2370"/>
      <c r="J30" s="2370"/>
      <c r="K30" s="451"/>
      <c r="L30" s="451"/>
      <c r="M30" s="451"/>
      <c r="N30" s="451"/>
    </row>
    <row r="31" spans="1:14">
      <c r="A31" s="3574"/>
      <c r="B31" s="19" t="s">
        <v>20</v>
      </c>
      <c r="C31" s="19"/>
      <c r="D31" s="19"/>
      <c r="E31" s="3574"/>
      <c r="F31" s="3574"/>
      <c r="G31" s="3574"/>
      <c r="H31" s="6"/>
      <c r="I31" s="3574"/>
      <c r="J31" s="3574"/>
    </row>
    <row r="32" spans="1:14" ht="14.45" customHeight="1">
      <c r="A32" s="4578" t="s">
        <v>3</v>
      </c>
      <c r="B32" s="4579"/>
      <c r="C32" s="4579"/>
      <c r="D32" s="4579"/>
      <c r="E32" s="4579"/>
      <c r="F32" s="4579"/>
      <c r="G32" s="4580"/>
      <c r="H32" s="3587" t="s">
        <v>947</v>
      </c>
      <c r="I32" s="3586" t="s">
        <v>945</v>
      </c>
      <c r="J32" s="3586" t="str">
        <f>J5</f>
        <v>Steel 3</v>
      </c>
    </row>
    <row r="33" spans="1:10" s="3574" customFormat="1" ht="15" customHeight="1">
      <c r="A33" s="4562" t="s">
        <v>1233</v>
      </c>
      <c r="B33" s="4563"/>
      <c r="C33" s="4564"/>
      <c r="D33" s="3582"/>
      <c r="E33" s="4568" t="s">
        <v>1220</v>
      </c>
      <c r="F33" s="4569"/>
      <c r="G33" s="4570"/>
      <c r="H33" s="2591">
        <f>CEILING('стекло+зеркала_база'!H15*(1+скидки_наценки!$B$32)*скидки_наценки!$D$13*скидки_наценки!$F$13/скидки_наценки!$B$4, 50)</f>
        <v>8000</v>
      </c>
      <c r="I33" s="2591">
        <f>CEILING('стекло+зеркала_база'!H16*(1+скидки_наценки!$B$32)*скидки_наценки!$D$13*скидки_наценки!$F$13/скидки_наценки!$B$4, 50)</f>
        <v>5500</v>
      </c>
      <c r="J33" s="1073" t="s">
        <v>4</v>
      </c>
    </row>
    <row r="34" spans="1:10" s="68" customFormat="1" ht="15" customHeight="1">
      <c r="A34" s="4565"/>
      <c r="B34" s="4566"/>
      <c r="C34" s="4567"/>
      <c r="D34" s="3583"/>
      <c r="E34" s="4571" t="s">
        <v>2692</v>
      </c>
      <c r="F34" s="4572"/>
      <c r="G34" s="4573"/>
      <c r="H34" s="3581">
        <f>CEILING('стекло+зеркала_база'!I15*(1+скидки_наценки!$B$32)*скидки_наценки!$D$13*скидки_наценки!$F$13/скидки_наценки!$B$4, 50)</f>
        <v>9000</v>
      </c>
      <c r="I34" s="2469">
        <f>'стекло+зеркала_база'!I16*скидки_наценки!$D$13*скидки_наценки!$F$13/скидки_наценки!$B$4</f>
        <v>6500</v>
      </c>
      <c r="J34" s="1074" t="s">
        <v>4</v>
      </c>
    </row>
    <row r="35" spans="1:10" ht="18" customHeight="1">
      <c r="A35" s="28"/>
      <c r="B35" s="42"/>
      <c r="C35" s="42"/>
      <c r="D35" s="42"/>
      <c r="G35" s="589"/>
    </row>
    <row r="36" spans="1:10" ht="18" customHeight="1">
      <c r="A36" s="28"/>
      <c r="B36" s="19" t="s">
        <v>29</v>
      </c>
      <c r="C36" s="42"/>
      <c r="D36" s="42"/>
      <c r="G36" s="589"/>
    </row>
    <row r="37" spans="1:10" ht="18" customHeight="1">
      <c r="A37" s="28"/>
      <c r="B37" s="42" t="s">
        <v>3210</v>
      </c>
      <c r="C37" s="42"/>
      <c r="D37" s="42"/>
      <c r="G37" s="589"/>
    </row>
    <row r="38" spans="1:10" ht="18" customHeight="1">
      <c r="A38" s="28"/>
      <c r="B38" s="42" t="s">
        <v>3211</v>
      </c>
      <c r="C38" s="42"/>
      <c r="D38" s="42"/>
      <c r="G38" s="589"/>
    </row>
    <row r="39" spans="1:10" ht="15" customHeight="1">
      <c r="A39" s="3574"/>
      <c r="B39" s="19"/>
      <c r="C39" s="19"/>
      <c r="D39" s="19"/>
      <c r="E39" s="3574"/>
      <c r="F39" s="3574"/>
      <c r="G39" s="6"/>
      <c r="H39" s="3574"/>
      <c r="I39" s="3574"/>
      <c r="J39" s="3574"/>
    </row>
    <row r="40" spans="1:10" ht="18" customHeight="1">
      <c r="A40" s="3574"/>
      <c r="B40" s="22"/>
      <c r="C40" s="22"/>
      <c r="D40" s="22"/>
      <c r="E40" s="3574"/>
      <c r="F40" s="3574"/>
      <c r="G40" s="6"/>
      <c r="H40" s="3574"/>
      <c r="I40" s="3574"/>
      <c r="J40" s="3574"/>
    </row>
    <row r="41" spans="1:10" ht="18" customHeight="1">
      <c r="A41" s="3574"/>
      <c r="I41" s="3574"/>
      <c r="J41" s="3574"/>
    </row>
    <row r="42" spans="1:10" ht="18" customHeight="1">
      <c r="A42" s="3574"/>
      <c r="I42" s="3574"/>
      <c r="J42" s="3574"/>
    </row>
    <row r="43" spans="1:10" ht="18" customHeight="1">
      <c r="A43" s="3574"/>
      <c r="B43" s="49"/>
      <c r="C43" s="49"/>
      <c r="D43" s="49"/>
      <c r="E43" s="49"/>
      <c r="F43" s="49"/>
      <c r="G43" s="6"/>
      <c r="H43" s="3574"/>
      <c r="I43" s="49"/>
    </row>
    <row r="44" spans="1:10" ht="18" customHeight="1">
      <c r="A44" s="3574"/>
      <c r="B44" s="22"/>
      <c r="C44" s="22"/>
      <c r="D44" s="22"/>
      <c r="E44" s="3574"/>
      <c r="F44" s="3574"/>
      <c r="G44" s="6"/>
      <c r="H44" s="3574"/>
      <c r="I44" s="49"/>
      <c r="J44" s="49"/>
    </row>
    <row r="45" spans="1:10" ht="18" customHeight="1">
      <c r="A45" s="3574"/>
      <c r="B45" s="22"/>
      <c r="C45" s="22"/>
      <c r="D45" s="22"/>
      <c r="E45" s="3574"/>
      <c r="F45" s="3574"/>
      <c r="G45" s="6"/>
      <c r="H45" s="3574"/>
      <c r="I45" s="49"/>
      <c r="J45" s="49"/>
    </row>
    <row r="46" spans="1:10" ht="18" customHeight="1">
      <c r="A46" s="3574"/>
      <c r="B46" s="22"/>
      <c r="C46" s="22"/>
      <c r="D46" s="22"/>
      <c r="E46" s="3574"/>
      <c r="F46" s="3574"/>
      <c r="G46" s="6"/>
      <c r="H46" s="3574"/>
      <c r="I46" s="3574"/>
      <c r="J46" s="3574"/>
    </row>
    <row r="47" spans="1:10" ht="18" customHeight="1">
      <c r="A47" s="28"/>
      <c r="B47" s="28"/>
      <c r="C47" s="28"/>
      <c r="D47" s="28"/>
      <c r="E47" s="28"/>
      <c r="F47" s="28"/>
      <c r="G47" s="28"/>
      <c r="H47" s="29"/>
      <c r="I47" s="29"/>
      <c r="J47" s="29"/>
    </row>
    <row r="48" spans="1:10" ht="18" customHeight="1">
      <c r="A48" s="28"/>
      <c r="B48" s="44"/>
      <c r="C48" s="44"/>
      <c r="D48" s="44"/>
      <c r="E48" s="44"/>
      <c r="F48" s="44"/>
      <c r="G48" s="44"/>
      <c r="H48" s="44"/>
      <c r="I48" s="29"/>
      <c r="J48" s="29"/>
    </row>
    <row r="49" spans="1:10" ht="18" customHeight="1">
      <c r="A49" s="28"/>
      <c r="B49" s="44"/>
      <c r="C49" s="44"/>
      <c r="D49" s="44"/>
      <c r="E49" s="44"/>
      <c r="F49" s="44"/>
      <c r="G49" s="44"/>
      <c r="H49" s="44"/>
      <c r="I49" s="29"/>
      <c r="J49" s="29"/>
    </row>
    <row r="50" spans="1:10" ht="18" customHeight="1">
      <c r="B50" s="32"/>
      <c r="C50" s="32"/>
      <c r="D50" s="32"/>
      <c r="G50" s="589"/>
    </row>
    <row r="51" spans="1:10" ht="18" customHeight="1">
      <c r="B51" s="32"/>
      <c r="C51" s="32"/>
      <c r="D51" s="32"/>
      <c r="G51" s="589"/>
    </row>
    <row r="52" spans="1:10" ht="18" customHeight="1">
      <c r="B52" s="16"/>
      <c r="C52" s="16"/>
      <c r="D52" s="16"/>
      <c r="G52" s="589"/>
    </row>
    <row r="53" spans="1:10" ht="18" customHeight="1">
      <c r="B53" s="16"/>
      <c r="C53" s="16"/>
      <c r="D53" s="16"/>
      <c r="G53" s="589"/>
    </row>
    <row r="54" spans="1:10" ht="18" customHeight="1">
      <c r="B54" s="19"/>
      <c r="C54" s="16"/>
      <c r="D54" s="16"/>
      <c r="G54" s="589"/>
    </row>
    <row r="55" spans="1:10" ht="18" customHeight="1">
      <c r="B55" s="49"/>
      <c r="C55" s="49"/>
      <c r="D55" s="49"/>
      <c r="E55" s="49"/>
      <c r="F55" s="49"/>
      <c r="G55" s="49"/>
      <c r="H55" s="49"/>
    </row>
    <row r="56" spans="1:10" ht="18" customHeight="1">
      <c r="B56" s="49"/>
      <c r="C56" s="49"/>
      <c r="D56" s="49"/>
      <c r="E56" s="49"/>
      <c r="F56" s="49"/>
      <c r="G56" s="49"/>
      <c r="H56" s="49"/>
    </row>
    <row r="57" spans="1:10" ht="15" customHeight="1">
      <c r="A57" s="3574"/>
      <c r="C57" s="19"/>
      <c r="D57" s="19"/>
      <c r="E57" s="3574"/>
      <c r="F57" s="3574"/>
      <c r="G57" s="6"/>
      <c r="H57" s="3574"/>
      <c r="I57" s="3574"/>
      <c r="J57" s="3574"/>
    </row>
    <row r="58" spans="1:10" ht="18" customHeight="1"/>
    <row r="59" spans="1:10" ht="18" customHeight="1"/>
    <row r="60" spans="1:10" ht="18" customHeight="1"/>
    <row r="61" spans="1:10" ht="18" customHeight="1"/>
    <row r="62" spans="1:10" ht="18" customHeight="1"/>
    <row r="63" spans="1:10" ht="18" customHeight="1"/>
    <row r="64" spans="1:10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  <row r="71" ht="18" customHeight="1"/>
    <row r="72" ht="18" customHeight="1"/>
    <row r="73" ht="18" customHeight="1"/>
    <row r="74" ht="18" customHeight="1"/>
    <row r="75" ht="18" customHeight="1"/>
    <row r="76" ht="18" customHeight="1"/>
    <row r="77" ht="18" customHeight="1"/>
    <row r="78" ht="18" customHeight="1"/>
    <row r="79" ht="18" customHeight="1"/>
    <row r="80" ht="18" customHeight="1"/>
    <row r="81" ht="18" customHeight="1"/>
    <row r="82" ht="18" customHeight="1"/>
    <row r="83" ht="18" customHeight="1"/>
    <row r="84" ht="18" customHeight="1"/>
    <row r="85" ht="18" customHeight="1"/>
  </sheetData>
  <mergeCells count="32">
    <mergeCell ref="B3:F3"/>
    <mergeCell ref="A7:A9"/>
    <mergeCell ref="E7:E9"/>
    <mergeCell ref="F7:F9"/>
    <mergeCell ref="A25:B25"/>
    <mergeCell ref="C25:G25"/>
    <mergeCell ref="A16:B18"/>
    <mergeCell ref="C16:E18"/>
    <mergeCell ref="F16:F18"/>
    <mergeCell ref="G16:G18"/>
    <mergeCell ref="A19:B21"/>
    <mergeCell ref="C19:E19"/>
    <mergeCell ref="C20:E20"/>
    <mergeCell ref="C21:E21"/>
    <mergeCell ref="A22:B22"/>
    <mergeCell ref="C22:E22"/>
    <mergeCell ref="A32:G32"/>
    <mergeCell ref="A33:C34"/>
    <mergeCell ref="E33:G33"/>
    <mergeCell ref="E34:G34"/>
    <mergeCell ref="A13:B13"/>
    <mergeCell ref="A14:B14"/>
    <mergeCell ref="A23:B23"/>
    <mergeCell ref="C23:E23"/>
    <mergeCell ref="A24:B24"/>
    <mergeCell ref="A26:B26"/>
    <mergeCell ref="C26:G26"/>
    <mergeCell ref="F5:F6"/>
    <mergeCell ref="E5:E6"/>
    <mergeCell ref="D5:D6"/>
    <mergeCell ref="A5:C6"/>
    <mergeCell ref="B7:C9"/>
  </mergeCells>
  <conditionalFormatting sqref="H50:I54 H11:I12">
    <cfRule type="cellIs" dxfId="122" priority="1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80" firstPageNumber="20" orientation="landscape" useFirstPageNumber="1" r:id="rId1"/>
  <headerFooter>
    <oddFooter>&amp;L&amp;P&amp;R&amp;G</oddFooter>
  </headerFooter>
  <rowBreaks count="3" manualBreakCount="3">
    <brk id="9" max="9" man="1"/>
    <brk id="34" max="9" man="1"/>
    <brk id="79" max="12" man="1"/>
  </row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17">
    <tabColor rgb="FFFFC000"/>
  </sheetPr>
  <dimension ref="A1:EP395"/>
  <sheetViews>
    <sheetView topLeftCell="Q1" zoomScale="85" zoomScaleNormal="85" zoomScaleSheetLayoutView="91" zoomScalePageLayoutView="55" workbookViewId="0">
      <selection activeCell="AW33" sqref="AW33"/>
    </sheetView>
  </sheetViews>
  <sheetFormatPr defaultColWidth="9.140625" defaultRowHeight="12.75" outlineLevelRow="3" outlineLevelCol="1"/>
  <cols>
    <col min="1" max="1" width="15" style="1743" customWidth="1"/>
    <col min="2" max="2" width="15.42578125" style="1743" bestFit="1" customWidth="1"/>
    <col min="3" max="3" width="8.5703125" style="1744" hidden="1" customWidth="1" outlineLevel="1"/>
    <col min="4" max="4" width="9.7109375" style="1743" bestFit="1" customWidth="1" collapsed="1"/>
    <col min="5" max="5" width="10.28515625" style="1743" customWidth="1"/>
    <col min="6" max="6" width="11" style="1743" hidden="1" customWidth="1" outlineLevel="1"/>
    <col min="7" max="7" width="15.5703125" style="1743" hidden="1" customWidth="1" outlineLevel="1"/>
    <col min="8" max="8" width="12.85546875" style="1743" hidden="1" customWidth="1" outlineLevel="1"/>
    <col min="9" max="9" width="11.28515625" style="1743" hidden="1" customWidth="1" outlineLevel="1"/>
    <col min="10" max="10" width="7.42578125" style="1743" hidden="1" customWidth="1" outlineLevel="1"/>
    <col min="11" max="11" width="9.5703125" style="1743" hidden="1" customWidth="1" outlineLevel="1" collapsed="1"/>
    <col min="12" max="12" width="8.140625" style="1743" hidden="1" customWidth="1" outlineLevel="1"/>
    <col min="13" max="13" width="9.5703125" style="1743" hidden="1" customWidth="1" outlineLevel="1"/>
    <col min="14" max="14" width="10.5703125" style="1743" hidden="1" customWidth="1" outlineLevel="1"/>
    <col min="15" max="15" width="11.5703125" style="1743" hidden="1" customWidth="1" outlineLevel="1"/>
    <col min="16" max="16" width="14.42578125" style="1743" hidden="1" customWidth="1" outlineLevel="1"/>
    <col min="17" max="17" width="14.7109375" style="1743" customWidth="1" collapsed="1"/>
    <col min="18" max="18" width="14.42578125" style="1743" hidden="1" customWidth="1" outlineLevel="1"/>
    <col min="19" max="19" width="11.85546875" style="1743" hidden="1" customWidth="1" outlineLevel="1"/>
    <col min="20" max="20" width="9.7109375" style="1743" customWidth="1" collapsed="1"/>
    <col min="21" max="27" width="8.42578125" style="1743" hidden="1" customWidth="1" outlineLevel="1"/>
    <col min="28" max="28" width="9.28515625" style="1743" hidden="1" customWidth="1" outlineLevel="1"/>
    <col min="29" max="29" width="10.5703125" style="1743" hidden="1" customWidth="1" outlineLevel="1"/>
    <col min="30" max="30" width="8.42578125" style="1743" hidden="1" customWidth="1" outlineLevel="1"/>
    <col min="31" max="31" width="12.28515625" style="1743" hidden="1" customWidth="1" outlineLevel="1"/>
    <col min="32" max="32" width="8.42578125" style="1743" hidden="1" customWidth="1" outlineLevel="1"/>
    <col min="33" max="38" width="9.140625" style="1743" hidden="1" customWidth="1" outlineLevel="1"/>
    <col min="39" max="39" width="11.5703125" style="1743" hidden="1" customWidth="1" outlineLevel="1"/>
    <col min="40" max="40" width="9.28515625" style="1743" hidden="1" customWidth="1" outlineLevel="1"/>
    <col min="41" max="41" width="10.140625" style="1743" customWidth="1" collapsed="1"/>
    <col min="42" max="43" width="11.85546875" style="1743" hidden="1" customWidth="1" outlineLevel="1"/>
    <col min="44" max="44" width="9.140625" style="1743" customWidth="1" collapsed="1"/>
    <col min="45" max="45" width="7.42578125" style="1743" hidden="1" customWidth="1" outlineLevel="1"/>
    <col min="46" max="48" width="10.85546875" style="1743" hidden="1" customWidth="1" outlineLevel="1"/>
    <col min="49" max="49" width="8.28515625" style="1743" hidden="1" customWidth="1" outlineLevel="1"/>
    <col min="50" max="54" width="8.140625" style="1743" hidden="1" customWidth="1" outlineLevel="1"/>
    <col min="55" max="55" width="9.85546875" style="1743" hidden="1" customWidth="1" outlineLevel="1"/>
    <col min="56" max="56" width="10.42578125" style="1743" hidden="1" customWidth="1" outlineLevel="1"/>
    <col min="57" max="57" width="9.140625" style="1743" hidden="1" customWidth="1" outlineLevel="1"/>
    <col min="58" max="58" width="13.28515625" style="1743" hidden="1" customWidth="1" outlineLevel="1"/>
    <col min="59" max="59" width="6.85546875" style="1743" customWidth="1" collapsed="1"/>
    <col min="60" max="60" width="10.42578125" style="1743" customWidth="1"/>
    <col min="61" max="68" width="8.140625" style="1743" hidden="1" customWidth="1" outlineLevel="1"/>
    <col min="69" max="69" width="7" style="1743" customWidth="1" collapsed="1"/>
    <col min="70" max="70" width="7.85546875" style="1743" bestFit="1" customWidth="1"/>
    <col min="71" max="72" width="7.7109375" style="1743" hidden="1" customWidth="1" outlineLevel="1"/>
    <col min="73" max="75" width="6.140625" style="1743" hidden="1" customWidth="1" outlineLevel="1"/>
    <col min="76" max="76" width="12" style="1743" hidden="1" customWidth="1" outlineLevel="1"/>
    <col min="77" max="77" width="8.7109375" style="1743" customWidth="1" collapsed="1"/>
    <col min="78" max="78" width="9.140625" style="1743" customWidth="1"/>
    <col min="79" max="87" width="9.140625" style="1743" hidden="1" customWidth="1" outlineLevel="1"/>
    <col min="88" max="88" width="8.85546875" style="1743" hidden="1" customWidth="1" outlineLevel="1"/>
    <col min="89" max="91" width="9.140625" style="1743" hidden="1" customWidth="1" outlineLevel="1"/>
    <col min="92" max="92" width="11.5703125" style="1743" hidden="1" customWidth="1" outlineLevel="1"/>
    <col min="93" max="100" width="9.140625" style="1743" hidden="1" customWidth="1" outlineLevel="1"/>
    <col min="101" max="101" width="7" style="1743" hidden="1" customWidth="1" outlineLevel="1"/>
    <col min="102" max="102" width="7.140625" style="1743" hidden="1" customWidth="1" outlineLevel="1"/>
    <col min="103" max="103" width="6.42578125" style="1743" hidden="1" customWidth="1" outlineLevel="1"/>
    <col min="104" max="104" width="6.5703125" style="1743" hidden="1" customWidth="1" outlineLevel="1"/>
    <col min="105" max="105" width="10.42578125" style="1743" hidden="1" customWidth="1" outlineLevel="1"/>
    <col min="106" max="106" width="11.5703125" style="1743" hidden="1" customWidth="1" outlineLevel="1"/>
    <col min="107" max="107" width="9.5703125" style="1743" hidden="1" customWidth="1" outlineLevel="1"/>
    <col min="108" max="108" width="2" style="1743" customWidth="1" collapsed="1"/>
    <col min="109" max="114" width="9.140625" style="1743" hidden="1" customWidth="1" outlineLevel="1"/>
    <col min="115" max="115" width="10.85546875" style="1743" hidden="1" customWidth="1" outlineLevel="1"/>
    <col min="116" max="116" width="11" style="1743" hidden="1" customWidth="1" outlineLevel="1"/>
    <col min="117" max="117" width="11.140625" style="1743" hidden="1" customWidth="1" outlineLevel="1"/>
    <col min="118" max="118" width="9.5703125" style="1743" hidden="1" customWidth="1" outlineLevel="1"/>
    <col min="119" max="119" width="11.42578125" style="1743" hidden="1" customWidth="1" outlineLevel="1"/>
    <col min="120" max="120" width="14.7109375" style="1743" hidden="1" customWidth="1" outlineLevel="1"/>
    <col min="121" max="122" width="9.140625" style="1743" hidden="1" customWidth="1" outlineLevel="1"/>
    <col min="123" max="123" width="2" style="1743" customWidth="1" collapsed="1"/>
    <col min="124" max="124" width="9.140625" style="1743" customWidth="1"/>
    <col min="125" max="125" width="14.7109375" style="1743" hidden="1" customWidth="1" outlineLevel="1"/>
    <col min="126" max="127" width="9.140625" style="1743" hidden="1" customWidth="1" outlineLevel="1"/>
    <col min="128" max="129" width="14.140625" style="1743" hidden="1" customWidth="1" outlineLevel="1"/>
    <col min="130" max="130" width="15" style="1743" customWidth="1" collapsed="1"/>
    <col min="131" max="134" width="9.28515625" style="1743" customWidth="1"/>
    <col min="135" max="135" width="8" style="1743" customWidth="1"/>
    <col min="136" max="136" width="6.7109375" style="1743" customWidth="1"/>
    <col min="137" max="137" width="8" style="1743" customWidth="1"/>
    <col min="138" max="138" width="6.7109375" style="1743" customWidth="1"/>
    <col min="139" max="140" width="9.28515625" style="1743" customWidth="1"/>
    <col min="141" max="16384" width="9.140625" style="1743"/>
  </cols>
  <sheetData>
    <row r="1" spans="1:146" s="158" customFormat="1" ht="15" customHeight="1">
      <c r="A1" s="1639"/>
      <c r="C1" s="1640"/>
      <c r="D1" s="808"/>
      <c r="E1" s="808" t="s">
        <v>1056</v>
      </c>
      <c r="F1" s="1641"/>
      <c r="G1" s="1642"/>
      <c r="H1" s="768">
        <v>12750</v>
      </c>
      <c r="I1" s="768" t="s">
        <v>1057</v>
      </c>
      <c r="J1" s="1642"/>
      <c r="BD1" s="1643"/>
    </row>
    <row r="2" spans="1:146" s="1647" customFormat="1" ht="15.95" hidden="1" customHeight="1" outlineLevel="1">
      <c r="A2" s="1644" t="s">
        <v>736</v>
      </c>
      <c r="B2" s="1644">
        <v>0.03</v>
      </c>
      <c r="C2" s="1645"/>
      <c r="D2" s="1646"/>
      <c r="E2" s="1646"/>
      <c r="F2" s="1646"/>
      <c r="Q2" s="1646"/>
      <c r="R2" s="1646"/>
      <c r="S2" s="1646"/>
      <c r="T2" s="1646"/>
      <c r="U2" s="1646"/>
      <c r="V2" s="1646"/>
      <c r="W2" s="1646"/>
      <c r="X2" s="1646"/>
      <c r="Y2" s="1646"/>
      <c r="Z2" s="1646"/>
      <c r="AA2" s="1646"/>
      <c r="AB2" s="1646"/>
      <c r="AC2" s="1646"/>
      <c r="AD2" s="1646"/>
      <c r="AE2" s="1646"/>
      <c r="AF2" s="1646"/>
      <c r="AO2" s="1646"/>
      <c r="AP2" s="1646"/>
      <c r="AQ2" s="1646"/>
      <c r="AR2" s="1646"/>
      <c r="AS2" s="1646"/>
      <c r="AT2" s="1646"/>
      <c r="AU2" s="1646"/>
      <c r="AV2" s="1646"/>
      <c r="BC2" s="1646"/>
      <c r="BG2" s="1646"/>
      <c r="BQ2" s="1646"/>
      <c r="BY2" s="1646"/>
      <c r="DD2" s="1646"/>
      <c r="DS2" s="1646"/>
    </row>
    <row r="3" spans="1:146" s="1647" customFormat="1" ht="15.95" hidden="1" customHeight="1" outlineLevel="1">
      <c r="A3" s="1644"/>
      <c r="B3" s="1644"/>
      <c r="C3" s="1645"/>
      <c r="D3" s="1648"/>
      <c r="E3" s="1648"/>
      <c r="F3" s="1646"/>
      <c r="Q3" s="1646"/>
      <c r="AO3" s="1646"/>
      <c r="AR3" s="1646"/>
      <c r="AS3" s="1646"/>
      <c r="AT3" s="1646"/>
      <c r="AU3" s="1646"/>
      <c r="AV3" s="1646"/>
      <c r="BC3" s="1646"/>
      <c r="BG3" s="1646"/>
      <c r="BQ3" s="1646"/>
      <c r="BY3" s="1646"/>
      <c r="DD3" s="1646"/>
      <c r="DS3" s="1646"/>
    </row>
    <row r="4" spans="1:146" s="1647" customFormat="1" ht="15.95" hidden="1" customHeight="1" outlineLevel="1">
      <c r="A4" s="1796"/>
      <c r="B4" s="1796"/>
      <c r="C4" s="5107" t="s">
        <v>2196</v>
      </c>
      <c r="D4" s="1834" t="s">
        <v>2192</v>
      </c>
      <c r="E4" s="1834" t="s">
        <v>2186</v>
      </c>
      <c r="F4" s="1834" t="s">
        <v>2187</v>
      </c>
      <c r="G4" s="1834" t="s">
        <v>2189</v>
      </c>
      <c r="H4" s="1834" t="s">
        <v>2188</v>
      </c>
      <c r="I4" s="1834" t="s">
        <v>2190</v>
      </c>
      <c r="Q4" s="1646"/>
      <c r="AO4" s="1646"/>
      <c r="AR4" s="1646"/>
      <c r="AS4" s="1646"/>
      <c r="AT4" s="1646"/>
      <c r="AU4" s="1646"/>
      <c r="AV4" s="1646"/>
      <c r="BC4" s="1646"/>
      <c r="BG4" s="1646"/>
      <c r="BQ4" s="1646"/>
      <c r="BY4" s="1646"/>
      <c r="DD4" s="1646"/>
      <c r="DS4" s="1646"/>
    </row>
    <row r="5" spans="1:146" s="1642" customFormat="1" ht="15.95" hidden="1" customHeight="1" outlineLevel="1">
      <c r="B5" s="1641"/>
      <c r="C5" s="4949"/>
      <c r="D5" s="1758">
        <f>D17*3+R17*5</f>
        <v>0</v>
      </c>
      <c r="E5" s="1758">
        <f>E17*2.5+T17*5</f>
        <v>12375</v>
      </c>
      <c r="F5" s="1758">
        <f>E14*2.5+T14*5</f>
        <v>13250</v>
      </c>
      <c r="G5" s="1758">
        <f>E15*2.5+T15*5</f>
        <v>14250</v>
      </c>
      <c r="H5" s="1758">
        <f>E16*2.5+T16*5</f>
        <v>14250</v>
      </c>
      <c r="I5" s="1758">
        <f>E13*2.5+T13*5</f>
        <v>8125</v>
      </c>
      <c r="Q5" s="1641"/>
      <c r="AO5" s="1641"/>
      <c r="AR5" s="1641"/>
      <c r="AS5" s="1641"/>
      <c r="AT5" s="1641"/>
      <c r="AU5" s="1641"/>
      <c r="AV5" s="1641"/>
      <c r="BC5" s="1641"/>
      <c r="BG5" s="1641"/>
      <c r="BQ5" s="1641"/>
      <c r="BY5" s="1641"/>
      <c r="DD5" s="1641"/>
      <c r="DS5" s="1641"/>
    </row>
    <row r="6" spans="1:146" s="1874" customFormat="1" ht="15" hidden="1" outlineLevel="1">
      <c r="A6" s="1872" t="s">
        <v>2181</v>
      </c>
      <c r="B6" s="1873"/>
      <c r="D6" s="1875"/>
      <c r="E6" s="1875"/>
      <c r="F6" s="1875"/>
      <c r="Q6" s="1873"/>
      <c r="AO6" s="1873"/>
      <c r="AR6" s="1876"/>
      <c r="BG6" s="1873"/>
      <c r="BQ6" s="1873"/>
      <c r="BY6" s="1873"/>
      <c r="DD6" s="1873"/>
      <c r="DS6" s="1873"/>
    </row>
    <row r="7" spans="1:146" s="159" customFormat="1" ht="15" hidden="1" customHeight="1" outlineLevel="2">
      <c r="A7" s="5061" t="s">
        <v>1016</v>
      </c>
      <c r="B7" s="5061"/>
      <c r="C7" s="1877"/>
      <c r="D7" s="3651" t="s">
        <v>462</v>
      </c>
      <c r="E7" s="3652"/>
      <c r="F7" s="3652"/>
      <c r="G7" s="3652"/>
      <c r="H7" s="3652"/>
      <c r="I7" s="3652"/>
      <c r="J7" s="3652"/>
      <c r="K7" s="3652"/>
      <c r="L7" s="3652"/>
      <c r="M7" s="3652"/>
      <c r="N7" s="3652"/>
      <c r="O7" s="3652"/>
      <c r="P7" s="3653"/>
      <c r="Q7" s="1878"/>
      <c r="R7" s="1881" t="s">
        <v>89</v>
      </c>
      <c r="S7" s="2629"/>
      <c r="T7" s="2629"/>
      <c r="U7" s="2629"/>
      <c r="V7" s="2629"/>
      <c r="W7" s="2629"/>
      <c r="X7" s="2629"/>
      <c r="Y7" s="2629"/>
      <c r="Z7" s="2629"/>
      <c r="AA7" s="2629"/>
      <c r="AB7" s="2629"/>
      <c r="AC7" s="2629"/>
      <c r="AD7" s="2629"/>
      <c r="AE7" s="2629"/>
      <c r="AF7" s="2629"/>
      <c r="AG7" s="2629"/>
      <c r="AH7" s="1879"/>
      <c r="AI7" s="1879"/>
      <c r="AJ7" s="2629"/>
      <c r="AK7" s="2629"/>
      <c r="AL7" s="2629"/>
      <c r="AM7" s="2629"/>
      <c r="AN7" s="2629"/>
      <c r="AO7" s="1878"/>
      <c r="AP7" s="1881" t="s">
        <v>2194</v>
      </c>
      <c r="AQ7" s="1881"/>
      <c r="AR7" s="5062" t="s">
        <v>1014</v>
      </c>
      <c r="AS7" s="5062"/>
      <c r="AT7" s="5063"/>
      <c r="AU7" s="5062"/>
      <c r="AV7" s="5063"/>
      <c r="AW7" s="5062"/>
      <c r="AX7" s="5062"/>
      <c r="AY7" s="5062"/>
      <c r="AZ7" s="5062"/>
      <c r="BA7" s="5062"/>
      <c r="BB7" s="5062"/>
      <c r="BC7" s="5064" t="s">
        <v>2934</v>
      </c>
      <c r="BD7" s="5064" t="s">
        <v>883</v>
      </c>
      <c r="BE7" s="5065" t="s">
        <v>695</v>
      </c>
      <c r="BF7" s="5064" t="s">
        <v>2792</v>
      </c>
      <c r="BG7" s="5094" t="s">
        <v>2936</v>
      </c>
      <c r="BH7" s="5069" t="s">
        <v>108</v>
      </c>
      <c r="BI7" s="5070"/>
      <c r="BJ7" s="5070"/>
      <c r="BK7" s="5070"/>
      <c r="BL7" s="5070"/>
      <c r="BM7" s="5070"/>
      <c r="BN7" s="5070"/>
      <c r="BO7" s="5070"/>
      <c r="BP7" s="5070"/>
      <c r="BQ7" s="1878"/>
      <c r="BR7" s="5071" t="s">
        <v>456</v>
      </c>
      <c r="BS7" s="5071"/>
      <c r="BT7" s="5071"/>
      <c r="BU7" s="5071"/>
      <c r="BV7" s="5071"/>
      <c r="BW7" s="5071"/>
      <c r="BX7" s="5071"/>
      <c r="BY7" s="1878"/>
      <c r="BZ7" s="5072" t="s">
        <v>1015</v>
      </c>
      <c r="CA7" s="5073"/>
      <c r="CB7" s="5073"/>
      <c r="CC7" s="5073"/>
      <c r="CD7" s="5073"/>
      <c r="CE7" s="5073"/>
      <c r="CF7" s="5073"/>
      <c r="CG7" s="5073"/>
      <c r="CH7" s="5073"/>
      <c r="CI7" s="5073"/>
      <c r="CJ7" s="5073"/>
      <c r="CK7" s="5073"/>
      <c r="CL7" s="5073"/>
      <c r="CM7" s="5073"/>
      <c r="CN7" s="5073"/>
      <c r="CO7" s="5073"/>
      <c r="CP7" s="5073"/>
      <c r="CQ7" s="5073"/>
      <c r="CR7" s="5073"/>
      <c r="CS7" s="5073"/>
      <c r="CT7" s="5073"/>
      <c r="CU7" s="5073"/>
      <c r="CV7" s="5073"/>
      <c r="CW7" s="5073"/>
      <c r="CX7" s="5073"/>
      <c r="CY7" s="5073"/>
      <c r="CZ7" s="5073"/>
      <c r="DA7" s="5073"/>
      <c r="DB7" s="5073"/>
      <c r="DC7" s="5073"/>
      <c r="DD7" s="1878"/>
      <c r="DE7" s="1882"/>
      <c r="DF7" s="1882"/>
      <c r="DG7" s="1882"/>
      <c r="DH7" s="1882"/>
      <c r="DI7" s="1882"/>
      <c r="DJ7" s="1882"/>
      <c r="DK7" s="1883" t="s">
        <v>1038</v>
      </c>
      <c r="DL7" s="1882"/>
      <c r="DM7" s="1882"/>
      <c r="DN7" s="1882"/>
      <c r="DO7" s="1882"/>
      <c r="DP7" s="1882"/>
      <c r="DQ7" s="1882"/>
      <c r="DR7" s="1884"/>
      <c r="DS7" s="1878"/>
      <c r="DT7" s="5062" t="s">
        <v>693</v>
      </c>
      <c r="DU7" s="5062"/>
      <c r="DV7" s="5062"/>
      <c r="DW7" s="5063"/>
      <c r="DX7" s="5062"/>
      <c r="DY7" s="5062"/>
      <c r="DZ7" s="1885"/>
      <c r="EA7" s="1885"/>
      <c r="EB7" s="1885"/>
      <c r="EC7" s="1885"/>
      <c r="ED7" s="1885"/>
      <c r="EE7" s="1885"/>
      <c r="EF7" s="1885"/>
      <c r="EG7" s="1885"/>
      <c r="EH7" s="1885"/>
      <c r="EI7" s="1885"/>
      <c r="EJ7" s="1885"/>
      <c r="EK7" s="1885"/>
      <c r="EL7" s="1885"/>
      <c r="EM7" s="1885"/>
      <c r="EN7" s="1885"/>
      <c r="EO7" s="1885"/>
      <c r="EP7" s="1885"/>
    </row>
    <row r="8" spans="1:146" s="1671" customFormat="1" ht="12.75" hidden="1" customHeight="1" outlineLevel="2">
      <c r="A8" s="5061" t="s">
        <v>725</v>
      </c>
      <c r="B8" s="5061"/>
      <c r="C8" s="1886"/>
      <c r="D8" s="3654" t="s">
        <v>1009</v>
      </c>
      <c r="E8" s="2630"/>
      <c r="F8" s="2630"/>
      <c r="G8" s="2630"/>
      <c r="H8" s="2630"/>
      <c r="I8" s="2630"/>
      <c r="J8" s="2630"/>
      <c r="K8" s="2630"/>
      <c r="L8" s="3655"/>
      <c r="M8" s="5091" t="s">
        <v>1023</v>
      </c>
      <c r="N8" s="5092"/>
      <c r="O8" s="5092"/>
      <c r="P8" s="5093"/>
      <c r="Q8" s="1887"/>
      <c r="R8" s="1891" t="s">
        <v>1026</v>
      </c>
      <c r="S8" s="3656"/>
      <c r="T8" s="3656"/>
      <c r="U8" s="3656"/>
      <c r="V8" s="3656"/>
      <c r="W8" s="3656"/>
      <c r="X8" s="3656"/>
      <c r="Y8" s="3656"/>
      <c r="Z8" s="3656"/>
      <c r="AA8" s="3656"/>
      <c r="AB8" s="3656"/>
      <c r="AC8" s="3656"/>
      <c r="AD8" s="3656"/>
      <c r="AE8" s="3656"/>
      <c r="AF8" s="3657"/>
      <c r="AG8" s="1889" t="s">
        <v>1027</v>
      </c>
      <c r="AH8" s="1888"/>
      <c r="AI8" s="1888"/>
      <c r="AJ8" s="1888"/>
      <c r="AK8" s="1888"/>
      <c r="AL8" s="1890"/>
      <c r="AM8" s="1889" t="s">
        <v>1028</v>
      </c>
      <c r="AN8" s="1890"/>
      <c r="AO8" s="1887"/>
      <c r="AP8" s="1891"/>
      <c r="AQ8" s="1891"/>
      <c r="AR8" s="4919" t="s">
        <v>2235</v>
      </c>
      <c r="AS8" s="4920"/>
      <c r="AT8" s="4920"/>
      <c r="AU8" s="4921"/>
      <c r="AV8" s="3642"/>
      <c r="AW8" s="5065" t="s">
        <v>1048</v>
      </c>
      <c r="AX8" s="5098" t="s">
        <v>1049</v>
      </c>
      <c r="AY8" s="5099"/>
      <c r="AZ8" s="5099"/>
      <c r="BA8" s="5099"/>
      <c r="BB8" s="5100"/>
      <c r="BC8" s="5064"/>
      <c r="BD8" s="5064"/>
      <c r="BE8" s="5066"/>
      <c r="BF8" s="5064"/>
      <c r="BG8" s="5095"/>
      <c r="BH8" s="5098" t="s">
        <v>709</v>
      </c>
      <c r="BI8" s="5099"/>
      <c r="BJ8" s="5100"/>
      <c r="BK8" s="5098" t="s">
        <v>1022</v>
      </c>
      <c r="BL8" s="5099"/>
      <c r="BM8" s="5100"/>
      <c r="BN8" s="5065" t="s">
        <v>1030</v>
      </c>
      <c r="BO8" s="5065" t="s">
        <v>743</v>
      </c>
      <c r="BP8" s="5065" t="s">
        <v>1029</v>
      </c>
      <c r="BQ8" s="1887"/>
      <c r="BR8" s="5098" t="s">
        <v>1052</v>
      </c>
      <c r="BS8" s="5099"/>
      <c r="BT8" s="5100"/>
      <c r="BU8" s="5108" t="s">
        <v>1053</v>
      </c>
      <c r="BV8" s="5109"/>
      <c r="BW8" s="5110"/>
      <c r="BX8" s="5065" t="s">
        <v>1054</v>
      </c>
      <c r="BY8" s="1887"/>
      <c r="BZ8" s="5114" t="s">
        <v>1020</v>
      </c>
      <c r="CA8" s="5115"/>
      <c r="CB8" s="5115"/>
      <c r="CC8" s="5115"/>
      <c r="CD8" s="5115"/>
      <c r="CE8" s="5115"/>
      <c r="CF8" s="5115"/>
      <c r="CG8" s="5115"/>
      <c r="CH8" s="5115"/>
      <c r="CI8" s="5115"/>
      <c r="CJ8" s="5115"/>
      <c r="CK8" s="5115"/>
      <c r="CL8" s="5115"/>
      <c r="CM8" s="5115"/>
      <c r="CN8" s="5116"/>
      <c r="CO8" s="5114" t="s">
        <v>1021</v>
      </c>
      <c r="CP8" s="5115"/>
      <c r="CQ8" s="5115"/>
      <c r="CR8" s="5115"/>
      <c r="CS8" s="5115"/>
      <c r="CT8" s="5115"/>
      <c r="CU8" s="5115"/>
      <c r="CV8" s="5115"/>
      <c r="CW8" s="5115"/>
      <c r="CX8" s="5115"/>
      <c r="CY8" s="5115"/>
      <c r="CZ8" s="5115"/>
      <c r="DA8" s="5115"/>
      <c r="DB8" s="5115"/>
      <c r="DC8" s="5115"/>
      <c r="DD8" s="1887"/>
      <c r="DE8" s="5064" t="s">
        <v>710</v>
      </c>
      <c r="DF8" s="5064"/>
      <c r="DG8" s="5064" t="s">
        <v>711</v>
      </c>
      <c r="DH8" s="5064"/>
      <c r="DI8" s="5064" t="s">
        <v>712</v>
      </c>
      <c r="DJ8" s="5064"/>
      <c r="DK8" s="5064" t="s">
        <v>713</v>
      </c>
      <c r="DL8" s="5064"/>
      <c r="DM8" s="5064" t="s">
        <v>714</v>
      </c>
      <c r="DN8" s="5064"/>
      <c r="DO8" s="5064"/>
      <c r="DP8" s="5064" t="s">
        <v>715</v>
      </c>
      <c r="DQ8" s="5064" t="s">
        <v>716</v>
      </c>
      <c r="DR8" s="5064" t="s">
        <v>2791</v>
      </c>
      <c r="DS8" s="1887"/>
      <c r="DT8" s="5064" t="s">
        <v>1037</v>
      </c>
      <c r="DU8" s="5064"/>
      <c r="DV8" s="5064"/>
      <c r="DW8" s="2944"/>
      <c r="DX8" s="5064" t="s">
        <v>996</v>
      </c>
      <c r="DY8" s="5064"/>
      <c r="DZ8" s="1892"/>
      <c r="EA8" s="1892"/>
      <c r="EB8" s="1892"/>
      <c r="EC8" s="1892"/>
      <c r="ED8" s="1892"/>
      <c r="EE8" s="1892"/>
      <c r="EF8" s="1892"/>
      <c r="EG8" s="1892"/>
      <c r="EH8" s="1892"/>
      <c r="EI8" s="1892"/>
      <c r="EJ8" s="1892"/>
      <c r="EK8" s="1892"/>
      <c r="EL8" s="1892"/>
      <c r="EM8" s="1892"/>
      <c r="EN8" s="1892"/>
      <c r="EO8" s="1892"/>
      <c r="EP8" s="1892"/>
    </row>
    <row r="9" spans="1:146" s="761" customFormat="1" ht="54.75" hidden="1" customHeight="1" outlineLevel="2">
      <c r="A9" s="5061"/>
      <c r="B9" s="5061"/>
      <c r="C9" s="1877"/>
      <c r="D9" s="1893" t="s">
        <v>2191</v>
      </c>
      <c r="E9" s="1893" t="s">
        <v>2602</v>
      </c>
      <c r="F9" s="1893" t="s">
        <v>2620</v>
      </c>
      <c r="G9" s="3640" t="s">
        <v>18</v>
      </c>
      <c r="H9" s="3640" t="s">
        <v>380</v>
      </c>
      <c r="I9" s="3640" t="s">
        <v>705</v>
      </c>
      <c r="J9" s="3637" t="s">
        <v>1006</v>
      </c>
      <c r="K9" s="1894" t="s">
        <v>2785</v>
      </c>
      <c r="L9" s="1895" t="s">
        <v>1008</v>
      </c>
      <c r="M9" s="5086" t="s">
        <v>1024</v>
      </c>
      <c r="N9" s="5087"/>
      <c r="O9" s="5088"/>
      <c r="P9" s="1895" t="s">
        <v>1025</v>
      </c>
      <c r="Q9" s="1894" t="s">
        <v>2784</v>
      </c>
      <c r="R9" s="1893" t="s">
        <v>2191</v>
      </c>
      <c r="S9" s="1893" t="s">
        <v>1010</v>
      </c>
      <c r="T9" s="1880" t="s">
        <v>2782</v>
      </c>
      <c r="U9" s="1879"/>
      <c r="V9" s="1879"/>
      <c r="W9" s="1896"/>
      <c r="X9" s="2631"/>
      <c r="Y9" s="3658" t="s">
        <v>2593</v>
      </c>
      <c r="Z9" s="3658" t="s">
        <v>2595</v>
      </c>
      <c r="AA9" s="3658" t="s">
        <v>2597</v>
      </c>
      <c r="AB9" s="1897" t="s">
        <v>92</v>
      </c>
      <c r="AC9" s="1897" t="s">
        <v>93</v>
      </c>
      <c r="AD9" s="1897" t="s">
        <v>314</v>
      </c>
      <c r="AE9" s="3637" t="s">
        <v>743</v>
      </c>
      <c r="AF9" s="1897" t="s">
        <v>257</v>
      </c>
      <c r="AG9" s="1883" t="s">
        <v>18</v>
      </c>
      <c r="AH9" s="1883" t="s">
        <v>18</v>
      </c>
      <c r="AI9" s="1883" t="s">
        <v>18</v>
      </c>
      <c r="AJ9" s="1883" t="s">
        <v>380</v>
      </c>
      <c r="AK9" s="1895" t="s">
        <v>705</v>
      </c>
      <c r="AL9" s="1895" t="s">
        <v>706</v>
      </c>
      <c r="AM9" s="1898" t="s">
        <v>1011</v>
      </c>
      <c r="AN9" s="1898" t="s">
        <v>1012</v>
      </c>
      <c r="AO9" s="1878"/>
      <c r="AP9" s="1893" t="s">
        <v>2191</v>
      </c>
      <c r="AQ9" s="1893" t="s">
        <v>2191</v>
      </c>
      <c r="AR9" s="4919" t="s">
        <v>2236</v>
      </c>
      <c r="AS9" s="4920"/>
      <c r="AT9" s="4921"/>
      <c r="AU9" s="3659" t="s">
        <v>2237</v>
      </c>
      <c r="AV9" s="3660" t="s">
        <v>2610</v>
      </c>
      <c r="AW9" s="5067"/>
      <c r="AX9" s="5101"/>
      <c r="AY9" s="5102"/>
      <c r="AZ9" s="5102"/>
      <c r="BA9" s="5102"/>
      <c r="BB9" s="5103"/>
      <c r="BC9" s="5064"/>
      <c r="BD9" s="5064"/>
      <c r="BE9" s="5067"/>
      <c r="BF9" s="5064"/>
      <c r="BG9" s="5095"/>
      <c r="BH9" s="5101"/>
      <c r="BI9" s="5102"/>
      <c r="BJ9" s="5103"/>
      <c r="BK9" s="5101"/>
      <c r="BL9" s="5102"/>
      <c r="BM9" s="5103"/>
      <c r="BN9" s="5067"/>
      <c r="BO9" s="5067"/>
      <c r="BP9" s="5067"/>
      <c r="BQ9" s="1878" t="s">
        <v>3167</v>
      </c>
      <c r="BR9" s="5101"/>
      <c r="BS9" s="5102"/>
      <c r="BT9" s="5103"/>
      <c r="BU9" s="5111"/>
      <c r="BV9" s="5112"/>
      <c r="BW9" s="5113"/>
      <c r="BX9" s="5067"/>
      <c r="BY9" s="1878" t="s">
        <v>3168</v>
      </c>
      <c r="BZ9" s="5072" t="s">
        <v>447</v>
      </c>
      <c r="CA9" s="5073"/>
      <c r="CB9" s="5073"/>
      <c r="CC9" s="5089"/>
      <c r="CD9" s="5069" t="s">
        <v>448</v>
      </c>
      <c r="CE9" s="5070"/>
      <c r="CF9" s="5070"/>
      <c r="CG9" s="5090"/>
      <c r="CH9" s="5072" t="s">
        <v>445</v>
      </c>
      <c r="CI9" s="5073"/>
      <c r="CJ9" s="5089"/>
      <c r="CK9" s="5069" t="s">
        <v>446</v>
      </c>
      <c r="CL9" s="5070"/>
      <c r="CM9" s="5090"/>
      <c r="CN9" s="1899" t="s">
        <v>1068</v>
      </c>
      <c r="CO9" s="5072" t="s">
        <v>452</v>
      </c>
      <c r="CP9" s="5073"/>
      <c r="CQ9" s="5073"/>
      <c r="CR9" s="5089"/>
      <c r="CS9" s="5072" t="s">
        <v>453</v>
      </c>
      <c r="CT9" s="5073"/>
      <c r="CU9" s="5073"/>
      <c r="CV9" s="5089"/>
      <c r="CW9" s="5062" t="s">
        <v>889</v>
      </c>
      <c r="CX9" s="5071"/>
      <c r="CY9" s="5071"/>
      <c r="CZ9" s="5062" t="s">
        <v>890</v>
      </c>
      <c r="DA9" s="5071"/>
      <c r="DB9" s="5071"/>
      <c r="DC9" s="1899" t="s">
        <v>454</v>
      </c>
      <c r="DD9" s="1878"/>
      <c r="DE9" s="5064"/>
      <c r="DF9" s="5064"/>
      <c r="DG9" s="5064"/>
      <c r="DH9" s="5064"/>
      <c r="DI9" s="5064"/>
      <c r="DJ9" s="5064"/>
      <c r="DK9" s="1900" t="s">
        <v>189</v>
      </c>
      <c r="DL9" s="1900" t="s">
        <v>190</v>
      </c>
      <c r="DM9" s="3641" t="s">
        <v>187</v>
      </c>
      <c r="DN9" s="3641" t="s">
        <v>719</v>
      </c>
      <c r="DO9" s="1895" t="s">
        <v>720</v>
      </c>
      <c r="DP9" s="5064"/>
      <c r="DQ9" s="5064"/>
      <c r="DR9" s="5064"/>
      <c r="DS9" s="1878"/>
      <c r="DT9" s="1898" t="s">
        <v>1032</v>
      </c>
      <c r="DU9" s="1898" t="s">
        <v>2199</v>
      </c>
      <c r="DV9" s="1898" t="s">
        <v>1034</v>
      </c>
      <c r="DW9" s="2945" t="s">
        <v>2768</v>
      </c>
      <c r="DX9" s="1898" t="s">
        <v>986</v>
      </c>
      <c r="DY9" s="1898" t="s">
        <v>987</v>
      </c>
      <c r="DZ9" s="3661" t="s">
        <v>2999</v>
      </c>
      <c r="EA9" s="1901"/>
      <c r="EB9" s="3662">
        <v>1.1200000000000001</v>
      </c>
      <c r="EC9" s="3662"/>
      <c r="ED9" s="3662"/>
      <c r="EE9" s="3662"/>
      <c r="EF9" s="3662">
        <v>1.0900000000000001</v>
      </c>
      <c r="EG9" s="3662"/>
      <c r="EH9" s="3662">
        <v>1.0900000000000001</v>
      </c>
      <c r="EI9" s="3662"/>
      <c r="EJ9" s="3662">
        <v>1.0900000000000001</v>
      </c>
      <c r="EK9" s="3662"/>
      <c r="EL9" s="3662">
        <v>1</v>
      </c>
      <c r="EM9" s="3663">
        <v>0.2</v>
      </c>
      <c r="EN9" s="1901" t="s">
        <v>2698</v>
      </c>
      <c r="EO9" s="1901"/>
      <c r="EP9" s="1901"/>
    </row>
    <row r="10" spans="1:146" s="1710" customFormat="1" ht="24" hidden="1" customHeight="1" outlineLevel="2">
      <c r="A10" s="5068" t="s">
        <v>1017</v>
      </c>
      <c r="B10" s="5068"/>
      <c r="C10" s="1902"/>
      <c r="D10" s="1903"/>
      <c r="E10" s="1903" t="s">
        <v>1041</v>
      </c>
      <c r="F10" s="1903"/>
      <c r="G10" s="1904" t="s">
        <v>1043</v>
      </c>
      <c r="H10" s="1904" t="s">
        <v>1044</v>
      </c>
      <c r="I10" s="1904" t="s">
        <v>1045</v>
      </c>
      <c r="J10" s="1905" t="s">
        <v>1041</v>
      </c>
      <c r="K10" s="1906" t="s">
        <v>1046</v>
      </c>
      <c r="L10" s="1906" t="s">
        <v>440</v>
      </c>
      <c r="M10" s="1906"/>
      <c r="N10" s="1906"/>
      <c r="O10" s="1906"/>
      <c r="P10" s="1906"/>
      <c r="Q10" s="1907" t="s">
        <v>2786</v>
      </c>
      <c r="R10" s="1903"/>
      <c r="S10" s="1903" t="s">
        <v>974</v>
      </c>
      <c r="T10" s="3638" t="s">
        <v>972</v>
      </c>
      <c r="U10" s="3638" t="s">
        <v>973</v>
      </c>
      <c r="V10" s="3638" t="s">
        <v>974</v>
      </c>
      <c r="W10" s="3638" t="s">
        <v>975</v>
      </c>
      <c r="X10" s="2632" t="s">
        <v>979</v>
      </c>
      <c r="Y10" s="2632" t="s">
        <v>2594</v>
      </c>
      <c r="Z10" s="2632" t="s">
        <v>2596</v>
      </c>
      <c r="AA10" s="2632" t="s">
        <v>2598</v>
      </c>
      <c r="AB10" s="3638" t="s">
        <v>976</v>
      </c>
      <c r="AC10" s="3638" t="s">
        <v>977</v>
      </c>
      <c r="AD10" s="3638" t="s">
        <v>979</v>
      </c>
      <c r="AE10" s="3638" t="s">
        <v>978</v>
      </c>
      <c r="AF10" s="3638" t="s">
        <v>978</v>
      </c>
      <c r="AG10" s="1904" t="s">
        <v>973</v>
      </c>
      <c r="AH10" s="2678" t="s">
        <v>2605</v>
      </c>
      <c r="AI10" s="2678" t="s">
        <v>2606</v>
      </c>
      <c r="AJ10" s="1904" t="s">
        <v>973</v>
      </c>
      <c r="AK10" s="1906" t="s">
        <v>977</v>
      </c>
      <c r="AL10" s="1906" t="s">
        <v>980</v>
      </c>
      <c r="AM10" s="1908" t="s">
        <v>974</v>
      </c>
      <c r="AN10" s="1909" t="s">
        <v>972</v>
      </c>
      <c r="AO10" s="1907"/>
      <c r="AP10" s="1891">
        <v>100</v>
      </c>
      <c r="AQ10" s="1891">
        <v>200</v>
      </c>
      <c r="AR10" s="1906" t="s">
        <v>2233</v>
      </c>
      <c r="AS10" s="1906" t="s">
        <v>2234</v>
      </c>
      <c r="AT10" s="1906" t="s">
        <v>981</v>
      </c>
      <c r="AU10" s="1906" t="s">
        <v>981</v>
      </c>
      <c r="AV10" s="2691"/>
      <c r="AW10" s="1906" t="s">
        <v>3180</v>
      </c>
      <c r="AX10" s="1906">
        <v>75</v>
      </c>
      <c r="AY10" s="1906">
        <v>100</v>
      </c>
      <c r="AZ10" s="1906">
        <v>120</v>
      </c>
      <c r="BA10" s="1906">
        <v>150</v>
      </c>
      <c r="BB10" s="1906">
        <v>200</v>
      </c>
      <c r="BC10" s="1910" t="s">
        <v>2935</v>
      </c>
      <c r="BD10" s="1911" t="s">
        <v>982</v>
      </c>
      <c r="BE10" s="1906"/>
      <c r="BF10" s="1912" t="s">
        <v>983</v>
      </c>
      <c r="BG10" s="3664"/>
      <c r="BH10" s="1906">
        <v>75</v>
      </c>
      <c r="BI10" s="1906">
        <v>90</v>
      </c>
      <c r="BJ10" s="1906">
        <v>110</v>
      </c>
      <c r="BK10" s="1906">
        <v>75</v>
      </c>
      <c r="BL10" s="1906">
        <v>90</v>
      </c>
      <c r="BM10" s="1906">
        <v>110</v>
      </c>
      <c r="BN10" s="1906" t="s">
        <v>979</v>
      </c>
      <c r="BO10" s="1906" t="s">
        <v>978</v>
      </c>
      <c r="BP10" s="1906" t="s">
        <v>978</v>
      </c>
      <c r="BQ10" s="1907"/>
      <c r="BR10" s="1913" t="s">
        <v>383</v>
      </c>
      <c r="BS10" s="1913" t="s">
        <v>381</v>
      </c>
      <c r="BT10" s="1913" t="s">
        <v>384</v>
      </c>
      <c r="BU10" s="1913" t="s">
        <v>385</v>
      </c>
      <c r="BV10" s="1913" t="s">
        <v>386</v>
      </c>
      <c r="BW10" s="1913" t="s">
        <v>387</v>
      </c>
      <c r="BX10" s="1913" t="s">
        <v>388</v>
      </c>
      <c r="BY10" s="1907"/>
      <c r="BZ10" s="1914" t="s">
        <v>1039</v>
      </c>
      <c r="CA10" s="1914" t="s">
        <v>467</v>
      </c>
      <c r="CB10" s="1914" t="s">
        <v>466</v>
      </c>
      <c r="CC10" s="1914" t="s">
        <v>470</v>
      </c>
      <c r="CD10" s="1914" t="s">
        <v>468</v>
      </c>
      <c r="CE10" s="1914" t="s">
        <v>467</v>
      </c>
      <c r="CF10" s="1914" t="s">
        <v>466</v>
      </c>
      <c r="CG10" s="1914" t="s">
        <v>470</v>
      </c>
      <c r="CH10" s="1914" t="s">
        <v>468</v>
      </c>
      <c r="CI10" s="1914" t="s">
        <v>467</v>
      </c>
      <c r="CJ10" s="1914" t="s">
        <v>466</v>
      </c>
      <c r="CK10" s="1914" t="s">
        <v>468</v>
      </c>
      <c r="CL10" s="1914" t="s">
        <v>467</v>
      </c>
      <c r="CM10" s="1914" t="s">
        <v>466</v>
      </c>
      <c r="CN10" s="3665" t="s">
        <v>469</v>
      </c>
      <c r="CO10" s="1906" t="s">
        <v>476</v>
      </c>
      <c r="CP10" s="1906" t="s">
        <v>477</v>
      </c>
      <c r="CQ10" s="1906" t="s">
        <v>478</v>
      </c>
      <c r="CR10" s="1906" t="s">
        <v>479</v>
      </c>
      <c r="CS10" s="1906" t="s">
        <v>476</v>
      </c>
      <c r="CT10" s="1906" t="s">
        <v>477</v>
      </c>
      <c r="CU10" s="1906" t="s">
        <v>478</v>
      </c>
      <c r="CV10" s="1906" t="s">
        <v>480</v>
      </c>
      <c r="CW10" s="1906" t="s">
        <v>472</v>
      </c>
      <c r="CX10" s="1906" t="s">
        <v>473</v>
      </c>
      <c r="CY10" s="1906" t="s">
        <v>474</v>
      </c>
      <c r="CZ10" s="1906" t="s">
        <v>472</v>
      </c>
      <c r="DA10" s="1906" t="s">
        <v>473</v>
      </c>
      <c r="DB10" s="1906" t="s">
        <v>474</v>
      </c>
      <c r="DC10" s="1906" t="s">
        <v>475</v>
      </c>
      <c r="DD10" s="1907"/>
      <c r="DE10" s="1915" t="s">
        <v>119</v>
      </c>
      <c r="DF10" s="1915" t="s">
        <v>120</v>
      </c>
      <c r="DG10" s="1915" t="s">
        <v>119</v>
      </c>
      <c r="DH10" s="1915" t="s">
        <v>120</v>
      </c>
      <c r="DI10" s="1915" t="s">
        <v>119</v>
      </c>
      <c r="DJ10" s="1915" t="s">
        <v>120</v>
      </c>
      <c r="DK10" s="1915" t="s">
        <v>121</v>
      </c>
      <c r="DL10" s="1915" t="s">
        <v>122</v>
      </c>
      <c r="DM10" s="1916" t="s">
        <v>1035</v>
      </c>
      <c r="DN10" s="1916" t="s">
        <v>1036</v>
      </c>
      <c r="DO10" s="1916" t="s">
        <v>1035</v>
      </c>
      <c r="DP10" s="1915" t="s">
        <v>124</v>
      </c>
      <c r="DQ10" s="1915" t="s">
        <v>125</v>
      </c>
      <c r="DR10" s="1915" t="s">
        <v>2790</v>
      </c>
      <c r="DS10" s="1907"/>
      <c r="DT10" s="1906" t="s">
        <v>985</v>
      </c>
      <c r="DU10" s="1906" t="s">
        <v>985</v>
      </c>
      <c r="DV10" s="3666" t="s">
        <v>984</v>
      </c>
      <c r="DW10" s="3667"/>
      <c r="DX10" s="1906" t="s">
        <v>985</v>
      </c>
      <c r="DY10" s="1906" t="s">
        <v>985</v>
      </c>
      <c r="DZ10" s="3668"/>
      <c r="EA10" s="5076" t="s">
        <v>1071</v>
      </c>
      <c r="EB10" s="4922"/>
      <c r="EC10" s="4922" t="s">
        <v>2769</v>
      </c>
      <c r="ED10" s="4922"/>
      <c r="EE10" s="5077" t="s">
        <v>1072</v>
      </c>
      <c r="EF10" s="5077"/>
      <c r="EG10" s="5077" t="s">
        <v>1073</v>
      </c>
      <c r="EH10" s="5077"/>
      <c r="EI10" s="5077" t="s">
        <v>1075</v>
      </c>
      <c r="EJ10" s="5077"/>
      <c r="EK10" s="4923" t="s">
        <v>2697</v>
      </c>
      <c r="EL10" s="4923"/>
      <c r="EM10" s="4923"/>
      <c r="EN10" s="1917"/>
      <c r="EO10" s="1917"/>
      <c r="EP10" s="1917"/>
    </row>
    <row r="11" spans="1:146" s="1901" customFormat="1" hidden="1" outlineLevel="2">
      <c r="A11" s="5105" t="s">
        <v>910</v>
      </c>
      <c r="B11" s="1918" t="s">
        <v>1609</v>
      </c>
      <c r="C11" s="1919"/>
      <c r="D11" s="1920"/>
      <c r="E11" s="1920"/>
      <c r="F11" s="1921"/>
      <c r="G11" s="1921"/>
      <c r="H11" s="1921"/>
      <c r="I11" s="1921"/>
      <c r="J11" s="1922"/>
      <c r="K11" s="1921"/>
      <c r="L11" s="1923"/>
      <c r="M11" s="1923">
        <f t="shared" ref="M11:P12" si="0">M29*(1-$C$9)</f>
        <v>0</v>
      </c>
      <c r="N11" s="1923">
        <f t="shared" si="0"/>
        <v>0</v>
      </c>
      <c r="O11" s="1923">
        <f t="shared" si="0"/>
        <v>12500</v>
      </c>
      <c r="P11" s="1923">
        <f t="shared" si="0"/>
        <v>0</v>
      </c>
      <c r="Q11" s="1924"/>
      <c r="R11" s="1925"/>
      <c r="S11" s="1925"/>
      <c r="T11" s="1921"/>
      <c r="U11" s="1921"/>
      <c r="V11" s="1925"/>
      <c r="W11" s="1921"/>
      <c r="X11" s="1921"/>
      <c r="Y11" s="1921"/>
      <c r="Z11" s="1921"/>
      <c r="AA11" s="1921"/>
      <c r="AB11" s="1921"/>
      <c r="AC11" s="1921"/>
      <c r="AD11" s="1921"/>
      <c r="AE11" s="1921"/>
      <c r="AF11" s="1921"/>
      <c r="AG11" s="1925"/>
      <c r="AH11" s="2679"/>
      <c r="AI11" s="2679"/>
      <c r="AJ11" s="1921"/>
      <c r="AK11" s="1925"/>
      <c r="AL11" s="1925"/>
      <c r="AM11" s="1925"/>
      <c r="AN11" s="1925"/>
      <c r="AO11" s="1924"/>
      <c r="AP11" s="1925"/>
      <c r="AQ11" s="1925"/>
      <c r="AR11" s="1921"/>
      <c r="AS11" s="1921"/>
      <c r="AT11" s="1921"/>
      <c r="AU11" s="1921"/>
      <c r="AV11" s="1921"/>
      <c r="AW11" s="1921"/>
      <c r="AX11" s="1925"/>
      <c r="AY11" s="1926"/>
      <c r="AZ11" s="1926"/>
      <c r="BA11" s="1925"/>
      <c r="BB11" s="1926"/>
      <c r="BC11" s="1921"/>
      <c r="BD11" s="1921"/>
      <c r="BE11" s="1925"/>
      <c r="BF11" s="1925"/>
      <c r="BG11" s="1924"/>
      <c r="BH11" s="1921"/>
      <c r="BI11" s="1921"/>
      <c r="BJ11" s="1921"/>
      <c r="BK11" s="1921"/>
      <c r="BL11" s="1921"/>
      <c r="BM11" s="1921"/>
      <c r="BN11" s="1925"/>
      <c r="BO11" s="1925"/>
      <c r="BP11" s="1925"/>
      <c r="BQ11" s="1924"/>
      <c r="BR11" s="3639"/>
      <c r="BS11" s="1921"/>
      <c r="BT11" s="1921"/>
      <c r="BU11" s="3639"/>
      <c r="BV11" s="1921"/>
      <c r="BW11" s="1921"/>
      <c r="BX11" s="1921"/>
      <c r="BY11" s="1924"/>
      <c r="BZ11" s="1895"/>
      <c r="CA11" s="1927"/>
      <c r="CB11" s="1927"/>
      <c r="CC11" s="1927"/>
      <c r="CD11" s="1928"/>
      <c r="CE11" s="1925"/>
      <c r="CF11" s="1925"/>
      <c r="CG11" s="1925"/>
      <c r="CH11" s="1928"/>
      <c r="CI11" s="1895"/>
      <c r="CJ11" s="1895"/>
      <c r="CK11" s="1928"/>
      <c r="CL11" s="1895"/>
      <c r="CM11" s="1895"/>
      <c r="CN11" s="1928"/>
      <c r="CO11" s="1928"/>
      <c r="CP11" s="5078"/>
      <c r="CQ11" s="5079"/>
      <c r="CR11" s="5079"/>
      <c r="CS11" s="5079"/>
      <c r="CT11" s="5079"/>
      <c r="CU11" s="5079"/>
      <c r="CV11" s="5079"/>
      <c r="CW11" s="5079"/>
      <c r="CX11" s="5079"/>
      <c r="CY11" s="5079"/>
      <c r="CZ11" s="5079"/>
      <c r="DA11" s="5079"/>
      <c r="DB11" s="5079"/>
      <c r="DC11" s="5080"/>
      <c r="DD11" s="1924"/>
      <c r="DE11" s="1925"/>
      <c r="DF11" s="1925"/>
      <c r="DG11" s="1925"/>
      <c r="DH11" s="1925"/>
      <c r="DI11" s="1925"/>
      <c r="DJ11" s="1925"/>
      <c r="DK11" s="1895"/>
      <c r="DL11" s="1925"/>
      <c r="DM11" s="1925"/>
      <c r="DN11" s="1925"/>
      <c r="DO11" s="1925"/>
      <c r="DP11" s="1925"/>
      <c r="DQ11" s="1925"/>
      <c r="DR11" s="1925"/>
      <c r="DS11" s="1924"/>
      <c r="DT11" s="1921"/>
      <c r="DU11" s="1921"/>
      <c r="DV11" s="1895"/>
      <c r="DW11" s="2946"/>
      <c r="DX11" s="1921"/>
      <c r="DY11" s="1921"/>
      <c r="EA11" s="1895"/>
      <c r="EB11" s="1929"/>
      <c r="EC11" s="2957"/>
      <c r="ED11" s="2957"/>
      <c r="EE11" s="1895"/>
      <c r="EF11" s="1929"/>
      <c r="EG11" s="1895"/>
      <c r="EH11" s="1929"/>
      <c r="EI11" s="1895"/>
      <c r="EJ11" s="1929"/>
    </row>
    <row r="12" spans="1:146" s="1901" customFormat="1" hidden="1" outlineLevel="2">
      <c r="A12" s="5106"/>
      <c r="B12" s="1918" t="s">
        <v>439</v>
      </c>
      <c r="C12" s="1919"/>
      <c r="D12" s="1930"/>
      <c r="E12" s="1930"/>
      <c r="F12" s="1931"/>
      <c r="G12" s="1932"/>
      <c r="H12" s="1932"/>
      <c r="I12" s="1932"/>
      <c r="J12" s="1933"/>
      <c r="K12" s="1931"/>
      <c r="L12" s="1923"/>
      <c r="M12" s="1923">
        <f t="shared" si="0"/>
        <v>0</v>
      </c>
      <c r="N12" s="1923">
        <f t="shared" si="0"/>
        <v>0</v>
      </c>
      <c r="O12" s="1923">
        <f t="shared" si="0"/>
        <v>0</v>
      </c>
      <c r="P12" s="1923">
        <f t="shared" si="0"/>
        <v>0</v>
      </c>
      <c r="Q12" s="1924"/>
      <c r="R12" s="1934"/>
      <c r="S12" s="1934"/>
      <c r="T12" s="1931"/>
      <c r="U12" s="1931"/>
      <c r="V12" s="1934"/>
      <c r="W12" s="1931"/>
      <c r="X12" s="1921"/>
      <c r="Y12" s="1921"/>
      <c r="Z12" s="1921"/>
      <c r="AA12" s="1921"/>
      <c r="AB12" s="1931"/>
      <c r="AC12" s="1931"/>
      <c r="AD12" s="1931"/>
      <c r="AE12" s="1931"/>
      <c r="AF12" s="1931"/>
      <c r="AG12" s="1935"/>
      <c r="AH12" s="2680"/>
      <c r="AI12" s="2680"/>
      <c r="AJ12" s="1932"/>
      <c r="AK12" s="1934"/>
      <c r="AL12" s="1934"/>
      <c r="AM12" s="1934"/>
      <c r="AN12" s="1934"/>
      <c r="AO12" s="1924"/>
      <c r="AP12" s="1934"/>
      <c r="AQ12" s="1934"/>
      <c r="AR12" s="1931"/>
      <c r="AS12" s="1931"/>
      <c r="AT12" s="1931"/>
      <c r="AU12" s="1931"/>
      <c r="AV12" s="1921"/>
      <c r="AW12" s="1931"/>
      <c r="AX12" s="1934"/>
      <c r="AY12" s="1936"/>
      <c r="AZ12" s="1936"/>
      <c r="BA12" s="1934"/>
      <c r="BB12" s="1936"/>
      <c r="BC12" s="1931"/>
      <c r="BD12" s="1931"/>
      <c r="BE12" s="1934"/>
      <c r="BF12" s="1934"/>
      <c r="BG12" s="1924"/>
      <c r="BH12" s="1931"/>
      <c r="BI12" s="1931"/>
      <c r="BJ12" s="1931"/>
      <c r="BK12" s="1931"/>
      <c r="BL12" s="1931"/>
      <c r="BM12" s="1931"/>
      <c r="BN12" s="1934"/>
      <c r="BO12" s="1934"/>
      <c r="BP12" s="1934"/>
      <c r="BQ12" s="1924"/>
      <c r="BR12" s="1937"/>
      <c r="BS12" s="1938"/>
      <c r="BT12" s="1938"/>
      <c r="BU12" s="1937"/>
      <c r="BV12" s="1931"/>
      <c r="BW12" s="1931"/>
      <c r="BX12" s="1931"/>
      <c r="BY12" s="1924"/>
      <c r="BZ12" s="1939"/>
      <c r="CA12" s="1940"/>
      <c r="CB12" s="1940"/>
      <c r="CC12" s="1940"/>
      <c r="CD12" s="1941"/>
      <c r="CE12" s="1934"/>
      <c r="CF12" s="1934"/>
      <c r="CG12" s="1934"/>
      <c r="CH12" s="1941"/>
      <c r="CI12" s="1939"/>
      <c r="CJ12" s="1939"/>
      <c r="CK12" s="1941"/>
      <c r="CL12" s="1939"/>
      <c r="CM12" s="1939"/>
      <c r="CN12" s="1941"/>
      <c r="CO12" s="1941"/>
      <c r="CP12" s="1942"/>
      <c r="CQ12" s="1943"/>
      <c r="CR12" s="1943"/>
      <c r="CS12" s="1943"/>
      <c r="CT12" s="1943"/>
      <c r="CU12" s="1943"/>
      <c r="CV12" s="1943"/>
      <c r="CW12" s="1943"/>
      <c r="CX12" s="1943"/>
      <c r="CY12" s="1943"/>
      <c r="CZ12" s="1943"/>
      <c r="DA12" s="1943"/>
      <c r="DB12" s="1943"/>
      <c r="DC12" s="1944"/>
      <c r="DD12" s="1924"/>
      <c r="DE12" s="1934"/>
      <c r="DF12" s="1934"/>
      <c r="DG12" s="1934"/>
      <c r="DH12" s="1934"/>
      <c r="DI12" s="1934"/>
      <c r="DJ12" s="1934"/>
      <c r="DK12" s="1939"/>
      <c r="DL12" s="1934"/>
      <c r="DM12" s="1934"/>
      <c r="DN12" s="1934"/>
      <c r="DO12" s="1934"/>
      <c r="DP12" s="1934"/>
      <c r="DQ12" s="1934"/>
      <c r="DR12" s="1934"/>
      <c r="DS12" s="1924"/>
      <c r="DT12" s="1931"/>
      <c r="DU12" s="1931"/>
      <c r="DV12" s="1939"/>
      <c r="DW12" s="2946"/>
      <c r="DX12" s="1931"/>
      <c r="DY12" s="1931"/>
      <c r="EA12" s="1939"/>
      <c r="EB12" s="1945"/>
      <c r="EC12" s="2957"/>
      <c r="ED12" s="2957"/>
      <c r="EE12" s="1939"/>
      <c r="EF12" s="1945"/>
      <c r="EG12" s="1939"/>
      <c r="EH12" s="1945"/>
      <c r="EI12" s="1939"/>
      <c r="EJ12" s="1945"/>
    </row>
    <row r="13" spans="1:146" s="1957" customFormat="1" ht="15.75" hidden="1" outlineLevel="2">
      <c r="A13" s="1946" t="s">
        <v>206</v>
      </c>
      <c r="B13" s="1947" t="s">
        <v>391</v>
      </c>
      <c r="C13" s="1948"/>
      <c r="D13" s="1949"/>
      <c r="E13" s="1949">
        <f>E31*(1-$C$9)</f>
        <v>1550</v>
      </c>
      <c r="F13" s="1949"/>
      <c r="G13" s="1950">
        <f>G31*(1-$C$9)</f>
        <v>1550</v>
      </c>
      <c r="H13" s="1950"/>
      <c r="I13" s="1950"/>
      <c r="J13" s="1951">
        <f>J31*(1-$C$9)</f>
        <v>1550</v>
      </c>
      <c r="K13" s="1923">
        <f>K31*(1-$C$9)</f>
        <v>3150</v>
      </c>
      <c r="L13" s="1923">
        <f>L31*(1-$C$9)</f>
        <v>2950</v>
      </c>
      <c r="M13" s="1923"/>
      <c r="N13" s="1923"/>
      <c r="O13" s="1923"/>
      <c r="P13" s="1923"/>
      <c r="Q13" s="1952"/>
      <c r="R13" s="1949"/>
      <c r="S13" s="1949">
        <f>S31*(1-$C$9)</f>
        <v>0</v>
      </c>
      <c r="T13" s="1949">
        <f>T31*(1-$C$9)</f>
        <v>850</v>
      </c>
      <c r="U13" s="1949">
        <f>U31*(1-$C$9)</f>
        <v>1000</v>
      </c>
      <c r="V13" s="1949">
        <f>V31*(1-$C$9)</f>
        <v>1000</v>
      </c>
      <c r="W13" s="1949">
        <f>W31*(1-$C$9)</f>
        <v>1100</v>
      </c>
      <c r="X13" s="2633"/>
      <c r="Y13" s="2633"/>
      <c r="Z13" s="2633"/>
      <c r="AA13" s="2633"/>
      <c r="AB13" s="1949">
        <f t="shared" ref="AB13:AN13" si="1">AB31*(1-$C$9)</f>
        <v>0</v>
      </c>
      <c r="AC13" s="1949">
        <f t="shared" si="1"/>
        <v>1150</v>
      </c>
      <c r="AD13" s="1949">
        <f t="shared" si="1"/>
        <v>0</v>
      </c>
      <c r="AE13" s="1953">
        <f t="shared" si="1"/>
        <v>0</v>
      </c>
      <c r="AF13" s="1949">
        <f t="shared" si="1"/>
        <v>0</v>
      </c>
      <c r="AG13" s="1950">
        <f t="shared" si="1"/>
        <v>950</v>
      </c>
      <c r="AH13" s="2681"/>
      <c r="AI13" s="2681"/>
      <c r="AJ13" s="1950">
        <f t="shared" si="1"/>
        <v>950</v>
      </c>
      <c r="AK13" s="1954">
        <f t="shared" si="1"/>
        <v>0</v>
      </c>
      <c r="AL13" s="1954">
        <f t="shared" si="1"/>
        <v>0</v>
      </c>
      <c r="AM13" s="1954">
        <f t="shared" si="1"/>
        <v>0</v>
      </c>
      <c r="AN13" s="1954">
        <f t="shared" si="1"/>
        <v>700</v>
      </c>
      <c r="AO13" s="1952"/>
      <c r="AP13" s="1949"/>
      <c r="AQ13" s="1949"/>
      <c r="AR13" s="1949">
        <f t="shared" ref="AR13:BF13" si="2">AR31*(1-$C$9)</f>
        <v>850</v>
      </c>
      <c r="AS13" s="1949">
        <f t="shared" si="2"/>
        <v>1350</v>
      </c>
      <c r="AT13" s="1949">
        <f t="shared" si="2"/>
        <v>90</v>
      </c>
      <c r="AU13" s="1949">
        <f t="shared" si="2"/>
        <v>150</v>
      </c>
      <c r="AV13" s="2692"/>
      <c r="AW13" s="1954">
        <f t="shared" si="2"/>
        <v>0</v>
      </c>
      <c r="AX13" s="1954">
        <f t="shared" si="2"/>
        <v>700</v>
      </c>
      <c r="AY13" s="1954">
        <f t="shared" si="2"/>
        <v>950</v>
      </c>
      <c r="AZ13" s="1954">
        <f t="shared" si="2"/>
        <v>1150</v>
      </c>
      <c r="BA13" s="1954">
        <f t="shared" si="2"/>
        <v>1250</v>
      </c>
      <c r="BB13" s="1954">
        <f t="shared" si="2"/>
        <v>1600</v>
      </c>
      <c r="BC13" s="1949">
        <f t="shared" si="2"/>
        <v>120</v>
      </c>
      <c r="BD13" s="1949">
        <f t="shared" si="2"/>
        <v>390</v>
      </c>
      <c r="BE13" s="1954">
        <f t="shared" si="2"/>
        <v>550</v>
      </c>
      <c r="BF13" s="1954">
        <f t="shared" si="2"/>
        <v>1350</v>
      </c>
      <c r="BG13" s="1952"/>
      <c r="BH13" s="1954">
        <f t="shared" ref="BH13:BP13" si="3">BH31*(1-$C$9)</f>
        <v>750</v>
      </c>
      <c r="BI13" s="1954">
        <f t="shared" si="3"/>
        <v>950</v>
      </c>
      <c r="BJ13" s="1954">
        <f t="shared" si="3"/>
        <v>1050</v>
      </c>
      <c r="BK13" s="1954">
        <f t="shared" si="3"/>
        <v>750</v>
      </c>
      <c r="BL13" s="1954">
        <f t="shared" si="3"/>
        <v>1050</v>
      </c>
      <c r="BM13" s="1954">
        <f t="shared" si="3"/>
        <v>1100</v>
      </c>
      <c r="BN13" s="1954">
        <f t="shared" si="3"/>
        <v>0</v>
      </c>
      <c r="BO13" s="1954">
        <f t="shared" si="3"/>
        <v>0</v>
      </c>
      <c r="BP13" s="1954">
        <f t="shared" si="3"/>
        <v>0</v>
      </c>
      <c r="BQ13" s="1952"/>
      <c r="BR13" s="1949">
        <f t="shared" ref="BR13:BX13" si="4">BR31*(1-$C$9)</f>
        <v>1500</v>
      </c>
      <c r="BS13" s="1955">
        <f t="shared" si="4"/>
        <v>1700</v>
      </c>
      <c r="BT13" s="1955">
        <f t="shared" si="4"/>
        <v>2450</v>
      </c>
      <c r="BU13" s="1954">
        <f t="shared" si="4"/>
        <v>0</v>
      </c>
      <c r="BV13" s="1954">
        <f t="shared" si="4"/>
        <v>0</v>
      </c>
      <c r="BW13" s="1954">
        <f t="shared" si="4"/>
        <v>0</v>
      </c>
      <c r="BX13" s="1954">
        <f t="shared" si="4"/>
        <v>0</v>
      </c>
      <c r="BY13" s="1952"/>
      <c r="BZ13" s="1949">
        <f t="shared" ref="BZ13:DC13" si="5">BZ31*(1-$C$9)</f>
        <v>700</v>
      </c>
      <c r="CA13" s="1954">
        <f t="shared" si="5"/>
        <v>750</v>
      </c>
      <c r="CB13" s="1954">
        <f t="shared" si="5"/>
        <v>800</v>
      </c>
      <c r="CC13" s="1954">
        <f t="shared" si="5"/>
        <v>850</v>
      </c>
      <c r="CD13" s="1954">
        <f t="shared" si="5"/>
        <v>1300</v>
      </c>
      <c r="CE13" s="1954">
        <f t="shared" si="5"/>
        <v>1350</v>
      </c>
      <c r="CF13" s="1954">
        <f t="shared" si="5"/>
        <v>1450</v>
      </c>
      <c r="CG13" s="1954">
        <f t="shared" si="5"/>
        <v>1500</v>
      </c>
      <c r="CH13" s="1954">
        <f t="shared" si="5"/>
        <v>0</v>
      </c>
      <c r="CI13" s="1954">
        <f t="shared" si="5"/>
        <v>0</v>
      </c>
      <c r="CJ13" s="1954">
        <f t="shared" si="5"/>
        <v>0</v>
      </c>
      <c r="CK13" s="1954">
        <f t="shared" si="5"/>
        <v>0</v>
      </c>
      <c r="CL13" s="1954">
        <f t="shared" si="5"/>
        <v>0</v>
      </c>
      <c r="CM13" s="1954">
        <f t="shared" si="5"/>
        <v>0</v>
      </c>
      <c r="CN13" s="1954">
        <f t="shared" si="5"/>
        <v>0</v>
      </c>
      <c r="CO13" s="1954">
        <f t="shared" si="5"/>
        <v>0</v>
      </c>
      <c r="CP13" s="1954">
        <f t="shared" si="5"/>
        <v>0</v>
      </c>
      <c r="CQ13" s="1954">
        <f t="shared" si="5"/>
        <v>0</v>
      </c>
      <c r="CR13" s="1954">
        <f t="shared" si="5"/>
        <v>0</v>
      </c>
      <c r="CS13" s="1954">
        <f t="shared" si="5"/>
        <v>800</v>
      </c>
      <c r="CT13" s="1954">
        <f t="shared" si="5"/>
        <v>900</v>
      </c>
      <c r="CU13" s="1954">
        <f t="shared" si="5"/>
        <v>900</v>
      </c>
      <c r="CV13" s="1954">
        <f t="shared" si="5"/>
        <v>1000</v>
      </c>
      <c r="CW13" s="1954">
        <f t="shared" si="5"/>
        <v>0</v>
      </c>
      <c r="CX13" s="1954">
        <f t="shared" si="5"/>
        <v>0</v>
      </c>
      <c r="CY13" s="1954">
        <f t="shared" si="5"/>
        <v>0</v>
      </c>
      <c r="CZ13" s="1954">
        <f t="shared" si="5"/>
        <v>900</v>
      </c>
      <c r="DA13" s="1954">
        <f t="shared" si="5"/>
        <v>900</v>
      </c>
      <c r="DB13" s="1954">
        <f t="shared" si="5"/>
        <v>1000</v>
      </c>
      <c r="DC13" s="1954">
        <f t="shared" si="5"/>
        <v>0</v>
      </c>
      <c r="DD13" s="1952"/>
      <c r="DE13" s="1954">
        <f t="shared" ref="DE13:DR13" si="6">DE31*(1-$C$9)</f>
        <v>0</v>
      </c>
      <c r="DF13" s="1954">
        <f t="shared" si="6"/>
        <v>3450</v>
      </c>
      <c r="DG13" s="1954">
        <f t="shared" si="6"/>
        <v>3300</v>
      </c>
      <c r="DH13" s="1954">
        <f t="shared" si="6"/>
        <v>4000</v>
      </c>
      <c r="DI13" s="1954">
        <f t="shared" si="6"/>
        <v>0</v>
      </c>
      <c r="DJ13" s="1954">
        <f t="shared" si="6"/>
        <v>0</v>
      </c>
      <c r="DK13" s="1949">
        <f t="shared" si="6"/>
        <v>0</v>
      </c>
      <c r="DL13" s="1954">
        <f t="shared" si="6"/>
        <v>0</v>
      </c>
      <c r="DM13" s="1954">
        <f t="shared" si="6"/>
        <v>0</v>
      </c>
      <c r="DN13" s="1954">
        <f t="shared" si="6"/>
        <v>0</v>
      </c>
      <c r="DO13" s="1954">
        <f t="shared" si="6"/>
        <v>0</v>
      </c>
      <c r="DP13" s="1954">
        <f t="shared" si="6"/>
        <v>0</v>
      </c>
      <c r="DQ13" s="1954">
        <f t="shared" si="6"/>
        <v>0</v>
      </c>
      <c r="DR13" s="1954">
        <f t="shared" si="6"/>
        <v>0</v>
      </c>
      <c r="DS13" s="1956"/>
      <c r="DT13" s="1954">
        <f t="shared" ref="DT13:DY13" si="7">DT31*(1-$C$9)</f>
        <v>9650</v>
      </c>
      <c r="DU13" s="1954">
        <f>DU35*(1-$C$9)</f>
        <v>20100</v>
      </c>
      <c r="DV13" s="1954">
        <f t="shared" si="7"/>
        <v>0</v>
      </c>
      <c r="DW13" s="2947"/>
      <c r="DX13" s="1954">
        <f>DX33*(1-$C$9)</f>
        <v>18400</v>
      </c>
      <c r="DY13" s="1954">
        <f t="shared" si="7"/>
        <v>0</v>
      </c>
      <c r="EA13" s="1954" t="e">
        <f>'Полотна база'!#REF!</f>
        <v>#REF!</v>
      </c>
      <c r="EB13" s="1954" t="e">
        <f>(EA13/1.6)*$EB$26</f>
        <v>#REF!</v>
      </c>
      <c r="EC13" s="2947"/>
      <c r="ED13" s="2947"/>
      <c r="EE13" s="1954"/>
      <c r="EF13" s="1954"/>
      <c r="EG13" s="1954"/>
      <c r="EH13" s="1954"/>
      <c r="EI13" s="1954"/>
      <c r="EJ13" s="1954"/>
    </row>
    <row r="14" spans="1:146" s="1957" customFormat="1" ht="15.75" hidden="1" customHeight="1" outlineLevel="2">
      <c r="A14" s="5081" t="s">
        <v>1019</v>
      </c>
      <c r="B14" s="1947" t="s">
        <v>703</v>
      </c>
      <c r="C14" s="1948"/>
      <c r="D14" s="1949"/>
      <c r="E14" s="1949">
        <f t="shared" ref="E14:L14" si="8">E34*(1-$C$9)</f>
        <v>2500</v>
      </c>
      <c r="F14" s="1949">
        <f t="shared" si="8"/>
        <v>0</v>
      </c>
      <c r="G14" s="1950">
        <f t="shared" si="8"/>
        <v>2500</v>
      </c>
      <c r="H14" s="1950">
        <f t="shared" si="8"/>
        <v>2750</v>
      </c>
      <c r="I14" s="1950">
        <f t="shared" si="8"/>
        <v>0</v>
      </c>
      <c r="J14" s="1951">
        <f t="shared" si="8"/>
        <v>2500</v>
      </c>
      <c r="K14" s="1923">
        <f t="shared" si="8"/>
        <v>5050</v>
      </c>
      <c r="L14" s="1923">
        <f t="shared" si="8"/>
        <v>4750</v>
      </c>
      <c r="M14" s="1954"/>
      <c r="N14" s="1954"/>
      <c r="O14" s="1954"/>
      <c r="P14" s="1954"/>
      <c r="Q14" s="1952"/>
      <c r="R14" s="1949"/>
      <c r="S14" s="1949">
        <f>S34*(1-$C$9)</f>
        <v>1600</v>
      </c>
      <c r="T14" s="1949">
        <f>T34*(1-$C$9)</f>
        <v>1400</v>
      </c>
      <c r="U14" s="1949">
        <f>U34*(1-$C$9)</f>
        <v>1600</v>
      </c>
      <c r="V14" s="1949">
        <f>V34*(1-$C$9)</f>
        <v>1600</v>
      </c>
      <c r="W14" s="1949">
        <f>W34*(1-$C$9)</f>
        <v>1750</v>
      </c>
      <c r="X14" s="2633"/>
      <c r="Y14" s="2633"/>
      <c r="Z14" s="2633"/>
      <c r="AA14" s="2633"/>
      <c r="AB14" s="1949">
        <f t="shared" ref="AB14:AN14" si="9">AB34*(1-$C$9)</f>
        <v>2450</v>
      </c>
      <c r="AC14" s="1953">
        <f t="shared" si="9"/>
        <v>0</v>
      </c>
      <c r="AD14" s="1953">
        <f t="shared" si="9"/>
        <v>0</v>
      </c>
      <c r="AE14" s="1953">
        <f t="shared" si="9"/>
        <v>0</v>
      </c>
      <c r="AF14" s="1953">
        <f t="shared" si="9"/>
        <v>0</v>
      </c>
      <c r="AG14" s="1950">
        <f t="shared" si="9"/>
        <v>1500</v>
      </c>
      <c r="AH14" s="2681"/>
      <c r="AI14" s="2681"/>
      <c r="AJ14" s="1950">
        <f t="shared" si="9"/>
        <v>1500</v>
      </c>
      <c r="AK14" s="1954">
        <f t="shared" si="9"/>
        <v>0</v>
      </c>
      <c r="AL14" s="1954">
        <f t="shared" si="9"/>
        <v>0</v>
      </c>
      <c r="AM14" s="1954">
        <f t="shared" si="9"/>
        <v>1600</v>
      </c>
      <c r="AN14" s="1954">
        <f t="shared" si="9"/>
        <v>1400</v>
      </c>
      <c r="AO14" s="1952"/>
      <c r="AP14" s="1949"/>
      <c r="AQ14" s="1949"/>
      <c r="AR14" s="1949">
        <f t="shared" ref="AR14:BF14" si="10">AR34*(1-$C$9)</f>
        <v>1400</v>
      </c>
      <c r="AS14" s="1949">
        <f t="shared" si="10"/>
        <v>2200</v>
      </c>
      <c r="AT14" s="1949">
        <f t="shared" si="10"/>
        <v>140</v>
      </c>
      <c r="AU14" s="1949">
        <f t="shared" si="10"/>
        <v>250</v>
      </c>
      <c r="AV14" s="2692"/>
      <c r="AW14" s="1954">
        <f t="shared" si="10"/>
        <v>0</v>
      </c>
      <c r="AX14" s="1954">
        <f t="shared" si="10"/>
        <v>1400</v>
      </c>
      <c r="AY14" s="1954">
        <f t="shared" si="10"/>
        <v>1870</v>
      </c>
      <c r="AZ14" s="1954">
        <f t="shared" si="10"/>
        <v>2240</v>
      </c>
      <c r="BA14" s="1954">
        <f t="shared" si="10"/>
        <v>2200</v>
      </c>
      <c r="BB14" s="1954">
        <f t="shared" si="10"/>
        <v>3180</v>
      </c>
      <c r="BC14" s="1949">
        <f t="shared" si="10"/>
        <v>120</v>
      </c>
      <c r="BD14" s="1949">
        <f t="shared" si="10"/>
        <v>850</v>
      </c>
      <c r="BE14" s="1954">
        <f t="shared" si="10"/>
        <v>850</v>
      </c>
      <c r="BF14" s="1954">
        <f t="shared" si="10"/>
        <v>2200</v>
      </c>
      <c r="BG14" s="1952"/>
      <c r="BH14" s="1954">
        <f t="shared" ref="BH14:BP14" si="11">BH34*(1-$C$9)</f>
        <v>1200</v>
      </c>
      <c r="BI14" s="1954">
        <f t="shared" si="11"/>
        <v>1550</v>
      </c>
      <c r="BJ14" s="1954">
        <f t="shared" si="11"/>
        <v>1650</v>
      </c>
      <c r="BK14" s="1954">
        <f t="shared" si="11"/>
        <v>1250</v>
      </c>
      <c r="BL14" s="1954">
        <f t="shared" si="11"/>
        <v>1650</v>
      </c>
      <c r="BM14" s="1954">
        <f t="shared" si="11"/>
        <v>1750</v>
      </c>
      <c r="BN14" s="1954">
        <f t="shared" si="11"/>
        <v>0</v>
      </c>
      <c r="BO14" s="1954">
        <f t="shared" si="11"/>
        <v>0</v>
      </c>
      <c r="BP14" s="1954">
        <f t="shared" si="11"/>
        <v>0</v>
      </c>
      <c r="BQ14" s="1952"/>
      <c r="BR14" s="1949">
        <f t="shared" ref="BR14:BX14" si="12">BR34*(1-$C$9)</f>
        <v>2400</v>
      </c>
      <c r="BS14" s="1955">
        <f t="shared" si="12"/>
        <v>2700</v>
      </c>
      <c r="BT14" s="1955">
        <f t="shared" si="12"/>
        <v>3900</v>
      </c>
      <c r="BU14" s="1955">
        <f t="shared" si="12"/>
        <v>900</v>
      </c>
      <c r="BV14" s="1955">
        <f t="shared" si="12"/>
        <v>1050</v>
      </c>
      <c r="BW14" s="1955">
        <f t="shared" si="12"/>
        <v>1400</v>
      </c>
      <c r="BX14" s="1955">
        <f t="shared" si="12"/>
        <v>5900</v>
      </c>
      <c r="BY14" s="1952"/>
      <c r="BZ14" s="1949">
        <f t="shared" ref="BZ14:DC15" si="13">BZ34*(1-$C$9)</f>
        <v>1150</v>
      </c>
      <c r="CA14" s="1954">
        <f t="shared" si="13"/>
        <v>1200</v>
      </c>
      <c r="CB14" s="1954">
        <f t="shared" si="13"/>
        <v>1250</v>
      </c>
      <c r="CC14" s="1954">
        <f t="shared" si="13"/>
        <v>1350</v>
      </c>
      <c r="CD14" s="1954">
        <f t="shared" si="13"/>
        <v>0</v>
      </c>
      <c r="CE14" s="1954">
        <f t="shared" si="13"/>
        <v>0</v>
      </c>
      <c r="CF14" s="1954">
        <f t="shared" si="13"/>
        <v>0</v>
      </c>
      <c r="CG14" s="1954">
        <f t="shared" si="13"/>
        <v>0</v>
      </c>
      <c r="CH14" s="1954">
        <f t="shared" si="13"/>
        <v>1250</v>
      </c>
      <c r="CI14" s="1954">
        <f t="shared" si="13"/>
        <v>1350</v>
      </c>
      <c r="CJ14" s="1954">
        <f t="shared" si="13"/>
        <v>1400</v>
      </c>
      <c r="CK14" s="1954">
        <f t="shared" si="13"/>
        <v>1250</v>
      </c>
      <c r="CL14" s="1954">
        <f t="shared" si="13"/>
        <v>1350</v>
      </c>
      <c r="CM14" s="1954">
        <f t="shared" si="13"/>
        <v>1400</v>
      </c>
      <c r="CN14" s="1954">
        <f t="shared" si="13"/>
        <v>0</v>
      </c>
      <c r="CO14" s="1954">
        <f t="shared" si="13"/>
        <v>1550</v>
      </c>
      <c r="CP14" s="1954">
        <f t="shared" si="13"/>
        <v>1650</v>
      </c>
      <c r="CQ14" s="1954">
        <f t="shared" si="13"/>
        <v>1700</v>
      </c>
      <c r="CR14" s="1954">
        <f t="shared" si="13"/>
        <v>1750</v>
      </c>
      <c r="CS14" s="1954">
        <f t="shared" si="13"/>
        <v>0</v>
      </c>
      <c r="CT14" s="1954">
        <f t="shared" si="13"/>
        <v>0</v>
      </c>
      <c r="CU14" s="1954">
        <f t="shared" si="13"/>
        <v>0</v>
      </c>
      <c r="CV14" s="1954">
        <f t="shared" si="13"/>
        <v>0</v>
      </c>
      <c r="CW14" s="1954">
        <f t="shared" si="13"/>
        <v>1700</v>
      </c>
      <c r="CX14" s="1954">
        <f t="shared" si="13"/>
        <v>1750</v>
      </c>
      <c r="CY14" s="1954">
        <f t="shared" si="13"/>
        <v>1850</v>
      </c>
      <c r="CZ14" s="1954">
        <f t="shared" si="13"/>
        <v>1700</v>
      </c>
      <c r="DA14" s="1954">
        <f t="shared" si="13"/>
        <v>1750</v>
      </c>
      <c r="DB14" s="1954">
        <f t="shared" si="13"/>
        <v>1850</v>
      </c>
      <c r="DC14" s="1954">
        <f t="shared" si="13"/>
        <v>0</v>
      </c>
      <c r="DD14" s="1952"/>
      <c r="DE14" s="1954">
        <f t="shared" ref="DE14:DR14" si="14">DE34*(1-$C$9)</f>
        <v>3500</v>
      </c>
      <c r="DF14" s="1954">
        <f t="shared" si="14"/>
        <v>4100</v>
      </c>
      <c r="DG14" s="1954">
        <f t="shared" si="14"/>
        <v>4450</v>
      </c>
      <c r="DH14" s="1954">
        <f t="shared" si="14"/>
        <v>5350</v>
      </c>
      <c r="DI14" s="1954">
        <f t="shared" si="14"/>
        <v>4550</v>
      </c>
      <c r="DJ14" s="1954">
        <f t="shared" si="14"/>
        <v>5450</v>
      </c>
      <c r="DK14" s="1949">
        <f t="shared" si="14"/>
        <v>5350</v>
      </c>
      <c r="DL14" s="1954">
        <f t="shared" si="14"/>
        <v>5450</v>
      </c>
      <c r="DM14" s="1954">
        <f t="shared" si="14"/>
        <v>10050</v>
      </c>
      <c r="DN14" s="1954">
        <f t="shared" si="14"/>
        <v>10050</v>
      </c>
      <c r="DO14" s="1954">
        <f t="shared" si="14"/>
        <v>10050</v>
      </c>
      <c r="DP14" s="1954">
        <f t="shared" si="14"/>
        <v>2450</v>
      </c>
      <c r="DQ14" s="1954">
        <f t="shared" si="14"/>
        <v>2950</v>
      </c>
      <c r="DR14" s="1954">
        <f t="shared" si="14"/>
        <v>1200</v>
      </c>
      <c r="DS14" s="1956"/>
      <c r="DT14" s="1954">
        <f>DT34*(1-$C$9)</f>
        <v>12450</v>
      </c>
      <c r="DU14" s="1954">
        <f>DU34*(1-$C$9)</f>
        <v>0</v>
      </c>
      <c r="DV14" s="1954">
        <f>DV34*(1-$C$9)</f>
        <v>0</v>
      </c>
      <c r="DW14" s="2947"/>
      <c r="DX14" s="1954">
        <f>DX34*(1-$C$9)</f>
        <v>0</v>
      </c>
      <c r="DY14" s="1954">
        <f>DY34*(1-$C$9)</f>
        <v>27150</v>
      </c>
      <c r="EA14" s="1954" t="e">
        <f>'Полотна база'!#REF!</f>
        <v>#REF!</v>
      </c>
      <c r="EB14" s="1954" t="e">
        <f>(EA14/1.6)*$EB$26</f>
        <v>#REF!</v>
      </c>
      <c r="EC14" s="2947"/>
      <c r="ED14" s="2947"/>
      <c r="EE14" s="1954"/>
      <c r="EF14" s="1954"/>
      <c r="EG14" s="1954"/>
      <c r="EH14" s="1954"/>
      <c r="EI14" s="1954" t="e">
        <f>'Полотна база'!#REF!</f>
        <v>#REF!</v>
      </c>
      <c r="EJ14" s="1954" t="e">
        <f>(EI14/1.6)*$EJ$26</f>
        <v>#REF!</v>
      </c>
    </row>
    <row r="15" spans="1:146" s="1957" customFormat="1" hidden="1" outlineLevel="2">
      <c r="A15" s="5082"/>
      <c r="B15" s="1958" t="s">
        <v>718</v>
      </c>
      <c r="C15" s="1948"/>
      <c r="D15" s="1949"/>
      <c r="E15" s="1949">
        <f>E35*(1-$C$9)</f>
        <v>2700</v>
      </c>
      <c r="F15" s="1949">
        <f t="shared" ref="F15:L15" si="15">F35*(1-$C$9)</f>
        <v>0</v>
      </c>
      <c r="G15" s="1949">
        <f t="shared" si="15"/>
        <v>2700</v>
      </c>
      <c r="H15" s="1949">
        <f t="shared" si="15"/>
        <v>2950</v>
      </c>
      <c r="I15" s="1949">
        <f t="shared" si="15"/>
        <v>0</v>
      </c>
      <c r="J15" s="1949">
        <f t="shared" si="15"/>
        <v>2700</v>
      </c>
      <c r="K15" s="1949">
        <f t="shared" si="15"/>
        <v>5450</v>
      </c>
      <c r="L15" s="1949">
        <f t="shared" si="15"/>
        <v>5100</v>
      </c>
      <c r="M15" s="1954"/>
      <c r="N15" s="1954"/>
      <c r="O15" s="1954"/>
      <c r="P15" s="1954"/>
      <c r="Q15" s="1952"/>
      <c r="R15" s="1949"/>
      <c r="S15" s="1949">
        <f>S35*(1-$C$9)</f>
        <v>1700</v>
      </c>
      <c r="T15" s="1949">
        <f t="shared" ref="T15:CE15" si="16">T35*(1-$C$9)</f>
        <v>1500</v>
      </c>
      <c r="U15" s="1949">
        <f t="shared" si="16"/>
        <v>1700</v>
      </c>
      <c r="V15" s="1949">
        <f t="shared" si="16"/>
        <v>1700</v>
      </c>
      <c r="W15" s="1949">
        <f t="shared" si="16"/>
        <v>1900</v>
      </c>
      <c r="X15" s="1949">
        <f t="shared" si="16"/>
        <v>2350</v>
      </c>
      <c r="Y15" s="1949">
        <f t="shared" si="16"/>
        <v>0</v>
      </c>
      <c r="Z15" s="1949">
        <f t="shared" si="16"/>
        <v>0</v>
      </c>
      <c r="AA15" s="1949">
        <f t="shared" si="16"/>
        <v>0</v>
      </c>
      <c r="AB15" s="1949">
        <f t="shared" si="16"/>
        <v>2600</v>
      </c>
      <c r="AC15" s="1949">
        <f t="shared" si="16"/>
        <v>0</v>
      </c>
      <c r="AD15" s="1949">
        <f t="shared" si="16"/>
        <v>0</v>
      </c>
      <c r="AE15" s="1949">
        <f t="shared" si="16"/>
        <v>0</v>
      </c>
      <c r="AF15" s="1949">
        <f t="shared" si="16"/>
        <v>0</v>
      </c>
      <c r="AG15" s="1949">
        <f t="shared" si="16"/>
        <v>1600</v>
      </c>
      <c r="AH15" s="1949">
        <f t="shared" si="16"/>
        <v>2500</v>
      </c>
      <c r="AI15" s="1949">
        <f t="shared" si="16"/>
        <v>3900</v>
      </c>
      <c r="AJ15" s="1949">
        <f t="shared" si="16"/>
        <v>1600</v>
      </c>
      <c r="AK15" s="1949">
        <f t="shared" si="16"/>
        <v>0</v>
      </c>
      <c r="AL15" s="1949">
        <f t="shared" si="16"/>
        <v>0</v>
      </c>
      <c r="AM15" s="1949">
        <f t="shared" si="16"/>
        <v>1700</v>
      </c>
      <c r="AN15" s="1949">
        <f t="shared" si="16"/>
        <v>1500</v>
      </c>
      <c r="AO15" s="1949">
        <f t="shared" si="16"/>
        <v>0</v>
      </c>
      <c r="AP15" s="1949">
        <f t="shared" si="16"/>
        <v>0</v>
      </c>
      <c r="AQ15" s="1949">
        <f t="shared" si="16"/>
        <v>0</v>
      </c>
      <c r="AR15" s="1949">
        <f t="shared" si="16"/>
        <v>1500</v>
      </c>
      <c r="AS15" s="1949">
        <f t="shared" si="16"/>
        <v>2350</v>
      </c>
      <c r="AT15" s="1949">
        <f t="shared" si="16"/>
        <v>150</v>
      </c>
      <c r="AU15" s="1949">
        <f t="shared" si="16"/>
        <v>260</v>
      </c>
      <c r="AV15" s="1949">
        <f t="shared" si="16"/>
        <v>2400</v>
      </c>
      <c r="AW15" s="1949">
        <f t="shared" si="16"/>
        <v>0</v>
      </c>
      <c r="AX15" s="1949">
        <f t="shared" si="16"/>
        <v>1500</v>
      </c>
      <c r="AY15" s="1949">
        <f t="shared" si="16"/>
        <v>2000</v>
      </c>
      <c r="AZ15" s="1949">
        <f t="shared" si="16"/>
        <v>2400</v>
      </c>
      <c r="BA15" s="1949">
        <f t="shared" si="16"/>
        <v>2350</v>
      </c>
      <c r="BB15" s="1949">
        <f t="shared" si="16"/>
        <v>3400</v>
      </c>
      <c r="BC15" s="1949">
        <f t="shared" si="16"/>
        <v>120</v>
      </c>
      <c r="BD15" s="1949">
        <f t="shared" si="16"/>
        <v>900</v>
      </c>
      <c r="BE15" s="1949">
        <f t="shared" si="16"/>
        <v>900</v>
      </c>
      <c r="BF15" s="1949">
        <f t="shared" si="16"/>
        <v>2350</v>
      </c>
      <c r="BG15" s="1949">
        <f t="shared" si="16"/>
        <v>650</v>
      </c>
      <c r="BH15" s="1949">
        <f t="shared" si="16"/>
        <v>1250</v>
      </c>
      <c r="BI15" s="1949">
        <f t="shared" si="16"/>
        <v>1650</v>
      </c>
      <c r="BJ15" s="1949">
        <f t="shared" si="16"/>
        <v>1800</v>
      </c>
      <c r="BK15" s="1949">
        <f t="shared" si="16"/>
        <v>1300</v>
      </c>
      <c r="BL15" s="1949">
        <f t="shared" si="16"/>
        <v>1800</v>
      </c>
      <c r="BM15" s="1949">
        <f t="shared" si="16"/>
        <v>1900</v>
      </c>
      <c r="BN15" s="1949">
        <f t="shared" si="16"/>
        <v>0</v>
      </c>
      <c r="BO15" s="1949">
        <f t="shared" si="16"/>
        <v>0</v>
      </c>
      <c r="BP15" s="1949">
        <f t="shared" si="16"/>
        <v>0</v>
      </c>
      <c r="BQ15" s="1949">
        <f t="shared" si="16"/>
        <v>1700</v>
      </c>
      <c r="BR15" s="1949">
        <f t="shared" si="16"/>
        <v>2550</v>
      </c>
      <c r="BS15" s="1949">
        <f t="shared" si="16"/>
        <v>2900</v>
      </c>
      <c r="BT15" s="1949">
        <f t="shared" si="16"/>
        <v>4200</v>
      </c>
      <c r="BU15" s="1949">
        <f t="shared" si="16"/>
        <v>1000</v>
      </c>
      <c r="BV15" s="1949">
        <f t="shared" si="16"/>
        <v>1150</v>
      </c>
      <c r="BW15" s="1949">
        <f t="shared" si="16"/>
        <v>1500</v>
      </c>
      <c r="BX15" s="1949">
        <f t="shared" si="16"/>
        <v>6350</v>
      </c>
      <c r="BY15" s="1949">
        <f t="shared" si="16"/>
        <v>1500</v>
      </c>
      <c r="BZ15" s="1949">
        <f t="shared" si="16"/>
        <v>1200</v>
      </c>
      <c r="CA15" s="1949">
        <f t="shared" si="16"/>
        <v>1300</v>
      </c>
      <c r="CB15" s="1949">
        <f t="shared" si="16"/>
        <v>1350</v>
      </c>
      <c r="CC15" s="1949">
        <f t="shared" si="16"/>
        <v>1450</v>
      </c>
      <c r="CD15" s="1949">
        <f t="shared" si="16"/>
        <v>1300</v>
      </c>
      <c r="CE15" s="1949">
        <f t="shared" si="16"/>
        <v>1350</v>
      </c>
      <c r="CF15" s="1949">
        <f t="shared" si="13"/>
        <v>1450</v>
      </c>
      <c r="CG15" s="1949">
        <f t="shared" si="13"/>
        <v>1500</v>
      </c>
      <c r="CH15" s="1949">
        <f t="shared" si="13"/>
        <v>1350</v>
      </c>
      <c r="CI15" s="1949">
        <f t="shared" si="13"/>
        <v>1450</v>
      </c>
      <c r="CJ15" s="1949">
        <f t="shared" si="13"/>
        <v>1500</v>
      </c>
      <c r="CK15" s="1949">
        <f t="shared" si="13"/>
        <v>1350</v>
      </c>
      <c r="CL15" s="1949">
        <f t="shared" si="13"/>
        <v>1450</v>
      </c>
      <c r="CM15" s="1949">
        <f t="shared" si="13"/>
        <v>1500</v>
      </c>
      <c r="CN15" s="1949">
        <f t="shared" si="13"/>
        <v>0</v>
      </c>
      <c r="CO15" s="1949">
        <f t="shared" si="13"/>
        <v>1650</v>
      </c>
      <c r="CP15" s="1949">
        <f t="shared" si="13"/>
        <v>1800</v>
      </c>
      <c r="CQ15" s="1949">
        <f t="shared" si="13"/>
        <v>1850</v>
      </c>
      <c r="CR15" s="1949">
        <f t="shared" si="13"/>
        <v>1900</v>
      </c>
      <c r="CS15" s="1949">
        <f t="shared" si="13"/>
        <v>1800</v>
      </c>
      <c r="CT15" s="1949">
        <f t="shared" si="13"/>
        <v>1850</v>
      </c>
      <c r="CU15" s="1949">
        <f t="shared" si="13"/>
        <v>1900</v>
      </c>
      <c r="CV15" s="1949">
        <f t="shared" si="13"/>
        <v>2000</v>
      </c>
      <c r="CW15" s="1949">
        <f t="shared" si="13"/>
        <v>1850</v>
      </c>
      <c r="CX15" s="1949">
        <f t="shared" si="13"/>
        <v>1900</v>
      </c>
      <c r="CY15" s="1949">
        <f t="shared" si="13"/>
        <v>2000</v>
      </c>
      <c r="CZ15" s="1949">
        <f t="shared" si="13"/>
        <v>1850</v>
      </c>
      <c r="DA15" s="1949">
        <f t="shared" si="13"/>
        <v>1900</v>
      </c>
      <c r="DB15" s="1949">
        <f t="shared" si="13"/>
        <v>2000</v>
      </c>
      <c r="DC15" s="1949">
        <f t="shared" si="13"/>
        <v>0</v>
      </c>
      <c r="DD15" s="1949">
        <f t="shared" ref="DD15:DY15" si="17">DD35*(1-$C$9)</f>
        <v>0</v>
      </c>
      <c r="DE15" s="1949">
        <f t="shared" si="17"/>
        <v>3750</v>
      </c>
      <c r="DF15" s="1949">
        <f t="shared" si="17"/>
        <v>4450</v>
      </c>
      <c r="DG15" s="1949">
        <f t="shared" si="17"/>
        <v>4750</v>
      </c>
      <c r="DH15" s="1949">
        <f t="shared" si="17"/>
        <v>5750</v>
      </c>
      <c r="DI15" s="1949">
        <f t="shared" si="17"/>
        <v>4900</v>
      </c>
      <c r="DJ15" s="1949">
        <f t="shared" si="17"/>
        <v>5850</v>
      </c>
      <c r="DK15" s="1949">
        <f t="shared" si="17"/>
        <v>5750</v>
      </c>
      <c r="DL15" s="1949">
        <f t="shared" si="17"/>
        <v>5850</v>
      </c>
      <c r="DM15" s="1949">
        <f t="shared" si="17"/>
        <v>10800</v>
      </c>
      <c r="DN15" s="1949">
        <f t="shared" si="17"/>
        <v>10800</v>
      </c>
      <c r="DO15" s="1949">
        <f t="shared" si="17"/>
        <v>10800</v>
      </c>
      <c r="DP15" s="1949">
        <f t="shared" si="17"/>
        <v>2600</v>
      </c>
      <c r="DQ15" s="1949">
        <f t="shared" si="17"/>
        <v>3200</v>
      </c>
      <c r="DR15" s="1949">
        <f t="shared" si="17"/>
        <v>1260</v>
      </c>
      <c r="DS15" s="1949">
        <f t="shared" si="17"/>
        <v>0</v>
      </c>
      <c r="DT15" s="1949">
        <f t="shared" si="17"/>
        <v>13400</v>
      </c>
      <c r="DU15" s="1949">
        <f t="shared" si="17"/>
        <v>20100</v>
      </c>
      <c r="DV15" s="1949">
        <f t="shared" si="17"/>
        <v>5200</v>
      </c>
      <c r="DW15" s="1949">
        <f t="shared" si="17"/>
        <v>0</v>
      </c>
      <c r="DX15" s="1949">
        <f t="shared" si="17"/>
        <v>20800</v>
      </c>
      <c r="DY15" s="1949">
        <f t="shared" si="17"/>
        <v>29250</v>
      </c>
      <c r="EA15" s="1954" t="e">
        <f>'Полотна база'!#REF!</f>
        <v>#REF!</v>
      </c>
      <c r="EB15" s="1954" t="e">
        <f>(EA15/1.6)*$EB$26</f>
        <v>#REF!</v>
      </c>
      <c r="EC15" s="2947"/>
      <c r="ED15" s="2947"/>
      <c r="EE15" s="1954"/>
      <c r="EF15" s="1954"/>
      <c r="EG15" s="1954"/>
      <c r="EH15" s="1954"/>
      <c r="EI15" s="1954" t="e">
        <f>'Полотна база'!#REF!</f>
        <v>#REF!</v>
      </c>
      <c r="EJ15" s="1954" t="e">
        <f>(EI15/1.6)*$EJ$26</f>
        <v>#REF!</v>
      </c>
    </row>
    <row r="16" spans="1:146" s="1957" customFormat="1" hidden="1" outlineLevel="2">
      <c r="A16" s="5083"/>
      <c r="B16" s="1958" t="s">
        <v>103</v>
      </c>
      <c r="C16" s="1948"/>
      <c r="D16" s="1949"/>
      <c r="E16" s="1949">
        <f t="shared" ref="E16:L16" si="18">E35*(1-$C$9)</f>
        <v>2700</v>
      </c>
      <c r="F16" s="1949">
        <f t="shared" si="18"/>
        <v>0</v>
      </c>
      <c r="G16" s="1950">
        <f t="shared" si="18"/>
        <v>2700</v>
      </c>
      <c r="H16" s="1950">
        <f t="shared" si="18"/>
        <v>2950</v>
      </c>
      <c r="I16" s="1950">
        <f t="shared" si="18"/>
        <v>0</v>
      </c>
      <c r="J16" s="1951">
        <f t="shared" si="18"/>
        <v>2700</v>
      </c>
      <c r="K16" s="1923">
        <f t="shared" si="18"/>
        <v>5450</v>
      </c>
      <c r="L16" s="1923">
        <f t="shared" si="18"/>
        <v>5100</v>
      </c>
      <c r="M16" s="1954"/>
      <c r="N16" s="1954"/>
      <c r="O16" s="1954"/>
      <c r="P16" s="1954"/>
      <c r="Q16" s="1952"/>
      <c r="R16" s="1949"/>
      <c r="S16" s="1949">
        <f>S35*(1-$C$9)</f>
        <v>1700</v>
      </c>
      <c r="T16" s="1949">
        <f>T35*(1-$C$9)</f>
        <v>1500</v>
      </c>
      <c r="U16" s="1949">
        <f>U35*(1-$C$9)</f>
        <v>1700</v>
      </c>
      <c r="V16" s="1949">
        <f>V35*(1-$C$9)</f>
        <v>1700</v>
      </c>
      <c r="W16" s="1949">
        <f>W35*(1-$C$9)</f>
        <v>1900</v>
      </c>
      <c r="X16" s="2633"/>
      <c r="Y16" s="2633"/>
      <c r="Z16" s="2633"/>
      <c r="AA16" s="2633"/>
      <c r="AB16" s="1949">
        <f t="shared" ref="AB16:AN16" si="19">AB35*(1-$C$9)</f>
        <v>2600</v>
      </c>
      <c r="AC16" s="1949">
        <f t="shared" si="19"/>
        <v>0</v>
      </c>
      <c r="AD16" s="1949">
        <f t="shared" si="19"/>
        <v>0</v>
      </c>
      <c r="AE16" s="1953">
        <f t="shared" si="19"/>
        <v>0</v>
      </c>
      <c r="AF16" s="1949">
        <f t="shared" si="19"/>
        <v>0</v>
      </c>
      <c r="AG16" s="1950">
        <f t="shared" si="19"/>
        <v>1600</v>
      </c>
      <c r="AH16" s="2681"/>
      <c r="AI16" s="2681"/>
      <c r="AJ16" s="1950">
        <f t="shared" si="19"/>
        <v>1600</v>
      </c>
      <c r="AK16" s="1954">
        <f t="shared" si="19"/>
        <v>0</v>
      </c>
      <c r="AL16" s="1954">
        <f t="shared" si="19"/>
        <v>0</v>
      </c>
      <c r="AM16" s="1954">
        <f t="shared" si="19"/>
        <v>1700</v>
      </c>
      <c r="AN16" s="1954">
        <f t="shared" si="19"/>
        <v>1500</v>
      </c>
      <c r="AO16" s="1952"/>
      <c r="AP16" s="1949"/>
      <c r="AQ16" s="1949"/>
      <c r="AR16" s="1949">
        <f t="shared" ref="AR16:BF16" si="20">AR35*(1-$C$9)</f>
        <v>1500</v>
      </c>
      <c r="AS16" s="1949">
        <f t="shared" si="20"/>
        <v>2350</v>
      </c>
      <c r="AT16" s="1949">
        <f t="shared" si="20"/>
        <v>150</v>
      </c>
      <c r="AU16" s="1949">
        <f t="shared" si="20"/>
        <v>260</v>
      </c>
      <c r="AV16" s="2692"/>
      <c r="AW16" s="1954">
        <f t="shared" si="20"/>
        <v>0</v>
      </c>
      <c r="AX16" s="1954">
        <f t="shared" si="20"/>
        <v>1500</v>
      </c>
      <c r="AY16" s="1954">
        <f t="shared" si="20"/>
        <v>2000</v>
      </c>
      <c r="AZ16" s="1954">
        <f t="shared" si="20"/>
        <v>2400</v>
      </c>
      <c r="BA16" s="1954">
        <f t="shared" si="20"/>
        <v>2350</v>
      </c>
      <c r="BB16" s="1954">
        <f t="shared" si="20"/>
        <v>3400</v>
      </c>
      <c r="BC16" s="1949">
        <f t="shared" si="20"/>
        <v>120</v>
      </c>
      <c r="BD16" s="1949">
        <f t="shared" si="20"/>
        <v>900</v>
      </c>
      <c r="BE16" s="1954">
        <f t="shared" si="20"/>
        <v>900</v>
      </c>
      <c r="BF16" s="1954">
        <f t="shared" si="20"/>
        <v>2350</v>
      </c>
      <c r="BG16" s="1952"/>
      <c r="BH16" s="1954">
        <f t="shared" ref="BH16:BP16" si="21">BH35*(1-$C$9)</f>
        <v>1250</v>
      </c>
      <c r="BI16" s="1954">
        <f t="shared" si="21"/>
        <v>1650</v>
      </c>
      <c r="BJ16" s="1954">
        <f t="shared" si="21"/>
        <v>1800</v>
      </c>
      <c r="BK16" s="1954">
        <f t="shared" si="21"/>
        <v>1300</v>
      </c>
      <c r="BL16" s="1954">
        <f t="shared" si="21"/>
        <v>1800</v>
      </c>
      <c r="BM16" s="1954">
        <f t="shared" si="21"/>
        <v>1900</v>
      </c>
      <c r="BN16" s="1954">
        <f t="shared" si="21"/>
        <v>0</v>
      </c>
      <c r="BO16" s="1954">
        <f t="shared" si="21"/>
        <v>0</v>
      </c>
      <c r="BP16" s="1954">
        <f t="shared" si="21"/>
        <v>0</v>
      </c>
      <c r="BQ16" s="1952"/>
      <c r="BR16" s="1949">
        <f t="shared" ref="BR16:BX16" si="22">BR35*(1-$C$9)</f>
        <v>2550</v>
      </c>
      <c r="BS16" s="1955">
        <f t="shared" si="22"/>
        <v>2900</v>
      </c>
      <c r="BT16" s="1955">
        <f t="shared" si="22"/>
        <v>4200</v>
      </c>
      <c r="BU16" s="1955">
        <f t="shared" si="22"/>
        <v>1000</v>
      </c>
      <c r="BV16" s="1955">
        <f t="shared" si="22"/>
        <v>1150</v>
      </c>
      <c r="BW16" s="1955">
        <f t="shared" si="22"/>
        <v>1500</v>
      </c>
      <c r="BX16" s="1955">
        <f t="shared" si="22"/>
        <v>6350</v>
      </c>
      <c r="BY16" s="1952"/>
      <c r="BZ16" s="1949">
        <f t="shared" ref="BZ16:DC16" si="23">BZ35*(1-$C$9)</f>
        <v>1200</v>
      </c>
      <c r="CA16" s="1954">
        <f t="shared" si="23"/>
        <v>1300</v>
      </c>
      <c r="CB16" s="1954">
        <f t="shared" si="23"/>
        <v>1350</v>
      </c>
      <c r="CC16" s="1954">
        <f t="shared" si="23"/>
        <v>1450</v>
      </c>
      <c r="CD16" s="1954">
        <f t="shared" si="23"/>
        <v>1300</v>
      </c>
      <c r="CE16" s="1954">
        <f t="shared" si="23"/>
        <v>1350</v>
      </c>
      <c r="CF16" s="1954">
        <f t="shared" si="23"/>
        <v>1450</v>
      </c>
      <c r="CG16" s="1954">
        <f t="shared" si="23"/>
        <v>1500</v>
      </c>
      <c r="CH16" s="1954">
        <f t="shared" si="23"/>
        <v>1350</v>
      </c>
      <c r="CI16" s="1954">
        <f t="shared" si="23"/>
        <v>1450</v>
      </c>
      <c r="CJ16" s="1954">
        <f t="shared" si="23"/>
        <v>1500</v>
      </c>
      <c r="CK16" s="1954">
        <f t="shared" si="23"/>
        <v>1350</v>
      </c>
      <c r="CL16" s="1954">
        <f t="shared" si="23"/>
        <v>1450</v>
      </c>
      <c r="CM16" s="1954">
        <f t="shared" si="23"/>
        <v>1500</v>
      </c>
      <c r="CN16" s="1954">
        <f t="shared" si="23"/>
        <v>0</v>
      </c>
      <c r="CO16" s="1954">
        <f t="shared" si="23"/>
        <v>1650</v>
      </c>
      <c r="CP16" s="1954">
        <f t="shared" si="23"/>
        <v>1800</v>
      </c>
      <c r="CQ16" s="1954">
        <f t="shared" si="23"/>
        <v>1850</v>
      </c>
      <c r="CR16" s="1954">
        <f t="shared" si="23"/>
        <v>1900</v>
      </c>
      <c r="CS16" s="1954">
        <f t="shared" si="23"/>
        <v>1800</v>
      </c>
      <c r="CT16" s="1954">
        <f t="shared" si="23"/>
        <v>1850</v>
      </c>
      <c r="CU16" s="1954">
        <f t="shared" si="23"/>
        <v>1900</v>
      </c>
      <c r="CV16" s="1954">
        <f t="shared" si="23"/>
        <v>2000</v>
      </c>
      <c r="CW16" s="1954">
        <f t="shared" si="23"/>
        <v>1850</v>
      </c>
      <c r="CX16" s="1954">
        <f t="shared" si="23"/>
        <v>1900</v>
      </c>
      <c r="CY16" s="1954">
        <f t="shared" si="23"/>
        <v>2000</v>
      </c>
      <c r="CZ16" s="1954">
        <f t="shared" si="23"/>
        <v>1850</v>
      </c>
      <c r="DA16" s="1954">
        <f t="shared" si="23"/>
        <v>1900</v>
      </c>
      <c r="DB16" s="1954">
        <f t="shared" si="23"/>
        <v>2000</v>
      </c>
      <c r="DC16" s="1954">
        <f t="shared" si="23"/>
        <v>0</v>
      </c>
      <c r="DD16" s="1952"/>
      <c r="DE16" s="1954">
        <f t="shared" ref="DE16:DR16" si="24">DE35*(1-$C$9)</f>
        <v>3750</v>
      </c>
      <c r="DF16" s="1954">
        <f t="shared" si="24"/>
        <v>4450</v>
      </c>
      <c r="DG16" s="1954">
        <f t="shared" si="24"/>
        <v>4750</v>
      </c>
      <c r="DH16" s="1954">
        <f t="shared" si="24"/>
        <v>5750</v>
      </c>
      <c r="DI16" s="1954">
        <f t="shared" si="24"/>
        <v>4900</v>
      </c>
      <c r="DJ16" s="1954">
        <f t="shared" si="24"/>
        <v>5850</v>
      </c>
      <c r="DK16" s="1949">
        <f t="shared" si="24"/>
        <v>5750</v>
      </c>
      <c r="DL16" s="1954">
        <f t="shared" si="24"/>
        <v>5850</v>
      </c>
      <c r="DM16" s="1954">
        <f t="shared" si="24"/>
        <v>10800</v>
      </c>
      <c r="DN16" s="1954">
        <f t="shared" si="24"/>
        <v>10800</v>
      </c>
      <c r="DO16" s="1954">
        <f t="shared" si="24"/>
        <v>10800</v>
      </c>
      <c r="DP16" s="1954">
        <f t="shared" si="24"/>
        <v>2600</v>
      </c>
      <c r="DQ16" s="1954">
        <f t="shared" si="24"/>
        <v>3200</v>
      </c>
      <c r="DR16" s="1954">
        <f t="shared" si="24"/>
        <v>1260</v>
      </c>
      <c r="DS16" s="1956"/>
      <c r="DT16" s="1954">
        <f>DT35*(1-$C$9)</f>
        <v>13400</v>
      </c>
      <c r="DU16" s="1954" t="e">
        <f>#REF!*(1-$C$9)</f>
        <v>#REF!</v>
      </c>
      <c r="DV16" s="1949" t="e">
        <f>#REF!*(1-$C$9)</f>
        <v>#REF!</v>
      </c>
      <c r="DW16" s="2692"/>
      <c r="DX16" s="1954">
        <f>DX35*(1-$C$9)</f>
        <v>20800</v>
      </c>
      <c r="DY16" s="1954">
        <f>DY35*(1-$C$9)</f>
        <v>29250</v>
      </c>
      <c r="EA16" s="1954">
        <f>'Полотна база'!G2</f>
        <v>0</v>
      </c>
      <c r="EB16" s="1954">
        <f>(EA16/1.6)*$EB$26</f>
        <v>0</v>
      </c>
      <c r="EC16" s="2947"/>
      <c r="ED16" s="2947"/>
      <c r="EE16" s="1954"/>
      <c r="EF16" s="1954"/>
      <c r="EG16" s="1954"/>
      <c r="EH16" s="1954"/>
      <c r="EI16" s="1954">
        <f>'Полотна база'!AF2</f>
        <v>0</v>
      </c>
      <c r="EJ16" s="1954">
        <f>(EI16/1.6)*$EJ$26</f>
        <v>0</v>
      </c>
    </row>
    <row r="17" spans="1:144" s="1957" customFormat="1" ht="15.75" hidden="1" outlineLevel="2">
      <c r="A17" s="1946" t="s">
        <v>30</v>
      </c>
      <c r="B17" s="1959" t="s">
        <v>284</v>
      </c>
      <c r="C17" s="1960"/>
      <c r="D17" s="1949">
        <f t="shared" ref="D17:L17" si="25">D33*(1-$C$9)</f>
        <v>0</v>
      </c>
      <c r="E17" s="1949">
        <f t="shared" si="25"/>
        <v>2350</v>
      </c>
      <c r="F17" s="1949">
        <f t="shared" si="25"/>
        <v>0</v>
      </c>
      <c r="G17" s="1950">
        <f t="shared" si="25"/>
        <v>2350</v>
      </c>
      <c r="H17" s="1950">
        <f t="shared" si="25"/>
        <v>2600</v>
      </c>
      <c r="I17" s="1950">
        <f t="shared" si="25"/>
        <v>2350</v>
      </c>
      <c r="J17" s="1951">
        <f t="shared" si="25"/>
        <v>2350</v>
      </c>
      <c r="K17" s="1923">
        <f t="shared" si="25"/>
        <v>4800</v>
      </c>
      <c r="L17" s="1923">
        <f t="shared" si="25"/>
        <v>4500</v>
      </c>
      <c r="M17" s="1954"/>
      <c r="N17" s="1954"/>
      <c r="O17" s="1954"/>
      <c r="P17" s="1954"/>
      <c r="Q17" s="1961"/>
      <c r="R17" s="1949">
        <f>R33*(1-$C$9)</f>
        <v>0</v>
      </c>
      <c r="S17" s="1949">
        <f>S33*(1-$C$9)</f>
        <v>1500</v>
      </c>
      <c r="T17" s="1949">
        <f>T33*(1-$C$9)</f>
        <v>1300</v>
      </c>
      <c r="U17" s="1949">
        <f>T33*(1-$C$9)</f>
        <v>1300</v>
      </c>
      <c r="V17" s="1949">
        <f>V33*(1-$C$9)</f>
        <v>1500</v>
      </c>
      <c r="W17" s="1949">
        <f>W33*(1-$C$9)</f>
        <v>1650</v>
      </c>
      <c r="X17" s="2633"/>
      <c r="Y17" s="2633"/>
      <c r="Z17" s="2633"/>
      <c r="AA17" s="2633"/>
      <c r="AB17" s="1949">
        <f t="shared" ref="AB17:AG17" si="26">AB33*(1-$C$9)</f>
        <v>2300</v>
      </c>
      <c r="AC17" s="1949">
        <f t="shared" si="26"/>
        <v>2300</v>
      </c>
      <c r="AD17" s="1949">
        <f t="shared" si="26"/>
        <v>2750</v>
      </c>
      <c r="AE17" s="1949">
        <f t="shared" si="26"/>
        <v>2950</v>
      </c>
      <c r="AF17" s="1949">
        <f t="shared" si="26"/>
        <v>3900</v>
      </c>
      <c r="AG17" s="1950">
        <f t="shared" si="26"/>
        <v>1400</v>
      </c>
      <c r="AH17" s="2681"/>
      <c r="AI17" s="2681"/>
      <c r="AJ17" s="1950">
        <f>AJ33*(1-$C$9)</f>
        <v>1400</v>
      </c>
      <c r="AK17" s="1950">
        <f>AK33*(1-$C$9)</f>
        <v>2300</v>
      </c>
      <c r="AL17" s="1950">
        <f>AL33*(1-$C$9)</f>
        <v>3900</v>
      </c>
      <c r="AM17" s="1954">
        <f>AM33*(1-$C$9)</f>
        <v>1500</v>
      </c>
      <c r="AN17" s="1954">
        <f>AN33*(1-$C$9)</f>
        <v>1300</v>
      </c>
      <c r="AO17" s="1961"/>
      <c r="AP17" s="1949">
        <f t="shared" ref="AP17:AU17" si="27">AP33*(1-$C$9)</f>
        <v>0</v>
      </c>
      <c r="AQ17" s="1949">
        <f t="shared" si="27"/>
        <v>0</v>
      </c>
      <c r="AR17" s="1949">
        <f t="shared" si="27"/>
        <v>1300</v>
      </c>
      <c r="AS17" s="1949">
        <f t="shared" si="27"/>
        <v>2050</v>
      </c>
      <c r="AT17" s="1949">
        <f t="shared" si="27"/>
        <v>130</v>
      </c>
      <c r="AU17" s="1949">
        <f t="shared" si="27"/>
        <v>230</v>
      </c>
      <c r="AV17" s="2693"/>
      <c r="AW17" s="1950">
        <f t="shared" ref="AW17:BF17" si="28">AW33*(1-$C$9)</f>
        <v>1495</v>
      </c>
      <c r="AX17" s="1954">
        <f t="shared" si="28"/>
        <v>1300</v>
      </c>
      <c r="AY17" s="1954">
        <f t="shared" si="28"/>
        <v>1740</v>
      </c>
      <c r="AZ17" s="1954">
        <f t="shared" si="28"/>
        <v>2080</v>
      </c>
      <c r="BA17" s="1954">
        <f t="shared" si="28"/>
        <v>2050</v>
      </c>
      <c r="BB17" s="1954">
        <f t="shared" si="28"/>
        <v>2950</v>
      </c>
      <c r="BC17" s="1949">
        <f t="shared" si="28"/>
        <v>120</v>
      </c>
      <c r="BD17" s="1949">
        <f t="shared" si="28"/>
        <v>770</v>
      </c>
      <c r="BE17" s="1954">
        <f t="shared" si="28"/>
        <v>770</v>
      </c>
      <c r="BF17" s="1954">
        <f t="shared" si="28"/>
        <v>2050</v>
      </c>
      <c r="BG17" s="1961"/>
      <c r="BH17" s="1954">
        <f t="shared" ref="BH17:BP17" si="29">BH33*(1-$C$9)</f>
        <v>1100</v>
      </c>
      <c r="BI17" s="1954">
        <f t="shared" si="29"/>
        <v>1450</v>
      </c>
      <c r="BJ17" s="1954">
        <f t="shared" si="29"/>
        <v>1550</v>
      </c>
      <c r="BK17" s="1954">
        <f t="shared" si="29"/>
        <v>1150</v>
      </c>
      <c r="BL17" s="1954">
        <f t="shared" si="29"/>
        <v>1550</v>
      </c>
      <c r="BM17" s="1954">
        <f t="shared" si="29"/>
        <v>1650</v>
      </c>
      <c r="BN17" s="1954">
        <f t="shared" si="29"/>
        <v>2050</v>
      </c>
      <c r="BO17" s="1954">
        <f t="shared" si="29"/>
        <v>2250</v>
      </c>
      <c r="BP17" s="1954">
        <f t="shared" si="29"/>
        <v>2650</v>
      </c>
      <c r="BQ17" s="1961"/>
      <c r="BR17" s="1949">
        <f t="shared" ref="BR17:BX17" si="30">BR33*(1-$C$9)</f>
        <v>2250</v>
      </c>
      <c r="BS17" s="1955">
        <f t="shared" si="30"/>
        <v>2550</v>
      </c>
      <c r="BT17" s="1955">
        <f t="shared" si="30"/>
        <v>3700</v>
      </c>
      <c r="BU17" s="1955">
        <f t="shared" si="30"/>
        <v>850</v>
      </c>
      <c r="BV17" s="1955">
        <f t="shared" si="30"/>
        <v>1000</v>
      </c>
      <c r="BW17" s="1955">
        <f t="shared" si="30"/>
        <v>1300</v>
      </c>
      <c r="BX17" s="1955">
        <f t="shared" si="30"/>
        <v>5600</v>
      </c>
      <c r="BY17" s="1961"/>
      <c r="BZ17" s="1949">
        <f t="shared" ref="BZ17:DC17" si="31">BZ33*(1-$C$9)</f>
        <v>1050</v>
      </c>
      <c r="CA17" s="1954">
        <f t="shared" si="31"/>
        <v>1110</v>
      </c>
      <c r="CB17" s="1954">
        <f t="shared" si="31"/>
        <v>1160</v>
      </c>
      <c r="CC17" s="1954">
        <f t="shared" si="31"/>
        <v>1260</v>
      </c>
      <c r="CD17" s="1954">
        <f t="shared" si="31"/>
        <v>1110</v>
      </c>
      <c r="CE17" s="1954">
        <f t="shared" si="31"/>
        <v>1160</v>
      </c>
      <c r="CF17" s="1954">
        <f t="shared" si="31"/>
        <v>1260</v>
      </c>
      <c r="CG17" s="1954">
        <f t="shared" si="31"/>
        <v>1320</v>
      </c>
      <c r="CH17" s="1954">
        <f t="shared" si="31"/>
        <v>1160</v>
      </c>
      <c r="CI17" s="1954">
        <f t="shared" si="31"/>
        <v>1260</v>
      </c>
      <c r="CJ17" s="1954">
        <f t="shared" si="31"/>
        <v>1320</v>
      </c>
      <c r="CK17" s="1954">
        <f t="shared" si="31"/>
        <v>1160</v>
      </c>
      <c r="CL17" s="1954">
        <f t="shared" si="31"/>
        <v>1260</v>
      </c>
      <c r="CM17" s="1954">
        <f t="shared" si="31"/>
        <v>1320</v>
      </c>
      <c r="CN17" s="1954">
        <f t="shared" si="31"/>
        <v>1530</v>
      </c>
      <c r="CO17" s="1954">
        <f t="shared" si="31"/>
        <v>1450</v>
      </c>
      <c r="CP17" s="1954">
        <f t="shared" si="31"/>
        <v>1550</v>
      </c>
      <c r="CQ17" s="1954">
        <f t="shared" si="31"/>
        <v>1600</v>
      </c>
      <c r="CR17" s="1954">
        <f t="shared" si="31"/>
        <v>1650</v>
      </c>
      <c r="CS17" s="1954">
        <f t="shared" si="31"/>
        <v>1550</v>
      </c>
      <c r="CT17" s="1954">
        <f t="shared" si="31"/>
        <v>1600</v>
      </c>
      <c r="CU17" s="1954">
        <f t="shared" si="31"/>
        <v>1650</v>
      </c>
      <c r="CV17" s="1954">
        <f t="shared" si="31"/>
        <v>1750</v>
      </c>
      <c r="CW17" s="1954">
        <f t="shared" si="31"/>
        <v>1600</v>
      </c>
      <c r="CX17" s="1954">
        <f t="shared" si="31"/>
        <v>1650</v>
      </c>
      <c r="CY17" s="1954">
        <f t="shared" si="31"/>
        <v>1750</v>
      </c>
      <c r="CZ17" s="1954">
        <f t="shared" si="31"/>
        <v>1600</v>
      </c>
      <c r="DA17" s="1954">
        <f t="shared" si="31"/>
        <v>1650</v>
      </c>
      <c r="DB17" s="1954">
        <f t="shared" si="31"/>
        <v>1750</v>
      </c>
      <c r="DC17" s="1954">
        <f t="shared" si="31"/>
        <v>2050</v>
      </c>
      <c r="DD17" s="1961"/>
      <c r="DE17" s="1954">
        <f t="shared" ref="DE17:DR17" si="32">DE33*(1-$C$9)</f>
        <v>3300</v>
      </c>
      <c r="DF17" s="1954">
        <f t="shared" si="32"/>
        <v>3900</v>
      </c>
      <c r="DG17" s="1954">
        <f t="shared" si="32"/>
        <v>4200</v>
      </c>
      <c r="DH17" s="1954">
        <f t="shared" si="32"/>
        <v>5050</v>
      </c>
      <c r="DI17" s="1954">
        <f t="shared" si="32"/>
        <v>4300</v>
      </c>
      <c r="DJ17" s="1954">
        <f t="shared" si="32"/>
        <v>5150</v>
      </c>
      <c r="DK17" s="1949">
        <f t="shared" si="32"/>
        <v>5050</v>
      </c>
      <c r="DL17" s="1954">
        <f t="shared" si="32"/>
        <v>5150</v>
      </c>
      <c r="DM17" s="1954">
        <f t="shared" si="32"/>
        <v>9550</v>
      </c>
      <c r="DN17" s="1954">
        <f t="shared" si="32"/>
        <v>9550</v>
      </c>
      <c r="DO17" s="1954">
        <f t="shared" si="32"/>
        <v>9550</v>
      </c>
      <c r="DP17" s="1954">
        <f t="shared" si="32"/>
        <v>2300</v>
      </c>
      <c r="DQ17" s="1954">
        <f t="shared" si="32"/>
        <v>2800</v>
      </c>
      <c r="DR17" s="1954">
        <f t="shared" si="32"/>
        <v>1110</v>
      </c>
      <c r="DS17" s="1962"/>
      <c r="DT17" s="1954">
        <f>DT33*(1-$C$9)</f>
        <v>11850</v>
      </c>
      <c r="DU17" s="1954" t="e">
        <f>#REF!*(1-$C$9)</f>
        <v>#REF!</v>
      </c>
      <c r="DV17" s="1949">
        <f>DV35*(1-$C$9)</f>
        <v>5200</v>
      </c>
      <c r="DW17" s="2692"/>
      <c r="DX17" s="1954" t="e">
        <f>#REF!*(1-$C$9)</f>
        <v>#REF!</v>
      </c>
      <c r="DY17" s="1954">
        <f>DY33*(1-$C$9)</f>
        <v>25850</v>
      </c>
      <c r="EA17" s="1954">
        <f>'Полотна база'!G3</f>
        <v>0</v>
      </c>
      <c r="EB17" s="1954">
        <f>(EA17/1.6)*$EB$26</f>
        <v>0</v>
      </c>
      <c r="EC17" s="2947"/>
      <c r="ED17" s="2947"/>
      <c r="EE17" s="1954">
        <f>'Полотна база'!V3</f>
        <v>0</v>
      </c>
      <c r="EF17" s="1954">
        <f>(EE17/1.6)*EF9</f>
        <v>0</v>
      </c>
      <c r="EG17" s="1954">
        <f>'Полотна база'!AP3</f>
        <v>0</v>
      </c>
      <c r="EH17" s="1954">
        <f>(EG17/1.6)*EH9</f>
        <v>0</v>
      </c>
      <c r="EI17" s="1954"/>
      <c r="EJ17" s="1954"/>
    </row>
    <row r="18" spans="1:144" s="1874" customFormat="1" ht="23.45" hidden="1" customHeight="1" outlineLevel="2">
      <c r="B18" s="5084" t="s">
        <v>286</v>
      </c>
      <c r="C18" s="5085"/>
      <c r="CH18" s="1963">
        <f t="shared" ref="CH18:CN19" si="33">CH38*(1-$C$9)</f>
        <v>0</v>
      </c>
      <c r="CI18" s="1963">
        <f t="shared" si="33"/>
        <v>0</v>
      </c>
      <c r="CJ18" s="1963">
        <f t="shared" si="33"/>
        <v>0</v>
      </c>
      <c r="CK18" s="1963">
        <f t="shared" si="33"/>
        <v>0</v>
      </c>
      <c r="CL18" s="1963">
        <f t="shared" si="33"/>
        <v>0</v>
      </c>
      <c r="CM18" s="1963">
        <f t="shared" si="33"/>
        <v>0</v>
      </c>
      <c r="CN18" s="1963">
        <f t="shared" si="33"/>
        <v>0</v>
      </c>
      <c r="CW18" s="1964">
        <f t="shared" ref="CW18:DC19" si="34">CW38*(1-$C$9)</f>
        <v>0</v>
      </c>
      <c r="CX18" s="1964">
        <f t="shared" si="34"/>
        <v>0</v>
      </c>
      <c r="CY18" s="1964">
        <f t="shared" si="34"/>
        <v>0</v>
      </c>
      <c r="CZ18" s="1964">
        <f t="shared" si="34"/>
        <v>0</v>
      </c>
      <c r="DA18" s="1964">
        <f t="shared" si="34"/>
        <v>0</v>
      </c>
      <c r="DB18" s="1964">
        <f t="shared" si="34"/>
        <v>0</v>
      </c>
      <c r="DC18" s="1964">
        <f t="shared" si="34"/>
        <v>0</v>
      </c>
      <c r="DI18" s="1964">
        <f>DI38*(1-$C$9)</f>
        <v>0</v>
      </c>
      <c r="DJ18" s="1964">
        <f>DJ38*(1-$C$9)</f>
        <v>0</v>
      </c>
      <c r="DN18" s="1964">
        <f>DN38*(1-$C$9)</f>
        <v>0</v>
      </c>
    </row>
    <row r="19" spans="1:144" s="1874" customFormat="1" ht="24.6" hidden="1" customHeight="1" outlineLevel="2">
      <c r="B19" s="5084" t="s">
        <v>285</v>
      </c>
      <c r="C19" s="5085"/>
      <c r="CH19" s="1963">
        <f t="shared" si="33"/>
        <v>0</v>
      </c>
      <c r="CI19" s="1963">
        <f t="shared" si="33"/>
        <v>0</v>
      </c>
      <c r="CJ19" s="1963">
        <f t="shared" si="33"/>
        <v>0</v>
      </c>
      <c r="CK19" s="1963">
        <f t="shared" si="33"/>
        <v>0</v>
      </c>
      <c r="CL19" s="1963">
        <f t="shared" si="33"/>
        <v>0</v>
      </c>
      <c r="CM19" s="1963">
        <f t="shared" si="33"/>
        <v>0</v>
      </c>
      <c r="CN19" s="1963">
        <f t="shared" si="33"/>
        <v>0</v>
      </c>
      <c r="CW19" s="1964">
        <f t="shared" si="34"/>
        <v>0</v>
      </c>
      <c r="CX19" s="1964">
        <f t="shared" si="34"/>
        <v>0</v>
      </c>
      <c r="CY19" s="1964">
        <f t="shared" si="34"/>
        <v>0</v>
      </c>
      <c r="CZ19" s="1964">
        <f t="shared" si="34"/>
        <v>0</v>
      </c>
      <c r="DA19" s="1964">
        <f t="shared" si="34"/>
        <v>0</v>
      </c>
      <c r="DB19" s="1964">
        <f t="shared" si="34"/>
        <v>0</v>
      </c>
      <c r="DC19" s="1964">
        <f t="shared" si="34"/>
        <v>0</v>
      </c>
      <c r="DI19" s="1964">
        <f>DI39*(1-$C$9)</f>
        <v>0</v>
      </c>
      <c r="DJ19" s="1964">
        <f>DJ39*(1-$C$9)</f>
        <v>0</v>
      </c>
      <c r="DN19" s="1964">
        <f>DN39*(1-$C$9)</f>
        <v>0</v>
      </c>
    </row>
    <row r="20" spans="1:144" s="761" customFormat="1" ht="21" hidden="1" customHeight="1" outlineLevel="1">
      <c r="A20" s="1726"/>
      <c r="B20" s="1727"/>
      <c r="C20" s="5107" t="s">
        <v>2185</v>
      </c>
      <c r="D20" s="1834" t="s">
        <v>2192</v>
      </c>
      <c r="E20" s="1834" t="s">
        <v>2186</v>
      </c>
      <c r="F20" s="1834" t="s">
        <v>2187</v>
      </c>
      <c r="G20" s="1834" t="s">
        <v>2189</v>
      </c>
      <c r="H20" s="1834" t="s">
        <v>2188</v>
      </c>
      <c r="I20" s="1834" t="s">
        <v>2190</v>
      </c>
      <c r="Q20" s="1727"/>
      <c r="R20" s="246"/>
      <c r="S20" s="246"/>
      <c r="U20" s="246"/>
      <c r="V20" s="246"/>
      <c r="W20" s="246"/>
      <c r="X20" s="246"/>
      <c r="Y20" s="246"/>
      <c r="Z20" s="246"/>
      <c r="AA20" s="246"/>
      <c r="AB20" s="246"/>
      <c r="AC20" s="246"/>
      <c r="AD20" s="246"/>
      <c r="AE20" s="246"/>
      <c r="AF20" s="246"/>
      <c r="AO20" s="1727"/>
      <c r="AP20" s="246"/>
      <c r="AQ20" s="246"/>
      <c r="AR20" s="246"/>
      <c r="AS20" s="246"/>
      <c r="AT20" s="246"/>
      <c r="AU20" s="246"/>
      <c r="AV20" s="246"/>
      <c r="AW20" s="246"/>
      <c r="AX20" s="246"/>
      <c r="AY20" s="246"/>
      <c r="AZ20" s="246"/>
      <c r="BA20" s="246"/>
      <c r="BB20" s="246"/>
      <c r="BC20" s="246"/>
      <c r="BD20" s="246"/>
      <c r="BE20" s="246"/>
      <c r="BF20" s="246"/>
      <c r="BG20" s="246"/>
      <c r="BH20" s="246"/>
      <c r="BI20" s="246"/>
      <c r="BJ20" s="246"/>
      <c r="BK20" s="246"/>
      <c r="BL20" s="246"/>
      <c r="BM20" s="246"/>
      <c r="BN20" s="246"/>
      <c r="BO20" s="246"/>
      <c r="BP20" s="246"/>
      <c r="BQ20" s="246"/>
      <c r="BR20" s="246"/>
      <c r="BS20" s="246"/>
      <c r="BT20" s="246"/>
      <c r="BU20" s="246"/>
      <c r="BV20" s="246"/>
      <c r="BW20" s="246"/>
      <c r="BX20" s="246"/>
      <c r="BY20" s="246"/>
      <c r="BZ20" s="246"/>
      <c r="CA20" s="246"/>
      <c r="CB20" s="246"/>
      <c r="CC20" s="246"/>
      <c r="CD20" s="246"/>
      <c r="CE20" s="246"/>
      <c r="CF20" s="246"/>
      <c r="CG20" s="246"/>
      <c r="CH20" s="246"/>
      <c r="CI20" s="246"/>
      <c r="CJ20" s="246"/>
      <c r="CK20" s="246"/>
      <c r="CL20" s="246"/>
      <c r="CM20" s="246"/>
      <c r="CN20" s="246"/>
      <c r="CO20" s="246"/>
      <c r="CP20" s="246"/>
      <c r="CQ20" s="246"/>
      <c r="CR20" s="246"/>
      <c r="CS20" s="246"/>
      <c r="CT20" s="246"/>
      <c r="CU20" s="246"/>
      <c r="CV20" s="246"/>
      <c r="CW20" s="246"/>
      <c r="CX20" s="246"/>
      <c r="CY20" s="246"/>
      <c r="CZ20" s="246"/>
      <c r="DA20" s="246"/>
      <c r="DB20" s="246"/>
      <c r="DC20" s="246"/>
      <c r="DD20" s="246"/>
      <c r="DE20" s="246"/>
      <c r="DF20" s="246"/>
      <c r="DG20" s="246"/>
      <c r="DH20" s="246"/>
      <c r="DI20" s="246"/>
      <c r="DJ20" s="246"/>
      <c r="DK20" s="246"/>
      <c r="DL20" s="246"/>
      <c r="DM20" s="246"/>
      <c r="DN20" s="246"/>
      <c r="DO20" s="246"/>
      <c r="DP20" s="246"/>
      <c r="DQ20" s="246"/>
      <c r="DR20" s="246"/>
      <c r="DS20" s="246"/>
      <c r="DT20" s="246"/>
      <c r="DU20" s="246"/>
      <c r="DV20" s="246"/>
      <c r="DW20" s="246"/>
      <c r="DX20" s="246"/>
      <c r="DY20" s="246"/>
      <c r="DZ20" s="246"/>
      <c r="EA20" s="246"/>
      <c r="EB20" s="246"/>
      <c r="EC20" s="246"/>
      <c r="ED20" s="246"/>
      <c r="EE20" s="246"/>
      <c r="EF20" s="246"/>
      <c r="EG20" s="246"/>
      <c r="EH20" s="246"/>
      <c r="EI20" s="246"/>
      <c r="EJ20" s="246"/>
    </row>
    <row r="21" spans="1:144" s="761" customFormat="1" ht="21" hidden="1" customHeight="1" outlineLevel="1">
      <c r="A21" s="1726"/>
      <c r="B21" s="1727"/>
      <c r="C21" s="4949"/>
      <c r="D21" s="1758">
        <f>D33*3+R33*5</f>
        <v>0</v>
      </c>
      <c r="E21" s="1758" t="e">
        <f>E33*2.5+#REF!*5</f>
        <v>#REF!</v>
      </c>
      <c r="F21" s="1758">
        <f>E34*2.5+T34*5</f>
        <v>13250</v>
      </c>
      <c r="G21" s="1758" t="e">
        <f>#REF!*2.5+#REF!*5</f>
        <v>#REF!</v>
      </c>
      <c r="H21" s="1758">
        <f>E35*2.5+T35*5</f>
        <v>14250</v>
      </c>
      <c r="I21" s="1758">
        <f>E31*2.5+T31*5</f>
        <v>8125</v>
      </c>
      <c r="Q21" s="1727"/>
      <c r="R21" s="246"/>
      <c r="S21" s="246"/>
      <c r="U21" s="246"/>
      <c r="V21" s="246"/>
      <c r="W21" s="246"/>
      <c r="X21" s="246"/>
      <c r="Y21" s="246"/>
      <c r="Z21" s="246"/>
      <c r="AA21" s="246"/>
      <c r="AB21" s="246"/>
      <c r="AC21" s="246"/>
      <c r="AD21" s="246"/>
      <c r="AE21" s="246"/>
      <c r="AF21" s="246"/>
      <c r="AO21" s="1727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246"/>
      <c r="BN21" s="246"/>
      <c r="BO21" s="246"/>
      <c r="BP21" s="246"/>
      <c r="BQ21" s="246"/>
      <c r="BR21" s="246"/>
      <c r="BS21" s="246"/>
      <c r="BT21" s="246"/>
      <c r="BU21" s="246"/>
      <c r="BV21" s="246"/>
      <c r="BW21" s="246"/>
      <c r="BX21" s="246"/>
      <c r="BY21" s="246"/>
      <c r="BZ21" s="246"/>
      <c r="CA21" s="246"/>
      <c r="CB21" s="246"/>
      <c r="CC21" s="246"/>
      <c r="CD21" s="246"/>
      <c r="CE21" s="246"/>
      <c r="CF21" s="246"/>
      <c r="CG21" s="246"/>
      <c r="CH21" s="246"/>
      <c r="CI21" s="246"/>
      <c r="CJ21" s="246"/>
      <c r="CK21" s="246"/>
      <c r="CL21" s="246"/>
      <c r="CM21" s="246"/>
      <c r="CN21" s="246"/>
      <c r="CO21" s="246"/>
      <c r="CP21" s="246"/>
      <c r="CQ21" s="246"/>
      <c r="CR21" s="246"/>
      <c r="CS21" s="246"/>
      <c r="CT21" s="246"/>
      <c r="CU21" s="246"/>
      <c r="CV21" s="246"/>
      <c r="CW21" s="246"/>
      <c r="CX21" s="246"/>
      <c r="CY21" s="246"/>
      <c r="CZ21" s="246"/>
      <c r="DA21" s="246"/>
      <c r="DB21" s="246"/>
      <c r="DC21" s="246"/>
      <c r="DD21" s="246"/>
      <c r="DE21" s="246"/>
      <c r="DF21" s="246"/>
      <c r="DG21" s="246"/>
      <c r="DH21" s="246"/>
      <c r="DI21" s="246"/>
      <c r="DJ21" s="246"/>
      <c r="DK21" s="246"/>
      <c r="DL21" s="246"/>
      <c r="DM21" s="246"/>
      <c r="DN21" s="246"/>
      <c r="DO21" s="246"/>
      <c r="DP21" s="246"/>
      <c r="DQ21" s="246"/>
      <c r="DR21" s="246"/>
      <c r="DS21" s="246"/>
      <c r="DT21" s="246"/>
      <c r="DU21" s="246"/>
      <c r="DV21" s="246"/>
      <c r="DW21" s="246"/>
      <c r="DX21" s="246"/>
      <c r="DY21" s="246"/>
      <c r="DZ21" s="246"/>
      <c r="EA21" s="246"/>
      <c r="EB21" s="246"/>
      <c r="EC21" s="246"/>
      <c r="ED21" s="246"/>
      <c r="EE21" s="246"/>
      <c r="EF21" s="246"/>
      <c r="EG21" s="246"/>
      <c r="EH21" s="246"/>
      <c r="EI21" s="246"/>
      <c r="EJ21" s="246"/>
    </row>
    <row r="22" spans="1:144" s="761" customFormat="1" ht="21" hidden="1" customHeight="1" outlineLevel="1">
      <c r="A22" s="1726">
        <f>AN45</f>
        <v>0</v>
      </c>
      <c r="B22" s="1727"/>
      <c r="C22" s="2624"/>
      <c r="D22" s="1643"/>
      <c r="E22" s="1643"/>
      <c r="F22" s="1643"/>
      <c r="G22" s="1643"/>
      <c r="H22" s="1643"/>
      <c r="I22" s="1643"/>
      <c r="Q22" s="1727"/>
      <c r="R22" s="246"/>
      <c r="S22" s="246"/>
      <c r="U22" s="246"/>
      <c r="V22" s="246"/>
      <c r="W22" s="246"/>
      <c r="X22" s="246"/>
      <c r="Y22" s="246"/>
      <c r="Z22" s="246"/>
      <c r="AA22" s="246"/>
      <c r="AB22" s="246"/>
      <c r="AC22" s="246"/>
      <c r="AD22" s="246"/>
      <c r="AE22" s="246"/>
      <c r="AF22" s="246"/>
      <c r="AO22" s="1727"/>
      <c r="AP22" s="246"/>
      <c r="AQ22" s="246"/>
      <c r="AR22" s="246"/>
      <c r="AS22" s="246"/>
      <c r="AT22" s="246"/>
      <c r="AU22" s="246"/>
      <c r="AV22" s="246"/>
      <c r="AW22" s="246"/>
      <c r="AX22" s="246"/>
      <c r="AY22" s="246"/>
      <c r="AZ22" s="246"/>
      <c r="BA22" s="246"/>
      <c r="BB22" s="246"/>
      <c r="BC22" s="246"/>
      <c r="BD22" s="246"/>
      <c r="BE22" s="246"/>
      <c r="BF22" s="246"/>
      <c r="BG22" s="246"/>
      <c r="BH22" s="246"/>
      <c r="BI22" s="246"/>
      <c r="BJ22" s="246"/>
      <c r="BK22" s="246"/>
      <c r="BL22" s="246"/>
      <c r="BM22" s="246"/>
      <c r="BN22" s="246"/>
      <c r="BO22" s="246"/>
      <c r="BP22" s="246"/>
      <c r="BQ22" s="246"/>
      <c r="BR22" s="246"/>
      <c r="BS22" s="246"/>
      <c r="BT22" s="246"/>
      <c r="BU22" s="246"/>
      <c r="BV22" s="246"/>
      <c r="BW22" s="246"/>
      <c r="BX22" s="246"/>
      <c r="BY22" s="246"/>
      <c r="BZ22" s="246"/>
      <c r="CA22" s="246"/>
      <c r="CB22" s="246"/>
      <c r="CC22" s="246"/>
      <c r="CD22" s="246"/>
      <c r="CE22" s="246"/>
      <c r="CF22" s="246"/>
      <c r="CG22" s="246"/>
      <c r="CH22" s="246"/>
      <c r="CI22" s="246"/>
      <c r="CJ22" s="246"/>
      <c r="CK22" s="246"/>
      <c r="CL22" s="246"/>
      <c r="CM22" s="246"/>
      <c r="CN22" s="246"/>
      <c r="CO22" s="246"/>
      <c r="CP22" s="246"/>
      <c r="CQ22" s="246"/>
      <c r="CR22" s="246"/>
      <c r="CS22" s="246"/>
      <c r="CT22" s="246"/>
      <c r="CU22" s="246"/>
      <c r="CV22" s="246"/>
      <c r="CW22" s="246"/>
      <c r="CX22" s="246"/>
      <c r="CY22" s="246"/>
      <c r="CZ22" s="246"/>
      <c r="DA22" s="246"/>
      <c r="DB22" s="246"/>
      <c r="DC22" s="246"/>
      <c r="DD22" s="246"/>
      <c r="DE22" s="246"/>
      <c r="DF22" s="246"/>
      <c r="DG22" s="246"/>
      <c r="DH22" s="246"/>
      <c r="DI22" s="246"/>
      <c r="DJ22" s="246"/>
      <c r="DK22" s="246"/>
      <c r="DL22" s="246"/>
      <c r="DM22" s="246"/>
      <c r="DN22" s="246"/>
      <c r="DO22" s="246"/>
      <c r="DP22" s="246"/>
      <c r="DQ22" s="246"/>
      <c r="DR22" s="246"/>
      <c r="DS22" s="246"/>
      <c r="DT22" s="246"/>
      <c r="DU22" s="246"/>
      <c r="DV22" s="246"/>
      <c r="DW22" s="246"/>
      <c r="DX22" s="246"/>
      <c r="DY22" s="246"/>
      <c r="DZ22" s="246"/>
      <c r="EA22" s="246"/>
      <c r="EB22" s="246"/>
      <c r="EC22" s="246"/>
      <c r="ED22" s="246"/>
      <c r="EE22" s="246"/>
      <c r="EF22" s="246"/>
      <c r="EG22" s="246"/>
      <c r="EH22" s="246"/>
      <c r="EI22" s="246"/>
      <c r="EJ22" s="246"/>
    </row>
    <row r="23" spans="1:144" s="1651" customFormat="1" ht="30" hidden="1" outlineLevel="1">
      <c r="A23" s="3474" t="s">
        <v>3396</v>
      </c>
      <c r="B23" s="3475"/>
      <c r="C23" s="3476"/>
      <c r="D23" s="1651">
        <v>1.05</v>
      </c>
      <c r="F23" s="1651" t="s">
        <v>2603</v>
      </c>
      <c r="K23" s="1653" t="s">
        <v>2783</v>
      </c>
      <c r="O23" s="1651" t="s">
        <v>3068</v>
      </c>
      <c r="Q23" s="1653" t="s">
        <v>2783</v>
      </c>
      <c r="Y23" s="1651" t="s">
        <v>2599</v>
      </c>
      <c r="Z23" s="1651" t="s">
        <v>2599</v>
      </c>
      <c r="AA23" s="1651" t="s">
        <v>2599</v>
      </c>
      <c r="AO23" s="1650"/>
      <c r="AR23" s="1653"/>
      <c r="AU23" s="1651">
        <v>1.5</v>
      </c>
      <c r="BG23" s="3327" t="s">
        <v>2937</v>
      </c>
      <c r="BQ23" s="1650"/>
      <c r="BY23" s="1650"/>
      <c r="DD23" s="1650"/>
      <c r="DS23" s="1650"/>
    </row>
    <row r="24" spans="1:144" s="159" customFormat="1" ht="15" hidden="1" customHeight="1" outlineLevel="2">
      <c r="A24" s="4938" t="s">
        <v>1016</v>
      </c>
      <c r="B24" s="4938"/>
      <c r="C24" s="1654"/>
      <c r="D24" s="1791" t="s">
        <v>462</v>
      </c>
      <c r="E24" s="1792"/>
      <c r="F24" s="1792"/>
      <c r="G24" s="1792"/>
      <c r="H24" s="1792"/>
      <c r="I24" s="1792"/>
      <c r="J24" s="1792"/>
      <c r="K24" s="1792"/>
      <c r="L24" s="1792"/>
      <c r="M24" s="1792"/>
      <c r="N24" s="1792"/>
      <c r="O24" s="1792"/>
      <c r="P24" s="1793"/>
      <c r="Q24" s="1655"/>
      <c r="R24" s="1783" t="s">
        <v>89</v>
      </c>
      <c r="S24" s="1784"/>
      <c r="T24" s="1784"/>
      <c r="U24" s="1784"/>
      <c r="V24" s="1784"/>
      <c r="W24" s="1784"/>
      <c r="X24" s="1784"/>
      <c r="Y24" s="1784"/>
      <c r="Z24" s="1784"/>
      <c r="AA24" s="1784"/>
      <c r="AB24" s="1784"/>
      <c r="AC24" s="1784"/>
      <c r="AD24" s="1784"/>
      <c r="AE24" s="1784"/>
      <c r="AF24" s="1784"/>
      <c r="AG24" s="1784"/>
      <c r="AH24" s="1656"/>
      <c r="AI24" s="1656"/>
      <c r="AJ24" s="1784"/>
      <c r="AK24" s="1784"/>
      <c r="AL24" s="1784"/>
      <c r="AM24" s="1784"/>
      <c r="AN24" s="1784"/>
      <c r="AO24" s="1655"/>
      <c r="AP24" s="1783" t="s">
        <v>2194</v>
      </c>
      <c r="AQ24" s="1783"/>
      <c r="AR24" s="4914" t="s">
        <v>1014</v>
      </c>
      <c r="AS24" s="4914"/>
      <c r="AT24" s="4915"/>
      <c r="AU24" s="4914"/>
      <c r="AV24" s="4915"/>
      <c r="AW24" s="4914"/>
      <c r="AX24" s="4914"/>
      <c r="AY24" s="4914"/>
      <c r="AZ24" s="4914"/>
      <c r="BA24" s="4914"/>
      <c r="BB24" s="4914"/>
      <c r="BC24" s="4866" t="s">
        <v>2934</v>
      </c>
      <c r="BD24" s="4867" t="s">
        <v>883</v>
      </c>
      <c r="BE24" s="4868" t="s">
        <v>695</v>
      </c>
      <c r="BF24" s="4866" t="s">
        <v>2792</v>
      </c>
      <c r="BG24" s="4871" t="s">
        <v>2936</v>
      </c>
      <c r="BH24" s="4873" t="s">
        <v>108</v>
      </c>
      <c r="BI24" s="4874"/>
      <c r="BJ24" s="4874"/>
      <c r="BK24" s="4874"/>
      <c r="BL24" s="4874"/>
      <c r="BM24" s="4874"/>
      <c r="BN24" s="4874"/>
      <c r="BO24" s="4874"/>
      <c r="BP24" s="4874"/>
      <c r="BQ24" s="1655"/>
      <c r="BR24" s="4875" t="s">
        <v>456</v>
      </c>
      <c r="BS24" s="4875"/>
      <c r="BT24" s="4875"/>
      <c r="BU24" s="4875"/>
      <c r="BV24" s="4875"/>
      <c r="BW24" s="4875"/>
      <c r="BX24" s="4875"/>
      <c r="BY24" s="1655"/>
      <c r="BZ24" s="4857" t="s">
        <v>1015</v>
      </c>
      <c r="CA24" s="4858"/>
      <c r="CB24" s="4858"/>
      <c r="CC24" s="4858"/>
      <c r="CD24" s="4858"/>
      <c r="CE24" s="4858"/>
      <c r="CF24" s="4858"/>
      <c r="CG24" s="4858"/>
      <c r="CH24" s="4858"/>
      <c r="CI24" s="4858"/>
      <c r="CJ24" s="4858"/>
      <c r="CK24" s="4858"/>
      <c r="CL24" s="4858"/>
      <c r="CM24" s="4858"/>
      <c r="CN24" s="4858"/>
      <c r="CO24" s="4858"/>
      <c r="CP24" s="4858"/>
      <c r="CQ24" s="4858"/>
      <c r="CR24" s="4858"/>
      <c r="CS24" s="4858"/>
      <c r="CT24" s="4858"/>
      <c r="CU24" s="4858"/>
      <c r="CV24" s="4858"/>
      <c r="CW24" s="4858"/>
      <c r="CX24" s="4858"/>
      <c r="CY24" s="4858"/>
      <c r="CZ24" s="4858"/>
      <c r="DA24" s="4858"/>
      <c r="DB24" s="4858"/>
      <c r="DC24" s="4858"/>
      <c r="DD24" s="1655"/>
      <c r="DE24" s="1658"/>
      <c r="DF24" s="1658"/>
      <c r="DG24" s="1658"/>
      <c r="DH24" s="1658"/>
      <c r="DI24" s="1658"/>
      <c r="DJ24" s="1658"/>
      <c r="DK24" s="1659" t="s">
        <v>1038</v>
      </c>
      <c r="DL24" s="1658"/>
      <c r="DM24" s="1658"/>
      <c r="DN24" s="1658"/>
      <c r="DO24" s="1658"/>
      <c r="DP24" s="1658"/>
      <c r="DQ24" s="1658"/>
      <c r="DR24" s="1660"/>
      <c r="DS24" s="1655"/>
      <c r="DT24" s="4876" t="s">
        <v>693</v>
      </c>
      <c r="DU24" s="4876"/>
      <c r="DV24" s="4876"/>
      <c r="DW24" s="4877"/>
      <c r="DX24" s="4876"/>
      <c r="DY24" s="4876"/>
    </row>
    <row r="25" spans="1:144" s="1671" customFormat="1" ht="12.75" hidden="1" customHeight="1" outlineLevel="2">
      <c r="A25" s="4938" t="s">
        <v>725</v>
      </c>
      <c r="B25" s="4938"/>
      <c r="C25" s="1661"/>
      <c r="D25" s="1785" t="s">
        <v>1009</v>
      </c>
      <c r="E25" s="1786"/>
      <c r="F25" s="1786"/>
      <c r="G25" s="1786"/>
      <c r="H25" s="1786"/>
      <c r="I25" s="1786"/>
      <c r="J25" s="1786"/>
      <c r="K25" s="1786"/>
      <c r="L25" s="1787"/>
      <c r="M25" s="4878" t="s">
        <v>1023</v>
      </c>
      <c r="N25" s="4879"/>
      <c r="O25" s="4879"/>
      <c r="P25" s="4880"/>
      <c r="Q25" s="1662"/>
      <c r="R25" s="1788" t="s">
        <v>1026</v>
      </c>
      <c r="S25" s="1789"/>
      <c r="T25" s="1789"/>
      <c r="U25" s="1789"/>
      <c r="V25" s="1789"/>
      <c r="W25" s="1789"/>
      <c r="X25" s="1789"/>
      <c r="Y25" s="1789"/>
      <c r="Z25" s="1789"/>
      <c r="AA25" s="1789"/>
      <c r="AB25" s="1789"/>
      <c r="AC25" s="1789"/>
      <c r="AD25" s="1789"/>
      <c r="AE25" s="1789"/>
      <c r="AF25" s="1790"/>
      <c r="AG25" s="1666" t="s">
        <v>1027</v>
      </c>
      <c r="AH25" s="1667"/>
      <c r="AI25" s="1667"/>
      <c r="AJ25" s="1667"/>
      <c r="AK25" s="1667"/>
      <c r="AL25" s="1668"/>
      <c r="AM25" s="1669" t="s">
        <v>1028</v>
      </c>
      <c r="AN25" s="1670"/>
      <c r="AO25" s="1662"/>
      <c r="AP25" s="1788"/>
      <c r="AQ25" s="1788"/>
      <c r="AR25" s="4854" t="s">
        <v>2235</v>
      </c>
      <c r="AS25" s="4855"/>
      <c r="AT25" s="4855"/>
      <c r="AU25" s="4856"/>
      <c r="AV25" s="2601"/>
      <c r="AW25" s="4881" t="s">
        <v>1048</v>
      </c>
      <c r="AX25" s="4883" t="s">
        <v>1049</v>
      </c>
      <c r="AY25" s="4884"/>
      <c r="AZ25" s="4884"/>
      <c r="BA25" s="4884"/>
      <c r="BB25" s="4885"/>
      <c r="BC25" s="4866"/>
      <c r="BD25" s="4867"/>
      <c r="BE25" s="4869"/>
      <c r="BF25" s="4866"/>
      <c r="BG25" s="4872"/>
      <c r="BH25" s="4889" t="s">
        <v>709</v>
      </c>
      <c r="BI25" s="4890"/>
      <c r="BJ25" s="4891"/>
      <c r="BK25" s="4889" t="s">
        <v>1022</v>
      </c>
      <c r="BL25" s="4890"/>
      <c r="BM25" s="4891"/>
      <c r="BN25" s="4881" t="s">
        <v>1030</v>
      </c>
      <c r="BO25" s="4881" t="s">
        <v>743</v>
      </c>
      <c r="BP25" s="4881" t="s">
        <v>1029</v>
      </c>
      <c r="BQ25" s="1662"/>
      <c r="BR25" s="4895" t="s">
        <v>1052</v>
      </c>
      <c r="BS25" s="4896"/>
      <c r="BT25" s="4897"/>
      <c r="BU25" s="4901" t="s">
        <v>1053</v>
      </c>
      <c r="BV25" s="4902"/>
      <c r="BW25" s="4903"/>
      <c r="BX25" s="4907" t="s">
        <v>1054</v>
      </c>
      <c r="BY25" s="1662"/>
      <c r="BZ25" s="4909" t="s">
        <v>1020</v>
      </c>
      <c r="CA25" s="4910"/>
      <c r="CB25" s="4910"/>
      <c r="CC25" s="4910"/>
      <c r="CD25" s="4910"/>
      <c r="CE25" s="4910"/>
      <c r="CF25" s="4910"/>
      <c r="CG25" s="4910"/>
      <c r="CH25" s="4910"/>
      <c r="CI25" s="4910"/>
      <c r="CJ25" s="4910"/>
      <c r="CK25" s="4910"/>
      <c r="CL25" s="4910"/>
      <c r="CM25" s="4910"/>
      <c r="CN25" s="4911"/>
      <c r="CO25" s="4912" t="s">
        <v>1021</v>
      </c>
      <c r="CP25" s="4913"/>
      <c r="CQ25" s="4913"/>
      <c r="CR25" s="4913"/>
      <c r="CS25" s="4913"/>
      <c r="CT25" s="4913"/>
      <c r="CU25" s="4913"/>
      <c r="CV25" s="4913"/>
      <c r="CW25" s="4913"/>
      <c r="CX25" s="4913"/>
      <c r="CY25" s="4913"/>
      <c r="CZ25" s="4913"/>
      <c r="DA25" s="4913"/>
      <c r="DB25" s="4913"/>
      <c r="DC25" s="4913"/>
      <c r="DD25" s="1662"/>
      <c r="DE25" s="4850" t="s">
        <v>710</v>
      </c>
      <c r="DF25" s="4850"/>
      <c r="DG25" s="4850" t="s">
        <v>711</v>
      </c>
      <c r="DH25" s="4850"/>
      <c r="DI25" s="4850" t="s">
        <v>712</v>
      </c>
      <c r="DJ25" s="4850"/>
      <c r="DK25" s="4850" t="s">
        <v>713</v>
      </c>
      <c r="DL25" s="4850"/>
      <c r="DM25" s="4850" t="s">
        <v>714</v>
      </c>
      <c r="DN25" s="4850"/>
      <c r="DO25" s="4850"/>
      <c r="DP25" s="4850" t="s">
        <v>715</v>
      </c>
      <c r="DQ25" s="4850" t="s">
        <v>716</v>
      </c>
      <c r="DR25" s="4850" t="s">
        <v>2791</v>
      </c>
      <c r="DS25" s="1662"/>
      <c r="DT25" s="4851" t="s">
        <v>1037</v>
      </c>
      <c r="DU25" s="4851"/>
      <c r="DV25" s="4851"/>
      <c r="DW25" s="2948"/>
      <c r="DX25" s="4851" t="s">
        <v>996</v>
      </c>
      <c r="DY25" s="4851"/>
    </row>
    <row r="26" spans="1:144" s="761" customFormat="1" ht="71.25" hidden="1" customHeight="1" outlineLevel="2">
      <c r="A26" s="4938"/>
      <c r="B26" s="4938"/>
      <c r="C26" s="1654"/>
      <c r="D26" s="1672" t="s">
        <v>2191</v>
      </c>
      <c r="E26" s="1672" t="s">
        <v>2602</v>
      </c>
      <c r="F26" s="2658" t="s">
        <v>2620</v>
      </c>
      <c r="G26" s="1673" t="s">
        <v>18</v>
      </c>
      <c r="H26" s="1673" t="s">
        <v>380</v>
      </c>
      <c r="I26" s="1674" t="s">
        <v>705</v>
      </c>
      <c r="J26" s="1675" t="s">
        <v>1006</v>
      </c>
      <c r="K26" s="2659" t="s">
        <v>2785</v>
      </c>
      <c r="L26" s="2660" t="s">
        <v>1008</v>
      </c>
      <c r="M26" s="4916" t="s">
        <v>1024</v>
      </c>
      <c r="N26" s="4917"/>
      <c r="O26" s="4918"/>
      <c r="P26" s="753" t="s">
        <v>1025</v>
      </c>
      <c r="Q26" s="2659" t="s">
        <v>2784</v>
      </c>
      <c r="R26" s="1672" t="s">
        <v>2191</v>
      </c>
      <c r="S26" s="1672" t="s">
        <v>1010</v>
      </c>
      <c r="T26" s="1657" t="s">
        <v>2782</v>
      </c>
      <c r="U26" s="1656"/>
      <c r="V26" s="1656"/>
      <c r="W26" s="1677"/>
      <c r="X26" s="2639"/>
      <c r="Y26" s="2638" t="s">
        <v>2593</v>
      </c>
      <c r="Z26" s="2638" t="s">
        <v>2595</v>
      </c>
      <c r="AA26" s="2638" t="s">
        <v>2597</v>
      </c>
      <c r="AB26" s="1678" t="s">
        <v>92</v>
      </c>
      <c r="AC26" s="1678" t="s">
        <v>93</v>
      </c>
      <c r="AD26" s="1678" t="s">
        <v>314</v>
      </c>
      <c r="AE26" s="1679" t="s">
        <v>743</v>
      </c>
      <c r="AF26" s="1678" t="s">
        <v>257</v>
      </c>
      <c r="AG26" s="1680" t="s">
        <v>18</v>
      </c>
      <c r="AH26" s="1680" t="s">
        <v>18</v>
      </c>
      <c r="AI26" s="1680" t="s">
        <v>18</v>
      </c>
      <c r="AJ26" s="1680" t="s">
        <v>380</v>
      </c>
      <c r="AK26" s="754" t="s">
        <v>705</v>
      </c>
      <c r="AL26" s="754" t="s">
        <v>706</v>
      </c>
      <c r="AM26" s="1681" t="s">
        <v>1011</v>
      </c>
      <c r="AN26" s="1681" t="s">
        <v>1012</v>
      </c>
      <c r="AO26" s="1655"/>
      <c r="AP26" s="1672" t="s">
        <v>2191</v>
      </c>
      <c r="AQ26" s="1672" t="s">
        <v>2191</v>
      </c>
      <c r="AR26" s="4854" t="s">
        <v>2236</v>
      </c>
      <c r="AS26" s="4855"/>
      <c r="AT26" s="4856"/>
      <c r="AU26" s="2168" t="s">
        <v>2237</v>
      </c>
      <c r="AV26" s="2694" t="s">
        <v>2610</v>
      </c>
      <c r="AW26" s="4882"/>
      <c r="AX26" s="4886"/>
      <c r="AY26" s="4887"/>
      <c r="AZ26" s="4887"/>
      <c r="BA26" s="4887"/>
      <c r="BB26" s="4888"/>
      <c r="BC26" s="4866"/>
      <c r="BD26" s="4867"/>
      <c r="BE26" s="4870"/>
      <c r="BF26" s="4866"/>
      <c r="BG26" s="4872"/>
      <c r="BH26" s="4892"/>
      <c r="BI26" s="4893"/>
      <c r="BJ26" s="4894"/>
      <c r="BK26" s="4892"/>
      <c r="BL26" s="4893"/>
      <c r="BM26" s="4894"/>
      <c r="BN26" s="4882"/>
      <c r="BO26" s="4882"/>
      <c r="BP26" s="4882"/>
      <c r="BQ26" s="1655" t="s">
        <v>3167</v>
      </c>
      <c r="BR26" s="4898"/>
      <c r="BS26" s="4899"/>
      <c r="BT26" s="4900"/>
      <c r="BU26" s="4904"/>
      <c r="BV26" s="4905"/>
      <c r="BW26" s="4906"/>
      <c r="BX26" s="4908"/>
      <c r="BY26" s="1655" t="s">
        <v>3168</v>
      </c>
      <c r="BZ26" s="4857" t="s">
        <v>447</v>
      </c>
      <c r="CA26" s="4858"/>
      <c r="CB26" s="4858"/>
      <c r="CC26" s="4859"/>
      <c r="CD26" s="4860" t="s">
        <v>448</v>
      </c>
      <c r="CE26" s="4861"/>
      <c r="CF26" s="4861"/>
      <c r="CG26" s="4862"/>
      <c r="CH26" s="4857" t="s">
        <v>445</v>
      </c>
      <c r="CI26" s="4858"/>
      <c r="CJ26" s="4859"/>
      <c r="CK26" s="4860" t="s">
        <v>446</v>
      </c>
      <c r="CL26" s="4861"/>
      <c r="CM26" s="4862"/>
      <c r="CN26" s="1682" t="s">
        <v>1068</v>
      </c>
      <c r="CO26" s="4863" t="s">
        <v>452</v>
      </c>
      <c r="CP26" s="4864"/>
      <c r="CQ26" s="4864"/>
      <c r="CR26" s="4865"/>
      <c r="CS26" s="4863" t="s">
        <v>453</v>
      </c>
      <c r="CT26" s="4864"/>
      <c r="CU26" s="4864"/>
      <c r="CV26" s="4865"/>
      <c r="CW26" s="4852" t="s">
        <v>889</v>
      </c>
      <c r="CX26" s="4853"/>
      <c r="CY26" s="4853"/>
      <c r="CZ26" s="4852" t="s">
        <v>890</v>
      </c>
      <c r="DA26" s="4853"/>
      <c r="DB26" s="4853"/>
      <c r="DC26" s="1683" t="s">
        <v>454</v>
      </c>
      <c r="DD26" s="1655"/>
      <c r="DE26" s="4850"/>
      <c r="DF26" s="4850"/>
      <c r="DG26" s="4850"/>
      <c r="DH26" s="4850"/>
      <c r="DI26" s="4850"/>
      <c r="DJ26" s="4850"/>
      <c r="DK26" s="1684" t="s">
        <v>189</v>
      </c>
      <c r="DL26" s="1684" t="s">
        <v>190</v>
      </c>
      <c r="DM26" s="1685" t="s">
        <v>187</v>
      </c>
      <c r="DN26" s="1685" t="s">
        <v>719</v>
      </c>
      <c r="DO26" s="1686" t="s">
        <v>720</v>
      </c>
      <c r="DP26" s="4850"/>
      <c r="DQ26" s="4850"/>
      <c r="DR26" s="4850"/>
      <c r="DS26" s="1655"/>
      <c r="DT26" s="1687" t="s">
        <v>1032</v>
      </c>
      <c r="DU26" s="1687" t="s">
        <v>2199</v>
      </c>
      <c r="DV26" s="1687" t="s">
        <v>1034</v>
      </c>
      <c r="DW26" s="2949" t="s">
        <v>2768</v>
      </c>
      <c r="DX26" s="1687" t="s">
        <v>986</v>
      </c>
      <c r="DY26" s="1687" t="s">
        <v>987</v>
      </c>
      <c r="DZ26" s="3375" t="s">
        <v>2999</v>
      </c>
      <c r="EB26" s="3535">
        <v>1.1200000000000001</v>
      </c>
      <c r="EC26" s="3535"/>
      <c r="ED26" s="3535"/>
      <c r="EE26" s="3535"/>
      <c r="EF26" s="3535">
        <v>1.0900000000000001</v>
      </c>
      <c r="EG26" s="3535"/>
      <c r="EH26" s="3535">
        <v>1.0900000000000001</v>
      </c>
      <c r="EI26" s="3535"/>
      <c r="EJ26" s="3535">
        <v>1.0900000000000001</v>
      </c>
      <c r="EK26" s="3535"/>
      <c r="EL26" s="3535">
        <v>1</v>
      </c>
      <c r="EM26" s="2801">
        <v>0.2</v>
      </c>
      <c r="EN26" s="761" t="s">
        <v>2698</v>
      </c>
    </row>
    <row r="27" spans="1:144" s="1710" customFormat="1" ht="24" hidden="1" customHeight="1" outlineLevel="2">
      <c r="A27" s="4929" t="s">
        <v>1017</v>
      </c>
      <c r="B27" s="4929"/>
      <c r="C27" s="1688"/>
      <c r="D27" s="1689"/>
      <c r="E27" s="2990" t="s">
        <v>1041</v>
      </c>
      <c r="F27" s="1689"/>
      <c r="G27" s="2992" t="s">
        <v>1043</v>
      </c>
      <c r="H27" s="2992" t="s">
        <v>1044</v>
      </c>
      <c r="I27" s="2992" t="s">
        <v>1045</v>
      </c>
      <c r="J27" s="1692" t="s">
        <v>1041</v>
      </c>
      <c r="K27" s="2993" t="s">
        <v>1046</v>
      </c>
      <c r="L27" s="2993" t="s">
        <v>440</v>
      </c>
      <c r="M27" s="1693"/>
      <c r="N27" s="1693"/>
      <c r="O27" s="1693"/>
      <c r="P27" s="1693"/>
      <c r="Q27" s="3004" t="s">
        <v>2786</v>
      </c>
      <c r="R27" s="1689"/>
      <c r="S27" s="1689" t="s">
        <v>974</v>
      </c>
      <c r="T27" s="2994" t="s">
        <v>972</v>
      </c>
      <c r="U27" s="2994" t="s">
        <v>973</v>
      </c>
      <c r="V27" s="2994" t="s">
        <v>974</v>
      </c>
      <c r="W27" s="2994" t="s">
        <v>975</v>
      </c>
      <c r="X27" s="2640" t="s">
        <v>979</v>
      </c>
      <c r="Y27" s="3000" t="s">
        <v>2594</v>
      </c>
      <c r="Z27" s="3000" t="s">
        <v>2596</v>
      </c>
      <c r="AA27" s="3000" t="s">
        <v>2598</v>
      </c>
      <c r="AB27" s="2994" t="s">
        <v>976</v>
      </c>
      <c r="AC27" s="2994" t="s">
        <v>977</v>
      </c>
      <c r="AD27" s="2994" t="s">
        <v>979</v>
      </c>
      <c r="AE27" s="2994" t="s">
        <v>978</v>
      </c>
      <c r="AF27" s="2994" t="s">
        <v>978</v>
      </c>
      <c r="AG27" s="2992" t="s">
        <v>973</v>
      </c>
      <c r="AH27" s="2998" t="s">
        <v>2605</v>
      </c>
      <c r="AI27" s="2998" t="s">
        <v>2606</v>
      </c>
      <c r="AJ27" s="2992" t="s">
        <v>973</v>
      </c>
      <c r="AK27" s="2993" t="s">
        <v>977</v>
      </c>
      <c r="AL27" s="2993" t="s">
        <v>980</v>
      </c>
      <c r="AM27" s="1697" t="s">
        <v>974</v>
      </c>
      <c r="AN27" s="1698" t="s">
        <v>972</v>
      </c>
      <c r="AO27" s="1694"/>
      <c r="AP27" s="1788">
        <v>100</v>
      </c>
      <c r="AQ27" s="1788">
        <v>200</v>
      </c>
      <c r="AR27" s="2993" t="s">
        <v>2233</v>
      </c>
      <c r="AS27" s="2993" t="s">
        <v>2234</v>
      </c>
      <c r="AT27" s="2993" t="s">
        <v>981</v>
      </c>
      <c r="AU27" s="2993" t="s">
        <v>981</v>
      </c>
      <c r="AV27" s="3002"/>
      <c r="AW27" s="2993" t="s">
        <v>3180</v>
      </c>
      <c r="AX27" s="1699">
        <v>75</v>
      </c>
      <c r="AY27" s="1699">
        <v>100</v>
      </c>
      <c r="AZ27" s="1699">
        <v>120</v>
      </c>
      <c r="BA27" s="1699">
        <v>150</v>
      </c>
      <c r="BB27" s="1699">
        <v>200</v>
      </c>
      <c r="BC27" s="3003" t="s">
        <v>2935</v>
      </c>
      <c r="BD27" s="2999" t="s">
        <v>982</v>
      </c>
      <c r="BE27" s="1702"/>
      <c r="BF27" s="3022" t="s">
        <v>983</v>
      </c>
      <c r="BG27" s="3328"/>
      <c r="BH27" s="2993">
        <v>75</v>
      </c>
      <c r="BI27" s="2993">
        <v>90</v>
      </c>
      <c r="BJ27" s="2993">
        <v>110</v>
      </c>
      <c r="BK27" s="2993">
        <v>75</v>
      </c>
      <c r="BL27" s="2993">
        <v>90</v>
      </c>
      <c r="BM27" s="2993">
        <v>110</v>
      </c>
      <c r="BN27" s="2993" t="s">
        <v>979</v>
      </c>
      <c r="BO27" s="2993" t="s">
        <v>978</v>
      </c>
      <c r="BP27" s="2993" t="s">
        <v>978</v>
      </c>
      <c r="BQ27" s="3004"/>
      <c r="BR27" s="3008" t="s">
        <v>383</v>
      </c>
      <c r="BS27" s="3008" t="s">
        <v>381</v>
      </c>
      <c r="BT27" s="3008" t="s">
        <v>384</v>
      </c>
      <c r="BU27" s="3008" t="s">
        <v>385</v>
      </c>
      <c r="BV27" s="3008" t="s">
        <v>386</v>
      </c>
      <c r="BW27" s="3008" t="s">
        <v>387</v>
      </c>
      <c r="BX27" s="3008" t="s">
        <v>388</v>
      </c>
      <c r="BY27" s="1694"/>
      <c r="BZ27" s="3013" t="s">
        <v>1039</v>
      </c>
      <c r="CA27" s="3013" t="s">
        <v>467</v>
      </c>
      <c r="CB27" s="3013" t="s">
        <v>466</v>
      </c>
      <c r="CC27" s="3013" t="s">
        <v>470</v>
      </c>
      <c r="CD27" s="3013" t="s">
        <v>468</v>
      </c>
      <c r="CE27" s="3013" t="s">
        <v>467</v>
      </c>
      <c r="CF27" s="3013" t="s">
        <v>466</v>
      </c>
      <c r="CG27" s="3013" t="s">
        <v>470</v>
      </c>
      <c r="CH27" s="3013" t="s">
        <v>468</v>
      </c>
      <c r="CI27" s="3013" t="s">
        <v>467</v>
      </c>
      <c r="CJ27" s="3013" t="s">
        <v>466</v>
      </c>
      <c r="CK27" s="1705" t="s">
        <v>468</v>
      </c>
      <c r="CL27" s="1705" t="s">
        <v>467</v>
      </c>
      <c r="CM27" s="1705" t="s">
        <v>466</v>
      </c>
      <c r="CN27" s="3014" t="s">
        <v>469</v>
      </c>
      <c r="CO27" s="2993" t="s">
        <v>476</v>
      </c>
      <c r="CP27" s="2993" t="s">
        <v>477</v>
      </c>
      <c r="CQ27" s="2993" t="s">
        <v>478</v>
      </c>
      <c r="CR27" s="2993" t="s">
        <v>479</v>
      </c>
      <c r="CS27" s="2993" t="s">
        <v>476</v>
      </c>
      <c r="CT27" s="2993" t="s">
        <v>477</v>
      </c>
      <c r="CU27" s="2993" t="s">
        <v>478</v>
      </c>
      <c r="CV27" s="2993" t="s">
        <v>480</v>
      </c>
      <c r="CW27" s="2993" t="s">
        <v>472</v>
      </c>
      <c r="CX27" s="2993" t="s">
        <v>473</v>
      </c>
      <c r="CY27" s="2993" t="s">
        <v>474</v>
      </c>
      <c r="CZ27" s="1699" t="s">
        <v>472</v>
      </c>
      <c r="DA27" s="1699" t="s">
        <v>473</v>
      </c>
      <c r="DB27" s="1699" t="s">
        <v>474</v>
      </c>
      <c r="DC27" s="2993" t="s">
        <v>475</v>
      </c>
      <c r="DD27" s="1694"/>
      <c r="DE27" s="3009" t="s">
        <v>119</v>
      </c>
      <c r="DF27" s="3009" t="s">
        <v>120</v>
      </c>
      <c r="DG27" s="1707" t="s">
        <v>119</v>
      </c>
      <c r="DH27" s="1707" t="s">
        <v>120</v>
      </c>
      <c r="DI27" s="3009" t="s">
        <v>119</v>
      </c>
      <c r="DJ27" s="3009" t="s">
        <v>120</v>
      </c>
      <c r="DK27" s="3009" t="s">
        <v>121</v>
      </c>
      <c r="DL27" s="3009" t="s">
        <v>122</v>
      </c>
      <c r="DM27" s="3010" t="s">
        <v>1035</v>
      </c>
      <c r="DN27" s="3010" t="s">
        <v>1036</v>
      </c>
      <c r="DO27" s="3010" t="s">
        <v>1035</v>
      </c>
      <c r="DP27" s="3009" t="s">
        <v>124</v>
      </c>
      <c r="DQ27" s="1707" t="s">
        <v>125</v>
      </c>
      <c r="DR27" s="3009" t="s">
        <v>2790</v>
      </c>
      <c r="DS27" s="1694"/>
      <c r="DT27" s="1702" t="s">
        <v>985</v>
      </c>
      <c r="DU27" s="1702" t="s">
        <v>985</v>
      </c>
      <c r="DV27" s="2797" t="s">
        <v>984</v>
      </c>
      <c r="DW27" s="2950"/>
      <c r="DX27" s="1702" t="s">
        <v>985</v>
      </c>
      <c r="DY27" s="1702" t="s">
        <v>985</v>
      </c>
      <c r="DZ27" s="3376"/>
      <c r="EA27" s="4843" t="s">
        <v>1071</v>
      </c>
      <c r="EB27" s="4844"/>
      <c r="EC27" s="4844" t="s">
        <v>2769</v>
      </c>
      <c r="ED27" s="4844"/>
      <c r="EE27" s="4845" t="s">
        <v>1072</v>
      </c>
      <c r="EF27" s="4845"/>
      <c r="EG27" s="4845" t="s">
        <v>1073</v>
      </c>
      <c r="EH27" s="4845"/>
      <c r="EI27" s="4845" t="s">
        <v>1075</v>
      </c>
      <c r="EJ27" s="4845"/>
      <c r="EK27" s="4846" t="s">
        <v>2697</v>
      </c>
      <c r="EL27" s="4846"/>
      <c r="EM27" s="4846"/>
    </row>
    <row r="28" spans="1:144" s="1771" customFormat="1" ht="64.5" hidden="1" customHeight="1" outlineLevel="2">
      <c r="A28" s="4998" t="s">
        <v>1018</v>
      </c>
      <c r="B28" s="4999"/>
      <c r="C28" s="1760"/>
      <c r="D28" s="1761"/>
      <c r="E28" s="1761" t="s">
        <v>988</v>
      </c>
      <c r="F28" s="1762" t="s">
        <v>2928</v>
      </c>
      <c r="G28" s="1762">
        <v>1</v>
      </c>
      <c r="H28" s="1762">
        <v>1.1000000000000001</v>
      </c>
      <c r="I28" s="1762" t="s">
        <v>2592</v>
      </c>
      <c r="J28" s="1763" t="s">
        <v>1055</v>
      </c>
      <c r="K28" s="1762">
        <v>2.04</v>
      </c>
      <c r="L28" s="1762">
        <v>1.6</v>
      </c>
      <c r="M28" s="1764" t="s">
        <v>2209</v>
      </c>
      <c r="N28" s="1764" t="s">
        <v>2210</v>
      </c>
      <c r="O28" s="3477" t="s">
        <v>2725</v>
      </c>
      <c r="P28" s="1762">
        <v>1.1000000000000001</v>
      </c>
      <c r="Q28" s="1765"/>
      <c r="R28" s="1766"/>
      <c r="S28" s="1766" t="s">
        <v>1059</v>
      </c>
      <c r="T28" s="1762">
        <v>0.7</v>
      </c>
      <c r="U28" s="1762">
        <v>1.1000000000000001</v>
      </c>
      <c r="V28" s="1766" t="s">
        <v>1058</v>
      </c>
      <c r="W28" s="1762">
        <v>1.08</v>
      </c>
      <c r="X28" s="2641" t="s">
        <v>2604</v>
      </c>
      <c r="Y28" s="1762"/>
      <c r="Z28" s="1762"/>
      <c r="AA28" s="1762"/>
      <c r="AB28" s="1762">
        <v>1.2</v>
      </c>
      <c r="AC28" s="1762" t="s">
        <v>2607</v>
      </c>
      <c r="AD28" s="1762" t="s">
        <v>2608</v>
      </c>
      <c r="AE28" s="1762" t="s">
        <v>2608</v>
      </c>
      <c r="AF28" s="1762" t="s">
        <v>2608</v>
      </c>
      <c r="AG28" s="1766"/>
      <c r="AH28" s="2684"/>
      <c r="AI28" s="2684"/>
      <c r="AJ28" s="1762">
        <v>1</v>
      </c>
      <c r="AK28" s="1766" t="s">
        <v>1060</v>
      </c>
      <c r="AL28" s="1766" t="s">
        <v>1061</v>
      </c>
      <c r="AM28" s="1766" t="s">
        <v>1063</v>
      </c>
      <c r="AN28" s="1766" t="s">
        <v>1062</v>
      </c>
      <c r="AO28" s="1765"/>
      <c r="AP28" s="1766">
        <v>1.25</v>
      </c>
      <c r="AQ28" s="1766"/>
      <c r="AR28" s="1762" t="s">
        <v>2609</v>
      </c>
      <c r="AS28" s="1762">
        <v>1.7</v>
      </c>
      <c r="AT28" s="1762" t="s">
        <v>2625</v>
      </c>
      <c r="AU28" s="1762" t="s">
        <v>2925</v>
      </c>
      <c r="AV28" s="1762" t="s">
        <v>2611</v>
      </c>
      <c r="AW28" s="1762">
        <v>1.3</v>
      </c>
      <c r="AX28" s="1766" t="s">
        <v>1064</v>
      </c>
      <c r="AY28" s="1767"/>
      <c r="AZ28" s="1767"/>
      <c r="BA28" s="1766" t="s">
        <v>1065</v>
      </c>
      <c r="BB28" s="1767"/>
      <c r="BC28" s="1762">
        <v>7.0000000000000007E-2</v>
      </c>
      <c r="BD28" s="1762">
        <v>0.65</v>
      </c>
      <c r="BE28" s="1766" t="s">
        <v>1066</v>
      </c>
      <c r="BF28" s="1766" t="s">
        <v>2613</v>
      </c>
      <c r="BG28" s="3329"/>
      <c r="BH28" s="1762">
        <v>0.85</v>
      </c>
      <c r="BI28" s="1762">
        <v>1.05</v>
      </c>
      <c r="BJ28" s="1762">
        <v>1.1499999999999999</v>
      </c>
      <c r="BK28" s="1762">
        <v>1.05</v>
      </c>
      <c r="BL28" s="1762">
        <v>1.05</v>
      </c>
      <c r="BM28" s="1762">
        <v>1.05</v>
      </c>
      <c r="BN28" s="1766"/>
      <c r="BO28" s="1766">
        <v>0.7</v>
      </c>
      <c r="BP28" s="1766">
        <v>0.7</v>
      </c>
      <c r="BQ28" s="1765" t="s">
        <v>2788</v>
      </c>
      <c r="BR28" s="1833" t="s">
        <v>2195</v>
      </c>
      <c r="BS28" s="1762">
        <v>1.25</v>
      </c>
      <c r="BT28" s="1762">
        <v>1.25</v>
      </c>
      <c r="BU28" s="1833" t="s">
        <v>2789</v>
      </c>
      <c r="BV28" s="1762">
        <v>0.33</v>
      </c>
      <c r="BW28" s="1762">
        <v>0.33</v>
      </c>
      <c r="BX28" s="1762">
        <v>1.8</v>
      </c>
      <c r="BY28" s="1765"/>
      <c r="BZ28" s="1764"/>
      <c r="CA28" s="1769">
        <v>1.05</v>
      </c>
      <c r="CB28" s="1769">
        <v>1.05</v>
      </c>
      <c r="CC28" s="1769">
        <v>1.05</v>
      </c>
      <c r="CD28" s="1770">
        <v>1.05</v>
      </c>
      <c r="CE28" s="1770">
        <v>1.05</v>
      </c>
      <c r="CF28" s="1770">
        <v>1.05</v>
      </c>
      <c r="CG28" s="1770">
        <v>1.05</v>
      </c>
      <c r="CH28" s="1770">
        <v>1.1000000000000001</v>
      </c>
      <c r="CI28" s="1770">
        <v>1.1000000000000001</v>
      </c>
      <c r="CJ28" s="1770">
        <v>1.1000000000000001</v>
      </c>
      <c r="CK28" s="1770">
        <v>1.1000000000000001</v>
      </c>
      <c r="CL28" s="1770">
        <v>1.1000000000000001</v>
      </c>
      <c r="CM28" s="1770">
        <v>1.1000000000000001</v>
      </c>
      <c r="CN28" s="1770">
        <v>1.1499999999999999</v>
      </c>
      <c r="CO28" s="1770">
        <v>1.35</v>
      </c>
      <c r="CP28" s="4847" t="s">
        <v>1069</v>
      </c>
      <c r="CQ28" s="4848"/>
      <c r="CR28" s="4848"/>
      <c r="CS28" s="4848"/>
      <c r="CT28" s="4848"/>
      <c r="CU28" s="4848"/>
      <c r="CV28" s="4848"/>
      <c r="CW28" s="4848"/>
      <c r="CX28" s="4848"/>
      <c r="CY28" s="4848"/>
      <c r="CZ28" s="4848"/>
      <c r="DA28" s="4848"/>
      <c r="DB28" s="4848"/>
      <c r="DC28" s="4849"/>
      <c r="DD28" s="1765"/>
      <c r="DE28" s="1766">
        <v>1.45</v>
      </c>
      <c r="DF28" s="1766">
        <v>1.2</v>
      </c>
      <c r="DG28" s="1766">
        <v>1.25</v>
      </c>
      <c r="DH28" s="1766">
        <v>1.2</v>
      </c>
      <c r="DI28" s="1766">
        <v>1.3</v>
      </c>
      <c r="DJ28" s="1766">
        <v>1.2</v>
      </c>
      <c r="DK28" s="1764">
        <v>1.25</v>
      </c>
      <c r="DL28" s="1766">
        <v>1</v>
      </c>
      <c r="DM28" s="1766">
        <v>2.2000000000000002</v>
      </c>
      <c r="DN28" s="1766" t="s">
        <v>1070</v>
      </c>
      <c r="DO28" s="1766" t="s">
        <v>1070</v>
      </c>
      <c r="DP28" s="1766">
        <v>1</v>
      </c>
      <c r="DQ28" s="1766">
        <v>1.2</v>
      </c>
      <c r="DR28" s="1766" t="s">
        <v>1062</v>
      </c>
      <c r="DS28" s="1765"/>
      <c r="DT28" s="1762">
        <v>0.8</v>
      </c>
      <c r="DU28" s="1762" t="s">
        <v>1152</v>
      </c>
      <c r="DV28" s="1764"/>
      <c r="DW28" s="1762">
        <v>0.8</v>
      </c>
      <c r="DX28" s="1762">
        <f>DT28</f>
        <v>0.8</v>
      </c>
      <c r="DY28" s="1762">
        <v>0.8</v>
      </c>
      <c r="DZ28" s="3377">
        <v>50</v>
      </c>
      <c r="EA28" s="3373" t="s">
        <v>735</v>
      </c>
      <c r="EB28" s="1773" t="s">
        <v>1074</v>
      </c>
      <c r="EC28" s="2959"/>
      <c r="ED28" s="2959"/>
      <c r="EE28" s="1772" t="s">
        <v>735</v>
      </c>
      <c r="EF28" s="1773" t="s">
        <v>1074</v>
      </c>
      <c r="EG28" s="1772" t="s">
        <v>735</v>
      </c>
      <c r="EH28" s="1773" t="s">
        <v>1074</v>
      </c>
      <c r="EI28" s="1772" t="s">
        <v>735</v>
      </c>
      <c r="EJ28" s="1773" t="s">
        <v>1074</v>
      </c>
      <c r="EK28" s="2798" t="s">
        <v>735</v>
      </c>
      <c r="EL28" s="2803" t="s">
        <v>1074</v>
      </c>
      <c r="EM28" s="2803" t="s">
        <v>2699</v>
      </c>
    </row>
    <row r="29" spans="1:144" s="761" customFormat="1" ht="15.75" hidden="1" customHeight="1" outlineLevel="2">
      <c r="A29" s="3522" t="s">
        <v>910</v>
      </c>
      <c r="B29" s="1720" t="s">
        <v>1609</v>
      </c>
      <c r="C29" s="1745"/>
      <c r="D29" s="763"/>
      <c r="E29" s="763"/>
      <c r="F29" s="764"/>
      <c r="G29" s="765"/>
      <c r="H29" s="766"/>
      <c r="I29" s="781"/>
      <c r="J29" s="1175"/>
      <c r="K29" s="751"/>
      <c r="L29" s="751"/>
      <c r="M29" s="753"/>
      <c r="N29" s="753"/>
      <c r="O29" s="3519">
        <f>CEILING(O52*D23,50)</f>
        <v>12500</v>
      </c>
      <c r="P29" s="2656"/>
      <c r="Q29" s="762"/>
      <c r="R29" s="764"/>
      <c r="S29" s="764">
        <f>S208*(1+$C$193)</f>
        <v>0</v>
      </c>
      <c r="T29" s="1144">
        <v>2100</v>
      </c>
      <c r="U29" s="769">
        <f>U208*(1+$C$193)</f>
        <v>0.18333333333333363</v>
      </c>
      <c r="V29" s="769">
        <f>V208*(1+$C$193)</f>
        <v>0.18333333333333363</v>
      </c>
      <c r="W29" s="769">
        <f>W208*(1+$C$193)</f>
        <v>0.14411764705882357</v>
      </c>
      <c r="X29" s="2642"/>
      <c r="Y29" s="1807"/>
      <c r="Z29" s="1807"/>
      <c r="AA29" s="1807"/>
      <c r="AB29" s="769">
        <f t="shared" ref="AB29:AN29" si="35">AB208*(1+$C$193)</f>
        <v>0</v>
      </c>
      <c r="AC29" s="769">
        <f t="shared" si="35"/>
        <v>-0.1916666666666666</v>
      </c>
      <c r="AD29" s="764">
        <f t="shared" si="35"/>
        <v>0</v>
      </c>
      <c r="AE29" s="770">
        <f t="shared" si="35"/>
        <v>0</v>
      </c>
      <c r="AF29" s="764">
        <f t="shared" si="35"/>
        <v>0</v>
      </c>
      <c r="AG29" s="765">
        <f t="shared" si="35"/>
        <v>0.11666666666666692</v>
      </c>
      <c r="AH29" s="2665"/>
      <c r="AI29" s="2665"/>
      <c r="AJ29" s="766">
        <f t="shared" si="35"/>
        <v>0</v>
      </c>
      <c r="AK29" s="754">
        <f t="shared" si="35"/>
        <v>0</v>
      </c>
      <c r="AL29" s="754">
        <f t="shared" si="35"/>
        <v>0</v>
      </c>
      <c r="AM29" s="757">
        <f t="shared" si="35"/>
        <v>0</v>
      </c>
      <c r="AN29" s="757">
        <f t="shared" si="35"/>
        <v>-0.10522388059701472</v>
      </c>
      <c r="AO29" s="762"/>
      <c r="AP29" s="764"/>
      <c r="AQ29" s="764"/>
      <c r="AR29" s="769">
        <f t="shared" ref="AR29:BF29" si="36">AR208*(1+$C$193)</f>
        <v>0.15769230769230783</v>
      </c>
      <c r="AS29" s="769">
        <f t="shared" si="36"/>
        <v>2.3913043478260839E-2</v>
      </c>
      <c r="AT29" s="769">
        <f t="shared" si="36"/>
        <v>-0.14999999999999988</v>
      </c>
      <c r="AU29" s="769">
        <f t="shared" si="36"/>
        <v>0.51666666666666683</v>
      </c>
      <c r="AV29" s="2664"/>
      <c r="AW29" s="754">
        <f t="shared" si="36"/>
        <v>0</v>
      </c>
      <c r="AX29" s="757">
        <f t="shared" si="36"/>
        <v>-7.3076923076922901E-2</v>
      </c>
      <c r="AY29" s="757">
        <f t="shared" si="36"/>
        <v>0</v>
      </c>
      <c r="AZ29" s="757">
        <f t="shared" si="36"/>
        <v>0</v>
      </c>
      <c r="BA29" s="757">
        <f t="shared" si="36"/>
        <v>-6.304347826086952E-2</v>
      </c>
      <c r="BB29" s="757">
        <f t="shared" si="36"/>
        <v>0</v>
      </c>
      <c r="BC29" s="769">
        <f t="shared" si="36"/>
        <v>1.3115384615384618</v>
      </c>
      <c r="BD29" s="769">
        <f t="shared" si="36"/>
        <v>-0.37</v>
      </c>
      <c r="BE29" s="759">
        <f t="shared" si="36"/>
        <v>-4.9999999999999961E-2</v>
      </c>
      <c r="BF29" s="767">
        <f t="shared" si="36"/>
        <v>2.3913043478260839E-2</v>
      </c>
      <c r="BG29" s="762"/>
      <c r="BH29" s="771">
        <f t="shared" ref="BH29:BP29" si="37">BH208*(1+$C$193)</f>
        <v>9.9999999999999922E-2</v>
      </c>
      <c r="BI29" s="771">
        <f t="shared" si="37"/>
        <v>0.20714285714285738</v>
      </c>
      <c r="BJ29" s="771">
        <f t="shared" si="37"/>
        <v>0.35000000000000026</v>
      </c>
      <c r="BK29" s="771">
        <f t="shared" si="37"/>
        <v>3.8461538461540988E-3</v>
      </c>
      <c r="BL29" s="771">
        <f t="shared" si="37"/>
        <v>0.25000000000000006</v>
      </c>
      <c r="BM29" s="771">
        <f t="shared" si="37"/>
        <v>0.31666666666666676</v>
      </c>
      <c r="BN29" s="754">
        <f t="shared" si="37"/>
        <v>0</v>
      </c>
      <c r="BO29" s="754">
        <f t="shared" si="37"/>
        <v>0</v>
      </c>
      <c r="BP29" s="754">
        <f t="shared" si="37"/>
        <v>0</v>
      </c>
      <c r="BQ29" s="762"/>
      <c r="BR29" s="763"/>
      <c r="BS29" s="773"/>
      <c r="BT29" s="773"/>
      <c r="BU29" s="760"/>
      <c r="BV29" s="760"/>
      <c r="BW29" s="760"/>
      <c r="BX29" s="760"/>
      <c r="BY29" s="762"/>
      <c r="BZ29" s="806"/>
      <c r="CA29" s="806"/>
      <c r="CB29" s="806"/>
      <c r="CC29" s="806"/>
      <c r="CD29" s="806"/>
      <c r="CE29" s="806"/>
      <c r="CF29" s="806"/>
      <c r="CG29" s="806"/>
      <c r="CH29" s="806">
        <f t="shared" ref="CH29:DC29" si="38">CH155</f>
        <v>1397.25</v>
      </c>
      <c r="CI29" s="806">
        <f t="shared" si="38"/>
        <v>1474.8749999999998</v>
      </c>
      <c r="CJ29" s="806">
        <f t="shared" si="38"/>
        <v>1552.4999999999998</v>
      </c>
      <c r="CK29" s="806">
        <f t="shared" si="38"/>
        <v>1397.25</v>
      </c>
      <c r="CL29" s="806">
        <f t="shared" si="38"/>
        <v>1474.8749999999998</v>
      </c>
      <c r="CM29" s="806">
        <f t="shared" si="38"/>
        <v>1552.4999999999998</v>
      </c>
      <c r="CN29" s="806">
        <f t="shared" si="38"/>
        <v>0</v>
      </c>
      <c r="CO29" s="806">
        <f t="shared" si="38"/>
        <v>1696.2499999999998</v>
      </c>
      <c r="CP29" s="806">
        <f t="shared" si="38"/>
        <v>1831.9499999999998</v>
      </c>
      <c r="CQ29" s="806">
        <f t="shared" si="38"/>
        <v>1899.8</v>
      </c>
      <c r="CR29" s="806">
        <f t="shared" si="38"/>
        <v>1967.6499999999999</v>
      </c>
      <c r="CS29" s="806">
        <f t="shared" si="38"/>
        <v>1831.9499999999998</v>
      </c>
      <c r="CT29" s="806">
        <f t="shared" si="38"/>
        <v>1899.8</v>
      </c>
      <c r="CU29" s="806">
        <f t="shared" si="38"/>
        <v>1967.6499999999999</v>
      </c>
      <c r="CV29" s="806">
        <f t="shared" si="38"/>
        <v>2103.35</v>
      </c>
      <c r="CW29" s="806">
        <f t="shared" si="38"/>
        <v>2173.5</v>
      </c>
      <c r="CX29" s="806">
        <f t="shared" si="38"/>
        <v>2251.125</v>
      </c>
      <c r="CY29" s="806">
        <f t="shared" si="38"/>
        <v>2406.375</v>
      </c>
      <c r="CZ29" s="806">
        <f t="shared" si="38"/>
        <v>2173.5</v>
      </c>
      <c r="DA29" s="806">
        <f t="shared" si="38"/>
        <v>2251.125</v>
      </c>
      <c r="DB29" s="806">
        <f t="shared" si="38"/>
        <v>2406.375</v>
      </c>
      <c r="DC29" s="806">
        <f t="shared" si="38"/>
        <v>0</v>
      </c>
      <c r="DD29" s="762"/>
      <c r="DE29" s="752"/>
      <c r="DF29" s="752"/>
      <c r="DG29" s="752"/>
      <c r="DH29" s="752"/>
      <c r="DI29" s="752"/>
      <c r="DJ29" s="752"/>
      <c r="DK29" s="775"/>
      <c r="DL29" s="752"/>
      <c r="DM29" s="752"/>
      <c r="DN29" s="752"/>
      <c r="DO29" s="752"/>
      <c r="DP29" s="752"/>
      <c r="DQ29" s="752"/>
      <c r="DR29" s="752"/>
      <c r="DS29" s="776"/>
      <c r="DT29" s="759"/>
      <c r="DU29" s="760"/>
      <c r="DV29" s="760"/>
      <c r="DW29" s="2952"/>
      <c r="DX29" s="760"/>
      <c r="DY29" s="760"/>
      <c r="DZ29" s="3378"/>
      <c r="EA29" s="3374"/>
      <c r="EB29" s="812"/>
      <c r="EC29" s="2960"/>
      <c r="ED29" s="2960"/>
      <c r="EE29" s="811"/>
      <c r="EF29" s="812"/>
      <c r="EG29" s="811"/>
      <c r="EH29" s="812"/>
      <c r="EI29" s="811"/>
      <c r="EJ29" s="812"/>
      <c r="EK29" s="2799"/>
      <c r="EL29" s="2799"/>
      <c r="EM29" s="2799"/>
    </row>
    <row r="30" spans="1:144" s="761" customFormat="1" ht="15.75" hidden="1" customHeight="1" outlineLevel="2">
      <c r="A30" s="3522" t="s">
        <v>360</v>
      </c>
      <c r="B30" s="1720" t="s">
        <v>1741</v>
      </c>
      <c r="C30" s="2793">
        <v>0.64</v>
      </c>
      <c r="D30" s="1797"/>
      <c r="E30" s="1797"/>
      <c r="F30" s="1798"/>
      <c r="G30" s="1799"/>
      <c r="H30" s="1800"/>
      <c r="I30" s="1801"/>
      <c r="J30" s="1802"/>
      <c r="K30" s="1803"/>
      <c r="L30" s="1803"/>
      <c r="M30" s="753"/>
      <c r="N30" s="1804"/>
      <c r="O30" s="1804"/>
      <c r="P30" s="2656">
        <f>M30</f>
        <v>0</v>
      </c>
      <c r="Q30" s="1782"/>
      <c r="R30" s="1798"/>
      <c r="S30" s="1798"/>
      <c r="T30" s="2676">
        <f>CEILING(T32*C30,50)</f>
        <v>700</v>
      </c>
      <c r="U30" s="1807"/>
      <c r="V30" s="1807"/>
      <c r="W30" s="1807"/>
      <c r="X30" s="2642"/>
      <c r="Y30" s="1807"/>
      <c r="Z30" s="1807"/>
      <c r="AA30" s="1807"/>
      <c r="AB30" s="1807"/>
      <c r="AC30" s="1807"/>
      <c r="AD30" s="1798"/>
      <c r="AE30" s="1798"/>
      <c r="AF30" s="1798"/>
      <c r="AG30" s="1799"/>
      <c r="AH30" s="2665"/>
      <c r="AI30" s="2665"/>
      <c r="AJ30" s="1800"/>
      <c r="AK30" s="1808"/>
      <c r="AL30" s="1808"/>
      <c r="AM30" s="1809"/>
      <c r="AN30" s="1809"/>
      <c r="AO30" s="1782"/>
      <c r="AP30" s="1798"/>
      <c r="AQ30" s="1798"/>
      <c r="AR30" s="1807"/>
      <c r="AS30" s="1807"/>
      <c r="AT30" s="1807"/>
      <c r="AU30" s="1807"/>
      <c r="AV30" s="2664"/>
      <c r="AW30" s="1808"/>
      <c r="AX30" s="1809"/>
      <c r="AY30" s="1809"/>
      <c r="AZ30" s="1809"/>
      <c r="BA30" s="1809"/>
      <c r="BB30" s="1809"/>
      <c r="BC30" s="1807"/>
      <c r="BD30" s="1807"/>
      <c r="BE30" s="1810"/>
      <c r="BF30" s="1805"/>
      <c r="BG30" s="1782"/>
      <c r="BH30" s="1811"/>
      <c r="BI30" s="1811"/>
      <c r="BJ30" s="1811"/>
      <c r="BK30" s="1811"/>
      <c r="BL30" s="1811"/>
      <c r="BM30" s="1811"/>
      <c r="BN30" s="1808"/>
      <c r="BO30" s="1808"/>
      <c r="BP30" s="1808"/>
      <c r="BQ30" s="3524">
        <f>CEILING($BQ$33*C30,50)</f>
        <v>1000</v>
      </c>
      <c r="BR30" s="1797"/>
      <c r="BS30" s="1812"/>
      <c r="BT30" s="1812"/>
      <c r="BU30" s="1813"/>
      <c r="BV30" s="1813"/>
      <c r="BW30" s="1813"/>
      <c r="BX30" s="1813"/>
      <c r="BY30" s="2813">
        <f>CEILING($BY$33*C30,50)</f>
        <v>850</v>
      </c>
      <c r="BZ30" s="806">
        <f t="shared" ref="BZ30:DC30" si="39">BZ156</f>
        <v>0</v>
      </c>
      <c r="CA30" s="806">
        <f t="shared" si="39"/>
        <v>0</v>
      </c>
      <c r="CB30" s="806">
        <f t="shared" si="39"/>
        <v>0</v>
      </c>
      <c r="CC30" s="806">
        <f t="shared" si="39"/>
        <v>0</v>
      </c>
      <c r="CD30" s="806">
        <f t="shared" si="39"/>
        <v>0</v>
      </c>
      <c r="CE30" s="806">
        <f t="shared" si="39"/>
        <v>0</v>
      </c>
      <c r="CF30" s="806">
        <f t="shared" si="39"/>
        <v>0</v>
      </c>
      <c r="CG30" s="806">
        <f t="shared" si="39"/>
        <v>0</v>
      </c>
      <c r="CH30" s="806">
        <f t="shared" si="39"/>
        <v>0</v>
      </c>
      <c r="CI30" s="806">
        <f t="shared" si="39"/>
        <v>0</v>
      </c>
      <c r="CJ30" s="806">
        <f t="shared" si="39"/>
        <v>0</v>
      </c>
      <c r="CK30" s="806">
        <f t="shared" si="39"/>
        <v>0</v>
      </c>
      <c r="CL30" s="806">
        <f t="shared" si="39"/>
        <v>0</v>
      </c>
      <c r="CM30" s="806">
        <f t="shared" si="39"/>
        <v>0</v>
      </c>
      <c r="CN30" s="806">
        <f t="shared" si="39"/>
        <v>0</v>
      </c>
      <c r="CO30" s="806">
        <f t="shared" si="39"/>
        <v>0</v>
      </c>
      <c r="CP30" s="806">
        <f t="shared" si="39"/>
        <v>0</v>
      </c>
      <c r="CQ30" s="806">
        <f t="shared" si="39"/>
        <v>0</v>
      </c>
      <c r="CR30" s="806">
        <f t="shared" si="39"/>
        <v>0</v>
      </c>
      <c r="CS30" s="806">
        <f t="shared" si="39"/>
        <v>0</v>
      </c>
      <c r="CT30" s="806">
        <f t="shared" si="39"/>
        <v>0</v>
      </c>
      <c r="CU30" s="806">
        <f t="shared" si="39"/>
        <v>0</v>
      </c>
      <c r="CV30" s="806">
        <f t="shared" si="39"/>
        <v>0</v>
      </c>
      <c r="CW30" s="806">
        <f t="shared" si="39"/>
        <v>0</v>
      </c>
      <c r="CX30" s="806">
        <f t="shared" si="39"/>
        <v>0</v>
      </c>
      <c r="CY30" s="806">
        <f t="shared" si="39"/>
        <v>0</v>
      </c>
      <c r="CZ30" s="806">
        <f t="shared" si="39"/>
        <v>0</v>
      </c>
      <c r="DA30" s="806">
        <f t="shared" si="39"/>
        <v>0</v>
      </c>
      <c r="DB30" s="806">
        <f t="shared" si="39"/>
        <v>0</v>
      </c>
      <c r="DC30" s="806">
        <f t="shared" si="39"/>
        <v>0</v>
      </c>
      <c r="DD30" s="1782"/>
      <c r="DE30" s="1819"/>
      <c r="DF30" s="1819"/>
      <c r="DG30" s="1819"/>
      <c r="DH30" s="1819"/>
      <c r="DI30" s="1819"/>
      <c r="DJ30" s="1819"/>
      <c r="DK30" s="1820"/>
      <c r="DL30" s="1819"/>
      <c r="DM30" s="1819"/>
      <c r="DN30" s="1819"/>
      <c r="DO30" s="1819"/>
      <c r="DP30" s="1819"/>
      <c r="DQ30" s="1819"/>
      <c r="DR30" s="1819"/>
      <c r="DS30" s="1821"/>
      <c r="DT30" s="1810"/>
      <c r="DU30" s="1813"/>
      <c r="DV30" s="1813"/>
      <c r="DW30" s="2952"/>
      <c r="DX30" s="1813"/>
      <c r="DY30" s="1813"/>
      <c r="DZ30" s="3378"/>
      <c r="EA30" s="3374"/>
      <c r="EB30" s="1822"/>
      <c r="EC30" s="2960"/>
      <c r="ED30" s="2960"/>
      <c r="EE30" s="1758"/>
      <c r="EF30" s="1822"/>
      <c r="EG30" s="1758"/>
      <c r="EH30" s="1822"/>
      <c r="EI30" s="1758"/>
      <c r="EJ30" s="1822"/>
      <c r="EK30" s="2799"/>
      <c r="EL30" s="2799"/>
      <c r="EM30" s="2799"/>
      <c r="EN30" s="761">
        <f>E30*1.05</f>
        <v>0</v>
      </c>
    </row>
    <row r="31" spans="1:144" s="761" customFormat="1" ht="15.75" hidden="1" customHeight="1" outlineLevel="2">
      <c r="A31" s="5117" t="s">
        <v>206</v>
      </c>
      <c r="B31" s="1720" t="s">
        <v>391</v>
      </c>
      <c r="C31" s="2793">
        <v>0.65</v>
      </c>
      <c r="D31" s="763"/>
      <c r="E31" s="763">
        <f>CEILING(E33*$C$31, 50)</f>
        <v>1550</v>
      </c>
      <c r="F31" s="764"/>
      <c r="G31" s="2991">
        <f>CEILING(G33*$C$31, 50)</f>
        <v>1550</v>
      </c>
      <c r="H31" s="766"/>
      <c r="I31" s="781"/>
      <c r="J31" s="1174">
        <f>E31</f>
        <v>1550</v>
      </c>
      <c r="K31" s="2657">
        <f>CEILING($K$33*C31, 50)</f>
        <v>3150</v>
      </c>
      <c r="L31" s="2657">
        <f>CEILING($L$33*C31, 50)</f>
        <v>2950</v>
      </c>
      <c r="M31" s="753"/>
      <c r="N31" s="753"/>
      <c r="O31" s="753"/>
      <c r="P31" s="767"/>
      <c r="Q31" s="2676">
        <f>CEILING(Q33*C31,50)</f>
        <v>2600</v>
      </c>
      <c r="R31" s="764"/>
      <c r="S31" s="764"/>
      <c r="T31" s="2676">
        <f>CEILING(T33*C31,50)</f>
        <v>850</v>
      </c>
      <c r="U31" s="2676">
        <f>CEILING(U33*C31,50)</f>
        <v>1000</v>
      </c>
      <c r="V31" s="2676">
        <f>CEILING(V33*C31,50)</f>
        <v>1000</v>
      </c>
      <c r="W31" s="2676">
        <f>CEILING(W33*C31,50)</f>
        <v>1100</v>
      </c>
      <c r="X31" s="2996">
        <f>CEILING(X33*C31,50)</f>
        <v>1350</v>
      </c>
      <c r="Y31" s="1807"/>
      <c r="Z31" s="1807"/>
      <c r="AA31" s="1807"/>
      <c r="AB31" s="769"/>
      <c r="AC31" s="769">
        <v>1150</v>
      </c>
      <c r="AD31" s="764"/>
      <c r="AE31" s="770"/>
      <c r="AF31" s="764"/>
      <c r="AG31" s="2997">
        <f>CEILING(AG33*C31,50)</f>
        <v>950</v>
      </c>
      <c r="AH31" s="2997">
        <f>CEILING(AH33*C31,50)</f>
        <v>1450</v>
      </c>
      <c r="AI31" s="2665"/>
      <c r="AJ31" s="2991">
        <f>CEILING($AJ$33*C31, 50)</f>
        <v>950</v>
      </c>
      <c r="AK31" s="754"/>
      <c r="AL31" s="754"/>
      <c r="AM31" s="757"/>
      <c r="AN31" s="757">
        <v>700</v>
      </c>
      <c r="AO31" s="762"/>
      <c r="AP31" s="764"/>
      <c r="AQ31" s="764"/>
      <c r="AR31" s="2676">
        <f>CEILING(AR33*C31,50)</f>
        <v>850</v>
      </c>
      <c r="AS31" s="769">
        <f>CEILING(AS33*C31,50)</f>
        <v>1350</v>
      </c>
      <c r="AT31" s="2676">
        <f t="shared" ref="AT31:AT37" si="40">CEILING(AR31/10,10)</f>
        <v>90</v>
      </c>
      <c r="AU31" s="2676">
        <f>CEILING($AU$33*C31,10)</f>
        <v>150</v>
      </c>
      <c r="AV31" s="2676">
        <f>CEILING(AV33*C31,50)</f>
        <v>1350</v>
      </c>
      <c r="AW31" s="754"/>
      <c r="AX31" s="757">
        <v>700</v>
      </c>
      <c r="AY31" s="757">
        <v>950</v>
      </c>
      <c r="AZ31" s="757">
        <v>1150</v>
      </c>
      <c r="BA31" s="757">
        <v>1250</v>
      </c>
      <c r="BB31" s="757">
        <v>1600</v>
      </c>
      <c r="BC31" s="764">
        <f>BC33</f>
        <v>120</v>
      </c>
      <c r="BD31" s="2676">
        <f>CEILING(BD32*C31,10)</f>
        <v>390</v>
      </c>
      <c r="BE31" s="2676">
        <f>CEILING(BE33*C31,50)</f>
        <v>550</v>
      </c>
      <c r="BF31" s="2676">
        <f>CEILING(BF33*C31,50)</f>
        <v>1350</v>
      </c>
      <c r="BG31" s="2676">
        <f>CEILING($BG$33*C31,50)</f>
        <v>400</v>
      </c>
      <c r="BH31" s="2700">
        <f>CEILING(BH33*C31, 50)</f>
        <v>750</v>
      </c>
      <c r="BI31" s="2676">
        <f>CEILING($BI$33*C31,50)</f>
        <v>950</v>
      </c>
      <c r="BJ31" s="2676">
        <f>CEILING($BJ$33*C31,50)</f>
        <v>1050</v>
      </c>
      <c r="BK31" s="2676">
        <f>CEILING($BK$33*C31,50)</f>
        <v>750</v>
      </c>
      <c r="BL31" s="2676">
        <f>CEILING($BL$33*C31,50)</f>
        <v>1050</v>
      </c>
      <c r="BM31" s="2676">
        <f>CEILING($BM$33*C31,50)</f>
        <v>1100</v>
      </c>
      <c r="BN31" s="754"/>
      <c r="BO31" s="754"/>
      <c r="BP31" s="754"/>
      <c r="BQ31" s="3524"/>
      <c r="BR31" s="2794">
        <f>CEILING($BR$33*C31,50)</f>
        <v>1500</v>
      </c>
      <c r="BS31" s="777">
        <f>CEILING($BS$33*C31,50)</f>
        <v>1700</v>
      </c>
      <c r="BT31" s="777">
        <f>CEILING($BT$33*C31,50)</f>
        <v>2450</v>
      </c>
      <c r="BU31" s="760"/>
      <c r="BV31" s="760"/>
      <c r="BW31" s="760"/>
      <c r="BX31" s="760"/>
      <c r="BY31" s="2813"/>
      <c r="BZ31" s="806">
        <f>CEILING($BZ$33*C31,50)</f>
        <v>700</v>
      </c>
      <c r="CA31" s="806">
        <f>CEILING($CA$33*C31,50)</f>
        <v>750</v>
      </c>
      <c r="CB31" s="806">
        <f>CEILING($CB$33*C31,50)</f>
        <v>800</v>
      </c>
      <c r="CC31" s="806">
        <f>CEILING($CC$33*C31,50)</f>
        <v>850</v>
      </c>
      <c r="CD31" s="806">
        <f>CEILING($CD$33*$C$35,50)</f>
        <v>1300</v>
      </c>
      <c r="CE31" s="806">
        <f>CEILING($CE$33*$C$35,50)</f>
        <v>1350</v>
      </c>
      <c r="CF31" s="806">
        <f>CEILING($CF$33*$C$35,50)</f>
        <v>1450</v>
      </c>
      <c r="CG31" s="806">
        <f>CEILING($CG$33*$C$35,50)</f>
        <v>1500</v>
      </c>
      <c r="CH31" s="755"/>
      <c r="CI31" s="755"/>
      <c r="CJ31" s="755"/>
      <c r="CK31" s="806"/>
      <c r="CL31" s="806"/>
      <c r="CM31" s="806"/>
      <c r="CN31" s="806">
        <f>CN157</f>
        <v>0</v>
      </c>
      <c r="CO31" s="806"/>
      <c r="CP31" s="806"/>
      <c r="CQ31" s="806"/>
      <c r="CR31" s="806"/>
      <c r="CS31" s="806">
        <f t="shared" ref="CS31:DC31" si="41">CS157</f>
        <v>800</v>
      </c>
      <c r="CT31" s="806">
        <f t="shared" si="41"/>
        <v>900</v>
      </c>
      <c r="CU31" s="806">
        <f t="shared" si="41"/>
        <v>900</v>
      </c>
      <c r="CV31" s="806">
        <f t="shared" si="41"/>
        <v>1000</v>
      </c>
      <c r="CW31" s="806">
        <f t="shared" si="41"/>
        <v>0</v>
      </c>
      <c r="CX31" s="806">
        <f t="shared" si="41"/>
        <v>0</v>
      </c>
      <c r="CY31" s="806">
        <f t="shared" si="41"/>
        <v>0</v>
      </c>
      <c r="CZ31" s="806">
        <f t="shared" si="41"/>
        <v>900</v>
      </c>
      <c r="DA31" s="806">
        <f t="shared" si="41"/>
        <v>900</v>
      </c>
      <c r="DB31" s="806">
        <f t="shared" si="41"/>
        <v>1000</v>
      </c>
      <c r="DC31" s="806">
        <f t="shared" si="41"/>
        <v>0</v>
      </c>
      <c r="DD31" s="762"/>
      <c r="DE31" s="2795"/>
      <c r="DF31" s="752">
        <f>DF157</f>
        <v>3450</v>
      </c>
      <c r="DG31" s="752">
        <f>DG157</f>
        <v>3300</v>
      </c>
      <c r="DH31" s="752">
        <f>DH157</f>
        <v>4000</v>
      </c>
      <c r="DI31" s="752">
        <f>DI157</f>
        <v>0</v>
      </c>
      <c r="DJ31" s="752">
        <f>DJ157</f>
        <v>0</v>
      </c>
      <c r="DK31" s="2794"/>
      <c r="DL31" s="2795"/>
      <c r="DM31" s="752"/>
      <c r="DN31" s="752"/>
      <c r="DO31" s="752"/>
      <c r="DP31" s="2795"/>
      <c r="DQ31" s="2795"/>
      <c r="DR31" s="2795"/>
      <c r="DS31" s="776"/>
      <c r="DT31" s="1970">
        <f>CEILING(EB33*C31,50)</f>
        <v>9650</v>
      </c>
      <c r="DU31" s="1813"/>
      <c r="DV31" s="760"/>
      <c r="DW31" s="2952"/>
      <c r="DX31" s="1813"/>
      <c r="DY31" s="760"/>
      <c r="DZ31" s="3378">
        <f>DZ33</f>
        <v>1900</v>
      </c>
      <c r="EA31" s="3374">
        <f>'Полотна база'!G52</f>
        <v>13750</v>
      </c>
      <c r="EB31" s="812">
        <f>(EA31/1.6)*$EB$26</f>
        <v>9625.0000000000018</v>
      </c>
      <c r="EC31" s="2960"/>
      <c r="ED31" s="2960"/>
      <c r="EE31" s="811"/>
      <c r="EF31" s="812"/>
      <c r="EG31" s="811"/>
      <c r="EH31" s="812"/>
      <c r="EI31" s="811"/>
      <c r="EJ31" s="812"/>
      <c r="EK31" s="2799"/>
      <c r="EL31" s="2799"/>
      <c r="EM31" s="2799"/>
      <c r="EN31" s="761">
        <f>E31*1.05</f>
        <v>1627.5</v>
      </c>
    </row>
    <row r="32" spans="1:144" s="761" customFormat="1" ht="15.75" hidden="1" customHeight="1" outlineLevel="2">
      <c r="A32" s="5118"/>
      <c r="B32" s="2804" t="s">
        <v>2700</v>
      </c>
      <c r="C32" s="2793">
        <v>0.77</v>
      </c>
      <c r="D32" s="2805"/>
      <c r="E32" s="763">
        <f>CEILING(E33*$C$32, 50)</f>
        <v>1850</v>
      </c>
      <c r="F32" s="2806"/>
      <c r="G32" s="2991">
        <f>CEILING(G33*$C$32, 50)</f>
        <v>1850</v>
      </c>
      <c r="H32" s="2808"/>
      <c r="I32" s="2809"/>
      <c r="J32" s="1174">
        <f>E32</f>
        <v>1850</v>
      </c>
      <c r="K32" s="2657">
        <f>CEILING($K$33*C32, 50)</f>
        <v>3700</v>
      </c>
      <c r="L32" s="2657">
        <f>CEILING($L$33*C32, 50)</f>
        <v>3500</v>
      </c>
      <c r="M32" s="2811"/>
      <c r="N32" s="2811"/>
      <c r="O32" s="2811"/>
      <c r="P32" s="2812"/>
      <c r="Q32" s="2676">
        <f>CEILING(Q33*C32,50)</f>
        <v>3100</v>
      </c>
      <c r="R32" s="2806"/>
      <c r="S32" s="2806"/>
      <c r="T32" s="2676">
        <f>CEILING(T33*C32,50)</f>
        <v>1050</v>
      </c>
      <c r="U32" s="2676">
        <f>CEILING(U33*C32,50)</f>
        <v>1200</v>
      </c>
      <c r="V32" s="2676">
        <f>CEILING(V33*C32,50)</f>
        <v>1200</v>
      </c>
      <c r="W32" s="2676">
        <f>CEILING(W33*C32,50)</f>
        <v>1300</v>
      </c>
      <c r="X32" s="2996">
        <f>CEILING(X33*C32,50)</f>
        <v>1600</v>
      </c>
      <c r="Y32" s="2826"/>
      <c r="Z32" s="2826"/>
      <c r="AA32" s="2826"/>
      <c r="AB32" s="2814"/>
      <c r="AC32" s="2814"/>
      <c r="AD32" s="2806"/>
      <c r="AE32" s="2806"/>
      <c r="AF32" s="2806"/>
      <c r="AG32" s="2997">
        <f>CEILING(AG33*C32,50)</f>
        <v>1100</v>
      </c>
      <c r="AH32" s="2997">
        <f>CEILING(AH33*C32,50)</f>
        <v>1700</v>
      </c>
      <c r="AI32" s="2807"/>
      <c r="AJ32" s="2991">
        <f>CEILING($AJ$33*C32, 50)</f>
        <v>1100</v>
      </c>
      <c r="AK32" s="2827"/>
      <c r="AL32" s="2827"/>
      <c r="AM32" s="2816"/>
      <c r="AN32" s="2816"/>
      <c r="AO32" s="2813"/>
      <c r="AP32" s="2806"/>
      <c r="AQ32" s="2806"/>
      <c r="AR32" s="2676">
        <f>CEILING(AR33*C32,50)</f>
        <v>1050</v>
      </c>
      <c r="AS32" s="769">
        <f>CEILING(AS34*C32-50,50)</f>
        <v>1650</v>
      </c>
      <c r="AT32" s="2676">
        <f t="shared" si="40"/>
        <v>110</v>
      </c>
      <c r="AU32" s="2676">
        <f>CEILING($AU$33*C32,10)</f>
        <v>180</v>
      </c>
      <c r="AV32" s="2676">
        <f>CEILING(AV33*C32,50)</f>
        <v>1600</v>
      </c>
      <c r="AW32" s="2827"/>
      <c r="AX32" s="2816"/>
      <c r="AY32" s="2816"/>
      <c r="AZ32" s="2816"/>
      <c r="BA32" s="2816"/>
      <c r="BB32" s="2816"/>
      <c r="BC32" s="764">
        <f>BC33</f>
        <v>120</v>
      </c>
      <c r="BD32" s="2676">
        <f>CEILING(BD33*C32,50)</f>
        <v>600</v>
      </c>
      <c r="BE32" s="2676">
        <f>CEILING(BE33*C32,50)</f>
        <v>600</v>
      </c>
      <c r="BF32" s="2676">
        <f>CEILING(BF33*C32,50)</f>
        <v>1600</v>
      </c>
      <c r="BG32" s="2676">
        <f>CEILING($BG$33*C32,50)</f>
        <v>450</v>
      </c>
      <c r="BH32" s="2700">
        <f>CEILING(BH33*C32, 50)</f>
        <v>850</v>
      </c>
      <c r="BI32" s="2676">
        <f>CEILING($BI$33*C32,50)</f>
        <v>1150</v>
      </c>
      <c r="BJ32" s="2676">
        <f>CEILING($BJ$33*C32,50)</f>
        <v>1200</v>
      </c>
      <c r="BK32" s="2676">
        <f>CEILING($BK$33*C32,50)</f>
        <v>900</v>
      </c>
      <c r="BL32" s="2676">
        <f>CEILING($BL$33*C32,50)</f>
        <v>1200</v>
      </c>
      <c r="BM32" s="2676">
        <f>CEILING($BM$33*C32,50)</f>
        <v>1300</v>
      </c>
      <c r="BN32" s="2815"/>
      <c r="BO32" s="2815"/>
      <c r="BP32" s="2815"/>
      <c r="BQ32" s="3524"/>
      <c r="BR32" s="2794">
        <f>CEILING($BR$33*C32,50)</f>
        <v>1750</v>
      </c>
      <c r="BS32" s="777">
        <f>CEILING($BS$33*C32,50)</f>
        <v>2000</v>
      </c>
      <c r="BT32" s="777">
        <f>CEILING($BT$33*C32,50)</f>
        <v>2850</v>
      </c>
      <c r="BU32" s="2818"/>
      <c r="BV32" s="2818"/>
      <c r="BW32" s="2818"/>
      <c r="BX32" s="2818"/>
      <c r="BY32" s="2813"/>
      <c r="BZ32" s="2819">
        <f>CEILING($BZ$33*C32,50)</f>
        <v>850</v>
      </c>
      <c r="CA32" s="2819">
        <f>CEILING($CA$33*C32,50)</f>
        <v>900</v>
      </c>
      <c r="CB32" s="2819">
        <f>CEILING($CB$33*C32,50)</f>
        <v>900</v>
      </c>
      <c r="CC32" s="2819">
        <f>CEILING($CC$33*C32,50)</f>
        <v>1000</v>
      </c>
      <c r="CD32" s="2819"/>
      <c r="CE32" s="2819"/>
      <c r="CF32" s="2819"/>
      <c r="CG32" s="2819"/>
      <c r="CH32" s="2820"/>
      <c r="CI32" s="2820"/>
      <c r="CJ32" s="2820"/>
      <c r="CK32" s="2819"/>
      <c r="CL32" s="2819"/>
      <c r="CM32" s="2819"/>
      <c r="CN32" s="2819"/>
      <c r="CO32" s="2819"/>
      <c r="CP32" s="2819"/>
      <c r="CQ32" s="2819"/>
      <c r="CR32" s="2819"/>
      <c r="CS32" s="2819"/>
      <c r="CT32" s="2819"/>
      <c r="CU32" s="2819"/>
      <c r="CV32" s="2819"/>
      <c r="CW32" s="2819"/>
      <c r="CX32" s="2819"/>
      <c r="CY32" s="2819"/>
      <c r="CZ32" s="2819"/>
      <c r="DA32" s="2819"/>
      <c r="DB32" s="2819"/>
      <c r="DC32" s="2819"/>
      <c r="DD32" s="2813"/>
      <c r="DE32" s="2821"/>
      <c r="DF32" s="2822"/>
      <c r="DG32" s="2822"/>
      <c r="DH32" s="2822"/>
      <c r="DI32" s="2821"/>
      <c r="DJ32" s="2822"/>
      <c r="DK32" s="2817"/>
      <c r="DL32" s="2821"/>
      <c r="DM32" s="2822"/>
      <c r="DN32" s="2822"/>
      <c r="DO32" s="2822"/>
      <c r="DP32" s="2821"/>
      <c r="DQ32" s="2821"/>
      <c r="DR32" s="2821"/>
      <c r="DS32" s="2823"/>
      <c r="DT32" s="1970">
        <f>CEILING(DT33*C32,50)</f>
        <v>9150</v>
      </c>
      <c r="DU32" s="2825"/>
      <c r="DV32" s="2825"/>
      <c r="DW32" s="2952"/>
      <c r="DX32" s="2825"/>
      <c r="DY32" s="2825"/>
      <c r="DZ32" s="3378">
        <f>DZ33</f>
        <v>1900</v>
      </c>
      <c r="EA32" s="3374"/>
      <c r="EB32" s="2800"/>
      <c r="EC32" s="2960"/>
      <c r="ED32" s="2960"/>
      <c r="EE32" s="2799"/>
      <c r="EF32" s="2800"/>
      <c r="EG32" s="2799"/>
      <c r="EH32" s="2800"/>
      <c r="EI32" s="2799"/>
      <c r="EJ32" s="2800"/>
      <c r="EK32" s="2799"/>
      <c r="EL32" s="2799"/>
      <c r="EM32" s="2799"/>
    </row>
    <row r="33" spans="1:145" s="3954" customFormat="1" ht="15.75" hidden="1" outlineLevel="2">
      <c r="A33" s="3955" t="s">
        <v>30</v>
      </c>
      <c r="B33" s="3956" t="s">
        <v>284</v>
      </c>
      <c r="C33" s="3957">
        <v>1</v>
      </c>
      <c r="D33" s="763"/>
      <c r="E33" s="763">
        <f>D42</f>
        <v>2350</v>
      </c>
      <c r="F33" s="2675"/>
      <c r="G33" s="3950">
        <f>E42</f>
        <v>2350</v>
      </c>
      <c r="H33" s="3950">
        <f>F42</f>
        <v>2600</v>
      </c>
      <c r="I33" s="3958">
        <f>E33</f>
        <v>2350</v>
      </c>
      <c r="J33" s="3959">
        <f>E33</f>
        <v>2350</v>
      </c>
      <c r="K33" s="3960">
        <f>G42</f>
        <v>4800</v>
      </c>
      <c r="L33" s="3960">
        <f>I42</f>
        <v>4500</v>
      </c>
      <c r="M33" s="3961"/>
      <c r="N33" s="3961"/>
      <c r="O33" s="3961"/>
      <c r="P33" s="3961"/>
      <c r="Q33" s="2675">
        <f>H42</f>
        <v>4000</v>
      </c>
      <c r="R33" s="763"/>
      <c r="S33" s="2675">
        <f>V33</f>
        <v>1500</v>
      </c>
      <c r="T33" s="763">
        <f>K42</f>
        <v>1300</v>
      </c>
      <c r="U33" s="2675">
        <f>L42</f>
        <v>1500</v>
      </c>
      <c r="V33" s="2675">
        <f>M42</f>
        <v>1500</v>
      </c>
      <c r="W33" s="2675">
        <f>N42</f>
        <v>1650</v>
      </c>
      <c r="X33" s="3962">
        <f>O42</f>
        <v>2050</v>
      </c>
      <c r="Y33" s="2722">
        <f>AB42</f>
        <v>3450</v>
      </c>
      <c r="Z33" s="2722">
        <f>V42</f>
        <v>1700</v>
      </c>
      <c r="AA33" s="2722">
        <f>W42</f>
        <v>2050</v>
      </c>
      <c r="AB33" s="2675">
        <f>AC33</f>
        <v>2300</v>
      </c>
      <c r="AC33" s="2675">
        <f>Y42</f>
        <v>2300</v>
      </c>
      <c r="AD33" s="2675">
        <f>Z42</f>
        <v>2750</v>
      </c>
      <c r="AE33" s="2675">
        <f>AA42</f>
        <v>2950</v>
      </c>
      <c r="AF33" s="2675">
        <f>AC42</f>
        <v>3900</v>
      </c>
      <c r="AG33" s="2677">
        <f>P42</f>
        <v>1400</v>
      </c>
      <c r="AH33" s="2686">
        <f>Q42</f>
        <v>2200</v>
      </c>
      <c r="AI33" s="2686">
        <f>R42</f>
        <v>3450</v>
      </c>
      <c r="AJ33" s="3950">
        <f>AG33</f>
        <v>1400</v>
      </c>
      <c r="AK33" s="3958">
        <f>AC33</f>
        <v>2300</v>
      </c>
      <c r="AL33" s="3958">
        <f>AF33</f>
        <v>3900</v>
      </c>
      <c r="AM33" s="3963">
        <f>S33</f>
        <v>1500</v>
      </c>
      <c r="AN33" s="3963">
        <f>T33</f>
        <v>1300</v>
      </c>
      <c r="AO33" s="3524"/>
      <c r="AP33" s="2675">
        <f>CEILING(R33*$AP$28, 50)</f>
        <v>0</v>
      </c>
      <c r="AQ33" s="763"/>
      <c r="AR33" s="2675">
        <f>BW42</f>
        <v>1300</v>
      </c>
      <c r="AS33" s="2675">
        <f>BX42</f>
        <v>2050</v>
      </c>
      <c r="AT33" s="2675">
        <f t="shared" si="40"/>
        <v>130</v>
      </c>
      <c r="AU33" s="2675">
        <f>CEILING(AT33*1.7,10)</f>
        <v>230</v>
      </c>
      <c r="AV33" s="2722">
        <f>CC42</f>
        <v>2050</v>
      </c>
      <c r="AW33" s="3958">
        <f>CEILING(AU33*AW28*1*5, 5)</f>
        <v>1495</v>
      </c>
      <c r="AX33" s="3963">
        <f>AR33</f>
        <v>1300</v>
      </c>
      <c r="AY33" s="3963">
        <f>CEILING(AX33/75*100, 10)</f>
        <v>1740</v>
      </c>
      <c r="AZ33" s="3963">
        <f>CEILING(AX33/75*120, 10)</f>
        <v>2080</v>
      </c>
      <c r="BA33" s="3963">
        <f>AS33</f>
        <v>2050</v>
      </c>
      <c r="BB33" s="3963">
        <f>CEILING(AX33/75*200*0.85, 10)</f>
        <v>2950</v>
      </c>
      <c r="BC33" s="2675">
        <v>120</v>
      </c>
      <c r="BD33" s="2675">
        <f>T42</f>
        <v>770</v>
      </c>
      <c r="BE33" s="1970">
        <f>BD33</f>
        <v>770</v>
      </c>
      <c r="BF33" s="2675">
        <f>S42</f>
        <v>2050</v>
      </c>
      <c r="BG33" s="3524">
        <v>550</v>
      </c>
      <c r="BH33" s="3523">
        <f>CE42</f>
        <v>1100</v>
      </c>
      <c r="BI33" s="3523">
        <f t="shared" ref="BI33:BP33" si="42">CF42</f>
        <v>1450</v>
      </c>
      <c r="BJ33" s="3523">
        <f t="shared" si="42"/>
        <v>1550</v>
      </c>
      <c r="BK33" s="3523">
        <f t="shared" si="42"/>
        <v>1150</v>
      </c>
      <c r="BL33" s="3523">
        <f t="shared" si="42"/>
        <v>1550</v>
      </c>
      <c r="BM33" s="3523">
        <f t="shared" si="42"/>
        <v>1650</v>
      </c>
      <c r="BN33" s="3523">
        <f t="shared" si="42"/>
        <v>2050</v>
      </c>
      <c r="BO33" s="3523">
        <f t="shared" si="42"/>
        <v>2250</v>
      </c>
      <c r="BP33" s="3523">
        <f t="shared" si="42"/>
        <v>2650</v>
      </c>
      <c r="BQ33" s="3524">
        <f>U33</f>
        <v>1500</v>
      </c>
      <c r="BR33" s="1158">
        <f t="shared" ref="BR33:BX33" si="43">CP42</f>
        <v>2250</v>
      </c>
      <c r="BS33" s="3525">
        <f t="shared" si="43"/>
        <v>2550</v>
      </c>
      <c r="BT33" s="3525">
        <f t="shared" si="43"/>
        <v>3700</v>
      </c>
      <c r="BU33" s="3525">
        <f t="shared" si="43"/>
        <v>850</v>
      </c>
      <c r="BV33" s="3525">
        <f t="shared" si="43"/>
        <v>1000</v>
      </c>
      <c r="BW33" s="3525">
        <f t="shared" si="43"/>
        <v>1300</v>
      </c>
      <c r="BX33" s="3525">
        <f t="shared" si="43"/>
        <v>5600</v>
      </c>
      <c r="BY33" s="3524">
        <f>T33</f>
        <v>1300</v>
      </c>
      <c r="BZ33" s="774">
        <f>AW42</f>
        <v>1050</v>
      </c>
      <c r="CA33" s="774">
        <f t="shared" ref="CA33:CJ33" si="44">AX42</f>
        <v>1110</v>
      </c>
      <c r="CB33" s="774">
        <f t="shared" si="44"/>
        <v>1160</v>
      </c>
      <c r="CC33" s="774">
        <f t="shared" si="44"/>
        <v>1260</v>
      </c>
      <c r="CD33" s="3526">
        <f t="shared" si="44"/>
        <v>1110</v>
      </c>
      <c r="CE33" s="3526">
        <f t="shared" si="44"/>
        <v>1160</v>
      </c>
      <c r="CF33" s="3526">
        <f t="shared" si="44"/>
        <v>1260</v>
      </c>
      <c r="CG33" s="3526">
        <f t="shared" si="44"/>
        <v>1320</v>
      </c>
      <c r="CH33" s="3526">
        <f t="shared" si="44"/>
        <v>1160</v>
      </c>
      <c r="CI33" s="3526">
        <f t="shared" si="44"/>
        <v>1260</v>
      </c>
      <c r="CJ33" s="3526">
        <f t="shared" si="44"/>
        <v>1320</v>
      </c>
      <c r="CK33" s="3526">
        <f>CH33</f>
        <v>1160</v>
      </c>
      <c r="CL33" s="3526">
        <f>CI33</f>
        <v>1260</v>
      </c>
      <c r="CM33" s="3526">
        <f>CJ33</f>
        <v>1320</v>
      </c>
      <c r="CN33" s="3526">
        <f>BH42</f>
        <v>1530</v>
      </c>
      <c r="CO33" s="774">
        <f t="shared" ref="CO33:CY33" si="45">BJ42</f>
        <v>1450</v>
      </c>
      <c r="CP33" s="774">
        <f t="shared" si="45"/>
        <v>1550</v>
      </c>
      <c r="CQ33" s="774">
        <f t="shared" si="45"/>
        <v>1600</v>
      </c>
      <c r="CR33" s="774">
        <f t="shared" si="45"/>
        <v>1650</v>
      </c>
      <c r="CS33" s="774">
        <f t="shared" si="45"/>
        <v>1550</v>
      </c>
      <c r="CT33" s="774">
        <f t="shared" si="45"/>
        <v>1600</v>
      </c>
      <c r="CU33" s="774">
        <f t="shared" si="45"/>
        <v>1650</v>
      </c>
      <c r="CV33" s="774">
        <f t="shared" si="45"/>
        <v>1750</v>
      </c>
      <c r="CW33" s="774">
        <f t="shared" si="45"/>
        <v>1600</v>
      </c>
      <c r="CX33" s="774">
        <f t="shared" si="45"/>
        <v>1650</v>
      </c>
      <c r="CY33" s="774">
        <f t="shared" si="45"/>
        <v>1750</v>
      </c>
      <c r="CZ33" s="774">
        <f>CW33</f>
        <v>1600</v>
      </c>
      <c r="DA33" s="774">
        <f>CX33</f>
        <v>1650</v>
      </c>
      <c r="DB33" s="774">
        <f>CY33</f>
        <v>1750</v>
      </c>
      <c r="DC33" s="774">
        <f>BU42</f>
        <v>2050</v>
      </c>
      <c r="DD33" s="3524"/>
      <c r="DE33" s="3534">
        <f>AF42</f>
        <v>3300</v>
      </c>
      <c r="DF33" s="3534">
        <f>AG42</f>
        <v>3900</v>
      </c>
      <c r="DG33" s="3534">
        <f>AP42</f>
        <v>4200</v>
      </c>
      <c r="DH33" s="3534">
        <f>AS42</f>
        <v>5050</v>
      </c>
      <c r="DI33" s="3534">
        <f>AH42</f>
        <v>4300</v>
      </c>
      <c r="DJ33" s="3534">
        <f>AI42</f>
        <v>5150</v>
      </c>
      <c r="DK33" s="1158">
        <f>AJ42</f>
        <v>5050</v>
      </c>
      <c r="DL33" s="3534">
        <f>AK42</f>
        <v>5150</v>
      </c>
      <c r="DM33" s="3534">
        <f>AL42</f>
        <v>9550</v>
      </c>
      <c r="DN33" s="3534">
        <f>DM33</f>
        <v>9550</v>
      </c>
      <c r="DO33" s="3534">
        <f>DM33</f>
        <v>9550</v>
      </c>
      <c r="DP33" s="3534">
        <f>AN42</f>
        <v>2300</v>
      </c>
      <c r="DQ33" s="3534">
        <f>AQ42</f>
        <v>2800</v>
      </c>
      <c r="DR33" s="3534">
        <f>AU42</f>
        <v>1110</v>
      </c>
      <c r="DS33" s="3964"/>
      <c r="DT33" s="1970">
        <f>CEILING(EB33*$DT$28,50)</f>
        <v>11850</v>
      </c>
      <c r="DU33" s="2824">
        <f>CEILING(EL33*0.8,50)</f>
        <v>17750</v>
      </c>
      <c r="DV33" s="2824">
        <f>CEILING(EM33,50)</f>
        <v>4450</v>
      </c>
      <c r="DW33" s="2673"/>
      <c r="DX33" s="1970">
        <f>CEILING(EF33*$DX$28,50)</f>
        <v>18400</v>
      </c>
      <c r="DY33" s="1970">
        <f>CEILING(EH33*$DY$28,50)</f>
        <v>25850</v>
      </c>
      <c r="DZ33" s="3951">
        <f>CY42</f>
        <v>1900</v>
      </c>
      <c r="EA33" s="3952">
        <f>'Полотна база'!G54</f>
        <v>21100</v>
      </c>
      <c r="EB33" s="3965">
        <f>(EA33/1.6)*$EB$26</f>
        <v>14770.000000000002</v>
      </c>
      <c r="EC33" s="3966"/>
      <c r="ED33" s="3966"/>
      <c r="EE33" s="3965">
        <f>'Полотна база'!V54</f>
        <v>33700</v>
      </c>
      <c r="EF33" s="3965">
        <f>(EE33/1.6)*EF26</f>
        <v>22958.125</v>
      </c>
      <c r="EG33" s="3965">
        <f>'Полотна база'!AP54</f>
        <v>47350</v>
      </c>
      <c r="EH33" s="3965">
        <f>(EG33/1.6)*EH26</f>
        <v>32257.187500000004</v>
      </c>
      <c r="EI33" s="3965"/>
      <c r="EJ33" s="3965"/>
      <c r="EK33" s="3953">
        <f>'Полотна база'!AW54</f>
        <v>35450</v>
      </c>
      <c r="EL33" s="3953">
        <f>(EK33/1.6)*$EL$26</f>
        <v>22156.25</v>
      </c>
      <c r="EM33" s="3953">
        <f>(EK33/1.6)*$EM$26</f>
        <v>4431.25</v>
      </c>
      <c r="EN33" s="3954">
        <f>E33*1.05</f>
        <v>2467.5</v>
      </c>
    </row>
    <row r="34" spans="1:145" s="761" customFormat="1" ht="15.75" hidden="1" customHeight="1" outlineLevel="2">
      <c r="A34" s="5117" t="s">
        <v>1019</v>
      </c>
      <c r="B34" s="1720" t="s">
        <v>2587</v>
      </c>
      <c r="C34" s="2793">
        <v>1.05</v>
      </c>
      <c r="D34" s="763"/>
      <c r="E34" s="763">
        <f>CEILING(E33*$C$34, 50)</f>
        <v>2500</v>
      </c>
      <c r="F34" s="769"/>
      <c r="G34" s="2991">
        <f>CEILING($G$33*C34, 50)</f>
        <v>2500</v>
      </c>
      <c r="H34" s="2991">
        <f>CEILING(C34*H33, 50)</f>
        <v>2750</v>
      </c>
      <c r="I34" s="782"/>
      <c r="J34" s="1174">
        <f>E34</f>
        <v>2500</v>
      </c>
      <c r="K34" s="2657">
        <f>CEILING($K$33*C34, 50)</f>
        <v>5050</v>
      </c>
      <c r="L34" s="2657">
        <f>CEILING($L$33*C34, 50)</f>
        <v>4750</v>
      </c>
      <c r="M34" s="753"/>
      <c r="N34" s="753"/>
      <c r="O34" s="753"/>
      <c r="P34" s="753"/>
      <c r="Q34" s="2676">
        <f>CEILING(Q33*C34,50)</f>
        <v>4200</v>
      </c>
      <c r="R34" s="769"/>
      <c r="S34" s="769">
        <f>V34</f>
        <v>1600</v>
      </c>
      <c r="T34" s="2676">
        <f>CEILING(T33*C34,50)</f>
        <v>1400</v>
      </c>
      <c r="U34" s="2676">
        <f>CEILING($U$33*C34,50)</f>
        <v>1600</v>
      </c>
      <c r="V34" s="2676">
        <f>CEILING($V$33*C34,50)</f>
        <v>1600</v>
      </c>
      <c r="W34" s="2676">
        <f>CEILING($W$33*C34,50)</f>
        <v>1750</v>
      </c>
      <c r="X34" s="2996">
        <f>CEILING(X33*C34,50)</f>
        <v>2200</v>
      </c>
      <c r="Y34" s="1807"/>
      <c r="Z34" s="1807"/>
      <c r="AA34" s="1807"/>
      <c r="AB34" s="2676">
        <f>CEILING($AB$33*C34,50)</f>
        <v>2450</v>
      </c>
      <c r="AC34" s="770"/>
      <c r="AD34" s="770"/>
      <c r="AE34" s="770"/>
      <c r="AF34" s="770"/>
      <c r="AG34" s="2997">
        <f>CEILING($AG$33*C34,50)</f>
        <v>1500</v>
      </c>
      <c r="AH34" s="2997">
        <f>CEILING($AH$33*C34,50)</f>
        <v>2350</v>
      </c>
      <c r="AI34" s="2997">
        <f>CEILING($AI$33*C34,50)</f>
        <v>3650</v>
      </c>
      <c r="AJ34" s="2991">
        <f>CEILING($AJ$33*C34, 50)</f>
        <v>1500</v>
      </c>
      <c r="AK34" s="754"/>
      <c r="AL34" s="754"/>
      <c r="AM34" s="757">
        <f t="shared" ref="AM34:AN37" si="46">S34</f>
        <v>1600</v>
      </c>
      <c r="AN34" s="757">
        <f t="shared" si="46"/>
        <v>1400</v>
      </c>
      <c r="AO34" s="762"/>
      <c r="AP34" s="769"/>
      <c r="AQ34" s="769"/>
      <c r="AR34" s="2676">
        <f>CEILING(AR33*C34,50)</f>
        <v>1400</v>
      </c>
      <c r="AS34" s="769">
        <f>CEILING(AS33*C34,50)</f>
        <v>2200</v>
      </c>
      <c r="AT34" s="2676">
        <f t="shared" si="40"/>
        <v>140</v>
      </c>
      <c r="AU34" s="2676">
        <f>CEILING($AU$33*C34,10)</f>
        <v>250</v>
      </c>
      <c r="AV34" s="2676">
        <f>CEILING(AV33*C34,50)</f>
        <v>2200</v>
      </c>
      <c r="AW34" s="754"/>
      <c r="AX34" s="757">
        <f>AR34</f>
        <v>1400</v>
      </c>
      <c r="AY34" s="757">
        <f>CEILING(AX34/75*100, 10)</f>
        <v>1870</v>
      </c>
      <c r="AZ34" s="757">
        <f>CEILING(AX34/75*120, 10)</f>
        <v>2240</v>
      </c>
      <c r="BA34" s="757">
        <f>AS34</f>
        <v>2200</v>
      </c>
      <c r="BB34" s="757">
        <f>CEILING(AX34/75*200*0.85, 10)</f>
        <v>3180</v>
      </c>
      <c r="BC34" s="764">
        <f>BC33</f>
        <v>120</v>
      </c>
      <c r="BD34" s="2676">
        <f>CEILING(BD33*C34,50)</f>
        <v>850</v>
      </c>
      <c r="BE34" s="2676">
        <f>CEILING(BE33*C34,50)</f>
        <v>850</v>
      </c>
      <c r="BF34" s="2676">
        <f>CEILING(BF33*C34,50)</f>
        <v>2200</v>
      </c>
      <c r="BG34" s="2676">
        <f>CEILING($BG$33*C34,50)</f>
        <v>600</v>
      </c>
      <c r="BH34" s="2676">
        <f>CEILING(BH33*C34,50)</f>
        <v>1200</v>
      </c>
      <c r="BI34" s="2676">
        <f>CEILING(BI33*C34,50)</f>
        <v>1550</v>
      </c>
      <c r="BJ34" s="2676">
        <f>CEILING($BJ$33*C34,50)</f>
        <v>1650</v>
      </c>
      <c r="BK34" s="2676">
        <f>CEILING($BK$33*C34,50)</f>
        <v>1250</v>
      </c>
      <c r="BL34" s="2676">
        <f>CEILING($BL$33*C34,50)</f>
        <v>1650</v>
      </c>
      <c r="BM34" s="2676">
        <f>CEILING($BM$33*C34,50)</f>
        <v>1750</v>
      </c>
      <c r="BN34" s="754"/>
      <c r="BO34" s="754"/>
      <c r="BP34" s="754"/>
      <c r="BQ34" s="3540">
        <f>CEILING($BQ$33*C34,50)</f>
        <v>1600</v>
      </c>
      <c r="BR34" s="2794">
        <f>CEILING($BR$33*C34,50)</f>
        <v>2400</v>
      </c>
      <c r="BS34" s="777">
        <f>CEILING($BS$33*C34,50)</f>
        <v>2700</v>
      </c>
      <c r="BT34" s="777">
        <f>CEILING($BT$33*C34,50)</f>
        <v>3900</v>
      </c>
      <c r="BU34" s="777">
        <f>CEILING($BU$33*C34,50)</f>
        <v>900</v>
      </c>
      <c r="BV34" s="777">
        <f>CEILING(BV33*$C$34,50)</f>
        <v>1050</v>
      </c>
      <c r="BW34" s="777">
        <f>CEILING($BW$33*C34,50)</f>
        <v>1400</v>
      </c>
      <c r="BX34" s="777">
        <f>CEILING($BX$33*C34,50)</f>
        <v>5900</v>
      </c>
      <c r="BY34" s="762">
        <f>CEILING($BY$33*C34,50)</f>
        <v>1400</v>
      </c>
      <c r="BZ34" s="3012">
        <f>CEILING($BZ$33*C34,50)</f>
        <v>1150</v>
      </c>
      <c r="CA34" s="3012">
        <f>CEILING($CA$33*C34,50)</f>
        <v>1200</v>
      </c>
      <c r="CB34" s="3012">
        <f>CEILING($CB$33*C34,50)</f>
        <v>1250</v>
      </c>
      <c r="CC34" s="3012">
        <f>CEILING($CC$33*C34,50)</f>
        <v>1350</v>
      </c>
      <c r="CD34" s="3012"/>
      <c r="CE34" s="3012"/>
      <c r="CF34" s="755"/>
      <c r="CG34" s="755"/>
      <c r="CH34" s="3012">
        <f>CEILING($CH$33*$C$34,50)</f>
        <v>1250</v>
      </c>
      <c r="CI34" s="3012">
        <f>CEILING(CI33*$C$34,50)</f>
        <v>1350</v>
      </c>
      <c r="CJ34" s="3012">
        <f>CEILING(CJ33*$C$34,50)</f>
        <v>1400</v>
      </c>
      <c r="CK34" s="3012">
        <f>CEILING(CK33*$C$34,50)</f>
        <v>1250</v>
      </c>
      <c r="CL34" s="3012">
        <f>CEILING(CL33*$C$34,50)</f>
        <v>1350</v>
      </c>
      <c r="CM34" s="3012">
        <f>CEILING(CM33*$C$34,50)</f>
        <v>1400</v>
      </c>
      <c r="CN34" s="755"/>
      <c r="CO34" s="3012">
        <f>CEILING($CO$33*C34,50)</f>
        <v>1550</v>
      </c>
      <c r="CP34" s="3012">
        <f>CEILING($CP$33*C34,50)</f>
        <v>1650</v>
      </c>
      <c r="CQ34" s="3012">
        <f>CEILING($CQ$33*C34,50)</f>
        <v>1700</v>
      </c>
      <c r="CR34" s="3012">
        <f>CEILING($CR$33*C34,50)</f>
        <v>1750</v>
      </c>
      <c r="CS34" s="806">
        <f>CEILING(CD34*$CO$28,50)</f>
        <v>0</v>
      </c>
      <c r="CT34" s="806">
        <f>CEILING(CE34*$CO$28,50)</f>
        <v>0</v>
      </c>
      <c r="CU34" s="806">
        <f>CEILING(CF34*$CO$28,50)</f>
        <v>0</v>
      </c>
      <c r="CV34" s="806">
        <f>CEILING(CG34*$CO$28,50)</f>
        <v>0</v>
      </c>
      <c r="CW34" s="3012">
        <f t="shared" ref="CW34:DB34" si="47">CEILING(CW33*$C$34,50)</f>
        <v>1700</v>
      </c>
      <c r="CX34" s="3012">
        <f t="shared" si="47"/>
        <v>1750</v>
      </c>
      <c r="CY34" s="3012">
        <f t="shared" si="47"/>
        <v>1850</v>
      </c>
      <c r="CZ34" s="3012">
        <f t="shared" si="47"/>
        <v>1700</v>
      </c>
      <c r="DA34" s="3012">
        <f t="shared" si="47"/>
        <v>1750</v>
      </c>
      <c r="DB34" s="3012">
        <f t="shared" si="47"/>
        <v>1850</v>
      </c>
      <c r="DC34" s="806">
        <f>DC158</f>
        <v>0</v>
      </c>
      <c r="DD34" s="762"/>
      <c r="DE34" s="2795">
        <f>CEILING($DE$33*C34,50)</f>
        <v>3500</v>
      </c>
      <c r="DF34" s="2795">
        <f>CEILING($DF$33*C34,50)</f>
        <v>4100</v>
      </c>
      <c r="DG34" s="752">
        <f>CEILING($DG$33*C34,50)</f>
        <v>4450</v>
      </c>
      <c r="DH34" s="752">
        <f>CEILING($DH$33*C34,50)</f>
        <v>5350</v>
      </c>
      <c r="DI34" s="2795">
        <f>CEILING($DI$33*C34,50)</f>
        <v>4550</v>
      </c>
      <c r="DJ34" s="2795">
        <f>CEILING($DJ$33*C34,50)</f>
        <v>5450</v>
      </c>
      <c r="DK34" s="2794">
        <f>CEILING($DK$33*C34,50)</f>
        <v>5350</v>
      </c>
      <c r="DL34" s="2795">
        <f t="shared" ref="DL34:DR34" si="48">CEILING(DL33*$C$34,50)</f>
        <v>5450</v>
      </c>
      <c r="DM34" s="2795">
        <f t="shared" si="48"/>
        <v>10050</v>
      </c>
      <c r="DN34" s="752">
        <f t="shared" si="48"/>
        <v>10050</v>
      </c>
      <c r="DO34" s="752">
        <f t="shared" si="48"/>
        <v>10050</v>
      </c>
      <c r="DP34" s="2795">
        <f t="shared" si="48"/>
        <v>2450</v>
      </c>
      <c r="DQ34" s="2795">
        <f t="shared" si="48"/>
        <v>2950</v>
      </c>
      <c r="DR34" s="752">
        <f t="shared" si="48"/>
        <v>1200</v>
      </c>
      <c r="DS34" s="776"/>
      <c r="DT34" s="1970">
        <f>CEILING(DT33*C34,50)</f>
        <v>12450</v>
      </c>
      <c r="DU34" s="2825"/>
      <c r="DV34" s="759"/>
      <c r="DW34" s="2670"/>
      <c r="DX34" s="1970"/>
      <c r="DY34" s="1970">
        <f>CEILING(DY33*C34,50)</f>
        <v>27150</v>
      </c>
      <c r="DZ34" s="3378">
        <f>DZ33</f>
        <v>1900</v>
      </c>
      <c r="EA34" s="3374">
        <f>'Полотна база'!G55</f>
        <v>22200</v>
      </c>
      <c r="EB34" s="812">
        <f>(EA34/1.6)*$EB$26</f>
        <v>15540.000000000002</v>
      </c>
      <c r="EC34" s="2960"/>
      <c r="ED34" s="2960"/>
      <c r="EE34" s="811"/>
      <c r="EF34" s="812"/>
      <c r="EG34" s="811"/>
      <c r="EH34" s="812"/>
      <c r="EI34" s="811">
        <f>'Полотна база'!AF55</f>
        <v>29950</v>
      </c>
      <c r="EJ34" s="812">
        <f>(EI34/1.6)*$EJ$26</f>
        <v>20403.4375</v>
      </c>
      <c r="EK34" s="2799"/>
      <c r="EL34" s="2800">
        <f>(EK34/1.6)*$EL$26</f>
        <v>0</v>
      </c>
      <c r="EM34" s="2800">
        <f>(EK34/1.6)*$EM$26</f>
        <v>0</v>
      </c>
      <c r="EN34" s="761">
        <f>E34*1.05</f>
        <v>2625</v>
      </c>
    </row>
    <row r="35" spans="1:145" s="761" customFormat="1" ht="21" hidden="1" customHeight="1" outlineLevel="2">
      <c r="A35" s="5022"/>
      <c r="B35" s="1722" t="s">
        <v>2570</v>
      </c>
      <c r="C35" s="2793">
        <v>1.1299999999999999</v>
      </c>
      <c r="D35" s="763"/>
      <c r="E35" s="763">
        <f>CEILING(E33*$C$35, 50)</f>
        <v>2700</v>
      </c>
      <c r="F35" s="769"/>
      <c r="G35" s="2991">
        <f>CEILING($G$33*C35, 50)</f>
        <v>2700</v>
      </c>
      <c r="H35" s="2991">
        <f>CEILING(H33*C35, 50)</f>
        <v>2950</v>
      </c>
      <c r="I35" s="781"/>
      <c r="J35" s="1174">
        <f>E35</f>
        <v>2700</v>
      </c>
      <c r="K35" s="2657">
        <f>CEILING($K$33*C35, 50)</f>
        <v>5450</v>
      </c>
      <c r="L35" s="2657">
        <f>CEILING($L$33*C35, 50)</f>
        <v>5100</v>
      </c>
      <c r="M35" s="753"/>
      <c r="N35" s="753"/>
      <c r="O35" s="753"/>
      <c r="P35" s="753"/>
      <c r="Q35" s="2676">
        <f>CEILING(Q33*C35,50)</f>
        <v>4550</v>
      </c>
      <c r="R35" s="769"/>
      <c r="S35" s="769">
        <f>V35</f>
        <v>1700</v>
      </c>
      <c r="T35" s="2676">
        <f>CEILING(T33*C35,50)</f>
        <v>1500</v>
      </c>
      <c r="U35" s="2676">
        <f>CEILING($U$33*C35,50)</f>
        <v>1700</v>
      </c>
      <c r="V35" s="2676">
        <f>CEILING($V$33*C35,50)</f>
        <v>1700</v>
      </c>
      <c r="W35" s="2676">
        <f>CEILING($W$33*C35,50)</f>
        <v>1900</v>
      </c>
      <c r="X35" s="2996">
        <f>CEILING(X33*C35,50)</f>
        <v>2350</v>
      </c>
      <c r="Y35" s="1807"/>
      <c r="Z35" s="1807"/>
      <c r="AA35" s="1807"/>
      <c r="AB35" s="2676">
        <f>CEILING($AB$33*C35,50)</f>
        <v>2600</v>
      </c>
      <c r="AC35" s="764"/>
      <c r="AD35" s="764"/>
      <c r="AE35" s="770"/>
      <c r="AF35" s="764"/>
      <c r="AG35" s="2997">
        <f>CEILING($AG$33*C35,50)</f>
        <v>1600</v>
      </c>
      <c r="AH35" s="2997">
        <f>CEILING($AH$33*C35,50)</f>
        <v>2500</v>
      </c>
      <c r="AI35" s="2997">
        <f>CEILING($AI$33*C35,50)</f>
        <v>3900</v>
      </c>
      <c r="AJ35" s="2991">
        <f>CEILING($AJ$33*C35, 50)</f>
        <v>1600</v>
      </c>
      <c r="AK35" s="754"/>
      <c r="AL35" s="754"/>
      <c r="AM35" s="757">
        <f>S35</f>
        <v>1700</v>
      </c>
      <c r="AN35" s="757">
        <f t="shared" si="46"/>
        <v>1500</v>
      </c>
      <c r="AO35" s="762"/>
      <c r="AP35" s="769"/>
      <c r="AQ35" s="769"/>
      <c r="AR35" s="2676">
        <f>CEILING(AR33*C35,50)</f>
        <v>1500</v>
      </c>
      <c r="AS35" s="769">
        <f>CEILING(AS33*C35,50)</f>
        <v>2350</v>
      </c>
      <c r="AT35" s="2676">
        <f t="shared" si="40"/>
        <v>150</v>
      </c>
      <c r="AU35" s="2676">
        <f>CEILING($AU$33*C35,10)</f>
        <v>260</v>
      </c>
      <c r="AV35" s="2676">
        <f>CEILING(AV34*C35-100,50)</f>
        <v>2400</v>
      </c>
      <c r="AW35" s="754"/>
      <c r="AX35" s="757">
        <f>AR35</f>
        <v>1500</v>
      </c>
      <c r="AY35" s="757">
        <f>CEILING(AX35/75*100, 10)</f>
        <v>2000</v>
      </c>
      <c r="AZ35" s="757">
        <f>CEILING(AX35/75*120, 10)</f>
        <v>2400</v>
      </c>
      <c r="BA35" s="757">
        <f>AS35</f>
        <v>2350</v>
      </c>
      <c r="BB35" s="757">
        <f>CEILING(AX35/75*200*0.85, 10)</f>
        <v>3400</v>
      </c>
      <c r="BC35" s="764">
        <f>BC33</f>
        <v>120</v>
      </c>
      <c r="BD35" s="2676">
        <f>CEILING(BD33*C35,50)</f>
        <v>900</v>
      </c>
      <c r="BE35" s="2676">
        <f>CEILING(BE33*C35,50)</f>
        <v>900</v>
      </c>
      <c r="BF35" s="2676">
        <f>CEILING(BF33*C35,50)</f>
        <v>2350</v>
      </c>
      <c r="BG35" s="2676">
        <f>CEILING($BG$33*C35,50)</f>
        <v>650</v>
      </c>
      <c r="BH35" s="2676">
        <f>CEILING(BH33*C35,50)</f>
        <v>1250</v>
      </c>
      <c r="BI35" s="2676">
        <f>CEILING(BI33*C35,50)</f>
        <v>1650</v>
      </c>
      <c r="BJ35" s="2676">
        <f>CEILING($BJ$33*C35,50)</f>
        <v>1800</v>
      </c>
      <c r="BK35" s="2676">
        <f>CEILING($BK$33*C35,50)</f>
        <v>1300</v>
      </c>
      <c r="BL35" s="2676">
        <f>CEILING($BL$33*C35,50)</f>
        <v>1800</v>
      </c>
      <c r="BM35" s="2676">
        <f>CEILING($BM$33*C35,50)</f>
        <v>1900</v>
      </c>
      <c r="BN35" s="754"/>
      <c r="BO35" s="754"/>
      <c r="BP35" s="754"/>
      <c r="BQ35" s="3540">
        <f>CEILING($BQ$33*C35,50)</f>
        <v>1700</v>
      </c>
      <c r="BR35" s="2794">
        <f>CEILING($BR$33*C35,50)</f>
        <v>2550</v>
      </c>
      <c r="BS35" s="777">
        <f>CEILING($BS$33*C35,50)</f>
        <v>2900</v>
      </c>
      <c r="BT35" s="777">
        <f>CEILING($BT$33*C35,50)</f>
        <v>4200</v>
      </c>
      <c r="BU35" s="777">
        <f>CEILING($BU$33*C35,50)</f>
        <v>1000</v>
      </c>
      <c r="BV35" s="777">
        <f>CEILING($BV$33*C35,50)</f>
        <v>1150</v>
      </c>
      <c r="BW35" s="777">
        <f>CEILING($BW$33*C35,50)</f>
        <v>1500</v>
      </c>
      <c r="BX35" s="777">
        <f>CEILING($BX$33*C35,50)</f>
        <v>6350</v>
      </c>
      <c r="BY35" s="762">
        <f>CEILING($BY$33*C35,50)</f>
        <v>1500</v>
      </c>
      <c r="BZ35" s="3012">
        <f>CEILING($BZ$33*C35,50)</f>
        <v>1200</v>
      </c>
      <c r="CA35" s="3012">
        <f>CEILING($CA$33*C35,50)</f>
        <v>1300</v>
      </c>
      <c r="CB35" s="3012">
        <f>CEILING($CB$33*C35,50)</f>
        <v>1350</v>
      </c>
      <c r="CC35" s="3012">
        <f>CEILING($CC$33*C35,50)</f>
        <v>1450</v>
      </c>
      <c r="CD35" s="3012">
        <f>CEILING($CD$33*$C$35,50)</f>
        <v>1300</v>
      </c>
      <c r="CE35" s="3012">
        <f>CEILING($CE$33*$C$35,50)</f>
        <v>1350</v>
      </c>
      <c r="CF35" s="3012">
        <f>CEILING($CF$33*$C$35,50)</f>
        <v>1450</v>
      </c>
      <c r="CG35" s="3012">
        <f>CEILING($CG$33*$C$35,50)</f>
        <v>1500</v>
      </c>
      <c r="CH35" s="3012">
        <f>CEILING($CH$33*$C$35,50)</f>
        <v>1350</v>
      </c>
      <c r="CI35" s="3012">
        <f>CEILING(CI34*$C$34,50)</f>
        <v>1450</v>
      </c>
      <c r="CJ35" s="3012">
        <f>CEILING($CJ$33*C35,50)</f>
        <v>1500</v>
      </c>
      <c r="CK35" s="3012">
        <f>CEILING(CK33*$C$35,50)</f>
        <v>1350</v>
      </c>
      <c r="CL35" s="3012">
        <f>CEILING(CL33*$C$35,50)</f>
        <v>1450</v>
      </c>
      <c r="CM35" s="3012">
        <f>CEILING(CM33*$C$35,50)</f>
        <v>1500</v>
      </c>
      <c r="CN35" s="755"/>
      <c r="CO35" s="3012">
        <f>CEILING($CO$33*C35,50)</f>
        <v>1650</v>
      </c>
      <c r="CP35" s="3012">
        <f>CEILING($CP$33*C35,50)</f>
        <v>1800</v>
      </c>
      <c r="CQ35" s="3012">
        <f>CEILING($CQ$33*C35,50)</f>
        <v>1850</v>
      </c>
      <c r="CR35" s="3012">
        <f>CEILING($CR$33*C35,50)</f>
        <v>1900</v>
      </c>
      <c r="CS35" s="3012">
        <f>CEILING($CS$33*C35,50)</f>
        <v>1800</v>
      </c>
      <c r="CT35" s="3012">
        <f>CEILING(CT33*$C$35,50)</f>
        <v>1850</v>
      </c>
      <c r="CU35" s="3012">
        <f t="shared" ref="CU35:DB35" si="49">CEILING(CU33*$C$35,50)</f>
        <v>1900</v>
      </c>
      <c r="CV35" s="3012">
        <f t="shared" si="49"/>
        <v>2000</v>
      </c>
      <c r="CW35" s="3012">
        <f t="shared" si="49"/>
        <v>1850</v>
      </c>
      <c r="CX35" s="3012">
        <f t="shared" si="49"/>
        <v>1900</v>
      </c>
      <c r="CY35" s="3012">
        <f t="shared" si="49"/>
        <v>2000</v>
      </c>
      <c r="CZ35" s="3012">
        <f t="shared" si="49"/>
        <v>1850</v>
      </c>
      <c r="DA35" s="3012">
        <f t="shared" si="49"/>
        <v>1900</v>
      </c>
      <c r="DB35" s="3012">
        <f t="shared" si="49"/>
        <v>2000</v>
      </c>
      <c r="DC35" s="806">
        <f>DC160</f>
        <v>0</v>
      </c>
      <c r="DD35" s="762"/>
      <c r="DE35" s="2795">
        <f>CEILING($DE$33*C35,50)</f>
        <v>3750</v>
      </c>
      <c r="DF35" s="2795">
        <f>CEILING($DF$33*C35,50)</f>
        <v>4450</v>
      </c>
      <c r="DG35" s="752">
        <f>CEILING($DG$33*C35,50)</f>
        <v>4750</v>
      </c>
      <c r="DH35" s="752">
        <f>CEILING($DH$33*C35,50)</f>
        <v>5750</v>
      </c>
      <c r="DI35" s="2795">
        <f>CEILING($DI$33*C35,50)</f>
        <v>4900</v>
      </c>
      <c r="DJ35" s="2795">
        <f>CEILING($DJ$33*C35,50)</f>
        <v>5850</v>
      </c>
      <c r="DK35" s="2794">
        <f>CEILING($DK$33*C35,50)</f>
        <v>5750</v>
      </c>
      <c r="DL35" s="2795">
        <f t="shared" ref="DL35:DQ35" si="50">CEILING(DL33*$C$35,50)</f>
        <v>5850</v>
      </c>
      <c r="DM35" s="2795">
        <f t="shared" si="50"/>
        <v>10800</v>
      </c>
      <c r="DN35" s="752">
        <f t="shared" si="50"/>
        <v>10800</v>
      </c>
      <c r="DO35" s="752">
        <f t="shared" si="50"/>
        <v>10800</v>
      </c>
      <c r="DP35" s="2795">
        <f t="shared" si="50"/>
        <v>2600</v>
      </c>
      <c r="DQ35" s="2795">
        <f t="shared" si="50"/>
        <v>3200</v>
      </c>
      <c r="DR35" s="752">
        <f>CEILING(DR33*$C$35,10)</f>
        <v>1260</v>
      </c>
      <c r="DS35" s="776"/>
      <c r="DT35" s="1970">
        <f>CEILING(DT33*C35,50)</f>
        <v>13400</v>
      </c>
      <c r="DU35" s="760">
        <f>CEILING(DU33*C35,50)</f>
        <v>20100</v>
      </c>
      <c r="DV35" s="1970">
        <f>CEILING(EM35,50)</f>
        <v>5200</v>
      </c>
      <c r="DW35" s="2673"/>
      <c r="DX35" s="760">
        <f>CEILING(DX33*C35,50)</f>
        <v>20800</v>
      </c>
      <c r="DY35" s="1970">
        <f>CEILING(DY33*C35,50)</f>
        <v>29250</v>
      </c>
      <c r="DZ35" s="3378">
        <f>DZ33</f>
        <v>1900</v>
      </c>
      <c r="EA35" s="3374">
        <f>'Полотна база'!G56</f>
        <v>23850</v>
      </c>
      <c r="EB35" s="812">
        <f>(EA35/1.6)*$EB$26</f>
        <v>16695</v>
      </c>
      <c r="EC35" s="2960"/>
      <c r="ED35" s="2960"/>
      <c r="EE35" s="811"/>
      <c r="EF35" s="812"/>
      <c r="EG35" s="811"/>
      <c r="EH35" s="812"/>
      <c r="EI35" s="811">
        <f>'Полотна база'!AF56</f>
        <v>32950</v>
      </c>
      <c r="EJ35" s="812">
        <f>(EI35/1.6)*$EJ$26</f>
        <v>22447.1875</v>
      </c>
      <c r="EK35" s="2799">
        <f>'Полотна база'!AW56</f>
        <v>41350</v>
      </c>
      <c r="EL35" s="2800">
        <f>(EK35/1.6)*$EL$26</f>
        <v>25843.75</v>
      </c>
      <c r="EM35" s="2800">
        <f>(EK35/1.6)*$EM$26</f>
        <v>5168.75</v>
      </c>
      <c r="EN35" s="761">
        <f>E35*1.05</f>
        <v>2835</v>
      </c>
    </row>
    <row r="36" spans="1:145" s="3949" customFormat="1" ht="21" hidden="1" customHeight="1" outlineLevel="2">
      <c r="A36" s="5118"/>
      <c r="B36" s="3930" t="s">
        <v>3428</v>
      </c>
      <c r="C36" s="3931">
        <v>1.18</v>
      </c>
      <c r="D36" s="3932"/>
      <c r="E36" s="3967">
        <f>CEILING(E33*C36, 50)</f>
        <v>2800</v>
      </c>
      <c r="F36" s="2806"/>
      <c r="G36" s="766">
        <f>CEILING(G33*C36, 50)</f>
        <v>2800</v>
      </c>
      <c r="H36" s="766">
        <f>CEILING(H33*C36, 50)</f>
        <v>3100</v>
      </c>
      <c r="I36" s="2809"/>
      <c r="J36" s="3968"/>
      <c r="K36" s="3969">
        <f>CEILING($K$33*C36, 50)</f>
        <v>5700</v>
      </c>
      <c r="L36" s="3969">
        <f>CEILING($L$33*C36, 50)</f>
        <v>5350</v>
      </c>
      <c r="M36" s="3934"/>
      <c r="N36" s="3934"/>
      <c r="O36" s="3934"/>
      <c r="P36" s="3934"/>
      <c r="Q36" s="2676">
        <f>CEILING(Q33*C36,50)</f>
        <v>4750</v>
      </c>
      <c r="R36" s="3933"/>
      <c r="S36" s="769">
        <f>V36</f>
        <v>1800</v>
      </c>
      <c r="T36" s="2676">
        <f>CEILING(T33*C36,50)</f>
        <v>1550</v>
      </c>
      <c r="U36" s="2676">
        <f>CEILING(U33*C36,50)</f>
        <v>1800</v>
      </c>
      <c r="V36" s="2676">
        <f>CEILING($V$33*C36,50)</f>
        <v>1800</v>
      </c>
      <c r="W36" s="2676">
        <f>CEILING($W$33*C36,50)</f>
        <v>1950</v>
      </c>
      <c r="X36" s="2996">
        <f>CEILING(X33*C36,50)</f>
        <v>2450</v>
      </c>
      <c r="Y36" s="3933"/>
      <c r="Z36" s="3933"/>
      <c r="AA36" s="3933"/>
      <c r="AB36" s="3933"/>
      <c r="AC36" s="3933"/>
      <c r="AD36" s="3933"/>
      <c r="AE36" s="3933"/>
      <c r="AF36" s="3933"/>
      <c r="AG36" s="2997">
        <f>CEILING($AG$33*C36,50)</f>
        <v>1700</v>
      </c>
      <c r="AH36" s="2997">
        <f>CEILING($AH$33*C36,50)</f>
        <v>2600</v>
      </c>
      <c r="AI36" s="2997">
        <f>CEILING($AI$33*C36,50)</f>
        <v>4100</v>
      </c>
      <c r="AJ36" s="2991">
        <f>CEILING($AJ$33*C36, 50)</f>
        <v>1700</v>
      </c>
      <c r="AK36" s="3935"/>
      <c r="AL36" s="3935"/>
      <c r="AM36" s="757">
        <f t="shared" si="46"/>
        <v>1800</v>
      </c>
      <c r="AN36" s="3936"/>
      <c r="AO36" s="3937"/>
      <c r="AP36" s="3933"/>
      <c r="AQ36" s="3933"/>
      <c r="AR36" s="2676">
        <f>CEILING(AR33*C36,50)</f>
        <v>1550</v>
      </c>
      <c r="AS36" s="769">
        <f>CEILING(AS33*C36,50)</f>
        <v>2450</v>
      </c>
      <c r="AT36" s="2676">
        <f t="shared" si="40"/>
        <v>160</v>
      </c>
      <c r="AU36" s="2676">
        <f>CEILING($AU$33*C36,10)</f>
        <v>280</v>
      </c>
      <c r="AV36" s="2676">
        <f>CEILING(AV35*C36-100,50)</f>
        <v>2750</v>
      </c>
      <c r="AW36" s="3935"/>
      <c r="AX36" s="3936"/>
      <c r="AY36" s="3936"/>
      <c r="AZ36" s="3936"/>
      <c r="BA36" s="3936"/>
      <c r="BB36" s="3936"/>
      <c r="BC36" s="764">
        <f>BC34</f>
        <v>120</v>
      </c>
      <c r="BD36" s="2676">
        <f>CEILING(BD33*C36,10)</f>
        <v>910</v>
      </c>
      <c r="BE36" s="2676">
        <f>CEILING(BE33*C36,50)</f>
        <v>950</v>
      </c>
      <c r="BF36" s="2676">
        <f>CEILING(BF33*C36,50)</f>
        <v>2450</v>
      </c>
      <c r="BG36" s="3933">
        <f>CEILING($BG$33*C36,50)</f>
        <v>650</v>
      </c>
      <c r="BH36" s="2676">
        <f>CEILING(BH33*C36,50)</f>
        <v>1300</v>
      </c>
      <c r="BI36" s="2676">
        <f>CEILING(BI33*C36,50)</f>
        <v>1750</v>
      </c>
      <c r="BJ36" s="2676">
        <f>CEILING(BJ33*C36,50)</f>
        <v>1850</v>
      </c>
      <c r="BK36" s="3933">
        <f>CEILING($BK$33*C36,50)</f>
        <v>1400</v>
      </c>
      <c r="BL36" s="3933">
        <f>CEILING($BL$33*C36,50)</f>
        <v>1850</v>
      </c>
      <c r="BM36" s="3933">
        <f>CEILING($BM$33*C36,50)</f>
        <v>1950</v>
      </c>
      <c r="BN36" s="3938"/>
      <c r="BO36" s="3938"/>
      <c r="BP36" s="3938"/>
      <c r="BQ36" s="3540">
        <f>CEILING($BQ$33*C36,50)</f>
        <v>1800</v>
      </c>
      <c r="BR36" s="3939">
        <f>CEILING($BR$33*C36,50)</f>
        <v>2700</v>
      </c>
      <c r="BS36" s="3940">
        <f>CEILING($BS$33*C36,50)</f>
        <v>3050</v>
      </c>
      <c r="BT36" s="3940">
        <f>CEILING($BT$33*C36,50)</f>
        <v>4400</v>
      </c>
      <c r="BU36" s="777">
        <f>CEILING($BU$33*C36,50)</f>
        <v>1050</v>
      </c>
      <c r="BV36" s="777">
        <f>CEILING($BV$33*C36,50)</f>
        <v>1200</v>
      </c>
      <c r="BW36" s="777">
        <f>CEILING($BW$33*C36,50)</f>
        <v>1550</v>
      </c>
      <c r="BX36" s="777">
        <f>CEILING($BX$33*C36,50)</f>
        <v>6650</v>
      </c>
      <c r="BY36" s="762">
        <f>CEILING($BY$33*C36,50)</f>
        <v>1550</v>
      </c>
      <c r="BZ36" s="3941"/>
      <c r="CA36" s="3941"/>
      <c r="CB36" s="3941"/>
      <c r="CC36" s="3941"/>
      <c r="CD36" s="3941"/>
      <c r="CE36" s="3941"/>
      <c r="CF36" s="3941"/>
      <c r="CG36" s="3941"/>
      <c r="CH36" s="3941"/>
      <c r="CI36" s="3941"/>
      <c r="CJ36" s="3941"/>
      <c r="CK36" s="3941"/>
      <c r="CL36" s="3941"/>
      <c r="CM36" s="3941"/>
      <c r="CN36" s="3941"/>
      <c r="CO36" s="3941"/>
      <c r="CP36" s="3941"/>
      <c r="CQ36" s="3941"/>
      <c r="CR36" s="3941"/>
      <c r="CS36" s="3941"/>
      <c r="CT36" s="3941"/>
      <c r="CU36" s="3941"/>
      <c r="CV36" s="3941"/>
      <c r="CW36" s="3941"/>
      <c r="CX36" s="3941"/>
      <c r="CY36" s="3941"/>
      <c r="CZ36" s="3941"/>
      <c r="DA36" s="3941"/>
      <c r="DB36" s="3941"/>
      <c r="DC36" s="3942"/>
      <c r="DD36" s="3937"/>
      <c r="DE36" s="3943"/>
      <c r="DF36" s="3943"/>
      <c r="DG36" s="3943"/>
      <c r="DH36" s="3943"/>
      <c r="DI36" s="3943"/>
      <c r="DJ36" s="3943"/>
      <c r="DK36" s="3939"/>
      <c r="DL36" s="3943"/>
      <c r="DM36" s="3943"/>
      <c r="DN36" s="3943"/>
      <c r="DO36" s="3943"/>
      <c r="DP36" s="3943"/>
      <c r="DQ36" s="3943"/>
      <c r="DR36" s="3943"/>
      <c r="DS36" s="3944"/>
      <c r="DT36" s="1970">
        <f>CEILING(DT33*C36,50)</f>
        <v>14000</v>
      </c>
      <c r="DU36" s="3945"/>
      <c r="DV36" s="3945"/>
      <c r="DW36" s="3945"/>
      <c r="DX36" s="3945"/>
      <c r="DY36" s="3945"/>
      <c r="DZ36" s="3946"/>
      <c r="EA36" s="3947"/>
      <c r="EB36" s="3948"/>
      <c r="EC36" s="3948"/>
      <c r="ED36" s="3948"/>
      <c r="EE36" s="3948"/>
      <c r="EF36" s="3948"/>
      <c r="EG36" s="3948"/>
      <c r="EH36" s="3948"/>
      <c r="EI36" s="3948"/>
      <c r="EJ36" s="3948"/>
      <c r="EK36" s="3948"/>
      <c r="EL36" s="3948"/>
      <c r="EM36" s="3948"/>
    </row>
    <row r="37" spans="1:145" s="761" customFormat="1" ht="15.75" hidden="1" outlineLevel="2">
      <c r="A37" s="2661" t="s">
        <v>2588</v>
      </c>
      <c r="B37" s="2662"/>
      <c r="C37" s="2793">
        <v>1.23</v>
      </c>
      <c r="D37" s="2663"/>
      <c r="E37" s="763">
        <f>CEILING(E33*$C$37, 50)</f>
        <v>2900</v>
      </c>
      <c r="F37" s="2664"/>
      <c r="G37" s="2991">
        <f>CEILING($G$33*C37, 50)</f>
        <v>2900</v>
      </c>
      <c r="H37" s="2991">
        <f>CEILING(C37*H33, 50)</f>
        <v>3200</v>
      </c>
      <c r="I37" s="2666"/>
      <c r="J37" s="1174">
        <f>E37</f>
        <v>2900</v>
      </c>
      <c r="K37" s="2657">
        <f>CEILING($K$33*C37, 50)</f>
        <v>5950</v>
      </c>
      <c r="L37" s="2657">
        <f>CEILING($L$33*C37, 50)</f>
        <v>5550</v>
      </c>
      <c r="M37" s="2667"/>
      <c r="N37" s="2667"/>
      <c r="O37" s="2667"/>
      <c r="P37" s="2667"/>
      <c r="Q37" s="2676">
        <f>CEILING(Q33*C37,50)</f>
        <v>4950</v>
      </c>
      <c r="R37" s="2663"/>
      <c r="S37" s="769">
        <f>V37</f>
        <v>1850</v>
      </c>
      <c r="T37" s="2676">
        <f>CEILING(T33*C37,50)</f>
        <v>1600</v>
      </c>
      <c r="U37" s="2676">
        <f>CEILING($U$33*C37,50)</f>
        <v>1850</v>
      </c>
      <c r="V37" s="2676">
        <f>CEILING($V$33*C37,50)</f>
        <v>1850</v>
      </c>
      <c r="W37" s="2676">
        <f>CEILING($W$33*C37,50)</f>
        <v>2050</v>
      </c>
      <c r="X37" s="2996">
        <f>CEILING(X33*C37,50)</f>
        <v>2550</v>
      </c>
      <c r="Y37" s="2664"/>
      <c r="Z37" s="2664"/>
      <c r="AA37" s="2664"/>
      <c r="AB37" s="2676">
        <f>CEILING($AB$33*C37,50)</f>
        <v>2850</v>
      </c>
      <c r="AC37" s="2664"/>
      <c r="AD37" s="2664"/>
      <c r="AE37" s="2664"/>
      <c r="AF37" s="2664"/>
      <c r="AG37" s="2997">
        <f>CEILING($AG$33*C37,50)</f>
        <v>1750</v>
      </c>
      <c r="AH37" s="2997">
        <f>CEILING($AH$33*C37,50)</f>
        <v>2750</v>
      </c>
      <c r="AI37" s="2997">
        <f>CEILING($AI$33*C37,50)</f>
        <v>4250</v>
      </c>
      <c r="AJ37" s="2997">
        <f>CEILING(AJ33*$C$37,50)</f>
        <v>1750</v>
      </c>
      <c r="AK37" s="2666"/>
      <c r="AL37" s="2666"/>
      <c r="AM37" s="757">
        <f t="shared" si="46"/>
        <v>1850</v>
      </c>
      <c r="AN37" s="2669"/>
      <c r="AO37" s="2668"/>
      <c r="AP37" s="2664"/>
      <c r="AQ37" s="2663"/>
      <c r="AR37" s="2676">
        <f>CEILING(AR33*C37,50)</f>
        <v>1600</v>
      </c>
      <c r="AS37" s="769">
        <f>CEILING(AS33*C37,50)</f>
        <v>2550</v>
      </c>
      <c r="AT37" s="2676">
        <f t="shared" si="40"/>
        <v>160</v>
      </c>
      <c r="AU37" s="2676">
        <f>CEILING($AU$33*C37,10)</f>
        <v>290</v>
      </c>
      <c r="AV37" s="2676">
        <f>CEILING(AV35*C37-400,50)</f>
        <v>2600</v>
      </c>
      <c r="AW37" s="2666"/>
      <c r="AX37" s="2669"/>
      <c r="AY37" s="2669"/>
      <c r="AZ37" s="2669"/>
      <c r="BA37" s="2669"/>
      <c r="BB37" s="2669"/>
      <c r="BC37" s="764">
        <f>BC33</f>
        <v>120</v>
      </c>
      <c r="BD37" s="2676">
        <f>CEILING(BD33*C37,50)</f>
        <v>950</v>
      </c>
      <c r="BE37" s="2676">
        <f>CEILING(BE33*C37,50)</f>
        <v>950</v>
      </c>
      <c r="BF37" s="2676">
        <f>CEILING(BF33*C37,50)</f>
        <v>2550</v>
      </c>
      <c r="BG37" s="2676">
        <f>CEILING($BG$33*C37,50)</f>
        <v>700</v>
      </c>
      <c r="BH37" s="2676">
        <f>CEILING(BH33*C37,50)</f>
        <v>1400</v>
      </c>
      <c r="BI37" s="2676">
        <f>CEILING(BI33*C37,50)</f>
        <v>1800</v>
      </c>
      <c r="BJ37" s="2676">
        <f>CEILING($BJ$33*C37,50)</f>
        <v>1950</v>
      </c>
      <c r="BK37" s="2676">
        <f>CEILING($BK$33*C37,50)</f>
        <v>1450</v>
      </c>
      <c r="BL37" s="2676">
        <f>CEILING($BL$33*C37,50)</f>
        <v>1950</v>
      </c>
      <c r="BM37" s="2676">
        <f>CEILING($BM$33*C37,50)</f>
        <v>2050</v>
      </c>
      <c r="BN37" s="2671"/>
      <c r="BO37" s="2671"/>
      <c r="BP37" s="2671"/>
      <c r="BQ37" s="3540">
        <f>CEILING($BQ$33*C37,50)</f>
        <v>1850</v>
      </c>
      <c r="BR37" s="2794">
        <f>CEILING($BR$33*C37,50)</f>
        <v>2800</v>
      </c>
      <c r="BS37" s="777">
        <f>CEILING($BS$33*C37,50)</f>
        <v>3150</v>
      </c>
      <c r="BT37" s="777">
        <f>CEILING($BT$33*C37,50)</f>
        <v>4600</v>
      </c>
      <c r="BU37" s="777">
        <f>CEILING($BU$33*C37,50)</f>
        <v>1050</v>
      </c>
      <c r="BV37" s="777">
        <f>CEILING($BV$33*C37,50)</f>
        <v>1250</v>
      </c>
      <c r="BW37" s="777">
        <f>CEILING($BW$33*C37,50)</f>
        <v>1600</v>
      </c>
      <c r="BX37" s="777">
        <f>CEILING($BX$33*C37,50)</f>
        <v>6900</v>
      </c>
      <c r="BY37" s="762">
        <f>CEILING($BY$33*C37,50)</f>
        <v>1600</v>
      </c>
      <c r="BZ37" s="3012">
        <f>CEILING($BZ$33*C37,50)</f>
        <v>1300</v>
      </c>
      <c r="CA37" s="3012">
        <f>CEILING($CA$33*C37,50)</f>
        <v>1400</v>
      </c>
      <c r="CB37" s="3012">
        <f>CEILING($CB$33*C37,50)</f>
        <v>1450</v>
      </c>
      <c r="CC37" s="3012">
        <f>CEILING($CC$33*C37,50)</f>
        <v>1550</v>
      </c>
      <c r="CD37" s="3012">
        <f>CEILING($CD$33*$C$37,50)</f>
        <v>1400</v>
      </c>
      <c r="CE37" s="3012">
        <f>CEILING($CE$33*$C$37,50)</f>
        <v>1450</v>
      </c>
      <c r="CF37" s="3012">
        <f>CEILING($CF$33*$C$37,50)</f>
        <v>1550</v>
      </c>
      <c r="CG37" s="3012">
        <f>CEILING($CG$33*$C$37,50)</f>
        <v>1650</v>
      </c>
      <c r="CH37" s="3012">
        <f>CEILING($CH$33*$C$37,50)</f>
        <v>1450</v>
      </c>
      <c r="CI37" s="3012">
        <f>CEILING(CI35*$C$34,50)</f>
        <v>1550</v>
      </c>
      <c r="CJ37" s="3012">
        <f>CEILING($CJ$33*C37,50)</f>
        <v>1650</v>
      </c>
      <c r="CK37" s="3012">
        <f>CEILING(CK33*$C$37,50)</f>
        <v>1450</v>
      </c>
      <c r="CL37" s="3012">
        <f>CEILING(CL33*$C$37,50)</f>
        <v>1550</v>
      </c>
      <c r="CM37" s="3012">
        <f>CEILING(CM33*$C$37,50)</f>
        <v>1650</v>
      </c>
      <c r="CN37" s="806">
        <f>CN162</f>
        <v>0</v>
      </c>
      <c r="CO37" s="3012">
        <f>CEILING($CO$33*C37,50)</f>
        <v>1800</v>
      </c>
      <c r="CP37" s="3012">
        <f>CEILING($CP$33*C37,50)</f>
        <v>1950</v>
      </c>
      <c r="CQ37" s="3012">
        <f>CEILING($CQ$33*C37,50)</f>
        <v>2000</v>
      </c>
      <c r="CR37" s="3012">
        <f>CEILING($CR$33*C37,50)</f>
        <v>2050</v>
      </c>
      <c r="CS37" s="3012">
        <f>CEILING($CS$33*C37,50)</f>
        <v>1950</v>
      </c>
      <c r="CT37" s="3012">
        <f>CEILING(CT33*$C$37,50)</f>
        <v>2000</v>
      </c>
      <c r="CU37" s="3012">
        <f t="shared" ref="CU37:DB37" si="51">CEILING(CU33*$C$37,50)</f>
        <v>2050</v>
      </c>
      <c r="CV37" s="3012">
        <f>CEILING(CV33*$C$37,50)</f>
        <v>2200</v>
      </c>
      <c r="CW37" s="3012">
        <f t="shared" si="51"/>
        <v>2000</v>
      </c>
      <c r="CX37" s="3012">
        <f t="shared" si="51"/>
        <v>2050</v>
      </c>
      <c r="CY37" s="3012">
        <f t="shared" si="51"/>
        <v>2200</v>
      </c>
      <c r="CZ37" s="3012">
        <f t="shared" si="51"/>
        <v>2000</v>
      </c>
      <c r="DA37" s="3012">
        <f t="shared" si="51"/>
        <v>2050</v>
      </c>
      <c r="DB37" s="3012">
        <f t="shared" si="51"/>
        <v>2200</v>
      </c>
      <c r="DC37" s="806">
        <f>DC162</f>
        <v>0</v>
      </c>
      <c r="DD37" s="2668"/>
      <c r="DE37" s="2795">
        <f>CEILING($DE$33*C37,50)</f>
        <v>4100</v>
      </c>
      <c r="DF37" s="2795">
        <f>CEILING($DF$33*C37,50)</f>
        <v>4800</v>
      </c>
      <c r="DG37" s="752">
        <f>CEILING($DG$33*C37,50)</f>
        <v>5200</v>
      </c>
      <c r="DH37" s="752">
        <f>CEILING($DH$33*C37,50)</f>
        <v>6250</v>
      </c>
      <c r="DI37" s="2795">
        <f>CEILING($DI$33*C37,50)</f>
        <v>5300</v>
      </c>
      <c r="DJ37" s="2795">
        <f>CEILING($DJ$33*C37,50)</f>
        <v>6350</v>
      </c>
      <c r="DK37" s="2794">
        <f>CEILING($DK$33*C37,50)</f>
        <v>6250</v>
      </c>
      <c r="DL37" s="2795">
        <f t="shared" ref="DL37:DQ37" si="52">CEILING(DL33*$C$37,50)</f>
        <v>6350</v>
      </c>
      <c r="DM37" s="2795">
        <f t="shared" si="52"/>
        <v>11750</v>
      </c>
      <c r="DN37" s="752">
        <f t="shared" si="52"/>
        <v>11750</v>
      </c>
      <c r="DO37" s="752">
        <f t="shared" si="52"/>
        <v>11750</v>
      </c>
      <c r="DP37" s="2795">
        <f t="shared" si="52"/>
        <v>2850</v>
      </c>
      <c r="DQ37" s="2795">
        <f t="shared" si="52"/>
        <v>3450</v>
      </c>
      <c r="DR37" s="752">
        <f>CEILING(DR33*$C$37,10)</f>
        <v>1370</v>
      </c>
      <c r="DS37" s="2672"/>
      <c r="DT37" s="1970">
        <f>CEILING(DT33*C37,50)</f>
        <v>14600</v>
      </c>
      <c r="DU37" s="760">
        <f>CEILING(DU33*C37,50)</f>
        <v>21850</v>
      </c>
      <c r="DV37" s="1970">
        <f>CEILING(EM37,50)</f>
        <v>5450</v>
      </c>
      <c r="DW37" s="2673"/>
      <c r="DX37" s="2673"/>
      <c r="DY37" s="1970">
        <f>CEILING(DY33*C37,50)</f>
        <v>31800</v>
      </c>
      <c r="DZ37" s="3378"/>
      <c r="EA37" s="3374"/>
      <c r="EB37" s="2800"/>
      <c r="EC37" s="2960"/>
      <c r="ED37" s="2960"/>
      <c r="EE37" s="2799"/>
      <c r="EF37" s="2800"/>
      <c r="EG37" s="2799"/>
      <c r="EH37" s="2800"/>
      <c r="EI37" s="2799"/>
      <c r="EJ37" s="2800"/>
      <c r="EK37" s="2799">
        <f>'Полотна база'!AW58</f>
        <v>43500</v>
      </c>
      <c r="EL37" s="2800">
        <f>(EK37/1.6)*$EL$26</f>
        <v>27187.5</v>
      </c>
      <c r="EM37" s="2800">
        <f>(EK37/1.6)*$EM$26</f>
        <v>5437.5</v>
      </c>
    </row>
    <row r="38" spans="1:145" s="1651" customFormat="1" ht="23.45" hidden="1" customHeight="1" outlineLevel="2">
      <c r="A38" s="4928" t="s">
        <v>2412</v>
      </c>
      <c r="B38" s="4928"/>
      <c r="C38" s="1725">
        <f>CEILING('Декоры база'!B36/10*4, 50)</f>
        <v>900</v>
      </c>
      <c r="D38" s="1725"/>
      <c r="E38" s="1725"/>
      <c r="F38" s="1725"/>
      <c r="G38" s="1725"/>
      <c r="H38" s="1725"/>
      <c r="I38" s="1725"/>
      <c r="J38" s="1725"/>
      <c r="K38" s="1725"/>
      <c r="L38" s="1725"/>
      <c r="M38" s="1725"/>
      <c r="N38" s="1725"/>
      <c r="O38" s="1725"/>
      <c r="P38" s="1725"/>
      <c r="Q38" s="1725"/>
      <c r="R38" s="2324"/>
      <c r="S38" s="1725"/>
      <c r="T38" s="1725"/>
      <c r="U38" s="1725"/>
      <c r="V38" s="1725"/>
      <c r="W38" s="1725"/>
      <c r="X38" s="2643"/>
      <c r="Y38" s="2636"/>
      <c r="Z38" s="2636"/>
      <c r="AA38" s="2636"/>
      <c r="AB38" s="2314"/>
      <c r="AC38" s="2314"/>
      <c r="AD38" s="2314"/>
      <c r="AE38" s="2314"/>
      <c r="AF38" s="2314"/>
      <c r="AG38" s="1725"/>
      <c r="AH38" s="1725"/>
      <c r="AI38" s="1725"/>
      <c r="AJ38" s="1725"/>
      <c r="AK38" s="2314">
        <f>CEILING(AK33*0.28, 50)</f>
        <v>650</v>
      </c>
      <c r="AL38" s="2314">
        <f>CEILING(AL33*0.28, 50)</f>
        <v>1100</v>
      </c>
      <c r="AM38" s="1725"/>
      <c r="AN38" s="1725"/>
      <c r="AO38" s="1725"/>
      <c r="AP38" s="2324"/>
      <c r="AQ38" s="2324"/>
      <c r="AR38" s="1725"/>
      <c r="AS38" s="1725"/>
      <c r="AT38" s="1725"/>
      <c r="AU38" s="1725"/>
      <c r="AV38" s="1725"/>
      <c r="AW38" s="1725"/>
      <c r="AX38" s="1725"/>
      <c r="AY38" s="1725"/>
      <c r="AZ38" s="1725"/>
      <c r="BA38" s="1725"/>
      <c r="BB38" s="1725"/>
      <c r="BC38" s="764">
        <f>BC36</f>
        <v>120</v>
      </c>
      <c r="BD38" s="1725"/>
      <c r="BE38" s="1725"/>
      <c r="BF38" s="1725"/>
      <c r="BG38" s="1725"/>
      <c r="BH38" s="1725"/>
      <c r="BI38" s="1725"/>
      <c r="BJ38" s="3007"/>
      <c r="BK38" s="1725"/>
      <c r="BL38" s="1725"/>
      <c r="BM38" s="1725"/>
      <c r="BN38" s="1725"/>
      <c r="BO38" s="1725"/>
      <c r="BP38" s="1725"/>
      <c r="BQ38" s="1725"/>
      <c r="BR38" s="1725"/>
      <c r="BS38" s="1725"/>
      <c r="BT38" s="1725"/>
      <c r="BU38" s="1725"/>
      <c r="BV38" s="1725"/>
      <c r="BW38" s="1725"/>
      <c r="BX38" s="1725"/>
      <c r="BY38" s="1725"/>
      <c r="BZ38" s="806">
        <f t="shared" ref="BZ38:CV38" si="53">BZ163</f>
        <v>0</v>
      </c>
      <c r="CA38" s="806">
        <f t="shared" si="53"/>
        <v>0</v>
      </c>
      <c r="CB38" s="806">
        <f t="shared" si="53"/>
        <v>0</v>
      </c>
      <c r="CC38" s="806">
        <f t="shared" si="53"/>
        <v>0</v>
      </c>
      <c r="CD38" s="806">
        <f t="shared" si="53"/>
        <v>0</v>
      </c>
      <c r="CE38" s="806">
        <f t="shared" si="53"/>
        <v>0</v>
      </c>
      <c r="CF38" s="806">
        <f t="shared" si="53"/>
        <v>0</v>
      </c>
      <c r="CG38" s="806">
        <f t="shared" si="53"/>
        <v>0</v>
      </c>
      <c r="CH38" s="806"/>
      <c r="CI38" s="806"/>
      <c r="CJ38" s="806"/>
      <c r="CK38" s="806"/>
      <c r="CL38" s="806"/>
      <c r="CM38" s="806"/>
      <c r="CN38" s="806"/>
      <c r="CO38" s="806">
        <f t="shared" si="53"/>
        <v>0</v>
      </c>
      <c r="CP38" s="806">
        <f t="shared" si="53"/>
        <v>0</v>
      </c>
      <c r="CQ38" s="806">
        <f t="shared" si="53"/>
        <v>0</v>
      </c>
      <c r="CR38" s="806">
        <f t="shared" si="53"/>
        <v>0</v>
      </c>
      <c r="CS38" s="806">
        <f t="shared" si="53"/>
        <v>0</v>
      </c>
      <c r="CT38" s="806">
        <f t="shared" si="53"/>
        <v>0</v>
      </c>
      <c r="CU38" s="806">
        <f t="shared" si="53"/>
        <v>0</v>
      </c>
      <c r="CV38" s="806">
        <f t="shared" si="53"/>
        <v>0</v>
      </c>
      <c r="CW38" s="806"/>
      <c r="CX38" s="806"/>
      <c r="CY38" s="806"/>
      <c r="CZ38" s="806"/>
      <c r="DA38" s="806"/>
      <c r="DB38" s="806"/>
      <c r="DC38" s="806"/>
      <c r="DD38" s="1725"/>
      <c r="DE38" s="752"/>
      <c r="DF38" s="1725"/>
      <c r="DG38" s="1725"/>
      <c r="DH38" s="1725"/>
      <c r="DI38" s="1725"/>
      <c r="DJ38" s="1725"/>
      <c r="DK38" s="3007"/>
      <c r="DL38" s="1725"/>
      <c r="DM38" s="1725"/>
      <c r="DN38" s="1725"/>
      <c r="DO38" s="1725"/>
      <c r="DP38" s="1725"/>
      <c r="DQ38" s="1725"/>
      <c r="DR38" s="1725"/>
      <c r="DS38" s="1725"/>
      <c r="DT38" s="1725"/>
      <c r="DU38" s="1725"/>
      <c r="DV38" s="1725"/>
      <c r="DW38" s="1725"/>
      <c r="DX38" s="1725"/>
      <c r="DY38" s="1725"/>
      <c r="DZ38" s="3379"/>
      <c r="EL38" s="2802"/>
      <c r="EM38" s="2674"/>
    </row>
    <row r="39" spans="1:145" s="1651" customFormat="1" ht="24.6" hidden="1" customHeight="1" outlineLevel="2">
      <c r="A39" s="4937" t="s">
        <v>2411</v>
      </c>
      <c r="B39" s="4937"/>
      <c r="C39" s="3778"/>
      <c r="D39" s="3778"/>
      <c r="E39" s="3778"/>
      <c r="F39" s="3778"/>
      <c r="G39" s="3778"/>
      <c r="H39" s="3778"/>
      <c r="I39" s="3778"/>
      <c r="J39" s="3778"/>
      <c r="K39" s="3778"/>
      <c r="L39" s="3778"/>
      <c r="M39" s="3778"/>
      <c r="N39" s="3778"/>
      <c r="O39" s="3778"/>
      <c r="P39" s="3778"/>
      <c r="Q39" s="3778"/>
      <c r="R39" s="3778"/>
      <c r="S39" s="3778"/>
      <c r="T39" s="3778"/>
      <c r="U39" s="3778"/>
      <c r="V39" s="3778"/>
      <c r="W39" s="3778"/>
      <c r="X39" s="3779"/>
      <c r="Y39" s="3778"/>
      <c r="Z39" s="3778"/>
      <c r="AA39" s="3778"/>
      <c r="AB39" s="3780"/>
      <c r="AC39" s="3780"/>
      <c r="AD39" s="3778"/>
      <c r="AE39" s="3778"/>
      <c r="AF39" s="3780"/>
      <c r="AG39" s="3778"/>
      <c r="AH39" s="3778"/>
      <c r="AI39" s="3778"/>
      <c r="AJ39" s="3778"/>
      <c r="AK39" s="3780">
        <f>CEILING(AK33*0.15, 50)</f>
        <v>350</v>
      </c>
      <c r="AL39" s="3780">
        <f>CEILING(AL33*0.15, 50)</f>
        <v>600</v>
      </c>
      <c r="AM39" s="3778"/>
      <c r="AN39" s="3778"/>
      <c r="AO39" s="3778"/>
      <c r="AP39" s="3778"/>
      <c r="AQ39" s="3778"/>
      <c r="AR39" s="3778"/>
      <c r="AS39" s="3778"/>
      <c r="AT39" s="3778"/>
      <c r="AU39" s="3778"/>
      <c r="AV39" s="3778"/>
      <c r="AW39" s="3778"/>
      <c r="AX39" s="3778"/>
      <c r="AY39" s="3778"/>
      <c r="AZ39" s="3778"/>
      <c r="BA39" s="3778"/>
      <c r="BB39" s="3778"/>
      <c r="BC39" s="764">
        <f>BC37</f>
        <v>120</v>
      </c>
      <c r="BD39" s="3778"/>
      <c r="BE39" s="3778"/>
      <c r="BF39" s="3778"/>
      <c r="BG39" s="3778"/>
      <c r="BH39" s="3778"/>
      <c r="BI39" s="3778"/>
      <c r="BJ39" s="3778"/>
      <c r="BK39" s="3778"/>
      <c r="BL39" s="3778"/>
      <c r="BM39" s="3778"/>
      <c r="BN39" s="3778"/>
      <c r="BO39" s="3778"/>
      <c r="BP39" s="3778"/>
      <c r="BQ39" s="3778"/>
      <c r="BR39" s="3778"/>
      <c r="BS39" s="3778"/>
      <c r="BT39" s="3778"/>
      <c r="BU39" s="3778"/>
      <c r="BV39" s="3778"/>
      <c r="BW39" s="3778"/>
      <c r="BX39" s="3778"/>
      <c r="BY39" s="3778"/>
      <c r="BZ39" s="3778"/>
      <c r="CA39" s="3778"/>
      <c r="CB39" s="3778"/>
      <c r="CC39" s="3778"/>
      <c r="CD39" s="3778"/>
      <c r="CE39" s="3778"/>
      <c r="CF39" s="3778"/>
      <c r="CG39" s="3778"/>
      <c r="CH39" s="3780"/>
      <c r="CI39" s="3780"/>
      <c r="CJ39" s="3780"/>
      <c r="CK39" s="3780"/>
      <c r="CL39" s="3780"/>
      <c r="CM39" s="3780"/>
      <c r="CN39" s="3780"/>
      <c r="CO39" s="3778"/>
      <c r="CP39" s="3778"/>
      <c r="CQ39" s="3778"/>
      <c r="CR39" s="3778"/>
      <c r="CS39" s="3778"/>
      <c r="CT39" s="3778"/>
      <c r="CU39" s="3778"/>
      <c r="CV39" s="3778"/>
      <c r="CW39" s="3780"/>
      <c r="CX39" s="3780"/>
      <c r="CY39" s="3780"/>
      <c r="CZ39" s="3780"/>
      <c r="DA39" s="3780"/>
      <c r="DB39" s="3780"/>
      <c r="DC39" s="3780"/>
      <c r="DD39" s="3778"/>
      <c r="DE39" s="3778"/>
      <c r="DF39" s="3778"/>
      <c r="DG39" s="3778"/>
      <c r="DH39" s="3778"/>
      <c r="DI39" s="3778"/>
      <c r="DJ39" s="3778"/>
      <c r="DK39" s="3778"/>
      <c r="DL39" s="3778"/>
      <c r="DM39" s="3778"/>
      <c r="DN39" s="3778"/>
      <c r="DO39" s="3778"/>
      <c r="DP39" s="3778"/>
      <c r="DQ39" s="3778"/>
      <c r="DR39" s="3778"/>
      <c r="DS39" s="3778"/>
      <c r="DT39" s="3778"/>
      <c r="DU39" s="3778"/>
      <c r="DV39" s="3778"/>
      <c r="DW39" s="3778"/>
      <c r="DX39" s="3778"/>
      <c r="DY39" s="3778"/>
      <c r="DZ39" s="3518"/>
      <c r="EH39" s="1651">
        <f>EG33/1.6</f>
        <v>29593.75</v>
      </c>
    </row>
    <row r="40" spans="1:145" s="1651" customFormat="1" ht="24.6" hidden="1" customHeight="1" outlineLevel="2" thickBot="1">
      <c r="A40" s="3781"/>
      <c r="B40" s="589"/>
      <c r="C40" s="589"/>
      <c r="D40" s="3785" t="s">
        <v>3349</v>
      </c>
      <c r="E40" s="356"/>
      <c r="F40" s="356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706"/>
      <c r="AK40" s="69"/>
      <c r="AL40" s="69"/>
      <c r="AM40" s="69"/>
      <c r="AN40" s="69"/>
      <c r="AO40" s="69"/>
      <c r="AP40" s="69"/>
      <c r="AQ40" s="69"/>
      <c r="AR40" s="69"/>
      <c r="AS40" s="69"/>
      <c r="AT40" s="69"/>
      <c r="AU40" s="69"/>
      <c r="AV40" s="69"/>
      <c r="AW40" s="69"/>
      <c r="AX40" s="69"/>
      <c r="AY40" s="589"/>
      <c r="AZ40" s="69"/>
      <c r="BA40" s="69"/>
      <c r="BB40" s="589"/>
      <c r="BC40" s="589"/>
      <c r="BD40" s="589"/>
      <c r="BE40" s="589"/>
      <c r="BF40" s="589"/>
      <c r="BG40" s="589"/>
      <c r="BH40" s="589"/>
      <c r="BI40" s="589"/>
      <c r="BJ40" s="589"/>
      <c r="BK40" s="589"/>
      <c r="BL40" s="589"/>
      <c r="BM40" s="589"/>
      <c r="BN40" s="589"/>
      <c r="BO40" s="589"/>
      <c r="BP40" s="589"/>
      <c r="BQ40" s="589"/>
      <c r="BR40" s="589"/>
      <c r="BS40" s="589"/>
      <c r="BT40" s="589"/>
      <c r="BU40" s="589"/>
      <c r="BV40" s="589"/>
      <c r="BW40" s="589"/>
      <c r="BX40" s="589"/>
      <c r="BY40" s="589"/>
      <c r="BZ40" s="589"/>
      <c r="CA40" s="589"/>
      <c r="CB40" s="589"/>
      <c r="CC40" s="589"/>
      <c r="CD40" s="589"/>
      <c r="CE40" s="589"/>
      <c r="CF40" s="589"/>
      <c r="CG40" s="589"/>
      <c r="CH40" s="589"/>
      <c r="CI40" s="589"/>
      <c r="CJ40" s="589"/>
      <c r="CK40" s="589"/>
      <c r="CL40" s="589"/>
      <c r="CM40" s="589"/>
      <c r="CN40" s="589"/>
      <c r="CO40" s="589"/>
      <c r="CP40" s="589"/>
      <c r="CQ40" s="589"/>
      <c r="CR40" s="589"/>
      <c r="CS40" s="589"/>
      <c r="CT40" s="589"/>
      <c r="CU40" s="589"/>
      <c r="CV40" s="589"/>
      <c r="CW40" s="589"/>
      <c r="CX40" s="589"/>
      <c r="CY40" s="589"/>
      <c r="DA40" s="399"/>
      <c r="DB40" s="399"/>
      <c r="DC40" s="399"/>
      <c r="DD40" s="1742"/>
      <c r="DE40" s="1742"/>
      <c r="DF40" s="1742"/>
      <c r="DG40" s="1742"/>
      <c r="DH40" s="1742"/>
      <c r="DI40" s="1742"/>
      <c r="DJ40" s="1742"/>
      <c r="DK40" s="1742"/>
      <c r="DL40" s="1742"/>
      <c r="DM40" s="1742"/>
      <c r="DN40" s="1742"/>
      <c r="DO40" s="1742"/>
      <c r="DP40" s="1742"/>
      <c r="DQ40" s="1742"/>
      <c r="DR40" s="1742"/>
      <c r="DS40" s="1742"/>
      <c r="DT40" s="1742"/>
      <c r="DU40" s="1742"/>
      <c r="DV40" s="1742"/>
      <c r="DW40" s="1742"/>
      <c r="DX40" s="1742"/>
      <c r="DY40" s="1742"/>
      <c r="DZ40" s="3518"/>
    </row>
    <row r="41" spans="1:145" s="1651" customFormat="1" ht="48" hidden="1" customHeight="1" outlineLevel="2" thickBot="1">
      <c r="A41" s="3781"/>
      <c r="B41" s="3505"/>
      <c r="C41" s="3505"/>
      <c r="D41" s="3510" t="s">
        <v>3070</v>
      </c>
      <c r="E41" s="3510" t="s">
        <v>3071</v>
      </c>
      <c r="F41" s="3510" t="s">
        <v>3072</v>
      </c>
      <c r="G41" s="3511" t="s">
        <v>3073</v>
      </c>
      <c r="H41" s="3511" t="s">
        <v>3074</v>
      </c>
      <c r="I41" s="3511" t="s">
        <v>3075</v>
      </c>
      <c r="J41" s="3512"/>
      <c r="K41" s="3510" t="s">
        <v>3076</v>
      </c>
      <c r="L41" s="3510" t="s">
        <v>3077</v>
      </c>
      <c r="M41" s="3510" t="s">
        <v>3078</v>
      </c>
      <c r="N41" s="3510" t="s">
        <v>3079</v>
      </c>
      <c r="O41" s="3510" t="s">
        <v>3080</v>
      </c>
      <c r="P41" s="3510" t="s">
        <v>3081</v>
      </c>
      <c r="Q41" s="3510" t="s">
        <v>3082</v>
      </c>
      <c r="R41" s="3510" t="s">
        <v>3083</v>
      </c>
      <c r="S41" s="3510" t="s">
        <v>3084</v>
      </c>
      <c r="T41" s="3510" t="s">
        <v>3085</v>
      </c>
      <c r="U41" s="3512"/>
      <c r="V41" s="3513" t="s">
        <v>3086</v>
      </c>
      <c r="W41" s="3513" t="s">
        <v>3087</v>
      </c>
      <c r="X41" s="3510" t="s">
        <v>3088</v>
      </c>
      <c r="Y41" s="3510" t="s">
        <v>3089</v>
      </c>
      <c r="Z41" s="3510" t="s">
        <v>3090</v>
      </c>
      <c r="AA41" s="3510" t="s">
        <v>3091</v>
      </c>
      <c r="AB41" s="3513" t="s">
        <v>3092</v>
      </c>
      <c r="AC41" s="3510" t="s">
        <v>3093</v>
      </c>
      <c r="AD41" s="3510"/>
      <c r="AE41" s="3512"/>
      <c r="AF41" s="3511" t="s">
        <v>3094</v>
      </c>
      <c r="AG41" s="3511" t="s">
        <v>3095</v>
      </c>
      <c r="AH41" s="3511" t="s">
        <v>3096</v>
      </c>
      <c r="AI41" s="3511" t="s">
        <v>3097</v>
      </c>
      <c r="AJ41" s="3511" t="s">
        <v>3098</v>
      </c>
      <c r="AK41" s="3511" t="s">
        <v>3099</v>
      </c>
      <c r="AL41" s="3511" t="s">
        <v>3100</v>
      </c>
      <c r="AM41" s="3511" t="s">
        <v>3101</v>
      </c>
      <c r="AN41" s="3511" t="s">
        <v>3102</v>
      </c>
      <c r="AO41" s="3511" t="s">
        <v>3103</v>
      </c>
      <c r="AP41" s="3511" t="s">
        <v>3104</v>
      </c>
      <c r="AQ41" s="3506" t="s">
        <v>3105</v>
      </c>
      <c r="AR41" s="3506" t="s">
        <v>3106</v>
      </c>
      <c r="AS41" s="3506" t="s">
        <v>3107</v>
      </c>
      <c r="AT41" s="3506" t="s">
        <v>3105</v>
      </c>
      <c r="AU41" s="3506" t="s">
        <v>3108</v>
      </c>
      <c r="AV41" s="3507"/>
      <c r="AW41" s="3506" t="s">
        <v>3109</v>
      </c>
      <c r="AX41" s="3506" t="s">
        <v>3110</v>
      </c>
      <c r="AY41" s="3506" t="s">
        <v>3111</v>
      </c>
      <c r="AZ41" s="3506" t="s">
        <v>3112</v>
      </c>
      <c r="BA41" s="3506" t="s">
        <v>3113</v>
      </c>
      <c r="BB41" s="3506" t="s">
        <v>3114</v>
      </c>
      <c r="BC41" s="3506" t="s">
        <v>3115</v>
      </c>
      <c r="BD41" s="3506" t="s">
        <v>3116</v>
      </c>
      <c r="BE41" s="3506" t="s">
        <v>3117</v>
      </c>
      <c r="BF41" s="3506" t="s">
        <v>3118</v>
      </c>
      <c r="BG41" s="3506" t="s">
        <v>3119</v>
      </c>
      <c r="BH41" s="3506" t="s">
        <v>3120</v>
      </c>
      <c r="BI41" s="3507"/>
      <c r="BJ41" s="3506" t="s">
        <v>3121</v>
      </c>
      <c r="BK41" s="3506" t="s">
        <v>3122</v>
      </c>
      <c r="BL41" s="3506" t="s">
        <v>3123</v>
      </c>
      <c r="BM41" s="3506" t="s">
        <v>3124</v>
      </c>
      <c r="BN41" s="3506" t="s">
        <v>3125</v>
      </c>
      <c r="BO41" s="3506" t="s">
        <v>3126</v>
      </c>
      <c r="BP41" s="3506" t="s">
        <v>3127</v>
      </c>
      <c r="BQ41" s="3506" t="s">
        <v>3128</v>
      </c>
      <c r="BR41" s="3506" t="s">
        <v>3129</v>
      </c>
      <c r="BS41" s="3506" t="s">
        <v>3130</v>
      </c>
      <c r="BT41" s="3506" t="s">
        <v>3131</v>
      </c>
      <c r="BU41" s="3506" t="s">
        <v>3132</v>
      </c>
      <c r="BV41" s="3507"/>
      <c r="BW41" s="2190" t="s">
        <v>3133</v>
      </c>
      <c r="BX41" s="2190" t="s">
        <v>3134</v>
      </c>
      <c r="BY41" s="2190" t="s">
        <v>3135</v>
      </c>
      <c r="BZ41" s="2190" t="s">
        <v>3136</v>
      </c>
      <c r="CA41" s="2190" t="s">
        <v>3137</v>
      </c>
      <c r="CB41" s="2190" t="s">
        <v>3138</v>
      </c>
      <c r="CC41" s="2190" t="s">
        <v>3139</v>
      </c>
      <c r="CD41" s="3507"/>
      <c r="CE41" s="2190" t="s">
        <v>3140</v>
      </c>
      <c r="CF41" s="2190" t="s">
        <v>3141</v>
      </c>
      <c r="CG41" s="2190" t="s">
        <v>3142</v>
      </c>
      <c r="CH41" s="2190" t="s">
        <v>3143</v>
      </c>
      <c r="CI41" s="2190" t="s">
        <v>3144</v>
      </c>
      <c r="CJ41" s="2190" t="s">
        <v>3145</v>
      </c>
      <c r="CK41" s="2190" t="s">
        <v>3146</v>
      </c>
      <c r="CL41" s="2190" t="s">
        <v>3147</v>
      </c>
      <c r="CM41" s="2190" t="s">
        <v>3148</v>
      </c>
      <c r="CN41" s="3509" t="s">
        <v>3149</v>
      </c>
      <c r="CO41" s="3507"/>
      <c r="CP41" s="2190" t="s">
        <v>3150</v>
      </c>
      <c r="CQ41" s="2190" t="s">
        <v>3151</v>
      </c>
      <c r="CR41" s="2190" t="s">
        <v>3152</v>
      </c>
      <c r="CS41" s="2190" t="s">
        <v>3153</v>
      </c>
      <c r="CT41" s="2190" t="s">
        <v>3154</v>
      </c>
      <c r="CU41" s="2190" t="s">
        <v>3155</v>
      </c>
      <c r="CV41" s="2190" t="s">
        <v>3156</v>
      </c>
      <c r="CW41" s="3507"/>
      <c r="CX41" s="2190" t="s">
        <v>3157</v>
      </c>
      <c r="CY41" s="2190" t="s">
        <v>3158</v>
      </c>
      <c r="DA41" s="399"/>
      <c r="DB41" s="399"/>
      <c r="DC41" s="399"/>
      <c r="DD41" s="1742"/>
      <c r="DE41" s="1742"/>
      <c r="DF41" s="1742"/>
      <c r="DG41" s="1742"/>
      <c r="DH41" s="1742"/>
      <c r="DI41" s="1742"/>
      <c r="DJ41" s="1742"/>
      <c r="DK41" s="1742"/>
      <c r="DL41" s="1742"/>
      <c r="DM41" s="1742"/>
      <c r="DN41" s="1742"/>
      <c r="DO41" s="1742"/>
      <c r="DP41" s="1742"/>
      <c r="DQ41" s="1742"/>
      <c r="DR41" s="1742"/>
      <c r="DS41" s="1742"/>
      <c r="DT41" s="1742"/>
      <c r="DU41" s="1742"/>
      <c r="DV41" s="1742"/>
      <c r="DW41" s="1742"/>
      <c r="DX41" s="1742"/>
      <c r="DY41" s="1742"/>
      <c r="DZ41" s="3518"/>
    </row>
    <row r="42" spans="1:145" s="1651" customFormat="1" ht="24.6" hidden="1" customHeight="1" outlineLevel="2">
      <c r="A42" s="3781"/>
      <c r="B42" s="3784">
        <v>0.06</v>
      </c>
      <c r="C42" s="3505" t="s">
        <v>19</v>
      </c>
      <c r="D42" s="589">
        <v>2350</v>
      </c>
      <c r="E42" s="589">
        <v>2350</v>
      </c>
      <c r="F42" s="589">
        <v>2600</v>
      </c>
      <c r="G42" s="589">
        <v>4800</v>
      </c>
      <c r="H42" s="589">
        <v>4000</v>
      </c>
      <c r="I42" s="589">
        <v>4500</v>
      </c>
      <c r="J42" s="589" t="s">
        <v>5</v>
      </c>
      <c r="K42" s="589">
        <v>1300</v>
      </c>
      <c r="L42" s="589">
        <v>1500</v>
      </c>
      <c r="M42" s="589">
        <v>1500</v>
      </c>
      <c r="N42" s="589">
        <v>1650</v>
      </c>
      <c r="O42" s="589">
        <v>2050</v>
      </c>
      <c r="P42" s="589">
        <v>1400</v>
      </c>
      <c r="Q42" s="589">
        <v>2200</v>
      </c>
      <c r="R42" s="589">
        <v>3450</v>
      </c>
      <c r="S42" s="589">
        <v>2050</v>
      </c>
      <c r="T42" s="589">
        <v>770</v>
      </c>
      <c r="U42" s="589" t="s">
        <v>5</v>
      </c>
      <c r="V42" s="589">
        <v>1700</v>
      </c>
      <c r="W42" s="589">
        <v>2050</v>
      </c>
      <c r="X42" s="589">
        <v>2300</v>
      </c>
      <c r="Y42" s="589">
        <v>2300</v>
      </c>
      <c r="Z42" s="589">
        <v>2750</v>
      </c>
      <c r="AA42" s="589">
        <v>2950</v>
      </c>
      <c r="AB42" s="589">
        <v>3450</v>
      </c>
      <c r="AC42" s="589">
        <v>3900</v>
      </c>
      <c r="AD42" s="589" t="s">
        <v>5</v>
      </c>
      <c r="AE42" s="589" t="s">
        <v>5</v>
      </c>
      <c r="AF42" s="589">
        <v>3300</v>
      </c>
      <c r="AG42" s="589">
        <v>3900</v>
      </c>
      <c r="AH42" s="589">
        <v>4300</v>
      </c>
      <c r="AI42" s="589">
        <v>5150</v>
      </c>
      <c r="AJ42" s="589">
        <v>5050</v>
      </c>
      <c r="AK42" s="589">
        <v>5150</v>
      </c>
      <c r="AL42" s="589">
        <v>9550</v>
      </c>
      <c r="AM42" s="589">
        <v>11450</v>
      </c>
      <c r="AN42" s="589">
        <v>2300</v>
      </c>
      <c r="AO42" s="589">
        <v>9600</v>
      </c>
      <c r="AP42" s="589">
        <v>4200</v>
      </c>
      <c r="AQ42" s="589">
        <v>2800</v>
      </c>
      <c r="AR42" s="589">
        <v>10450</v>
      </c>
      <c r="AS42" s="589">
        <v>5050</v>
      </c>
      <c r="AT42" s="589">
        <v>2800</v>
      </c>
      <c r="AU42" s="589">
        <v>1110</v>
      </c>
      <c r="AV42" s="589" t="s">
        <v>5</v>
      </c>
      <c r="AW42" s="589">
        <v>1050</v>
      </c>
      <c r="AX42" s="589">
        <v>1110</v>
      </c>
      <c r="AY42" s="589">
        <v>1160</v>
      </c>
      <c r="AZ42" s="589">
        <v>1260</v>
      </c>
      <c r="BA42" s="589">
        <v>1110</v>
      </c>
      <c r="BB42" s="589">
        <v>1160</v>
      </c>
      <c r="BC42" s="589">
        <v>1260</v>
      </c>
      <c r="BD42" s="589">
        <v>1320</v>
      </c>
      <c r="BE42" s="589">
        <v>1160</v>
      </c>
      <c r="BF42" s="589">
        <v>1260</v>
      </c>
      <c r="BG42" s="589">
        <v>1320</v>
      </c>
      <c r="BH42" s="589">
        <v>1530</v>
      </c>
      <c r="BI42" s="589" t="s">
        <v>5</v>
      </c>
      <c r="BJ42" s="589">
        <v>1450</v>
      </c>
      <c r="BK42" s="589">
        <v>1550</v>
      </c>
      <c r="BL42" s="589">
        <v>1600</v>
      </c>
      <c r="BM42" s="589">
        <v>1650</v>
      </c>
      <c r="BN42" s="589">
        <v>1550</v>
      </c>
      <c r="BO42" s="589">
        <v>1600</v>
      </c>
      <c r="BP42" s="589">
        <v>1650</v>
      </c>
      <c r="BQ42" s="589">
        <v>1750</v>
      </c>
      <c r="BR42" s="589">
        <v>1600</v>
      </c>
      <c r="BS42" s="589">
        <v>1650</v>
      </c>
      <c r="BT42" s="589">
        <v>1750</v>
      </c>
      <c r="BU42" s="589">
        <v>2050</v>
      </c>
      <c r="BV42" s="589" t="s">
        <v>5</v>
      </c>
      <c r="BW42" s="589">
        <v>1300</v>
      </c>
      <c r="BX42" s="589">
        <v>2050</v>
      </c>
      <c r="BY42" s="589">
        <v>3700</v>
      </c>
      <c r="BZ42" s="589">
        <v>4900</v>
      </c>
      <c r="CA42" s="589">
        <v>6100</v>
      </c>
      <c r="CB42" s="589">
        <v>10900</v>
      </c>
      <c r="CC42" s="589">
        <v>2050</v>
      </c>
      <c r="CD42" s="589" t="s">
        <v>5</v>
      </c>
      <c r="CE42" s="589">
        <v>1100</v>
      </c>
      <c r="CF42" s="589">
        <v>1450</v>
      </c>
      <c r="CG42" s="589">
        <v>1550</v>
      </c>
      <c r="CH42" s="589">
        <v>1150</v>
      </c>
      <c r="CI42" s="589">
        <v>1550</v>
      </c>
      <c r="CJ42" s="589">
        <v>1650</v>
      </c>
      <c r="CK42" s="589">
        <v>2050</v>
      </c>
      <c r="CL42" s="589">
        <v>2250</v>
      </c>
      <c r="CM42" s="589">
        <v>2650</v>
      </c>
      <c r="CN42" s="589">
        <v>1500</v>
      </c>
      <c r="CO42" s="589" t="s">
        <v>5</v>
      </c>
      <c r="CP42" s="589">
        <v>2250</v>
      </c>
      <c r="CQ42" s="589">
        <v>2550</v>
      </c>
      <c r="CR42" s="589">
        <v>3700</v>
      </c>
      <c r="CS42" s="589">
        <v>850</v>
      </c>
      <c r="CT42" s="589">
        <v>1000</v>
      </c>
      <c r="CU42" s="589">
        <v>1300</v>
      </c>
      <c r="CV42" s="589">
        <v>5600</v>
      </c>
      <c r="CW42" s="589" t="s">
        <v>5</v>
      </c>
      <c r="CX42" s="589">
        <v>150</v>
      </c>
      <c r="CY42" s="1743">
        <v>1900</v>
      </c>
      <c r="DA42" s="399"/>
      <c r="DB42" s="399"/>
      <c r="DC42" s="399"/>
      <c r="DD42" s="1742"/>
      <c r="DE42" s="1742"/>
      <c r="DF42" s="1742"/>
      <c r="DG42" s="1742"/>
      <c r="DH42" s="1742"/>
      <c r="DI42" s="1742"/>
      <c r="DJ42" s="1742"/>
      <c r="DK42" s="1742"/>
      <c r="DL42" s="1742"/>
      <c r="DM42" s="1742"/>
      <c r="DN42" s="1742"/>
      <c r="DO42" s="1742"/>
      <c r="DP42" s="1742"/>
      <c r="DQ42" s="1742"/>
      <c r="DR42" s="1742"/>
      <c r="DS42" s="1742"/>
      <c r="DT42" s="1742"/>
      <c r="DU42" s="1742"/>
      <c r="DV42" s="1742"/>
      <c r="DW42" s="1742"/>
      <c r="DX42" s="1742"/>
      <c r="DY42" s="1742"/>
      <c r="DZ42" s="3518"/>
    </row>
    <row r="43" spans="1:145" s="1651" customFormat="1" ht="24.6" hidden="1" customHeight="1" outlineLevel="2">
      <c r="A43" s="3781"/>
      <c r="B43" s="3784"/>
      <c r="C43" s="3505"/>
      <c r="D43" s="3669">
        <f>D42/D64-1</f>
        <v>6.8181818181818121E-2</v>
      </c>
      <c r="E43" s="3669">
        <f t="shared" ref="E43:BP43" si="54">E42/E64-1</f>
        <v>6.8181818181818121E-2</v>
      </c>
      <c r="F43" s="3669">
        <f t="shared" si="54"/>
        <v>6.1224489795918435E-2</v>
      </c>
      <c r="G43" s="3669">
        <f t="shared" si="54"/>
        <v>5.4945054945054972E-2</v>
      </c>
      <c r="H43" s="3669">
        <f t="shared" si="54"/>
        <v>5.2631578947368363E-2</v>
      </c>
      <c r="I43" s="3669">
        <f t="shared" si="54"/>
        <v>5.8823529411764719E-2</v>
      </c>
      <c r="J43" s="3669" t="s">
        <v>5</v>
      </c>
      <c r="K43" s="3669">
        <f t="shared" si="54"/>
        <v>8.3333333333333259E-2</v>
      </c>
      <c r="L43" s="3669">
        <f t="shared" si="54"/>
        <v>7.1428571428571397E-2</v>
      </c>
      <c r="M43" s="3669">
        <f t="shared" si="54"/>
        <v>7.1428571428571397E-2</v>
      </c>
      <c r="N43" s="3669">
        <f t="shared" si="54"/>
        <v>6.4516129032258007E-2</v>
      </c>
      <c r="O43" s="3669">
        <f t="shared" si="54"/>
        <v>5.1282051282051322E-2</v>
      </c>
      <c r="P43" s="3669">
        <f t="shared" si="54"/>
        <v>7.6923076923076872E-2</v>
      </c>
      <c r="Q43" s="3669">
        <f t="shared" si="54"/>
        <v>7.3170731707317138E-2</v>
      </c>
      <c r="R43" s="3669">
        <f t="shared" si="54"/>
        <v>6.1538461538461542E-2</v>
      </c>
      <c r="S43" s="3669">
        <f t="shared" si="54"/>
        <v>5.1282051282051322E-2</v>
      </c>
      <c r="T43" s="3669">
        <f t="shared" si="54"/>
        <v>5.4794520547945202E-2</v>
      </c>
      <c r="U43" s="3669" t="s">
        <v>5</v>
      </c>
      <c r="V43" s="3669">
        <f t="shared" si="54"/>
        <v>6.25E-2</v>
      </c>
      <c r="W43" s="3669">
        <f t="shared" si="54"/>
        <v>5.1282051282051322E-2</v>
      </c>
      <c r="X43" s="3669">
        <f t="shared" si="54"/>
        <v>6.9767441860465018E-2</v>
      </c>
      <c r="Y43" s="3669">
        <f t="shared" si="54"/>
        <v>6.9767441860465018E-2</v>
      </c>
      <c r="Z43" s="3669">
        <f t="shared" si="54"/>
        <v>5.7692307692307709E-2</v>
      </c>
      <c r="AA43" s="3669">
        <f t="shared" si="54"/>
        <v>5.3571428571428603E-2</v>
      </c>
      <c r="AB43" s="3669">
        <f t="shared" si="54"/>
        <v>6.1538461538461542E-2</v>
      </c>
      <c r="AC43" s="3669">
        <f t="shared" si="54"/>
        <v>5.4054054054053946E-2</v>
      </c>
      <c r="AD43" s="3669" t="s">
        <v>5</v>
      </c>
      <c r="AE43" s="3669" t="s">
        <v>5</v>
      </c>
      <c r="AF43" s="3669">
        <f t="shared" si="54"/>
        <v>6.4516129032258007E-2</v>
      </c>
      <c r="AG43" s="3669">
        <f t="shared" si="54"/>
        <v>5.4054054054053946E-2</v>
      </c>
      <c r="AH43" s="3669">
        <f t="shared" si="54"/>
        <v>6.1728395061728447E-2</v>
      </c>
      <c r="AI43" s="3669">
        <f t="shared" si="54"/>
        <v>5.1020408163265252E-2</v>
      </c>
      <c r="AJ43" s="3669">
        <f t="shared" si="54"/>
        <v>5.2083333333333259E-2</v>
      </c>
      <c r="AK43" s="3669">
        <f t="shared" si="54"/>
        <v>5.1020408163265252E-2</v>
      </c>
      <c r="AL43" s="3669">
        <f t="shared" si="54"/>
        <v>5.5248618784530468E-2</v>
      </c>
      <c r="AM43" s="3669">
        <f t="shared" si="54"/>
        <v>5.0458715596330306E-2</v>
      </c>
      <c r="AN43" s="3669">
        <f t="shared" si="54"/>
        <v>6.9767441860465018E-2</v>
      </c>
      <c r="AO43" s="3669">
        <f t="shared" si="54"/>
        <v>5.4945054945054972E-2</v>
      </c>
      <c r="AP43" s="3669">
        <f t="shared" si="54"/>
        <v>5.0000000000000044E-2</v>
      </c>
      <c r="AQ43" s="3669">
        <f t="shared" si="54"/>
        <v>5.6603773584905648E-2</v>
      </c>
      <c r="AR43" s="3669">
        <f t="shared" si="54"/>
        <v>5.0251256281407031E-2</v>
      </c>
      <c r="AS43" s="3669">
        <f t="shared" si="54"/>
        <v>5.2083333333333259E-2</v>
      </c>
      <c r="AT43" s="3669">
        <f t="shared" si="54"/>
        <v>5.6603773584905648E-2</v>
      </c>
      <c r="AU43" s="3669">
        <f t="shared" si="54"/>
        <v>5.7142857142857162E-2</v>
      </c>
      <c r="AV43" s="3669" t="s">
        <v>5</v>
      </c>
      <c r="AW43" s="3669">
        <f t="shared" si="54"/>
        <v>5.0000000000000044E-2</v>
      </c>
      <c r="AX43" s="3669">
        <f t="shared" si="54"/>
        <v>5.7142857142857162E-2</v>
      </c>
      <c r="AY43" s="3669">
        <f t="shared" si="54"/>
        <v>5.4545454545454453E-2</v>
      </c>
      <c r="AZ43" s="3669">
        <f t="shared" si="54"/>
        <v>5.0000000000000044E-2</v>
      </c>
      <c r="BA43" s="3669">
        <f t="shared" si="54"/>
        <v>5.7142857142857162E-2</v>
      </c>
      <c r="BB43" s="3669">
        <f t="shared" si="54"/>
        <v>5.4545454545454453E-2</v>
      </c>
      <c r="BC43" s="3669">
        <f t="shared" si="54"/>
        <v>5.0000000000000044E-2</v>
      </c>
      <c r="BD43" s="3669">
        <f t="shared" si="54"/>
        <v>5.600000000000005E-2</v>
      </c>
      <c r="BE43" s="3669">
        <f t="shared" si="54"/>
        <v>5.4545454545454453E-2</v>
      </c>
      <c r="BF43" s="3669">
        <f t="shared" si="54"/>
        <v>5.0000000000000044E-2</v>
      </c>
      <c r="BG43" s="3669">
        <f t="shared" si="54"/>
        <v>5.600000000000005E-2</v>
      </c>
      <c r="BH43" s="3669">
        <f t="shared" si="54"/>
        <v>5.5172413793103559E-2</v>
      </c>
      <c r="BI43" s="3669" t="s">
        <v>5</v>
      </c>
      <c r="BJ43" s="3669">
        <f t="shared" si="54"/>
        <v>7.4074074074074181E-2</v>
      </c>
      <c r="BK43" s="3669">
        <f t="shared" si="54"/>
        <v>6.8965517241379226E-2</v>
      </c>
      <c r="BL43" s="3669">
        <f t="shared" si="54"/>
        <v>5.9602649006622599E-2</v>
      </c>
      <c r="BM43" s="3669">
        <f t="shared" si="54"/>
        <v>5.7692307692307709E-2</v>
      </c>
      <c r="BN43" s="3669">
        <f t="shared" si="54"/>
        <v>6.164383561643838E-2</v>
      </c>
      <c r="BO43" s="3669">
        <f t="shared" si="54"/>
        <v>5.9602649006622599E-2</v>
      </c>
      <c r="BP43" s="3669">
        <f t="shared" si="54"/>
        <v>5.7692307692307709E-2</v>
      </c>
      <c r="BQ43" s="3669">
        <f t="shared" ref="BQ43:CY43" si="55">BQ42/BQ64-1</f>
        <v>5.4216867469879526E-2</v>
      </c>
      <c r="BR43" s="3669">
        <f t="shared" si="55"/>
        <v>5.9602649006622599E-2</v>
      </c>
      <c r="BS43" s="3669">
        <f t="shared" si="55"/>
        <v>5.7692307692307709E-2</v>
      </c>
      <c r="BT43" s="3669">
        <f t="shared" si="55"/>
        <v>5.4216867469879526E-2</v>
      </c>
      <c r="BU43" s="3669">
        <f t="shared" si="55"/>
        <v>5.1282051282051322E-2</v>
      </c>
      <c r="BV43" s="3669" t="s">
        <v>5</v>
      </c>
      <c r="BW43" s="3669">
        <f t="shared" si="55"/>
        <v>8.3333333333333259E-2</v>
      </c>
      <c r="BX43" s="3669">
        <f t="shared" si="55"/>
        <v>5.1282051282051322E-2</v>
      </c>
      <c r="BY43" s="3669">
        <f t="shared" si="55"/>
        <v>5.7142857142857162E-2</v>
      </c>
      <c r="BZ43" s="3669">
        <f t="shared" si="55"/>
        <v>5.3763440860215006E-2</v>
      </c>
      <c r="CA43" s="3669">
        <f t="shared" si="55"/>
        <v>5.1724137931034475E-2</v>
      </c>
      <c r="CB43" s="3669">
        <f t="shared" si="55"/>
        <v>5.3140096618357502E-2</v>
      </c>
      <c r="CC43" s="3669">
        <f t="shared" si="55"/>
        <v>5.1282051282051322E-2</v>
      </c>
      <c r="CD43" s="3669" t="s">
        <v>5</v>
      </c>
      <c r="CE43" s="3669">
        <f t="shared" si="55"/>
        <v>4.7619047619047672E-2</v>
      </c>
      <c r="CF43" s="3669">
        <f t="shared" si="55"/>
        <v>7.4074074074074181E-2</v>
      </c>
      <c r="CG43" s="3669">
        <f t="shared" si="55"/>
        <v>6.8965517241379226E-2</v>
      </c>
      <c r="CH43" s="3669">
        <f t="shared" si="55"/>
        <v>4.5454545454545414E-2</v>
      </c>
      <c r="CI43" s="3669">
        <f t="shared" si="55"/>
        <v>6.8965517241379226E-2</v>
      </c>
      <c r="CJ43" s="3669">
        <f t="shared" si="55"/>
        <v>6.4516129032258007E-2</v>
      </c>
      <c r="CK43" s="3669">
        <f t="shared" si="55"/>
        <v>5.1282051282051322E-2</v>
      </c>
      <c r="CL43" s="3669">
        <f t="shared" si="55"/>
        <v>7.1428571428571397E-2</v>
      </c>
      <c r="CM43" s="3669">
        <f t="shared" si="55"/>
        <v>6.0000000000000053E-2</v>
      </c>
      <c r="CN43" s="3669">
        <f t="shared" si="55"/>
        <v>7.1428571428571397E-2</v>
      </c>
      <c r="CO43" s="3669" t="s">
        <v>5</v>
      </c>
      <c r="CP43" s="3669">
        <f t="shared" si="55"/>
        <v>7.1428571428571397E-2</v>
      </c>
      <c r="CQ43" s="3669">
        <f t="shared" si="55"/>
        <v>6.25E-2</v>
      </c>
      <c r="CR43" s="3669">
        <f t="shared" si="55"/>
        <v>5.7142857142857162E-2</v>
      </c>
      <c r="CS43" s="3669">
        <f t="shared" si="55"/>
        <v>6.25E-2</v>
      </c>
      <c r="CT43" s="3669">
        <f t="shared" si="55"/>
        <v>5.2631578947368363E-2</v>
      </c>
      <c r="CU43" s="3669">
        <f t="shared" si="55"/>
        <v>8.3333333333333259E-2</v>
      </c>
      <c r="CV43" s="3669">
        <f t="shared" si="55"/>
        <v>5.6603773584905648E-2</v>
      </c>
      <c r="CW43" s="3669" t="s">
        <v>5</v>
      </c>
      <c r="CX43" s="3669">
        <f t="shared" si="55"/>
        <v>0.4285714285714286</v>
      </c>
      <c r="CY43" s="3669">
        <f t="shared" si="55"/>
        <v>0</v>
      </c>
      <c r="DA43" s="399"/>
      <c r="DB43" s="399"/>
      <c r="DC43" s="399"/>
      <c r="DD43" s="1742"/>
      <c r="DE43" s="1742"/>
      <c r="DF43" s="1742"/>
      <c r="DG43" s="1742"/>
      <c r="DH43" s="1742"/>
      <c r="DI43" s="1742"/>
      <c r="DJ43" s="1742"/>
      <c r="DK43" s="1742"/>
      <c r="DL43" s="1742"/>
      <c r="DM43" s="1742"/>
      <c r="DN43" s="1742"/>
      <c r="DO43" s="1742"/>
      <c r="DP43" s="1742"/>
      <c r="DQ43" s="1742"/>
      <c r="DR43" s="1742"/>
      <c r="DS43" s="1742"/>
      <c r="DT43" s="1742"/>
      <c r="DU43" s="1742"/>
      <c r="DV43" s="1742"/>
      <c r="DW43" s="1742"/>
      <c r="DX43" s="1742"/>
      <c r="DY43" s="1742"/>
      <c r="DZ43" s="3518"/>
    </row>
    <row r="44" spans="1:145" s="1651" customFormat="1" ht="24.6" hidden="1" customHeight="1" outlineLevel="2">
      <c r="A44" s="3781"/>
      <c r="B44" s="3784"/>
      <c r="C44" s="3505"/>
      <c r="D44" s="3669"/>
      <c r="E44" s="3669"/>
      <c r="F44" s="3669"/>
      <c r="G44" s="3669"/>
      <c r="H44" s="3669"/>
      <c r="I44" s="3669"/>
      <c r="J44" s="3669"/>
      <c r="K44" s="3669"/>
      <c r="L44" s="3669"/>
      <c r="M44" s="3669"/>
      <c r="N44" s="3786"/>
      <c r="O44" s="3669"/>
      <c r="P44" s="3669"/>
      <c r="Q44" s="3669"/>
      <c r="R44" s="3669"/>
      <c r="S44" s="3669"/>
      <c r="T44" s="3669"/>
      <c r="U44" s="3669"/>
      <c r="V44" s="3669"/>
      <c r="W44" s="3669"/>
      <c r="X44" s="3669"/>
      <c r="Y44" s="3669"/>
      <c r="Z44" s="3669"/>
      <c r="AA44" s="3669"/>
      <c r="AB44" s="3669"/>
      <c r="AC44" s="3669"/>
      <c r="AD44" s="3669"/>
      <c r="AE44" s="3669"/>
      <c r="AF44" s="3669"/>
      <c r="AG44" s="3669"/>
      <c r="AH44" s="3669"/>
      <c r="AI44" s="3669"/>
      <c r="AJ44" s="3669"/>
      <c r="AK44" s="3669"/>
      <c r="AL44" s="3669"/>
      <c r="AM44" s="3669"/>
      <c r="AN44" s="3669"/>
      <c r="AO44" s="3669"/>
      <c r="AP44" s="3669"/>
      <c r="AQ44" s="3669"/>
      <c r="AR44" s="3669"/>
      <c r="AS44" s="3669"/>
      <c r="AT44" s="3669"/>
      <c r="AU44" s="3669"/>
      <c r="AV44" s="3669"/>
      <c r="AW44" s="3669"/>
      <c r="AX44" s="3669"/>
      <c r="AY44" s="3669"/>
      <c r="AZ44" s="3669"/>
      <c r="BA44" s="3669"/>
      <c r="BB44" s="3669"/>
      <c r="BC44" s="3669"/>
      <c r="BD44" s="3669"/>
      <c r="BE44" s="3669"/>
      <c r="BF44" s="3669"/>
      <c r="BG44" s="3669"/>
      <c r="BH44" s="3669"/>
      <c r="BI44" s="3669"/>
      <c r="BJ44" s="3669"/>
      <c r="BK44" s="3669"/>
      <c r="BL44" s="3669"/>
      <c r="BM44" s="3669"/>
      <c r="BN44" s="3669"/>
      <c r="BO44" s="3669"/>
      <c r="BP44" s="3669"/>
      <c r="BQ44" s="3669"/>
      <c r="BR44" s="3669"/>
      <c r="BS44" s="3669"/>
      <c r="BT44" s="3669"/>
      <c r="BU44" s="3669"/>
      <c r="BV44" s="3669"/>
      <c r="BW44" s="3669"/>
      <c r="BX44" s="3669"/>
      <c r="BY44" s="3669"/>
      <c r="BZ44" s="3669"/>
      <c r="CA44" s="3669"/>
      <c r="CB44" s="3669"/>
      <c r="CC44" s="3669"/>
      <c r="CD44" s="3669"/>
      <c r="CE44" s="3669"/>
      <c r="CF44" s="3669"/>
      <c r="CG44" s="3669"/>
      <c r="CH44" s="3669"/>
      <c r="CI44" s="3669"/>
      <c r="CJ44" s="3669"/>
      <c r="CK44" s="3669"/>
      <c r="CL44" s="3669"/>
      <c r="CM44" s="3669"/>
      <c r="CN44" s="3669"/>
      <c r="CO44" s="3669"/>
      <c r="CP44" s="3669"/>
      <c r="CQ44" s="3669"/>
      <c r="CR44" s="3669"/>
      <c r="CS44" s="3669"/>
      <c r="CT44" s="3669"/>
      <c r="CU44" s="3669"/>
      <c r="CV44" s="3669"/>
      <c r="CW44" s="3669"/>
      <c r="CX44" s="3669"/>
      <c r="CY44" s="3669"/>
      <c r="DA44" s="399"/>
      <c r="DB44" s="399"/>
      <c r="DC44" s="399"/>
      <c r="DD44" s="1742"/>
      <c r="DE44" s="1742"/>
      <c r="DF44" s="1742"/>
      <c r="DG44" s="1742"/>
      <c r="DH44" s="1742"/>
      <c r="DI44" s="1742"/>
      <c r="DJ44" s="1742"/>
      <c r="DK44" s="1742"/>
      <c r="DL44" s="1742"/>
      <c r="DM44" s="1742"/>
      <c r="DN44" s="1742"/>
      <c r="DO44" s="1742"/>
      <c r="DP44" s="1742"/>
      <c r="DQ44" s="1742"/>
      <c r="DR44" s="1742"/>
      <c r="DS44" s="1742"/>
      <c r="DT44" s="1742"/>
      <c r="DU44" s="1742"/>
      <c r="DV44" s="1742"/>
      <c r="DW44" s="1742"/>
      <c r="DX44" s="1742"/>
      <c r="DY44" s="1742"/>
      <c r="DZ44" s="3518"/>
    </row>
    <row r="45" spans="1:145" s="1651" customFormat="1" ht="24.6" hidden="1" customHeight="1" outlineLevel="2">
      <c r="A45" s="3781"/>
      <c r="B45" s="3784"/>
      <c r="C45" s="3505"/>
      <c r="D45" s="3669"/>
      <c r="E45" s="3669"/>
      <c r="F45" s="3669"/>
      <c r="G45" s="3669"/>
      <c r="H45" s="3669"/>
      <c r="I45" s="3669"/>
      <c r="J45" s="3669"/>
      <c r="K45" s="3669"/>
      <c r="L45" s="3669"/>
      <c r="M45" s="3669"/>
      <c r="N45" s="3786"/>
      <c r="O45" s="3669"/>
      <c r="P45" s="3669"/>
      <c r="Q45" s="3669"/>
      <c r="R45" s="3669"/>
      <c r="S45" s="3669"/>
      <c r="T45" s="3669"/>
      <c r="U45" s="3669"/>
      <c r="V45" s="3669"/>
      <c r="W45" s="3669"/>
      <c r="X45" s="3669"/>
      <c r="Y45" s="3669"/>
      <c r="Z45" s="3669"/>
      <c r="AA45" s="3669"/>
      <c r="AB45" s="3669"/>
      <c r="AC45" s="3669"/>
      <c r="AD45" s="3669"/>
      <c r="AE45" s="3669"/>
      <c r="AF45" s="3669"/>
      <c r="AG45" s="3669"/>
      <c r="AH45" s="3669"/>
      <c r="AI45" s="3669"/>
      <c r="AJ45" s="3669"/>
      <c r="AK45" s="3669"/>
      <c r="AL45" s="3669"/>
      <c r="AM45" s="3669"/>
      <c r="AN45" s="3669"/>
      <c r="AO45" s="3669"/>
      <c r="AP45" s="3669"/>
      <c r="AQ45" s="3669"/>
      <c r="AR45" s="3669"/>
      <c r="AS45" s="3669"/>
      <c r="AT45" s="3669"/>
      <c r="AU45" s="3669"/>
      <c r="AV45" s="3669"/>
      <c r="AW45" s="3669"/>
      <c r="AX45" s="3669"/>
      <c r="AY45" s="3669"/>
      <c r="AZ45" s="3669"/>
      <c r="BA45" s="3669"/>
      <c r="BB45" s="3669"/>
      <c r="BC45" s="3669"/>
      <c r="BD45" s="3669"/>
      <c r="BE45" s="3669"/>
      <c r="BF45" s="3669"/>
      <c r="BG45" s="3669"/>
      <c r="BH45" s="3669"/>
      <c r="BI45" s="3669"/>
      <c r="BJ45" s="3669"/>
      <c r="BK45" s="3669"/>
      <c r="BL45" s="3669"/>
      <c r="BM45" s="3669"/>
      <c r="BN45" s="3669"/>
      <c r="BO45" s="3669"/>
      <c r="BP45" s="3669"/>
      <c r="BQ45" s="3669"/>
      <c r="BR45" s="3669"/>
      <c r="BS45" s="3669"/>
      <c r="BT45" s="3669"/>
      <c r="BU45" s="3669"/>
      <c r="BV45" s="3669"/>
      <c r="BW45" s="3669"/>
      <c r="BX45" s="3669"/>
      <c r="BY45" s="3669"/>
      <c r="BZ45" s="3669"/>
      <c r="CA45" s="3669"/>
      <c r="CB45" s="3669"/>
      <c r="CC45" s="3669"/>
      <c r="CD45" s="3669"/>
      <c r="CE45" s="3669"/>
      <c r="CF45" s="3669"/>
      <c r="CG45" s="3669"/>
      <c r="CH45" s="3669"/>
      <c r="CI45" s="3669"/>
      <c r="CJ45" s="3669"/>
      <c r="CK45" s="3669"/>
      <c r="CL45" s="3669"/>
      <c r="CM45" s="3669"/>
      <c r="CN45" s="3669"/>
      <c r="CO45" s="3669"/>
      <c r="CP45" s="3669"/>
      <c r="CQ45" s="3669"/>
      <c r="CR45" s="3669"/>
      <c r="CS45" s="3669"/>
      <c r="CT45" s="3669"/>
      <c r="CU45" s="3669"/>
      <c r="CV45" s="3669"/>
      <c r="CW45" s="3669"/>
      <c r="CX45" s="3669"/>
      <c r="CY45" s="3669"/>
      <c r="DA45" s="399"/>
      <c r="DB45" s="399"/>
      <c r="DC45" s="399"/>
      <c r="DD45" s="1742"/>
      <c r="DE45" s="1742"/>
      <c r="DF45" s="1742"/>
      <c r="DG45" s="1742"/>
      <c r="DH45" s="1742"/>
      <c r="DI45" s="1742"/>
      <c r="DJ45" s="1742"/>
      <c r="DK45" s="1742"/>
      <c r="DL45" s="1742"/>
      <c r="DM45" s="1742"/>
      <c r="DN45" s="1742"/>
      <c r="DO45" s="1742"/>
      <c r="DP45" s="1742"/>
      <c r="DQ45" s="1742"/>
      <c r="DR45" s="1742"/>
      <c r="DS45" s="1742"/>
      <c r="DT45" s="1742"/>
      <c r="DU45" s="1742"/>
      <c r="DV45" s="1742"/>
      <c r="DW45" s="1742"/>
      <c r="DX45" s="1742"/>
      <c r="DY45" s="1742"/>
      <c r="DZ45" s="3518"/>
    </row>
    <row r="46" spans="1:145" s="1651" customFormat="1" ht="24.6" hidden="1" customHeight="1" outlineLevel="2">
      <c r="A46" s="3781"/>
      <c r="B46" s="3784"/>
      <c r="C46" s="3505"/>
      <c r="D46" s="3783" t="s">
        <v>3395</v>
      </c>
      <c r="E46" s="3669"/>
      <c r="F46" s="3669"/>
      <c r="G46" s="3669"/>
      <c r="H46" s="3669"/>
      <c r="I46" s="3669"/>
      <c r="J46" s="3669"/>
      <c r="K46" s="3669"/>
      <c r="L46" s="3669"/>
      <c r="M46" s="3669"/>
      <c r="N46" s="3786"/>
      <c r="O46" s="3669"/>
      <c r="P46" s="3669"/>
      <c r="Q46" s="3669"/>
      <c r="R46" s="3669"/>
      <c r="S46" s="3669"/>
      <c r="T46" s="3669"/>
      <c r="U46" s="3669"/>
      <c r="V46" s="3669"/>
      <c r="W46" s="3669"/>
      <c r="X46" s="3669"/>
      <c r="Y46" s="3669"/>
      <c r="Z46" s="3669"/>
      <c r="AA46" s="3669"/>
      <c r="AB46" s="3669"/>
      <c r="AC46" s="3669"/>
      <c r="AD46" s="3669"/>
      <c r="AE46" s="3669"/>
      <c r="AF46" s="3669"/>
      <c r="AG46" s="3669"/>
      <c r="AH46" s="3669"/>
      <c r="AI46" s="3669"/>
      <c r="AJ46" s="3669"/>
      <c r="AK46" s="3669"/>
      <c r="AL46" s="3669"/>
      <c r="AM46" s="3669"/>
      <c r="AN46" s="3669"/>
      <c r="AO46" s="3669"/>
      <c r="AP46" s="3669"/>
      <c r="AQ46" s="3669"/>
      <c r="AR46" s="3669"/>
      <c r="AS46" s="3669"/>
      <c r="AT46" s="3669"/>
      <c r="AU46" s="3669"/>
      <c r="AV46" s="3669"/>
      <c r="AW46" s="3669"/>
      <c r="AX46" s="3669"/>
      <c r="AY46" s="3669"/>
      <c r="AZ46" s="3669"/>
      <c r="BA46" s="3669"/>
      <c r="BB46" s="3669"/>
      <c r="BC46" s="3669"/>
      <c r="BD46" s="3669"/>
      <c r="BE46" s="3669"/>
      <c r="BF46" s="3669"/>
      <c r="BG46" s="3669"/>
      <c r="BH46" s="3669"/>
      <c r="BI46" s="3669"/>
      <c r="BJ46" s="3669"/>
      <c r="BK46" s="3669"/>
      <c r="BL46" s="3669"/>
      <c r="BM46" s="3669"/>
      <c r="BN46" s="3669"/>
      <c r="BO46" s="3669"/>
      <c r="BP46" s="3669"/>
      <c r="BQ46" s="3669"/>
      <c r="BR46" s="3669"/>
      <c r="BS46" s="3669"/>
      <c r="BT46" s="3669"/>
      <c r="BU46" s="3669"/>
      <c r="BV46" s="3669"/>
      <c r="BW46" s="3669"/>
      <c r="BX46" s="3669"/>
      <c r="BY46" s="3669"/>
      <c r="BZ46" s="3669"/>
      <c r="CA46" s="3669"/>
      <c r="CB46" s="3669"/>
      <c r="CC46" s="3669"/>
      <c r="CD46" s="3669"/>
      <c r="CE46" s="3669"/>
      <c r="CF46" s="3669"/>
      <c r="CG46" s="3669"/>
      <c r="CH46" s="3669"/>
      <c r="CI46" s="3669"/>
      <c r="CJ46" s="3669"/>
      <c r="CK46" s="3669"/>
      <c r="CL46" s="3669"/>
      <c r="CM46" s="3669"/>
      <c r="CN46" s="3669"/>
      <c r="CO46" s="3669"/>
      <c r="CP46" s="3669"/>
      <c r="CQ46" s="3669"/>
      <c r="CR46" s="3669"/>
      <c r="CS46" s="3669"/>
      <c r="CT46" s="3669"/>
      <c r="CU46" s="3669"/>
      <c r="CV46" s="3669"/>
      <c r="CW46" s="3669"/>
      <c r="CX46" s="3669"/>
      <c r="CY46" s="3669"/>
      <c r="DA46" s="399"/>
      <c r="DB46" s="399"/>
      <c r="DC46" s="399"/>
      <c r="DD46" s="1742"/>
      <c r="DE46" s="1742"/>
      <c r="DF46" s="1742"/>
      <c r="DG46" s="1742"/>
      <c r="DH46" s="1742"/>
      <c r="DI46" s="1742"/>
      <c r="DJ46" s="1742"/>
      <c r="DK46" s="1742"/>
      <c r="DL46" s="1742"/>
      <c r="DM46" s="1742"/>
      <c r="DN46" s="1742"/>
      <c r="DO46" s="1742"/>
      <c r="DP46" s="1742"/>
      <c r="DQ46" s="1742"/>
      <c r="DR46" s="1742"/>
      <c r="DS46" s="1742"/>
      <c r="DT46" s="1742"/>
      <c r="DU46" s="1742"/>
      <c r="DV46" s="1742"/>
      <c r="DW46" s="1742"/>
      <c r="DX46" s="1742"/>
      <c r="DY46" s="1742"/>
      <c r="DZ46" s="3518"/>
    </row>
    <row r="47" spans="1:145" s="1651" customFormat="1" ht="24.6" hidden="1" customHeight="1" outlineLevel="2">
      <c r="A47" s="3781"/>
      <c r="B47" s="3784"/>
      <c r="C47" s="3505"/>
      <c r="D47" s="1791" t="s">
        <v>462</v>
      </c>
      <c r="E47" s="1792"/>
      <c r="F47" s="1792"/>
      <c r="G47" s="1792"/>
      <c r="H47" s="1792"/>
      <c r="I47" s="1792"/>
      <c r="J47" s="1792"/>
      <c r="K47" s="1792"/>
      <c r="L47" s="1792"/>
      <c r="M47" s="1792"/>
      <c r="N47" s="1792"/>
      <c r="O47" s="1792"/>
      <c r="P47" s="1793"/>
      <c r="Q47" s="1655"/>
      <c r="R47" s="1783" t="s">
        <v>89</v>
      </c>
      <c r="S47" s="1784"/>
      <c r="T47" s="1784"/>
      <c r="U47" s="1784"/>
      <c r="V47" s="1784"/>
      <c r="W47" s="1784"/>
      <c r="X47" s="1784"/>
      <c r="Y47" s="1784"/>
      <c r="Z47" s="1784"/>
      <c r="AA47" s="1784"/>
      <c r="AB47" s="1784"/>
      <c r="AC47" s="1784"/>
      <c r="AD47" s="1784"/>
      <c r="AE47" s="1784"/>
      <c r="AF47" s="1784"/>
      <c r="AG47" s="1784"/>
      <c r="AH47" s="1656"/>
      <c r="AI47" s="1656"/>
      <c r="AJ47" s="1784"/>
      <c r="AK47" s="1784"/>
      <c r="AL47" s="1784"/>
      <c r="AM47" s="1784"/>
      <c r="AN47" s="1784"/>
      <c r="AO47" s="1655"/>
      <c r="AP47" s="1783" t="s">
        <v>2194</v>
      </c>
      <c r="AQ47" s="1783"/>
      <c r="AR47" s="4914" t="s">
        <v>1014</v>
      </c>
      <c r="AS47" s="4914"/>
      <c r="AT47" s="4915"/>
      <c r="AU47" s="4914"/>
      <c r="AV47" s="4915"/>
      <c r="AW47" s="4914"/>
      <c r="AX47" s="4914"/>
      <c r="AY47" s="4914"/>
      <c r="AZ47" s="4914"/>
      <c r="BA47" s="4914"/>
      <c r="BB47" s="4914"/>
      <c r="BC47" s="4866" t="s">
        <v>2934</v>
      </c>
      <c r="BD47" s="4867" t="s">
        <v>883</v>
      </c>
      <c r="BE47" s="4868" t="s">
        <v>695</v>
      </c>
      <c r="BF47" s="4866" t="s">
        <v>2792</v>
      </c>
      <c r="BG47" s="4871" t="s">
        <v>2936</v>
      </c>
      <c r="BH47" s="4873" t="s">
        <v>108</v>
      </c>
      <c r="BI47" s="4874"/>
      <c r="BJ47" s="4874"/>
      <c r="BK47" s="4874"/>
      <c r="BL47" s="4874"/>
      <c r="BM47" s="4874"/>
      <c r="BN47" s="4874"/>
      <c r="BO47" s="4874"/>
      <c r="BP47" s="4874"/>
      <c r="BQ47" s="1655"/>
      <c r="BR47" s="4875" t="s">
        <v>456</v>
      </c>
      <c r="BS47" s="4875"/>
      <c r="BT47" s="4875"/>
      <c r="BU47" s="4875"/>
      <c r="BV47" s="4875"/>
      <c r="BW47" s="4875"/>
      <c r="BX47" s="4875"/>
      <c r="BY47" s="1655"/>
      <c r="BZ47" s="4857" t="s">
        <v>1015</v>
      </c>
      <c r="CA47" s="4858"/>
      <c r="CB47" s="4858"/>
      <c r="CC47" s="4858"/>
      <c r="CD47" s="4858"/>
      <c r="CE47" s="4858"/>
      <c r="CF47" s="4858"/>
      <c r="CG47" s="4858"/>
      <c r="CH47" s="4858"/>
      <c r="CI47" s="4858"/>
      <c r="CJ47" s="4858"/>
      <c r="CK47" s="4858"/>
      <c r="CL47" s="4858"/>
      <c r="CM47" s="4858"/>
      <c r="CN47" s="4858"/>
      <c r="CO47" s="4858"/>
      <c r="CP47" s="4858"/>
      <c r="CQ47" s="4858"/>
      <c r="CR47" s="4858"/>
      <c r="CS47" s="4858"/>
      <c r="CT47" s="4858"/>
      <c r="CU47" s="4858"/>
      <c r="CV47" s="4858"/>
      <c r="CW47" s="4858"/>
      <c r="CX47" s="4858"/>
      <c r="CY47" s="4858"/>
      <c r="CZ47" s="4858"/>
      <c r="DA47" s="4858"/>
      <c r="DB47" s="4858"/>
      <c r="DC47" s="4858"/>
      <c r="DD47" s="1655"/>
      <c r="DE47" s="1658"/>
      <c r="DF47" s="1658"/>
      <c r="DG47" s="1658"/>
      <c r="DH47" s="1658"/>
      <c r="DI47" s="1658"/>
      <c r="DJ47" s="1658"/>
      <c r="DK47" s="1659" t="s">
        <v>1038</v>
      </c>
      <c r="DL47" s="1658"/>
      <c r="DM47" s="1658"/>
      <c r="DN47" s="1658"/>
      <c r="DO47" s="1658"/>
      <c r="DP47" s="1658"/>
      <c r="DQ47" s="1658"/>
      <c r="DR47" s="1660"/>
      <c r="DS47" s="1655"/>
      <c r="DT47" s="4876" t="s">
        <v>693</v>
      </c>
      <c r="DU47" s="4876"/>
      <c r="DV47" s="4876"/>
      <c r="DW47" s="4877"/>
      <c r="DX47" s="4876"/>
      <c r="DY47" s="4876"/>
      <c r="DZ47" s="159"/>
      <c r="EA47" s="159"/>
      <c r="EB47" s="159"/>
      <c r="EC47" s="159"/>
      <c r="ED47" s="159"/>
      <c r="EE47" s="159"/>
      <c r="EF47" s="159"/>
      <c r="EG47" s="159"/>
      <c r="EH47" s="159"/>
      <c r="EI47" s="159"/>
      <c r="EJ47" s="159"/>
      <c r="EK47" s="159"/>
      <c r="EL47" s="159"/>
      <c r="EM47" s="159"/>
      <c r="EN47" s="159"/>
      <c r="EO47" s="159"/>
    </row>
    <row r="48" spans="1:145" s="1651" customFormat="1" ht="24.6" hidden="1" customHeight="1" outlineLevel="2">
      <c r="A48" s="3781"/>
      <c r="B48" s="3784"/>
      <c r="C48" s="3505"/>
      <c r="D48" s="1785" t="s">
        <v>1009</v>
      </c>
      <c r="E48" s="1786"/>
      <c r="F48" s="1786"/>
      <c r="G48" s="1786"/>
      <c r="H48" s="1786"/>
      <c r="I48" s="1786"/>
      <c r="J48" s="1786"/>
      <c r="K48" s="1786"/>
      <c r="L48" s="1787"/>
      <c r="M48" s="4878" t="s">
        <v>1023</v>
      </c>
      <c r="N48" s="4879"/>
      <c r="O48" s="4879"/>
      <c r="P48" s="4880"/>
      <c r="Q48" s="1662"/>
      <c r="R48" s="1788" t="s">
        <v>1026</v>
      </c>
      <c r="S48" s="1789"/>
      <c r="T48" s="1789"/>
      <c r="U48" s="1789"/>
      <c r="V48" s="1789"/>
      <c r="W48" s="1789"/>
      <c r="X48" s="1789"/>
      <c r="Y48" s="1789"/>
      <c r="Z48" s="1789"/>
      <c r="AA48" s="1789"/>
      <c r="AB48" s="1789"/>
      <c r="AC48" s="1789"/>
      <c r="AD48" s="1789"/>
      <c r="AE48" s="1789"/>
      <c r="AF48" s="1790"/>
      <c r="AG48" s="1666" t="s">
        <v>1027</v>
      </c>
      <c r="AH48" s="1667"/>
      <c r="AI48" s="1667"/>
      <c r="AJ48" s="1667"/>
      <c r="AK48" s="1667"/>
      <c r="AL48" s="1668"/>
      <c r="AM48" s="1669" t="s">
        <v>1028</v>
      </c>
      <c r="AN48" s="1670"/>
      <c r="AO48" s="1662"/>
      <c r="AP48" s="1788"/>
      <c r="AQ48" s="1788"/>
      <c r="AR48" s="4854" t="s">
        <v>2235</v>
      </c>
      <c r="AS48" s="4855"/>
      <c r="AT48" s="4855"/>
      <c r="AU48" s="4856"/>
      <c r="AV48" s="3856"/>
      <c r="AW48" s="4881" t="s">
        <v>1048</v>
      </c>
      <c r="AX48" s="4883" t="s">
        <v>1049</v>
      </c>
      <c r="AY48" s="4884"/>
      <c r="AZ48" s="4884"/>
      <c r="BA48" s="4884"/>
      <c r="BB48" s="4885"/>
      <c r="BC48" s="4866"/>
      <c r="BD48" s="4867"/>
      <c r="BE48" s="4869"/>
      <c r="BF48" s="4866"/>
      <c r="BG48" s="4872"/>
      <c r="BH48" s="4889" t="s">
        <v>709</v>
      </c>
      <c r="BI48" s="4890"/>
      <c r="BJ48" s="4891"/>
      <c r="BK48" s="4889" t="s">
        <v>1022</v>
      </c>
      <c r="BL48" s="4890"/>
      <c r="BM48" s="4891"/>
      <c r="BN48" s="4881" t="s">
        <v>1030</v>
      </c>
      <c r="BO48" s="4881" t="s">
        <v>743</v>
      </c>
      <c r="BP48" s="4881" t="s">
        <v>1029</v>
      </c>
      <c r="BQ48" s="1662"/>
      <c r="BR48" s="4895" t="s">
        <v>1052</v>
      </c>
      <c r="BS48" s="4896"/>
      <c r="BT48" s="4897"/>
      <c r="BU48" s="4901" t="s">
        <v>1053</v>
      </c>
      <c r="BV48" s="4902"/>
      <c r="BW48" s="4903"/>
      <c r="BX48" s="4907" t="s">
        <v>1054</v>
      </c>
      <c r="BY48" s="1662"/>
      <c r="BZ48" s="4909" t="s">
        <v>1020</v>
      </c>
      <c r="CA48" s="4910"/>
      <c r="CB48" s="4910"/>
      <c r="CC48" s="4910"/>
      <c r="CD48" s="4910"/>
      <c r="CE48" s="4910"/>
      <c r="CF48" s="4910"/>
      <c r="CG48" s="4910"/>
      <c r="CH48" s="4910"/>
      <c r="CI48" s="4910"/>
      <c r="CJ48" s="4910"/>
      <c r="CK48" s="4910"/>
      <c r="CL48" s="4910"/>
      <c r="CM48" s="4910"/>
      <c r="CN48" s="4911"/>
      <c r="CO48" s="4912" t="s">
        <v>1021</v>
      </c>
      <c r="CP48" s="4913"/>
      <c r="CQ48" s="4913"/>
      <c r="CR48" s="4913"/>
      <c r="CS48" s="4913"/>
      <c r="CT48" s="4913"/>
      <c r="CU48" s="4913"/>
      <c r="CV48" s="4913"/>
      <c r="CW48" s="4913"/>
      <c r="CX48" s="4913"/>
      <c r="CY48" s="4913"/>
      <c r="CZ48" s="4913"/>
      <c r="DA48" s="4913"/>
      <c r="DB48" s="4913"/>
      <c r="DC48" s="4913"/>
      <c r="DD48" s="1662"/>
      <c r="DE48" s="4850" t="s">
        <v>710</v>
      </c>
      <c r="DF48" s="4850"/>
      <c r="DG48" s="4850" t="s">
        <v>711</v>
      </c>
      <c r="DH48" s="4850"/>
      <c r="DI48" s="4850" t="s">
        <v>712</v>
      </c>
      <c r="DJ48" s="4850"/>
      <c r="DK48" s="4850" t="s">
        <v>713</v>
      </c>
      <c r="DL48" s="4850"/>
      <c r="DM48" s="4850" t="s">
        <v>714</v>
      </c>
      <c r="DN48" s="4850"/>
      <c r="DO48" s="4850"/>
      <c r="DP48" s="4850" t="s">
        <v>715</v>
      </c>
      <c r="DQ48" s="4850" t="s">
        <v>716</v>
      </c>
      <c r="DR48" s="4850" t="s">
        <v>2791</v>
      </c>
      <c r="DS48" s="1662"/>
      <c r="DT48" s="4851" t="s">
        <v>1037</v>
      </c>
      <c r="DU48" s="4851"/>
      <c r="DV48" s="4851"/>
      <c r="DW48" s="2948"/>
      <c r="DX48" s="4851" t="s">
        <v>996</v>
      </c>
      <c r="DY48" s="4851"/>
      <c r="DZ48" s="1671"/>
      <c r="EA48" s="1671"/>
      <c r="EB48" s="1671"/>
      <c r="EC48" s="1671"/>
      <c r="ED48" s="1671"/>
      <c r="EE48" s="1671"/>
      <c r="EF48" s="1671"/>
      <c r="EG48" s="1671"/>
      <c r="EH48" s="1671"/>
      <c r="EI48" s="1671"/>
      <c r="EJ48" s="1671"/>
      <c r="EK48" s="1671"/>
      <c r="EL48" s="1671"/>
      <c r="EM48" s="1671"/>
      <c r="EN48" s="1671"/>
      <c r="EO48" s="1671"/>
    </row>
    <row r="49" spans="1:145" s="1651" customFormat="1" ht="24.6" hidden="1" customHeight="1" outlineLevel="2">
      <c r="A49" s="3781"/>
      <c r="B49" s="3784"/>
      <c r="C49" s="3505"/>
      <c r="D49" s="1672" t="s">
        <v>2191</v>
      </c>
      <c r="E49" s="1672" t="s">
        <v>2602</v>
      </c>
      <c r="F49" s="2658" t="s">
        <v>2620</v>
      </c>
      <c r="G49" s="1673" t="s">
        <v>18</v>
      </c>
      <c r="H49" s="1673" t="s">
        <v>380</v>
      </c>
      <c r="I49" s="1674" t="s">
        <v>705</v>
      </c>
      <c r="J49" s="3855" t="s">
        <v>1006</v>
      </c>
      <c r="K49" s="2659" t="s">
        <v>2785</v>
      </c>
      <c r="L49" s="2660" t="s">
        <v>1008</v>
      </c>
      <c r="M49" s="4916" t="s">
        <v>1024</v>
      </c>
      <c r="N49" s="4917"/>
      <c r="O49" s="4918"/>
      <c r="P49" s="753" t="s">
        <v>1025</v>
      </c>
      <c r="Q49" s="2659" t="s">
        <v>2784</v>
      </c>
      <c r="R49" s="1672" t="s">
        <v>2191</v>
      </c>
      <c r="S49" s="1672" t="s">
        <v>1010</v>
      </c>
      <c r="T49" s="1657" t="s">
        <v>2782</v>
      </c>
      <c r="U49" s="1656"/>
      <c r="V49" s="1656"/>
      <c r="W49" s="1677"/>
      <c r="X49" s="2639"/>
      <c r="Y49" s="2638" t="s">
        <v>2593</v>
      </c>
      <c r="Z49" s="2638" t="s">
        <v>2595</v>
      </c>
      <c r="AA49" s="2638" t="s">
        <v>2597</v>
      </c>
      <c r="AB49" s="1678" t="s">
        <v>92</v>
      </c>
      <c r="AC49" s="1678" t="s">
        <v>93</v>
      </c>
      <c r="AD49" s="1678" t="s">
        <v>314</v>
      </c>
      <c r="AE49" s="3857" t="s">
        <v>743</v>
      </c>
      <c r="AF49" s="1678" t="s">
        <v>257</v>
      </c>
      <c r="AG49" s="1680" t="s">
        <v>18</v>
      </c>
      <c r="AH49" s="1680" t="s">
        <v>18</v>
      </c>
      <c r="AI49" s="1680" t="s">
        <v>18</v>
      </c>
      <c r="AJ49" s="1680" t="s">
        <v>380</v>
      </c>
      <c r="AK49" s="754" t="s">
        <v>705</v>
      </c>
      <c r="AL49" s="754" t="s">
        <v>706</v>
      </c>
      <c r="AM49" s="1681" t="s">
        <v>1011</v>
      </c>
      <c r="AN49" s="1681" t="s">
        <v>1012</v>
      </c>
      <c r="AO49" s="1655"/>
      <c r="AP49" s="1672" t="s">
        <v>2191</v>
      </c>
      <c r="AQ49" s="1672" t="s">
        <v>2191</v>
      </c>
      <c r="AR49" s="4854" t="s">
        <v>2236</v>
      </c>
      <c r="AS49" s="4855"/>
      <c r="AT49" s="4856"/>
      <c r="AU49" s="2168" t="s">
        <v>2237</v>
      </c>
      <c r="AV49" s="2694" t="s">
        <v>2610</v>
      </c>
      <c r="AW49" s="4882"/>
      <c r="AX49" s="4886"/>
      <c r="AY49" s="4887"/>
      <c r="AZ49" s="4887"/>
      <c r="BA49" s="4887"/>
      <c r="BB49" s="4888"/>
      <c r="BC49" s="4866"/>
      <c r="BD49" s="4867"/>
      <c r="BE49" s="4870"/>
      <c r="BF49" s="4866"/>
      <c r="BG49" s="4872"/>
      <c r="BH49" s="4892"/>
      <c r="BI49" s="4893"/>
      <c r="BJ49" s="4894"/>
      <c r="BK49" s="4892"/>
      <c r="BL49" s="4893"/>
      <c r="BM49" s="4894"/>
      <c r="BN49" s="4882"/>
      <c r="BO49" s="4882"/>
      <c r="BP49" s="4882"/>
      <c r="BQ49" s="1655" t="s">
        <v>3167</v>
      </c>
      <c r="BR49" s="4898"/>
      <c r="BS49" s="4899"/>
      <c r="BT49" s="4900"/>
      <c r="BU49" s="4904"/>
      <c r="BV49" s="4905"/>
      <c r="BW49" s="4906"/>
      <c r="BX49" s="4908"/>
      <c r="BY49" s="1655" t="s">
        <v>3168</v>
      </c>
      <c r="BZ49" s="4857" t="s">
        <v>447</v>
      </c>
      <c r="CA49" s="4858"/>
      <c r="CB49" s="4858"/>
      <c r="CC49" s="4859"/>
      <c r="CD49" s="4860" t="s">
        <v>448</v>
      </c>
      <c r="CE49" s="4861"/>
      <c r="CF49" s="4861"/>
      <c r="CG49" s="4862"/>
      <c r="CH49" s="4857" t="s">
        <v>445</v>
      </c>
      <c r="CI49" s="4858"/>
      <c r="CJ49" s="4859"/>
      <c r="CK49" s="4860" t="s">
        <v>446</v>
      </c>
      <c r="CL49" s="4861"/>
      <c r="CM49" s="4862"/>
      <c r="CN49" s="1682" t="s">
        <v>1068</v>
      </c>
      <c r="CO49" s="4863" t="s">
        <v>452</v>
      </c>
      <c r="CP49" s="4864"/>
      <c r="CQ49" s="4864"/>
      <c r="CR49" s="4865"/>
      <c r="CS49" s="4863" t="s">
        <v>453</v>
      </c>
      <c r="CT49" s="4864"/>
      <c r="CU49" s="4864"/>
      <c r="CV49" s="4865"/>
      <c r="CW49" s="4852" t="s">
        <v>889</v>
      </c>
      <c r="CX49" s="4853"/>
      <c r="CY49" s="4853"/>
      <c r="CZ49" s="4852" t="s">
        <v>890</v>
      </c>
      <c r="DA49" s="4853"/>
      <c r="DB49" s="4853"/>
      <c r="DC49" s="1683" t="s">
        <v>454</v>
      </c>
      <c r="DD49" s="1655"/>
      <c r="DE49" s="4850"/>
      <c r="DF49" s="4850"/>
      <c r="DG49" s="4850"/>
      <c r="DH49" s="4850"/>
      <c r="DI49" s="4850"/>
      <c r="DJ49" s="4850"/>
      <c r="DK49" s="1684" t="s">
        <v>189</v>
      </c>
      <c r="DL49" s="1684" t="s">
        <v>190</v>
      </c>
      <c r="DM49" s="1685" t="s">
        <v>187</v>
      </c>
      <c r="DN49" s="1685" t="s">
        <v>719</v>
      </c>
      <c r="DO49" s="1686" t="s">
        <v>720</v>
      </c>
      <c r="DP49" s="4850"/>
      <c r="DQ49" s="4850"/>
      <c r="DR49" s="4850"/>
      <c r="DS49" s="1655"/>
      <c r="DT49" s="1687" t="s">
        <v>1032</v>
      </c>
      <c r="DU49" s="1687" t="s">
        <v>2199</v>
      </c>
      <c r="DV49" s="1687" t="s">
        <v>1034</v>
      </c>
      <c r="DW49" s="2949" t="s">
        <v>2768</v>
      </c>
      <c r="DX49" s="1687" t="s">
        <v>986</v>
      </c>
      <c r="DY49" s="1687" t="s">
        <v>987</v>
      </c>
      <c r="DZ49" s="3375" t="s">
        <v>2999</v>
      </c>
      <c r="EA49" s="761"/>
      <c r="EB49" s="3535">
        <v>1.1200000000000001</v>
      </c>
      <c r="EC49" s="3535"/>
      <c r="ED49" s="3535"/>
      <c r="EE49" s="3535"/>
      <c r="EF49" s="3535">
        <v>1.0900000000000001</v>
      </c>
      <c r="EG49" s="3535"/>
      <c r="EH49" s="3535">
        <v>1.0900000000000001</v>
      </c>
      <c r="EI49" s="3535"/>
      <c r="EJ49" s="3535">
        <v>1.0900000000000001</v>
      </c>
      <c r="EK49" s="3535"/>
      <c r="EL49" s="3535">
        <v>1</v>
      </c>
      <c r="EM49" s="2801">
        <v>0.2</v>
      </c>
      <c r="EN49" s="761" t="s">
        <v>2698</v>
      </c>
      <c r="EO49" s="761"/>
    </row>
    <row r="50" spans="1:145" s="1651" customFormat="1" ht="24.6" hidden="1" customHeight="1" outlineLevel="2">
      <c r="A50" s="3781"/>
      <c r="B50" s="3784"/>
      <c r="C50" s="3505"/>
      <c r="D50" s="1689"/>
      <c r="E50" s="2990" t="s">
        <v>1041</v>
      </c>
      <c r="F50" s="1689"/>
      <c r="G50" s="2992" t="s">
        <v>1043</v>
      </c>
      <c r="H50" s="2992" t="s">
        <v>1044</v>
      </c>
      <c r="I50" s="2992" t="s">
        <v>1045</v>
      </c>
      <c r="J50" s="1692" t="s">
        <v>1041</v>
      </c>
      <c r="K50" s="2993" t="s">
        <v>1046</v>
      </c>
      <c r="L50" s="2993" t="s">
        <v>440</v>
      </c>
      <c r="M50" s="1693"/>
      <c r="N50" s="1693"/>
      <c r="O50" s="1693"/>
      <c r="P50" s="1693"/>
      <c r="Q50" s="3004" t="s">
        <v>2786</v>
      </c>
      <c r="R50" s="1689"/>
      <c r="S50" s="1689" t="s">
        <v>974</v>
      </c>
      <c r="T50" s="2994" t="s">
        <v>972</v>
      </c>
      <c r="U50" s="2994" t="s">
        <v>973</v>
      </c>
      <c r="V50" s="2994" t="s">
        <v>974</v>
      </c>
      <c r="W50" s="2994" t="s">
        <v>975</v>
      </c>
      <c r="X50" s="2640" t="s">
        <v>979</v>
      </c>
      <c r="Y50" s="3000" t="s">
        <v>2594</v>
      </c>
      <c r="Z50" s="3000" t="s">
        <v>2596</v>
      </c>
      <c r="AA50" s="3000" t="s">
        <v>2598</v>
      </c>
      <c r="AB50" s="2994" t="s">
        <v>976</v>
      </c>
      <c r="AC50" s="2994" t="s">
        <v>977</v>
      </c>
      <c r="AD50" s="2994" t="s">
        <v>979</v>
      </c>
      <c r="AE50" s="2994" t="s">
        <v>978</v>
      </c>
      <c r="AF50" s="2994" t="s">
        <v>978</v>
      </c>
      <c r="AG50" s="2992" t="s">
        <v>973</v>
      </c>
      <c r="AH50" s="2998" t="s">
        <v>2605</v>
      </c>
      <c r="AI50" s="2998" t="s">
        <v>2606</v>
      </c>
      <c r="AJ50" s="2992" t="s">
        <v>973</v>
      </c>
      <c r="AK50" s="2993" t="s">
        <v>977</v>
      </c>
      <c r="AL50" s="2993" t="s">
        <v>980</v>
      </c>
      <c r="AM50" s="1697" t="s">
        <v>974</v>
      </c>
      <c r="AN50" s="1698" t="s">
        <v>972</v>
      </c>
      <c r="AO50" s="1694"/>
      <c r="AP50" s="1788">
        <v>100</v>
      </c>
      <c r="AQ50" s="1788">
        <v>200</v>
      </c>
      <c r="AR50" s="2993" t="s">
        <v>2233</v>
      </c>
      <c r="AS50" s="2993" t="s">
        <v>2234</v>
      </c>
      <c r="AT50" s="2993" t="s">
        <v>981</v>
      </c>
      <c r="AU50" s="2993" t="s">
        <v>981</v>
      </c>
      <c r="AV50" s="3002"/>
      <c r="AW50" s="2993" t="s">
        <v>3180</v>
      </c>
      <c r="AX50" s="1699">
        <v>75</v>
      </c>
      <c r="AY50" s="1699">
        <v>100</v>
      </c>
      <c r="AZ50" s="1699">
        <v>120</v>
      </c>
      <c r="BA50" s="1699">
        <v>150</v>
      </c>
      <c r="BB50" s="1699">
        <v>200</v>
      </c>
      <c r="BC50" s="3003" t="s">
        <v>2935</v>
      </c>
      <c r="BD50" s="2999" t="s">
        <v>982</v>
      </c>
      <c r="BE50" s="1702"/>
      <c r="BF50" s="3022" t="s">
        <v>983</v>
      </c>
      <c r="BG50" s="3328"/>
      <c r="BH50" s="2993">
        <v>75</v>
      </c>
      <c r="BI50" s="2993">
        <v>90</v>
      </c>
      <c r="BJ50" s="2993">
        <v>110</v>
      </c>
      <c r="BK50" s="2993">
        <v>75</v>
      </c>
      <c r="BL50" s="2993">
        <v>90</v>
      </c>
      <c r="BM50" s="2993">
        <v>110</v>
      </c>
      <c r="BN50" s="2993" t="s">
        <v>979</v>
      </c>
      <c r="BO50" s="2993" t="s">
        <v>978</v>
      </c>
      <c r="BP50" s="2993" t="s">
        <v>978</v>
      </c>
      <c r="BQ50" s="3004"/>
      <c r="BR50" s="3008" t="s">
        <v>383</v>
      </c>
      <c r="BS50" s="3008" t="s">
        <v>381</v>
      </c>
      <c r="BT50" s="3008" t="s">
        <v>384</v>
      </c>
      <c r="BU50" s="3008" t="s">
        <v>385</v>
      </c>
      <c r="BV50" s="3008" t="s">
        <v>386</v>
      </c>
      <c r="BW50" s="3008" t="s">
        <v>387</v>
      </c>
      <c r="BX50" s="3008" t="s">
        <v>388</v>
      </c>
      <c r="BY50" s="1694"/>
      <c r="BZ50" s="3013" t="s">
        <v>1039</v>
      </c>
      <c r="CA50" s="3013" t="s">
        <v>467</v>
      </c>
      <c r="CB50" s="3013" t="s">
        <v>466</v>
      </c>
      <c r="CC50" s="3013" t="s">
        <v>470</v>
      </c>
      <c r="CD50" s="3013" t="s">
        <v>468</v>
      </c>
      <c r="CE50" s="3013" t="s">
        <v>467</v>
      </c>
      <c r="CF50" s="3013" t="s">
        <v>466</v>
      </c>
      <c r="CG50" s="3013" t="s">
        <v>470</v>
      </c>
      <c r="CH50" s="3013" t="s">
        <v>468</v>
      </c>
      <c r="CI50" s="3013" t="s">
        <v>467</v>
      </c>
      <c r="CJ50" s="3013" t="s">
        <v>466</v>
      </c>
      <c r="CK50" s="1705" t="s">
        <v>468</v>
      </c>
      <c r="CL50" s="1705" t="s">
        <v>467</v>
      </c>
      <c r="CM50" s="1705" t="s">
        <v>466</v>
      </c>
      <c r="CN50" s="3014" t="s">
        <v>469</v>
      </c>
      <c r="CO50" s="2993" t="s">
        <v>476</v>
      </c>
      <c r="CP50" s="2993" t="s">
        <v>477</v>
      </c>
      <c r="CQ50" s="2993" t="s">
        <v>478</v>
      </c>
      <c r="CR50" s="2993" t="s">
        <v>479</v>
      </c>
      <c r="CS50" s="2993" t="s">
        <v>476</v>
      </c>
      <c r="CT50" s="2993" t="s">
        <v>477</v>
      </c>
      <c r="CU50" s="2993" t="s">
        <v>478</v>
      </c>
      <c r="CV50" s="2993" t="s">
        <v>480</v>
      </c>
      <c r="CW50" s="2993" t="s">
        <v>472</v>
      </c>
      <c r="CX50" s="2993" t="s">
        <v>473</v>
      </c>
      <c r="CY50" s="2993" t="s">
        <v>474</v>
      </c>
      <c r="CZ50" s="1699" t="s">
        <v>472</v>
      </c>
      <c r="DA50" s="1699" t="s">
        <v>473</v>
      </c>
      <c r="DB50" s="1699" t="s">
        <v>474</v>
      </c>
      <c r="DC50" s="2993" t="s">
        <v>475</v>
      </c>
      <c r="DD50" s="1694"/>
      <c r="DE50" s="3009" t="s">
        <v>119</v>
      </c>
      <c r="DF50" s="3009" t="s">
        <v>120</v>
      </c>
      <c r="DG50" s="1707" t="s">
        <v>119</v>
      </c>
      <c r="DH50" s="1707" t="s">
        <v>120</v>
      </c>
      <c r="DI50" s="3009" t="s">
        <v>119</v>
      </c>
      <c r="DJ50" s="3009" t="s">
        <v>120</v>
      </c>
      <c r="DK50" s="3009" t="s">
        <v>121</v>
      </c>
      <c r="DL50" s="3009" t="s">
        <v>122</v>
      </c>
      <c r="DM50" s="3010" t="s">
        <v>1035</v>
      </c>
      <c r="DN50" s="3010" t="s">
        <v>1036</v>
      </c>
      <c r="DO50" s="3010" t="s">
        <v>1035</v>
      </c>
      <c r="DP50" s="3009" t="s">
        <v>124</v>
      </c>
      <c r="DQ50" s="1707" t="s">
        <v>125</v>
      </c>
      <c r="DR50" s="3009" t="s">
        <v>2790</v>
      </c>
      <c r="DS50" s="1694"/>
      <c r="DT50" s="1702" t="s">
        <v>985</v>
      </c>
      <c r="DU50" s="1702" t="s">
        <v>985</v>
      </c>
      <c r="DV50" s="2797" t="s">
        <v>984</v>
      </c>
      <c r="DW50" s="2950"/>
      <c r="DX50" s="1702" t="s">
        <v>985</v>
      </c>
      <c r="DY50" s="1702" t="s">
        <v>985</v>
      </c>
      <c r="DZ50" s="3376"/>
      <c r="EA50" s="4843" t="s">
        <v>1071</v>
      </c>
      <c r="EB50" s="4844"/>
      <c r="EC50" s="4844" t="s">
        <v>2769</v>
      </c>
      <c r="ED50" s="4844"/>
      <c r="EE50" s="4845" t="s">
        <v>1072</v>
      </c>
      <c r="EF50" s="4845"/>
      <c r="EG50" s="4845" t="s">
        <v>1073</v>
      </c>
      <c r="EH50" s="4845"/>
      <c r="EI50" s="4845" t="s">
        <v>1075</v>
      </c>
      <c r="EJ50" s="4845"/>
      <c r="EK50" s="4846" t="s">
        <v>2697</v>
      </c>
      <c r="EL50" s="4846"/>
      <c r="EM50" s="4846"/>
      <c r="EN50" s="1710"/>
      <c r="EO50" s="1710"/>
    </row>
    <row r="51" spans="1:145" s="1651" customFormat="1" ht="24.6" hidden="1" customHeight="1" outlineLevel="2">
      <c r="A51" s="3781"/>
      <c r="B51" s="3784"/>
      <c r="C51" s="3505"/>
      <c r="D51" s="1761"/>
      <c r="E51" s="1761" t="s">
        <v>988</v>
      </c>
      <c r="F51" s="1762" t="s">
        <v>2928</v>
      </c>
      <c r="G51" s="1762">
        <v>1</v>
      </c>
      <c r="H51" s="1762">
        <v>1.1000000000000001</v>
      </c>
      <c r="I51" s="1762" t="s">
        <v>2592</v>
      </c>
      <c r="J51" s="1763" t="s">
        <v>1055</v>
      </c>
      <c r="K51" s="1762">
        <v>2.04</v>
      </c>
      <c r="L51" s="1762">
        <v>1.6</v>
      </c>
      <c r="M51" s="1764" t="s">
        <v>2209</v>
      </c>
      <c r="N51" s="1764" t="s">
        <v>2210</v>
      </c>
      <c r="O51" s="3477" t="s">
        <v>2725</v>
      </c>
      <c r="P51" s="1762">
        <v>1.1000000000000001</v>
      </c>
      <c r="Q51" s="1765"/>
      <c r="R51" s="1766"/>
      <c r="S51" s="1766" t="s">
        <v>1059</v>
      </c>
      <c r="T51" s="1762">
        <v>0.7</v>
      </c>
      <c r="U51" s="1762">
        <v>1.1000000000000001</v>
      </c>
      <c r="V51" s="1766" t="s">
        <v>1058</v>
      </c>
      <c r="W51" s="1762">
        <v>1.08</v>
      </c>
      <c r="X51" s="2641" t="s">
        <v>2604</v>
      </c>
      <c r="Y51" s="1762"/>
      <c r="Z51" s="1762"/>
      <c r="AA51" s="1762"/>
      <c r="AB51" s="1762">
        <v>1.2</v>
      </c>
      <c r="AC51" s="1762" t="s">
        <v>2607</v>
      </c>
      <c r="AD51" s="1762" t="s">
        <v>2608</v>
      </c>
      <c r="AE51" s="1762" t="s">
        <v>2608</v>
      </c>
      <c r="AF51" s="1762" t="s">
        <v>2608</v>
      </c>
      <c r="AG51" s="1766"/>
      <c r="AH51" s="2684"/>
      <c r="AI51" s="2684"/>
      <c r="AJ51" s="1762">
        <v>1</v>
      </c>
      <c r="AK51" s="1766" t="s">
        <v>1060</v>
      </c>
      <c r="AL51" s="1766" t="s">
        <v>1061</v>
      </c>
      <c r="AM51" s="1766" t="s">
        <v>1063</v>
      </c>
      <c r="AN51" s="1766" t="s">
        <v>1062</v>
      </c>
      <c r="AO51" s="1765"/>
      <c r="AP51" s="1766">
        <v>1.25</v>
      </c>
      <c r="AQ51" s="1766"/>
      <c r="AR51" s="1762" t="s">
        <v>2609</v>
      </c>
      <c r="AS51" s="1762">
        <v>1.7</v>
      </c>
      <c r="AT51" s="1762" t="s">
        <v>2625</v>
      </c>
      <c r="AU51" s="1762" t="s">
        <v>2925</v>
      </c>
      <c r="AV51" s="1762" t="s">
        <v>2611</v>
      </c>
      <c r="AW51" s="1762">
        <v>1.3</v>
      </c>
      <c r="AX51" s="1766" t="s">
        <v>1064</v>
      </c>
      <c r="AY51" s="1767"/>
      <c r="AZ51" s="1767"/>
      <c r="BA51" s="1766" t="s">
        <v>1065</v>
      </c>
      <c r="BB51" s="1767"/>
      <c r="BC51" s="1762">
        <v>7.0000000000000007E-2</v>
      </c>
      <c r="BD51" s="1762">
        <v>0.65</v>
      </c>
      <c r="BE51" s="1766" t="s">
        <v>1066</v>
      </c>
      <c r="BF51" s="1766" t="s">
        <v>2613</v>
      </c>
      <c r="BG51" s="3329"/>
      <c r="BH51" s="1762">
        <v>0.85</v>
      </c>
      <c r="BI51" s="1762">
        <v>1.05</v>
      </c>
      <c r="BJ51" s="1762">
        <v>1.1499999999999999</v>
      </c>
      <c r="BK51" s="1762">
        <v>1.05</v>
      </c>
      <c r="BL51" s="1762">
        <v>1.05</v>
      </c>
      <c r="BM51" s="1762">
        <v>1.05</v>
      </c>
      <c r="BN51" s="1766"/>
      <c r="BO51" s="1766">
        <v>0.7</v>
      </c>
      <c r="BP51" s="1766">
        <v>0.7</v>
      </c>
      <c r="BQ51" s="1765" t="s">
        <v>2788</v>
      </c>
      <c r="BR51" s="1833" t="s">
        <v>2195</v>
      </c>
      <c r="BS51" s="1762">
        <v>1.25</v>
      </c>
      <c r="BT51" s="1762">
        <v>1.25</v>
      </c>
      <c r="BU51" s="1833" t="s">
        <v>2789</v>
      </c>
      <c r="BV51" s="1762">
        <v>0.33</v>
      </c>
      <c r="BW51" s="1762">
        <v>0.33</v>
      </c>
      <c r="BX51" s="1762">
        <v>1.8</v>
      </c>
      <c r="BY51" s="1765"/>
      <c r="BZ51" s="1764"/>
      <c r="CA51" s="1769">
        <v>1.05</v>
      </c>
      <c r="CB51" s="1769">
        <v>1.05</v>
      </c>
      <c r="CC51" s="1769">
        <v>1.05</v>
      </c>
      <c r="CD51" s="1770">
        <v>1.05</v>
      </c>
      <c r="CE51" s="1770">
        <v>1.05</v>
      </c>
      <c r="CF51" s="1770">
        <v>1.05</v>
      </c>
      <c r="CG51" s="1770">
        <v>1.05</v>
      </c>
      <c r="CH51" s="1770">
        <v>1.1000000000000001</v>
      </c>
      <c r="CI51" s="1770">
        <v>1.1000000000000001</v>
      </c>
      <c r="CJ51" s="1770">
        <v>1.1000000000000001</v>
      </c>
      <c r="CK51" s="1770">
        <v>1.1000000000000001</v>
      </c>
      <c r="CL51" s="1770">
        <v>1.1000000000000001</v>
      </c>
      <c r="CM51" s="1770">
        <v>1.1000000000000001</v>
      </c>
      <c r="CN51" s="1770">
        <v>1.1499999999999999</v>
      </c>
      <c r="CO51" s="1770">
        <v>1.35</v>
      </c>
      <c r="CP51" s="4847" t="s">
        <v>1069</v>
      </c>
      <c r="CQ51" s="4848"/>
      <c r="CR51" s="4848"/>
      <c r="CS51" s="4848"/>
      <c r="CT51" s="4848"/>
      <c r="CU51" s="4848"/>
      <c r="CV51" s="4848"/>
      <c r="CW51" s="4848"/>
      <c r="CX51" s="4848"/>
      <c r="CY51" s="4848"/>
      <c r="CZ51" s="4848"/>
      <c r="DA51" s="4848"/>
      <c r="DB51" s="4848"/>
      <c r="DC51" s="4849"/>
      <c r="DD51" s="1765"/>
      <c r="DE51" s="1766">
        <v>1.45</v>
      </c>
      <c r="DF51" s="1766">
        <v>1.2</v>
      </c>
      <c r="DG51" s="1766">
        <v>1.25</v>
      </c>
      <c r="DH51" s="1766">
        <v>1.2</v>
      </c>
      <c r="DI51" s="1766">
        <v>1.3</v>
      </c>
      <c r="DJ51" s="1766">
        <v>1.2</v>
      </c>
      <c r="DK51" s="1764">
        <v>1.25</v>
      </c>
      <c r="DL51" s="1766">
        <v>1</v>
      </c>
      <c r="DM51" s="1766">
        <v>2.2000000000000002</v>
      </c>
      <c r="DN51" s="1766" t="s">
        <v>1070</v>
      </c>
      <c r="DO51" s="1766" t="s">
        <v>1070</v>
      </c>
      <c r="DP51" s="1766">
        <v>1</v>
      </c>
      <c r="DQ51" s="1766">
        <v>1.2</v>
      </c>
      <c r="DR51" s="1766" t="s">
        <v>1062</v>
      </c>
      <c r="DS51" s="1765"/>
      <c r="DT51" s="1762">
        <v>0.8</v>
      </c>
      <c r="DU51" s="1762" t="s">
        <v>1152</v>
      </c>
      <c r="DV51" s="1764"/>
      <c r="DW51" s="1762">
        <v>0.8</v>
      </c>
      <c r="DX51" s="1762">
        <f>DT51</f>
        <v>0.8</v>
      </c>
      <c r="DY51" s="1762">
        <v>0.8</v>
      </c>
      <c r="DZ51" s="3377">
        <v>50</v>
      </c>
      <c r="EA51" s="3373" t="s">
        <v>735</v>
      </c>
      <c r="EB51" s="1773" t="s">
        <v>1074</v>
      </c>
      <c r="EC51" s="2959"/>
      <c r="ED51" s="2959"/>
      <c r="EE51" s="1772" t="s">
        <v>735</v>
      </c>
      <c r="EF51" s="1773" t="s">
        <v>1074</v>
      </c>
      <c r="EG51" s="1772" t="s">
        <v>735</v>
      </c>
      <c r="EH51" s="1773" t="s">
        <v>1074</v>
      </c>
      <c r="EI51" s="1772" t="s">
        <v>735</v>
      </c>
      <c r="EJ51" s="1773" t="s">
        <v>1074</v>
      </c>
      <c r="EK51" s="2798" t="s">
        <v>735</v>
      </c>
      <c r="EL51" s="2803" t="s">
        <v>1074</v>
      </c>
      <c r="EM51" s="2803" t="s">
        <v>2699</v>
      </c>
      <c r="EN51" s="1771"/>
      <c r="EO51" s="1771"/>
    </row>
    <row r="52" spans="1:145" s="1651" customFormat="1" ht="24.6" hidden="1" customHeight="1" outlineLevel="2">
      <c r="A52" s="3781"/>
      <c r="B52" s="1720" t="s">
        <v>1609</v>
      </c>
      <c r="C52" s="3505"/>
      <c r="D52" s="763"/>
      <c r="E52" s="763"/>
      <c r="F52" s="764"/>
      <c r="G52" s="765"/>
      <c r="H52" s="766"/>
      <c r="I52" s="781"/>
      <c r="J52" s="1175"/>
      <c r="K52" s="751"/>
      <c r="L52" s="751"/>
      <c r="M52" s="753"/>
      <c r="N52" s="753"/>
      <c r="O52" s="3519">
        <v>11900</v>
      </c>
      <c r="P52" s="2656"/>
      <c r="Q52" s="762"/>
      <c r="R52" s="764"/>
      <c r="S52" s="764">
        <v>0</v>
      </c>
      <c r="T52" s="1144">
        <v>2100</v>
      </c>
      <c r="U52" s="769">
        <v>0.11666666666666692</v>
      </c>
      <c r="V52" s="769">
        <v>0.11666666666666692</v>
      </c>
      <c r="W52" s="769">
        <v>8.5294117647058881E-2</v>
      </c>
      <c r="X52" s="2642"/>
      <c r="Y52" s="1807"/>
      <c r="Z52" s="1807"/>
      <c r="AA52" s="1807"/>
      <c r="AB52" s="769">
        <v>0</v>
      </c>
      <c r="AC52" s="769">
        <v>-0.1916666666666666</v>
      </c>
      <c r="AD52" s="764">
        <v>0</v>
      </c>
      <c r="AE52" s="770">
        <v>0</v>
      </c>
      <c r="AF52" s="764">
        <v>0</v>
      </c>
      <c r="AG52" s="765">
        <v>-1.6666666666666483E-2</v>
      </c>
      <c r="AH52" s="2665"/>
      <c r="AI52" s="2665"/>
      <c r="AJ52" s="766">
        <v>0</v>
      </c>
      <c r="AK52" s="754">
        <v>0</v>
      </c>
      <c r="AL52" s="754">
        <v>0</v>
      </c>
      <c r="AM52" s="757">
        <v>0</v>
      </c>
      <c r="AN52" s="757">
        <v>-0.10522388059701472</v>
      </c>
      <c r="AO52" s="762"/>
      <c r="AP52" s="764"/>
      <c r="AQ52" s="764"/>
      <c r="AR52" s="769">
        <v>8.0769230769230968E-2</v>
      </c>
      <c r="AS52" s="769">
        <v>-1.9565217391304405E-2</v>
      </c>
      <c r="AT52" s="769">
        <v>-0.26111111111111096</v>
      </c>
      <c r="AU52" s="769">
        <v>0.40555555555555578</v>
      </c>
      <c r="AV52" s="2664"/>
      <c r="AW52" s="754">
        <v>0</v>
      </c>
      <c r="AX52" s="757">
        <v>-7.3076923076922901E-2</v>
      </c>
      <c r="AY52" s="757">
        <v>0</v>
      </c>
      <c r="AZ52" s="757">
        <v>0</v>
      </c>
      <c r="BA52" s="757">
        <v>-6.304347826086952E-2</v>
      </c>
      <c r="BB52" s="757">
        <v>0</v>
      </c>
      <c r="BC52" s="769">
        <v>1.3115384615384618</v>
      </c>
      <c r="BD52" s="769">
        <v>-0.15000000000000002</v>
      </c>
      <c r="BE52" s="759">
        <v>-0.15000000000000002</v>
      </c>
      <c r="BF52" s="767">
        <v>-1.9565217391304405E-2</v>
      </c>
      <c r="BG52" s="762"/>
      <c r="BH52" s="771">
        <v>1.6666666666666739E-2</v>
      </c>
      <c r="BI52" s="771">
        <v>0.13571428571428584</v>
      </c>
      <c r="BJ52" s="771">
        <v>0.20714285714285738</v>
      </c>
      <c r="BK52" s="771">
        <v>3.8461538461540988E-3</v>
      </c>
      <c r="BL52" s="771">
        <v>0.11666666666666692</v>
      </c>
      <c r="BM52" s="771">
        <v>0.25000000000000006</v>
      </c>
      <c r="BN52" s="754">
        <v>0</v>
      </c>
      <c r="BO52" s="754">
        <v>0</v>
      </c>
      <c r="BP52" s="754">
        <v>0</v>
      </c>
      <c r="BQ52" s="762"/>
      <c r="BR52" s="763"/>
      <c r="BS52" s="773"/>
      <c r="BT52" s="773"/>
      <c r="BU52" s="760"/>
      <c r="BV52" s="760"/>
      <c r="BW52" s="760"/>
      <c r="BX52" s="760"/>
      <c r="BY52" s="762"/>
      <c r="BZ52" s="806"/>
      <c r="CA52" s="806"/>
      <c r="CB52" s="806"/>
      <c r="CC52" s="806"/>
      <c r="CD52" s="806"/>
      <c r="CE52" s="806"/>
      <c r="CF52" s="806"/>
      <c r="CG52" s="806"/>
      <c r="CH52" s="806">
        <v>1397.25</v>
      </c>
      <c r="CI52" s="806">
        <v>1474.8749999999998</v>
      </c>
      <c r="CJ52" s="806">
        <v>1552.4999999999998</v>
      </c>
      <c r="CK52" s="806">
        <v>1397.25</v>
      </c>
      <c r="CL52" s="806">
        <v>1474.8749999999998</v>
      </c>
      <c r="CM52" s="806">
        <v>1552.4999999999998</v>
      </c>
      <c r="CN52" s="806">
        <v>0</v>
      </c>
      <c r="CO52" s="806">
        <v>1696.2499999999998</v>
      </c>
      <c r="CP52" s="806">
        <v>1831.9499999999998</v>
      </c>
      <c r="CQ52" s="806">
        <v>1899.8</v>
      </c>
      <c r="CR52" s="806">
        <v>1967.6499999999999</v>
      </c>
      <c r="CS52" s="806">
        <v>1831.9499999999998</v>
      </c>
      <c r="CT52" s="806">
        <v>1899.8</v>
      </c>
      <c r="CU52" s="806">
        <v>1967.6499999999999</v>
      </c>
      <c r="CV52" s="806">
        <v>2103.35</v>
      </c>
      <c r="CW52" s="806">
        <v>2173.5</v>
      </c>
      <c r="CX52" s="806">
        <v>2251.125</v>
      </c>
      <c r="CY52" s="806">
        <v>2406.375</v>
      </c>
      <c r="CZ52" s="806">
        <v>2173.5</v>
      </c>
      <c r="DA52" s="806">
        <v>2251.125</v>
      </c>
      <c r="DB52" s="806">
        <v>2406.375</v>
      </c>
      <c r="DC52" s="806">
        <v>0</v>
      </c>
      <c r="DD52" s="762"/>
      <c r="DE52" s="752"/>
      <c r="DF52" s="752"/>
      <c r="DG52" s="752"/>
      <c r="DH52" s="752"/>
      <c r="DI52" s="752"/>
      <c r="DJ52" s="752"/>
      <c r="DK52" s="775"/>
      <c r="DL52" s="752"/>
      <c r="DM52" s="752"/>
      <c r="DN52" s="752"/>
      <c r="DO52" s="752"/>
      <c r="DP52" s="752"/>
      <c r="DQ52" s="752"/>
      <c r="DR52" s="752"/>
      <c r="DS52" s="776"/>
      <c r="DT52" s="759"/>
      <c r="DU52" s="760"/>
      <c r="DV52" s="760"/>
      <c r="DW52" s="2952"/>
      <c r="DX52" s="760"/>
      <c r="DY52" s="760"/>
      <c r="DZ52" s="3378"/>
      <c r="EA52" s="3374"/>
      <c r="EB52" s="812"/>
      <c r="EC52" s="2960"/>
      <c r="ED52" s="2960"/>
      <c r="EE52" s="811"/>
      <c r="EF52" s="812"/>
      <c r="EG52" s="811"/>
      <c r="EH52" s="812"/>
      <c r="EI52" s="811"/>
      <c r="EJ52" s="812"/>
      <c r="EK52" s="2799"/>
      <c r="EL52" s="2799"/>
      <c r="EM52" s="2799"/>
      <c r="EN52" s="761"/>
      <c r="EO52" s="761"/>
    </row>
    <row r="53" spans="1:145" s="1651" customFormat="1" ht="24.6" hidden="1" customHeight="1" outlineLevel="2">
      <c r="A53" s="3781"/>
      <c r="B53" s="1720" t="s">
        <v>1741</v>
      </c>
      <c r="C53" s="3505"/>
      <c r="D53" s="1797"/>
      <c r="E53" s="1797"/>
      <c r="F53" s="1798"/>
      <c r="G53" s="1799"/>
      <c r="H53" s="1800"/>
      <c r="I53" s="1801"/>
      <c r="J53" s="1802"/>
      <c r="K53" s="1803"/>
      <c r="L53" s="1803"/>
      <c r="M53" s="753"/>
      <c r="N53" s="1804"/>
      <c r="O53" s="1804"/>
      <c r="P53" s="2656">
        <v>0</v>
      </c>
      <c r="Q53" s="1782"/>
      <c r="R53" s="1798"/>
      <c r="S53" s="1798"/>
      <c r="T53" s="2676">
        <v>650</v>
      </c>
      <c r="U53" s="1807"/>
      <c r="V53" s="1807"/>
      <c r="W53" s="1807"/>
      <c r="X53" s="2642"/>
      <c r="Y53" s="1807"/>
      <c r="Z53" s="1807"/>
      <c r="AA53" s="1807"/>
      <c r="AB53" s="1807"/>
      <c r="AC53" s="1807"/>
      <c r="AD53" s="1798"/>
      <c r="AE53" s="1798"/>
      <c r="AF53" s="1798"/>
      <c r="AG53" s="1799"/>
      <c r="AH53" s="2665"/>
      <c r="AI53" s="2665"/>
      <c r="AJ53" s="1800"/>
      <c r="AK53" s="1808"/>
      <c r="AL53" s="1808"/>
      <c r="AM53" s="1809"/>
      <c r="AN53" s="1809"/>
      <c r="AO53" s="1782"/>
      <c r="AP53" s="1798"/>
      <c r="AQ53" s="1798"/>
      <c r="AR53" s="1807"/>
      <c r="AS53" s="1807"/>
      <c r="AT53" s="1807"/>
      <c r="AU53" s="1807"/>
      <c r="AV53" s="2664"/>
      <c r="AW53" s="1808"/>
      <c r="AX53" s="1809"/>
      <c r="AY53" s="1809"/>
      <c r="AZ53" s="1809"/>
      <c r="BA53" s="1809"/>
      <c r="BB53" s="1809"/>
      <c r="BC53" s="1807"/>
      <c r="BD53" s="1807"/>
      <c r="BE53" s="1810"/>
      <c r="BF53" s="1805"/>
      <c r="BG53" s="1782"/>
      <c r="BH53" s="1811"/>
      <c r="BI53" s="1811"/>
      <c r="BJ53" s="1811"/>
      <c r="BK53" s="1811"/>
      <c r="BL53" s="1811"/>
      <c r="BM53" s="1811"/>
      <c r="BN53" s="1808"/>
      <c r="BO53" s="1808"/>
      <c r="BP53" s="1808"/>
      <c r="BQ53" s="3524">
        <v>900</v>
      </c>
      <c r="BR53" s="1797"/>
      <c r="BS53" s="1812"/>
      <c r="BT53" s="1812"/>
      <c r="BU53" s="1813"/>
      <c r="BV53" s="1813"/>
      <c r="BW53" s="1813"/>
      <c r="BX53" s="1813"/>
      <c r="BY53" s="2813">
        <v>800</v>
      </c>
      <c r="BZ53" s="806">
        <v>0</v>
      </c>
      <c r="CA53" s="806">
        <v>0</v>
      </c>
      <c r="CB53" s="806">
        <v>0</v>
      </c>
      <c r="CC53" s="806">
        <v>0</v>
      </c>
      <c r="CD53" s="806">
        <v>0</v>
      </c>
      <c r="CE53" s="806">
        <v>0</v>
      </c>
      <c r="CF53" s="806">
        <v>0</v>
      </c>
      <c r="CG53" s="806">
        <v>0</v>
      </c>
      <c r="CH53" s="806">
        <v>0</v>
      </c>
      <c r="CI53" s="806">
        <v>0</v>
      </c>
      <c r="CJ53" s="806">
        <v>0</v>
      </c>
      <c r="CK53" s="806">
        <v>0</v>
      </c>
      <c r="CL53" s="806">
        <v>0</v>
      </c>
      <c r="CM53" s="806">
        <v>0</v>
      </c>
      <c r="CN53" s="806">
        <v>0</v>
      </c>
      <c r="CO53" s="806">
        <v>0</v>
      </c>
      <c r="CP53" s="806">
        <v>0</v>
      </c>
      <c r="CQ53" s="806">
        <v>0</v>
      </c>
      <c r="CR53" s="806">
        <v>0</v>
      </c>
      <c r="CS53" s="806">
        <v>0</v>
      </c>
      <c r="CT53" s="806">
        <v>0</v>
      </c>
      <c r="CU53" s="806">
        <v>0</v>
      </c>
      <c r="CV53" s="806">
        <v>0</v>
      </c>
      <c r="CW53" s="806">
        <v>0</v>
      </c>
      <c r="CX53" s="806">
        <v>0</v>
      </c>
      <c r="CY53" s="806">
        <v>0</v>
      </c>
      <c r="CZ53" s="806">
        <v>0</v>
      </c>
      <c r="DA53" s="806">
        <v>0</v>
      </c>
      <c r="DB53" s="806">
        <v>0</v>
      </c>
      <c r="DC53" s="806">
        <v>0</v>
      </c>
      <c r="DD53" s="1782"/>
      <c r="DE53" s="1819"/>
      <c r="DF53" s="1819"/>
      <c r="DG53" s="1819"/>
      <c r="DH53" s="1819"/>
      <c r="DI53" s="1819"/>
      <c r="DJ53" s="1819"/>
      <c r="DK53" s="1820"/>
      <c r="DL53" s="1819"/>
      <c r="DM53" s="1819"/>
      <c r="DN53" s="1819"/>
      <c r="DO53" s="1819"/>
      <c r="DP53" s="1819"/>
      <c r="DQ53" s="1819"/>
      <c r="DR53" s="1819"/>
      <c r="DS53" s="1821"/>
      <c r="DT53" s="1810"/>
      <c r="DU53" s="1813"/>
      <c r="DV53" s="1813"/>
      <c r="DW53" s="2952"/>
      <c r="DX53" s="1813"/>
      <c r="DY53" s="1813"/>
      <c r="DZ53" s="3378"/>
      <c r="EA53" s="3374"/>
      <c r="EB53" s="1822"/>
      <c r="EC53" s="2960"/>
      <c r="ED53" s="2960"/>
      <c r="EE53" s="1758"/>
      <c r="EF53" s="1822"/>
      <c r="EG53" s="1758"/>
      <c r="EH53" s="1822"/>
      <c r="EI53" s="1758"/>
      <c r="EJ53" s="1822"/>
      <c r="EK53" s="2799"/>
      <c r="EL53" s="2799"/>
      <c r="EM53" s="2799"/>
      <c r="EN53" s="761">
        <v>0</v>
      </c>
      <c r="EO53" s="761"/>
    </row>
    <row r="54" spans="1:145" s="1651" customFormat="1" ht="24.6" hidden="1" customHeight="1" outlineLevel="2">
      <c r="A54" s="3781"/>
      <c r="B54" s="1720" t="s">
        <v>391</v>
      </c>
      <c r="C54" s="3505"/>
      <c r="D54" s="763"/>
      <c r="E54" s="763">
        <v>1450</v>
      </c>
      <c r="F54" s="764"/>
      <c r="G54" s="2991">
        <v>1450</v>
      </c>
      <c r="H54" s="766"/>
      <c r="I54" s="781"/>
      <c r="J54" s="1174">
        <v>1450</v>
      </c>
      <c r="K54" s="2657">
        <v>3000</v>
      </c>
      <c r="L54" s="2657">
        <v>2800</v>
      </c>
      <c r="M54" s="753"/>
      <c r="N54" s="753"/>
      <c r="O54" s="753"/>
      <c r="P54" s="767"/>
      <c r="Q54" s="2676">
        <v>2500</v>
      </c>
      <c r="R54" s="764"/>
      <c r="S54" s="764"/>
      <c r="T54" s="2676">
        <v>800</v>
      </c>
      <c r="U54" s="2676">
        <v>950</v>
      </c>
      <c r="V54" s="2676">
        <v>950</v>
      </c>
      <c r="W54" s="2676">
        <v>1050</v>
      </c>
      <c r="X54" s="2996">
        <v>1300</v>
      </c>
      <c r="Y54" s="1807"/>
      <c r="Z54" s="1807"/>
      <c r="AA54" s="1807"/>
      <c r="AB54" s="769"/>
      <c r="AC54" s="769">
        <v>1150</v>
      </c>
      <c r="AD54" s="764"/>
      <c r="AE54" s="770"/>
      <c r="AF54" s="764"/>
      <c r="AG54" s="2997">
        <v>850</v>
      </c>
      <c r="AH54" s="2997">
        <v>1350</v>
      </c>
      <c r="AI54" s="2665"/>
      <c r="AJ54" s="2991">
        <v>850</v>
      </c>
      <c r="AK54" s="754"/>
      <c r="AL54" s="754"/>
      <c r="AM54" s="757"/>
      <c r="AN54" s="757">
        <v>700</v>
      </c>
      <c r="AO54" s="762"/>
      <c r="AP54" s="764"/>
      <c r="AQ54" s="764"/>
      <c r="AR54" s="2676">
        <v>800</v>
      </c>
      <c r="AS54" s="769">
        <v>1300</v>
      </c>
      <c r="AT54" s="2676">
        <v>80</v>
      </c>
      <c r="AU54" s="2676">
        <v>140</v>
      </c>
      <c r="AV54" s="2676">
        <v>1300</v>
      </c>
      <c r="AW54" s="754"/>
      <c r="AX54" s="757">
        <v>700</v>
      </c>
      <c r="AY54" s="757">
        <v>950</v>
      </c>
      <c r="AZ54" s="757">
        <v>1150</v>
      </c>
      <c r="BA54" s="757">
        <v>1250</v>
      </c>
      <c r="BB54" s="757">
        <v>1600</v>
      </c>
      <c r="BC54" s="764">
        <v>120</v>
      </c>
      <c r="BD54" s="2676">
        <v>500</v>
      </c>
      <c r="BE54" s="2676">
        <v>500</v>
      </c>
      <c r="BF54" s="2676">
        <v>1300</v>
      </c>
      <c r="BG54" s="2676">
        <v>400</v>
      </c>
      <c r="BH54" s="2700">
        <v>700</v>
      </c>
      <c r="BI54" s="2676">
        <v>900</v>
      </c>
      <c r="BJ54" s="2676">
        <v>950</v>
      </c>
      <c r="BK54" s="2676">
        <v>750</v>
      </c>
      <c r="BL54" s="2676">
        <v>950</v>
      </c>
      <c r="BM54" s="2676">
        <v>1050</v>
      </c>
      <c r="BN54" s="754"/>
      <c r="BO54" s="754"/>
      <c r="BP54" s="754"/>
      <c r="BQ54" s="3524"/>
      <c r="BR54" s="2794">
        <v>1400</v>
      </c>
      <c r="BS54" s="777">
        <v>1600</v>
      </c>
      <c r="BT54" s="777">
        <v>2300</v>
      </c>
      <c r="BU54" s="760"/>
      <c r="BV54" s="760"/>
      <c r="BW54" s="760"/>
      <c r="BX54" s="760"/>
      <c r="BY54" s="2813"/>
      <c r="BZ54" s="806">
        <v>650</v>
      </c>
      <c r="CA54" s="806">
        <v>700</v>
      </c>
      <c r="CB54" s="806">
        <v>750</v>
      </c>
      <c r="CC54" s="806">
        <v>800</v>
      </c>
      <c r="CD54" s="806">
        <v>1200</v>
      </c>
      <c r="CE54" s="806">
        <v>1250</v>
      </c>
      <c r="CF54" s="806">
        <v>1400</v>
      </c>
      <c r="CG54" s="806">
        <v>1450</v>
      </c>
      <c r="CH54" s="755"/>
      <c r="CI54" s="755"/>
      <c r="CJ54" s="755"/>
      <c r="CK54" s="806"/>
      <c r="CL54" s="806"/>
      <c r="CM54" s="806"/>
      <c r="CN54" s="806">
        <v>0</v>
      </c>
      <c r="CO54" s="806"/>
      <c r="CP54" s="806"/>
      <c r="CQ54" s="806"/>
      <c r="CR54" s="806"/>
      <c r="CS54" s="806">
        <v>800</v>
      </c>
      <c r="CT54" s="806">
        <v>900</v>
      </c>
      <c r="CU54" s="806">
        <v>900</v>
      </c>
      <c r="CV54" s="806">
        <v>1000</v>
      </c>
      <c r="CW54" s="806">
        <v>0</v>
      </c>
      <c r="CX54" s="806">
        <v>0</v>
      </c>
      <c r="CY54" s="806">
        <v>0</v>
      </c>
      <c r="CZ54" s="806">
        <v>900</v>
      </c>
      <c r="DA54" s="806">
        <v>900</v>
      </c>
      <c r="DB54" s="806">
        <v>1000</v>
      </c>
      <c r="DC54" s="806">
        <v>0</v>
      </c>
      <c r="DD54" s="762"/>
      <c r="DE54" s="2795"/>
      <c r="DF54" s="752">
        <v>3450</v>
      </c>
      <c r="DG54" s="752">
        <v>3300</v>
      </c>
      <c r="DH54" s="752">
        <v>4000</v>
      </c>
      <c r="DI54" s="752">
        <v>0</v>
      </c>
      <c r="DJ54" s="752">
        <v>0</v>
      </c>
      <c r="DK54" s="2794"/>
      <c r="DL54" s="2795"/>
      <c r="DM54" s="752"/>
      <c r="DN54" s="752"/>
      <c r="DO54" s="752"/>
      <c r="DP54" s="2795"/>
      <c r="DQ54" s="2795"/>
      <c r="DR54" s="2795"/>
      <c r="DS54" s="776"/>
      <c r="DT54" s="1970">
        <v>9650</v>
      </c>
      <c r="DU54" s="1813"/>
      <c r="DV54" s="760"/>
      <c r="DW54" s="2952"/>
      <c r="DX54" s="1813"/>
      <c r="DY54" s="760"/>
      <c r="DZ54" s="3378">
        <v>1900</v>
      </c>
      <c r="EA54" s="3374">
        <v>13750</v>
      </c>
      <c r="EB54" s="812">
        <v>9625.0000000000018</v>
      </c>
      <c r="EC54" s="2960"/>
      <c r="ED54" s="2960"/>
      <c r="EE54" s="811"/>
      <c r="EF54" s="812"/>
      <c r="EG54" s="811"/>
      <c r="EH54" s="812"/>
      <c r="EI54" s="811"/>
      <c r="EJ54" s="812"/>
      <c r="EK54" s="2799"/>
      <c r="EL54" s="2799"/>
      <c r="EM54" s="2799"/>
      <c r="EN54" s="761">
        <v>1522.5</v>
      </c>
      <c r="EO54" s="761"/>
    </row>
    <row r="55" spans="1:145" s="1651" customFormat="1" ht="24.6" hidden="1" customHeight="1" outlineLevel="2">
      <c r="A55" s="3781"/>
      <c r="B55" s="2804" t="s">
        <v>2700</v>
      </c>
      <c r="C55" s="3505"/>
      <c r="D55" s="2805"/>
      <c r="E55" s="763">
        <v>1700</v>
      </c>
      <c r="F55" s="2806"/>
      <c r="G55" s="2991">
        <v>1700</v>
      </c>
      <c r="H55" s="2808"/>
      <c r="I55" s="2809"/>
      <c r="J55" s="1174">
        <v>1700</v>
      </c>
      <c r="K55" s="2657">
        <v>3550</v>
      </c>
      <c r="L55" s="2657">
        <v>3300</v>
      </c>
      <c r="M55" s="2811"/>
      <c r="N55" s="2811"/>
      <c r="O55" s="2811"/>
      <c r="P55" s="2812"/>
      <c r="Q55" s="2676">
        <v>2950</v>
      </c>
      <c r="R55" s="2806"/>
      <c r="S55" s="2806"/>
      <c r="T55" s="2676">
        <v>950</v>
      </c>
      <c r="U55" s="2676">
        <v>1100</v>
      </c>
      <c r="V55" s="2676">
        <v>1100</v>
      </c>
      <c r="W55" s="2676">
        <v>1200</v>
      </c>
      <c r="X55" s="2996">
        <v>1550</v>
      </c>
      <c r="Y55" s="2826"/>
      <c r="Z55" s="2826"/>
      <c r="AA55" s="2826"/>
      <c r="AB55" s="2814"/>
      <c r="AC55" s="2814"/>
      <c r="AD55" s="2806"/>
      <c r="AE55" s="2806"/>
      <c r="AF55" s="2806"/>
      <c r="AG55" s="2997">
        <v>1050</v>
      </c>
      <c r="AH55" s="2997">
        <v>1600</v>
      </c>
      <c r="AI55" s="2807"/>
      <c r="AJ55" s="2991">
        <v>1050</v>
      </c>
      <c r="AK55" s="2827"/>
      <c r="AL55" s="2827"/>
      <c r="AM55" s="2816"/>
      <c r="AN55" s="2816"/>
      <c r="AO55" s="2813"/>
      <c r="AP55" s="2806"/>
      <c r="AQ55" s="2806"/>
      <c r="AR55" s="2676">
        <v>950</v>
      </c>
      <c r="AS55" s="769">
        <v>1550</v>
      </c>
      <c r="AT55" s="2676">
        <v>100</v>
      </c>
      <c r="AU55" s="2676">
        <v>170</v>
      </c>
      <c r="AV55" s="2676">
        <v>1550</v>
      </c>
      <c r="AW55" s="2827"/>
      <c r="AX55" s="2816"/>
      <c r="AY55" s="2816"/>
      <c r="AZ55" s="2816"/>
      <c r="BA55" s="2816"/>
      <c r="BB55" s="2816"/>
      <c r="BC55" s="764">
        <v>120</v>
      </c>
      <c r="BD55" s="2676">
        <v>600</v>
      </c>
      <c r="BE55" s="2676">
        <v>600</v>
      </c>
      <c r="BF55" s="2676">
        <v>1550</v>
      </c>
      <c r="BG55" s="2676">
        <v>450</v>
      </c>
      <c r="BH55" s="2700">
        <v>850</v>
      </c>
      <c r="BI55" s="2676">
        <v>1050</v>
      </c>
      <c r="BJ55" s="2676">
        <v>1150</v>
      </c>
      <c r="BK55" s="2676">
        <v>850</v>
      </c>
      <c r="BL55" s="2676">
        <v>1150</v>
      </c>
      <c r="BM55" s="2676">
        <v>1200</v>
      </c>
      <c r="BN55" s="2815"/>
      <c r="BO55" s="2815"/>
      <c r="BP55" s="2815"/>
      <c r="BQ55" s="3524"/>
      <c r="BR55" s="2794">
        <v>1650</v>
      </c>
      <c r="BS55" s="777">
        <v>1850</v>
      </c>
      <c r="BT55" s="777">
        <v>2700</v>
      </c>
      <c r="BU55" s="2818"/>
      <c r="BV55" s="2818"/>
      <c r="BW55" s="2818"/>
      <c r="BX55" s="2818"/>
      <c r="BY55" s="2813"/>
      <c r="BZ55" s="2819">
        <v>800</v>
      </c>
      <c r="CA55" s="2819">
        <v>850</v>
      </c>
      <c r="CB55" s="2819">
        <v>850</v>
      </c>
      <c r="CC55" s="2819">
        <v>950</v>
      </c>
      <c r="CD55" s="2819"/>
      <c r="CE55" s="2819"/>
      <c r="CF55" s="2819"/>
      <c r="CG55" s="2819"/>
      <c r="CH55" s="2820"/>
      <c r="CI55" s="2820"/>
      <c r="CJ55" s="2820"/>
      <c r="CK55" s="2819"/>
      <c r="CL55" s="2819"/>
      <c r="CM55" s="2819"/>
      <c r="CN55" s="2819"/>
      <c r="CO55" s="2819"/>
      <c r="CP55" s="2819"/>
      <c r="CQ55" s="2819"/>
      <c r="CR55" s="2819"/>
      <c r="CS55" s="2819"/>
      <c r="CT55" s="2819"/>
      <c r="CU55" s="2819"/>
      <c r="CV55" s="2819"/>
      <c r="CW55" s="2819"/>
      <c r="CX55" s="2819"/>
      <c r="CY55" s="2819"/>
      <c r="CZ55" s="2819"/>
      <c r="DA55" s="2819"/>
      <c r="DB55" s="2819"/>
      <c r="DC55" s="2819"/>
      <c r="DD55" s="2813"/>
      <c r="DE55" s="2821"/>
      <c r="DF55" s="2822"/>
      <c r="DG55" s="2822"/>
      <c r="DH55" s="2822"/>
      <c r="DI55" s="2821"/>
      <c r="DJ55" s="2822"/>
      <c r="DK55" s="2817"/>
      <c r="DL55" s="2821"/>
      <c r="DM55" s="2822"/>
      <c r="DN55" s="2822"/>
      <c r="DO55" s="2822"/>
      <c r="DP55" s="2821"/>
      <c r="DQ55" s="2821"/>
      <c r="DR55" s="2821"/>
      <c r="DS55" s="2823"/>
      <c r="DT55" s="1970">
        <v>9150</v>
      </c>
      <c r="DU55" s="2825"/>
      <c r="DV55" s="2825"/>
      <c r="DW55" s="2952"/>
      <c r="DX55" s="2825"/>
      <c r="DY55" s="2825"/>
      <c r="DZ55" s="3378">
        <v>1900</v>
      </c>
      <c r="EA55" s="3374"/>
      <c r="EB55" s="2800"/>
      <c r="EC55" s="2960"/>
      <c r="ED55" s="2960"/>
      <c r="EE55" s="2799"/>
      <c r="EF55" s="2800"/>
      <c r="EG55" s="2799"/>
      <c r="EH55" s="2800"/>
      <c r="EI55" s="2799"/>
      <c r="EJ55" s="2800"/>
      <c r="EK55" s="2799"/>
      <c r="EL55" s="2799"/>
      <c r="EM55" s="2799"/>
      <c r="EN55" s="761"/>
      <c r="EO55" s="761"/>
    </row>
    <row r="56" spans="1:145" s="1651" customFormat="1" ht="24.6" hidden="1" customHeight="1" outlineLevel="2">
      <c r="A56" s="3781"/>
      <c r="B56" s="1723" t="s">
        <v>284</v>
      </c>
      <c r="C56" s="3505"/>
      <c r="D56" s="763"/>
      <c r="E56" s="763">
        <v>2200</v>
      </c>
      <c r="F56" s="769"/>
      <c r="G56" s="2991">
        <v>2200</v>
      </c>
      <c r="H56" s="2991">
        <v>2450</v>
      </c>
      <c r="I56" s="779">
        <v>2200</v>
      </c>
      <c r="J56" s="1174">
        <v>2200</v>
      </c>
      <c r="K56" s="2657">
        <v>4550</v>
      </c>
      <c r="L56" s="2657">
        <v>4250</v>
      </c>
      <c r="M56" s="753"/>
      <c r="N56" s="753"/>
      <c r="O56" s="753"/>
      <c r="P56" s="753"/>
      <c r="Q56" s="2676">
        <v>3800</v>
      </c>
      <c r="R56" s="763"/>
      <c r="S56" s="769">
        <v>1400</v>
      </c>
      <c r="T56" s="763">
        <v>1200</v>
      </c>
      <c r="U56" s="2675">
        <v>1400</v>
      </c>
      <c r="V56" s="2676">
        <v>1400</v>
      </c>
      <c r="W56" s="2676">
        <v>1550</v>
      </c>
      <c r="X56" s="2995">
        <v>1950</v>
      </c>
      <c r="Y56" s="2722">
        <v>3250</v>
      </c>
      <c r="Z56" s="2722">
        <v>1600</v>
      </c>
      <c r="AA56" s="2722">
        <v>1950</v>
      </c>
      <c r="AB56" s="769">
        <v>2150</v>
      </c>
      <c r="AC56" s="2675">
        <v>2150</v>
      </c>
      <c r="AD56" s="2675">
        <v>2600</v>
      </c>
      <c r="AE56" s="2675">
        <v>2800</v>
      </c>
      <c r="AF56" s="2675">
        <v>3700</v>
      </c>
      <c r="AG56" s="2677">
        <v>1300</v>
      </c>
      <c r="AH56" s="2686">
        <v>2050</v>
      </c>
      <c r="AI56" s="2686">
        <v>3250</v>
      </c>
      <c r="AJ56" s="2991">
        <v>1300</v>
      </c>
      <c r="AK56" s="3001">
        <v>2150</v>
      </c>
      <c r="AL56" s="3001">
        <v>3700</v>
      </c>
      <c r="AM56" s="757">
        <v>1400</v>
      </c>
      <c r="AN56" s="757">
        <v>1200</v>
      </c>
      <c r="AO56" s="778"/>
      <c r="AP56" s="769">
        <v>0</v>
      </c>
      <c r="AQ56" s="763"/>
      <c r="AR56" s="2675">
        <v>1200</v>
      </c>
      <c r="AS56" s="2675">
        <v>1950</v>
      </c>
      <c r="AT56" s="2676">
        <v>120</v>
      </c>
      <c r="AU56" s="2676">
        <v>210</v>
      </c>
      <c r="AV56" s="2722">
        <v>1950</v>
      </c>
      <c r="AW56" s="779">
        <v>1365</v>
      </c>
      <c r="AX56" s="757">
        <v>1200</v>
      </c>
      <c r="AY56" s="757">
        <v>1600</v>
      </c>
      <c r="AZ56" s="757">
        <v>1920</v>
      </c>
      <c r="BA56" s="757">
        <v>1950</v>
      </c>
      <c r="BB56" s="757">
        <v>2720</v>
      </c>
      <c r="BC56" s="764">
        <v>120</v>
      </c>
      <c r="BD56" s="2675">
        <v>730</v>
      </c>
      <c r="BE56" s="759">
        <v>730</v>
      </c>
      <c r="BF56" s="2675">
        <v>1950</v>
      </c>
      <c r="BG56" s="778">
        <v>550</v>
      </c>
      <c r="BH56" s="3523">
        <v>1050</v>
      </c>
      <c r="BI56" s="3523">
        <v>1350</v>
      </c>
      <c r="BJ56" s="3523">
        <v>1450</v>
      </c>
      <c r="BK56" s="3523">
        <v>1100</v>
      </c>
      <c r="BL56" s="3523">
        <v>1450</v>
      </c>
      <c r="BM56" s="3523">
        <v>1550</v>
      </c>
      <c r="BN56" s="3523">
        <v>1950</v>
      </c>
      <c r="BO56" s="3523">
        <v>2100</v>
      </c>
      <c r="BP56" s="3523">
        <v>2500</v>
      </c>
      <c r="BQ56" s="3524">
        <v>1400</v>
      </c>
      <c r="BR56" s="1158">
        <v>2100</v>
      </c>
      <c r="BS56" s="3525">
        <v>2400</v>
      </c>
      <c r="BT56" s="3525">
        <v>3500</v>
      </c>
      <c r="BU56" s="3525">
        <v>800</v>
      </c>
      <c r="BV56" s="3525">
        <v>950</v>
      </c>
      <c r="BW56" s="3525">
        <v>1200</v>
      </c>
      <c r="BX56" s="3525">
        <v>5300</v>
      </c>
      <c r="BY56" s="778">
        <v>1200</v>
      </c>
      <c r="BZ56" s="774">
        <v>1000</v>
      </c>
      <c r="CA56" s="774">
        <v>1050</v>
      </c>
      <c r="CB56" s="774">
        <v>1100</v>
      </c>
      <c r="CC56" s="774">
        <v>1200</v>
      </c>
      <c r="CD56" s="3526">
        <v>1050</v>
      </c>
      <c r="CE56" s="3526">
        <v>1100</v>
      </c>
      <c r="CF56" s="3526">
        <v>1200</v>
      </c>
      <c r="CG56" s="3526">
        <v>1250</v>
      </c>
      <c r="CH56" s="3526">
        <v>1100</v>
      </c>
      <c r="CI56" s="3526">
        <v>1200</v>
      </c>
      <c r="CJ56" s="3526">
        <v>1250</v>
      </c>
      <c r="CK56" s="755">
        <v>1100</v>
      </c>
      <c r="CL56" s="755">
        <v>1200</v>
      </c>
      <c r="CM56" s="755">
        <v>1250</v>
      </c>
      <c r="CN56" s="3526">
        <v>1450</v>
      </c>
      <c r="CO56" s="3011">
        <v>1350</v>
      </c>
      <c r="CP56" s="3011">
        <v>1450</v>
      </c>
      <c r="CQ56" s="3011">
        <v>1510</v>
      </c>
      <c r="CR56" s="3011">
        <v>1560</v>
      </c>
      <c r="CS56" s="3011">
        <v>1460</v>
      </c>
      <c r="CT56" s="3011">
        <v>1510</v>
      </c>
      <c r="CU56" s="3011">
        <v>1560</v>
      </c>
      <c r="CV56" s="3011">
        <v>1660</v>
      </c>
      <c r="CW56" s="3011">
        <v>1510</v>
      </c>
      <c r="CX56" s="3011">
        <v>1560</v>
      </c>
      <c r="CY56" s="3011">
        <v>1660</v>
      </c>
      <c r="CZ56" s="3011">
        <v>1510</v>
      </c>
      <c r="DA56" s="3011">
        <v>1560</v>
      </c>
      <c r="DB56" s="3011">
        <v>1660</v>
      </c>
      <c r="DC56" s="3011">
        <v>1950</v>
      </c>
      <c r="DD56" s="778"/>
      <c r="DE56" s="3534">
        <v>3100</v>
      </c>
      <c r="DF56" s="3534">
        <v>3700</v>
      </c>
      <c r="DG56" s="752">
        <v>4000</v>
      </c>
      <c r="DH56" s="752">
        <v>4800</v>
      </c>
      <c r="DI56" s="3534">
        <v>4050</v>
      </c>
      <c r="DJ56" s="3534">
        <v>4900</v>
      </c>
      <c r="DK56" s="1158">
        <v>4800</v>
      </c>
      <c r="DL56" s="3534">
        <v>4900</v>
      </c>
      <c r="DM56" s="3534">
        <v>9050</v>
      </c>
      <c r="DN56" s="752">
        <v>9050</v>
      </c>
      <c r="DO56" s="752">
        <v>9050</v>
      </c>
      <c r="DP56" s="3534">
        <v>2150</v>
      </c>
      <c r="DQ56" s="3534">
        <v>2650</v>
      </c>
      <c r="DR56" s="3534">
        <v>1050</v>
      </c>
      <c r="DS56" s="780"/>
      <c r="DT56" s="1970">
        <v>11850</v>
      </c>
      <c r="DU56" s="2825">
        <v>17750</v>
      </c>
      <c r="DV56" s="2824">
        <v>4450</v>
      </c>
      <c r="DW56" s="2673"/>
      <c r="DX56" s="1970">
        <v>18400</v>
      </c>
      <c r="DY56" s="1970">
        <v>25850</v>
      </c>
      <c r="DZ56" s="3378">
        <v>1900</v>
      </c>
      <c r="EA56" s="3374">
        <v>21100</v>
      </c>
      <c r="EB56" s="812">
        <v>14770.000000000002</v>
      </c>
      <c r="EC56" s="2960"/>
      <c r="ED56" s="2960"/>
      <c r="EE56" s="811">
        <v>33700</v>
      </c>
      <c r="EF56" s="812">
        <v>22958.125</v>
      </c>
      <c r="EG56" s="811">
        <v>47350</v>
      </c>
      <c r="EH56" s="812">
        <v>32257.187500000004</v>
      </c>
      <c r="EI56" s="811"/>
      <c r="EJ56" s="812"/>
      <c r="EK56" s="2799">
        <v>35450</v>
      </c>
      <c r="EL56" s="2800">
        <v>22156.25</v>
      </c>
      <c r="EM56" s="2800">
        <v>4431.25</v>
      </c>
      <c r="EN56" s="761">
        <v>2310</v>
      </c>
      <c r="EO56" s="761"/>
    </row>
    <row r="57" spans="1:145" s="1651" customFormat="1" ht="24.6" hidden="1" customHeight="1" outlineLevel="2">
      <c r="A57" s="3781"/>
      <c r="B57" s="1720" t="s">
        <v>2587</v>
      </c>
      <c r="C57" s="3505"/>
      <c r="D57" s="763"/>
      <c r="E57" s="763">
        <v>2350</v>
      </c>
      <c r="F57" s="769"/>
      <c r="G57" s="2991">
        <v>2350</v>
      </c>
      <c r="H57" s="2991">
        <v>2600</v>
      </c>
      <c r="I57" s="782"/>
      <c r="J57" s="1174">
        <v>2350</v>
      </c>
      <c r="K57" s="2657">
        <v>4800</v>
      </c>
      <c r="L57" s="2657">
        <v>4500</v>
      </c>
      <c r="M57" s="753"/>
      <c r="N57" s="753"/>
      <c r="O57" s="753"/>
      <c r="P57" s="753"/>
      <c r="Q57" s="2676">
        <v>4000</v>
      </c>
      <c r="R57" s="769"/>
      <c r="S57" s="769">
        <v>1500</v>
      </c>
      <c r="T57" s="2676">
        <v>1300</v>
      </c>
      <c r="U57" s="2676">
        <v>1500</v>
      </c>
      <c r="V57" s="2676">
        <v>1500</v>
      </c>
      <c r="W57" s="2676">
        <v>1650</v>
      </c>
      <c r="X57" s="2996">
        <v>2050</v>
      </c>
      <c r="Y57" s="1807"/>
      <c r="Z57" s="1807"/>
      <c r="AA57" s="1807"/>
      <c r="AB57" s="2676">
        <v>2300</v>
      </c>
      <c r="AC57" s="770"/>
      <c r="AD57" s="770"/>
      <c r="AE57" s="770"/>
      <c r="AF57" s="770"/>
      <c r="AG57" s="2997">
        <v>1400</v>
      </c>
      <c r="AH57" s="2997">
        <v>2200</v>
      </c>
      <c r="AI57" s="2997">
        <v>3450</v>
      </c>
      <c r="AJ57" s="2991">
        <v>1400</v>
      </c>
      <c r="AK57" s="754"/>
      <c r="AL57" s="754"/>
      <c r="AM57" s="757">
        <v>1500</v>
      </c>
      <c r="AN57" s="757">
        <v>1300</v>
      </c>
      <c r="AO57" s="762"/>
      <c r="AP57" s="769"/>
      <c r="AQ57" s="769"/>
      <c r="AR57" s="2676">
        <v>1300</v>
      </c>
      <c r="AS57" s="769">
        <v>2050</v>
      </c>
      <c r="AT57" s="2676">
        <v>130</v>
      </c>
      <c r="AU57" s="2676">
        <v>230</v>
      </c>
      <c r="AV57" s="2676">
        <v>2050</v>
      </c>
      <c r="AW57" s="754"/>
      <c r="AX57" s="757">
        <v>1300</v>
      </c>
      <c r="AY57" s="757">
        <v>1740</v>
      </c>
      <c r="AZ57" s="757">
        <v>2080</v>
      </c>
      <c r="BA57" s="757">
        <v>2050</v>
      </c>
      <c r="BB57" s="757">
        <v>2950</v>
      </c>
      <c r="BC57" s="764">
        <v>120</v>
      </c>
      <c r="BD57" s="2676">
        <v>800</v>
      </c>
      <c r="BE57" s="2676">
        <v>800</v>
      </c>
      <c r="BF57" s="2676">
        <v>2050</v>
      </c>
      <c r="BG57" s="2676">
        <v>600</v>
      </c>
      <c r="BH57" s="2676">
        <v>1150</v>
      </c>
      <c r="BI57" s="2676">
        <v>1450</v>
      </c>
      <c r="BJ57" s="2676">
        <v>1550</v>
      </c>
      <c r="BK57" s="2676">
        <v>1200</v>
      </c>
      <c r="BL57" s="2676">
        <v>1550</v>
      </c>
      <c r="BM57" s="2676">
        <v>1650</v>
      </c>
      <c r="BN57" s="754"/>
      <c r="BO57" s="754"/>
      <c r="BP57" s="754"/>
      <c r="BQ57" s="3540">
        <v>1500</v>
      </c>
      <c r="BR57" s="2794">
        <v>2250</v>
      </c>
      <c r="BS57" s="777">
        <v>2550</v>
      </c>
      <c r="BT57" s="777">
        <v>3700</v>
      </c>
      <c r="BU57" s="777">
        <v>850</v>
      </c>
      <c r="BV57" s="777">
        <v>1000</v>
      </c>
      <c r="BW57" s="777">
        <v>1300</v>
      </c>
      <c r="BX57" s="777">
        <v>5600</v>
      </c>
      <c r="BY57" s="762">
        <v>1300</v>
      </c>
      <c r="BZ57" s="3012">
        <v>1050</v>
      </c>
      <c r="CA57" s="3012">
        <v>1150</v>
      </c>
      <c r="CB57" s="3012">
        <v>1200</v>
      </c>
      <c r="CC57" s="3012">
        <v>1300</v>
      </c>
      <c r="CD57" s="3012"/>
      <c r="CE57" s="3012"/>
      <c r="CF57" s="755"/>
      <c r="CG57" s="755"/>
      <c r="CH57" s="3012">
        <v>1200</v>
      </c>
      <c r="CI57" s="3012">
        <v>1300</v>
      </c>
      <c r="CJ57" s="3012">
        <v>1350</v>
      </c>
      <c r="CK57" s="3012">
        <v>1200</v>
      </c>
      <c r="CL57" s="3012">
        <v>1300</v>
      </c>
      <c r="CM57" s="3012">
        <v>1350</v>
      </c>
      <c r="CN57" s="755"/>
      <c r="CO57" s="3012">
        <v>1450</v>
      </c>
      <c r="CP57" s="3012">
        <v>1550</v>
      </c>
      <c r="CQ57" s="3012">
        <v>1600</v>
      </c>
      <c r="CR57" s="3012">
        <v>1650</v>
      </c>
      <c r="CS57" s="806">
        <v>0</v>
      </c>
      <c r="CT57" s="806">
        <v>0</v>
      </c>
      <c r="CU57" s="806">
        <v>0</v>
      </c>
      <c r="CV57" s="806">
        <v>0</v>
      </c>
      <c r="CW57" s="3012">
        <v>1600</v>
      </c>
      <c r="CX57" s="3012">
        <v>1650</v>
      </c>
      <c r="CY57" s="3012">
        <v>1750</v>
      </c>
      <c r="CZ57" s="3012">
        <v>1600</v>
      </c>
      <c r="DA57" s="3012">
        <v>1650</v>
      </c>
      <c r="DB57" s="3012">
        <v>1750</v>
      </c>
      <c r="DC57" s="806">
        <v>0</v>
      </c>
      <c r="DD57" s="762"/>
      <c r="DE57" s="2795">
        <v>3300</v>
      </c>
      <c r="DF57" s="2795">
        <v>3900</v>
      </c>
      <c r="DG57" s="752">
        <v>4200</v>
      </c>
      <c r="DH57" s="752">
        <v>5050</v>
      </c>
      <c r="DI57" s="2795">
        <v>4300</v>
      </c>
      <c r="DJ57" s="2795">
        <v>5150</v>
      </c>
      <c r="DK57" s="2794">
        <v>5050</v>
      </c>
      <c r="DL57" s="2795">
        <v>5150</v>
      </c>
      <c r="DM57" s="2795">
        <v>9550</v>
      </c>
      <c r="DN57" s="752">
        <v>9550</v>
      </c>
      <c r="DO57" s="752">
        <v>9550</v>
      </c>
      <c r="DP57" s="2795">
        <v>2300</v>
      </c>
      <c r="DQ57" s="2795">
        <v>2800</v>
      </c>
      <c r="DR57" s="752">
        <v>1150</v>
      </c>
      <c r="DS57" s="776"/>
      <c r="DT57" s="1970">
        <v>12450</v>
      </c>
      <c r="DU57" s="2825"/>
      <c r="DV57" s="759"/>
      <c r="DW57" s="2670"/>
      <c r="DX57" s="1970"/>
      <c r="DY57" s="1970">
        <v>27150</v>
      </c>
      <c r="DZ57" s="3378">
        <v>1900</v>
      </c>
      <c r="EA57" s="3374">
        <v>22200</v>
      </c>
      <c r="EB57" s="812">
        <v>15540.000000000002</v>
      </c>
      <c r="EC57" s="2960"/>
      <c r="ED57" s="2960"/>
      <c r="EE57" s="811"/>
      <c r="EF57" s="812"/>
      <c r="EG57" s="811"/>
      <c r="EH57" s="812"/>
      <c r="EI57" s="811">
        <v>29950</v>
      </c>
      <c r="EJ57" s="812">
        <v>20403.4375</v>
      </c>
      <c r="EK57" s="2799"/>
      <c r="EL57" s="2800">
        <v>0</v>
      </c>
      <c r="EM57" s="2800">
        <v>0</v>
      </c>
      <c r="EN57" s="761">
        <v>2467.5</v>
      </c>
      <c r="EO57" s="761"/>
    </row>
    <row r="58" spans="1:145" s="1651" customFormat="1" ht="24.6" hidden="1" customHeight="1" outlineLevel="2">
      <c r="A58" s="3781"/>
      <c r="B58" s="1722" t="s">
        <v>2570</v>
      </c>
      <c r="C58" s="3505"/>
      <c r="D58" s="763"/>
      <c r="E58" s="763">
        <v>2500</v>
      </c>
      <c r="F58" s="769"/>
      <c r="G58" s="2991">
        <v>2500</v>
      </c>
      <c r="H58" s="2991">
        <v>2800</v>
      </c>
      <c r="I58" s="781"/>
      <c r="J58" s="1174">
        <v>2500</v>
      </c>
      <c r="K58" s="2657">
        <v>5150</v>
      </c>
      <c r="L58" s="2657">
        <v>4850</v>
      </c>
      <c r="M58" s="753"/>
      <c r="N58" s="753"/>
      <c r="O58" s="753"/>
      <c r="P58" s="753"/>
      <c r="Q58" s="2676">
        <v>4300</v>
      </c>
      <c r="R58" s="769"/>
      <c r="S58" s="769">
        <v>1600</v>
      </c>
      <c r="T58" s="2676">
        <v>1400</v>
      </c>
      <c r="U58" s="2676">
        <v>1600</v>
      </c>
      <c r="V58" s="2676">
        <v>1600</v>
      </c>
      <c r="W58" s="2676">
        <v>1800</v>
      </c>
      <c r="X58" s="2996">
        <v>2250</v>
      </c>
      <c r="Y58" s="1807"/>
      <c r="Z58" s="1807"/>
      <c r="AA58" s="1807"/>
      <c r="AB58" s="2676">
        <v>2450</v>
      </c>
      <c r="AC58" s="764"/>
      <c r="AD58" s="764"/>
      <c r="AE58" s="770"/>
      <c r="AF58" s="764"/>
      <c r="AG58" s="2997">
        <v>1500</v>
      </c>
      <c r="AH58" s="2997">
        <v>2350</v>
      </c>
      <c r="AI58" s="2997">
        <v>3700</v>
      </c>
      <c r="AJ58" s="2991">
        <v>1500</v>
      </c>
      <c r="AK58" s="754"/>
      <c r="AL58" s="754"/>
      <c r="AM58" s="757">
        <v>1600</v>
      </c>
      <c r="AN58" s="757">
        <v>1400</v>
      </c>
      <c r="AO58" s="762"/>
      <c r="AP58" s="769"/>
      <c r="AQ58" s="769"/>
      <c r="AR58" s="2676">
        <v>1400</v>
      </c>
      <c r="AS58" s="769">
        <v>2250</v>
      </c>
      <c r="AT58" s="2676">
        <v>140</v>
      </c>
      <c r="AU58" s="2676">
        <v>240</v>
      </c>
      <c r="AV58" s="2676">
        <v>2250</v>
      </c>
      <c r="AW58" s="754"/>
      <c r="AX58" s="757">
        <v>1400</v>
      </c>
      <c r="AY58" s="757">
        <v>1870</v>
      </c>
      <c r="AZ58" s="757">
        <v>2240</v>
      </c>
      <c r="BA58" s="757">
        <v>2250</v>
      </c>
      <c r="BB58" s="757">
        <v>3180</v>
      </c>
      <c r="BC58" s="764">
        <v>120</v>
      </c>
      <c r="BD58" s="2676">
        <v>850</v>
      </c>
      <c r="BE58" s="2676">
        <v>850</v>
      </c>
      <c r="BF58" s="2676">
        <v>2250</v>
      </c>
      <c r="BG58" s="2676">
        <v>650</v>
      </c>
      <c r="BH58" s="2676">
        <v>1200</v>
      </c>
      <c r="BI58" s="2676">
        <v>1550</v>
      </c>
      <c r="BJ58" s="2676">
        <v>1650</v>
      </c>
      <c r="BK58" s="2676">
        <v>1250</v>
      </c>
      <c r="BL58" s="2676">
        <v>1650</v>
      </c>
      <c r="BM58" s="2676">
        <v>1800</v>
      </c>
      <c r="BN58" s="754"/>
      <c r="BO58" s="754"/>
      <c r="BP58" s="754"/>
      <c r="BQ58" s="3540">
        <v>1600</v>
      </c>
      <c r="BR58" s="2794">
        <v>2400</v>
      </c>
      <c r="BS58" s="777">
        <v>2750</v>
      </c>
      <c r="BT58" s="777">
        <v>4000</v>
      </c>
      <c r="BU58" s="777">
        <v>950</v>
      </c>
      <c r="BV58" s="777">
        <v>1100</v>
      </c>
      <c r="BW58" s="777">
        <v>1400</v>
      </c>
      <c r="BX58" s="777">
        <v>6000</v>
      </c>
      <c r="BY58" s="762">
        <v>1400</v>
      </c>
      <c r="BZ58" s="3012">
        <v>1150</v>
      </c>
      <c r="CA58" s="3012">
        <v>1200</v>
      </c>
      <c r="CB58" s="3012">
        <v>1250</v>
      </c>
      <c r="CC58" s="3012">
        <v>1400</v>
      </c>
      <c r="CD58" s="3012">
        <v>1200</v>
      </c>
      <c r="CE58" s="3012">
        <v>1250</v>
      </c>
      <c r="CF58" s="3012">
        <v>1400</v>
      </c>
      <c r="CG58" s="3012">
        <v>1450</v>
      </c>
      <c r="CH58" s="3012">
        <v>1250</v>
      </c>
      <c r="CI58" s="3012">
        <v>1400</v>
      </c>
      <c r="CJ58" s="3012">
        <v>1450</v>
      </c>
      <c r="CK58" s="3012">
        <v>1250</v>
      </c>
      <c r="CL58" s="3012">
        <v>1400</v>
      </c>
      <c r="CM58" s="3012">
        <v>1450</v>
      </c>
      <c r="CN58" s="755"/>
      <c r="CO58" s="3012">
        <v>1550</v>
      </c>
      <c r="CP58" s="3012">
        <v>1650</v>
      </c>
      <c r="CQ58" s="3012">
        <v>1750</v>
      </c>
      <c r="CR58" s="3012">
        <v>1800</v>
      </c>
      <c r="CS58" s="3012">
        <v>1650</v>
      </c>
      <c r="CT58" s="3012">
        <v>1750</v>
      </c>
      <c r="CU58" s="3012">
        <v>1800</v>
      </c>
      <c r="CV58" s="3012">
        <v>1900</v>
      </c>
      <c r="CW58" s="3012">
        <v>1750</v>
      </c>
      <c r="CX58" s="3012">
        <v>1800</v>
      </c>
      <c r="CY58" s="3012">
        <v>1900</v>
      </c>
      <c r="CZ58" s="3012">
        <v>1750</v>
      </c>
      <c r="DA58" s="3012">
        <v>1800</v>
      </c>
      <c r="DB58" s="3012">
        <v>1900</v>
      </c>
      <c r="DC58" s="806">
        <v>0</v>
      </c>
      <c r="DD58" s="762"/>
      <c r="DE58" s="2795">
        <v>3550</v>
      </c>
      <c r="DF58" s="2795">
        <v>4200</v>
      </c>
      <c r="DG58" s="752">
        <v>4550</v>
      </c>
      <c r="DH58" s="752">
        <v>5450</v>
      </c>
      <c r="DI58" s="2795">
        <v>4600</v>
      </c>
      <c r="DJ58" s="2795">
        <v>5550</v>
      </c>
      <c r="DK58" s="2794">
        <v>5450</v>
      </c>
      <c r="DL58" s="2795">
        <v>5550</v>
      </c>
      <c r="DM58" s="2795">
        <v>10250</v>
      </c>
      <c r="DN58" s="752">
        <v>10250</v>
      </c>
      <c r="DO58" s="752">
        <v>10250</v>
      </c>
      <c r="DP58" s="2795">
        <v>2450</v>
      </c>
      <c r="DQ58" s="2795">
        <v>3000</v>
      </c>
      <c r="DR58" s="752">
        <v>1200</v>
      </c>
      <c r="DS58" s="776"/>
      <c r="DT58" s="1970">
        <v>13400</v>
      </c>
      <c r="DU58" s="760">
        <v>20100</v>
      </c>
      <c r="DV58" s="1970">
        <v>5200</v>
      </c>
      <c r="DW58" s="2673"/>
      <c r="DX58" s="760">
        <v>20800</v>
      </c>
      <c r="DY58" s="1970">
        <v>29250</v>
      </c>
      <c r="DZ58" s="3378">
        <v>1900</v>
      </c>
      <c r="EA58" s="3374">
        <v>23850</v>
      </c>
      <c r="EB58" s="812">
        <v>16695</v>
      </c>
      <c r="EC58" s="2960"/>
      <c r="ED58" s="2960"/>
      <c r="EE58" s="811"/>
      <c r="EF58" s="812"/>
      <c r="EG58" s="811"/>
      <c r="EH58" s="812"/>
      <c r="EI58" s="811">
        <v>32950</v>
      </c>
      <c r="EJ58" s="812">
        <v>22447.1875</v>
      </c>
      <c r="EK58" s="2799">
        <v>41350</v>
      </c>
      <c r="EL58" s="2800">
        <v>25843.75</v>
      </c>
      <c r="EM58" s="2800">
        <v>5168.75</v>
      </c>
      <c r="EN58" s="761">
        <v>2625</v>
      </c>
      <c r="EO58" s="761"/>
    </row>
    <row r="59" spans="1:145" s="1651" customFormat="1" ht="24.6" hidden="1" customHeight="1" outlineLevel="2">
      <c r="A59" s="3781"/>
      <c r="B59" s="2662"/>
      <c r="C59" s="3505"/>
      <c r="D59" s="2663"/>
      <c r="E59" s="763">
        <v>2750</v>
      </c>
      <c r="F59" s="2664"/>
      <c r="G59" s="2991">
        <v>2750</v>
      </c>
      <c r="H59" s="2991">
        <v>3050</v>
      </c>
      <c r="I59" s="2666"/>
      <c r="J59" s="1174">
        <v>2750</v>
      </c>
      <c r="K59" s="2657">
        <v>5600</v>
      </c>
      <c r="L59" s="2657">
        <v>5250</v>
      </c>
      <c r="M59" s="2667"/>
      <c r="N59" s="2667"/>
      <c r="O59" s="2667"/>
      <c r="P59" s="2667"/>
      <c r="Q59" s="2676">
        <v>4700</v>
      </c>
      <c r="R59" s="2663"/>
      <c r="S59" s="2664"/>
      <c r="T59" s="2676">
        <v>1500</v>
      </c>
      <c r="U59" s="2676">
        <v>1750</v>
      </c>
      <c r="V59" s="2676">
        <v>1750</v>
      </c>
      <c r="W59" s="2676">
        <v>1950</v>
      </c>
      <c r="X59" s="2996">
        <v>2400</v>
      </c>
      <c r="Y59" s="2664"/>
      <c r="Z59" s="2664"/>
      <c r="AA59" s="2664"/>
      <c r="AB59" s="2676">
        <v>2650</v>
      </c>
      <c r="AC59" s="2664"/>
      <c r="AD59" s="2664"/>
      <c r="AE59" s="2664"/>
      <c r="AF59" s="2664"/>
      <c r="AG59" s="2997">
        <v>1600</v>
      </c>
      <c r="AH59" s="2997">
        <v>2550</v>
      </c>
      <c r="AI59" s="2997">
        <v>4000</v>
      </c>
      <c r="AJ59" s="2997">
        <v>1600</v>
      </c>
      <c r="AK59" s="2666"/>
      <c r="AL59" s="2666"/>
      <c r="AM59" s="2669"/>
      <c r="AN59" s="2669"/>
      <c r="AO59" s="2668"/>
      <c r="AP59" s="2664"/>
      <c r="AQ59" s="2663"/>
      <c r="AR59" s="2676">
        <v>1500</v>
      </c>
      <c r="AS59" s="769">
        <v>2400</v>
      </c>
      <c r="AT59" s="2676">
        <v>150</v>
      </c>
      <c r="AU59" s="2676">
        <v>260</v>
      </c>
      <c r="AV59" s="2676">
        <v>2400</v>
      </c>
      <c r="AW59" s="2666"/>
      <c r="AX59" s="2669"/>
      <c r="AY59" s="2669"/>
      <c r="AZ59" s="2669"/>
      <c r="BA59" s="2669"/>
      <c r="BB59" s="2669"/>
      <c r="BC59" s="764">
        <v>120</v>
      </c>
      <c r="BD59" s="2676">
        <v>900</v>
      </c>
      <c r="BE59" s="2676">
        <v>900</v>
      </c>
      <c r="BF59" s="2676">
        <v>2400</v>
      </c>
      <c r="BG59" s="2676">
        <v>700</v>
      </c>
      <c r="BH59" s="2676">
        <v>1300</v>
      </c>
      <c r="BI59" s="2676">
        <v>1700</v>
      </c>
      <c r="BJ59" s="2676">
        <v>1800</v>
      </c>
      <c r="BK59" s="2676">
        <v>1400</v>
      </c>
      <c r="BL59" s="2676">
        <v>1800</v>
      </c>
      <c r="BM59" s="2676">
        <v>1950</v>
      </c>
      <c r="BN59" s="2671"/>
      <c r="BO59" s="2671"/>
      <c r="BP59" s="2671"/>
      <c r="BQ59" s="3540">
        <v>1750</v>
      </c>
      <c r="BR59" s="2794">
        <v>2600</v>
      </c>
      <c r="BS59" s="777">
        <v>3000</v>
      </c>
      <c r="BT59" s="777">
        <v>4350</v>
      </c>
      <c r="BU59" s="777">
        <v>1000</v>
      </c>
      <c r="BV59" s="777">
        <v>1200</v>
      </c>
      <c r="BW59" s="777">
        <v>1500</v>
      </c>
      <c r="BX59" s="777">
        <v>6550</v>
      </c>
      <c r="BY59" s="762">
        <v>1500</v>
      </c>
      <c r="BZ59" s="3012">
        <v>1250</v>
      </c>
      <c r="CA59" s="3012">
        <v>1300</v>
      </c>
      <c r="CB59" s="3012">
        <v>1400</v>
      </c>
      <c r="CC59" s="3012">
        <v>1500</v>
      </c>
      <c r="CD59" s="3012">
        <v>1300</v>
      </c>
      <c r="CE59" s="3012">
        <v>1400</v>
      </c>
      <c r="CF59" s="3012">
        <v>1500</v>
      </c>
      <c r="CG59" s="3012">
        <v>1550</v>
      </c>
      <c r="CH59" s="3012">
        <v>1400</v>
      </c>
      <c r="CI59" s="3012">
        <v>1500</v>
      </c>
      <c r="CJ59" s="3012">
        <v>1550</v>
      </c>
      <c r="CK59" s="3012">
        <v>1400</v>
      </c>
      <c r="CL59" s="3012">
        <v>1500</v>
      </c>
      <c r="CM59" s="3012">
        <v>1550</v>
      </c>
      <c r="CN59" s="806">
        <v>0</v>
      </c>
      <c r="CO59" s="3012">
        <v>1700</v>
      </c>
      <c r="CP59" s="3012">
        <v>1800</v>
      </c>
      <c r="CQ59" s="3012">
        <v>1900</v>
      </c>
      <c r="CR59" s="3012">
        <v>1950</v>
      </c>
      <c r="CS59" s="3012">
        <v>1800</v>
      </c>
      <c r="CT59" s="3012">
        <v>1900</v>
      </c>
      <c r="CU59" s="3012">
        <v>1950</v>
      </c>
      <c r="CV59" s="3012">
        <v>2050</v>
      </c>
      <c r="CW59" s="3012">
        <v>1900</v>
      </c>
      <c r="CX59" s="3012">
        <v>1950</v>
      </c>
      <c r="CY59" s="3012">
        <v>2050</v>
      </c>
      <c r="CZ59" s="3012">
        <v>1900</v>
      </c>
      <c r="DA59" s="3012">
        <v>1950</v>
      </c>
      <c r="DB59" s="3012">
        <v>2050</v>
      </c>
      <c r="DC59" s="806">
        <v>0</v>
      </c>
      <c r="DD59" s="2668"/>
      <c r="DE59" s="2795">
        <v>3850</v>
      </c>
      <c r="DF59" s="2795">
        <v>4600</v>
      </c>
      <c r="DG59" s="752">
        <v>4950</v>
      </c>
      <c r="DH59" s="752">
        <v>5950</v>
      </c>
      <c r="DI59" s="2795">
        <v>5000</v>
      </c>
      <c r="DJ59" s="2795">
        <v>6050</v>
      </c>
      <c r="DK59" s="2794">
        <v>5950</v>
      </c>
      <c r="DL59" s="2795">
        <v>6050</v>
      </c>
      <c r="DM59" s="2795">
        <v>11150</v>
      </c>
      <c r="DN59" s="752">
        <v>11150</v>
      </c>
      <c r="DO59" s="752">
        <v>11150</v>
      </c>
      <c r="DP59" s="2795">
        <v>2650</v>
      </c>
      <c r="DQ59" s="2795">
        <v>3300</v>
      </c>
      <c r="DR59" s="752">
        <v>1300</v>
      </c>
      <c r="DS59" s="2672"/>
      <c r="DT59" s="1970">
        <v>14600</v>
      </c>
      <c r="DU59" s="760">
        <v>21850</v>
      </c>
      <c r="DV59" s="1970">
        <v>5450</v>
      </c>
      <c r="DW59" s="2673"/>
      <c r="DX59" s="2673"/>
      <c r="DY59" s="1970">
        <v>31800</v>
      </c>
      <c r="DZ59" s="3378"/>
      <c r="EA59" s="3374"/>
      <c r="EB59" s="2800"/>
      <c r="EC59" s="2960"/>
      <c r="ED59" s="2960"/>
      <c r="EE59" s="2799"/>
      <c r="EF59" s="2800"/>
      <c r="EG59" s="2799"/>
      <c r="EH59" s="2800"/>
      <c r="EI59" s="2799"/>
      <c r="EJ59" s="2800"/>
      <c r="EK59" s="2799">
        <v>43500</v>
      </c>
      <c r="EL59" s="2800">
        <v>27187.5</v>
      </c>
      <c r="EM59" s="2800">
        <v>5437.5</v>
      </c>
      <c r="EN59" s="761"/>
      <c r="EO59" s="761"/>
    </row>
    <row r="60" spans="1:145" s="1651" customFormat="1" ht="24.6" hidden="1" customHeight="1" outlineLevel="2">
      <c r="A60" s="3781"/>
      <c r="B60" s="3784"/>
      <c r="C60" s="3505"/>
      <c r="D60" s="1725"/>
      <c r="E60" s="1725"/>
      <c r="F60" s="1725"/>
      <c r="G60" s="1725"/>
      <c r="H60" s="1725"/>
      <c r="I60" s="1725"/>
      <c r="J60" s="1725"/>
      <c r="K60" s="1725"/>
      <c r="L60" s="1725"/>
      <c r="M60" s="1725"/>
      <c r="N60" s="1725"/>
      <c r="O60" s="1725"/>
      <c r="P60" s="1725"/>
      <c r="Q60" s="1725"/>
      <c r="R60" s="2324"/>
      <c r="S60" s="1725"/>
      <c r="T60" s="1725"/>
      <c r="U60" s="1725"/>
      <c r="V60" s="1725"/>
      <c r="W60" s="1725"/>
      <c r="X60" s="2643"/>
      <c r="Y60" s="2636"/>
      <c r="Z60" s="2636"/>
      <c r="AA60" s="2636"/>
      <c r="AB60" s="2359"/>
      <c r="AC60" s="2359"/>
      <c r="AD60" s="2359"/>
      <c r="AE60" s="2359"/>
      <c r="AF60" s="2359"/>
      <c r="AG60" s="1725"/>
      <c r="AH60" s="1725"/>
      <c r="AI60" s="1725"/>
      <c r="AJ60" s="1725"/>
      <c r="AK60" s="2359">
        <v>650</v>
      </c>
      <c r="AL60" s="2359">
        <v>1050</v>
      </c>
      <c r="AM60" s="1725"/>
      <c r="AN60" s="1725"/>
      <c r="AO60" s="1725"/>
      <c r="AP60" s="2324"/>
      <c r="AQ60" s="2324"/>
      <c r="AR60" s="1725"/>
      <c r="AS60" s="1725"/>
      <c r="AT60" s="1725"/>
      <c r="AU60" s="1725"/>
      <c r="AV60" s="1725"/>
      <c r="AW60" s="1725"/>
      <c r="AX60" s="1725"/>
      <c r="AY60" s="1725"/>
      <c r="AZ60" s="1725"/>
      <c r="BA60" s="1725"/>
      <c r="BB60" s="1725"/>
      <c r="BC60" s="1725"/>
      <c r="BD60" s="1725"/>
      <c r="BE60" s="1725"/>
      <c r="BF60" s="1725"/>
      <c r="BG60" s="1725"/>
      <c r="BH60" s="1725"/>
      <c r="BI60" s="1725"/>
      <c r="BJ60" s="3007"/>
      <c r="BK60" s="1725"/>
      <c r="BL60" s="1725"/>
      <c r="BM60" s="1725"/>
      <c r="BN60" s="1725"/>
      <c r="BO60" s="1725"/>
      <c r="BP60" s="1725"/>
      <c r="BQ60" s="1725"/>
      <c r="BR60" s="1725"/>
      <c r="BS60" s="1725"/>
      <c r="BT60" s="1725"/>
      <c r="BU60" s="1725"/>
      <c r="BV60" s="1725"/>
      <c r="BW60" s="1725"/>
      <c r="BX60" s="1725"/>
      <c r="BY60" s="1725"/>
      <c r="BZ60" s="806">
        <v>0</v>
      </c>
      <c r="CA60" s="806">
        <v>0</v>
      </c>
      <c r="CB60" s="806">
        <v>0</v>
      </c>
      <c r="CC60" s="806">
        <v>0</v>
      </c>
      <c r="CD60" s="806">
        <v>0</v>
      </c>
      <c r="CE60" s="806">
        <v>0</v>
      </c>
      <c r="CF60" s="806">
        <v>0</v>
      </c>
      <c r="CG60" s="806">
        <v>0</v>
      </c>
      <c r="CH60" s="806"/>
      <c r="CI60" s="806"/>
      <c r="CJ60" s="806"/>
      <c r="CK60" s="806"/>
      <c r="CL60" s="806"/>
      <c r="CM60" s="806"/>
      <c r="CN60" s="806"/>
      <c r="CO60" s="806">
        <v>0</v>
      </c>
      <c r="CP60" s="806">
        <v>0</v>
      </c>
      <c r="CQ60" s="806">
        <v>0</v>
      </c>
      <c r="CR60" s="806">
        <v>0</v>
      </c>
      <c r="CS60" s="806">
        <v>0</v>
      </c>
      <c r="CT60" s="806">
        <v>0</v>
      </c>
      <c r="CU60" s="806">
        <v>0</v>
      </c>
      <c r="CV60" s="806">
        <v>0</v>
      </c>
      <c r="CW60" s="806"/>
      <c r="CX60" s="806"/>
      <c r="CY60" s="806"/>
      <c r="CZ60" s="806"/>
      <c r="DA60" s="806"/>
      <c r="DB60" s="806"/>
      <c r="DC60" s="806"/>
      <c r="DD60" s="1725"/>
      <c r="DE60" s="752"/>
      <c r="DF60" s="1725"/>
      <c r="DG60" s="1725"/>
      <c r="DH60" s="1725"/>
      <c r="DI60" s="1725"/>
      <c r="DJ60" s="1725"/>
      <c r="DK60" s="3007"/>
      <c r="DL60" s="1725"/>
      <c r="DM60" s="1725"/>
      <c r="DN60" s="1725"/>
      <c r="DO60" s="1725"/>
      <c r="DP60" s="1725"/>
      <c r="DQ60" s="1725"/>
      <c r="DR60" s="1725"/>
      <c r="DS60" s="1725"/>
      <c r="DT60" s="1725"/>
      <c r="DU60" s="1725"/>
      <c r="DV60" s="1725"/>
      <c r="DW60" s="1725"/>
      <c r="DX60" s="1725"/>
      <c r="DY60" s="1725"/>
      <c r="DZ60" s="3379"/>
      <c r="EL60" s="2802"/>
      <c r="EM60" s="2674"/>
    </row>
    <row r="61" spans="1:145" s="1651" customFormat="1" ht="24.6" hidden="1" customHeight="1" outlineLevel="2">
      <c r="A61" s="3781"/>
      <c r="B61" s="3784"/>
      <c r="C61" s="3505"/>
      <c r="D61" s="3778"/>
      <c r="E61" s="3778"/>
      <c r="F61" s="3778"/>
      <c r="G61" s="3778"/>
      <c r="H61" s="3778"/>
      <c r="I61" s="3778"/>
      <c r="J61" s="3778"/>
      <c r="K61" s="3778"/>
      <c r="L61" s="3778"/>
      <c r="M61" s="3778"/>
      <c r="N61" s="3778"/>
      <c r="O61" s="3778"/>
      <c r="P61" s="3778"/>
      <c r="Q61" s="3778"/>
      <c r="R61" s="3778"/>
      <c r="S61" s="3778"/>
      <c r="T61" s="3778"/>
      <c r="U61" s="3778"/>
      <c r="V61" s="3778"/>
      <c r="W61" s="3778"/>
      <c r="X61" s="3779"/>
      <c r="Y61" s="3778"/>
      <c r="Z61" s="3778"/>
      <c r="AA61" s="3778"/>
      <c r="AB61" s="3780"/>
      <c r="AC61" s="3780"/>
      <c r="AD61" s="3778"/>
      <c r="AE61" s="3778"/>
      <c r="AF61" s="3780"/>
      <c r="AG61" s="3778"/>
      <c r="AH61" s="3778"/>
      <c r="AI61" s="3778"/>
      <c r="AJ61" s="3778"/>
      <c r="AK61" s="3780">
        <v>350</v>
      </c>
      <c r="AL61" s="3780">
        <v>600</v>
      </c>
      <c r="AM61" s="3778"/>
      <c r="AN61" s="3778"/>
      <c r="AO61" s="3778"/>
      <c r="AP61" s="3778"/>
      <c r="AQ61" s="3778"/>
      <c r="AR61" s="3778"/>
      <c r="AS61" s="3778"/>
      <c r="AT61" s="3778"/>
      <c r="AU61" s="3778"/>
      <c r="AV61" s="3778"/>
      <c r="AW61" s="3778"/>
      <c r="AX61" s="3778"/>
      <c r="AY61" s="3778"/>
      <c r="AZ61" s="3778"/>
      <c r="BA61" s="3778"/>
      <c r="BB61" s="3778"/>
      <c r="BC61" s="3778"/>
      <c r="BD61" s="3778"/>
      <c r="BE61" s="3778"/>
      <c r="BF61" s="3778"/>
      <c r="BG61" s="3778"/>
      <c r="BH61" s="3778"/>
      <c r="BI61" s="3778"/>
      <c r="BJ61" s="3778"/>
      <c r="BK61" s="3778"/>
      <c r="BL61" s="3778"/>
      <c r="BM61" s="3778"/>
      <c r="BN61" s="3778"/>
      <c r="BO61" s="3778"/>
      <c r="BP61" s="3778"/>
      <c r="BQ61" s="3778"/>
      <c r="BR61" s="3778"/>
      <c r="BS61" s="3778"/>
      <c r="BT61" s="3778"/>
      <c r="BU61" s="3778"/>
      <c r="BV61" s="3778"/>
      <c r="BW61" s="3778"/>
      <c r="BX61" s="3778"/>
      <c r="BY61" s="3778"/>
      <c r="BZ61" s="3778"/>
      <c r="CA61" s="3778"/>
      <c r="CB61" s="3778"/>
      <c r="CC61" s="3778"/>
      <c r="CD61" s="3778"/>
      <c r="CE61" s="3778"/>
      <c r="CF61" s="3778"/>
      <c r="CG61" s="3778"/>
      <c r="CH61" s="3780"/>
      <c r="CI61" s="3780"/>
      <c r="CJ61" s="3780"/>
      <c r="CK61" s="3780"/>
      <c r="CL61" s="3780"/>
      <c r="CM61" s="3780"/>
      <c r="CN61" s="3780"/>
      <c r="CO61" s="3778"/>
      <c r="CP61" s="3778"/>
      <c r="CQ61" s="3778"/>
      <c r="CR61" s="3778"/>
      <c r="CS61" s="3778"/>
      <c r="CT61" s="3778"/>
      <c r="CU61" s="3778"/>
      <c r="CV61" s="3778"/>
      <c r="CW61" s="3780"/>
      <c r="CX61" s="3780"/>
      <c r="CY61" s="3780"/>
      <c r="CZ61" s="3780"/>
      <c r="DA61" s="3780"/>
      <c r="DB61" s="3780"/>
      <c r="DC61" s="3780"/>
      <c r="DD61" s="3778"/>
      <c r="DE61" s="3778"/>
      <c r="DF61" s="3778"/>
      <c r="DG61" s="3778"/>
      <c r="DH61" s="3778"/>
      <c r="DI61" s="3778"/>
      <c r="DJ61" s="3778"/>
      <c r="DK61" s="3778"/>
      <c r="DL61" s="3778"/>
      <c r="DM61" s="3778"/>
      <c r="DN61" s="3778"/>
      <c r="DO61" s="3778"/>
      <c r="DP61" s="3778"/>
      <c r="DQ61" s="3778"/>
      <c r="DR61" s="3778"/>
      <c r="DS61" s="3778"/>
      <c r="DT61" s="3778"/>
      <c r="DU61" s="3778"/>
      <c r="DV61" s="3778"/>
      <c r="DW61" s="3778"/>
      <c r="DX61" s="3778"/>
      <c r="DY61" s="3778"/>
      <c r="DZ61" s="3518"/>
      <c r="EH61" s="1651">
        <v>29593.75</v>
      </c>
    </row>
    <row r="62" spans="1:145" s="1651" customFormat="1" ht="24.6" hidden="1" customHeight="1" outlineLevel="2" thickBot="1">
      <c r="A62" s="3781"/>
      <c r="B62" s="3784"/>
      <c r="C62" s="3505"/>
      <c r="D62" s="3785" t="s">
        <v>3349</v>
      </c>
      <c r="E62" s="356"/>
      <c r="F62" s="356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706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589"/>
      <c r="AZ62" s="69"/>
      <c r="BA62" s="69"/>
      <c r="BB62" s="589"/>
      <c r="BC62" s="589"/>
      <c r="BD62" s="589"/>
      <c r="BE62" s="589"/>
      <c r="BF62" s="589"/>
      <c r="BG62" s="589"/>
      <c r="BH62" s="589"/>
      <c r="BI62" s="589"/>
      <c r="BJ62" s="589"/>
      <c r="BK62" s="589"/>
      <c r="BL62" s="589"/>
      <c r="BM62" s="589"/>
      <c r="BN62" s="589"/>
      <c r="BO62" s="589"/>
      <c r="BP62" s="589"/>
      <c r="BQ62" s="589"/>
      <c r="BR62" s="589"/>
      <c r="BS62" s="589"/>
      <c r="BT62" s="589"/>
      <c r="BU62" s="589"/>
      <c r="BV62" s="589"/>
      <c r="BW62" s="589"/>
      <c r="BX62" s="589"/>
      <c r="BY62" s="589"/>
      <c r="BZ62" s="589"/>
      <c r="CA62" s="589"/>
      <c r="CB62" s="589"/>
      <c r="CC62" s="589"/>
      <c r="CD62" s="589"/>
      <c r="CE62" s="589"/>
      <c r="CF62" s="589"/>
      <c r="CG62" s="589"/>
      <c r="CH62" s="589"/>
      <c r="CI62" s="589"/>
      <c r="CJ62" s="589"/>
      <c r="CK62" s="589"/>
      <c r="CL62" s="589"/>
      <c r="CM62" s="589"/>
      <c r="CN62" s="589"/>
      <c r="CO62" s="589"/>
      <c r="CP62" s="589"/>
      <c r="CQ62" s="589"/>
      <c r="CR62" s="589"/>
      <c r="CS62" s="589"/>
      <c r="CT62" s="589"/>
      <c r="CU62" s="589"/>
      <c r="CV62" s="589"/>
      <c r="CW62" s="589"/>
      <c r="CX62" s="589"/>
      <c r="CY62" s="589"/>
      <c r="DA62" s="399"/>
      <c r="DB62" s="399"/>
      <c r="DC62" s="399"/>
      <c r="DD62" s="1742"/>
      <c r="DE62" s="1742"/>
      <c r="DF62" s="1742"/>
      <c r="DG62" s="1742"/>
      <c r="DH62" s="1742"/>
      <c r="DI62" s="1742"/>
      <c r="DJ62" s="1742"/>
      <c r="DK62" s="1742"/>
      <c r="DL62" s="1742"/>
      <c r="DM62" s="1742"/>
      <c r="DN62" s="1742"/>
      <c r="DO62" s="1742"/>
      <c r="DP62" s="1742"/>
      <c r="DQ62" s="1742"/>
      <c r="DR62" s="1742"/>
      <c r="DS62" s="1742"/>
      <c r="DT62" s="1742"/>
      <c r="DU62" s="1742"/>
      <c r="DV62" s="1742"/>
      <c r="DW62" s="1742"/>
      <c r="DX62" s="1742"/>
      <c r="DY62" s="1742"/>
      <c r="DZ62" s="3518"/>
    </row>
    <row r="63" spans="1:145" s="1651" customFormat="1" ht="24.6" hidden="1" customHeight="1" outlineLevel="2" thickBot="1">
      <c r="A63" s="3781"/>
      <c r="B63" s="3784"/>
      <c r="C63" s="3505"/>
      <c r="D63" s="3510" t="s">
        <v>3070</v>
      </c>
      <c r="E63" s="3510" t="s">
        <v>3071</v>
      </c>
      <c r="F63" s="3510" t="s">
        <v>3072</v>
      </c>
      <c r="G63" s="3511" t="s">
        <v>3073</v>
      </c>
      <c r="H63" s="3511" t="s">
        <v>3074</v>
      </c>
      <c r="I63" s="3511" t="s">
        <v>3075</v>
      </c>
      <c r="J63" s="3512"/>
      <c r="K63" s="3510" t="s">
        <v>3076</v>
      </c>
      <c r="L63" s="3510" t="s">
        <v>3077</v>
      </c>
      <c r="M63" s="3510" t="s">
        <v>3078</v>
      </c>
      <c r="N63" s="3510" t="s">
        <v>3079</v>
      </c>
      <c r="O63" s="3510" t="s">
        <v>3080</v>
      </c>
      <c r="P63" s="3510" t="s">
        <v>3081</v>
      </c>
      <c r="Q63" s="3510" t="s">
        <v>3082</v>
      </c>
      <c r="R63" s="3510" t="s">
        <v>3083</v>
      </c>
      <c r="S63" s="3510" t="s">
        <v>3084</v>
      </c>
      <c r="T63" s="3510" t="s">
        <v>3085</v>
      </c>
      <c r="U63" s="3512"/>
      <c r="V63" s="3513" t="s">
        <v>3086</v>
      </c>
      <c r="W63" s="3513" t="s">
        <v>3087</v>
      </c>
      <c r="X63" s="3510" t="s">
        <v>3088</v>
      </c>
      <c r="Y63" s="3510" t="s">
        <v>3089</v>
      </c>
      <c r="Z63" s="3510" t="s">
        <v>3090</v>
      </c>
      <c r="AA63" s="3510" t="s">
        <v>3091</v>
      </c>
      <c r="AB63" s="3513" t="s">
        <v>3092</v>
      </c>
      <c r="AC63" s="3510" t="s">
        <v>3093</v>
      </c>
      <c r="AD63" s="3510"/>
      <c r="AE63" s="3512"/>
      <c r="AF63" s="3511" t="s">
        <v>3094</v>
      </c>
      <c r="AG63" s="3511" t="s">
        <v>3095</v>
      </c>
      <c r="AH63" s="3511" t="s">
        <v>3096</v>
      </c>
      <c r="AI63" s="3511" t="s">
        <v>3097</v>
      </c>
      <c r="AJ63" s="3511" t="s">
        <v>3098</v>
      </c>
      <c r="AK63" s="3511" t="s">
        <v>3099</v>
      </c>
      <c r="AL63" s="3511" t="s">
        <v>3100</v>
      </c>
      <c r="AM63" s="3511" t="s">
        <v>3101</v>
      </c>
      <c r="AN63" s="3511" t="s">
        <v>3102</v>
      </c>
      <c r="AO63" s="3511" t="s">
        <v>3103</v>
      </c>
      <c r="AP63" s="3511" t="s">
        <v>3104</v>
      </c>
      <c r="AQ63" s="3506" t="s">
        <v>3105</v>
      </c>
      <c r="AR63" s="3506" t="s">
        <v>3106</v>
      </c>
      <c r="AS63" s="3506" t="s">
        <v>3107</v>
      </c>
      <c r="AT63" s="3506" t="s">
        <v>3105</v>
      </c>
      <c r="AU63" s="3506" t="s">
        <v>3108</v>
      </c>
      <c r="AV63" s="3507"/>
      <c r="AW63" s="3506" t="s">
        <v>3109</v>
      </c>
      <c r="AX63" s="3506" t="s">
        <v>3110</v>
      </c>
      <c r="AY63" s="3506" t="s">
        <v>3111</v>
      </c>
      <c r="AZ63" s="3506" t="s">
        <v>3112</v>
      </c>
      <c r="BA63" s="3506" t="s">
        <v>3113</v>
      </c>
      <c r="BB63" s="3506" t="s">
        <v>3114</v>
      </c>
      <c r="BC63" s="3506" t="s">
        <v>3115</v>
      </c>
      <c r="BD63" s="3506" t="s">
        <v>3116</v>
      </c>
      <c r="BE63" s="3506" t="s">
        <v>3117</v>
      </c>
      <c r="BF63" s="3506" t="s">
        <v>3118</v>
      </c>
      <c r="BG63" s="3506" t="s">
        <v>3119</v>
      </c>
      <c r="BH63" s="3506" t="s">
        <v>3120</v>
      </c>
      <c r="BI63" s="3507"/>
      <c r="BJ63" s="3506" t="s">
        <v>3121</v>
      </c>
      <c r="BK63" s="3506" t="s">
        <v>3122</v>
      </c>
      <c r="BL63" s="3506" t="s">
        <v>3123</v>
      </c>
      <c r="BM63" s="3506" t="s">
        <v>3124</v>
      </c>
      <c r="BN63" s="3506" t="s">
        <v>3125</v>
      </c>
      <c r="BO63" s="3506" t="s">
        <v>3126</v>
      </c>
      <c r="BP63" s="3506" t="s">
        <v>3127</v>
      </c>
      <c r="BQ63" s="3506" t="s">
        <v>3128</v>
      </c>
      <c r="BR63" s="3506" t="s">
        <v>3129</v>
      </c>
      <c r="BS63" s="3506" t="s">
        <v>3130</v>
      </c>
      <c r="BT63" s="3506" t="s">
        <v>3131</v>
      </c>
      <c r="BU63" s="3506" t="s">
        <v>3132</v>
      </c>
      <c r="BV63" s="3507"/>
      <c r="BW63" s="2190" t="s">
        <v>3133</v>
      </c>
      <c r="BX63" s="2190" t="s">
        <v>3134</v>
      </c>
      <c r="BY63" s="2190" t="s">
        <v>3135</v>
      </c>
      <c r="BZ63" s="2190" t="s">
        <v>3136</v>
      </c>
      <c r="CA63" s="2190" t="s">
        <v>3137</v>
      </c>
      <c r="CB63" s="2190" t="s">
        <v>3138</v>
      </c>
      <c r="CC63" s="2190" t="s">
        <v>3139</v>
      </c>
      <c r="CD63" s="3507"/>
      <c r="CE63" s="2190" t="s">
        <v>3140</v>
      </c>
      <c r="CF63" s="2190" t="s">
        <v>3141</v>
      </c>
      <c r="CG63" s="2190" t="s">
        <v>3142</v>
      </c>
      <c r="CH63" s="2190" t="s">
        <v>3143</v>
      </c>
      <c r="CI63" s="2190" t="s">
        <v>3144</v>
      </c>
      <c r="CJ63" s="2190" t="s">
        <v>3145</v>
      </c>
      <c r="CK63" s="2190" t="s">
        <v>3146</v>
      </c>
      <c r="CL63" s="2190" t="s">
        <v>3147</v>
      </c>
      <c r="CM63" s="2190" t="s">
        <v>3148</v>
      </c>
      <c r="CN63" s="3509" t="s">
        <v>3149</v>
      </c>
      <c r="CO63" s="3507"/>
      <c r="CP63" s="2190" t="s">
        <v>3150</v>
      </c>
      <c r="CQ63" s="2190" t="s">
        <v>3151</v>
      </c>
      <c r="CR63" s="2190" t="s">
        <v>3152</v>
      </c>
      <c r="CS63" s="2190" t="s">
        <v>3153</v>
      </c>
      <c r="CT63" s="2190" t="s">
        <v>3154</v>
      </c>
      <c r="CU63" s="2190" t="s">
        <v>3155</v>
      </c>
      <c r="CV63" s="2190" t="s">
        <v>3156</v>
      </c>
      <c r="CW63" s="3507"/>
      <c r="CX63" s="2190" t="s">
        <v>3157</v>
      </c>
      <c r="CY63" s="2190" t="s">
        <v>3158</v>
      </c>
      <c r="DA63" s="399"/>
      <c r="DB63" s="399"/>
      <c r="DC63" s="399"/>
      <c r="DD63" s="1742"/>
      <c r="DE63" s="1742"/>
      <c r="DF63" s="1742"/>
      <c r="DG63" s="1742"/>
      <c r="DH63" s="1742"/>
      <c r="DI63" s="1742"/>
      <c r="DJ63" s="1742"/>
      <c r="DK63" s="1742"/>
      <c r="DL63" s="1742"/>
      <c r="DM63" s="1742"/>
      <c r="DN63" s="1742"/>
      <c r="DO63" s="1742"/>
      <c r="DP63" s="1742"/>
      <c r="DQ63" s="1742"/>
      <c r="DR63" s="1742"/>
      <c r="DS63" s="1742"/>
      <c r="DT63" s="1742"/>
      <c r="DU63" s="1742"/>
      <c r="DV63" s="1742"/>
      <c r="DW63" s="1742"/>
      <c r="DX63" s="1742"/>
      <c r="DY63" s="1742"/>
      <c r="DZ63" s="3518"/>
    </row>
    <row r="64" spans="1:145" s="1651" customFormat="1" ht="24.6" hidden="1" customHeight="1" outlineLevel="2">
      <c r="A64" s="3781"/>
      <c r="B64" s="3784"/>
      <c r="C64" s="3505"/>
      <c r="D64" s="1651">
        <v>2200</v>
      </c>
      <c r="E64" s="1651">
        <v>2200</v>
      </c>
      <c r="F64" s="1651">
        <v>2450</v>
      </c>
      <c r="G64" s="1651">
        <v>4550</v>
      </c>
      <c r="H64" s="1651">
        <v>3800</v>
      </c>
      <c r="I64" s="1743">
        <v>4250</v>
      </c>
      <c r="J64" s="1743"/>
      <c r="K64" s="1743">
        <v>1200</v>
      </c>
      <c r="L64" s="1743">
        <v>1400</v>
      </c>
      <c r="M64" s="1743">
        <v>1400</v>
      </c>
      <c r="N64" s="1743">
        <v>1550</v>
      </c>
      <c r="O64" s="1743">
        <v>1950</v>
      </c>
      <c r="P64" s="1743">
        <v>1300</v>
      </c>
      <c r="Q64" s="1743">
        <v>2050</v>
      </c>
      <c r="R64" s="1743">
        <v>3250</v>
      </c>
      <c r="S64" s="1743">
        <v>1950</v>
      </c>
      <c r="T64" s="1743">
        <v>730</v>
      </c>
      <c r="U64" s="1743"/>
      <c r="V64" s="1743">
        <v>1600</v>
      </c>
      <c r="W64" s="1743">
        <v>1950</v>
      </c>
      <c r="X64" s="1743">
        <v>2150</v>
      </c>
      <c r="Y64" s="1743">
        <v>2150</v>
      </c>
      <c r="Z64" s="1743">
        <v>2600</v>
      </c>
      <c r="AA64" s="1743">
        <v>2800</v>
      </c>
      <c r="AB64" s="1743">
        <v>3250</v>
      </c>
      <c r="AC64" s="1743">
        <v>3700</v>
      </c>
      <c r="AD64" s="1743"/>
      <c r="AE64" s="1743"/>
      <c r="AF64" s="1743">
        <v>3100</v>
      </c>
      <c r="AG64" s="1743">
        <v>3700</v>
      </c>
      <c r="AH64" s="1743">
        <v>4050</v>
      </c>
      <c r="AI64" s="1743">
        <v>4900</v>
      </c>
      <c r="AJ64" s="1743">
        <v>4800</v>
      </c>
      <c r="AK64" s="1743">
        <v>4900</v>
      </c>
      <c r="AL64" s="1743">
        <v>9050</v>
      </c>
      <c r="AM64" s="1743">
        <v>10900</v>
      </c>
      <c r="AN64" s="1743">
        <v>2150</v>
      </c>
      <c r="AO64" s="1743">
        <v>9100</v>
      </c>
      <c r="AP64" s="1743">
        <v>4000</v>
      </c>
      <c r="AQ64" s="1743">
        <v>2650</v>
      </c>
      <c r="AR64" s="1743">
        <v>9950</v>
      </c>
      <c r="AS64" s="1743">
        <v>4800</v>
      </c>
      <c r="AT64" s="1743">
        <v>2650</v>
      </c>
      <c r="AU64" s="1743">
        <v>1050</v>
      </c>
      <c r="AV64" s="1743">
        <v>0</v>
      </c>
      <c r="AW64" s="1743">
        <v>1000</v>
      </c>
      <c r="AX64" s="1743">
        <v>1050</v>
      </c>
      <c r="AY64" s="1743">
        <v>1100</v>
      </c>
      <c r="AZ64" s="1743">
        <v>1200</v>
      </c>
      <c r="BA64" s="1743">
        <v>1050</v>
      </c>
      <c r="BB64" s="1743">
        <v>1100</v>
      </c>
      <c r="BC64" s="1743">
        <v>1200</v>
      </c>
      <c r="BD64" s="1743">
        <v>1250</v>
      </c>
      <c r="BE64" s="1743">
        <v>1100</v>
      </c>
      <c r="BF64" s="1743">
        <v>1200</v>
      </c>
      <c r="BG64" s="1743">
        <v>1250</v>
      </c>
      <c r="BH64" s="1743">
        <v>1450</v>
      </c>
      <c r="BI64" s="1743"/>
      <c r="BJ64" s="1743">
        <v>1350</v>
      </c>
      <c r="BK64" s="1743">
        <v>1450</v>
      </c>
      <c r="BL64" s="1743">
        <v>1510</v>
      </c>
      <c r="BM64" s="1743">
        <v>1560</v>
      </c>
      <c r="BN64" s="1743">
        <v>1460</v>
      </c>
      <c r="BO64" s="1743">
        <v>1510</v>
      </c>
      <c r="BP64" s="1743">
        <v>1560</v>
      </c>
      <c r="BQ64" s="1743">
        <v>1660</v>
      </c>
      <c r="BR64" s="1743">
        <v>1510</v>
      </c>
      <c r="BS64" s="1743">
        <v>1560</v>
      </c>
      <c r="BT64" s="1743">
        <v>1660</v>
      </c>
      <c r="BU64" s="1743">
        <v>1950</v>
      </c>
      <c r="BV64" s="1743"/>
      <c r="BW64" s="1743">
        <v>1200</v>
      </c>
      <c r="BX64" s="1743">
        <v>1950</v>
      </c>
      <c r="BY64" s="1743">
        <v>3500</v>
      </c>
      <c r="BZ64" s="1743">
        <v>4650</v>
      </c>
      <c r="CA64" s="1743">
        <v>5800</v>
      </c>
      <c r="CB64" s="1743">
        <v>10350</v>
      </c>
      <c r="CC64" s="1743">
        <v>1950</v>
      </c>
      <c r="CD64" s="1743"/>
      <c r="CE64" s="1743">
        <v>1050</v>
      </c>
      <c r="CF64" s="1743">
        <v>1350</v>
      </c>
      <c r="CG64" s="1743">
        <v>1450</v>
      </c>
      <c r="CH64" s="1743">
        <v>1100</v>
      </c>
      <c r="CI64" s="1743">
        <v>1450</v>
      </c>
      <c r="CJ64" s="1743">
        <v>1550</v>
      </c>
      <c r="CK64" s="1743">
        <v>1950</v>
      </c>
      <c r="CL64" s="1743">
        <v>2100</v>
      </c>
      <c r="CM64" s="1743">
        <v>2500</v>
      </c>
      <c r="CN64" s="1743">
        <v>1400</v>
      </c>
      <c r="CO64" s="1743"/>
      <c r="CP64" s="1743">
        <v>2100</v>
      </c>
      <c r="CQ64" s="1743">
        <v>2400</v>
      </c>
      <c r="CR64" s="1743">
        <v>3500</v>
      </c>
      <c r="CS64" s="1743">
        <v>800</v>
      </c>
      <c r="CT64" s="1743">
        <v>950</v>
      </c>
      <c r="CU64" s="1743">
        <v>1200</v>
      </c>
      <c r="CV64" s="1743">
        <v>5300</v>
      </c>
      <c r="CW64" s="1743"/>
      <c r="CX64" s="1743">
        <v>105</v>
      </c>
      <c r="CY64" s="1743">
        <v>1900</v>
      </c>
      <c r="DA64" s="399"/>
      <c r="DB64" s="399"/>
      <c r="DC64" s="399"/>
      <c r="DD64" s="1742"/>
      <c r="DE64" s="1742"/>
      <c r="DF64" s="1742"/>
      <c r="DG64" s="1742"/>
      <c r="DH64" s="1742"/>
      <c r="DI64" s="1742"/>
      <c r="DJ64" s="1742"/>
      <c r="DK64" s="1742"/>
      <c r="DL64" s="1742"/>
      <c r="DM64" s="1742"/>
      <c r="DN64" s="1742"/>
      <c r="DO64" s="1742"/>
      <c r="DP64" s="1742"/>
      <c r="DQ64" s="1742"/>
      <c r="DR64" s="1742"/>
      <c r="DS64" s="1742"/>
      <c r="DT64" s="1742"/>
      <c r="DU64" s="1742"/>
      <c r="DV64" s="1742"/>
      <c r="DW64" s="1742"/>
      <c r="DX64" s="1742"/>
      <c r="DY64" s="1742"/>
      <c r="DZ64" s="3518"/>
    </row>
    <row r="65" spans="1:144" s="1651" customFormat="1" ht="24.6" hidden="1" customHeight="1" outlineLevel="2">
      <c r="A65" s="3781"/>
      <c r="B65" s="3784"/>
      <c r="C65" s="3505"/>
      <c r="D65" s="3669">
        <f t="shared" ref="D65:I65" si="56">D64/D106-1</f>
        <v>0.10000000000000009</v>
      </c>
      <c r="E65" s="3669" t="e">
        <f t="shared" si="56"/>
        <v>#DIV/0!</v>
      </c>
      <c r="F65" s="3669" t="e">
        <f t="shared" si="56"/>
        <v>#DIV/0!</v>
      </c>
      <c r="G65" s="3669" t="e">
        <f t="shared" si="56"/>
        <v>#DIV/0!</v>
      </c>
      <c r="H65" s="3669" t="e">
        <f t="shared" si="56"/>
        <v>#DIV/0!</v>
      </c>
      <c r="I65" s="3669" t="e">
        <f t="shared" si="56"/>
        <v>#DIV/0!</v>
      </c>
      <c r="J65" s="3669"/>
      <c r="K65" s="3669" t="e">
        <f t="shared" ref="K65:T65" si="57">K64/K106-1</f>
        <v>#DIV/0!</v>
      </c>
      <c r="L65" s="3669" t="e">
        <f t="shared" si="57"/>
        <v>#DIV/0!</v>
      </c>
      <c r="M65" s="3669" t="e">
        <f t="shared" si="57"/>
        <v>#DIV/0!</v>
      </c>
      <c r="N65" s="3786" t="e">
        <f t="shared" si="57"/>
        <v>#DIV/0!</v>
      </c>
      <c r="O65" s="3669" t="e">
        <f t="shared" si="57"/>
        <v>#DIV/0!</v>
      </c>
      <c r="P65" s="3669" t="e">
        <f t="shared" si="57"/>
        <v>#DIV/0!</v>
      </c>
      <c r="Q65" s="3669" t="e">
        <f t="shared" si="57"/>
        <v>#DIV/0!</v>
      </c>
      <c r="R65" s="3669" t="e">
        <f t="shared" si="57"/>
        <v>#DIV/0!</v>
      </c>
      <c r="S65" s="3669" t="e">
        <f t="shared" si="57"/>
        <v>#DIV/0!</v>
      </c>
      <c r="T65" s="3669" t="e">
        <f t="shared" si="57"/>
        <v>#DIV/0!</v>
      </c>
      <c r="U65" s="3669"/>
      <c r="V65" s="3669" t="e">
        <f>V64/V106-1</f>
        <v>#DIV/0!</v>
      </c>
      <c r="W65" s="3669" t="e">
        <f>W64/W106-1</f>
        <v>#DIV/0!</v>
      </c>
      <c r="X65" s="3669"/>
      <c r="Y65" s="3669" t="e">
        <f>Y64/Y106-1</f>
        <v>#DIV/0!</v>
      </c>
      <c r="Z65" s="3669" t="e">
        <f>Z64/Z106-1</f>
        <v>#DIV/0!</v>
      </c>
      <c r="AA65" s="3669" t="e">
        <f>AA64/AA106-1</f>
        <v>#DIV/0!</v>
      </c>
      <c r="AB65" s="3669" t="e">
        <f>AB64/AB106-1</f>
        <v>#DIV/0!</v>
      </c>
      <c r="AC65" s="3669" t="e">
        <f>AC64/AC106-1</f>
        <v>#DIV/0!</v>
      </c>
      <c r="AD65" s="3669"/>
      <c r="AE65" s="3669"/>
      <c r="AF65" s="3669" t="e">
        <f t="shared" ref="AF65:AU65" si="58">AF64/AF106-1</f>
        <v>#DIV/0!</v>
      </c>
      <c r="AG65" s="3669" t="e">
        <f t="shared" si="58"/>
        <v>#DIV/0!</v>
      </c>
      <c r="AH65" s="3669" t="e">
        <f t="shared" si="58"/>
        <v>#DIV/0!</v>
      </c>
      <c r="AI65" s="3669" t="e">
        <f t="shared" si="58"/>
        <v>#DIV/0!</v>
      </c>
      <c r="AJ65" s="3669" t="e">
        <f t="shared" si="58"/>
        <v>#DIV/0!</v>
      </c>
      <c r="AK65" s="3669" t="e">
        <f t="shared" si="58"/>
        <v>#DIV/0!</v>
      </c>
      <c r="AL65" s="3669" t="e">
        <f t="shared" si="58"/>
        <v>#DIV/0!</v>
      </c>
      <c r="AM65" s="3669" t="e">
        <f t="shared" si="58"/>
        <v>#DIV/0!</v>
      </c>
      <c r="AN65" s="3669" t="e">
        <f t="shared" si="58"/>
        <v>#DIV/0!</v>
      </c>
      <c r="AO65" s="3669" t="e">
        <f t="shared" si="58"/>
        <v>#DIV/0!</v>
      </c>
      <c r="AP65" s="3669" t="e">
        <f t="shared" si="58"/>
        <v>#DIV/0!</v>
      </c>
      <c r="AQ65" s="3669" t="e">
        <f t="shared" si="58"/>
        <v>#DIV/0!</v>
      </c>
      <c r="AR65" s="3669" t="e">
        <f t="shared" si="58"/>
        <v>#DIV/0!</v>
      </c>
      <c r="AS65" s="3669" t="e">
        <f t="shared" si="58"/>
        <v>#DIV/0!</v>
      </c>
      <c r="AT65" s="3669" t="e">
        <f t="shared" si="58"/>
        <v>#DIV/0!</v>
      </c>
      <c r="AU65" s="3669" t="e">
        <f t="shared" si="58"/>
        <v>#DIV/0!</v>
      </c>
      <c r="AV65" s="3669"/>
      <c r="AW65" s="3669" t="e">
        <f t="shared" ref="AW65:BH65" si="59">AW64/AW106-1</f>
        <v>#DIV/0!</v>
      </c>
      <c r="AX65" s="3669" t="e">
        <f t="shared" si="59"/>
        <v>#DIV/0!</v>
      </c>
      <c r="AY65" s="3669" t="e">
        <f t="shared" si="59"/>
        <v>#DIV/0!</v>
      </c>
      <c r="AZ65" s="3669" t="e">
        <f t="shared" si="59"/>
        <v>#DIV/0!</v>
      </c>
      <c r="BA65" s="3669" t="e">
        <f t="shared" si="59"/>
        <v>#DIV/0!</v>
      </c>
      <c r="BB65" s="3669" t="e">
        <f t="shared" si="59"/>
        <v>#DIV/0!</v>
      </c>
      <c r="BC65" s="3669" t="e">
        <f t="shared" si="59"/>
        <v>#DIV/0!</v>
      </c>
      <c r="BD65" s="3669" t="e">
        <f t="shared" si="59"/>
        <v>#DIV/0!</v>
      </c>
      <c r="BE65" s="3669" t="e">
        <f t="shared" si="59"/>
        <v>#DIV/0!</v>
      </c>
      <c r="BF65" s="3669" t="e">
        <f t="shared" si="59"/>
        <v>#DIV/0!</v>
      </c>
      <c r="BG65" s="3669" t="e">
        <f t="shared" si="59"/>
        <v>#DIV/0!</v>
      </c>
      <c r="BH65" s="3669" t="e">
        <f t="shared" si="59"/>
        <v>#DIV/0!</v>
      </c>
      <c r="BI65" s="3669"/>
      <c r="BJ65" s="3669" t="e">
        <f t="shared" ref="BJ65:BO65" si="60">BJ64/BJ106-1</f>
        <v>#DIV/0!</v>
      </c>
      <c r="BK65" s="3669" t="e">
        <f t="shared" si="60"/>
        <v>#DIV/0!</v>
      </c>
      <c r="BL65" s="3669" t="e">
        <f t="shared" si="60"/>
        <v>#DIV/0!</v>
      </c>
      <c r="BM65" s="3669" t="e">
        <f t="shared" si="60"/>
        <v>#DIV/0!</v>
      </c>
      <c r="BN65" s="3669" t="e">
        <f t="shared" si="60"/>
        <v>#DIV/0!</v>
      </c>
      <c r="BO65" s="3669" t="e">
        <f t="shared" si="60"/>
        <v>#DIV/0!</v>
      </c>
      <c r="BP65" s="3669" t="e">
        <f t="shared" ref="BP65:BU65" si="61">BP64/BP106-1</f>
        <v>#DIV/0!</v>
      </c>
      <c r="BQ65" s="3669" t="e">
        <f t="shared" si="61"/>
        <v>#DIV/0!</v>
      </c>
      <c r="BR65" s="3669" t="e">
        <f t="shared" si="61"/>
        <v>#DIV/0!</v>
      </c>
      <c r="BS65" s="3669" t="e">
        <f t="shared" si="61"/>
        <v>#DIV/0!</v>
      </c>
      <c r="BT65" s="3669" t="e">
        <f t="shared" si="61"/>
        <v>#DIV/0!</v>
      </c>
      <c r="BU65" s="3669" t="e">
        <f t="shared" si="61"/>
        <v>#DIV/0!</v>
      </c>
      <c r="BV65" s="3669"/>
      <c r="BW65" s="3669" t="e">
        <f t="shared" ref="BW65:CC65" si="62">BW64/BW106-1</f>
        <v>#DIV/0!</v>
      </c>
      <c r="BX65" s="3669" t="e">
        <f t="shared" si="62"/>
        <v>#DIV/0!</v>
      </c>
      <c r="BY65" s="3669" t="e">
        <f t="shared" si="62"/>
        <v>#DIV/0!</v>
      </c>
      <c r="BZ65" s="3669" t="e">
        <f t="shared" si="62"/>
        <v>#DIV/0!</v>
      </c>
      <c r="CA65" s="3669" t="e">
        <f t="shared" si="62"/>
        <v>#DIV/0!</v>
      </c>
      <c r="CB65" s="3669" t="e">
        <f t="shared" si="62"/>
        <v>#DIV/0!</v>
      </c>
      <c r="CC65" s="3669" t="e">
        <f t="shared" si="62"/>
        <v>#DIV/0!</v>
      </c>
      <c r="CD65" s="3669"/>
      <c r="CE65" s="3669" t="e">
        <f t="shared" ref="CE65:CN65" si="63">CE64/CE106-1</f>
        <v>#DIV/0!</v>
      </c>
      <c r="CF65" s="3669" t="e">
        <f t="shared" si="63"/>
        <v>#DIV/0!</v>
      </c>
      <c r="CG65" s="3669" t="e">
        <f t="shared" si="63"/>
        <v>#DIV/0!</v>
      </c>
      <c r="CH65" s="3669" t="e">
        <f t="shared" si="63"/>
        <v>#DIV/0!</v>
      </c>
      <c r="CI65" s="3669" t="e">
        <f t="shared" si="63"/>
        <v>#DIV/0!</v>
      </c>
      <c r="CJ65" s="3669" t="e">
        <f t="shared" si="63"/>
        <v>#DIV/0!</v>
      </c>
      <c r="CK65" s="3669" t="e">
        <f t="shared" si="63"/>
        <v>#DIV/0!</v>
      </c>
      <c r="CL65" s="3669" t="e">
        <f t="shared" si="63"/>
        <v>#DIV/0!</v>
      </c>
      <c r="CM65" s="3669" t="e">
        <f t="shared" si="63"/>
        <v>#DIV/0!</v>
      </c>
      <c r="CN65" s="3669" t="e">
        <f t="shared" si="63"/>
        <v>#DIV/0!</v>
      </c>
      <c r="CO65" s="3669"/>
      <c r="CP65" s="3669" t="e">
        <f t="shared" ref="CP65:CV65" si="64">CP64/CP106-1</f>
        <v>#DIV/0!</v>
      </c>
      <c r="CQ65" s="3669" t="e">
        <f t="shared" si="64"/>
        <v>#DIV/0!</v>
      </c>
      <c r="CR65" s="3669" t="e">
        <f t="shared" si="64"/>
        <v>#DIV/0!</v>
      </c>
      <c r="CS65" s="3669" t="e">
        <f t="shared" si="64"/>
        <v>#DIV/0!</v>
      </c>
      <c r="CT65" s="3669" t="e">
        <f t="shared" si="64"/>
        <v>#DIV/0!</v>
      </c>
      <c r="CU65" s="3669" t="e">
        <f t="shared" si="64"/>
        <v>#DIV/0!</v>
      </c>
      <c r="CV65" s="3669" t="e">
        <f t="shared" si="64"/>
        <v>#DIV/0!</v>
      </c>
      <c r="CW65" s="3669"/>
      <c r="CX65" s="3669" t="e">
        <f>CX64/CX106-1</f>
        <v>#DIV/0!</v>
      </c>
      <c r="CY65" s="3669" t="e">
        <f>CY64/CY106-1</f>
        <v>#DIV/0!</v>
      </c>
      <c r="DA65" s="399"/>
      <c r="DB65" s="399"/>
      <c r="DC65" s="399"/>
      <c r="DD65" s="1742"/>
      <c r="DE65" s="1742"/>
      <c r="DF65" s="1742"/>
      <c r="DG65" s="1742"/>
      <c r="DH65" s="1742"/>
      <c r="DI65" s="1742"/>
      <c r="DJ65" s="1742"/>
      <c r="DK65" s="1742"/>
      <c r="DL65" s="1742"/>
      <c r="DM65" s="1742"/>
      <c r="DN65" s="1742"/>
      <c r="DO65" s="1742"/>
      <c r="DP65" s="1742"/>
      <c r="DQ65" s="1742"/>
      <c r="DR65" s="1742"/>
      <c r="DS65" s="1742"/>
      <c r="DT65" s="1742"/>
      <c r="DU65" s="1742"/>
      <c r="DV65" s="1742"/>
      <c r="DW65" s="1742"/>
      <c r="DX65" s="1742"/>
      <c r="DY65" s="1742"/>
      <c r="DZ65" s="3518"/>
    </row>
    <row r="66" spans="1:144" s="1651" customFormat="1" ht="24.6" hidden="1" customHeight="1" outlineLevel="2">
      <c r="A66" s="3781"/>
      <c r="B66" s="3784"/>
      <c r="C66" s="3505"/>
      <c r="D66" s="3669"/>
      <c r="E66" s="3669"/>
      <c r="F66" s="3669"/>
      <c r="G66" s="3669"/>
      <c r="H66" s="3669"/>
      <c r="I66" s="3669"/>
      <c r="J66" s="3669"/>
      <c r="K66" s="3669"/>
      <c r="L66" s="3669"/>
      <c r="M66" s="3669"/>
      <c r="N66" s="3786"/>
      <c r="O66" s="3669"/>
      <c r="P66" s="3669"/>
      <c r="Q66" s="3669"/>
      <c r="R66" s="3669"/>
      <c r="S66" s="3669"/>
      <c r="T66" s="3669"/>
      <c r="U66" s="3669"/>
      <c r="V66" s="3669"/>
      <c r="W66" s="3669"/>
      <c r="X66" s="3669"/>
      <c r="Y66" s="3669"/>
      <c r="Z66" s="3669"/>
      <c r="AA66" s="3669"/>
      <c r="AB66" s="3669"/>
      <c r="AC66" s="3669"/>
      <c r="AD66" s="3669"/>
      <c r="AE66" s="3669"/>
      <c r="AF66" s="3669"/>
      <c r="AG66" s="3669"/>
      <c r="AH66" s="3669"/>
      <c r="AI66" s="3669"/>
      <c r="AJ66" s="3669"/>
      <c r="AK66" s="3669"/>
      <c r="AL66" s="3669"/>
      <c r="AM66" s="3669"/>
      <c r="AN66" s="3669"/>
      <c r="AO66" s="3669"/>
      <c r="AP66" s="3669"/>
      <c r="AQ66" s="3669"/>
      <c r="AR66" s="3669"/>
      <c r="AS66" s="3669"/>
      <c r="AT66" s="3669"/>
      <c r="AU66" s="3669"/>
      <c r="AV66" s="3669"/>
      <c r="AW66" s="3669"/>
      <c r="AX66" s="3669"/>
      <c r="AY66" s="3669"/>
      <c r="AZ66" s="3669"/>
      <c r="BA66" s="3669"/>
      <c r="BB66" s="3669"/>
      <c r="BC66" s="3669"/>
      <c r="BD66" s="3669"/>
      <c r="BE66" s="3669"/>
      <c r="BF66" s="3669"/>
      <c r="BG66" s="3669"/>
      <c r="BH66" s="3669"/>
      <c r="BI66" s="3669"/>
      <c r="BJ66" s="3669"/>
      <c r="BK66" s="3669"/>
      <c r="BL66" s="3669"/>
      <c r="BM66" s="3669"/>
      <c r="BN66" s="3669"/>
      <c r="BO66" s="3669"/>
      <c r="BP66" s="3669"/>
      <c r="BQ66" s="3669"/>
      <c r="BR66" s="3669"/>
      <c r="BS66" s="3669"/>
      <c r="BT66" s="3669"/>
      <c r="BU66" s="3669"/>
      <c r="BV66" s="3669"/>
      <c r="BW66" s="3669"/>
      <c r="BX66" s="3669"/>
      <c r="BY66" s="3669"/>
      <c r="BZ66" s="3669"/>
      <c r="CA66" s="3669"/>
      <c r="CB66" s="3669"/>
      <c r="CC66" s="3669"/>
      <c r="CD66" s="3669"/>
      <c r="CE66" s="3669"/>
      <c r="CF66" s="3669"/>
      <c r="CG66" s="3669"/>
      <c r="CH66" s="3669"/>
      <c r="CI66" s="3669"/>
      <c r="CJ66" s="3669"/>
      <c r="CK66" s="3669"/>
      <c r="CL66" s="3669"/>
      <c r="CM66" s="3669"/>
      <c r="CN66" s="3669"/>
      <c r="CO66" s="3669"/>
      <c r="CP66" s="3669"/>
      <c r="CQ66" s="3669"/>
      <c r="CR66" s="3669"/>
      <c r="CS66" s="3669"/>
      <c r="CT66" s="3669"/>
      <c r="CU66" s="3669"/>
      <c r="CV66" s="3669"/>
      <c r="CW66" s="3669"/>
      <c r="CX66" s="3669"/>
      <c r="CY66" s="3669"/>
      <c r="DA66" s="399"/>
      <c r="DB66" s="399"/>
      <c r="DC66" s="399"/>
      <c r="DD66" s="1742"/>
      <c r="DE66" s="1742"/>
      <c r="DF66" s="1742"/>
      <c r="DG66" s="1742"/>
      <c r="DH66" s="1742"/>
      <c r="DI66" s="1742"/>
      <c r="DJ66" s="1742"/>
      <c r="DK66" s="1742"/>
      <c r="DL66" s="1742"/>
      <c r="DM66" s="1742"/>
      <c r="DN66" s="1742"/>
      <c r="DO66" s="1742"/>
      <c r="DP66" s="1742"/>
      <c r="DQ66" s="1742"/>
      <c r="DR66" s="1742"/>
      <c r="DS66" s="1742"/>
      <c r="DT66" s="1742"/>
      <c r="DU66" s="1742"/>
      <c r="DV66" s="1742"/>
      <c r="DW66" s="1742"/>
      <c r="DX66" s="1742"/>
      <c r="DY66" s="1742"/>
      <c r="DZ66" s="3518"/>
    </row>
    <row r="67" spans="1:144" s="1651" customFormat="1" ht="24.6" hidden="1" customHeight="1" outlineLevel="2">
      <c r="A67" s="3781"/>
      <c r="B67" s="3784"/>
      <c r="C67" s="3505"/>
      <c r="D67" s="3669"/>
      <c r="E67" s="3669"/>
      <c r="F67" s="3669"/>
      <c r="G67" s="3669"/>
      <c r="H67" s="3669"/>
      <c r="I67" s="3669"/>
      <c r="J67" s="3669"/>
      <c r="K67" s="3669"/>
      <c r="L67" s="3669"/>
      <c r="M67" s="3669"/>
      <c r="N67" s="3786"/>
      <c r="O67" s="3669"/>
      <c r="P67" s="3669"/>
      <c r="Q67" s="3669"/>
      <c r="R67" s="3669"/>
      <c r="S67" s="3669"/>
      <c r="T67" s="3669"/>
      <c r="U67" s="3669"/>
      <c r="V67" s="3669"/>
      <c r="W67" s="3669"/>
      <c r="X67" s="3669"/>
      <c r="Y67" s="3669"/>
      <c r="Z67" s="3669"/>
      <c r="AA67" s="3669"/>
      <c r="AB67" s="3669"/>
      <c r="AC67" s="3669"/>
      <c r="AD67" s="3669"/>
      <c r="AE67" s="3669"/>
      <c r="AF67" s="3669"/>
      <c r="AG67" s="3669"/>
      <c r="AH67" s="3669"/>
      <c r="AI67" s="3669"/>
      <c r="AJ67" s="3669"/>
      <c r="AK67" s="3669"/>
      <c r="AL67" s="3669"/>
      <c r="AM67" s="3669"/>
      <c r="AN67" s="3669"/>
      <c r="AO67" s="3669"/>
      <c r="AP67" s="3669"/>
      <c r="AQ67" s="3669"/>
      <c r="AR67" s="3669"/>
      <c r="AS67" s="3669"/>
      <c r="AT67" s="3669"/>
      <c r="AU67" s="3669"/>
      <c r="AV67" s="3669"/>
      <c r="AW67" s="3669"/>
      <c r="AX67" s="3669"/>
      <c r="AY67" s="3669"/>
      <c r="AZ67" s="3669"/>
      <c r="BA67" s="3669"/>
      <c r="BB67" s="3669"/>
      <c r="BC67" s="3669"/>
      <c r="BD67" s="3669"/>
      <c r="BE67" s="3669"/>
      <c r="BF67" s="3669"/>
      <c r="BG67" s="3669"/>
      <c r="BH67" s="3669"/>
      <c r="BI67" s="3669"/>
      <c r="BJ67" s="3669"/>
      <c r="BK67" s="3669"/>
      <c r="BL67" s="3669"/>
      <c r="BM67" s="3669"/>
      <c r="BN67" s="3669"/>
      <c r="BO67" s="3669"/>
      <c r="BP67" s="3669"/>
      <c r="BQ67" s="3669"/>
      <c r="BR67" s="3669"/>
      <c r="BS67" s="3669"/>
      <c r="BT67" s="3669"/>
      <c r="BU67" s="3669"/>
      <c r="BV67" s="3669"/>
      <c r="BW67" s="3669"/>
      <c r="BX67" s="3669"/>
      <c r="BY67" s="3669"/>
      <c r="BZ67" s="3669"/>
      <c r="CA67" s="3669"/>
      <c r="CB67" s="3669"/>
      <c r="CC67" s="3669"/>
      <c r="CD67" s="3669"/>
      <c r="CE67" s="3669"/>
      <c r="CF67" s="3669"/>
      <c r="CG67" s="3669"/>
      <c r="CH67" s="3669"/>
      <c r="CI67" s="3669"/>
      <c r="CJ67" s="3669"/>
      <c r="CK67" s="3669"/>
      <c r="CL67" s="3669"/>
      <c r="CM67" s="3669"/>
      <c r="CN67" s="3669"/>
      <c r="CO67" s="3669"/>
      <c r="CP67" s="3669"/>
      <c r="CQ67" s="3669"/>
      <c r="CR67" s="3669"/>
      <c r="CS67" s="3669"/>
      <c r="CT67" s="3669"/>
      <c r="CU67" s="3669"/>
      <c r="CV67" s="3669"/>
      <c r="CW67" s="3669"/>
      <c r="CX67" s="3669"/>
      <c r="CY67" s="3669"/>
      <c r="DA67" s="399"/>
      <c r="DB67" s="399"/>
      <c r="DC67" s="399"/>
      <c r="DD67" s="1742"/>
      <c r="DE67" s="1742"/>
      <c r="DF67" s="1742"/>
      <c r="DG67" s="1742"/>
      <c r="DH67" s="1742"/>
      <c r="DI67" s="1742"/>
      <c r="DJ67" s="1742"/>
      <c r="DK67" s="1742"/>
      <c r="DL67" s="1742"/>
      <c r="DM67" s="1742"/>
      <c r="DN67" s="1742"/>
      <c r="DO67" s="1742"/>
      <c r="DP67" s="1742"/>
      <c r="DQ67" s="1742"/>
      <c r="DR67" s="1742"/>
      <c r="DS67" s="1742"/>
      <c r="DT67" s="1742"/>
      <c r="DU67" s="1742"/>
      <c r="DV67" s="1742"/>
      <c r="DW67" s="1742"/>
      <c r="DX67" s="1742"/>
      <c r="DY67" s="1742"/>
      <c r="DZ67" s="3518"/>
    </row>
    <row r="68" spans="1:144" s="1651" customFormat="1" ht="24.6" hidden="1" customHeight="1" outlineLevel="2">
      <c r="A68" s="3781"/>
      <c r="B68" s="3784"/>
      <c r="C68" s="3505"/>
      <c r="D68" s="3669"/>
      <c r="E68" s="3669"/>
      <c r="F68" s="3669"/>
      <c r="G68" s="3669"/>
      <c r="H68" s="3669"/>
      <c r="I68" s="3669"/>
      <c r="J68" s="3669"/>
      <c r="K68" s="3669"/>
      <c r="L68" s="3669"/>
      <c r="M68" s="3669"/>
      <c r="N68" s="3786"/>
      <c r="O68" s="3669"/>
      <c r="P68" s="3669"/>
      <c r="Q68" s="3669"/>
      <c r="R68" s="3669"/>
      <c r="S68" s="3669"/>
      <c r="T68" s="3669"/>
      <c r="U68" s="3669"/>
      <c r="V68" s="3669"/>
      <c r="W68" s="3669"/>
      <c r="X68" s="3669"/>
      <c r="Y68" s="3669"/>
      <c r="Z68" s="3669"/>
      <c r="AA68" s="3669"/>
      <c r="AB68" s="3669"/>
      <c r="AC68" s="3669"/>
      <c r="AD68" s="3669"/>
      <c r="AE68" s="3669"/>
      <c r="AF68" s="3669"/>
      <c r="AG68" s="3669"/>
      <c r="AH68" s="3669"/>
      <c r="AI68" s="3669"/>
      <c r="AJ68" s="3669"/>
      <c r="AK68" s="3669"/>
      <c r="AL68" s="3669"/>
      <c r="AM68" s="3669"/>
      <c r="AN68" s="3669"/>
      <c r="AO68" s="3669"/>
      <c r="AP68" s="3669"/>
      <c r="AQ68" s="3669"/>
      <c r="AR68" s="3669"/>
      <c r="AS68" s="3669"/>
      <c r="AT68" s="3669"/>
      <c r="AU68" s="3669"/>
      <c r="AV68" s="3669"/>
      <c r="AW68" s="3669"/>
      <c r="AX68" s="3669"/>
      <c r="AY68" s="3669"/>
      <c r="AZ68" s="3669"/>
      <c r="BA68" s="3669"/>
      <c r="BB68" s="3669"/>
      <c r="BC68" s="3669"/>
      <c r="BD68" s="3669"/>
      <c r="BE68" s="3669"/>
      <c r="BF68" s="3669"/>
      <c r="BG68" s="3669"/>
      <c r="BH68" s="3669"/>
      <c r="BI68" s="3669"/>
      <c r="BJ68" s="3669"/>
      <c r="BK68" s="3669"/>
      <c r="BL68" s="3669"/>
      <c r="BM68" s="3669"/>
      <c r="BN68" s="3669"/>
      <c r="BO68" s="3669"/>
      <c r="BP68" s="3669"/>
      <c r="BQ68" s="3669"/>
      <c r="BR68" s="3669"/>
      <c r="BS68" s="3669"/>
      <c r="BT68" s="3669"/>
      <c r="BU68" s="3669"/>
      <c r="BV68" s="3669"/>
      <c r="BW68" s="3669"/>
      <c r="BX68" s="3669"/>
      <c r="BY68" s="3669"/>
      <c r="BZ68" s="3669"/>
      <c r="CA68" s="3669"/>
      <c r="CB68" s="3669"/>
      <c r="CC68" s="3669"/>
      <c r="CD68" s="3669"/>
      <c r="CE68" s="3669"/>
      <c r="CF68" s="3669"/>
      <c r="CG68" s="3669"/>
      <c r="CH68" s="3669"/>
      <c r="CI68" s="3669"/>
      <c r="CJ68" s="3669"/>
      <c r="CK68" s="3669"/>
      <c r="CL68" s="3669"/>
      <c r="CM68" s="3669"/>
      <c r="CN68" s="3669"/>
      <c r="CO68" s="3669"/>
      <c r="CP68" s="3669"/>
      <c r="CQ68" s="3669"/>
      <c r="CR68" s="3669"/>
      <c r="CS68" s="3669"/>
      <c r="CT68" s="3669"/>
      <c r="CU68" s="3669"/>
      <c r="CV68" s="3669"/>
      <c r="CW68" s="3669"/>
      <c r="CX68" s="3669"/>
      <c r="CY68" s="3669"/>
      <c r="DA68" s="399"/>
      <c r="DB68" s="399"/>
      <c r="DC68" s="399"/>
      <c r="DD68" s="1742"/>
      <c r="DE68" s="1742"/>
      <c r="DF68" s="1742"/>
      <c r="DG68" s="1742"/>
      <c r="DH68" s="1742"/>
      <c r="DI68" s="1742"/>
      <c r="DJ68" s="1742"/>
      <c r="DK68" s="1742"/>
      <c r="DL68" s="1742"/>
      <c r="DM68" s="1742"/>
      <c r="DN68" s="1742"/>
      <c r="DO68" s="1742"/>
      <c r="DP68" s="1742"/>
      <c r="DQ68" s="1742"/>
      <c r="DR68" s="1742"/>
      <c r="DS68" s="1742"/>
      <c r="DT68" s="1742"/>
      <c r="DU68" s="1742"/>
      <c r="DV68" s="1742"/>
      <c r="DW68" s="1742"/>
      <c r="DX68" s="1742"/>
      <c r="DY68" s="1742"/>
      <c r="DZ68" s="3518"/>
    </row>
    <row r="69" spans="1:144" s="1651" customFormat="1" ht="24.6" hidden="1" customHeight="1" outlineLevel="2">
      <c r="A69" s="3781"/>
      <c r="B69" s="3781"/>
      <c r="C69" s="1742"/>
      <c r="D69" s="3783" t="s">
        <v>3395</v>
      </c>
      <c r="E69" s="1742"/>
      <c r="F69" s="1742"/>
      <c r="G69" s="1742"/>
      <c r="H69" s="1742"/>
      <c r="I69" s="1742"/>
      <c r="J69" s="1742"/>
      <c r="K69" s="1742"/>
      <c r="L69" s="1742"/>
      <c r="M69" s="1742"/>
      <c r="N69" s="1742" t="s">
        <v>3341</v>
      </c>
      <c r="O69" s="1742"/>
      <c r="P69" s="1742"/>
      <c r="Q69" s="1742"/>
      <c r="R69" s="1742"/>
      <c r="S69" s="1742"/>
      <c r="T69" s="1742"/>
      <c r="U69" s="1742"/>
      <c r="V69" s="1742"/>
      <c r="W69" s="1742"/>
      <c r="X69" s="3777"/>
      <c r="Y69" s="1742"/>
      <c r="Z69" s="1742"/>
      <c r="AA69" s="1742"/>
      <c r="AB69" s="399"/>
      <c r="AC69" s="399"/>
      <c r="AD69" s="1742"/>
      <c r="AE69" s="1742"/>
      <c r="AF69" s="399"/>
      <c r="AG69" s="1742"/>
      <c r="AH69" s="1742"/>
      <c r="AI69" s="1742"/>
      <c r="AJ69" s="1742"/>
      <c r="AK69" s="399"/>
      <c r="AL69" s="399"/>
      <c r="AM69" s="1742"/>
      <c r="AN69" s="1742"/>
      <c r="AO69" s="1742"/>
      <c r="AP69" s="1742"/>
      <c r="AQ69" s="1742"/>
      <c r="AR69" s="1742"/>
      <c r="AS69" s="1742"/>
      <c r="AT69" s="1742"/>
      <c r="AU69" s="1742"/>
      <c r="AV69" s="1742"/>
      <c r="AW69" s="1742"/>
      <c r="AX69" s="1742"/>
      <c r="AY69" s="1742"/>
      <c r="AZ69" s="1742"/>
      <c r="BA69" s="1742"/>
      <c r="BB69" s="1742"/>
      <c r="BC69" s="1742"/>
      <c r="BD69" s="1742"/>
      <c r="BE69" s="1742"/>
      <c r="BF69" s="1742"/>
      <c r="BG69" s="1742"/>
      <c r="BH69" s="1742"/>
      <c r="BI69" s="1742"/>
      <c r="BJ69" s="1742"/>
      <c r="BK69" s="1742"/>
      <c r="BL69" s="1742"/>
      <c r="BM69" s="1742"/>
      <c r="BN69" s="1742"/>
      <c r="BO69" s="1742"/>
      <c r="BP69" s="1742"/>
      <c r="BQ69" s="1742"/>
      <c r="BR69" s="1742"/>
      <c r="BS69" s="1742"/>
      <c r="BT69" s="1742"/>
      <c r="BU69" s="1742"/>
      <c r="BV69" s="1742"/>
      <c r="BW69" s="1742"/>
      <c r="BX69" s="1742"/>
      <c r="BY69" s="1742"/>
      <c r="BZ69" s="1742"/>
      <c r="CA69" s="1742"/>
      <c r="CB69" s="1742"/>
      <c r="CC69" s="1742"/>
      <c r="CD69" s="1742"/>
      <c r="CE69" s="1742"/>
      <c r="CF69" s="1742"/>
      <c r="CG69" s="1742"/>
      <c r="CH69" s="399"/>
      <c r="CI69" s="399"/>
      <c r="CJ69" s="399"/>
      <c r="CK69" s="399"/>
      <c r="CL69" s="399"/>
      <c r="CM69" s="399"/>
      <c r="CN69" s="399"/>
      <c r="CO69" s="1742"/>
      <c r="CP69" s="1742"/>
      <c r="CQ69" s="1742"/>
      <c r="CR69" s="1742"/>
      <c r="CS69" s="1742"/>
      <c r="CT69" s="1742"/>
      <c r="CU69" s="1742"/>
      <c r="CV69" s="1742"/>
      <c r="CW69" s="399"/>
      <c r="CX69" s="399"/>
      <c r="CY69" s="399"/>
      <c r="CZ69" s="399"/>
      <c r="DA69" s="399"/>
      <c r="DB69" s="399"/>
      <c r="DC69" s="399"/>
      <c r="DD69" s="1742"/>
      <c r="DE69" s="1742"/>
      <c r="DF69" s="1742"/>
      <c r="DG69" s="1742"/>
      <c r="DH69" s="1742"/>
      <c r="DI69" s="1742"/>
      <c r="DJ69" s="1742"/>
      <c r="DK69" s="1742"/>
      <c r="DL69" s="1742"/>
      <c r="DM69" s="1742"/>
      <c r="DN69" s="1742"/>
      <c r="DO69" s="1742"/>
      <c r="DP69" s="1742"/>
      <c r="DQ69" s="1742"/>
      <c r="DR69" s="1742"/>
      <c r="DS69" s="1742"/>
      <c r="DT69" s="1742"/>
      <c r="DU69" s="1742"/>
      <c r="DV69" s="1742"/>
      <c r="DW69" s="1742"/>
      <c r="DX69" s="1742"/>
      <c r="DY69" s="1742"/>
      <c r="DZ69" s="3518"/>
    </row>
    <row r="70" spans="1:144" s="1651" customFormat="1" ht="24.6" hidden="1" customHeight="1" outlineLevel="2">
      <c r="A70" s="3781"/>
      <c r="B70" s="3781"/>
      <c r="C70" s="1742"/>
      <c r="D70" s="1791" t="s">
        <v>462</v>
      </c>
      <c r="E70" s="1792"/>
      <c r="F70" s="1792"/>
      <c r="G70" s="1792"/>
      <c r="H70" s="1792"/>
      <c r="I70" s="1792"/>
      <c r="J70" s="1792"/>
      <c r="K70" s="1792"/>
      <c r="L70" s="1792"/>
      <c r="M70" s="1792"/>
      <c r="N70" s="1792"/>
      <c r="O70" s="1792"/>
      <c r="P70" s="1793"/>
      <c r="Q70" s="1655"/>
      <c r="R70" s="1783" t="s">
        <v>89</v>
      </c>
      <c r="S70" s="1784"/>
      <c r="T70" s="1784"/>
      <c r="U70" s="1784"/>
      <c r="V70" s="1784"/>
      <c r="W70" s="1784"/>
      <c r="X70" s="1784"/>
      <c r="Y70" s="1784"/>
      <c r="Z70" s="1784"/>
      <c r="AA70" s="1784"/>
      <c r="AB70" s="1784"/>
      <c r="AC70" s="1784"/>
      <c r="AD70" s="1784"/>
      <c r="AE70" s="1784"/>
      <c r="AF70" s="1784"/>
      <c r="AG70" s="1784"/>
      <c r="AH70" s="1656"/>
      <c r="AI70" s="1656"/>
      <c r="AJ70" s="1784"/>
      <c r="AK70" s="1784"/>
      <c r="AL70" s="1784"/>
      <c r="AM70" s="1784"/>
      <c r="AN70" s="1784"/>
      <c r="AO70" s="1655"/>
      <c r="AP70" s="1783" t="s">
        <v>2194</v>
      </c>
      <c r="AQ70" s="1783"/>
      <c r="AR70" s="5119" t="s">
        <v>1014</v>
      </c>
      <c r="AS70" s="5120"/>
      <c r="AT70" s="5120"/>
      <c r="AU70" s="5120"/>
      <c r="AV70" s="5120"/>
      <c r="AW70" s="5120"/>
      <c r="AX70" s="5120"/>
      <c r="AY70" s="5120"/>
      <c r="AZ70" s="5120"/>
      <c r="BA70" s="5120"/>
      <c r="BB70" s="5121"/>
      <c r="BC70" s="4866" t="s">
        <v>2934</v>
      </c>
      <c r="BD70" s="4867" t="s">
        <v>883</v>
      </c>
      <c r="BE70" s="4868" t="s">
        <v>695</v>
      </c>
      <c r="BF70" s="4866" t="s">
        <v>2792</v>
      </c>
      <c r="BG70" s="4871" t="s">
        <v>2936</v>
      </c>
      <c r="BH70" s="5122" t="s">
        <v>108</v>
      </c>
      <c r="BI70" s="5123"/>
      <c r="BJ70" s="5123"/>
      <c r="BK70" s="5123"/>
      <c r="BL70" s="5123"/>
      <c r="BM70" s="5123"/>
      <c r="BN70" s="5123"/>
      <c r="BO70" s="5123"/>
      <c r="BP70" s="5123"/>
      <c r="BQ70" s="1655"/>
      <c r="BR70" s="5124" t="s">
        <v>456</v>
      </c>
      <c r="BS70" s="5125"/>
      <c r="BT70" s="5125"/>
      <c r="BU70" s="5125"/>
      <c r="BV70" s="5125"/>
      <c r="BW70" s="5125"/>
      <c r="BX70" s="5126"/>
      <c r="BY70" s="1655"/>
      <c r="BZ70" s="5127" t="s">
        <v>1015</v>
      </c>
      <c r="CA70" s="5128"/>
      <c r="CB70" s="5128"/>
      <c r="CC70" s="5128"/>
      <c r="CD70" s="5128"/>
      <c r="CE70" s="5128"/>
      <c r="CF70" s="5128"/>
      <c r="CG70" s="5128"/>
      <c r="CH70" s="5128"/>
      <c r="CI70" s="5128"/>
      <c r="CJ70" s="5128"/>
      <c r="CK70" s="5128"/>
      <c r="CL70" s="5128"/>
      <c r="CM70" s="5128"/>
      <c r="CN70" s="5128"/>
      <c r="CO70" s="5128"/>
      <c r="CP70" s="5128"/>
      <c r="CQ70" s="5128"/>
      <c r="CR70" s="5128"/>
      <c r="CS70" s="5128"/>
      <c r="CT70" s="5128"/>
      <c r="CU70" s="5128"/>
      <c r="CV70" s="5128"/>
      <c r="CW70" s="5128"/>
      <c r="CX70" s="5128"/>
      <c r="CY70" s="5128"/>
      <c r="CZ70" s="5128"/>
      <c r="DA70" s="5128"/>
      <c r="DB70" s="5128"/>
      <c r="DC70" s="5128"/>
      <c r="DD70" s="1655"/>
      <c r="DE70" s="1658"/>
      <c r="DF70" s="1658"/>
      <c r="DG70" s="1658"/>
      <c r="DH70" s="1658"/>
      <c r="DI70" s="1658"/>
      <c r="DJ70" s="1658"/>
      <c r="DK70" s="1659" t="s">
        <v>1038</v>
      </c>
      <c r="DL70" s="1658"/>
      <c r="DM70" s="1658"/>
      <c r="DN70" s="1658"/>
      <c r="DO70" s="1658"/>
      <c r="DP70" s="1658"/>
      <c r="DQ70" s="1658"/>
      <c r="DR70" s="1660"/>
      <c r="DS70" s="1655"/>
      <c r="DT70" s="5129" t="s">
        <v>693</v>
      </c>
      <c r="DU70" s="5130"/>
      <c r="DV70" s="5130"/>
      <c r="DW70" s="5130"/>
      <c r="DX70" s="5130"/>
      <c r="DY70" s="5131"/>
      <c r="DZ70" s="159"/>
      <c r="EA70" s="159"/>
      <c r="EB70" s="159"/>
      <c r="EC70" s="159"/>
      <c r="ED70" s="159"/>
      <c r="EE70" s="159"/>
      <c r="EF70" s="159"/>
      <c r="EG70" s="159"/>
      <c r="EH70" s="159"/>
      <c r="EI70" s="159"/>
      <c r="EJ70" s="159"/>
      <c r="EK70" s="159"/>
      <c r="EL70" s="159"/>
      <c r="EM70" s="159"/>
    </row>
    <row r="71" spans="1:144" s="1651" customFormat="1" ht="24.6" hidden="1" customHeight="1" outlineLevel="2">
      <c r="A71" s="3781"/>
      <c r="B71" s="3781"/>
      <c r="C71" s="1742"/>
      <c r="D71" s="1785" t="s">
        <v>1009</v>
      </c>
      <c r="E71" s="1786"/>
      <c r="F71" s="1786"/>
      <c r="G71" s="1786"/>
      <c r="H71" s="1786"/>
      <c r="I71" s="1786"/>
      <c r="J71" s="1786"/>
      <c r="K71" s="1786"/>
      <c r="L71" s="1787"/>
      <c r="M71" s="4878" t="s">
        <v>1023</v>
      </c>
      <c r="N71" s="4879"/>
      <c r="O71" s="4879"/>
      <c r="P71" s="4880"/>
      <c r="Q71" s="1662"/>
      <c r="R71" s="1788" t="s">
        <v>1026</v>
      </c>
      <c r="S71" s="1789"/>
      <c r="T71" s="1789"/>
      <c r="U71" s="1789"/>
      <c r="V71" s="1789"/>
      <c r="W71" s="1789"/>
      <c r="X71" s="1789"/>
      <c r="Y71" s="1789"/>
      <c r="Z71" s="1789"/>
      <c r="AA71" s="1789"/>
      <c r="AB71" s="1789"/>
      <c r="AC71" s="1789"/>
      <c r="AD71" s="1789"/>
      <c r="AE71" s="1789"/>
      <c r="AF71" s="1790"/>
      <c r="AG71" s="1666" t="s">
        <v>1027</v>
      </c>
      <c r="AH71" s="1667"/>
      <c r="AI71" s="1667"/>
      <c r="AJ71" s="1667"/>
      <c r="AK71" s="1667"/>
      <c r="AL71" s="1668"/>
      <c r="AM71" s="1669" t="s">
        <v>1028</v>
      </c>
      <c r="AN71" s="1670"/>
      <c r="AO71" s="1662"/>
      <c r="AP71" s="1788"/>
      <c r="AQ71" s="1788"/>
      <c r="AR71" s="4854" t="s">
        <v>2235</v>
      </c>
      <c r="AS71" s="4855"/>
      <c r="AT71" s="4855"/>
      <c r="AU71" s="4856"/>
      <c r="AV71" s="3755"/>
      <c r="AW71" s="4881" t="s">
        <v>1048</v>
      </c>
      <c r="AX71" s="4883" t="s">
        <v>1049</v>
      </c>
      <c r="AY71" s="4884"/>
      <c r="AZ71" s="4884"/>
      <c r="BA71" s="4884"/>
      <c r="BB71" s="4885"/>
      <c r="BC71" s="4866"/>
      <c r="BD71" s="4867"/>
      <c r="BE71" s="4869"/>
      <c r="BF71" s="4866"/>
      <c r="BG71" s="4872"/>
      <c r="BH71" s="4889" t="s">
        <v>709</v>
      </c>
      <c r="BI71" s="4890"/>
      <c r="BJ71" s="4891"/>
      <c r="BK71" s="4889" t="s">
        <v>1022</v>
      </c>
      <c r="BL71" s="4890"/>
      <c r="BM71" s="4891"/>
      <c r="BN71" s="4881" t="s">
        <v>1030</v>
      </c>
      <c r="BO71" s="4881" t="s">
        <v>743</v>
      </c>
      <c r="BP71" s="4881" t="s">
        <v>1029</v>
      </c>
      <c r="BQ71" s="1662"/>
      <c r="BR71" s="4895" t="s">
        <v>1052</v>
      </c>
      <c r="BS71" s="4896"/>
      <c r="BT71" s="4897"/>
      <c r="BU71" s="4901" t="s">
        <v>1053</v>
      </c>
      <c r="BV71" s="4902"/>
      <c r="BW71" s="4903"/>
      <c r="BX71" s="4907" t="s">
        <v>1054</v>
      </c>
      <c r="BY71" s="1662"/>
      <c r="BZ71" s="4909" t="s">
        <v>1020</v>
      </c>
      <c r="CA71" s="4910"/>
      <c r="CB71" s="4910"/>
      <c r="CC71" s="4910"/>
      <c r="CD71" s="4910"/>
      <c r="CE71" s="4910"/>
      <c r="CF71" s="4910"/>
      <c r="CG71" s="4910"/>
      <c r="CH71" s="4910"/>
      <c r="CI71" s="4910"/>
      <c r="CJ71" s="4910"/>
      <c r="CK71" s="4910"/>
      <c r="CL71" s="4910"/>
      <c r="CM71" s="4910"/>
      <c r="CN71" s="4911"/>
      <c r="CO71" s="4912" t="s">
        <v>1021</v>
      </c>
      <c r="CP71" s="4913"/>
      <c r="CQ71" s="4913"/>
      <c r="CR71" s="4913"/>
      <c r="CS71" s="4913"/>
      <c r="CT71" s="4913"/>
      <c r="CU71" s="4913"/>
      <c r="CV71" s="4913"/>
      <c r="CW71" s="4913"/>
      <c r="CX71" s="4913"/>
      <c r="CY71" s="4913"/>
      <c r="CZ71" s="4913"/>
      <c r="DA71" s="4913"/>
      <c r="DB71" s="4913"/>
      <c r="DC71" s="4913"/>
      <c r="DD71" s="1662"/>
      <c r="DE71" s="4850" t="s">
        <v>710</v>
      </c>
      <c r="DF71" s="4850"/>
      <c r="DG71" s="4850" t="s">
        <v>711</v>
      </c>
      <c r="DH71" s="4850"/>
      <c r="DI71" s="4850" t="s">
        <v>712</v>
      </c>
      <c r="DJ71" s="4850"/>
      <c r="DK71" s="4850" t="s">
        <v>713</v>
      </c>
      <c r="DL71" s="4850"/>
      <c r="DM71" s="4850" t="s">
        <v>714</v>
      </c>
      <c r="DN71" s="4850"/>
      <c r="DO71" s="4850"/>
      <c r="DP71" s="4850" t="s">
        <v>715</v>
      </c>
      <c r="DQ71" s="4850" t="s">
        <v>716</v>
      </c>
      <c r="DR71" s="4850" t="s">
        <v>2791</v>
      </c>
      <c r="DS71" s="1662"/>
      <c r="DT71" s="4851" t="s">
        <v>1037</v>
      </c>
      <c r="DU71" s="4851"/>
      <c r="DV71" s="4851"/>
      <c r="DW71" s="2948"/>
      <c r="DX71" s="4851" t="s">
        <v>996</v>
      </c>
      <c r="DY71" s="4851"/>
      <c r="DZ71" s="1671"/>
      <c r="EA71" s="1671"/>
      <c r="EB71" s="1671"/>
      <c r="EC71" s="1671"/>
      <c r="ED71" s="1671"/>
      <c r="EE71" s="1671"/>
      <c r="EF71" s="1671"/>
      <c r="EG71" s="1671"/>
      <c r="EH71" s="1671"/>
      <c r="EI71" s="1671"/>
      <c r="EJ71" s="1671"/>
      <c r="EK71" s="1671"/>
      <c r="EL71" s="1671"/>
      <c r="EM71" s="1671"/>
    </row>
    <row r="72" spans="1:144" s="1651" customFormat="1" ht="24.6" hidden="1" customHeight="1" outlineLevel="2">
      <c r="A72" s="3781"/>
      <c r="B72" s="3781"/>
      <c r="C72" s="1742"/>
      <c r="D72" s="1672" t="s">
        <v>2191</v>
      </c>
      <c r="E72" s="1672" t="s">
        <v>2602</v>
      </c>
      <c r="F72" s="2658" t="s">
        <v>2620</v>
      </c>
      <c r="G72" s="1673" t="s">
        <v>18</v>
      </c>
      <c r="H72" s="1673" t="s">
        <v>380</v>
      </c>
      <c r="I72" s="1674" t="s">
        <v>705</v>
      </c>
      <c r="J72" s="3753" t="s">
        <v>1006</v>
      </c>
      <c r="K72" s="2659" t="s">
        <v>2785</v>
      </c>
      <c r="L72" s="2660" t="s">
        <v>1008</v>
      </c>
      <c r="M72" s="4916" t="s">
        <v>1024</v>
      </c>
      <c r="N72" s="4917"/>
      <c r="O72" s="4918"/>
      <c r="P72" s="753" t="s">
        <v>1025</v>
      </c>
      <c r="Q72" s="2659" t="s">
        <v>2784</v>
      </c>
      <c r="R72" s="1672" t="s">
        <v>2191</v>
      </c>
      <c r="S72" s="1672" t="s">
        <v>1010</v>
      </c>
      <c r="T72" s="1657" t="s">
        <v>2782</v>
      </c>
      <c r="U72" s="1656"/>
      <c r="V72" s="1656"/>
      <c r="W72" s="1677"/>
      <c r="X72" s="2639"/>
      <c r="Y72" s="2638" t="s">
        <v>2593</v>
      </c>
      <c r="Z72" s="2638" t="s">
        <v>2595</v>
      </c>
      <c r="AA72" s="2638" t="s">
        <v>2597</v>
      </c>
      <c r="AB72" s="1678" t="s">
        <v>92</v>
      </c>
      <c r="AC72" s="1678" t="s">
        <v>93</v>
      </c>
      <c r="AD72" s="1678" t="s">
        <v>314</v>
      </c>
      <c r="AE72" s="3754" t="s">
        <v>743</v>
      </c>
      <c r="AF72" s="1678" t="s">
        <v>257</v>
      </c>
      <c r="AG72" s="1680" t="s">
        <v>18</v>
      </c>
      <c r="AH72" s="1680" t="s">
        <v>18</v>
      </c>
      <c r="AI72" s="1680" t="s">
        <v>18</v>
      </c>
      <c r="AJ72" s="1680" t="s">
        <v>380</v>
      </c>
      <c r="AK72" s="754" t="s">
        <v>705</v>
      </c>
      <c r="AL72" s="754" t="s">
        <v>706</v>
      </c>
      <c r="AM72" s="1681" t="s">
        <v>1011</v>
      </c>
      <c r="AN72" s="1681" t="s">
        <v>1012</v>
      </c>
      <c r="AO72" s="1655"/>
      <c r="AP72" s="1672" t="s">
        <v>2191</v>
      </c>
      <c r="AQ72" s="1672" t="s">
        <v>2191</v>
      </c>
      <c r="AR72" s="4854" t="s">
        <v>2236</v>
      </c>
      <c r="AS72" s="4855"/>
      <c r="AT72" s="4856"/>
      <c r="AU72" s="2168" t="s">
        <v>2237</v>
      </c>
      <c r="AV72" s="2694" t="s">
        <v>2610</v>
      </c>
      <c r="AW72" s="4882"/>
      <c r="AX72" s="4886"/>
      <c r="AY72" s="4887"/>
      <c r="AZ72" s="4887"/>
      <c r="BA72" s="4887"/>
      <c r="BB72" s="4888"/>
      <c r="BC72" s="4866"/>
      <c r="BD72" s="4867"/>
      <c r="BE72" s="4870"/>
      <c r="BF72" s="4866"/>
      <c r="BG72" s="4872"/>
      <c r="BH72" s="4892"/>
      <c r="BI72" s="4893"/>
      <c r="BJ72" s="4894"/>
      <c r="BK72" s="4892"/>
      <c r="BL72" s="4893"/>
      <c r="BM72" s="4894"/>
      <c r="BN72" s="4882"/>
      <c r="BO72" s="4882"/>
      <c r="BP72" s="4882"/>
      <c r="BQ72" s="1655" t="s">
        <v>3167</v>
      </c>
      <c r="BR72" s="4898"/>
      <c r="BS72" s="4899"/>
      <c r="BT72" s="4900"/>
      <c r="BU72" s="4904"/>
      <c r="BV72" s="4905"/>
      <c r="BW72" s="4906"/>
      <c r="BX72" s="4908"/>
      <c r="BY72" s="1655" t="s">
        <v>3168</v>
      </c>
      <c r="BZ72" s="4857" t="s">
        <v>447</v>
      </c>
      <c r="CA72" s="4858"/>
      <c r="CB72" s="4858"/>
      <c r="CC72" s="4859"/>
      <c r="CD72" s="4860" t="s">
        <v>448</v>
      </c>
      <c r="CE72" s="4861"/>
      <c r="CF72" s="4861"/>
      <c r="CG72" s="4862"/>
      <c r="CH72" s="4857" t="s">
        <v>445</v>
      </c>
      <c r="CI72" s="4858"/>
      <c r="CJ72" s="4859"/>
      <c r="CK72" s="4860" t="s">
        <v>446</v>
      </c>
      <c r="CL72" s="4861"/>
      <c r="CM72" s="4862"/>
      <c r="CN72" s="1682" t="s">
        <v>1068</v>
      </c>
      <c r="CO72" s="4863" t="s">
        <v>452</v>
      </c>
      <c r="CP72" s="4864"/>
      <c r="CQ72" s="4864"/>
      <c r="CR72" s="4865"/>
      <c r="CS72" s="4863" t="s">
        <v>453</v>
      </c>
      <c r="CT72" s="4864"/>
      <c r="CU72" s="4864"/>
      <c r="CV72" s="4865"/>
      <c r="CW72" s="4852" t="s">
        <v>889</v>
      </c>
      <c r="CX72" s="4853"/>
      <c r="CY72" s="4853"/>
      <c r="CZ72" s="4852" t="s">
        <v>890</v>
      </c>
      <c r="DA72" s="4853"/>
      <c r="DB72" s="4853"/>
      <c r="DC72" s="1683" t="s">
        <v>454</v>
      </c>
      <c r="DD72" s="1655"/>
      <c r="DE72" s="4850"/>
      <c r="DF72" s="4850"/>
      <c r="DG72" s="4850"/>
      <c r="DH72" s="4850"/>
      <c r="DI72" s="4850"/>
      <c r="DJ72" s="4850"/>
      <c r="DK72" s="1684" t="s">
        <v>189</v>
      </c>
      <c r="DL72" s="1684" t="s">
        <v>190</v>
      </c>
      <c r="DM72" s="1685" t="s">
        <v>187</v>
      </c>
      <c r="DN72" s="1685" t="s">
        <v>719</v>
      </c>
      <c r="DO72" s="1686" t="s">
        <v>720</v>
      </c>
      <c r="DP72" s="4850"/>
      <c r="DQ72" s="4850"/>
      <c r="DR72" s="4850"/>
      <c r="DS72" s="1655"/>
      <c r="DT72" s="1687" t="s">
        <v>1032</v>
      </c>
      <c r="DU72" s="1687" t="s">
        <v>2199</v>
      </c>
      <c r="DV72" s="1687" t="s">
        <v>1034</v>
      </c>
      <c r="DW72" s="2949" t="s">
        <v>2768</v>
      </c>
      <c r="DX72" s="1687" t="s">
        <v>986</v>
      </c>
      <c r="DY72" s="1687" t="s">
        <v>987</v>
      </c>
      <c r="DZ72" s="3375" t="s">
        <v>2999</v>
      </c>
      <c r="EA72" s="761"/>
      <c r="EB72" s="3535">
        <v>1.1200000000000001</v>
      </c>
      <c r="EC72" s="3535"/>
      <c r="ED72" s="3535"/>
      <c r="EE72" s="3535"/>
      <c r="EF72" s="3535">
        <v>1.0900000000000001</v>
      </c>
      <c r="EG72" s="3535"/>
      <c r="EH72" s="3535">
        <v>1.0900000000000001</v>
      </c>
      <c r="EI72" s="3535"/>
      <c r="EJ72" s="3535">
        <v>1.0900000000000001</v>
      </c>
      <c r="EK72" s="3535"/>
      <c r="EL72" s="3535">
        <v>1</v>
      </c>
      <c r="EM72" s="2801">
        <v>0.2</v>
      </c>
    </row>
    <row r="73" spans="1:144" s="1651" customFormat="1" ht="24.6" hidden="1" customHeight="1" outlineLevel="2">
      <c r="A73" s="3781"/>
      <c r="B73" s="3781"/>
      <c r="C73" s="1742"/>
      <c r="D73" s="1689"/>
      <c r="E73" s="2990" t="s">
        <v>1041</v>
      </c>
      <c r="F73" s="1689"/>
      <c r="G73" s="2992" t="s">
        <v>1043</v>
      </c>
      <c r="H73" s="2992" t="s">
        <v>1044</v>
      </c>
      <c r="I73" s="2992" t="s">
        <v>1045</v>
      </c>
      <c r="J73" s="1692" t="s">
        <v>1041</v>
      </c>
      <c r="K73" s="2993" t="s">
        <v>1046</v>
      </c>
      <c r="L73" s="2993" t="s">
        <v>440</v>
      </c>
      <c r="M73" s="1693"/>
      <c r="N73" s="1693"/>
      <c r="O73" s="1693"/>
      <c r="P73" s="1693"/>
      <c r="Q73" s="3004" t="s">
        <v>2786</v>
      </c>
      <c r="R73" s="1689"/>
      <c r="S73" s="1689" t="s">
        <v>974</v>
      </c>
      <c r="T73" s="2994" t="s">
        <v>972</v>
      </c>
      <c r="U73" s="2994" t="s">
        <v>973</v>
      </c>
      <c r="V73" s="2994" t="s">
        <v>974</v>
      </c>
      <c r="W73" s="2994" t="s">
        <v>975</v>
      </c>
      <c r="X73" s="2640" t="s">
        <v>979</v>
      </c>
      <c r="Y73" s="3000" t="s">
        <v>2594</v>
      </c>
      <c r="Z73" s="3000" t="s">
        <v>2596</v>
      </c>
      <c r="AA73" s="3000" t="s">
        <v>2598</v>
      </c>
      <c r="AB73" s="2994" t="s">
        <v>976</v>
      </c>
      <c r="AC73" s="2994" t="s">
        <v>977</v>
      </c>
      <c r="AD73" s="2994" t="s">
        <v>979</v>
      </c>
      <c r="AE73" s="2994" t="s">
        <v>978</v>
      </c>
      <c r="AF73" s="2994" t="s">
        <v>978</v>
      </c>
      <c r="AG73" s="2992" t="s">
        <v>973</v>
      </c>
      <c r="AH73" s="2998" t="s">
        <v>2605</v>
      </c>
      <c r="AI73" s="2998" t="s">
        <v>2606</v>
      </c>
      <c r="AJ73" s="2992" t="s">
        <v>973</v>
      </c>
      <c r="AK73" s="2993" t="s">
        <v>977</v>
      </c>
      <c r="AL73" s="2993" t="s">
        <v>980</v>
      </c>
      <c r="AM73" s="1697" t="s">
        <v>974</v>
      </c>
      <c r="AN73" s="1698" t="s">
        <v>972</v>
      </c>
      <c r="AO73" s="1694"/>
      <c r="AP73" s="1788">
        <v>100</v>
      </c>
      <c r="AQ73" s="1788">
        <v>200</v>
      </c>
      <c r="AR73" s="2993" t="s">
        <v>2233</v>
      </c>
      <c r="AS73" s="2993" t="s">
        <v>2234</v>
      </c>
      <c r="AT73" s="2993" t="s">
        <v>981</v>
      </c>
      <c r="AU73" s="2993" t="s">
        <v>981</v>
      </c>
      <c r="AV73" s="3002"/>
      <c r="AW73" s="2993" t="s">
        <v>3180</v>
      </c>
      <c r="AX73" s="1699">
        <v>75</v>
      </c>
      <c r="AY73" s="1699">
        <v>100</v>
      </c>
      <c r="AZ73" s="1699">
        <v>120</v>
      </c>
      <c r="BA73" s="1699">
        <v>150</v>
      </c>
      <c r="BB73" s="1699">
        <v>200</v>
      </c>
      <c r="BC73" s="3003" t="s">
        <v>2935</v>
      </c>
      <c r="BD73" s="2999" t="s">
        <v>982</v>
      </c>
      <c r="BE73" s="1702"/>
      <c r="BF73" s="3022" t="s">
        <v>983</v>
      </c>
      <c r="BG73" s="3328"/>
      <c r="BH73" s="2993">
        <v>75</v>
      </c>
      <c r="BI73" s="2993">
        <v>90</v>
      </c>
      <c r="BJ73" s="2993">
        <v>110</v>
      </c>
      <c r="BK73" s="2993">
        <v>75</v>
      </c>
      <c r="BL73" s="2993">
        <v>90</v>
      </c>
      <c r="BM73" s="2993">
        <v>110</v>
      </c>
      <c r="BN73" s="2993" t="s">
        <v>979</v>
      </c>
      <c r="BO73" s="2993" t="s">
        <v>978</v>
      </c>
      <c r="BP73" s="2993" t="s">
        <v>978</v>
      </c>
      <c r="BQ73" s="3004"/>
      <c r="BR73" s="3008" t="s">
        <v>383</v>
      </c>
      <c r="BS73" s="3008" t="s">
        <v>381</v>
      </c>
      <c r="BT73" s="3008" t="s">
        <v>384</v>
      </c>
      <c r="BU73" s="3008" t="s">
        <v>385</v>
      </c>
      <c r="BV73" s="3008" t="s">
        <v>386</v>
      </c>
      <c r="BW73" s="3008" t="s">
        <v>387</v>
      </c>
      <c r="BX73" s="3008" t="s">
        <v>388</v>
      </c>
      <c r="BY73" s="1694"/>
      <c r="BZ73" s="3013" t="s">
        <v>1039</v>
      </c>
      <c r="CA73" s="3013" t="s">
        <v>467</v>
      </c>
      <c r="CB73" s="3013" t="s">
        <v>466</v>
      </c>
      <c r="CC73" s="3013" t="s">
        <v>470</v>
      </c>
      <c r="CD73" s="3013" t="s">
        <v>468</v>
      </c>
      <c r="CE73" s="3013" t="s">
        <v>467</v>
      </c>
      <c r="CF73" s="3013" t="s">
        <v>466</v>
      </c>
      <c r="CG73" s="3013" t="s">
        <v>470</v>
      </c>
      <c r="CH73" s="3013" t="s">
        <v>468</v>
      </c>
      <c r="CI73" s="3013" t="s">
        <v>467</v>
      </c>
      <c r="CJ73" s="3013" t="s">
        <v>466</v>
      </c>
      <c r="CK73" s="1705" t="s">
        <v>468</v>
      </c>
      <c r="CL73" s="1705" t="s">
        <v>467</v>
      </c>
      <c r="CM73" s="1705" t="s">
        <v>466</v>
      </c>
      <c r="CN73" s="3014" t="s">
        <v>469</v>
      </c>
      <c r="CO73" s="2993" t="s">
        <v>476</v>
      </c>
      <c r="CP73" s="2993" t="s">
        <v>477</v>
      </c>
      <c r="CQ73" s="2993" t="s">
        <v>478</v>
      </c>
      <c r="CR73" s="2993" t="s">
        <v>479</v>
      </c>
      <c r="CS73" s="2993" t="s">
        <v>476</v>
      </c>
      <c r="CT73" s="2993" t="s">
        <v>477</v>
      </c>
      <c r="CU73" s="2993" t="s">
        <v>478</v>
      </c>
      <c r="CV73" s="2993" t="s">
        <v>480</v>
      </c>
      <c r="CW73" s="2993" t="s">
        <v>472</v>
      </c>
      <c r="CX73" s="2993" t="s">
        <v>473</v>
      </c>
      <c r="CY73" s="2993" t="s">
        <v>474</v>
      </c>
      <c r="CZ73" s="1699" t="s">
        <v>472</v>
      </c>
      <c r="DA73" s="1699" t="s">
        <v>473</v>
      </c>
      <c r="DB73" s="1699" t="s">
        <v>474</v>
      </c>
      <c r="DC73" s="2993" t="s">
        <v>475</v>
      </c>
      <c r="DD73" s="1694"/>
      <c r="DE73" s="3009" t="s">
        <v>119</v>
      </c>
      <c r="DF73" s="3009" t="s">
        <v>120</v>
      </c>
      <c r="DG73" s="1707" t="s">
        <v>119</v>
      </c>
      <c r="DH73" s="1707" t="s">
        <v>120</v>
      </c>
      <c r="DI73" s="3009" t="s">
        <v>119</v>
      </c>
      <c r="DJ73" s="3009" t="s">
        <v>120</v>
      </c>
      <c r="DK73" s="3009" t="s">
        <v>121</v>
      </c>
      <c r="DL73" s="3009" t="s">
        <v>122</v>
      </c>
      <c r="DM73" s="3010" t="s">
        <v>1035</v>
      </c>
      <c r="DN73" s="3010" t="s">
        <v>1036</v>
      </c>
      <c r="DO73" s="3010" t="s">
        <v>1035</v>
      </c>
      <c r="DP73" s="3009" t="s">
        <v>124</v>
      </c>
      <c r="DQ73" s="1707" t="s">
        <v>125</v>
      </c>
      <c r="DR73" s="3009" t="s">
        <v>2790</v>
      </c>
      <c r="DS73" s="1694"/>
      <c r="DT73" s="1702" t="s">
        <v>985</v>
      </c>
      <c r="DU73" s="1702" t="s">
        <v>985</v>
      </c>
      <c r="DV73" s="2797" t="s">
        <v>984</v>
      </c>
      <c r="DW73" s="2950"/>
      <c r="DX73" s="1702" t="s">
        <v>985</v>
      </c>
      <c r="DY73" s="1702" t="s">
        <v>985</v>
      </c>
      <c r="DZ73" s="3376"/>
      <c r="EA73" s="4843" t="s">
        <v>1071</v>
      </c>
      <c r="EB73" s="4844"/>
      <c r="EC73" s="4844" t="s">
        <v>2769</v>
      </c>
      <c r="ED73" s="4844"/>
      <c r="EE73" s="4845" t="s">
        <v>1072</v>
      </c>
      <c r="EF73" s="4845"/>
      <c r="EG73" s="4845" t="s">
        <v>1073</v>
      </c>
      <c r="EH73" s="4845"/>
      <c r="EI73" s="4845" t="s">
        <v>1075</v>
      </c>
      <c r="EJ73" s="4845"/>
      <c r="EK73" s="4846" t="s">
        <v>2697</v>
      </c>
      <c r="EL73" s="4846"/>
      <c r="EM73" s="4846"/>
    </row>
    <row r="74" spans="1:144" s="1651" customFormat="1" ht="24.6" hidden="1" customHeight="1" outlineLevel="2">
      <c r="A74" s="3781"/>
      <c r="B74" s="3781"/>
      <c r="C74" s="1742"/>
      <c r="D74" s="1761"/>
      <c r="E74" s="1761" t="s">
        <v>988</v>
      </c>
      <c r="F74" s="1762" t="s">
        <v>2928</v>
      </c>
      <c r="G74" s="1762">
        <v>1</v>
      </c>
      <c r="H74" s="1762">
        <v>1.1000000000000001</v>
      </c>
      <c r="I74" s="1762" t="s">
        <v>2592</v>
      </c>
      <c r="J74" s="1763" t="s">
        <v>1055</v>
      </c>
      <c r="K74" s="1762">
        <v>2.04</v>
      </c>
      <c r="L74" s="1762">
        <v>1.6</v>
      </c>
      <c r="M74" s="1764" t="s">
        <v>2209</v>
      </c>
      <c r="N74" s="1764" t="s">
        <v>2210</v>
      </c>
      <c r="O74" s="3477" t="s">
        <v>2725</v>
      </c>
      <c r="P74" s="1762">
        <v>1.1000000000000001</v>
      </c>
      <c r="Q74" s="1765"/>
      <c r="R74" s="1766"/>
      <c r="S74" s="1766" t="s">
        <v>1059</v>
      </c>
      <c r="T74" s="1762">
        <v>0.7</v>
      </c>
      <c r="U74" s="1762">
        <v>1.1000000000000001</v>
      </c>
      <c r="V74" s="1766" t="s">
        <v>1058</v>
      </c>
      <c r="W74" s="1762">
        <v>1.1000000000000001</v>
      </c>
      <c r="X74" s="2641" t="s">
        <v>2604</v>
      </c>
      <c r="Y74" s="1762"/>
      <c r="Z74" s="1762"/>
      <c r="AA74" s="1762"/>
      <c r="AB74" s="1762">
        <v>1.2</v>
      </c>
      <c r="AC74" s="1762" t="s">
        <v>2607</v>
      </c>
      <c r="AD74" s="1762" t="s">
        <v>2608</v>
      </c>
      <c r="AE74" s="1762" t="s">
        <v>2608</v>
      </c>
      <c r="AF74" s="1762" t="s">
        <v>2608</v>
      </c>
      <c r="AG74" s="1766"/>
      <c r="AH74" s="2684"/>
      <c r="AI74" s="2684"/>
      <c r="AJ74" s="1762">
        <v>1</v>
      </c>
      <c r="AK74" s="1766" t="s">
        <v>1060</v>
      </c>
      <c r="AL74" s="1766" t="s">
        <v>1061</v>
      </c>
      <c r="AM74" s="1766" t="s">
        <v>1063</v>
      </c>
      <c r="AN74" s="1766" t="s">
        <v>1062</v>
      </c>
      <c r="AO74" s="1765"/>
      <c r="AP74" s="1766">
        <v>1.25</v>
      </c>
      <c r="AQ74" s="1766"/>
      <c r="AR74" s="1762" t="s">
        <v>2609</v>
      </c>
      <c r="AS74" s="1762">
        <v>1.7</v>
      </c>
      <c r="AT74" s="1762" t="s">
        <v>2625</v>
      </c>
      <c r="AU74" s="1762" t="s">
        <v>2925</v>
      </c>
      <c r="AV74" s="1762" t="s">
        <v>2611</v>
      </c>
      <c r="AW74" s="1762">
        <v>1.3</v>
      </c>
      <c r="AX74" s="1766" t="s">
        <v>1064</v>
      </c>
      <c r="AY74" s="1767"/>
      <c r="AZ74" s="1767"/>
      <c r="BA74" s="1766" t="s">
        <v>1065</v>
      </c>
      <c r="BB74" s="1767"/>
      <c r="BC74" s="1762">
        <v>7.0000000000000007E-2</v>
      </c>
      <c r="BD74" s="1762">
        <v>0.65</v>
      </c>
      <c r="BE74" s="1766" t="s">
        <v>1066</v>
      </c>
      <c r="BF74" s="1766" t="s">
        <v>2613</v>
      </c>
      <c r="BG74" s="3329"/>
      <c r="BH74" s="1762">
        <v>0.85</v>
      </c>
      <c r="BI74" s="1762">
        <v>1.05</v>
      </c>
      <c r="BJ74" s="1762">
        <v>1.1499999999999999</v>
      </c>
      <c r="BK74" s="1762">
        <v>1.05</v>
      </c>
      <c r="BL74" s="1762">
        <v>1.05</v>
      </c>
      <c r="BM74" s="1762">
        <v>1.05</v>
      </c>
      <c r="BN74" s="1766"/>
      <c r="BO74" s="1766">
        <v>0.7</v>
      </c>
      <c r="BP74" s="1766">
        <v>0.7</v>
      </c>
      <c r="BQ74" s="1765" t="s">
        <v>2788</v>
      </c>
      <c r="BR74" s="1833" t="s">
        <v>2195</v>
      </c>
      <c r="BS74" s="1762">
        <v>1.25</v>
      </c>
      <c r="BT74" s="1762">
        <v>1.25</v>
      </c>
      <c r="BU74" s="1833" t="s">
        <v>2789</v>
      </c>
      <c r="BV74" s="1762">
        <v>0.33</v>
      </c>
      <c r="BW74" s="1762">
        <v>0.33</v>
      </c>
      <c r="BX74" s="1762">
        <v>1.8</v>
      </c>
      <c r="BY74" s="1765"/>
      <c r="BZ74" s="1764"/>
      <c r="CA74" s="1769">
        <v>1.05</v>
      </c>
      <c r="CB74" s="1769">
        <v>1.05</v>
      </c>
      <c r="CC74" s="1769">
        <v>1.05</v>
      </c>
      <c r="CD74" s="1770">
        <v>1.05</v>
      </c>
      <c r="CE74" s="1770">
        <v>1.05</v>
      </c>
      <c r="CF74" s="1770">
        <v>1.05</v>
      </c>
      <c r="CG74" s="1770">
        <v>1.05</v>
      </c>
      <c r="CH74" s="1770">
        <v>1.1000000000000001</v>
      </c>
      <c r="CI74" s="1770">
        <v>1.1000000000000001</v>
      </c>
      <c r="CJ74" s="1770">
        <v>1.1000000000000001</v>
      </c>
      <c r="CK74" s="1770">
        <v>1.1000000000000001</v>
      </c>
      <c r="CL74" s="1770">
        <v>1.1000000000000001</v>
      </c>
      <c r="CM74" s="1770">
        <v>1.1000000000000001</v>
      </c>
      <c r="CN74" s="1770">
        <v>1.1499999999999999</v>
      </c>
      <c r="CO74" s="1770">
        <v>1.35</v>
      </c>
      <c r="CP74" s="4847" t="s">
        <v>1069</v>
      </c>
      <c r="CQ74" s="4848"/>
      <c r="CR74" s="4848"/>
      <c r="CS74" s="4848"/>
      <c r="CT74" s="4848"/>
      <c r="CU74" s="4848"/>
      <c r="CV74" s="4848"/>
      <c r="CW74" s="4848"/>
      <c r="CX74" s="4848"/>
      <c r="CY74" s="4848"/>
      <c r="CZ74" s="4848"/>
      <c r="DA74" s="4848"/>
      <c r="DB74" s="4848"/>
      <c r="DC74" s="4849"/>
      <c r="DD74" s="1765"/>
      <c r="DE74" s="1766">
        <v>1.45</v>
      </c>
      <c r="DF74" s="1766">
        <v>1.2</v>
      </c>
      <c r="DG74" s="1766">
        <v>1.25</v>
      </c>
      <c r="DH74" s="1766">
        <v>1.2</v>
      </c>
      <c r="DI74" s="1766">
        <v>1.3</v>
      </c>
      <c r="DJ74" s="1766">
        <v>1.2</v>
      </c>
      <c r="DK74" s="1764">
        <v>1.25</v>
      </c>
      <c r="DL74" s="1766">
        <v>1</v>
      </c>
      <c r="DM74" s="1766">
        <v>2.2000000000000002</v>
      </c>
      <c r="DN74" s="1766" t="s">
        <v>1070</v>
      </c>
      <c r="DO74" s="1766" t="s">
        <v>1070</v>
      </c>
      <c r="DP74" s="1766">
        <v>1</v>
      </c>
      <c r="DQ74" s="1766">
        <v>1.2</v>
      </c>
      <c r="DR74" s="1766" t="s">
        <v>1062</v>
      </c>
      <c r="DS74" s="1765"/>
      <c r="DT74" s="1762">
        <v>0.8</v>
      </c>
      <c r="DU74" s="1762" t="s">
        <v>1152</v>
      </c>
      <c r="DV74" s="1764"/>
      <c r="DW74" s="1762">
        <v>0.8</v>
      </c>
      <c r="DX74" s="1762">
        <f>DT74</f>
        <v>0.8</v>
      </c>
      <c r="DY74" s="1762">
        <v>0.8</v>
      </c>
      <c r="DZ74" s="3377">
        <v>50</v>
      </c>
      <c r="EA74" s="3373" t="s">
        <v>735</v>
      </c>
      <c r="EB74" s="1773" t="s">
        <v>1074</v>
      </c>
      <c r="EC74" s="2959"/>
      <c r="ED74" s="2959"/>
      <c r="EE74" s="1772" t="s">
        <v>735</v>
      </c>
      <c r="EF74" s="1773" t="s">
        <v>1074</v>
      </c>
      <c r="EG74" s="1772" t="s">
        <v>735</v>
      </c>
      <c r="EH74" s="1773" t="s">
        <v>1074</v>
      </c>
      <c r="EI74" s="1772" t="s">
        <v>735</v>
      </c>
      <c r="EJ74" s="1773" t="s">
        <v>1074</v>
      </c>
      <c r="EK74" s="2798" t="s">
        <v>735</v>
      </c>
      <c r="EL74" s="2803" t="s">
        <v>1074</v>
      </c>
      <c r="EM74" s="2803" t="s">
        <v>2699</v>
      </c>
    </row>
    <row r="75" spans="1:144" s="1651" customFormat="1" ht="24.6" hidden="1" customHeight="1" outlineLevel="2">
      <c r="A75" s="3781"/>
      <c r="B75" s="1720" t="s">
        <v>1609</v>
      </c>
      <c r="C75" s="1742"/>
      <c r="D75" s="763"/>
      <c r="E75" s="763"/>
      <c r="F75" s="764"/>
      <c r="G75" s="765"/>
      <c r="H75" s="766"/>
      <c r="I75" s="781"/>
      <c r="J75" s="1175"/>
      <c r="K75" s="751"/>
      <c r="L75" s="751"/>
      <c r="M75" s="753"/>
      <c r="N75" s="753"/>
      <c r="O75" s="3519">
        <v>11900</v>
      </c>
      <c r="P75" s="2656"/>
      <c r="Q75" s="762"/>
      <c r="R75" s="764"/>
      <c r="S75" s="764">
        <v>0</v>
      </c>
      <c r="T75" s="1144">
        <v>2080</v>
      </c>
      <c r="U75" s="769">
        <v>5.0000000000000218E-2</v>
      </c>
      <c r="V75" s="769">
        <v>5.0000000000000218E-2</v>
      </c>
      <c r="W75" s="769">
        <v>-3.2352941176470501E-2</v>
      </c>
      <c r="X75" s="2642"/>
      <c r="Y75" s="1807"/>
      <c r="Z75" s="1807"/>
      <c r="AA75" s="1807"/>
      <c r="AB75" s="769">
        <v>0</v>
      </c>
      <c r="AC75" s="769">
        <v>-0.23333333333333334</v>
      </c>
      <c r="AD75" s="764">
        <v>0</v>
      </c>
      <c r="AE75" s="770">
        <v>0</v>
      </c>
      <c r="AF75" s="764">
        <v>0</v>
      </c>
      <c r="AG75" s="765">
        <v>-1.6666666666666483E-2</v>
      </c>
      <c r="AH75" s="2665"/>
      <c r="AI75" s="2665"/>
      <c r="AJ75" s="766">
        <v>0</v>
      </c>
      <c r="AK75" s="754">
        <v>0</v>
      </c>
      <c r="AL75" s="754">
        <v>0</v>
      </c>
      <c r="AM75" s="757">
        <v>0</v>
      </c>
      <c r="AN75" s="757">
        <v>-0.10522388059701472</v>
      </c>
      <c r="AO75" s="762"/>
      <c r="AP75" s="764"/>
      <c r="AQ75" s="764"/>
      <c r="AR75" s="769">
        <v>3.8461538461540988E-3</v>
      </c>
      <c r="AS75" s="769">
        <v>-6.304347826086952E-2</v>
      </c>
      <c r="AT75" s="769">
        <v>-0.26111111111111096</v>
      </c>
      <c r="AU75" s="769">
        <v>0.40555555555555578</v>
      </c>
      <c r="AV75" s="2664"/>
      <c r="AW75" s="754">
        <v>0</v>
      </c>
      <c r="AX75" s="757">
        <v>-7.3076923076922901E-2</v>
      </c>
      <c r="AY75" s="757">
        <v>0</v>
      </c>
      <c r="AZ75" s="757">
        <v>0</v>
      </c>
      <c r="BA75" s="757">
        <v>-6.304347826086952E-2</v>
      </c>
      <c r="BB75" s="757">
        <v>0</v>
      </c>
      <c r="BC75" s="769">
        <v>1.3115384615384618</v>
      </c>
      <c r="BD75" s="769">
        <v>-0.15000000000000002</v>
      </c>
      <c r="BE75" s="759">
        <v>-0.15000000000000002</v>
      </c>
      <c r="BF75" s="767">
        <v>-6.304347826086952E-2</v>
      </c>
      <c r="BG75" s="762"/>
      <c r="BH75" s="771">
        <v>-6.6666666666666707E-2</v>
      </c>
      <c r="BI75" s="771">
        <v>6.4285714285714529E-2</v>
      </c>
      <c r="BJ75" s="771">
        <v>0.20714285714285738</v>
      </c>
      <c r="BK75" s="771">
        <v>-7.3076923076922901E-2</v>
      </c>
      <c r="BL75" s="771">
        <v>0.11666666666666692</v>
      </c>
      <c r="BM75" s="771">
        <v>0.18333333333333338</v>
      </c>
      <c r="BN75" s="754">
        <v>0</v>
      </c>
      <c r="BO75" s="754">
        <v>0</v>
      </c>
      <c r="BP75" s="754">
        <v>0</v>
      </c>
      <c r="BQ75" s="762"/>
      <c r="BR75" s="763"/>
      <c r="BS75" s="773"/>
      <c r="BT75" s="773"/>
      <c r="BU75" s="760"/>
      <c r="BV75" s="760"/>
      <c r="BW75" s="760"/>
      <c r="BX75" s="760"/>
      <c r="BY75" s="762"/>
      <c r="BZ75" s="806"/>
      <c r="CA75" s="806"/>
      <c r="CB75" s="806"/>
      <c r="CC75" s="806"/>
      <c r="CD75" s="806"/>
      <c r="CE75" s="806"/>
      <c r="CF75" s="806"/>
      <c r="CG75" s="806"/>
      <c r="CH75" s="806">
        <v>1397.25</v>
      </c>
      <c r="CI75" s="806">
        <v>1474.8749999999998</v>
      </c>
      <c r="CJ75" s="806">
        <v>1552.4999999999998</v>
      </c>
      <c r="CK75" s="806">
        <v>1397.25</v>
      </c>
      <c r="CL75" s="806">
        <v>1474.8749999999998</v>
      </c>
      <c r="CM75" s="806">
        <v>1552.4999999999998</v>
      </c>
      <c r="CN75" s="806">
        <v>0</v>
      </c>
      <c r="CO75" s="806">
        <v>1696.2499999999998</v>
      </c>
      <c r="CP75" s="806">
        <v>1831.9499999999998</v>
      </c>
      <c r="CQ75" s="806">
        <v>1899.8</v>
      </c>
      <c r="CR75" s="806">
        <v>1967.6499999999999</v>
      </c>
      <c r="CS75" s="806">
        <v>1831.9499999999998</v>
      </c>
      <c r="CT75" s="806">
        <v>1899.8</v>
      </c>
      <c r="CU75" s="806">
        <v>1967.6499999999999</v>
      </c>
      <c r="CV75" s="806">
        <v>2103.35</v>
      </c>
      <c r="CW75" s="806">
        <v>2173.5</v>
      </c>
      <c r="CX75" s="806">
        <v>2251.125</v>
      </c>
      <c r="CY75" s="806">
        <v>2406.375</v>
      </c>
      <c r="CZ75" s="806">
        <v>2173.5</v>
      </c>
      <c r="DA75" s="806">
        <v>2251.125</v>
      </c>
      <c r="DB75" s="806">
        <v>2406.375</v>
      </c>
      <c r="DC75" s="806">
        <v>0</v>
      </c>
      <c r="DD75" s="762"/>
      <c r="DE75" s="752"/>
      <c r="DF75" s="752"/>
      <c r="DG75" s="752"/>
      <c r="DH75" s="752"/>
      <c r="DI75" s="752"/>
      <c r="DJ75" s="752"/>
      <c r="DK75" s="775"/>
      <c r="DL75" s="752"/>
      <c r="DM75" s="752"/>
      <c r="DN75" s="752"/>
      <c r="DO75" s="752"/>
      <c r="DP75" s="752"/>
      <c r="DQ75" s="752"/>
      <c r="DR75" s="752"/>
      <c r="DS75" s="776"/>
      <c r="DT75" s="759"/>
      <c r="DU75" s="760"/>
      <c r="DV75" s="760"/>
      <c r="DW75" s="2952"/>
      <c r="DX75" s="760"/>
      <c r="DY75" s="760"/>
      <c r="DZ75" s="3378"/>
      <c r="EA75" s="3374"/>
      <c r="EB75" s="812"/>
      <c r="EC75" s="2960"/>
      <c r="ED75" s="2960"/>
      <c r="EE75" s="811"/>
      <c r="EF75" s="812"/>
      <c r="EG75" s="811"/>
      <c r="EH75" s="812"/>
      <c r="EI75" s="811"/>
      <c r="EJ75" s="812"/>
      <c r="EK75" s="2799"/>
      <c r="EL75" s="2799"/>
      <c r="EM75" s="2799"/>
    </row>
    <row r="76" spans="1:144" s="1651" customFormat="1" ht="24.6" hidden="1" customHeight="1" outlineLevel="2">
      <c r="A76" s="3781"/>
      <c r="B76" s="1720" t="s">
        <v>1741</v>
      </c>
      <c r="C76" s="1742"/>
      <c r="D76" s="1797"/>
      <c r="E76" s="1797"/>
      <c r="F76" s="1798"/>
      <c r="G76" s="1799"/>
      <c r="H76" s="1800"/>
      <c r="I76" s="1801"/>
      <c r="J76" s="1802"/>
      <c r="K76" s="1803"/>
      <c r="L76" s="1803"/>
      <c r="M76" s="753"/>
      <c r="N76" s="1804"/>
      <c r="O76" s="1804"/>
      <c r="P76" s="2656">
        <v>0</v>
      </c>
      <c r="Q76" s="1782"/>
      <c r="R76" s="1798"/>
      <c r="S76" s="1798"/>
      <c r="T76" s="2676">
        <v>600</v>
      </c>
      <c r="U76" s="1807"/>
      <c r="V76" s="1807"/>
      <c r="W76" s="1807"/>
      <c r="X76" s="2642"/>
      <c r="Y76" s="1807"/>
      <c r="Z76" s="1807"/>
      <c r="AA76" s="1807"/>
      <c r="AB76" s="1807"/>
      <c r="AC76" s="1807"/>
      <c r="AD76" s="1798"/>
      <c r="AE76" s="1798"/>
      <c r="AF76" s="1798"/>
      <c r="AG76" s="1799"/>
      <c r="AH76" s="2665"/>
      <c r="AI76" s="2665"/>
      <c r="AJ76" s="1800"/>
      <c r="AK76" s="1808"/>
      <c r="AL76" s="1808"/>
      <c r="AM76" s="1809"/>
      <c r="AN76" s="1809"/>
      <c r="AO76" s="1782"/>
      <c r="AP76" s="1798"/>
      <c r="AQ76" s="1798"/>
      <c r="AR76" s="1807"/>
      <c r="AS76" s="1807"/>
      <c r="AT76" s="1807"/>
      <c r="AU76" s="1807"/>
      <c r="AV76" s="2664"/>
      <c r="AW76" s="1808"/>
      <c r="AX76" s="1809"/>
      <c r="AY76" s="1809"/>
      <c r="AZ76" s="1809"/>
      <c r="BA76" s="1809"/>
      <c r="BB76" s="1809"/>
      <c r="BC76" s="1807"/>
      <c r="BD76" s="1807"/>
      <c r="BE76" s="1810"/>
      <c r="BF76" s="1805"/>
      <c r="BG76" s="1782"/>
      <c r="BH76" s="1811"/>
      <c r="BI76" s="1811"/>
      <c r="BJ76" s="1811"/>
      <c r="BK76" s="1811"/>
      <c r="BL76" s="1811"/>
      <c r="BM76" s="1811"/>
      <c r="BN76" s="1808"/>
      <c r="BO76" s="1808"/>
      <c r="BP76" s="1808"/>
      <c r="BQ76" s="3524">
        <v>900</v>
      </c>
      <c r="BR76" s="1797"/>
      <c r="BS76" s="1812"/>
      <c r="BT76" s="1812"/>
      <c r="BU76" s="1813"/>
      <c r="BV76" s="1813"/>
      <c r="BW76" s="1813"/>
      <c r="BX76" s="1813"/>
      <c r="BY76" s="2813">
        <v>750</v>
      </c>
      <c r="BZ76" s="806">
        <v>0</v>
      </c>
      <c r="CA76" s="806">
        <v>0</v>
      </c>
      <c r="CB76" s="806">
        <v>0</v>
      </c>
      <c r="CC76" s="806">
        <v>0</v>
      </c>
      <c r="CD76" s="806">
        <v>0</v>
      </c>
      <c r="CE76" s="806">
        <v>0</v>
      </c>
      <c r="CF76" s="806">
        <v>0</v>
      </c>
      <c r="CG76" s="806">
        <v>0</v>
      </c>
      <c r="CH76" s="806">
        <v>0</v>
      </c>
      <c r="CI76" s="806">
        <v>0</v>
      </c>
      <c r="CJ76" s="806">
        <v>0</v>
      </c>
      <c r="CK76" s="806">
        <v>0</v>
      </c>
      <c r="CL76" s="806">
        <v>0</v>
      </c>
      <c r="CM76" s="806">
        <v>0</v>
      </c>
      <c r="CN76" s="806">
        <v>0</v>
      </c>
      <c r="CO76" s="806">
        <v>0</v>
      </c>
      <c r="CP76" s="806">
        <v>0</v>
      </c>
      <c r="CQ76" s="806">
        <v>0</v>
      </c>
      <c r="CR76" s="806">
        <v>0</v>
      </c>
      <c r="CS76" s="806">
        <v>0</v>
      </c>
      <c r="CT76" s="806">
        <v>0</v>
      </c>
      <c r="CU76" s="806">
        <v>0</v>
      </c>
      <c r="CV76" s="806">
        <v>0</v>
      </c>
      <c r="CW76" s="806">
        <v>0</v>
      </c>
      <c r="CX76" s="806">
        <v>0</v>
      </c>
      <c r="CY76" s="806">
        <v>0</v>
      </c>
      <c r="CZ76" s="806">
        <v>0</v>
      </c>
      <c r="DA76" s="806">
        <v>0</v>
      </c>
      <c r="DB76" s="806">
        <v>0</v>
      </c>
      <c r="DC76" s="806">
        <v>0</v>
      </c>
      <c r="DD76" s="1782"/>
      <c r="DE76" s="1819"/>
      <c r="DF76" s="1819"/>
      <c r="DG76" s="1819"/>
      <c r="DH76" s="1819"/>
      <c r="DI76" s="1819"/>
      <c r="DJ76" s="1819"/>
      <c r="DK76" s="1820"/>
      <c r="DL76" s="1819"/>
      <c r="DM76" s="1819"/>
      <c r="DN76" s="1819"/>
      <c r="DO76" s="1819"/>
      <c r="DP76" s="1819"/>
      <c r="DQ76" s="1819"/>
      <c r="DR76" s="1819"/>
      <c r="DS76" s="1821"/>
      <c r="DT76" s="1810"/>
      <c r="DU76" s="1813"/>
      <c r="DV76" s="1813"/>
      <c r="DW76" s="2952"/>
      <c r="DX76" s="1813"/>
      <c r="DY76" s="1813"/>
      <c r="DZ76" s="3378"/>
      <c r="EA76" s="3374"/>
      <c r="EB76" s="1822"/>
      <c r="EC76" s="2960"/>
      <c r="ED76" s="2960"/>
      <c r="EE76" s="1758"/>
      <c r="EF76" s="1822"/>
      <c r="EG76" s="1758"/>
      <c r="EH76" s="1822"/>
      <c r="EI76" s="1758"/>
      <c r="EJ76" s="1822"/>
      <c r="EK76" s="2799"/>
      <c r="EL76" s="2799"/>
      <c r="EM76" s="2799"/>
      <c r="EN76" s="1651">
        <v>0</v>
      </c>
    </row>
    <row r="77" spans="1:144" s="1651" customFormat="1" ht="24.6" hidden="1" customHeight="1" outlineLevel="2">
      <c r="A77" s="3781"/>
      <c r="B77" s="1720" t="s">
        <v>391</v>
      </c>
      <c r="C77" s="1742"/>
      <c r="D77" s="763"/>
      <c r="E77" s="763">
        <v>1400</v>
      </c>
      <c r="F77" s="764"/>
      <c r="G77" s="2991">
        <v>1400</v>
      </c>
      <c r="H77" s="766"/>
      <c r="I77" s="781"/>
      <c r="J77" s="1174">
        <v>1400</v>
      </c>
      <c r="K77" s="2657">
        <v>2850</v>
      </c>
      <c r="L77" s="2657">
        <v>2650</v>
      </c>
      <c r="M77" s="753"/>
      <c r="N77" s="753"/>
      <c r="O77" s="753"/>
      <c r="P77" s="767"/>
      <c r="Q77" s="2676">
        <v>2400</v>
      </c>
      <c r="R77" s="764"/>
      <c r="S77" s="764"/>
      <c r="T77" s="2676">
        <v>750</v>
      </c>
      <c r="U77" s="2676">
        <v>900</v>
      </c>
      <c r="V77" s="2676">
        <v>900</v>
      </c>
      <c r="W77" s="2676">
        <v>950</v>
      </c>
      <c r="X77" s="2996">
        <v>1250</v>
      </c>
      <c r="Y77" s="1807"/>
      <c r="Z77" s="1807"/>
      <c r="AA77" s="1807"/>
      <c r="AB77" s="769"/>
      <c r="AC77" s="769">
        <v>1100</v>
      </c>
      <c r="AD77" s="764"/>
      <c r="AE77" s="770"/>
      <c r="AF77" s="764"/>
      <c r="AG77" s="2997">
        <v>850</v>
      </c>
      <c r="AH77" s="2997">
        <v>1300</v>
      </c>
      <c r="AI77" s="2665"/>
      <c r="AJ77" s="2991">
        <v>850</v>
      </c>
      <c r="AK77" s="754"/>
      <c r="AL77" s="754"/>
      <c r="AM77" s="757"/>
      <c r="AN77" s="757">
        <v>700</v>
      </c>
      <c r="AO77" s="762"/>
      <c r="AP77" s="764"/>
      <c r="AQ77" s="764"/>
      <c r="AR77" s="2676">
        <v>750</v>
      </c>
      <c r="AS77" s="769">
        <v>1250</v>
      </c>
      <c r="AT77" s="2676">
        <v>80</v>
      </c>
      <c r="AU77" s="2676">
        <v>140</v>
      </c>
      <c r="AV77" s="2676">
        <v>1250</v>
      </c>
      <c r="AW77" s="754"/>
      <c r="AX77" s="757">
        <v>700</v>
      </c>
      <c r="AY77" s="757">
        <v>950</v>
      </c>
      <c r="AZ77" s="757">
        <v>1150</v>
      </c>
      <c r="BA77" s="757">
        <v>1250</v>
      </c>
      <c r="BB77" s="757">
        <v>1600</v>
      </c>
      <c r="BC77" s="764">
        <v>120</v>
      </c>
      <c r="BD77" s="2676">
        <v>500</v>
      </c>
      <c r="BE77" s="2676">
        <v>500</v>
      </c>
      <c r="BF77" s="2676">
        <v>1250</v>
      </c>
      <c r="BG77" s="2676">
        <v>400</v>
      </c>
      <c r="BH77" s="2700">
        <v>650</v>
      </c>
      <c r="BI77" s="2676">
        <v>850</v>
      </c>
      <c r="BJ77" s="2676">
        <v>950</v>
      </c>
      <c r="BK77" s="2676">
        <v>700</v>
      </c>
      <c r="BL77" s="2676">
        <v>950</v>
      </c>
      <c r="BM77" s="2676">
        <v>1000</v>
      </c>
      <c r="BN77" s="754"/>
      <c r="BO77" s="754"/>
      <c r="BP77" s="754"/>
      <c r="BQ77" s="3524"/>
      <c r="BR77" s="2794">
        <v>1300</v>
      </c>
      <c r="BS77" s="777">
        <v>1500</v>
      </c>
      <c r="BT77" s="777">
        <v>2200</v>
      </c>
      <c r="BU77" s="760"/>
      <c r="BV77" s="760"/>
      <c r="BW77" s="760"/>
      <c r="BX77" s="760"/>
      <c r="BY77" s="2813"/>
      <c r="BZ77" s="806">
        <v>650</v>
      </c>
      <c r="CA77" s="806">
        <v>650</v>
      </c>
      <c r="CB77" s="806">
        <v>700</v>
      </c>
      <c r="CC77" s="806">
        <v>750</v>
      </c>
      <c r="CD77" s="806">
        <v>1150</v>
      </c>
      <c r="CE77" s="806">
        <v>1200</v>
      </c>
      <c r="CF77" s="806">
        <v>1300</v>
      </c>
      <c r="CG77" s="806">
        <v>1400</v>
      </c>
      <c r="CH77" s="755"/>
      <c r="CI77" s="755"/>
      <c r="CJ77" s="755"/>
      <c r="CK77" s="806"/>
      <c r="CL77" s="806"/>
      <c r="CM77" s="806"/>
      <c r="CN77" s="806">
        <v>0</v>
      </c>
      <c r="CO77" s="806"/>
      <c r="CP77" s="806"/>
      <c r="CQ77" s="806"/>
      <c r="CR77" s="806"/>
      <c r="CS77" s="806">
        <v>800</v>
      </c>
      <c r="CT77" s="806">
        <v>900</v>
      </c>
      <c r="CU77" s="806">
        <v>900</v>
      </c>
      <c r="CV77" s="806">
        <v>1000</v>
      </c>
      <c r="CW77" s="806">
        <v>0</v>
      </c>
      <c r="CX77" s="806">
        <v>0</v>
      </c>
      <c r="CY77" s="806">
        <v>0</v>
      </c>
      <c r="CZ77" s="806">
        <v>900</v>
      </c>
      <c r="DA77" s="806">
        <v>900</v>
      </c>
      <c r="DB77" s="806">
        <v>1000</v>
      </c>
      <c r="DC77" s="806">
        <v>0</v>
      </c>
      <c r="DD77" s="762"/>
      <c r="DE77" s="2795"/>
      <c r="DF77" s="752">
        <v>3450</v>
      </c>
      <c r="DG77" s="752">
        <v>3300</v>
      </c>
      <c r="DH77" s="752">
        <v>4000</v>
      </c>
      <c r="DI77" s="752">
        <v>0</v>
      </c>
      <c r="DJ77" s="752">
        <v>0</v>
      </c>
      <c r="DK77" s="2794"/>
      <c r="DL77" s="2795"/>
      <c r="DM77" s="752"/>
      <c r="DN77" s="752"/>
      <c r="DO77" s="752"/>
      <c r="DP77" s="2795"/>
      <c r="DQ77" s="2795"/>
      <c r="DR77" s="2795"/>
      <c r="DS77" s="776"/>
      <c r="DT77" s="1970">
        <v>9050</v>
      </c>
      <c r="DU77" s="1813"/>
      <c r="DV77" s="760"/>
      <c r="DW77" s="2952"/>
      <c r="DX77" s="1813"/>
      <c r="DY77" s="760"/>
      <c r="DZ77" s="3378">
        <v>1800</v>
      </c>
      <c r="EA77" s="3374">
        <v>12950</v>
      </c>
      <c r="EB77" s="812">
        <v>9065</v>
      </c>
      <c r="EC77" s="2960"/>
      <c r="ED77" s="2960"/>
      <c r="EE77" s="811"/>
      <c r="EF77" s="812"/>
      <c r="EG77" s="811"/>
      <c r="EH77" s="812"/>
      <c r="EI77" s="811"/>
      <c r="EJ77" s="812"/>
      <c r="EK77" s="2799"/>
      <c r="EL77" s="2799"/>
      <c r="EM77" s="2799"/>
      <c r="EN77" s="1651">
        <v>1470</v>
      </c>
    </row>
    <row r="78" spans="1:144" s="1742" customFormat="1" ht="24.6" hidden="1" customHeight="1" outlineLevel="2">
      <c r="A78" s="3781"/>
      <c r="B78" s="2804" t="s">
        <v>2700</v>
      </c>
      <c r="D78" s="2805"/>
      <c r="E78" s="763">
        <v>1650</v>
      </c>
      <c r="F78" s="2806"/>
      <c r="G78" s="2991">
        <v>1650</v>
      </c>
      <c r="H78" s="2808"/>
      <c r="I78" s="2809"/>
      <c r="J78" s="1174">
        <v>1650</v>
      </c>
      <c r="K78" s="2657">
        <v>3350</v>
      </c>
      <c r="L78" s="2657">
        <v>3150</v>
      </c>
      <c r="M78" s="2811"/>
      <c r="N78" s="2811"/>
      <c r="O78" s="2811"/>
      <c r="P78" s="2812"/>
      <c r="Q78" s="2676">
        <v>2850</v>
      </c>
      <c r="R78" s="2806"/>
      <c r="S78" s="2806"/>
      <c r="T78" s="2676">
        <v>900</v>
      </c>
      <c r="U78" s="2676">
        <v>1050</v>
      </c>
      <c r="V78" s="2676">
        <v>1050</v>
      </c>
      <c r="W78" s="2676">
        <v>1150</v>
      </c>
      <c r="X78" s="2996">
        <v>1450</v>
      </c>
      <c r="Y78" s="2826"/>
      <c r="Z78" s="2826"/>
      <c r="AA78" s="2826"/>
      <c r="AB78" s="2814"/>
      <c r="AC78" s="2814"/>
      <c r="AD78" s="2806"/>
      <c r="AE78" s="2806"/>
      <c r="AF78" s="2806"/>
      <c r="AG78" s="2997">
        <v>1000</v>
      </c>
      <c r="AH78" s="2997">
        <v>1550</v>
      </c>
      <c r="AI78" s="2807"/>
      <c r="AJ78" s="2991">
        <v>1000</v>
      </c>
      <c r="AK78" s="2827"/>
      <c r="AL78" s="2827"/>
      <c r="AM78" s="2816"/>
      <c r="AN78" s="2816"/>
      <c r="AO78" s="2813"/>
      <c r="AP78" s="2806"/>
      <c r="AQ78" s="2806"/>
      <c r="AR78" s="2676">
        <v>900</v>
      </c>
      <c r="AS78" s="769">
        <v>1500</v>
      </c>
      <c r="AT78" s="2676">
        <v>90</v>
      </c>
      <c r="AU78" s="2676">
        <v>170</v>
      </c>
      <c r="AV78" s="2676">
        <v>1450</v>
      </c>
      <c r="AW78" s="2827"/>
      <c r="AX78" s="2816"/>
      <c r="AY78" s="2816"/>
      <c r="AZ78" s="2816"/>
      <c r="BA78" s="2816"/>
      <c r="BB78" s="2816"/>
      <c r="BC78" s="764">
        <v>120</v>
      </c>
      <c r="BD78" s="2676">
        <v>550</v>
      </c>
      <c r="BE78" s="2676">
        <v>550</v>
      </c>
      <c r="BF78" s="2676">
        <v>1450</v>
      </c>
      <c r="BG78" s="2676">
        <v>450</v>
      </c>
      <c r="BH78" s="2700">
        <v>800</v>
      </c>
      <c r="BI78" s="2676">
        <v>1050</v>
      </c>
      <c r="BJ78" s="2676">
        <v>1100</v>
      </c>
      <c r="BK78" s="2676">
        <v>850</v>
      </c>
      <c r="BL78" s="2676">
        <v>1100</v>
      </c>
      <c r="BM78" s="2676">
        <v>1200</v>
      </c>
      <c r="BN78" s="2815"/>
      <c r="BO78" s="2815"/>
      <c r="BP78" s="2815"/>
      <c r="BQ78" s="3524"/>
      <c r="BR78" s="2794">
        <v>1550</v>
      </c>
      <c r="BS78" s="777">
        <v>1800</v>
      </c>
      <c r="BT78" s="777">
        <v>2600</v>
      </c>
      <c r="BU78" s="2818"/>
      <c r="BV78" s="2818"/>
      <c r="BW78" s="2818"/>
      <c r="BX78" s="2818"/>
      <c r="BY78" s="2813"/>
      <c r="BZ78" s="2819">
        <v>750</v>
      </c>
      <c r="CA78" s="2819">
        <v>800</v>
      </c>
      <c r="CB78" s="2819">
        <v>850</v>
      </c>
      <c r="CC78" s="2819">
        <v>900</v>
      </c>
      <c r="CD78" s="2819"/>
      <c r="CE78" s="2819"/>
      <c r="CF78" s="2819"/>
      <c r="CG78" s="2819"/>
      <c r="CH78" s="2820"/>
      <c r="CI78" s="2820"/>
      <c r="CJ78" s="2820"/>
      <c r="CK78" s="2819"/>
      <c r="CL78" s="2819"/>
      <c r="CM78" s="2819"/>
      <c r="CN78" s="2819"/>
      <c r="CO78" s="2819"/>
      <c r="CP78" s="2819"/>
      <c r="CQ78" s="2819"/>
      <c r="CR78" s="2819"/>
      <c r="CS78" s="2819"/>
      <c r="CT78" s="2819"/>
      <c r="CU78" s="2819"/>
      <c r="CV78" s="2819"/>
      <c r="CW78" s="2819"/>
      <c r="CX78" s="2819"/>
      <c r="CY78" s="2819"/>
      <c r="CZ78" s="2819"/>
      <c r="DA78" s="2819"/>
      <c r="DB78" s="2819"/>
      <c r="DC78" s="2819"/>
      <c r="DD78" s="2813"/>
      <c r="DE78" s="2821"/>
      <c r="DF78" s="2822"/>
      <c r="DG78" s="2822"/>
      <c r="DH78" s="2822"/>
      <c r="DI78" s="2821"/>
      <c r="DJ78" s="2822"/>
      <c r="DK78" s="2817"/>
      <c r="DL78" s="2821"/>
      <c r="DM78" s="2822"/>
      <c r="DN78" s="2822"/>
      <c r="DO78" s="2822"/>
      <c r="DP78" s="2821"/>
      <c r="DQ78" s="2821"/>
      <c r="DR78" s="2821"/>
      <c r="DS78" s="2823"/>
      <c r="DT78" s="1970">
        <v>8600</v>
      </c>
      <c r="DU78" s="2825"/>
      <c r="DV78" s="2825"/>
      <c r="DW78" s="2952"/>
      <c r="DX78" s="2825"/>
      <c r="DY78" s="2825"/>
      <c r="DZ78" s="3378">
        <v>1800</v>
      </c>
      <c r="EA78" s="3374"/>
      <c r="EB78" s="2800"/>
      <c r="EC78" s="2960"/>
      <c r="ED78" s="2960"/>
      <c r="EE78" s="2799"/>
      <c r="EF78" s="2800"/>
      <c r="EG78" s="2799"/>
      <c r="EH78" s="2800"/>
      <c r="EI78" s="2799"/>
      <c r="EJ78" s="2800"/>
      <c r="EK78" s="2799"/>
      <c r="EL78" s="2799"/>
      <c r="EM78" s="2799"/>
    </row>
    <row r="79" spans="1:144" s="1742" customFormat="1" ht="24.6" hidden="1" customHeight="1" outlineLevel="2">
      <c r="A79" s="3781"/>
      <c r="B79" s="1723" t="s">
        <v>284</v>
      </c>
      <c r="D79" s="763"/>
      <c r="E79" s="763">
        <v>2100</v>
      </c>
      <c r="F79" s="769"/>
      <c r="G79" s="2991">
        <v>2100</v>
      </c>
      <c r="H79" s="2991">
        <v>2350</v>
      </c>
      <c r="I79" s="779">
        <v>2100</v>
      </c>
      <c r="J79" s="1174">
        <v>2100</v>
      </c>
      <c r="K79" s="2657">
        <v>4350</v>
      </c>
      <c r="L79" s="2657">
        <v>4050</v>
      </c>
      <c r="M79" s="753"/>
      <c r="N79" s="753"/>
      <c r="O79" s="753"/>
      <c r="P79" s="753"/>
      <c r="Q79" s="2676">
        <v>3650</v>
      </c>
      <c r="R79" s="763"/>
      <c r="S79" s="769">
        <v>1350</v>
      </c>
      <c r="T79" s="763">
        <v>1150</v>
      </c>
      <c r="U79" s="2675">
        <v>1350</v>
      </c>
      <c r="V79" s="2676">
        <v>1350</v>
      </c>
      <c r="W79" s="2676">
        <v>1450</v>
      </c>
      <c r="X79" s="2995">
        <v>1850</v>
      </c>
      <c r="Y79" s="2722">
        <v>3100</v>
      </c>
      <c r="Z79" s="2722">
        <v>1550</v>
      </c>
      <c r="AA79" s="2722">
        <v>1850</v>
      </c>
      <c r="AB79" s="769">
        <v>2050</v>
      </c>
      <c r="AC79" s="2675">
        <v>2050</v>
      </c>
      <c r="AD79" s="2675">
        <v>2500</v>
      </c>
      <c r="AE79" s="2675">
        <v>2700</v>
      </c>
      <c r="AF79" s="2675">
        <v>3550</v>
      </c>
      <c r="AG79" s="2677">
        <v>1250</v>
      </c>
      <c r="AH79" s="2686">
        <v>1950</v>
      </c>
      <c r="AI79" s="2686">
        <v>3100</v>
      </c>
      <c r="AJ79" s="2991">
        <v>1250</v>
      </c>
      <c r="AK79" s="3001">
        <v>2050</v>
      </c>
      <c r="AL79" s="3001">
        <v>3550</v>
      </c>
      <c r="AM79" s="757">
        <v>1350</v>
      </c>
      <c r="AN79" s="757">
        <v>1150</v>
      </c>
      <c r="AO79" s="778"/>
      <c r="AP79" s="769">
        <v>0</v>
      </c>
      <c r="AQ79" s="763"/>
      <c r="AR79" s="2675">
        <v>1150</v>
      </c>
      <c r="AS79" s="2675">
        <v>1850</v>
      </c>
      <c r="AT79" s="2676">
        <v>120</v>
      </c>
      <c r="AU79" s="2676">
        <v>210</v>
      </c>
      <c r="AV79" s="2722">
        <v>1850</v>
      </c>
      <c r="AW79" s="779">
        <v>1365</v>
      </c>
      <c r="AX79" s="757">
        <v>1150</v>
      </c>
      <c r="AY79" s="757">
        <v>1540</v>
      </c>
      <c r="AZ79" s="757">
        <v>1840</v>
      </c>
      <c r="BA79" s="757">
        <v>1850</v>
      </c>
      <c r="BB79" s="757">
        <v>2610</v>
      </c>
      <c r="BC79" s="764">
        <v>120</v>
      </c>
      <c r="BD79" s="2675">
        <v>700</v>
      </c>
      <c r="BE79" s="759">
        <v>700</v>
      </c>
      <c r="BF79" s="2675">
        <v>1850</v>
      </c>
      <c r="BG79" s="778">
        <v>550</v>
      </c>
      <c r="BH79" s="3523">
        <v>1000</v>
      </c>
      <c r="BI79" s="3523">
        <v>1300</v>
      </c>
      <c r="BJ79" s="3523">
        <v>1400</v>
      </c>
      <c r="BK79" s="3523">
        <v>1050</v>
      </c>
      <c r="BL79" s="3523">
        <v>1400</v>
      </c>
      <c r="BM79" s="3523">
        <v>1500</v>
      </c>
      <c r="BN79" s="3523">
        <v>1850</v>
      </c>
      <c r="BO79" s="3523">
        <v>2000</v>
      </c>
      <c r="BP79" s="3523">
        <v>2400</v>
      </c>
      <c r="BQ79" s="3524">
        <v>1350</v>
      </c>
      <c r="BR79" s="1158">
        <v>2000</v>
      </c>
      <c r="BS79" s="3525">
        <v>2300</v>
      </c>
      <c r="BT79" s="3525">
        <v>3350</v>
      </c>
      <c r="BU79" s="3525">
        <v>750</v>
      </c>
      <c r="BV79" s="3525">
        <v>900</v>
      </c>
      <c r="BW79" s="3525">
        <v>1150</v>
      </c>
      <c r="BX79" s="3525">
        <v>5050</v>
      </c>
      <c r="BY79" s="778">
        <v>1150</v>
      </c>
      <c r="BZ79" s="774">
        <v>950</v>
      </c>
      <c r="CA79" s="774">
        <v>1000</v>
      </c>
      <c r="CB79" s="774">
        <v>1050</v>
      </c>
      <c r="CC79" s="774">
        <v>1150</v>
      </c>
      <c r="CD79" s="3526">
        <v>1000</v>
      </c>
      <c r="CE79" s="3526">
        <v>1050</v>
      </c>
      <c r="CF79" s="3526">
        <v>1150</v>
      </c>
      <c r="CG79" s="3526">
        <v>1200</v>
      </c>
      <c r="CH79" s="3526">
        <v>1050</v>
      </c>
      <c r="CI79" s="3526">
        <v>1150</v>
      </c>
      <c r="CJ79" s="3526">
        <v>1200</v>
      </c>
      <c r="CK79" s="755">
        <v>1050</v>
      </c>
      <c r="CL79" s="755">
        <v>1150</v>
      </c>
      <c r="CM79" s="755">
        <v>1200</v>
      </c>
      <c r="CN79" s="3526">
        <v>1400</v>
      </c>
      <c r="CO79" s="3011">
        <v>1300</v>
      </c>
      <c r="CP79" s="3011">
        <v>1400</v>
      </c>
      <c r="CQ79" s="3011">
        <v>1450</v>
      </c>
      <c r="CR79" s="3011">
        <v>1500</v>
      </c>
      <c r="CS79" s="3011">
        <v>1400</v>
      </c>
      <c r="CT79" s="3011">
        <v>1450</v>
      </c>
      <c r="CU79" s="3011">
        <v>1500</v>
      </c>
      <c r="CV79" s="3011">
        <v>1600</v>
      </c>
      <c r="CW79" s="3011">
        <v>1450</v>
      </c>
      <c r="CX79" s="3011">
        <v>1500</v>
      </c>
      <c r="CY79" s="3011">
        <v>1600</v>
      </c>
      <c r="CZ79" s="3011">
        <v>1450</v>
      </c>
      <c r="DA79" s="3011">
        <v>1500</v>
      </c>
      <c r="DB79" s="3011">
        <v>1600</v>
      </c>
      <c r="DC79" s="3011">
        <v>1850</v>
      </c>
      <c r="DD79" s="778"/>
      <c r="DE79" s="3534">
        <v>2950</v>
      </c>
      <c r="DF79" s="3534">
        <v>3550</v>
      </c>
      <c r="DG79" s="752">
        <v>3800</v>
      </c>
      <c r="DH79" s="752">
        <v>4600</v>
      </c>
      <c r="DI79" s="3534">
        <v>3850</v>
      </c>
      <c r="DJ79" s="3534">
        <v>4700</v>
      </c>
      <c r="DK79" s="1158">
        <v>4600</v>
      </c>
      <c r="DL79" s="3534">
        <v>4700</v>
      </c>
      <c r="DM79" s="3534">
        <v>8700</v>
      </c>
      <c r="DN79" s="752">
        <v>8700</v>
      </c>
      <c r="DO79" s="752">
        <v>8700</v>
      </c>
      <c r="DP79" s="3534">
        <v>2050</v>
      </c>
      <c r="DQ79" s="3534">
        <v>2550</v>
      </c>
      <c r="DR79" s="3534">
        <v>1000</v>
      </c>
      <c r="DS79" s="780"/>
      <c r="DT79" s="1970">
        <v>11150</v>
      </c>
      <c r="DU79" s="2825">
        <v>16700</v>
      </c>
      <c r="DV79" s="2824">
        <v>4200</v>
      </c>
      <c r="DW79" s="2673"/>
      <c r="DX79" s="1970">
        <v>17300</v>
      </c>
      <c r="DY79" s="1970">
        <v>24350</v>
      </c>
      <c r="DZ79" s="3378">
        <v>1800</v>
      </c>
      <c r="EA79" s="3374">
        <v>19885.95</v>
      </c>
      <c r="EB79" s="812">
        <v>13920.165000000001</v>
      </c>
      <c r="EC79" s="2960"/>
      <c r="ED79" s="2960"/>
      <c r="EE79" s="811">
        <v>31682.7</v>
      </c>
      <c r="EF79" s="812">
        <v>21583.839375000003</v>
      </c>
      <c r="EG79" s="811">
        <v>44602.950000000004</v>
      </c>
      <c r="EH79" s="812">
        <v>30385.759687500002</v>
      </c>
      <c r="EI79" s="811"/>
      <c r="EJ79" s="812"/>
      <c r="EK79" s="2799">
        <v>33367.950000000004</v>
      </c>
      <c r="EL79" s="2800">
        <v>20854.96875</v>
      </c>
      <c r="EM79" s="2800">
        <v>4170.9937500000005</v>
      </c>
      <c r="EN79" s="1742">
        <v>2205</v>
      </c>
    </row>
    <row r="80" spans="1:144" s="1742" customFormat="1" ht="24.6" hidden="1" customHeight="1" outlineLevel="2">
      <c r="A80" s="3781"/>
      <c r="B80" s="1720" t="s">
        <v>2587</v>
      </c>
      <c r="D80" s="763"/>
      <c r="E80" s="763">
        <v>2250</v>
      </c>
      <c r="F80" s="769"/>
      <c r="G80" s="2991">
        <v>2250</v>
      </c>
      <c r="H80" s="2991">
        <v>2500</v>
      </c>
      <c r="I80" s="782"/>
      <c r="J80" s="1174">
        <v>2250</v>
      </c>
      <c r="K80" s="2657">
        <v>4600</v>
      </c>
      <c r="L80" s="2657">
        <v>4300</v>
      </c>
      <c r="M80" s="753"/>
      <c r="N80" s="753"/>
      <c r="O80" s="753"/>
      <c r="P80" s="753"/>
      <c r="Q80" s="2676">
        <v>3850</v>
      </c>
      <c r="R80" s="769"/>
      <c r="S80" s="769">
        <v>1450</v>
      </c>
      <c r="T80" s="2676">
        <v>1250</v>
      </c>
      <c r="U80" s="2676">
        <v>1450</v>
      </c>
      <c r="V80" s="2676">
        <v>1450</v>
      </c>
      <c r="W80" s="2676">
        <v>1550</v>
      </c>
      <c r="X80" s="2996">
        <v>1950</v>
      </c>
      <c r="Y80" s="1807"/>
      <c r="Z80" s="1807"/>
      <c r="AA80" s="1807"/>
      <c r="AB80" s="2676">
        <v>2200</v>
      </c>
      <c r="AC80" s="770"/>
      <c r="AD80" s="770"/>
      <c r="AE80" s="770"/>
      <c r="AF80" s="770"/>
      <c r="AG80" s="2997">
        <v>1350</v>
      </c>
      <c r="AH80" s="2997">
        <v>2050</v>
      </c>
      <c r="AI80" s="2997">
        <v>3300</v>
      </c>
      <c r="AJ80" s="2991">
        <v>1350</v>
      </c>
      <c r="AK80" s="754"/>
      <c r="AL80" s="754"/>
      <c r="AM80" s="757">
        <v>1450</v>
      </c>
      <c r="AN80" s="757">
        <v>1250</v>
      </c>
      <c r="AO80" s="762"/>
      <c r="AP80" s="769"/>
      <c r="AQ80" s="769"/>
      <c r="AR80" s="2676">
        <v>1250</v>
      </c>
      <c r="AS80" s="769">
        <v>1950</v>
      </c>
      <c r="AT80" s="2676">
        <v>130</v>
      </c>
      <c r="AU80" s="2676">
        <v>230</v>
      </c>
      <c r="AV80" s="2676">
        <v>1950</v>
      </c>
      <c r="AW80" s="754"/>
      <c r="AX80" s="757">
        <v>1250</v>
      </c>
      <c r="AY80" s="757">
        <v>1670</v>
      </c>
      <c r="AZ80" s="757">
        <v>2000</v>
      </c>
      <c r="BA80" s="757">
        <v>1950</v>
      </c>
      <c r="BB80" s="757">
        <v>2840</v>
      </c>
      <c r="BC80" s="764">
        <v>120</v>
      </c>
      <c r="BD80" s="2676">
        <v>750</v>
      </c>
      <c r="BE80" s="2676">
        <v>750</v>
      </c>
      <c r="BF80" s="2676">
        <v>1950</v>
      </c>
      <c r="BG80" s="2676">
        <v>600</v>
      </c>
      <c r="BH80" s="2676">
        <v>1050</v>
      </c>
      <c r="BI80" s="2676">
        <v>1400</v>
      </c>
      <c r="BJ80" s="2676">
        <v>1500</v>
      </c>
      <c r="BK80" s="2676">
        <v>1150</v>
      </c>
      <c r="BL80" s="2676">
        <v>1500</v>
      </c>
      <c r="BM80" s="2676">
        <v>1600</v>
      </c>
      <c r="BN80" s="754"/>
      <c r="BO80" s="754"/>
      <c r="BP80" s="754"/>
      <c r="BQ80" s="3540">
        <v>1450</v>
      </c>
      <c r="BR80" s="2794">
        <v>2100</v>
      </c>
      <c r="BS80" s="777">
        <v>2450</v>
      </c>
      <c r="BT80" s="777">
        <v>3550</v>
      </c>
      <c r="BU80" s="777">
        <v>800</v>
      </c>
      <c r="BV80" s="777">
        <v>950</v>
      </c>
      <c r="BW80" s="777">
        <v>1250</v>
      </c>
      <c r="BX80" s="777">
        <v>5350</v>
      </c>
      <c r="BY80" s="762">
        <v>1250</v>
      </c>
      <c r="BZ80" s="3012">
        <v>1000</v>
      </c>
      <c r="CA80" s="3012">
        <v>1050</v>
      </c>
      <c r="CB80" s="3012">
        <v>1150</v>
      </c>
      <c r="CC80" s="3012">
        <v>1250</v>
      </c>
      <c r="CD80" s="3012"/>
      <c r="CE80" s="3012"/>
      <c r="CF80" s="755"/>
      <c r="CG80" s="755"/>
      <c r="CH80" s="3012">
        <v>1150</v>
      </c>
      <c r="CI80" s="3012">
        <v>1250</v>
      </c>
      <c r="CJ80" s="3012">
        <v>1300</v>
      </c>
      <c r="CK80" s="3012">
        <v>1150</v>
      </c>
      <c r="CL80" s="3012">
        <v>1250</v>
      </c>
      <c r="CM80" s="3012">
        <v>1300</v>
      </c>
      <c r="CN80" s="755"/>
      <c r="CO80" s="3012">
        <v>1400</v>
      </c>
      <c r="CP80" s="3012">
        <v>1500</v>
      </c>
      <c r="CQ80" s="3012">
        <v>1550</v>
      </c>
      <c r="CR80" s="3012">
        <v>1600</v>
      </c>
      <c r="CS80" s="806">
        <v>0</v>
      </c>
      <c r="CT80" s="806">
        <v>0</v>
      </c>
      <c r="CU80" s="806">
        <v>0</v>
      </c>
      <c r="CV80" s="806">
        <v>0</v>
      </c>
      <c r="CW80" s="3012">
        <v>1550</v>
      </c>
      <c r="CX80" s="3012">
        <v>1600</v>
      </c>
      <c r="CY80" s="3012">
        <v>1700</v>
      </c>
      <c r="CZ80" s="3012">
        <v>1550</v>
      </c>
      <c r="DA80" s="3012">
        <v>1600</v>
      </c>
      <c r="DB80" s="3012">
        <v>1700</v>
      </c>
      <c r="DC80" s="806">
        <v>0</v>
      </c>
      <c r="DD80" s="762"/>
      <c r="DE80" s="2795">
        <v>3100</v>
      </c>
      <c r="DF80" s="2795">
        <v>3750</v>
      </c>
      <c r="DG80" s="752">
        <v>4000</v>
      </c>
      <c r="DH80" s="752">
        <v>4850</v>
      </c>
      <c r="DI80" s="2795">
        <v>4050</v>
      </c>
      <c r="DJ80" s="2795">
        <v>4950</v>
      </c>
      <c r="DK80" s="2794">
        <v>4850</v>
      </c>
      <c r="DL80" s="2795">
        <v>4950</v>
      </c>
      <c r="DM80" s="2795">
        <v>9150</v>
      </c>
      <c r="DN80" s="752">
        <v>9150</v>
      </c>
      <c r="DO80" s="752">
        <v>9150</v>
      </c>
      <c r="DP80" s="2795">
        <v>2200</v>
      </c>
      <c r="DQ80" s="2795">
        <v>2700</v>
      </c>
      <c r="DR80" s="752">
        <v>1050</v>
      </c>
      <c r="DS80" s="776"/>
      <c r="DT80" s="1970">
        <v>11750</v>
      </c>
      <c r="DU80" s="2825"/>
      <c r="DV80" s="759"/>
      <c r="DW80" s="2670"/>
      <c r="DX80" s="1970"/>
      <c r="DY80" s="1970">
        <v>25600</v>
      </c>
      <c r="DZ80" s="3378">
        <v>1800</v>
      </c>
      <c r="EA80" s="3374">
        <v>20900</v>
      </c>
      <c r="EB80" s="812">
        <v>14630.000000000002</v>
      </c>
      <c r="EC80" s="2960"/>
      <c r="ED80" s="2960"/>
      <c r="EE80" s="811"/>
      <c r="EF80" s="812"/>
      <c r="EG80" s="811"/>
      <c r="EH80" s="812"/>
      <c r="EI80" s="811">
        <v>28199.850000000002</v>
      </c>
      <c r="EJ80" s="812">
        <v>19211.147812500003</v>
      </c>
      <c r="EK80" s="2799"/>
      <c r="EL80" s="2800">
        <v>0</v>
      </c>
      <c r="EM80" s="2800">
        <v>0</v>
      </c>
      <c r="EN80" s="1742">
        <v>2362.5</v>
      </c>
    </row>
    <row r="81" spans="1:144" s="3776" customFormat="1" ht="24.6" hidden="1" customHeight="1" outlineLevel="2">
      <c r="A81" s="3782"/>
      <c r="B81" s="1722" t="s">
        <v>2570</v>
      </c>
      <c r="D81" s="763"/>
      <c r="E81" s="763">
        <v>2400</v>
      </c>
      <c r="F81" s="769"/>
      <c r="G81" s="2991">
        <v>2400</v>
      </c>
      <c r="H81" s="2991">
        <v>2700</v>
      </c>
      <c r="I81" s="781"/>
      <c r="J81" s="1174">
        <v>2400</v>
      </c>
      <c r="K81" s="2657">
        <v>4950</v>
      </c>
      <c r="L81" s="2657">
        <v>4600</v>
      </c>
      <c r="M81" s="753"/>
      <c r="N81" s="753"/>
      <c r="O81" s="753"/>
      <c r="P81" s="753"/>
      <c r="Q81" s="2676">
        <v>4150</v>
      </c>
      <c r="R81" s="769"/>
      <c r="S81" s="769">
        <v>1550</v>
      </c>
      <c r="T81" s="2676">
        <v>1300</v>
      </c>
      <c r="U81" s="2676">
        <v>1550</v>
      </c>
      <c r="V81" s="2676">
        <v>1550</v>
      </c>
      <c r="W81" s="2676">
        <v>1650</v>
      </c>
      <c r="X81" s="2996">
        <v>2100</v>
      </c>
      <c r="Y81" s="1807"/>
      <c r="Z81" s="1807"/>
      <c r="AA81" s="1807"/>
      <c r="AB81" s="2676">
        <v>2350</v>
      </c>
      <c r="AC81" s="764"/>
      <c r="AD81" s="764"/>
      <c r="AE81" s="770"/>
      <c r="AF81" s="764"/>
      <c r="AG81" s="2997">
        <v>1450</v>
      </c>
      <c r="AH81" s="2997">
        <v>2250</v>
      </c>
      <c r="AI81" s="2997">
        <v>3550</v>
      </c>
      <c r="AJ81" s="2991">
        <v>1450</v>
      </c>
      <c r="AK81" s="754"/>
      <c r="AL81" s="754"/>
      <c r="AM81" s="757">
        <v>1550</v>
      </c>
      <c r="AN81" s="757">
        <v>1300</v>
      </c>
      <c r="AO81" s="762"/>
      <c r="AP81" s="769"/>
      <c r="AQ81" s="769"/>
      <c r="AR81" s="2676">
        <v>1300</v>
      </c>
      <c r="AS81" s="769">
        <v>2100</v>
      </c>
      <c r="AT81" s="2676">
        <v>130</v>
      </c>
      <c r="AU81" s="2676">
        <v>240</v>
      </c>
      <c r="AV81" s="2676">
        <v>2150</v>
      </c>
      <c r="AW81" s="754"/>
      <c r="AX81" s="757">
        <v>1300</v>
      </c>
      <c r="AY81" s="757">
        <v>1740</v>
      </c>
      <c r="AZ81" s="757">
        <v>2080</v>
      </c>
      <c r="BA81" s="757">
        <v>2100</v>
      </c>
      <c r="BB81" s="757">
        <v>2950</v>
      </c>
      <c r="BC81" s="764">
        <v>120</v>
      </c>
      <c r="BD81" s="2676">
        <v>800</v>
      </c>
      <c r="BE81" s="2676">
        <v>800</v>
      </c>
      <c r="BF81" s="2676">
        <v>2100</v>
      </c>
      <c r="BG81" s="2676">
        <v>650</v>
      </c>
      <c r="BH81" s="2676">
        <v>1150</v>
      </c>
      <c r="BI81" s="2676">
        <v>1500</v>
      </c>
      <c r="BJ81" s="2676">
        <v>1600</v>
      </c>
      <c r="BK81" s="2676">
        <v>1200</v>
      </c>
      <c r="BL81" s="2676">
        <v>1600</v>
      </c>
      <c r="BM81" s="2676">
        <v>1700</v>
      </c>
      <c r="BN81" s="754"/>
      <c r="BO81" s="754"/>
      <c r="BP81" s="754"/>
      <c r="BQ81" s="3540">
        <v>1550</v>
      </c>
      <c r="BR81" s="2794">
        <v>2300</v>
      </c>
      <c r="BS81" s="777">
        <v>2600</v>
      </c>
      <c r="BT81" s="777">
        <v>3800</v>
      </c>
      <c r="BU81" s="777">
        <v>850</v>
      </c>
      <c r="BV81" s="777">
        <v>1050</v>
      </c>
      <c r="BW81" s="777">
        <v>1300</v>
      </c>
      <c r="BX81" s="777">
        <v>5750</v>
      </c>
      <c r="BY81" s="762">
        <v>1300</v>
      </c>
      <c r="BZ81" s="3012">
        <v>1100</v>
      </c>
      <c r="CA81" s="3012">
        <v>1150</v>
      </c>
      <c r="CB81" s="3012">
        <v>1200</v>
      </c>
      <c r="CC81" s="3012">
        <v>1300</v>
      </c>
      <c r="CD81" s="3012">
        <v>1150</v>
      </c>
      <c r="CE81" s="3012">
        <v>1200</v>
      </c>
      <c r="CF81" s="3012">
        <v>1300</v>
      </c>
      <c r="CG81" s="3012">
        <v>1400</v>
      </c>
      <c r="CH81" s="3012">
        <v>1200</v>
      </c>
      <c r="CI81" s="3012">
        <v>1350</v>
      </c>
      <c r="CJ81" s="3012">
        <v>1400</v>
      </c>
      <c r="CK81" s="3012">
        <v>1200</v>
      </c>
      <c r="CL81" s="3012">
        <v>1300</v>
      </c>
      <c r="CM81" s="3012">
        <v>1400</v>
      </c>
      <c r="CN81" s="755"/>
      <c r="CO81" s="3012">
        <v>1500</v>
      </c>
      <c r="CP81" s="3012">
        <v>1600</v>
      </c>
      <c r="CQ81" s="3012">
        <v>1650</v>
      </c>
      <c r="CR81" s="3012">
        <v>1700</v>
      </c>
      <c r="CS81" s="3012">
        <v>1600</v>
      </c>
      <c r="CT81" s="3012">
        <v>1650</v>
      </c>
      <c r="CU81" s="3012">
        <v>1700</v>
      </c>
      <c r="CV81" s="3012">
        <v>1850</v>
      </c>
      <c r="CW81" s="3012">
        <v>1650</v>
      </c>
      <c r="CX81" s="3012">
        <v>1700</v>
      </c>
      <c r="CY81" s="3012">
        <v>1850</v>
      </c>
      <c r="CZ81" s="3012">
        <v>1650</v>
      </c>
      <c r="DA81" s="3012">
        <v>1700</v>
      </c>
      <c r="DB81" s="3012">
        <v>1850</v>
      </c>
      <c r="DC81" s="806">
        <v>0</v>
      </c>
      <c r="DD81" s="762"/>
      <c r="DE81" s="2795">
        <v>3350</v>
      </c>
      <c r="DF81" s="2795">
        <v>4050</v>
      </c>
      <c r="DG81" s="752">
        <v>4300</v>
      </c>
      <c r="DH81" s="752">
        <v>5200</v>
      </c>
      <c r="DI81" s="2795">
        <v>4400</v>
      </c>
      <c r="DJ81" s="2795">
        <v>5350</v>
      </c>
      <c r="DK81" s="2794">
        <v>5200</v>
      </c>
      <c r="DL81" s="2795">
        <v>5350</v>
      </c>
      <c r="DM81" s="2795">
        <v>9850</v>
      </c>
      <c r="DN81" s="752">
        <v>9850</v>
      </c>
      <c r="DO81" s="752">
        <v>9850</v>
      </c>
      <c r="DP81" s="2795">
        <v>2350</v>
      </c>
      <c r="DQ81" s="2795">
        <v>2900</v>
      </c>
      <c r="DR81" s="752">
        <v>1150</v>
      </c>
      <c r="DS81" s="776"/>
      <c r="DT81" s="1970">
        <v>12600</v>
      </c>
      <c r="DU81" s="760">
        <v>18900</v>
      </c>
      <c r="DV81" s="1970">
        <v>4900</v>
      </c>
      <c r="DW81" s="2673"/>
      <c r="DX81" s="760">
        <v>19550</v>
      </c>
      <c r="DY81" s="1970">
        <v>27550</v>
      </c>
      <c r="DZ81" s="3378">
        <v>1800</v>
      </c>
      <c r="EA81" s="3374">
        <v>22500</v>
      </c>
      <c r="EB81" s="812">
        <v>15750.000000000002</v>
      </c>
      <c r="EC81" s="2960"/>
      <c r="ED81" s="2960"/>
      <c r="EE81" s="811"/>
      <c r="EF81" s="812"/>
      <c r="EG81" s="811"/>
      <c r="EH81" s="812"/>
      <c r="EI81" s="811">
        <v>31050</v>
      </c>
      <c r="EJ81" s="812">
        <v>21152.8125</v>
      </c>
      <c r="EK81" s="2799">
        <v>39000</v>
      </c>
      <c r="EL81" s="2800">
        <v>24375</v>
      </c>
      <c r="EM81" s="2800">
        <v>4875</v>
      </c>
      <c r="EN81" s="3776">
        <v>2520</v>
      </c>
    </row>
    <row r="82" spans="1:144" s="3776" customFormat="1" ht="24.6" hidden="1" customHeight="1" outlineLevel="2">
      <c r="A82" s="3782"/>
      <c r="B82" s="2662" t="s">
        <v>3340</v>
      </c>
      <c r="D82" s="2663"/>
      <c r="E82" s="763">
        <v>2600</v>
      </c>
      <c r="F82" s="2664"/>
      <c r="G82" s="2991">
        <v>2600</v>
      </c>
      <c r="H82" s="2991">
        <v>2900</v>
      </c>
      <c r="I82" s="2666"/>
      <c r="J82" s="1174">
        <v>2600</v>
      </c>
      <c r="K82" s="2657">
        <v>5400</v>
      </c>
      <c r="L82" s="2657">
        <v>5000</v>
      </c>
      <c r="M82" s="2667"/>
      <c r="N82" s="2667"/>
      <c r="O82" s="2667"/>
      <c r="P82" s="2667"/>
      <c r="Q82" s="2676">
        <v>4500</v>
      </c>
      <c r="R82" s="2663"/>
      <c r="S82" s="2664"/>
      <c r="T82" s="2676">
        <v>1450</v>
      </c>
      <c r="U82" s="2676">
        <v>1700</v>
      </c>
      <c r="V82" s="2676">
        <v>1700</v>
      </c>
      <c r="W82" s="2676">
        <v>1800</v>
      </c>
      <c r="X82" s="2996">
        <v>2300</v>
      </c>
      <c r="Y82" s="2664"/>
      <c r="Z82" s="2664"/>
      <c r="AA82" s="2664"/>
      <c r="AB82" s="2676">
        <v>2550</v>
      </c>
      <c r="AC82" s="2664"/>
      <c r="AD82" s="2664"/>
      <c r="AE82" s="2664"/>
      <c r="AF82" s="2664"/>
      <c r="AG82" s="2997">
        <v>1550</v>
      </c>
      <c r="AH82" s="2997">
        <v>2400</v>
      </c>
      <c r="AI82" s="2997">
        <v>3850</v>
      </c>
      <c r="AJ82" s="2997">
        <v>1550</v>
      </c>
      <c r="AK82" s="2666"/>
      <c r="AL82" s="2666"/>
      <c r="AM82" s="2669"/>
      <c r="AN82" s="2669"/>
      <c r="AO82" s="2668"/>
      <c r="AP82" s="2664"/>
      <c r="AQ82" s="2663"/>
      <c r="AR82" s="2676">
        <v>1450</v>
      </c>
      <c r="AS82" s="769">
        <v>2300</v>
      </c>
      <c r="AT82" s="2676">
        <v>150</v>
      </c>
      <c r="AU82" s="2676">
        <v>260</v>
      </c>
      <c r="AV82" s="2676">
        <v>2250</v>
      </c>
      <c r="AW82" s="2666"/>
      <c r="AX82" s="2669"/>
      <c r="AY82" s="2669"/>
      <c r="AZ82" s="2669"/>
      <c r="BA82" s="2669"/>
      <c r="BB82" s="2669"/>
      <c r="BC82" s="764">
        <v>120</v>
      </c>
      <c r="BD82" s="2676">
        <v>900</v>
      </c>
      <c r="BE82" s="2676">
        <v>900</v>
      </c>
      <c r="BF82" s="2676">
        <v>2300</v>
      </c>
      <c r="BG82" s="2676">
        <v>700</v>
      </c>
      <c r="BH82" s="2676">
        <v>1250</v>
      </c>
      <c r="BI82" s="2676">
        <v>1600</v>
      </c>
      <c r="BJ82" s="2676">
        <v>1750</v>
      </c>
      <c r="BK82" s="2676">
        <v>1300</v>
      </c>
      <c r="BL82" s="2676">
        <v>1750</v>
      </c>
      <c r="BM82" s="2676">
        <v>1850</v>
      </c>
      <c r="BN82" s="2671"/>
      <c r="BO82" s="2671"/>
      <c r="BP82" s="2671"/>
      <c r="BQ82" s="3540">
        <v>1700</v>
      </c>
      <c r="BR82" s="2794">
        <v>2500</v>
      </c>
      <c r="BS82" s="777">
        <v>2850</v>
      </c>
      <c r="BT82" s="777">
        <v>4150</v>
      </c>
      <c r="BU82" s="777">
        <v>950</v>
      </c>
      <c r="BV82" s="777">
        <v>1150</v>
      </c>
      <c r="BW82" s="777">
        <v>1450</v>
      </c>
      <c r="BX82" s="777">
        <v>6250</v>
      </c>
      <c r="BY82" s="762">
        <v>1450</v>
      </c>
      <c r="BZ82" s="3012">
        <v>1200</v>
      </c>
      <c r="CA82" s="3012">
        <v>1250</v>
      </c>
      <c r="CB82" s="3012">
        <v>1300</v>
      </c>
      <c r="CC82" s="3012">
        <v>1450</v>
      </c>
      <c r="CD82" s="3012">
        <v>1250</v>
      </c>
      <c r="CE82" s="3012">
        <v>1300</v>
      </c>
      <c r="CF82" s="3012">
        <v>1450</v>
      </c>
      <c r="CG82" s="3012">
        <v>1500</v>
      </c>
      <c r="CH82" s="3012">
        <v>1300</v>
      </c>
      <c r="CI82" s="3012">
        <v>1450</v>
      </c>
      <c r="CJ82" s="3012">
        <v>1500</v>
      </c>
      <c r="CK82" s="3012">
        <v>1300</v>
      </c>
      <c r="CL82" s="3012">
        <v>1450</v>
      </c>
      <c r="CM82" s="3012">
        <v>1500</v>
      </c>
      <c r="CN82" s="806">
        <v>0</v>
      </c>
      <c r="CO82" s="3012">
        <v>1600</v>
      </c>
      <c r="CP82" s="3012">
        <v>1750</v>
      </c>
      <c r="CQ82" s="3012">
        <v>1800</v>
      </c>
      <c r="CR82" s="3012">
        <v>1850</v>
      </c>
      <c r="CS82" s="3012">
        <v>1750</v>
      </c>
      <c r="CT82" s="3012">
        <v>1800</v>
      </c>
      <c r="CU82" s="3012">
        <v>1850</v>
      </c>
      <c r="CV82" s="3012">
        <v>2000</v>
      </c>
      <c r="CW82" s="3012">
        <v>1800</v>
      </c>
      <c r="CX82" s="3012">
        <v>1850</v>
      </c>
      <c r="CY82" s="3012">
        <v>2000</v>
      </c>
      <c r="CZ82" s="3012">
        <v>1800</v>
      </c>
      <c r="DA82" s="3012">
        <v>1850</v>
      </c>
      <c r="DB82" s="3012">
        <v>2000</v>
      </c>
      <c r="DC82" s="806">
        <v>0</v>
      </c>
      <c r="DD82" s="2668"/>
      <c r="DE82" s="2795">
        <v>3650</v>
      </c>
      <c r="DF82" s="2795">
        <v>4400</v>
      </c>
      <c r="DG82" s="752">
        <v>4700</v>
      </c>
      <c r="DH82" s="752">
        <v>5700</v>
      </c>
      <c r="DI82" s="2795">
        <v>4750</v>
      </c>
      <c r="DJ82" s="2795">
        <v>5800</v>
      </c>
      <c r="DK82" s="2794">
        <v>5700</v>
      </c>
      <c r="DL82" s="2795">
        <v>5800</v>
      </c>
      <c r="DM82" s="2795">
        <v>10750</v>
      </c>
      <c r="DN82" s="752">
        <v>10750</v>
      </c>
      <c r="DO82" s="752">
        <v>10750</v>
      </c>
      <c r="DP82" s="2795">
        <v>2550</v>
      </c>
      <c r="DQ82" s="2795">
        <v>3150</v>
      </c>
      <c r="DR82" s="752">
        <v>1250</v>
      </c>
      <c r="DS82" s="2672"/>
      <c r="DT82" s="1970">
        <v>13750</v>
      </c>
      <c r="DU82" s="760">
        <v>20550</v>
      </c>
      <c r="DV82" s="1970">
        <v>5150</v>
      </c>
      <c r="DW82" s="2673"/>
      <c r="DX82" s="2673"/>
      <c r="DY82" s="1970">
        <v>30000</v>
      </c>
      <c r="DZ82" s="3378"/>
      <c r="EA82" s="3374"/>
      <c r="EB82" s="2800"/>
      <c r="EC82" s="2960"/>
      <c r="ED82" s="2960"/>
      <c r="EE82" s="2799"/>
      <c r="EF82" s="2800"/>
      <c r="EG82" s="2799"/>
      <c r="EH82" s="2800"/>
      <c r="EI82" s="2799"/>
      <c r="EJ82" s="2800"/>
      <c r="EK82" s="2799">
        <v>41000</v>
      </c>
      <c r="EL82" s="2800">
        <v>25625</v>
      </c>
      <c r="EM82" s="2800">
        <v>5125</v>
      </c>
    </row>
    <row r="83" spans="1:144" s="1742" customFormat="1" ht="24.6" hidden="1" customHeight="1" outlineLevel="2" thickBot="1">
      <c r="A83" s="3505"/>
      <c r="B83" s="589"/>
      <c r="C83" s="589"/>
      <c r="D83" s="356"/>
      <c r="E83" s="356"/>
      <c r="F83" s="356"/>
      <c r="G83" s="3765" t="s">
        <v>3339</v>
      </c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  <c r="AX83" s="69"/>
      <c r="AY83" s="589"/>
      <c r="AZ83" s="69"/>
      <c r="BA83" s="69"/>
      <c r="BB83" s="589"/>
      <c r="BC83" s="589"/>
      <c r="BD83" s="589"/>
      <c r="BE83" s="589"/>
      <c r="BF83" s="589"/>
      <c r="BG83" s="589"/>
      <c r="BH83" s="589"/>
      <c r="BI83" s="589"/>
      <c r="BJ83" s="589"/>
      <c r="BK83" s="589"/>
      <c r="BL83" s="589"/>
      <c r="BM83" s="589"/>
      <c r="BN83" s="589"/>
      <c r="BO83" s="589"/>
      <c r="BP83" s="589"/>
      <c r="BQ83" s="589"/>
      <c r="BR83" s="589"/>
      <c r="BS83" s="589"/>
      <c r="BT83" s="589"/>
      <c r="BU83" s="589"/>
      <c r="BV83" s="589"/>
      <c r="BW83" s="589"/>
      <c r="BX83" s="589"/>
      <c r="BY83" s="589"/>
      <c r="BZ83" s="589"/>
      <c r="CA83" s="589"/>
      <c r="CB83" s="589"/>
      <c r="CC83" s="589"/>
      <c r="CD83" s="589"/>
      <c r="CE83" s="589"/>
      <c r="CF83" s="589"/>
      <c r="CG83" s="589"/>
      <c r="CH83" s="589"/>
      <c r="CI83" s="589"/>
      <c r="CJ83" s="589"/>
      <c r="CK83" s="589"/>
      <c r="CL83" s="589"/>
      <c r="CM83" s="589"/>
      <c r="CN83" s="589"/>
      <c r="CO83" s="589"/>
      <c r="CP83" s="589"/>
      <c r="CQ83" s="589"/>
      <c r="CR83" s="589"/>
      <c r="CS83" s="589"/>
      <c r="CT83" s="589"/>
      <c r="CU83" s="589"/>
      <c r="CV83" s="589"/>
      <c r="CW83" s="589"/>
      <c r="CX83" s="589"/>
      <c r="CY83" s="589"/>
    </row>
    <row r="84" spans="1:144" s="1742" customFormat="1" ht="24.6" hidden="1" customHeight="1" outlineLevel="2" thickBot="1">
      <c r="A84" s="3505"/>
      <c r="B84" s="3505"/>
      <c r="C84" s="3505"/>
      <c r="D84" s="3510" t="s">
        <v>3070</v>
      </c>
      <c r="E84" s="3510" t="s">
        <v>3071</v>
      </c>
      <c r="F84" s="3510" t="s">
        <v>3072</v>
      </c>
      <c r="G84" s="3511" t="s">
        <v>3073</v>
      </c>
      <c r="H84" s="3511" t="s">
        <v>3074</v>
      </c>
      <c r="I84" s="3511" t="s">
        <v>3075</v>
      </c>
      <c r="J84" s="3512"/>
      <c r="K84" s="3510" t="s">
        <v>3076</v>
      </c>
      <c r="L84" s="3510" t="s">
        <v>3077</v>
      </c>
      <c r="M84" s="3510" t="s">
        <v>3078</v>
      </c>
      <c r="N84" s="3510" t="s">
        <v>3079</v>
      </c>
      <c r="O84" s="3510" t="s">
        <v>3080</v>
      </c>
      <c r="P84" s="3510" t="s">
        <v>3081</v>
      </c>
      <c r="Q84" s="3510" t="s">
        <v>3082</v>
      </c>
      <c r="R84" s="3510" t="s">
        <v>3083</v>
      </c>
      <c r="S84" s="3510" t="s">
        <v>3084</v>
      </c>
      <c r="T84" s="3510" t="s">
        <v>3085</v>
      </c>
      <c r="U84" s="3512"/>
      <c r="V84" s="3513" t="s">
        <v>3086</v>
      </c>
      <c r="W84" s="3513" t="s">
        <v>3087</v>
      </c>
      <c r="X84" s="3510" t="s">
        <v>3088</v>
      </c>
      <c r="Y84" s="3510" t="s">
        <v>3089</v>
      </c>
      <c r="Z84" s="3510" t="s">
        <v>3090</v>
      </c>
      <c r="AA84" s="3510" t="s">
        <v>3091</v>
      </c>
      <c r="AB84" s="3513" t="s">
        <v>3092</v>
      </c>
      <c r="AC84" s="3510" t="s">
        <v>3093</v>
      </c>
      <c r="AD84" s="3510"/>
      <c r="AE84" s="3512"/>
      <c r="AF84" s="3511" t="s">
        <v>3094</v>
      </c>
      <c r="AG84" s="3511" t="s">
        <v>3095</v>
      </c>
      <c r="AH84" s="3511" t="s">
        <v>3096</v>
      </c>
      <c r="AI84" s="3511" t="s">
        <v>3097</v>
      </c>
      <c r="AJ84" s="3511" t="s">
        <v>3098</v>
      </c>
      <c r="AK84" s="3511" t="s">
        <v>3099</v>
      </c>
      <c r="AL84" s="3511" t="s">
        <v>3100</v>
      </c>
      <c r="AM84" s="3511" t="s">
        <v>3101</v>
      </c>
      <c r="AN84" s="3511" t="s">
        <v>3102</v>
      </c>
      <c r="AO84" s="3511" t="s">
        <v>3103</v>
      </c>
      <c r="AP84" s="3511" t="s">
        <v>3104</v>
      </c>
      <c r="AQ84" s="3506" t="s">
        <v>3105</v>
      </c>
      <c r="AR84" s="3506" t="s">
        <v>3106</v>
      </c>
      <c r="AS84" s="3506" t="s">
        <v>3107</v>
      </c>
      <c r="AT84" s="3506" t="s">
        <v>3105</v>
      </c>
      <c r="AU84" s="3506" t="s">
        <v>3108</v>
      </c>
      <c r="AV84" s="3507"/>
      <c r="AW84" s="3506" t="s">
        <v>3109</v>
      </c>
      <c r="AX84" s="3506" t="s">
        <v>3110</v>
      </c>
      <c r="AY84" s="3506" t="s">
        <v>3111</v>
      </c>
      <c r="AZ84" s="3506" t="s">
        <v>3112</v>
      </c>
      <c r="BA84" s="3506" t="s">
        <v>3113</v>
      </c>
      <c r="BB84" s="3506" t="s">
        <v>3114</v>
      </c>
      <c r="BC84" s="3506" t="s">
        <v>3115</v>
      </c>
      <c r="BD84" s="3506" t="s">
        <v>3116</v>
      </c>
      <c r="BE84" s="3506" t="s">
        <v>3117</v>
      </c>
      <c r="BF84" s="3506" t="s">
        <v>3118</v>
      </c>
      <c r="BG84" s="3506" t="s">
        <v>3119</v>
      </c>
      <c r="BH84" s="3506" t="s">
        <v>3120</v>
      </c>
      <c r="BI84" s="3507"/>
      <c r="BJ84" s="3506" t="s">
        <v>3121</v>
      </c>
      <c r="BK84" s="3506" t="s">
        <v>3122</v>
      </c>
      <c r="BL84" s="3506" t="s">
        <v>3123</v>
      </c>
      <c r="BM84" s="3506" t="s">
        <v>3124</v>
      </c>
      <c r="BN84" s="3506" t="s">
        <v>3125</v>
      </c>
      <c r="BO84" s="3506" t="s">
        <v>3126</v>
      </c>
      <c r="BP84" s="3506" t="s">
        <v>3127</v>
      </c>
      <c r="BQ84" s="3506" t="s">
        <v>3128</v>
      </c>
      <c r="BR84" s="3506" t="s">
        <v>3129</v>
      </c>
      <c r="BS84" s="3506" t="s">
        <v>3130</v>
      </c>
      <c r="BT84" s="3506" t="s">
        <v>3131</v>
      </c>
      <c r="BU84" s="3506" t="s">
        <v>3132</v>
      </c>
      <c r="BV84" s="3507"/>
      <c r="BW84" s="2190" t="s">
        <v>3133</v>
      </c>
      <c r="BX84" s="2190" t="s">
        <v>3134</v>
      </c>
      <c r="BY84" s="2190" t="s">
        <v>3135</v>
      </c>
      <c r="BZ84" s="2190" t="s">
        <v>3136</v>
      </c>
      <c r="CA84" s="2190" t="s">
        <v>3137</v>
      </c>
      <c r="CB84" s="2190" t="s">
        <v>3138</v>
      </c>
      <c r="CC84" s="2190" t="s">
        <v>3139</v>
      </c>
      <c r="CD84" s="3507"/>
      <c r="CE84" s="2190" t="s">
        <v>3140</v>
      </c>
      <c r="CF84" s="2190" t="s">
        <v>3141</v>
      </c>
      <c r="CG84" s="2190" t="s">
        <v>3142</v>
      </c>
      <c r="CH84" s="2190" t="s">
        <v>3143</v>
      </c>
      <c r="CI84" s="2190" t="s">
        <v>3144</v>
      </c>
      <c r="CJ84" s="2190" t="s">
        <v>3145</v>
      </c>
      <c r="CK84" s="2190" t="s">
        <v>3146</v>
      </c>
      <c r="CL84" s="2190" t="s">
        <v>3147</v>
      </c>
      <c r="CM84" s="2190" t="s">
        <v>3148</v>
      </c>
      <c r="CN84" s="3509" t="s">
        <v>3149</v>
      </c>
      <c r="CO84" s="3507"/>
      <c r="CP84" s="2190" t="s">
        <v>3150</v>
      </c>
      <c r="CQ84" s="2190" t="s">
        <v>3151</v>
      </c>
      <c r="CR84" s="2190" t="s">
        <v>3152</v>
      </c>
      <c r="CS84" s="2190" t="s">
        <v>3153</v>
      </c>
      <c r="CT84" s="2190" t="s">
        <v>3154</v>
      </c>
      <c r="CU84" s="2190" t="s">
        <v>3155</v>
      </c>
      <c r="CV84" s="2190" t="s">
        <v>3156</v>
      </c>
      <c r="CW84" s="3507"/>
      <c r="CX84" s="2190" t="s">
        <v>3157</v>
      </c>
      <c r="CY84" s="2190" t="s">
        <v>3158</v>
      </c>
    </row>
    <row r="85" spans="1:144" s="1742" customFormat="1" ht="24.6" hidden="1" customHeight="1" outlineLevel="2">
      <c r="A85" s="3505"/>
      <c r="B85" s="3669">
        <v>0.05</v>
      </c>
      <c r="C85" s="3505" t="s">
        <v>19</v>
      </c>
      <c r="D85" s="3505">
        <v>2100</v>
      </c>
      <c r="E85" s="3505">
        <v>2100</v>
      </c>
      <c r="F85" s="3505">
        <v>2350</v>
      </c>
      <c r="G85" s="3505">
        <v>4350</v>
      </c>
      <c r="H85" s="3505">
        <v>3650</v>
      </c>
      <c r="I85" s="3505">
        <v>4050</v>
      </c>
      <c r="J85" s="3505">
        <v>0</v>
      </c>
      <c r="K85" s="3505">
        <v>1150</v>
      </c>
      <c r="L85" s="3505">
        <v>1350</v>
      </c>
      <c r="M85" s="3505">
        <v>1350</v>
      </c>
      <c r="N85" s="3505">
        <v>1450</v>
      </c>
      <c r="O85" s="3505">
        <v>1850</v>
      </c>
      <c r="P85" s="3505">
        <v>1250</v>
      </c>
      <c r="Q85" s="3505">
        <v>1950</v>
      </c>
      <c r="R85" s="3505">
        <v>3100</v>
      </c>
      <c r="S85" s="3505">
        <v>1850</v>
      </c>
      <c r="T85" s="3505">
        <v>700</v>
      </c>
      <c r="U85" s="3505">
        <v>0</v>
      </c>
      <c r="V85" s="3505">
        <v>1550</v>
      </c>
      <c r="W85" s="3505">
        <v>1850</v>
      </c>
      <c r="X85" s="3505">
        <v>0</v>
      </c>
      <c r="Y85" s="3505">
        <v>2050</v>
      </c>
      <c r="Z85" s="3505">
        <v>2500</v>
      </c>
      <c r="AA85" s="3505">
        <v>2700</v>
      </c>
      <c r="AB85" s="3505">
        <v>3100</v>
      </c>
      <c r="AC85" s="3505">
        <v>3550</v>
      </c>
      <c r="AD85" s="3505">
        <v>0</v>
      </c>
      <c r="AE85" s="3505">
        <v>0</v>
      </c>
      <c r="AF85" s="3505">
        <v>2950</v>
      </c>
      <c r="AG85" s="3505">
        <v>3550</v>
      </c>
      <c r="AH85" s="3505">
        <v>3850</v>
      </c>
      <c r="AI85" s="3505">
        <v>4700</v>
      </c>
      <c r="AJ85" s="3505">
        <v>4600</v>
      </c>
      <c r="AK85" s="3505">
        <v>4700</v>
      </c>
      <c r="AL85" s="3505">
        <v>8700</v>
      </c>
      <c r="AM85" s="3505">
        <v>10450</v>
      </c>
      <c r="AN85" s="3505">
        <v>2050</v>
      </c>
      <c r="AO85" s="3505">
        <v>8750</v>
      </c>
      <c r="AP85" s="3505">
        <v>3800</v>
      </c>
      <c r="AQ85" s="3505">
        <v>2550</v>
      </c>
      <c r="AR85" s="3505">
        <v>9550</v>
      </c>
      <c r="AS85" s="3505">
        <v>4600</v>
      </c>
      <c r="AT85" s="3505">
        <v>2550</v>
      </c>
      <c r="AU85" s="3505">
        <v>1000</v>
      </c>
      <c r="AV85" s="3505">
        <v>0</v>
      </c>
      <c r="AW85" s="3505">
        <v>950</v>
      </c>
      <c r="AX85" s="3505">
        <v>1000</v>
      </c>
      <c r="AY85" s="3505">
        <v>1050</v>
      </c>
      <c r="AZ85" s="3505">
        <v>1150</v>
      </c>
      <c r="BA85" s="3505">
        <v>1000</v>
      </c>
      <c r="BB85" s="3505">
        <v>1050</v>
      </c>
      <c r="BC85" s="3505">
        <v>1150</v>
      </c>
      <c r="BD85" s="3505">
        <v>1200</v>
      </c>
      <c r="BE85" s="3505">
        <v>1050</v>
      </c>
      <c r="BF85" s="3505">
        <v>1150</v>
      </c>
      <c r="BG85" s="3505">
        <v>1200</v>
      </c>
      <c r="BH85" s="3505">
        <v>1400</v>
      </c>
      <c r="BI85" s="3505"/>
      <c r="BJ85" s="3505">
        <v>1300</v>
      </c>
      <c r="BK85" s="3505">
        <v>1400</v>
      </c>
      <c r="BL85" s="3505">
        <v>1450</v>
      </c>
      <c r="BM85" s="3505">
        <v>1500</v>
      </c>
      <c r="BN85" s="3505">
        <v>1400</v>
      </c>
      <c r="BO85" s="3505">
        <v>1450</v>
      </c>
      <c r="BP85" s="3505">
        <v>1500</v>
      </c>
      <c r="BQ85" s="3505">
        <v>1600</v>
      </c>
      <c r="BR85" s="3505">
        <v>1450</v>
      </c>
      <c r="BS85" s="3505">
        <v>1500</v>
      </c>
      <c r="BT85" s="3505">
        <v>1600</v>
      </c>
      <c r="BU85" s="3505">
        <v>1850</v>
      </c>
      <c r="BV85" s="3505"/>
      <c r="BW85" s="3505">
        <v>1150</v>
      </c>
      <c r="BX85" s="3505">
        <v>1850</v>
      </c>
      <c r="BY85" s="3505">
        <v>3350</v>
      </c>
      <c r="BZ85" s="3505">
        <v>4450</v>
      </c>
      <c r="CA85" s="3505">
        <v>5550</v>
      </c>
      <c r="CB85" s="3505">
        <v>9950</v>
      </c>
      <c r="CC85" s="3505">
        <v>1850</v>
      </c>
      <c r="CD85" s="3505"/>
      <c r="CE85" s="3505">
        <v>1000</v>
      </c>
      <c r="CF85" s="3505">
        <v>1300</v>
      </c>
      <c r="CG85" s="3505">
        <v>1400</v>
      </c>
      <c r="CH85" s="3505">
        <v>1050</v>
      </c>
      <c r="CI85" s="3505">
        <v>1400</v>
      </c>
      <c r="CJ85" s="3505">
        <v>1500</v>
      </c>
      <c r="CK85" s="3505">
        <v>1850</v>
      </c>
      <c r="CL85" s="3505">
        <v>2000</v>
      </c>
      <c r="CM85" s="3505">
        <v>2400</v>
      </c>
      <c r="CN85" s="3505">
        <v>1350</v>
      </c>
      <c r="CO85" s="3505"/>
      <c r="CP85" s="3505">
        <v>2000</v>
      </c>
      <c r="CQ85" s="3505">
        <v>2300</v>
      </c>
      <c r="CR85" s="3505">
        <v>3350</v>
      </c>
      <c r="CS85" s="3505">
        <v>750</v>
      </c>
      <c r="CT85" s="3505">
        <v>900</v>
      </c>
      <c r="CU85" s="3505">
        <v>1150</v>
      </c>
      <c r="CV85" s="3505">
        <v>5050</v>
      </c>
      <c r="CW85" s="3505"/>
      <c r="CX85" s="3505">
        <v>100</v>
      </c>
      <c r="CY85" s="3505">
        <v>1800</v>
      </c>
    </row>
    <row r="86" spans="1:144" s="1742" customFormat="1" ht="24.6" hidden="1" customHeight="1" outlineLevel="2">
      <c r="A86" s="3505"/>
      <c r="B86" s="3787" t="s">
        <v>1040</v>
      </c>
      <c r="C86" s="3505"/>
      <c r="D86" s="3505"/>
      <c r="E86" s="3505"/>
      <c r="F86" s="3505"/>
      <c r="G86" s="3505"/>
      <c r="H86" s="3505"/>
      <c r="I86" s="3505"/>
      <c r="J86" s="3505"/>
      <c r="K86" s="3505"/>
      <c r="L86" s="3505"/>
      <c r="M86" s="3505"/>
      <c r="N86" s="3505"/>
      <c r="O86" s="3505"/>
      <c r="P86" s="3505"/>
      <c r="Q86" s="3505"/>
      <c r="R86" s="3505"/>
      <c r="S86" s="3505"/>
      <c r="T86" s="3505"/>
      <c r="U86" s="3505"/>
      <c r="V86" s="3505"/>
      <c r="W86" s="3505"/>
      <c r="X86" s="3505"/>
      <c r="Y86" s="3505"/>
      <c r="Z86" s="3505"/>
      <c r="AA86" s="3505"/>
      <c r="AB86" s="3505"/>
      <c r="AC86" s="3505"/>
      <c r="AD86" s="3505"/>
      <c r="AE86" s="3505"/>
      <c r="AF86" s="3505"/>
      <c r="AG86" s="3505"/>
      <c r="AH86" s="3505"/>
      <c r="AI86" s="3505"/>
      <c r="AJ86" s="3505"/>
      <c r="AK86" s="3505"/>
      <c r="AL86" s="3505"/>
      <c r="AM86" s="3505"/>
      <c r="AN86" s="3505"/>
      <c r="AO86" s="3505"/>
      <c r="AP86" s="3505"/>
      <c r="AQ86" s="3505"/>
      <c r="AR86" s="3505"/>
      <c r="AS86" s="3505"/>
      <c r="AT86" s="3505"/>
      <c r="AU86" s="3505"/>
      <c r="AV86" s="3505"/>
      <c r="AW86" s="3505"/>
      <c r="AX86" s="3505"/>
      <c r="AY86" s="3505"/>
      <c r="AZ86" s="3505"/>
      <c r="BA86" s="3505"/>
      <c r="BB86" s="3505"/>
      <c r="BC86" s="3505"/>
      <c r="BD86" s="3505"/>
      <c r="BE86" s="3505"/>
      <c r="BF86" s="3505"/>
      <c r="BG86" s="3505"/>
      <c r="BH86" s="3505"/>
      <c r="BI86" s="3505"/>
      <c r="BJ86" s="3505"/>
      <c r="BK86" s="3505"/>
      <c r="BL86" s="3505"/>
      <c r="BM86" s="3505"/>
      <c r="BN86" s="3505"/>
      <c r="BO86" s="3505"/>
      <c r="BP86" s="3505"/>
      <c r="BQ86" s="3505"/>
      <c r="BR86" s="3505"/>
      <c r="BS86" s="3505"/>
      <c r="BT86" s="3505"/>
      <c r="BU86" s="3505"/>
      <c r="BV86" s="3505"/>
      <c r="BW86" s="3505"/>
      <c r="BX86" s="3505"/>
      <c r="BY86" s="3505"/>
      <c r="BZ86" s="3505"/>
      <c r="CA86" s="3505"/>
      <c r="CB86" s="3505"/>
      <c r="CC86" s="3505"/>
      <c r="CD86" s="3505"/>
      <c r="CE86" s="3505"/>
      <c r="CF86" s="3505"/>
      <c r="CG86" s="3505"/>
      <c r="CH86" s="3505"/>
      <c r="CI86" s="3505"/>
      <c r="CJ86" s="3505"/>
      <c r="CK86" s="3505"/>
      <c r="CL86" s="3505"/>
      <c r="CM86" s="3505"/>
      <c r="CN86" s="3505"/>
      <c r="CO86" s="3505"/>
      <c r="CP86" s="3505"/>
      <c r="CQ86" s="3505"/>
      <c r="CR86" s="3505"/>
      <c r="CS86" s="3505"/>
      <c r="CT86" s="3505"/>
      <c r="CU86" s="3505"/>
      <c r="CV86" s="3505"/>
      <c r="CW86" s="3505"/>
      <c r="CX86" s="3505"/>
      <c r="CY86" s="3505"/>
    </row>
    <row r="87" spans="1:144" s="1742" customFormat="1" ht="24.6" hidden="1" customHeight="1" outlineLevel="2">
      <c r="A87" s="3505"/>
      <c r="B87" s="3781"/>
      <c r="D87" s="1791" t="s">
        <v>462</v>
      </c>
      <c r="E87" s="1792"/>
      <c r="F87" s="1792"/>
      <c r="G87" s="1792"/>
      <c r="H87" s="1792"/>
      <c r="I87" s="1792"/>
      <c r="J87" s="1792"/>
      <c r="K87" s="1792"/>
      <c r="L87" s="1792"/>
      <c r="M87" s="1792"/>
      <c r="N87" s="1792"/>
      <c r="O87" s="1792"/>
      <c r="P87" s="1793"/>
      <c r="Q87" s="1655"/>
      <c r="R87" s="1783" t="s">
        <v>89</v>
      </c>
      <c r="S87" s="1784"/>
      <c r="T87" s="1784"/>
      <c r="U87" s="1784"/>
      <c r="V87" s="1784"/>
      <c r="W87" s="1784"/>
      <c r="X87" s="1784"/>
      <c r="Y87" s="1784"/>
      <c r="Z87" s="1784"/>
      <c r="AA87" s="1784"/>
      <c r="AB87" s="1784"/>
      <c r="AC87" s="1784"/>
      <c r="AD87" s="1784"/>
      <c r="AE87" s="1784"/>
      <c r="AF87" s="1784"/>
      <c r="AG87" s="1784"/>
      <c r="AH87" s="1656"/>
      <c r="AI87" s="1656"/>
      <c r="AJ87" s="1784"/>
      <c r="AK87" s="1784"/>
      <c r="AL87" s="1784"/>
      <c r="AM87" s="1784"/>
      <c r="AN87" s="1784"/>
      <c r="AO87" s="1655"/>
      <c r="AP87" s="1783" t="s">
        <v>2194</v>
      </c>
      <c r="AQ87" s="1783"/>
      <c r="AR87" s="4914" t="s">
        <v>1014</v>
      </c>
      <c r="AS87" s="4914"/>
      <c r="AT87" s="4915"/>
      <c r="AU87" s="4914"/>
      <c r="AV87" s="4915"/>
      <c r="AW87" s="4914"/>
      <c r="AX87" s="4914"/>
      <c r="AY87" s="4914"/>
      <c r="AZ87" s="4914"/>
      <c r="BA87" s="4914"/>
      <c r="BB87" s="4914"/>
      <c r="BC87" s="4866" t="s">
        <v>2934</v>
      </c>
      <c r="BD87" s="4867" t="s">
        <v>883</v>
      </c>
      <c r="BE87" s="4868" t="s">
        <v>695</v>
      </c>
      <c r="BF87" s="4866" t="s">
        <v>2792</v>
      </c>
      <c r="BG87" s="4871" t="s">
        <v>2936</v>
      </c>
      <c r="BH87" s="4873" t="s">
        <v>108</v>
      </c>
      <c r="BI87" s="4874"/>
      <c r="BJ87" s="4874"/>
      <c r="BK87" s="4874"/>
      <c r="BL87" s="4874"/>
      <c r="BM87" s="4874"/>
      <c r="BN87" s="4874"/>
      <c r="BO87" s="4874"/>
      <c r="BP87" s="4874"/>
      <c r="BQ87" s="1655"/>
      <c r="BR87" s="4875" t="s">
        <v>456</v>
      </c>
      <c r="BS87" s="4875"/>
      <c r="BT87" s="4875"/>
      <c r="BU87" s="4875"/>
      <c r="BV87" s="4875"/>
      <c r="BW87" s="4875"/>
      <c r="BX87" s="4875"/>
      <c r="BY87" s="1655"/>
      <c r="BZ87" s="4857" t="s">
        <v>1015</v>
      </c>
      <c r="CA87" s="4858"/>
      <c r="CB87" s="4858"/>
      <c r="CC87" s="4858"/>
      <c r="CD87" s="4858"/>
      <c r="CE87" s="4858"/>
      <c r="CF87" s="4858"/>
      <c r="CG87" s="4858"/>
      <c r="CH87" s="4858"/>
      <c r="CI87" s="4858"/>
      <c r="CJ87" s="4858"/>
      <c r="CK87" s="4858"/>
      <c r="CL87" s="4858"/>
      <c r="CM87" s="4858"/>
      <c r="CN87" s="4858"/>
      <c r="CO87" s="4858"/>
      <c r="CP87" s="4858"/>
      <c r="CQ87" s="4858"/>
      <c r="CR87" s="4858"/>
      <c r="CS87" s="4858"/>
      <c r="CT87" s="4858"/>
      <c r="CU87" s="4858"/>
      <c r="CV87" s="4858"/>
      <c r="CW87" s="4858"/>
      <c r="CX87" s="4858"/>
      <c r="CY87" s="4858"/>
      <c r="CZ87" s="4858"/>
      <c r="DA87" s="4858"/>
      <c r="DB87" s="4858"/>
      <c r="DC87" s="4858"/>
      <c r="DD87" s="1655"/>
      <c r="DE87" s="1658"/>
      <c r="DF87" s="1658"/>
      <c r="DG87" s="1658"/>
      <c r="DH87" s="1658"/>
      <c r="DI87" s="1658"/>
      <c r="DJ87" s="1658"/>
      <c r="DK87" s="1659" t="s">
        <v>1038</v>
      </c>
      <c r="DL87" s="1658"/>
      <c r="DM87" s="1658"/>
      <c r="DN87" s="1658"/>
      <c r="DO87" s="1658"/>
      <c r="DP87" s="1658"/>
      <c r="DQ87" s="1658"/>
      <c r="DR87" s="1660"/>
      <c r="DS87" s="1655"/>
      <c r="DT87" s="4876" t="s">
        <v>693</v>
      </c>
      <c r="DU87" s="4876"/>
      <c r="DV87" s="4876"/>
      <c r="DW87" s="4877"/>
      <c r="DX87" s="4876"/>
      <c r="DY87" s="4876"/>
      <c r="DZ87" s="159"/>
      <c r="EA87" s="159"/>
      <c r="EB87" s="159"/>
      <c r="EC87" s="159"/>
      <c r="ED87" s="159"/>
      <c r="EE87" s="159"/>
      <c r="EF87" s="159"/>
      <c r="EG87" s="159"/>
      <c r="EH87" s="159"/>
      <c r="EI87" s="159"/>
      <c r="EJ87" s="159"/>
      <c r="EK87" s="159"/>
      <c r="EL87" s="159"/>
      <c r="EM87" s="159"/>
    </row>
    <row r="88" spans="1:144" s="1742" customFormat="1" ht="24.6" hidden="1" customHeight="1" outlineLevel="2">
      <c r="A88" s="3505"/>
      <c r="B88" s="3781"/>
      <c r="D88" s="1785" t="s">
        <v>1009</v>
      </c>
      <c r="E88" s="1786"/>
      <c r="F88" s="1786"/>
      <c r="G88" s="1786"/>
      <c r="H88" s="1786"/>
      <c r="I88" s="1786"/>
      <c r="J88" s="1786"/>
      <c r="K88" s="1786"/>
      <c r="L88" s="1787"/>
      <c r="M88" s="4878" t="s">
        <v>1023</v>
      </c>
      <c r="N88" s="4879"/>
      <c r="O88" s="4879"/>
      <c r="P88" s="4880"/>
      <c r="Q88" s="1662"/>
      <c r="R88" s="1788" t="s">
        <v>1026</v>
      </c>
      <c r="S88" s="1789"/>
      <c r="T88" s="1789"/>
      <c r="U88" s="1789"/>
      <c r="V88" s="1789"/>
      <c r="W88" s="1789"/>
      <c r="X88" s="1789"/>
      <c r="Y88" s="1789"/>
      <c r="Z88" s="1789"/>
      <c r="AA88" s="1789"/>
      <c r="AB88" s="1789"/>
      <c r="AC88" s="1789"/>
      <c r="AD88" s="1789"/>
      <c r="AE88" s="1789"/>
      <c r="AF88" s="1790"/>
      <c r="AG88" s="1666" t="s">
        <v>1027</v>
      </c>
      <c r="AH88" s="1667"/>
      <c r="AI88" s="1667"/>
      <c r="AJ88" s="1667"/>
      <c r="AK88" s="1667"/>
      <c r="AL88" s="1668"/>
      <c r="AM88" s="1669" t="s">
        <v>1028</v>
      </c>
      <c r="AN88" s="1670"/>
      <c r="AO88" s="1662"/>
      <c r="AP88" s="1788"/>
      <c r="AQ88" s="1788"/>
      <c r="AR88" s="4854" t="s">
        <v>2235</v>
      </c>
      <c r="AS88" s="4855"/>
      <c r="AT88" s="4855"/>
      <c r="AU88" s="4856"/>
      <c r="AV88" s="3755"/>
      <c r="AW88" s="4881" t="s">
        <v>1048</v>
      </c>
      <c r="AX88" s="4883" t="s">
        <v>1049</v>
      </c>
      <c r="AY88" s="4884"/>
      <c r="AZ88" s="4884"/>
      <c r="BA88" s="4884"/>
      <c r="BB88" s="4885"/>
      <c r="BC88" s="4866"/>
      <c r="BD88" s="4867"/>
      <c r="BE88" s="4869"/>
      <c r="BF88" s="4866"/>
      <c r="BG88" s="4872"/>
      <c r="BH88" s="4889" t="s">
        <v>709</v>
      </c>
      <c r="BI88" s="4890"/>
      <c r="BJ88" s="4891"/>
      <c r="BK88" s="4889" t="s">
        <v>1022</v>
      </c>
      <c r="BL88" s="4890"/>
      <c r="BM88" s="4891"/>
      <c r="BN88" s="4881" t="s">
        <v>1030</v>
      </c>
      <c r="BO88" s="4881" t="s">
        <v>743</v>
      </c>
      <c r="BP88" s="4881" t="s">
        <v>1029</v>
      </c>
      <c r="BQ88" s="1662"/>
      <c r="BR88" s="4895" t="s">
        <v>1052</v>
      </c>
      <c r="BS88" s="4896"/>
      <c r="BT88" s="4897"/>
      <c r="BU88" s="4901" t="s">
        <v>1053</v>
      </c>
      <c r="BV88" s="4902"/>
      <c r="BW88" s="4903"/>
      <c r="BX88" s="4907" t="s">
        <v>1054</v>
      </c>
      <c r="BY88" s="1662"/>
      <c r="BZ88" s="4909" t="s">
        <v>1020</v>
      </c>
      <c r="CA88" s="4910"/>
      <c r="CB88" s="4910"/>
      <c r="CC88" s="4910"/>
      <c r="CD88" s="4910"/>
      <c r="CE88" s="4910"/>
      <c r="CF88" s="4910"/>
      <c r="CG88" s="4910"/>
      <c r="CH88" s="4910"/>
      <c r="CI88" s="4910"/>
      <c r="CJ88" s="4910"/>
      <c r="CK88" s="4910"/>
      <c r="CL88" s="4910"/>
      <c r="CM88" s="4910"/>
      <c r="CN88" s="4911"/>
      <c r="CO88" s="4912" t="s">
        <v>1021</v>
      </c>
      <c r="CP88" s="4913"/>
      <c r="CQ88" s="4913"/>
      <c r="CR88" s="4913"/>
      <c r="CS88" s="4913"/>
      <c r="CT88" s="4913"/>
      <c r="CU88" s="4913"/>
      <c r="CV88" s="4913"/>
      <c r="CW88" s="4913"/>
      <c r="CX88" s="4913"/>
      <c r="CY88" s="4913"/>
      <c r="CZ88" s="4913"/>
      <c r="DA88" s="4913"/>
      <c r="DB88" s="4913"/>
      <c r="DC88" s="4913"/>
      <c r="DD88" s="1662"/>
      <c r="DE88" s="4850" t="s">
        <v>710</v>
      </c>
      <c r="DF88" s="4850"/>
      <c r="DG88" s="4850" t="s">
        <v>711</v>
      </c>
      <c r="DH88" s="4850"/>
      <c r="DI88" s="4850" t="s">
        <v>712</v>
      </c>
      <c r="DJ88" s="4850"/>
      <c r="DK88" s="4850" t="s">
        <v>713</v>
      </c>
      <c r="DL88" s="4850"/>
      <c r="DM88" s="4850" t="s">
        <v>714</v>
      </c>
      <c r="DN88" s="4850"/>
      <c r="DO88" s="4850"/>
      <c r="DP88" s="4850" t="s">
        <v>715</v>
      </c>
      <c r="DQ88" s="4850" t="s">
        <v>716</v>
      </c>
      <c r="DR88" s="4850" t="s">
        <v>2791</v>
      </c>
      <c r="DS88" s="1662"/>
      <c r="DT88" s="4851" t="s">
        <v>1037</v>
      </c>
      <c r="DU88" s="4851"/>
      <c r="DV88" s="4851"/>
      <c r="DW88" s="2948"/>
      <c r="DX88" s="4851" t="s">
        <v>996</v>
      </c>
      <c r="DY88" s="4851"/>
      <c r="DZ88" s="1671"/>
      <c r="EA88" s="1671"/>
      <c r="EB88" s="1671"/>
      <c r="EC88" s="1671"/>
      <c r="ED88" s="1671"/>
      <c r="EE88" s="1671"/>
      <c r="EF88" s="1671"/>
      <c r="EG88" s="1671"/>
      <c r="EH88" s="1671"/>
      <c r="EI88" s="1671"/>
      <c r="EJ88" s="1671"/>
      <c r="EK88" s="1671"/>
      <c r="EL88" s="1671"/>
      <c r="EM88" s="1671"/>
    </row>
    <row r="89" spans="1:144" s="1742" customFormat="1" ht="24.6" hidden="1" customHeight="1" outlineLevel="2">
      <c r="A89" s="3505"/>
      <c r="B89" s="3781"/>
      <c r="D89" s="1672" t="s">
        <v>2191</v>
      </c>
      <c r="E89" s="1672" t="s">
        <v>2602</v>
      </c>
      <c r="F89" s="2658" t="s">
        <v>2620</v>
      </c>
      <c r="G89" s="1673" t="s">
        <v>18</v>
      </c>
      <c r="H89" s="1673" t="s">
        <v>380</v>
      </c>
      <c r="I89" s="1674" t="s">
        <v>705</v>
      </c>
      <c r="J89" s="3753" t="s">
        <v>1006</v>
      </c>
      <c r="K89" s="2659" t="s">
        <v>2785</v>
      </c>
      <c r="L89" s="2660" t="s">
        <v>1008</v>
      </c>
      <c r="M89" s="4916" t="s">
        <v>1024</v>
      </c>
      <c r="N89" s="4917"/>
      <c r="O89" s="4918"/>
      <c r="P89" s="753" t="s">
        <v>1025</v>
      </c>
      <c r="Q89" s="2659" t="s">
        <v>2784</v>
      </c>
      <c r="R89" s="1672" t="s">
        <v>2191</v>
      </c>
      <c r="S89" s="1672" t="s">
        <v>1010</v>
      </c>
      <c r="T89" s="1657" t="s">
        <v>2782</v>
      </c>
      <c r="U89" s="1656"/>
      <c r="V89" s="1656"/>
      <c r="W89" s="1677"/>
      <c r="X89" s="2639"/>
      <c r="Y89" s="2638" t="s">
        <v>2593</v>
      </c>
      <c r="Z89" s="2638" t="s">
        <v>2595</v>
      </c>
      <c r="AA89" s="2638" t="s">
        <v>2597</v>
      </c>
      <c r="AB89" s="1678" t="s">
        <v>92</v>
      </c>
      <c r="AC89" s="1678" t="s">
        <v>93</v>
      </c>
      <c r="AD89" s="1678" t="s">
        <v>314</v>
      </c>
      <c r="AE89" s="3754" t="s">
        <v>743</v>
      </c>
      <c r="AF89" s="1678" t="s">
        <v>257</v>
      </c>
      <c r="AG89" s="1680" t="s">
        <v>18</v>
      </c>
      <c r="AH89" s="1680" t="s">
        <v>18</v>
      </c>
      <c r="AI89" s="1680" t="s">
        <v>18</v>
      </c>
      <c r="AJ89" s="1680" t="s">
        <v>380</v>
      </c>
      <c r="AK89" s="754" t="s">
        <v>705</v>
      </c>
      <c r="AL89" s="754" t="s">
        <v>706</v>
      </c>
      <c r="AM89" s="1681" t="s">
        <v>1011</v>
      </c>
      <c r="AN89" s="1681" t="s">
        <v>1012</v>
      </c>
      <c r="AO89" s="1655"/>
      <c r="AP89" s="1672" t="s">
        <v>2191</v>
      </c>
      <c r="AQ89" s="1672" t="s">
        <v>2191</v>
      </c>
      <c r="AR89" s="4854" t="s">
        <v>2236</v>
      </c>
      <c r="AS89" s="4855"/>
      <c r="AT89" s="4856"/>
      <c r="AU89" s="2168" t="s">
        <v>2237</v>
      </c>
      <c r="AV89" s="2694" t="s">
        <v>2610</v>
      </c>
      <c r="AW89" s="4882"/>
      <c r="AX89" s="4886"/>
      <c r="AY89" s="4887"/>
      <c r="AZ89" s="4887"/>
      <c r="BA89" s="4887"/>
      <c r="BB89" s="4888"/>
      <c r="BC89" s="4866"/>
      <c r="BD89" s="4867"/>
      <c r="BE89" s="4870"/>
      <c r="BF89" s="4866"/>
      <c r="BG89" s="4872"/>
      <c r="BH89" s="4892"/>
      <c r="BI89" s="4893"/>
      <c r="BJ89" s="4894"/>
      <c r="BK89" s="4892"/>
      <c r="BL89" s="4893"/>
      <c r="BM89" s="4894"/>
      <c r="BN89" s="4882"/>
      <c r="BO89" s="4882"/>
      <c r="BP89" s="4882"/>
      <c r="BQ89" s="1655" t="s">
        <v>3167</v>
      </c>
      <c r="BR89" s="4898"/>
      <c r="BS89" s="4899"/>
      <c r="BT89" s="4900"/>
      <c r="BU89" s="4904"/>
      <c r="BV89" s="4905"/>
      <c r="BW89" s="4906"/>
      <c r="BX89" s="4908"/>
      <c r="BY89" s="1655" t="s">
        <v>3168</v>
      </c>
      <c r="BZ89" s="4857" t="s">
        <v>447</v>
      </c>
      <c r="CA89" s="4858"/>
      <c r="CB89" s="4858"/>
      <c r="CC89" s="4859"/>
      <c r="CD89" s="4860" t="s">
        <v>448</v>
      </c>
      <c r="CE89" s="4861"/>
      <c r="CF89" s="4861"/>
      <c r="CG89" s="4862"/>
      <c r="CH89" s="4857" t="s">
        <v>445</v>
      </c>
      <c r="CI89" s="4858"/>
      <c r="CJ89" s="4859"/>
      <c r="CK89" s="4860" t="s">
        <v>446</v>
      </c>
      <c r="CL89" s="4861"/>
      <c r="CM89" s="4862"/>
      <c r="CN89" s="1682" t="s">
        <v>1068</v>
      </c>
      <c r="CO89" s="4863" t="s">
        <v>452</v>
      </c>
      <c r="CP89" s="4864"/>
      <c r="CQ89" s="4864"/>
      <c r="CR89" s="4865"/>
      <c r="CS89" s="4863" t="s">
        <v>453</v>
      </c>
      <c r="CT89" s="4864"/>
      <c r="CU89" s="4864"/>
      <c r="CV89" s="4865"/>
      <c r="CW89" s="4852" t="s">
        <v>889</v>
      </c>
      <c r="CX89" s="4853"/>
      <c r="CY89" s="4853"/>
      <c r="CZ89" s="4852" t="s">
        <v>890</v>
      </c>
      <c r="DA89" s="4853"/>
      <c r="DB89" s="4853"/>
      <c r="DC89" s="1683" t="s">
        <v>454</v>
      </c>
      <c r="DD89" s="1655"/>
      <c r="DE89" s="4850"/>
      <c r="DF89" s="4850"/>
      <c r="DG89" s="4850"/>
      <c r="DH89" s="4850"/>
      <c r="DI89" s="4850"/>
      <c r="DJ89" s="4850"/>
      <c r="DK89" s="1684" t="s">
        <v>189</v>
      </c>
      <c r="DL89" s="1684" t="s">
        <v>190</v>
      </c>
      <c r="DM89" s="1685" t="s">
        <v>187</v>
      </c>
      <c r="DN89" s="1685" t="s">
        <v>719</v>
      </c>
      <c r="DO89" s="1686" t="s">
        <v>720</v>
      </c>
      <c r="DP89" s="4850"/>
      <c r="DQ89" s="4850"/>
      <c r="DR89" s="4850"/>
      <c r="DS89" s="1655"/>
      <c r="DT89" s="1687" t="s">
        <v>1032</v>
      </c>
      <c r="DU89" s="1687" t="s">
        <v>2199</v>
      </c>
      <c r="DV89" s="1687" t="s">
        <v>1034</v>
      </c>
      <c r="DW89" s="2949" t="s">
        <v>2768</v>
      </c>
      <c r="DX89" s="1687" t="s">
        <v>986</v>
      </c>
      <c r="DY89" s="1687" t="s">
        <v>987</v>
      </c>
      <c r="DZ89" s="3375" t="s">
        <v>2999</v>
      </c>
      <c r="EA89" s="761"/>
      <c r="EB89" s="3535">
        <v>1.1200000000000001</v>
      </c>
      <c r="EC89" s="3535"/>
      <c r="ED89" s="3535"/>
      <c r="EE89" s="3535"/>
      <c r="EF89" s="3535">
        <v>1.0900000000000001</v>
      </c>
      <c r="EG89" s="3535"/>
      <c r="EH89" s="3535">
        <v>1.0900000000000001</v>
      </c>
      <c r="EI89" s="3535"/>
      <c r="EJ89" s="3535">
        <v>1.0900000000000001</v>
      </c>
      <c r="EK89" s="3535"/>
      <c r="EL89" s="3535">
        <v>1</v>
      </c>
      <c r="EM89" s="2801">
        <v>0.2</v>
      </c>
    </row>
    <row r="90" spans="1:144" s="1742" customFormat="1" ht="24.6" hidden="1" customHeight="1" outlineLevel="2">
      <c r="A90" s="3505"/>
      <c r="B90" s="3781"/>
      <c r="D90" s="1689"/>
      <c r="E90" s="2990" t="s">
        <v>1041</v>
      </c>
      <c r="F90" s="1689"/>
      <c r="G90" s="2992" t="s">
        <v>1043</v>
      </c>
      <c r="H90" s="2992" t="s">
        <v>1044</v>
      </c>
      <c r="I90" s="2992" t="s">
        <v>1045</v>
      </c>
      <c r="J90" s="1692" t="s">
        <v>1041</v>
      </c>
      <c r="K90" s="2993" t="s">
        <v>1046</v>
      </c>
      <c r="L90" s="2993" t="s">
        <v>440</v>
      </c>
      <c r="M90" s="1693"/>
      <c r="N90" s="1693"/>
      <c r="O90" s="1693"/>
      <c r="P90" s="1693"/>
      <c r="Q90" s="3004" t="s">
        <v>2786</v>
      </c>
      <c r="R90" s="1689"/>
      <c r="S90" s="1689" t="s">
        <v>974</v>
      </c>
      <c r="T90" s="2994" t="s">
        <v>972</v>
      </c>
      <c r="U90" s="2994" t="s">
        <v>973</v>
      </c>
      <c r="V90" s="2994" t="s">
        <v>974</v>
      </c>
      <c r="W90" s="2994" t="s">
        <v>975</v>
      </c>
      <c r="X90" s="2640" t="s">
        <v>979</v>
      </c>
      <c r="Y90" s="3000" t="s">
        <v>2594</v>
      </c>
      <c r="Z90" s="3000" t="s">
        <v>2596</v>
      </c>
      <c r="AA90" s="3000" t="s">
        <v>2598</v>
      </c>
      <c r="AB90" s="2994" t="s">
        <v>976</v>
      </c>
      <c r="AC90" s="2994" t="s">
        <v>977</v>
      </c>
      <c r="AD90" s="2994" t="s">
        <v>979</v>
      </c>
      <c r="AE90" s="2994" t="s">
        <v>978</v>
      </c>
      <c r="AF90" s="2994" t="s">
        <v>978</v>
      </c>
      <c r="AG90" s="2992" t="s">
        <v>973</v>
      </c>
      <c r="AH90" s="2998" t="s">
        <v>2605</v>
      </c>
      <c r="AI90" s="2998" t="s">
        <v>2606</v>
      </c>
      <c r="AJ90" s="2992" t="s">
        <v>973</v>
      </c>
      <c r="AK90" s="2993" t="s">
        <v>977</v>
      </c>
      <c r="AL90" s="2993" t="s">
        <v>980</v>
      </c>
      <c r="AM90" s="1697" t="s">
        <v>974</v>
      </c>
      <c r="AN90" s="1698" t="s">
        <v>972</v>
      </c>
      <c r="AO90" s="1694"/>
      <c r="AP90" s="1788">
        <v>100</v>
      </c>
      <c r="AQ90" s="1788">
        <v>200</v>
      </c>
      <c r="AR90" s="2993" t="s">
        <v>2233</v>
      </c>
      <c r="AS90" s="2993" t="s">
        <v>2234</v>
      </c>
      <c r="AT90" s="2993" t="s">
        <v>981</v>
      </c>
      <c r="AU90" s="2993" t="s">
        <v>981</v>
      </c>
      <c r="AV90" s="3002"/>
      <c r="AW90" s="2993" t="s">
        <v>3180</v>
      </c>
      <c r="AX90" s="1699">
        <v>75</v>
      </c>
      <c r="AY90" s="1699">
        <v>100</v>
      </c>
      <c r="AZ90" s="1699">
        <v>120</v>
      </c>
      <c r="BA90" s="1699">
        <v>150</v>
      </c>
      <c r="BB90" s="1699">
        <v>200</v>
      </c>
      <c r="BC90" s="3003" t="s">
        <v>2935</v>
      </c>
      <c r="BD90" s="2999" t="s">
        <v>982</v>
      </c>
      <c r="BE90" s="1702"/>
      <c r="BF90" s="3022" t="s">
        <v>983</v>
      </c>
      <c r="BG90" s="3328"/>
      <c r="BH90" s="2993">
        <v>75</v>
      </c>
      <c r="BI90" s="2993">
        <v>90</v>
      </c>
      <c r="BJ90" s="2993">
        <v>110</v>
      </c>
      <c r="BK90" s="2993">
        <v>75</v>
      </c>
      <c r="BL90" s="2993">
        <v>90</v>
      </c>
      <c r="BM90" s="2993">
        <v>110</v>
      </c>
      <c r="BN90" s="2993" t="s">
        <v>979</v>
      </c>
      <c r="BO90" s="2993" t="s">
        <v>978</v>
      </c>
      <c r="BP90" s="2993" t="s">
        <v>978</v>
      </c>
      <c r="BQ90" s="3004"/>
      <c r="BR90" s="3008" t="s">
        <v>383</v>
      </c>
      <c r="BS90" s="3008" t="s">
        <v>381</v>
      </c>
      <c r="BT90" s="3008" t="s">
        <v>384</v>
      </c>
      <c r="BU90" s="3008" t="s">
        <v>385</v>
      </c>
      <c r="BV90" s="3008" t="s">
        <v>386</v>
      </c>
      <c r="BW90" s="3008" t="s">
        <v>387</v>
      </c>
      <c r="BX90" s="3008" t="s">
        <v>388</v>
      </c>
      <c r="BY90" s="1694"/>
      <c r="BZ90" s="3013" t="s">
        <v>1039</v>
      </c>
      <c r="CA90" s="3013" t="s">
        <v>467</v>
      </c>
      <c r="CB90" s="3013" t="s">
        <v>466</v>
      </c>
      <c r="CC90" s="3013" t="s">
        <v>470</v>
      </c>
      <c r="CD90" s="3013" t="s">
        <v>468</v>
      </c>
      <c r="CE90" s="3013" t="s">
        <v>467</v>
      </c>
      <c r="CF90" s="3013" t="s">
        <v>466</v>
      </c>
      <c r="CG90" s="3013" t="s">
        <v>470</v>
      </c>
      <c r="CH90" s="3013" t="s">
        <v>468</v>
      </c>
      <c r="CI90" s="3013" t="s">
        <v>467</v>
      </c>
      <c r="CJ90" s="3013" t="s">
        <v>466</v>
      </c>
      <c r="CK90" s="1705" t="s">
        <v>468</v>
      </c>
      <c r="CL90" s="1705" t="s">
        <v>467</v>
      </c>
      <c r="CM90" s="1705" t="s">
        <v>466</v>
      </c>
      <c r="CN90" s="3014" t="s">
        <v>469</v>
      </c>
      <c r="CO90" s="2993" t="s">
        <v>476</v>
      </c>
      <c r="CP90" s="2993" t="s">
        <v>477</v>
      </c>
      <c r="CQ90" s="2993" t="s">
        <v>478</v>
      </c>
      <c r="CR90" s="2993" t="s">
        <v>479</v>
      </c>
      <c r="CS90" s="2993" t="s">
        <v>476</v>
      </c>
      <c r="CT90" s="2993" t="s">
        <v>477</v>
      </c>
      <c r="CU90" s="2993" t="s">
        <v>478</v>
      </c>
      <c r="CV90" s="2993" t="s">
        <v>480</v>
      </c>
      <c r="CW90" s="2993" t="s">
        <v>472</v>
      </c>
      <c r="CX90" s="2993" t="s">
        <v>473</v>
      </c>
      <c r="CY90" s="2993" t="s">
        <v>474</v>
      </c>
      <c r="CZ90" s="1699" t="s">
        <v>472</v>
      </c>
      <c r="DA90" s="1699" t="s">
        <v>473</v>
      </c>
      <c r="DB90" s="1699" t="s">
        <v>474</v>
      </c>
      <c r="DC90" s="2993" t="s">
        <v>475</v>
      </c>
      <c r="DD90" s="1694"/>
      <c r="DE90" s="3009" t="s">
        <v>119</v>
      </c>
      <c r="DF90" s="3009" t="s">
        <v>120</v>
      </c>
      <c r="DG90" s="1707" t="s">
        <v>119</v>
      </c>
      <c r="DH90" s="1707" t="s">
        <v>120</v>
      </c>
      <c r="DI90" s="3009" t="s">
        <v>119</v>
      </c>
      <c r="DJ90" s="3009" t="s">
        <v>120</v>
      </c>
      <c r="DK90" s="3009" t="s">
        <v>121</v>
      </c>
      <c r="DL90" s="3009" t="s">
        <v>122</v>
      </c>
      <c r="DM90" s="3010" t="s">
        <v>1035</v>
      </c>
      <c r="DN90" s="3010" t="s">
        <v>1036</v>
      </c>
      <c r="DO90" s="3010" t="s">
        <v>1035</v>
      </c>
      <c r="DP90" s="3009" t="s">
        <v>124</v>
      </c>
      <c r="DQ90" s="1707" t="s">
        <v>125</v>
      </c>
      <c r="DR90" s="3009" t="s">
        <v>2790</v>
      </c>
      <c r="DS90" s="1694"/>
      <c r="DT90" s="1702" t="s">
        <v>985</v>
      </c>
      <c r="DU90" s="1702" t="s">
        <v>985</v>
      </c>
      <c r="DV90" s="2797" t="s">
        <v>984</v>
      </c>
      <c r="DW90" s="2950"/>
      <c r="DX90" s="1702" t="s">
        <v>985</v>
      </c>
      <c r="DY90" s="1702" t="s">
        <v>985</v>
      </c>
      <c r="DZ90" s="3376"/>
      <c r="EA90" s="4843" t="s">
        <v>1071</v>
      </c>
      <c r="EB90" s="4844"/>
      <c r="EC90" s="4844" t="s">
        <v>2769</v>
      </c>
      <c r="ED90" s="4844"/>
      <c r="EE90" s="4845" t="s">
        <v>1072</v>
      </c>
      <c r="EF90" s="4845"/>
      <c r="EG90" s="4845" t="s">
        <v>1073</v>
      </c>
      <c r="EH90" s="4845"/>
      <c r="EI90" s="4845" t="s">
        <v>1075</v>
      </c>
      <c r="EJ90" s="4845"/>
      <c r="EK90" s="4846" t="s">
        <v>2697</v>
      </c>
      <c r="EL90" s="4846"/>
      <c r="EM90" s="4846"/>
    </row>
    <row r="91" spans="1:144" s="1742" customFormat="1" ht="24.6" hidden="1" customHeight="1" outlineLevel="2">
      <c r="A91" s="3505"/>
      <c r="B91" s="3781"/>
      <c r="D91" s="1761"/>
      <c r="E91" s="1761" t="s">
        <v>988</v>
      </c>
      <c r="F91" s="1762" t="s">
        <v>2928</v>
      </c>
      <c r="G91" s="1762">
        <v>1</v>
      </c>
      <c r="H91" s="1762">
        <v>1.1000000000000001</v>
      </c>
      <c r="I91" s="1762" t="s">
        <v>2592</v>
      </c>
      <c r="J91" s="1763" t="s">
        <v>1055</v>
      </c>
      <c r="K91" s="1762">
        <v>2.04</v>
      </c>
      <c r="L91" s="1762">
        <v>1.6</v>
      </c>
      <c r="M91" s="1764" t="s">
        <v>2209</v>
      </c>
      <c r="N91" s="1764" t="s">
        <v>2210</v>
      </c>
      <c r="O91" s="3477" t="s">
        <v>2725</v>
      </c>
      <c r="P91" s="1762">
        <v>1.1000000000000001</v>
      </c>
      <c r="Q91" s="1765"/>
      <c r="R91" s="1766"/>
      <c r="S91" s="1766" t="s">
        <v>1059</v>
      </c>
      <c r="T91" s="1762">
        <v>0.7</v>
      </c>
      <c r="U91" s="1762">
        <v>1.1000000000000001</v>
      </c>
      <c r="V91" s="1766" t="s">
        <v>1058</v>
      </c>
      <c r="W91" s="1762">
        <v>1.1000000000000001</v>
      </c>
      <c r="X91" s="2641" t="s">
        <v>2604</v>
      </c>
      <c r="Y91" s="1762"/>
      <c r="Z91" s="1762"/>
      <c r="AA91" s="1762"/>
      <c r="AB91" s="1762">
        <v>1.2</v>
      </c>
      <c r="AC91" s="1762" t="s">
        <v>2607</v>
      </c>
      <c r="AD91" s="1762" t="s">
        <v>2608</v>
      </c>
      <c r="AE91" s="1762" t="s">
        <v>2608</v>
      </c>
      <c r="AF91" s="1762" t="s">
        <v>2608</v>
      </c>
      <c r="AG91" s="1766"/>
      <c r="AH91" s="2684"/>
      <c r="AI91" s="2684"/>
      <c r="AJ91" s="1762">
        <v>1</v>
      </c>
      <c r="AK91" s="1766" t="s">
        <v>1060</v>
      </c>
      <c r="AL91" s="1766" t="s">
        <v>1061</v>
      </c>
      <c r="AM91" s="1766" t="s">
        <v>1063</v>
      </c>
      <c r="AN91" s="1766" t="s">
        <v>1062</v>
      </c>
      <c r="AO91" s="1765"/>
      <c r="AP91" s="1766">
        <v>1.25</v>
      </c>
      <c r="AQ91" s="1766"/>
      <c r="AR91" s="1762" t="s">
        <v>2609</v>
      </c>
      <c r="AS91" s="1762">
        <v>1.7</v>
      </c>
      <c r="AT91" s="1762" t="s">
        <v>2625</v>
      </c>
      <c r="AU91" s="1762" t="s">
        <v>2925</v>
      </c>
      <c r="AV91" s="1762" t="s">
        <v>2611</v>
      </c>
      <c r="AW91" s="1762">
        <v>1.3</v>
      </c>
      <c r="AX91" s="1766" t="s">
        <v>1064</v>
      </c>
      <c r="AY91" s="1767"/>
      <c r="AZ91" s="1767"/>
      <c r="BA91" s="1766" t="s">
        <v>1065</v>
      </c>
      <c r="BB91" s="1767"/>
      <c r="BC91" s="1762">
        <v>7.0000000000000007E-2</v>
      </c>
      <c r="BD91" s="1762">
        <v>0.65</v>
      </c>
      <c r="BE91" s="1766" t="s">
        <v>1066</v>
      </c>
      <c r="BF91" s="1766" t="s">
        <v>2613</v>
      </c>
      <c r="BG91" s="3329"/>
      <c r="BH91" s="1762">
        <v>0.85</v>
      </c>
      <c r="BI91" s="1762">
        <v>1.05</v>
      </c>
      <c r="BJ91" s="1762">
        <v>1.1499999999999999</v>
      </c>
      <c r="BK91" s="1762">
        <v>1.05</v>
      </c>
      <c r="BL91" s="1762">
        <v>1.05</v>
      </c>
      <c r="BM91" s="1762">
        <v>1.05</v>
      </c>
      <c r="BN91" s="1766"/>
      <c r="BO91" s="1766">
        <v>0.7</v>
      </c>
      <c r="BP91" s="1766">
        <v>0.7</v>
      </c>
      <c r="BQ91" s="1765" t="s">
        <v>2788</v>
      </c>
      <c r="BR91" s="1833" t="s">
        <v>2195</v>
      </c>
      <c r="BS91" s="1762">
        <v>1.25</v>
      </c>
      <c r="BT91" s="1762">
        <v>1.25</v>
      </c>
      <c r="BU91" s="1833" t="s">
        <v>2789</v>
      </c>
      <c r="BV91" s="1762">
        <v>0.33</v>
      </c>
      <c r="BW91" s="1762">
        <v>0.33</v>
      </c>
      <c r="BX91" s="1762">
        <v>1.8</v>
      </c>
      <c r="BY91" s="1765"/>
      <c r="BZ91" s="1764"/>
      <c r="CA91" s="1769">
        <v>1.05</v>
      </c>
      <c r="CB91" s="1769">
        <v>1.05</v>
      </c>
      <c r="CC91" s="1769">
        <v>1.05</v>
      </c>
      <c r="CD91" s="1770">
        <v>1.05</v>
      </c>
      <c r="CE91" s="1770">
        <v>1.05</v>
      </c>
      <c r="CF91" s="1770">
        <v>1.05</v>
      </c>
      <c r="CG91" s="1770">
        <v>1.05</v>
      </c>
      <c r="CH91" s="1770">
        <v>1.1000000000000001</v>
      </c>
      <c r="CI91" s="1770">
        <v>1.1000000000000001</v>
      </c>
      <c r="CJ91" s="1770">
        <v>1.1000000000000001</v>
      </c>
      <c r="CK91" s="1770">
        <v>1.1000000000000001</v>
      </c>
      <c r="CL91" s="1770">
        <v>1.1000000000000001</v>
      </c>
      <c r="CM91" s="1770">
        <v>1.1000000000000001</v>
      </c>
      <c r="CN91" s="1770">
        <v>1.1499999999999999</v>
      </c>
      <c r="CO91" s="1770">
        <v>1.35</v>
      </c>
      <c r="CP91" s="4847" t="s">
        <v>1069</v>
      </c>
      <c r="CQ91" s="4848"/>
      <c r="CR91" s="4848"/>
      <c r="CS91" s="4848"/>
      <c r="CT91" s="4848"/>
      <c r="CU91" s="4848"/>
      <c r="CV91" s="4848"/>
      <c r="CW91" s="4848"/>
      <c r="CX91" s="4848"/>
      <c r="CY91" s="4848"/>
      <c r="CZ91" s="4848"/>
      <c r="DA91" s="4848"/>
      <c r="DB91" s="4848"/>
      <c r="DC91" s="4849"/>
      <c r="DD91" s="1765"/>
      <c r="DE91" s="1766">
        <v>1.45</v>
      </c>
      <c r="DF91" s="1766">
        <v>1.2</v>
      </c>
      <c r="DG91" s="1766">
        <v>1.25</v>
      </c>
      <c r="DH91" s="1766">
        <v>1.2</v>
      </c>
      <c r="DI91" s="1766">
        <v>1.3</v>
      </c>
      <c r="DJ91" s="1766">
        <v>1.2</v>
      </c>
      <c r="DK91" s="1764">
        <v>1.25</v>
      </c>
      <c r="DL91" s="1766">
        <v>1</v>
      </c>
      <c r="DM91" s="1766">
        <v>2.2000000000000002</v>
      </c>
      <c r="DN91" s="1766" t="s">
        <v>1070</v>
      </c>
      <c r="DO91" s="1766" t="s">
        <v>1070</v>
      </c>
      <c r="DP91" s="1766">
        <v>1</v>
      </c>
      <c r="DQ91" s="1766">
        <v>1.2</v>
      </c>
      <c r="DR91" s="1766" t="s">
        <v>1062</v>
      </c>
      <c r="DS91" s="1765"/>
      <c r="DT91" s="1762">
        <v>0.8</v>
      </c>
      <c r="DU91" s="1762" t="s">
        <v>1152</v>
      </c>
      <c r="DV91" s="1764"/>
      <c r="DW91" s="1762">
        <v>0.8</v>
      </c>
      <c r="DX91" s="1762">
        <f>DT91</f>
        <v>0.8</v>
      </c>
      <c r="DY91" s="1762">
        <v>0.8</v>
      </c>
      <c r="DZ91" s="3377">
        <v>50</v>
      </c>
      <c r="EA91" s="3373" t="s">
        <v>735</v>
      </c>
      <c r="EB91" s="1773" t="s">
        <v>1074</v>
      </c>
      <c r="EC91" s="2959"/>
      <c r="ED91" s="2959"/>
      <c r="EE91" s="1772" t="s">
        <v>735</v>
      </c>
      <c r="EF91" s="1773" t="s">
        <v>1074</v>
      </c>
      <c r="EG91" s="1772" t="s">
        <v>735</v>
      </c>
      <c r="EH91" s="1773" t="s">
        <v>1074</v>
      </c>
      <c r="EI91" s="1772" t="s">
        <v>735</v>
      </c>
      <c r="EJ91" s="1773" t="s">
        <v>1074</v>
      </c>
      <c r="EK91" s="2798" t="s">
        <v>735</v>
      </c>
      <c r="EL91" s="2803" t="s">
        <v>1074</v>
      </c>
      <c r="EM91" s="2803" t="s">
        <v>2699</v>
      </c>
    </row>
    <row r="92" spans="1:144" s="1742" customFormat="1" ht="24.6" hidden="1" customHeight="1" outlineLevel="2">
      <c r="A92" s="3505"/>
      <c r="B92" s="1720" t="s">
        <v>1609</v>
      </c>
      <c r="D92" s="763"/>
      <c r="E92" s="763"/>
      <c r="F92" s="764"/>
      <c r="G92" s="765"/>
      <c r="H92" s="766"/>
      <c r="I92" s="781"/>
      <c r="J92" s="1175"/>
      <c r="K92" s="751"/>
      <c r="L92" s="751"/>
      <c r="M92" s="753"/>
      <c r="N92" s="753"/>
      <c r="O92" s="3519">
        <v>11900</v>
      </c>
      <c r="P92" s="2656"/>
      <c r="Q92" s="762"/>
      <c r="R92" s="764"/>
      <c r="S92" s="764">
        <v>0</v>
      </c>
      <c r="T92" s="3789">
        <f t="shared" ref="T92:T98" si="65">T29/T75-1</f>
        <v>9.6153846153845812E-3</v>
      </c>
      <c r="U92" s="769">
        <v>5.0000000000000218E-2</v>
      </c>
      <c r="V92" s="769">
        <v>5.0000000000000218E-2</v>
      </c>
      <c r="W92" s="769">
        <v>-3.2352941176470501E-2</v>
      </c>
      <c r="X92" s="2642"/>
      <c r="Y92" s="1807"/>
      <c r="Z92" s="1807"/>
      <c r="AA92" s="1807"/>
      <c r="AB92" s="769">
        <v>0</v>
      </c>
      <c r="AC92" s="769">
        <v>-0.23333333333333334</v>
      </c>
      <c r="AD92" s="764">
        <v>0</v>
      </c>
      <c r="AE92" s="770">
        <v>0</v>
      </c>
      <c r="AF92" s="764">
        <v>0</v>
      </c>
      <c r="AG92" s="765">
        <v>-1.6666666666666483E-2</v>
      </c>
      <c r="AH92" s="2665"/>
      <c r="AI92" s="2665"/>
      <c r="AJ92" s="766">
        <v>0</v>
      </c>
      <c r="AK92" s="754">
        <v>0</v>
      </c>
      <c r="AL92" s="754">
        <v>0</v>
      </c>
      <c r="AM92" s="757">
        <v>0</v>
      </c>
      <c r="AN92" s="757">
        <v>-0.10522388059701472</v>
      </c>
      <c r="AO92" s="762"/>
      <c r="AP92" s="764"/>
      <c r="AQ92" s="764"/>
      <c r="AR92" s="769">
        <v>3.8461538461540988E-3</v>
      </c>
      <c r="AS92" s="769">
        <v>-6.304347826086952E-2</v>
      </c>
      <c r="AT92" s="769">
        <v>-0.26111111111111096</v>
      </c>
      <c r="AU92" s="769">
        <v>0.40555555555555578</v>
      </c>
      <c r="AV92" s="2664"/>
      <c r="AW92" s="754">
        <v>0</v>
      </c>
      <c r="AX92" s="757">
        <v>-7.3076923076922901E-2</v>
      </c>
      <c r="AY92" s="757">
        <v>0</v>
      </c>
      <c r="AZ92" s="757">
        <v>0</v>
      </c>
      <c r="BA92" s="757">
        <v>-6.304347826086952E-2</v>
      </c>
      <c r="BB92" s="757">
        <v>0</v>
      </c>
      <c r="BC92" s="769">
        <v>1.3115384615384618</v>
      </c>
      <c r="BD92" s="769">
        <v>-0.15000000000000002</v>
      </c>
      <c r="BE92" s="759">
        <v>-0.15000000000000002</v>
      </c>
      <c r="BF92" s="767">
        <v>-6.304347826086952E-2</v>
      </c>
      <c r="BG92" s="762"/>
      <c r="BH92" s="771">
        <v>-6.6666666666666707E-2</v>
      </c>
      <c r="BI92" s="771">
        <v>6.4285714285714529E-2</v>
      </c>
      <c r="BJ92" s="771">
        <v>0.20714285714285738</v>
      </c>
      <c r="BK92" s="771">
        <v>-7.3076923076922901E-2</v>
      </c>
      <c r="BL92" s="771">
        <v>0.11666666666666692</v>
      </c>
      <c r="BM92" s="771">
        <v>0.18333333333333338</v>
      </c>
      <c r="BN92" s="754">
        <v>0</v>
      </c>
      <c r="BO92" s="754">
        <v>0</v>
      </c>
      <c r="BP92" s="754">
        <v>0</v>
      </c>
      <c r="BQ92" s="762"/>
      <c r="BR92" s="763"/>
      <c r="BS92" s="773"/>
      <c r="BT92" s="773"/>
      <c r="BU92" s="760"/>
      <c r="BV92" s="760"/>
      <c r="BW92" s="760"/>
      <c r="BX92" s="760"/>
      <c r="BY92" s="762"/>
      <c r="BZ92" s="806"/>
      <c r="CA92" s="806"/>
      <c r="CB92" s="806"/>
      <c r="CC92" s="806"/>
      <c r="CD92" s="806"/>
      <c r="CE92" s="806"/>
      <c r="CF92" s="806"/>
      <c r="CG92" s="806"/>
      <c r="CH92" s="806">
        <v>1397.25</v>
      </c>
      <c r="CI92" s="806">
        <v>1474.8749999999998</v>
      </c>
      <c r="CJ92" s="806">
        <v>1552.4999999999998</v>
      </c>
      <c r="CK92" s="806">
        <v>1397.25</v>
      </c>
      <c r="CL92" s="806">
        <v>1474.8749999999998</v>
      </c>
      <c r="CM92" s="806">
        <v>1552.4999999999998</v>
      </c>
      <c r="CN92" s="806">
        <v>0</v>
      </c>
      <c r="CO92" s="806">
        <v>1696.2499999999998</v>
      </c>
      <c r="CP92" s="806">
        <v>1831.9499999999998</v>
      </c>
      <c r="CQ92" s="806">
        <v>1899.8</v>
      </c>
      <c r="CR92" s="806">
        <v>1967.6499999999999</v>
      </c>
      <c r="CS92" s="806">
        <v>1831.9499999999998</v>
      </c>
      <c r="CT92" s="806">
        <v>1899.8</v>
      </c>
      <c r="CU92" s="806">
        <v>1967.6499999999999</v>
      </c>
      <c r="CV92" s="806">
        <v>2103.35</v>
      </c>
      <c r="CW92" s="806">
        <v>2173.5</v>
      </c>
      <c r="CX92" s="806">
        <v>2251.125</v>
      </c>
      <c r="CY92" s="806">
        <v>2406.375</v>
      </c>
      <c r="CZ92" s="806">
        <v>2173.5</v>
      </c>
      <c r="DA92" s="806">
        <v>2251.125</v>
      </c>
      <c r="DB92" s="806">
        <v>2406.375</v>
      </c>
      <c r="DC92" s="806">
        <v>0</v>
      </c>
      <c r="DD92" s="762"/>
      <c r="DE92" s="752"/>
      <c r="DF92" s="752"/>
      <c r="DG92" s="752"/>
      <c r="DH92" s="752"/>
      <c r="DI92" s="752"/>
      <c r="DJ92" s="752"/>
      <c r="DK92" s="775"/>
      <c r="DL92" s="752"/>
      <c r="DM92" s="752"/>
      <c r="DN92" s="752"/>
      <c r="DO92" s="752"/>
      <c r="DP92" s="752"/>
      <c r="DQ92" s="752"/>
      <c r="DR92" s="752"/>
      <c r="DS92" s="776"/>
      <c r="DT92" s="759"/>
      <c r="DU92" s="760"/>
      <c r="DV92" s="760"/>
      <c r="DW92" s="2952"/>
      <c r="DX92" s="760"/>
      <c r="DY92" s="760"/>
      <c r="DZ92" s="3378"/>
      <c r="EA92" s="3374"/>
      <c r="EB92" s="812"/>
      <c r="EC92" s="2960"/>
      <c r="ED92" s="2960"/>
      <c r="EE92" s="811"/>
      <c r="EF92" s="812"/>
      <c r="EG92" s="811"/>
      <c r="EH92" s="812"/>
      <c r="EI92" s="811"/>
      <c r="EJ92" s="812"/>
      <c r="EK92" s="2799"/>
      <c r="EL92" s="2799"/>
      <c r="EM92" s="2799"/>
    </row>
    <row r="93" spans="1:144" s="1742" customFormat="1" ht="24.6" hidden="1" customHeight="1" outlineLevel="2">
      <c r="A93" s="3505"/>
      <c r="B93" s="1720" t="s">
        <v>1741</v>
      </c>
      <c r="D93" s="1797"/>
      <c r="E93" s="1797"/>
      <c r="F93" s="1798"/>
      <c r="G93" s="1799"/>
      <c r="H93" s="1800"/>
      <c r="I93" s="1801"/>
      <c r="J93" s="1802"/>
      <c r="K93" s="1803"/>
      <c r="L93" s="1803"/>
      <c r="M93" s="753"/>
      <c r="N93" s="1804"/>
      <c r="O93" s="1804"/>
      <c r="P93" s="2656">
        <v>0</v>
      </c>
      <c r="Q93" s="1782"/>
      <c r="R93" s="1798"/>
      <c r="S93" s="1798"/>
      <c r="T93" s="3789">
        <f t="shared" si="65"/>
        <v>0.16666666666666674</v>
      </c>
      <c r="U93" s="1807"/>
      <c r="V93" s="1807"/>
      <c r="W93" s="1807"/>
      <c r="X93" s="2642"/>
      <c r="Y93" s="1807"/>
      <c r="Z93" s="1807"/>
      <c r="AA93" s="1807"/>
      <c r="AB93" s="1807"/>
      <c r="AC93" s="1807"/>
      <c r="AD93" s="1798"/>
      <c r="AE93" s="1798"/>
      <c r="AF93" s="1798"/>
      <c r="AG93" s="1799"/>
      <c r="AH93" s="2665"/>
      <c r="AI93" s="2665"/>
      <c r="AJ93" s="1800"/>
      <c r="AK93" s="1808"/>
      <c r="AL93" s="1808"/>
      <c r="AM93" s="1809"/>
      <c r="AN93" s="1809"/>
      <c r="AO93" s="1782"/>
      <c r="AP93" s="1798"/>
      <c r="AQ93" s="1798"/>
      <c r="AR93" s="1807"/>
      <c r="AS93" s="1807"/>
      <c r="AT93" s="1807"/>
      <c r="AU93" s="1807"/>
      <c r="AV93" s="2664"/>
      <c r="AW93" s="1808"/>
      <c r="AX93" s="1809"/>
      <c r="AY93" s="1809"/>
      <c r="AZ93" s="1809"/>
      <c r="BA93" s="1809"/>
      <c r="BB93" s="1809"/>
      <c r="BC93" s="1807"/>
      <c r="BD93" s="1807"/>
      <c r="BE93" s="1810"/>
      <c r="BF93" s="1805"/>
      <c r="BG93" s="1782"/>
      <c r="BH93" s="1811"/>
      <c r="BI93" s="1811"/>
      <c r="BJ93" s="1811"/>
      <c r="BK93" s="1811"/>
      <c r="BL93" s="1811"/>
      <c r="BM93" s="1811"/>
      <c r="BN93" s="1808"/>
      <c r="BO93" s="1808"/>
      <c r="BP93" s="1808"/>
      <c r="BQ93" s="3524">
        <v>900</v>
      </c>
      <c r="BR93" s="1797"/>
      <c r="BS93" s="1812"/>
      <c r="BT93" s="1812"/>
      <c r="BU93" s="1813"/>
      <c r="BV93" s="1813"/>
      <c r="BW93" s="1813"/>
      <c r="BX93" s="1813"/>
      <c r="BY93" s="2813">
        <v>750</v>
      </c>
      <c r="BZ93" s="806">
        <v>0</v>
      </c>
      <c r="CA93" s="806">
        <v>0</v>
      </c>
      <c r="CB93" s="806">
        <v>0</v>
      </c>
      <c r="CC93" s="806">
        <v>0</v>
      </c>
      <c r="CD93" s="806">
        <v>0</v>
      </c>
      <c r="CE93" s="806">
        <v>0</v>
      </c>
      <c r="CF93" s="806">
        <v>0</v>
      </c>
      <c r="CG93" s="806">
        <v>0</v>
      </c>
      <c r="CH93" s="806">
        <v>0</v>
      </c>
      <c r="CI93" s="806">
        <v>0</v>
      </c>
      <c r="CJ93" s="806">
        <v>0</v>
      </c>
      <c r="CK93" s="806">
        <v>0</v>
      </c>
      <c r="CL93" s="806">
        <v>0</v>
      </c>
      <c r="CM93" s="806">
        <v>0</v>
      </c>
      <c r="CN93" s="806">
        <v>0</v>
      </c>
      <c r="CO93" s="806">
        <v>0</v>
      </c>
      <c r="CP93" s="806">
        <v>0</v>
      </c>
      <c r="CQ93" s="806">
        <v>0</v>
      </c>
      <c r="CR93" s="806">
        <v>0</v>
      </c>
      <c r="CS93" s="806">
        <v>0</v>
      </c>
      <c r="CT93" s="806">
        <v>0</v>
      </c>
      <c r="CU93" s="806">
        <v>0</v>
      </c>
      <c r="CV93" s="806">
        <v>0</v>
      </c>
      <c r="CW93" s="806">
        <v>0</v>
      </c>
      <c r="CX93" s="806">
        <v>0</v>
      </c>
      <c r="CY93" s="806">
        <v>0</v>
      </c>
      <c r="CZ93" s="806">
        <v>0</v>
      </c>
      <c r="DA93" s="806">
        <v>0</v>
      </c>
      <c r="DB93" s="806">
        <v>0</v>
      </c>
      <c r="DC93" s="806">
        <v>0</v>
      </c>
      <c r="DD93" s="1782"/>
      <c r="DE93" s="1819"/>
      <c r="DF93" s="1819"/>
      <c r="DG93" s="1819"/>
      <c r="DH93" s="1819"/>
      <c r="DI93" s="1819"/>
      <c r="DJ93" s="1819"/>
      <c r="DK93" s="1820"/>
      <c r="DL93" s="1819"/>
      <c r="DM93" s="1819"/>
      <c r="DN93" s="1819"/>
      <c r="DO93" s="1819"/>
      <c r="DP93" s="1819"/>
      <c r="DQ93" s="1819"/>
      <c r="DR93" s="1819"/>
      <c r="DS93" s="1821"/>
      <c r="DT93" s="1810"/>
      <c r="DU93" s="1813"/>
      <c r="DV93" s="1813"/>
      <c r="DW93" s="2952"/>
      <c r="DX93" s="1813"/>
      <c r="DY93" s="1813"/>
      <c r="DZ93" s="3378"/>
      <c r="EA93" s="3374"/>
      <c r="EB93" s="1822"/>
      <c r="EC93" s="2960"/>
      <c r="ED93" s="2960"/>
      <c r="EE93" s="1758"/>
      <c r="EF93" s="1822"/>
      <c r="EG93" s="1758"/>
      <c r="EH93" s="1822"/>
      <c r="EI93" s="1758"/>
      <c r="EJ93" s="1822"/>
      <c r="EK93" s="2799"/>
      <c r="EL93" s="2799"/>
      <c r="EM93" s="2799"/>
    </row>
    <row r="94" spans="1:144" s="1742" customFormat="1" ht="24.6" hidden="1" customHeight="1" outlineLevel="2">
      <c r="A94" s="3505"/>
      <c r="B94" s="1720" t="s">
        <v>391</v>
      </c>
      <c r="D94" s="763"/>
      <c r="E94" s="3788">
        <f>E31/E77-1</f>
        <v>0.10714285714285721</v>
      </c>
      <c r="F94" s="764"/>
      <c r="G94" s="3789">
        <f>G31/G77-1</f>
        <v>0.10714285714285721</v>
      </c>
      <c r="H94" s="3789"/>
      <c r="I94" s="781"/>
      <c r="J94" s="3789">
        <f t="shared" ref="J94:L98" si="66">J31/J77-1</f>
        <v>0.10714285714285721</v>
      </c>
      <c r="K94" s="3789">
        <f t="shared" si="66"/>
        <v>0.10526315789473695</v>
      </c>
      <c r="L94" s="3789">
        <f t="shared" si="66"/>
        <v>0.1132075471698113</v>
      </c>
      <c r="M94" s="753"/>
      <c r="N94" s="753"/>
      <c r="O94" s="753"/>
      <c r="P94" s="767"/>
      <c r="Q94" s="3789">
        <f>Q31/Q77-1</f>
        <v>8.3333333333333259E-2</v>
      </c>
      <c r="R94" s="764"/>
      <c r="S94" s="764"/>
      <c r="T94" s="3789">
        <f t="shared" si="65"/>
        <v>0.1333333333333333</v>
      </c>
      <c r="U94" s="3789">
        <f t="shared" ref="U94:X98" si="67">U31/U77-1</f>
        <v>0.11111111111111116</v>
      </c>
      <c r="V94" s="3789">
        <f t="shared" si="67"/>
        <v>0.11111111111111116</v>
      </c>
      <c r="W94" s="3789">
        <f t="shared" si="67"/>
        <v>0.15789473684210531</v>
      </c>
      <c r="X94" s="3789">
        <f t="shared" si="67"/>
        <v>8.0000000000000071E-2</v>
      </c>
      <c r="Y94" s="1807"/>
      <c r="Z94" s="1807"/>
      <c r="AA94" s="1807"/>
      <c r="AB94" s="769"/>
      <c r="AC94" s="3789">
        <f>AC31/AC77-1</f>
        <v>4.5454545454545414E-2</v>
      </c>
      <c r="AD94" s="764"/>
      <c r="AE94" s="770"/>
      <c r="AF94" s="764"/>
      <c r="AG94" s="3789"/>
      <c r="AH94" s="2997"/>
      <c r="AI94" s="2665"/>
      <c r="AJ94" s="3789">
        <f>AJ31/AJ77-1</f>
        <v>0.11764705882352944</v>
      </c>
      <c r="AK94" s="754"/>
      <c r="AL94" s="754"/>
      <c r="AM94" s="757"/>
      <c r="AN94" s="757">
        <v>700</v>
      </c>
      <c r="AO94" s="762"/>
      <c r="AP94" s="764"/>
      <c r="AQ94" s="764"/>
      <c r="AR94" s="2676">
        <v>750</v>
      </c>
      <c r="AS94" s="769">
        <v>1250</v>
      </c>
      <c r="AT94" s="2676">
        <v>80</v>
      </c>
      <c r="AU94" s="2676">
        <v>140</v>
      </c>
      <c r="AV94" s="2676">
        <v>1250</v>
      </c>
      <c r="AW94" s="754"/>
      <c r="AX94" s="757">
        <v>700</v>
      </c>
      <c r="AY94" s="757">
        <v>950</v>
      </c>
      <c r="AZ94" s="757">
        <v>1150</v>
      </c>
      <c r="BA94" s="757">
        <v>1250</v>
      </c>
      <c r="BB94" s="757">
        <v>1600</v>
      </c>
      <c r="BC94" s="764">
        <v>120</v>
      </c>
      <c r="BD94" s="2676">
        <v>500</v>
      </c>
      <c r="BE94" s="2676">
        <v>500</v>
      </c>
      <c r="BF94" s="2676">
        <v>1250</v>
      </c>
      <c r="BG94" s="2676">
        <v>400</v>
      </c>
      <c r="BH94" s="2700">
        <v>650</v>
      </c>
      <c r="BI94" s="2676">
        <v>850</v>
      </c>
      <c r="BJ94" s="2676">
        <v>950</v>
      </c>
      <c r="BK94" s="2676">
        <v>700</v>
      </c>
      <c r="BL94" s="2676">
        <v>950</v>
      </c>
      <c r="BM94" s="2676">
        <v>1000</v>
      </c>
      <c r="BN94" s="754"/>
      <c r="BO94" s="754"/>
      <c r="BP94" s="754"/>
      <c r="BQ94" s="3524"/>
      <c r="BR94" s="2794">
        <v>1300</v>
      </c>
      <c r="BS94" s="777">
        <v>1500</v>
      </c>
      <c r="BT94" s="777">
        <v>2200</v>
      </c>
      <c r="BU94" s="760"/>
      <c r="BV94" s="760"/>
      <c r="BW94" s="760"/>
      <c r="BX94" s="760"/>
      <c r="BY94" s="2813"/>
      <c r="BZ94" s="806">
        <v>650</v>
      </c>
      <c r="CA94" s="806">
        <v>650</v>
      </c>
      <c r="CB94" s="806">
        <v>700</v>
      </c>
      <c r="CC94" s="806">
        <v>750</v>
      </c>
      <c r="CD94" s="806">
        <v>1150</v>
      </c>
      <c r="CE94" s="806">
        <v>1200</v>
      </c>
      <c r="CF94" s="806">
        <v>1300</v>
      </c>
      <c r="CG94" s="806">
        <v>1400</v>
      </c>
      <c r="CH94" s="755"/>
      <c r="CI94" s="755"/>
      <c r="CJ94" s="755"/>
      <c r="CK94" s="806"/>
      <c r="CL94" s="806"/>
      <c r="CM94" s="806"/>
      <c r="CN94" s="806">
        <v>0</v>
      </c>
      <c r="CO94" s="806"/>
      <c r="CP94" s="806"/>
      <c r="CQ94" s="806"/>
      <c r="CR94" s="806"/>
      <c r="CS94" s="806">
        <v>800</v>
      </c>
      <c r="CT94" s="806">
        <v>900</v>
      </c>
      <c r="CU94" s="806">
        <v>900</v>
      </c>
      <c r="CV94" s="806">
        <v>1000</v>
      </c>
      <c r="CW94" s="806">
        <v>0</v>
      </c>
      <c r="CX94" s="806">
        <v>0</v>
      </c>
      <c r="CY94" s="806">
        <v>0</v>
      </c>
      <c r="CZ94" s="806">
        <v>900</v>
      </c>
      <c r="DA94" s="806">
        <v>900</v>
      </c>
      <c r="DB94" s="806">
        <v>1000</v>
      </c>
      <c r="DC94" s="806">
        <v>0</v>
      </c>
      <c r="DD94" s="762"/>
      <c r="DE94" s="2795"/>
      <c r="DF94" s="752">
        <v>3450</v>
      </c>
      <c r="DG94" s="752">
        <v>3300</v>
      </c>
      <c r="DH94" s="752">
        <v>4000</v>
      </c>
      <c r="DI94" s="752">
        <v>0</v>
      </c>
      <c r="DJ94" s="752">
        <v>0</v>
      </c>
      <c r="DK94" s="2794"/>
      <c r="DL94" s="2795"/>
      <c r="DM94" s="752"/>
      <c r="DN94" s="752"/>
      <c r="DO94" s="752"/>
      <c r="DP94" s="2795"/>
      <c r="DQ94" s="2795"/>
      <c r="DR94" s="2795"/>
      <c r="DS94" s="776"/>
      <c r="DT94" s="1970">
        <v>9050</v>
      </c>
      <c r="DU94" s="1813"/>
      <c r="DV94" s="760"/>
      <c r="DW94" s="2952"/>
      <c r="DX94" s="1813"/>
      <c r="DY94" s="760"/>
      <c r="DZ94" s="3378">
        <v>1800</v>
      </c>
      <c r="EA94" s="3374">
        <v>12950</v>
      </c>
      <c r="EB94" s="812">
        <v>9065</v>
      </c>
      <c r="EC94" s="2960"/>
      <c r="ED94" s="2960"/>
      <c r="EE94" s="811"/>
      <c r="EF94" s="812"/>
      <c r="EG94" s="811"/>
      <c r="EH94" s="812"/>
      <c r="EI94" s="811"/>
      <c r="EJ94" s="812"/>
      <c r="EK94" s="2799"/>
      <c r="EL94" s="2799"/>
      <c r="EM94" s="2799"/>
    </row>
    <row r="95" spans="1:144" s="1742" customFormat="1" ht="24.6" hidden="1" customHeight="1" outlineLevel="2">
      <c r="A95" s="3505"/>
      <c r="B95" s="2804" t="s">
        <v>2700</v>
      </c>
      <c r="D95" s="2805"/>
      <c r="E95" s="3788">
        <f>E32/E78-1</f>
        <v>0.1212121212121211</v>
      </c>
      <c r="F95" s="2806"/>
      <c r="G95" s="3789">
        <f>G32/G78-1</f>
        <v>0.1212121212121211</v>
      </c>
      <c r="H95" s="3789"/>
      <c r="I95" s="2809"/>
      <c r="J95" s="3789">
        <f t="shared" si="66"/>
        <v>0.1212121212121211</v>
      </c>
      <c r="K95" s="3789">
        <f t="shared" si="66"/>
        <v>0.10447761194029859</v>
      </c>
      <c r="L95" s="3789">
        <f t="shared" si="66"/>
        <v>0.11111111111111116</v>
      </c>
      <c r="M95" s="2811"/>
      <c r="N95" s="2811"/>
      <c r="O95" s="2811"/>
      <c r="P95" s="2812"/>
      <c r="Q95" s="3789">
        <f>Q32/Q78-1</f>
        <v>8.7719298245614086E-2</v>
      </c>
      <c r="R95" s="2806"/>
      <c r="S95" s="2806"/>
      <c r="T95" s="3789">
        <f t="shared" si="65"/>
        <v>0.16666666666666674</v>
      </c>
      <c r="U95" s="3789">
        <f t="shared" si="67"/>
        <v>0.14285714285714279</v>
      </c>
      <c r="V95" s="3789">
        <f t="shared" si="67"/>
        <v>0.14285714285714279</v>
      </c>
      <c r="W95" s="3789">
        <f t="shared" si="67"/>
        <v>0.13043478260869557</v>
      </c>
      <c r="X95" s="3789">
        <f t="shared" si="67"/>
        <v>0.10344827586206895</v>
      </c>
      <c r="Y95" s="2826"/>
      <c r="Z95" s="2826"/>
      <c r="AA95" s="2826"/>
      <c r="AB95" s="2814"/>
      <c r="AC95" s="2814"/>
      <c r="AD95" s="2806"/>
      <c r="AE95" s="2806"/>
      <c r="AF95" s="2806"/>
      <c r="AG95" s="3789">
        <f t="shared" ref="AG95:AH98" si="68">AG32/AG78-1</f>
        <v>0.10000000000000009</v>
      </c>
      <c r="AH95" s="3789">
        <f t="shared" si="68"/>
        <v>9.6774193548387011E-2</v>
      </c>
      <c r="AI95" s="3789"/>
      <c r="AJ95" s="3789">
        <f>AJ32/AJ78-1</f>
        <v>0.10000000000000009</v>
      </c>
      <c r="AK95" s="2827"/>
      <c r="AL95" s="2827"/>
      <c r="AM95" s="2816"/>
      <c r="AN95" s="2816"/>
      <c r="AO95" s="2813"/>
      <c r="AP95" s="2806"/>
      <c r="AQ95" s="2806"/>
      <c r="AR95" s="2676">
        <v>900</v>
      </c>
      <c r="AS95" s="769">
        <v>1500</v>
      </c>
      <c r="AT95" s="2676">
        <v>90</v>
      </c>
      <c r="AU95" s="2676">
        <v>170</v>
      </c>
      <c r="AV95" s="2676">
        <v>1450</v>
      </c>
      <c r="AW95" s="2827"/>
      <c r="AX95" s="2816"/>
      <c r="AY95" s="2816"/>
      <c r="AZ95" s="2816"/>
      <c r="BA95" s="2816"/>
      <c r="BB95" s="2816"/>
      <c r="BC95" s="764">
        <v>120</v>
      </c>
      <c r="BD95" s="2676">
        <v>550</v>
      </c>
      <c r="BE95" s="2676">
        <v>550</v>
      </c>
      <c r="BF95" s="2676">
        <v>1450</v>
      </c>
      <c r="BG95" s="2676">
        <v>450</v>
      </c>
      <c r="BH95" s="2700">
        <v>800</v>
      </c>
      <c r="BI95" s="2676">
        <v>1050</v>
      </c>
      <c r="BJ95" s="2676">
        <v>1100</v>
      </c>
      <c r="BK95" s="2676">
        <v>850</v>
      </c>
      <c r="BL95" s="2676">
        <v>1100</v>
      </c>
      <c r="BM95" s="2676">
        <v>1200</v>
      </c>
      <c r="BN95" s="2815"/>
      <c r="BO95" s="2815"/>
      <c r="BP95" s="2815"/>
      <c r="BQ95" s="3524"/>
      <c r="BR95" s="2794">
        <v>1550</v>
      </c>
      <c r="BS95" s="777">
        <v>1800</v>
      </c>
      <c r="BT95" s="777">
        <v>2600</v>
      </c>
      <c r="BU95" s="2818"/>
      <c r="BV95" s="2818"/>
      <c r="BW95" s="2818"/>
      <c r="BX95" s="2818"/>
      <c r="BY95" s="2813"/>
      <c r="BZ95" s="2819">
        <v>750</v>
      </c>
      <c r="CA95" s="2819">
        <v>800</v>
      </c>
      <c r="CB95" s="2819">
        <v>850</v>
      </c>
      <c r="CC95" s="2819">
        <v>900</v>
      </c>
      <c r="CD95" s="2819"/>
      <c r="CE95" s="2819"/>
      <c r="CF95" s="2819"/>
      <c r="CG95" s="2819"/>
      <c r="CH95" s="2820"/>
      <c r="CI95" s="2820"/>
      <c r="CJ95" s="2820"/>
      <c r="CK95" s="2819"/>
      <c r="CL95" s="2819"/>
      <c r="CM95" s="2819"/>
      <c r="CN95" s="2819"/>
      <c r="CO95" s="2819"/>
      <c r="CP95" s="2819"/>
      <c r="CQ95" s="2819"/>
      <c r="CR95" s="2819"/>
      <c r="CS95" s="2819"/>
      <c r="CT95" s="2819"/>
      <c r="CU95" s="2819"/>
      <c r="CV95" s="2819"/>
      <c r="CW95" s="2819"/>
      <c r="CX95" s="2819"/>
      <c r="CY95" s="2819"/>
      <c r="CZ95" s="2819"/>
      <c r="DA95" s="2819"/>
      <c r="DB95" s="2819"/>
      <c r="DC95" s="2819"/>
      <c r="DD95" s="2813"/>
      <c r="DE95" s="2821"/>
      <c r="DF95" s="2822"/>
      <c r="DG95" s="2822"/>
      <c r="DH95" s="2822"/>
      <c r="DI95" s="2821"/>
      <c r="DJ95" s="2822"/>
      <c r="DK95" s="2817"/>
      <c r="DL95" s="2821"/>
      <c r="DM95" s="2822"/>
      <c r="DN95" s="2822"/>
      <c r="DO95" s="2822"/>
      <c r="DP95" s="2821"/>
      <c r="DQ95" s="2821"/>
      <c r="DR95" s="2821"/>
      <c r="DS95" s="2823"/>
      <c r="DT95" s="1970">
        <v>8600</v>
      </c>
      <c r="DU95" s="2825"/>
      <c r="DV95" s="2825"/>
      <c r="DW95" s="2952"/>
      <c r="DX95" s="2825"/>
      <c r="DY95" s="2825"/>
      <c r="DZ95" s="3378">
        <v>1800</v>
      </c>
      <c r="EA95" s="3374"/>
      <c r="EB95" s="2800"/>
      <c r="EC95" s="2960"/>
      <c r="ED95" s="2960"/>
      <c r="EE95" s="2799"/>
      <c r="EF95" s="2800"/>
      <c r="EG95" s="2799"/>
      <c r="EH95" s="2800"/>
      <c r="EI95" s="2799"/>
      <c r="EJ95" s="2800"/>
      <c r="EK95" s="2799"/>
      <c r="EL95" s="2799"/>
      <c r="EM95" s="2799"/>
    </row>
    <row r="96" spans="1:144" s="1742" customFormat="1" ht="24.6" hidden="1" customHeight="1" outlineLevel="2">
      <c r="A96" s="3505"/>
      <c r="B96" s="1723" t="s">
        <v>284</v>
      </c>
      <c r="D96" s="763"/>
      <c r="E96" s="3788">
        <f>E33/E79-1</f>
        <v>0.11904761904761907</v>
      </c>
      <c r="F96" s="769"/>
      <c r="G96" s="3789">
        <f>G33/G79-1</f>
        <v>0.11904761904761907</v>
      </c>
      <c r="H96" s="3789">
        <f>H33/H79-1</f>
        <v>0.1063829787234043</v>
      </c>
      <c r="I96" s="3789">
        <f>I33/I79-1</f>
        <v>0.11904761904761907</v>
      </c>
      <c r="J96" s="3789">
        <f t="shared" si="66"/>
        <v>0.11904761904761907</v>
      </c>
      <c r="K96" s="3789">
        <f t="shared" si="66"/>
        <v>0.10344827586206895</v>
      </c>
      <c r="L96" s="3789">
        <f t="shared" si="66"/>
        <v>0.11111111111111116</v>
      </c>
      <c r="M96" s="753"/>
      <c r="N96" s="753"/>
      <c r="O96" s="753"/>
      <c r="P96" s="753"/>
      <c r="Q96" s="3789">
        <f>Q33/Q79-1</f>
        <v>9.5890410958904049E-2</v>
      </c>
      <c r="R96" s="763"/>
      <c r="S96" s="3789">
        <f>S33/S79-1</f>
        <v>0.11111111111111116</v>
      </c>
      <c r="T96" s="3789">
        <f t="shared" si="65"/>
        <v>0.13043478260869557</v>
      </c>
      <c r="U96" s="3789">
        <f t="shared" si="67"/>
        <v>0.11111111111111116</v>
      </c>
      <c r="V96" s="3789">
        <f t="shared" si="67"/>
        <v>0.11111111111111116</v>
      </c>
      <c r="W96" s="3789">
        <f t="shared" si="67"/>
        <v>0.13793103448275867</v>
      </c>
      <c r="X96" s="3789">
        <f t="shared" si="67"/>
        <v>0.10810810810810811</v>
      </c>
      <c r="Y96" s="3789">
        <f t="shared" ref="Y96:AF96" si="69">Y33/Y79-1</f>
        <v>0.11290322580645151</v>
      </c>
      <c r="Z96" s="3789">
        <f t="shared" si="69"/>
        <v>9.6774193548387011E-2</v>
      </c>
      <c r="AA96" s="3789">
        <f t="shared" si="69"/>
        <v>0.10810810810810811</v>
      </c>
      <c r="AB96" s="3789">
        <f t="shared" si="69"/>
        <v>0.12195121951219523</v>
      </c>
      <c r="AC96" s="3789">
        <f t="shared" si="69"/>
        <v>0.12195121951219523</v>
      </c>
      <c r="AD96" s="3789">
        <f t="shared" si="69"/>
        <v>0.10000000000000009</v>
      </c>
      <c r="AE96" s="3789">
        <f t="shared" si="69"/>
        <v>9.259259259259256E-2</v>
      </c>
      <c r="AF96" s="3789">
        <f t="shared" si="69"/>
        <v>9.8591549295774739E-2</v>
      </c>
      <c r="AG96" s="3789">
        <f t="shared" si="68"/>
        <v>0.12000000000000011</v>
      </c>
      <c r="AH96" s="3789">
        <f t="shared" si="68"/>
        <v>0.12820512820512819</v>
      </c>
      <c r="AI96" s="3789">
        <f>AI33/AI79-1</f>
        <v>0.11290322580645151</v>
      </c>
      <c r="AJ96" s="3789">
        <f>AJ33/AJ79-1</f>
        <v>0.12000000000000011</v>
      </c>
      <c r="AK96" s="3789">
        <f>AK33/AK79-1</f>
        <v>0.12195121951219523</v>
      </c>
      <c r="AL96" s="3789">
        <f>AL33/AL79-1</f>
        <v>9.8591549295774739E-2</v>
      </c>
      <c r="AM96" s="3789">
        <f>AM33/AM79-1</f>
        <v>0.11111111111111116</v>
      </c>
      <c r="AN96" s="3789">
        <f>AN33/AN79-1</f>
        <v>0.13043478260869557</v>
      </c>
      <c r="AO96" s="778"/>
      <c r="AP96" s="769">
        <v>0</v>
      </c>
      <c r="AQ96" s="763"/>
      <c r="AR96" s="2675">
        <v>1150</v>
      </c>
      <c r="AS96" s="2675">
        <v>1850</v>
      </c>
      <c r="AT96" s="2676">
        <v>120</v>
      </c>
      <c r="AU96" s="2676">
        <v>210</v>
      </c>
      <c r="AV96" s="2722">
        <v>1850</v>
      </c>
      <c r="AW96" s="779">
        <v>1365</v>
      </c>
      <c r="AX96" s="757">
        <v>1150</v>
      </c>
      <c r="AY96" s="757">
        <v>1540</v>
      </c>
      <c r="AZ96" s="757">
        <v>1840</v>
      </c>
      <c r="BA96" s="757">
        <v>1850</v>
      </c>
      <c r="BB96" s="757">
        <v>2610</v>
      </c>
      <c r="BC96" s="764">
        <v>120</v>
      </c>
      <c r="BD96" s="2675">
        <v>700</v>
      </c>
      <c r="BE96" s="759">
        <v>700</v>
      </c>
      <c r="BF96" s="2675">
        <v>1850</v>
      </c>
      <c r="BG96" s="778">
        <v>550</v>
      </c>
      <c r="BH96" s="3523">
        <v>1000</v>
      </c>
      <c r="BI96" s="3523">
        <v>1300</v>
      </c>
      <c r="BJ96" s="3523">
        <v>1400</v>
      </c>
      <c r="BK96" s="3523">
        <v>1050</v>
      </c>
      <c r="BL96" s="3523">
        <v>1400</v>
      </c>
      <c r="BM96" s="3523">
        <v>1500</v>
      </c>
      <c r="BN96" s="3523">
        <v>1850</v>
      </c>
      <c r="BO96" s="3523">
        <v>2000</v>
      </c>
      <c r="BP96" s="3523">
        <v>2400</v>
      </c>
      <c r="BQ96" s="3524">
        <v>1350</v>
      </c>
      <c r="BR96" s="1158">
        <v>2000</v>
      </c>
      <c r="BS96" s="3525">
        <v>2300</v>
      </c>
      <c r="BT96" s="3525">
        <v>3350</v>
      </c>
      <c r="BU96" s="3525">
        <v>750</v>
      </c>
      <c r="BV96" s="3525">
        <v>900</v>
      </c>
      <c r="BW96" s="3525">
        <v>1150</v>
      </c>
      <c r="BX96" s="3525">
        <v>5050</v>
      </c>
      <c r="BY96" s="778">
        <v>1150</v>
      </c>
      <c r="BZ96" s="774">
        <v>950</v>
      </c>
      <c r="CA96" s="774">
        <v>1000</v>
      </c>
      <c r="CB96" s="774">
        <v>1050</v>
      </c>
      <c r="CC96" s="774">
        <v>1150</v>
      </c>
      <c r="CD96" s="3526">
        <v>1000</v>
      </c>
      <c r="CE96" s="3526">
        <v>1050</v>
      </c>
      <c r="CF96" s="3526">
        <v>1150</v>
      </c>
      <c r="CG96" s="3526">
        <v>1200</v>
      </c>
      <c r="CH96" s="3526">
        <v>1050</v>
      </c>
      <c r="CI96" s="3526">
        <v>1150</v>
      </c>
      <c r="CJ96" s="3526">
        <v>1200</v>
      </c>
      <c r="CK96" s="755">
        <v>1050</v>
      </c>
      <c r="CL96" s="755">
        <v>1150</v>
      </c>
      <c r="CM96" s="755">
        <v>1200</v>
      </c>
      <c r="CN96" s="3526">
        <v>1400</v>
      </c>
      <c r="CO96" s="3011">
        <v>1300</v>
      </c>
      <c r="CP96" s="3011">
        <v>1400</v>
      </c>
      <c r="CQ96" s="3011">
        <v>1450</v>
      </c>
      <c r="CR96" s="3011">
        <v>1500</v>
      </c>
      <c r="CS96" s="3011">
        <v>1400</v>
      </c>
      <c r="CT96" s="3011">
        <v>1450</v>
      </c>
      <c r="CU96" s="3011">
        <v>1500</v>
      </c>
      <c r="CV96" s="3011">
        <v>1600</v>
      </c>
      <c r="CW96" s="3011">
        <v>1450</v>
      </c>
      <c r="CX96" s="3011">
        <v>1500</v>
      </c>
      <c r="CY96" s="3011">
        <v>1600</v>
      </c>
      <c r="CZ96" s="3011">
        <v>1450</v>
      </c>
      <c r="DA96" s="3011">
        <v>1500</v>
      </c>
      <c r="DB96" s="3011">
        <v>1600</v>
      </c>
      <c r="DC96" s="3011">
        <v>1850</v>
      </c>
      <c r="DD96" s="778"/>
      <c r="DE96" s="3534">
        <v>2950</v>
      </c>
      <c r="DF96" s="3534">
        <v>3550</v>
      </c>
      <c r="DG96" s="752">
        <v>3800</v>
      </c>
      <c r="DH96" s="752">
        <v>4600</v>
      </c>
      <c r="DI96" s="3534">
        <v>3850</v>
      </c>
      <c r="DJ96" s="3534">
        <v>4700</v>
      </c>
      <c r="DK96" s="1158">
        <v>4600</v>
      </c>
      <c r="DL96" s="3534">
        <v>4700</v>
      </c>
      <c r="DM96" s="3534">
        <v>8700</v>
      </c>
      <c r="DN96" s="752">
        <v>8700</v>
      </c>
      <c r="DO96" s="752">
        <v>8700</v>
      </c>
      <c r="DP96" s="3534">
        <v>2050</v>
      </c>
      <c r="DQ96" s="3534">
        <v>2550</v>
      </c>
      <c r="DR96" s="3534">
        <v>1000</v>
      </c>
      <c r="DS96" s="780"/>
      <c r="DT96" s="1970">
        <v>11150</v>
      </c>
      <c r="DU96" s="2825">
        <v>16700</v>
      </c>
      <c r="DV96" s="2824">
        <v>4200</v>
      </c>
      <c r="DW96" s="2673"/>
      <c r="DX96" s="1970">
        <v>17300</v>
      </c>
      <c r="DY96" s="1970">
        <v>24350</v>
      </c>
      <c r="DZ96" s="3378">
        <v>1800</v>
      </c>
      <c r="EA96" s="3374">
        <v>19885.95</v>
      </c>
      <c r="EB96" s="812">
        <v>13920.165000000001</v>
      </c>
      <c r="EC96" s="2960"/>
      <c r="ED96" s="2960"/>
      <c r="EE96" s="811">
        <v>31682.7</v>
      </c>
      <c r="EF96" s="812">
        <v>21583.839375000003</v>
      </c>
      <c r="EG96" s="811">
        <v>44602.950000000004</v>
      </c>
      <c r="EH96" s="812">
        <v>30385.759687500002</v>
      </c>
      <c r="EI96" s="811"/>
      <c r="EJ96" s="812"/>
      <c r="EK96" s="2799">
        <v>33367.950000000004</v>
      </c>
      <c r="EL96" s="2800">
        <v>20854.96875</v>
      </c>
      <c r="EM96" s="2800">
        <v>4170.9937500000005</v>
      </c>
    </row>
    <row r="97" spans="1:146" s="1742" customFormat="1" ht="24.6" hidden="1" customHeight="1" outlineLevel="2">
      <c r="A97" s="3505"/>
      <c r="B97" s="1720" t="s">
        <v>2587</v>
      </c>
      <c r="D97" s="763"/>
      <c r="E97" s="3788">
        <f>E34/E80-1</f>
        <v>0.11111111111111116</v>
      </c>
      <c r="F97" s="769"/>
      <c r="G97" s="3789">
        <f>G34/G80-1</f>
        <v>0.11111111111111116</v>
      </c>
      <c r="H97" s="3789">
        <f>H34/H80-1</f>
        <v>0.10000000000000009</v>
      </c>
      <c r="I97" s="782"/>
      <c r="J97" s="3789">
        <f t="shared" si="66"/>
        <v>0.11111111111111116</v>
      </c>
      <c r="K97" s="3789">
        <f t="shared" si="66"/>
        <v>9.7826086956521729E-2</v>
      </c>
      <c r="L97" s="3789">
        <f t="shared" si="66"/>
        <v>0.10465116279069764</v>
      </c>
      <c r="M97" s="753"/>
      <c r="N97" s="753"/>
      <c r="O97" s="753"/>
      <c r="P97" s="753"/>
      <c r="Q97" s="3789">
        <f>Q34/Q80-1</f>
        <v>9.0909090909090828E-2</v>
      </c>
      <c r="R97" s="769"/>
      <c r="S97" s="3789">
        <f>S34/S80-1</f>
        <v>0.10344827586206895</v>
      </c>
      <c r="T97" s="3789">
        <f t="shared" si="65"/>
        <v>0.12000000000000011</v>
      </c>
      <c r="U97" s="3789">
        <f t="shared" si="67"/>
        <v>0.10344827586206895</v>
      </c>
      <c r="V97" s="3789">
        <f t="shared" si="67"/>
        <v>0.10344827586206895</v>
      </c>
      <c r="W97" s="3789">
        <f t="shared" si="67"/>
        <v>0.12903225806451624</v>
      </c>
      <c r="X97" s="3789">
        <f t="shared" si="67"/>
        <v>0.12820512820512819</v>
      </c>
      <c r="Y97" s="1807"/>
      <c r="Z97" s="1807"/>
      <c r="AA97" s="1807"/>
      <c r="AB97" s="3789">
        <f>AB34/AB80-1</f>
        <v>0.11363636363636354</v>
      </c>
      <c r="AC97" s="770"/>
      <c r="AD97" s="770"/>
      <c r="AE97" s="770"/>
      <c r="AF97" s="770"/>
      <c r="AG97" s="3789">
        <f t="shared" si="68"/>
        <v>0.11111111111111116</v>
      </c>
      <c r="AH97" s="3789">
        <f t="shared" si="68"/>
        <v>0.14634146341463405</v>
      </c>
      <c r="AI97" s="3789">
        <f>AI34/AI80-1</f>
        <v>0.10606060606060597</v>
      </c>
      <c r="AJ97" s="3789">
        <f>AJ34/AJ80-1</f>
        <v>0.11111111111111116</v>
      </c>
      <c r="AK97" s="754"/>
      <c r="AL97" s="754"/>
      <c r="AM97" s="757">
        <v>1450</v>
      </c>
      <c r="AN97" s="757">
        <v>1250</v>
      </c>
      <c r="AO97" s="762"/>
      <c r="AP97" s="769"/>
      <c r="AQ97" s="769"/>
      <c r="AR97" s="2676">
        <v>1250</v>
      </c>
      <c r="AS97" s="769">
        <v>1950</v>
      </c>
      <c r="AT97" s="2676">
        <v>130</v>
      </c>
      <c r="AU97" s="2676">
        <v>230</v>
      </c>
      <c r="AV97" s="2676">
        <v>1950</v>
      </c>
      <c r="AW97" s="754"/>
      <c r="AX97" s="757">
        <v>1250</v>
      </c>
      <c r="AY97" s="757">
        <v>1670</v>
      </c>
      <c r="AZ97" s="757">
        <v>2000</v>
      </c>
      <c r="BA97" s="757">
        <v>1950</v>
      </c>
      <c r="BB97" s="757">
        <v>2840</v>
      </c>
      <c r="BC97" s="764">
        <v>120</v>
      </c>
      <c r="BD97" s="2676">
        <v>750</v>
      </c>
      <c r="BE97" s="2676">
        <v>750</v>
      </c>
      <c r="BF97" s="2676">
        <v>1950</v>
      </c>
      <c r="BG97" s="2676">
        <v>600</v>
      </c>
      <c r="BH97" s="2676">
        <v>1050</v>
      </c>
      <c r="BI97" s="2676">
        <v>1400</v>
      </c>
      <c r="BJ97" s="2676">
        <v>1500</v>
      </c>
      <c r="BK97" s="2676">
        <v>1150</v>
      </c>
      <c r="BL97" s="2676">
        <v>1500</v>
      </c>
      <c r="BM97" s="2676">
        <v>1600</v>
      </c>
      <c r="BN97" s="754"/>
      <c r="BO97" s="754"/>
      <c r="BP97" s="754"/>
      <c r="BQ97" s="3540">
        <v>1450</v>
      </c>
      <c r="BR97" s="2794">
        <v>2100</v>
      </c>
      <c r="BS97" s="777">
        <v>2450</v>
      </c>
      <c r="BT97" s="777">
        <v>3550</v>
      </c>
      <c r="BU97" s="777">
        <v>800</v>
      </c>
      <c r="BV97" s="777">
        <v>950</v>
      </c>
      <c r="BW97" s="777">
        <v>1250</v>
      </c>
      <c r="BX97" s="777">
        <v>5350</v>
      </c>
      <c r="BY97" s="762">
        <v>1250</v>
      </c>
      <c r="BZ97" s="3012">
        <v>1000</v>
      </c>
      <c r="CA97" s="3012">
        <v>1050</v>
      </c>
      <c r="CB97" s="3012">
        <v>1150</v>
      </c>
      <c r="CC97" s="3012">
        <v>1250</v>
      </c>
      <c r="CD97" s="3012"/>
      <c r="CE97" s="3012"/>
      <c r="CF97" s="755"/>
      <c r="CG97" s="755"/>
      <c r="CH97" s="3012">
        <v>1150</v>
      </c>
      <c r="CI97" s="3012">
        <v>1250</v>
      </c>
      <c r="CJ97" s="3012">
        <v>1300</v>
      </c>
      <c r="CK97" s="3012">
        <v>1150</v>
      </c>
      <c r="CL97" s="3012">
        <v>1250</v>
      </c>
      <c r="CM97" s="3012">
        <v>1300</v>
      </c>
      <c r="CN97" s="755"/>
      <c r="CO97" s="3012">
        <v>1400</v>
      </c>
      <c r="CP97" s="3012">
        <v>1500</v>
      </c>
      <c r="CQ97" s="3012">
        <v>1550</v>
      </c>
      <c r="CR97" s="3012">
        <v>1600</v>
      </c>
      <c r="CS97" s="806">
        <v>0</v>
      </c>
      <c r="CT97" s="806">
        <v>0</v>
      </c>
      <c r="CU97" s="806">
        <v>0</v>
      </c>
      <c r="CV97" s="806">
        <v>0</v>
      </c>
      <c r="CW97" s="3012">
        <v>1550</v>
      </c>
      <c r="CX97" s="3012">
        <v>1600</v>
      </c>
      <c r="CY97" s="3012">
        <v>1700</v>
      </c>
      <c r="CZ97" s="3012">
        <v>1550</v>
      </c>
      <c r="DA97" s="3012">
        <v>1600</v>
      </c>
      <c r="DB97" s="3012">
        <v>1700</v>
      </c>
      <c r="DC97" s="806">
        <v>0</v>
      </c>
      <c r="DD97" s="762"/>
      <c r="DE97" s="2795">
        <v>3100</v>
      </c>
      <c r="DF97" s="2795">
        <v>3750</v>
      </c>
      <c r="DG97" s="752">
        <v>4000</v>
      </c>
      <c r="DH97" s="752">
        <v>4850</v>
      </c>
      <c r="DI97" s="2795">
        <v>4050</v>
      </c>
      <c r="DJ97" s="2795">
        <v>4950</v>
      </c>
      <c r="DK97" s="2794">
        <v>4850</v>
      </c>
      <c r="DL97" s="2795">
        <v>4950</v>
      </c>
      <c r="DM97" s="2795">
        <v>9150</v>
      </c>
      <c r="DN97" s="752">
        <v>9150</v>
      </c>
      <c r="DO97" s="752">
        <v>9150</v>
      </c>
      <c r="DP97" s="2795">
        <v>2200</v>
      </c>
      <c r="DQ97" s="2795">
        <v>2700</v>
      </c>
      <c r="DR97" s="752">
        <v>1050</v>
      </c>
      <c r="DS97" s="776"/>
      <c r="DT97" s="1970">
        <v>11750</v>
      </c>
      <c r="DU97" s="2825"/>
      <c r="DV97" s="759"/>
      <c r="DW97" s="2670"/>
      <c r="DX97" s="1970"/>
      <c r="DY97" s="1970">
        <v>25600</v>
      </c>
      <c r="DZ97" s="3378">
        <v>1800</v>
      </c>
      <c r="EA97" s="3374">
        <v>20900</v>
      </c>
      <c r="EB97" s="812">
        <v>14630.000000000002</v>
      </c>
      <c r="EC97" s="2960"/>
      <c r="ED97" s="2960"/>
      <c r="EE97" s="811"/>
      <c r="EF97" s="812"/>
      <c r="EG97" s="811"/>
      <c r="EH97" s="812"/>
      <c r="EI97" s="811">
        <v>28199.850000000002</v>
      </c>
      <c r="EJ97" s="812">
        <v>19211.147812500003</v>
      </c>
      <c r="EK97" s="2799"/>
      <c r="EL97" s="2800">
        <v>0</v>
      </c>
      <c r="EM97" s="2800">
        <v>0</v>
      </c>
    </row>
    <row r="98" spans="1:146" s="1742" customFormat="1" ht="24.6" hidden="1" customHeight="1" outlineLevel="2">
      <c r="A98" s="3505"/>
      <c r="B98" s="1722" t="s">
        <v>2570</v>
      </c>
      <c r="C98" s="3776"/>
      <c r="D98" s="763"/>
      <c r="E98" s="3788">
        <f>E35/E81-1</f>
        <v>0.125</v>
      </c>
      <c r="F98" s="769"/>
      <c r="G98" s="3789">
        <f>G35/G81-1</f>
        <v>0.125</v>
      </c>
      <c r="H98" s="3789">
        <f>H35/H81-1</f>
        <v>9.259259259259256E-2</v>
      </c>
      <c r="I98" s="781"/>
      <c r="J98" s="3789">
        <f t="shared" si="66"/>
        <v>0.125</v>
      </c>
      <c r="K98" s="3789">
        <f t="shared" si="66"/>
        <v>0.10101010101010099</v>
      </c>
      <c r="L98" s="3789">
        <f t="shared" si="66"/>
        <v>0.10869565217391308</v>
      </c>
      <c r="M98" s="753"/>
      <c r="N98" s="753"/>
      <c r="O98" s="753"/>
      <c r="P98" s="753"/>
      <c r="Q98" s="3789">
        <f>Q35/Q81-1</f>
        <v>9.6385542168674787E-2</v>
      </c>
      <c r="R98" s="769"/>
      <c r="S98" s="3789">
        <f>S35/S81-1</f>
        <v>9.6774193548387011E-2</v>
      </c>
      <c r="T98" s="3789">
        <f t="shared" si="65"/>
        <v>0.15384615384615374</v>
      </c>
      <c r="U98" s="3789">
        <f t="shared" si="67"/>
        <v>9.6774193548387011E-2</v>
      </c>
      <c r="V98" s="3789">
        <f t="shared" si="67"/>
        <v>9.6774193548387011E-2</v>
      </c>
      <c r="W98" s="3789">
        <f t="shared" si="67"/>
        <v>0.1515151515151516</v>
      </c>
      <c r="X98" s="3789">
        <f t="shared" si="67"/>
        <v>0.11904761904761907</v>
      </c>
      <c r="Y98" s="1807"/>
      <c r="Z98" s="1807"/>
      <c r="AA98" s="1807"/>
      <c r="AB98" s="3789">
        <f>AB35/AB81-1</f>
        <v>0.1063829787234043</v>
      </c>
      <c r="AC98" s="764"/>
      <c r="AD98" s="764"/>
      <c r="AE98" s="770"/>
      <c r="AF98" s="764"/>
      <c r="AG98" s="3789">
        <f t="shared" si="68"/>
        <v>0.10344827586206895</v>
      </c>
      <c r="AH98" s="3789">
        <f t="shared" si="68"/>
        <v>0.11111111111111116</v>
      </c>
      <c r="AI98" s="3789">
        <f>AI35/AI81-1</f>
        <v>9.8591549295774739E-2</v>
      </c>
      <c r="AJ98" s="3789">
        <f>AJ35/AJ81-1</f>
        <v>0.10344827586206895</v>
      </c>
      <c r="AK98" s="754"/>
      <c r="AL98" s="754"/>
      <c r="AM98" s="757">
        <v>1550</v>
      </c>
      <c r="AN98" s="757">
        <v>1300</v>
      </c>
      <c r="AO98" s="762"/>
      <c r="AP98" s="769"/>
      <c r="AQ98" s="769"/>
      <c r="AR98" s="2676">
        <v>1300</v>
      </c>
      <c r="AS98" s="769">
        <v>2100</v>
      </c>
      <c r="AT98" s="2676">
        <v>130</v>
      </c>
      <c r="AU98" s="2676">
        <v>240</v>
      </c>
      <c r="AV98" s="2676">
        <v>2150</v>
      </c>
      <c r="AW98" s="754"/>
      <c r="AX98" s="757">
        <v>1300</v>
      </c>
      <c r="AY98" s="757">
        <v>1740</v>
      </c>
      <c r="AZ98" s="757">
        <v>2080</v>
      </c>
      <c r="BA98" s="757">
        <v>2100</v>
      </c>
      <c r="BB98" s="757">
        <v>2950</v>
      </c>
      <c r="BC98" s="764">
        <v>120</v>
      </c>
      <c r="BD98" s="2676">
        <v>800</v>
      </c>
      <c r="BE98" s="2676">
        <v>800</v>
      </c>
      <c r="BF98" s="2676">
        <v>2100</v>
      </c>
      <c r="BG98" s="2676">
        <v>650</v>
      </c>
      <c r="BH98" s="2676">
        <v>1150</v>
      </c>
      <c r="BI98" s="2676">
        <v>1500</v>
      </c>
      <c r="BJ98" s="2676">
        <v>1600</v>
      </c>
      <c r="BK98" s="2676">
        <v>1200</v>
      </c>
      <c r="BL98" s="2676">
        <v>1600</v>
      </c>
      <c r="BM98" s="2676">
        <v>1700</v>
      </c>
      <c r="BN98" s="754"/>
      <c r="BO98" s="754"/>
      <c r="BP98" s="754"/>
      <c r="BQ98" s="3540">
        <v>1550</v>
      </c>
      <c r="BR98" s="2794">
        <v>2300</v>
      </c>
      <c r="BS98" s="777">
        <v>2600</v>
      </c>
      <c r="BT98" s="777">
        <v>3800</v>
      </c>
      <c r="BU98" s="777">
        <v>850</v>
      </c>
      <c r="BV98" s="777">
        <v>1050</v>
      </c>
      <c r="BW98" s="777">
        <v>1300</v>
      </c>
      <c r="BX98" s="777">
        <v>5750</v>
      </c>
      <c r="BY98" s="762">
        <v>1300</v>
      </c>
      <c r="BZ98" s="3012">
        <v>1100</v>
      </c>
      <c r="CA98" s="3012">
        <v>1150</v>
      </c>
      <c r="CB98" s="3012">
        <v>1200</v>
      </c>
      <c r="CC98" s="3012">
        <v>1300</v>
      </c>
      <c r="CD98" s="3012">
        <v>1150</v>
      </c>
      <c r="CE98" s="3012">
        <v>1200</v>
      </c>
      <c r="CF98" s="3012">
        <v>1300</v>
      </c>
      <c r="CG98" s="3012">
        <v>1400</v>
      </c>
      <c r="CH98" s="3012">
        <v>1200</v>
      </c>
      <c r="CI98" s="3012">
        <v>1350</v>
      </c>
      <c r="CJ98" s="3012">
        <v>1400</v>
      </c>
      <c r="CK98" s="3012">
        <v>1200</v>
      </c>
      <c r="CL98" s="3012">
        <v>1300</v>
      </c>
      <c r="CM98" s="3012">
        <v>1400</v>
      </c>
      <c r="CN98" s="755"/>
      <c r="CO98" s="3012">
        <v>1500</v>
      </c>
      <c r="CP98" s="3012">
        <v>1600</v>
      </c>
      <c r="CQ98" s="3012">
        <v>1650</v>
      </c>
      <c r="CR98" s="3012">
        <v>1700</v>
      </c>
      <c r="CS98" s="3012">
        <v>1600</v>
      </c>
      <c r="CT98" s="3012">
        <v>1650</v>
      </c>
      <c r="CU98" s="3012">
        <v>1700</v>
      </c>
      <c r="CV98" s="3012">
        <v>1850</v>
      </c>
      <c r="CW98" s="3012">
        <v>1650</v>
      </c>
      <c r="CX98" s="3012">
        <v>1700</v>
      </c>
      <c r="CY98" s="3012">
        <v>1850</v>
      </c>
      <c r="CZ98" s="3012">
        <v>1650</v>
      </c>
      <c r="DA98" s="3012">
        <v>1700</v>
      </c>
      <c r="DB98" s="3012">
        <v>1850</v>
      </c>
      <c r="DC98" s="806">
        <v>0</v>
      </c>
      <c r="DD98" s="762"/>
      <c r="DE98" s="2795">
        <v>3350</v>
      </c>
      <c r="DF98" s="2795">
        <v>4050</v>
      </c>
      <c r="DG98" s="752">
        <v>4300</v>
      </c>
      <c r="DH98" s="752">
        <v>5200</v>
      </c>
      <c r="DI98" s="2795">
        <v>4400</v>
      </c>
      <c r="DJ98" s="2795">
        <v>5350</v>
      </c>
      <c r="DK98" s="2794">
        <v>5200</v>
      </c>
      <c r="DL98" s="2795">
        <v>5350</v>
      </c>
      <c r="DM98" s="2795">
        <v>9850</v>
      </c>
      <c r="DN98" s="752">
        <v>9850</v>
      </c>
      <c r="DO98" s="752">
        <v>9850</v>
      </c>
      <c r="DP98" s="2795">
        <v>2350</v>
      </c>
      <c r="DQ98" s="2795">
        <v>2900</v>
      </c>
      <c r="DR98" s="752">
        <v>1150</v>
      </c>
      <c r="DS98" s="776"/>
      <c r="DT98" s="1970">
        <v>12600</v>
      </c>
      <c r="DU98" s="760">
        <v>18900</v>
      </c>
      <c r="DV98" s="1970">
        <v>4900</v>
      </c>
      <c r="DW98" s="2673"/>
      <c r="DX98" s="760">
        <v>19550</v>
      </c>
      <c r="DY98" s="1970">
        <v>27550</v>
      </c>
      <c r="DZ98" s="3378">
        <v>1800</v>
      </c>
      <c r="EA98" s="3374">
        <v>22500</v>
      </c>
      <c r="EB98" s="812">
        <v>15750.000000000002</v>
      </c>
      <c r="EC98" s="2960"/>
      <c r="ED98" s="2960"/>
      <c r="EE98" s="811"/>
      <c r="EF98" s="812"/>
      <c r="EG98" s="811"/>
      <c r="EH98" s="812"/>
      <c r="EI98" s="811">
        <v>31050</v>
      </c>
      <c r="EJ98" s="812">
        <v>21152.8125</v>
      </c>
      <c r="EK98" s="2799">
        <v>39000</v>
      </c>
      <c r="EL98" s="2800">
        <v>24375</v>
      </c>
      <c r="EM98" s="2800">
        <v>4875</v>
      </c>
    </row>
    <row r="99" spans="1:146" s="1742" customFormat="1" ht="24.6" hidden="1" customHeight="1" outlineLevel="2">
      <c r="A99" s="3505"/>
      <c r="B99" s="2662" t="s">
        <v>3340</v>
      </c>
      <c r="C99" s="3776"/>
      <c r="D99" s="2663"/>
      <c r="E99" s="3788">
        <f>E37/E82-1</f>
        <v>0.11538461538461542</v>
      </c>
      <c r="F99" s="2664"/>
      <c r="G99" s="3789">
        <f>G37/G82-1</f>
        <v>0.11538461538461542</v>
      </c>
      <c r="H99" s="3789">
        <f>H37/H82-1</f>
        <v>0.10344827586206895</v>
      </c>
      <c r="I99" s="2666"/>
      <c r="J99" s="3789">
        <f>J37/J82-1</f>
        <v>0.11538461538461542</v>
      </c>
      <c r="K99" s="3789">
        <f>K37/K82-1</f>
        <v>0.10185185185185186</v>
      </c>
      <c r="L99" s="3789">
        <f>L37/L82-1</f>
        <v>0.1100000000000001</v>
      </c>
      <c r="M99" s="2667"/>
      <c r="N99" s="2667"/>
      <c r="O99" s="2667"/>
      <c r="P99" s="2667"/>
      <c r="Q99" s="3789">
        <f>Q37/Q82-1</f>
        <v>0.10000000000000009</v>
      </c>
      <c r="R99" s="2663"/>
      <c r="S99" s="2664"/>
      <c r="T99" s="3789">
        <f>T37/T82-1</f>
        <v>0.10344827586206895</v>
      </c>
      <c r="U99" s="3789">
        <f>U37/U82-1</f>
        <v>8.8235294117646967E-2</v>
      </c>
      <c r="V99" s="3789">
        <f>V37/V82-1</f>
        <v>8.8235294117646967E-2</v>
      </c>
      <c r="W99" s="3789">
        <f>W37/W82-1</f>
        <v>0.13888888888888884</v>
      </c>
      <c r="X99" s="3789">
        <f>X37/X82-1</f>
        <v>0.10869565217391308</v>
      </c>
      <c r="Y99" s="2664"/>
      <c r="Z99" s="2664"/>
      <c r="AA99" s="2664"/>
      <c r="AB99" s="3789">
        <f>AB37/AB82-1</f>
        <v>0.11764705882352944</v>
      </c>
      <c r="AC99" s="2664"/>
      <c r="AD99" s="2664"/>
      <c r="AE99" s="2664"/>
      <c r="AF99" s="2664"/>
      <c r="AG99" s="3789">
        <f>AG37/AG82-1</f>
        <v>0.12903225806451624</v>
      </c>
      <c r="AH99" s="3789">
        <f>AH37/AH82-1</f>
        <v>0.14583333333333326</v>
      </c>
      <c r="AI99" s="3789">
        <f>AI37/AI82-1</f>
        <v>0.10389610389610393</v>
      </c>
      <c r="AJ99" s="3789">
        <f>AJ37/AJ82-1</f>
        <v>0.12903225806451624</v>
      </c>
      <c r="AK99" s="2666"/>
      <c r="AL99" s="2666"/>
      <c r="AM99" s="2669"/>
      <c r="AN99" s="2669"/>
      <c r="AO99" s="2668"/>
      <c r="AP99" s="2664"/>
      <c r="AQ99" s="2663"/>
      <c r="AR99" s="2676">
        <v>1450</v>
      </c>
      <c r="AS99" s="769">
        <v>2300</v>
      </c>
      <c r="AT99" s="2676">
        <v>150</v>
      </c>
      <c r="AU99" s="2676">
        <v>260</v>
      </c>
      <c r="AV99" s="2676">
        <v>2250</v>
      </c>
      <c r="AW99" s="2666"/>
      <c r="AX99" s="2669"/>
      <c r="AY99" s="2669"/>
      <c r="AZ99" s="2669"/>
      <c r="BA99" s="2669"/>
      <c r="BB99" s="2669"/>
      <c r="BC99" s="764">
        <v>120</v>
      </c>
      <c r="BD99" s="2676">
        <v>900</v>
      </c>
      <c r="BE99" s="2676">
        <v>900</v>
      </c>
      <c r="BF99" s="2676">
        <v>2300</v>
      </c>
      <c r="BG99" s="2676">
        <v>700</v>
      </c>
      <c r="BH99" s="2676">
        <v>1250</v>
      </c>
      <c r="BI99" s="2676">
        <v>1600</v>
      </c>
      <c r="BJ99" s="2676">
        <v>1750</v>
      </c>
      <c r="BK99" s="2676">
        <v>1300</v>
      </c>
      <c r="BL99" s="2676">
        <v>1750</v>
      </c>
      <c r="BM99" s="2676">
        <v>1850</v>
      </c>
      <c r="BN99" s="2671"/>
      <c r="BO99" s="2671"/>
      <c r="BP99" s="2671"/>
      <c r="BQ99" s="3540">
        <v>1700</v>
      </c>
      <c r="BR99" s="2794">
        <v>2500</v>
      </c>
      <c r="BS99" s="777">
        <v>2850</v>
      </c>
      <c r="BT99" s="777">
        <v>4150</v>
      </c>
      <c r="BU99" s="777">
        <v>950</v>
      </c>
      <c r="BV99" s="777">
        <v>1150</v>
      </c>
      <c r="BW99" s="777">
        <v>1450</v>
      </c>
      <c r="BX99" s="777">
        <v>6250</v>
      </c>
      <c r="BY99" s="762">
        <v>1450</v>
      </c>
      <c r="BZ99" s="3012">
        <v>1200</v>
      </c>
      <c r="CA99" s="3012">
        <v>1250</v>
      </c>
      <c r="CB99" s="3012">
        <v>1300</v>
      </c>
      <c r="CC99" s="3012">
        <v>1450</v>
      </c>
      <c r="CD99" s="3012">
        <v>1250</v>
      </c>
      <c r="CE99" s="3012">
        <v>1300</v>
      </c>
      <c r="CF99" s="3012">
        <v>1450</v>
      </c>
      <c r="CG99" s="3012">
        <v>1500</v>
      </c>
      <c r="CH99" s="3012">
        <v>1300</v>
      </c>
      <c r="CI99" s="3012">
        <v>1450</v>
      </c>
      <c r="CJ99" s="3012">
        <v>1500</v>
      </c>
      <c r="CK99" s="3012">
        <v>1300</v>
      </c>
      <c r="CL99" s="3012">
        <v>1450</v>
      </c>
      <c r="CM99" s="3012">
        <v>1500</v>
      </c>
      <c r="CN99" s="806">
        <v>0</v>
      </c>
      <c r="CO99" s="3012">
        <v>1600</v>
      </c>
      <c r="CP99" s="3012">
        <v>1750</v>
      </c>
      <c r="CQ99" s="3012">
        <v>1800</v>
      </c>
      <c r="CR99" s="3012">
        <v>1850</v>
      </c>
      <c r="CS99" s="3012">
        <v>1750</v>
      </c>
      <c r="CT99" s="3012">
        <v>1800</v>
      </c>
      <c r="CU99" s="3012">
        <v>1850</v>
      </c>
      <c r="CV99" s="3012">
        <v>2000</v>
      </c>
      <c r="CW99" s="3012">
        <v>1800</v>
      </c>
      <c r="CX99" s="3012">
        <v>1850</v>
      </c>
      <c r="CY99" s="3012">
        <v>2000</v>
      </c>
      <c r="CZ99" s="3012">
        <v>1800</v>
      </c>
      <c r="DA99" s="3012">
        <v>1850</v>
      </c>
      <c r="DB99" s="3012">
        <v>2000</v>
      </c>
      <c r="DC99" s="806">
        <v>0</v>
      </c>
      <c r="DD99" s="2668"/>
      <c r="DE99" s="2795">
        <v>3650</v>
      </c>
      <c r="DF99" s="2795">
        <v>4400</v>
      </c>
      <c r="DG99" s="752">
        <v>4700</v>
      </c>
      <c r="DH99" s="752">
        <v>5700</v>
      </c>
      <c r="DI99" s="2795">
        <v>4750</v>
      </c>
      <c r="DJ99" s="2795">
        <v>5800</v>
      </c>
      <c r="DK99" s="2794">
        <v>5700</v>
      </c>
      <c r="DL99" s="2795">
        <v>5800</v>
      </c>
      <c r="DM99" s="2795">
        <v>10750</v>
      </c>
      <c r="DN99" s="752">
        <v>10750</v>
      </c>
      <c r="DO99" s="752">
        <v>10750</v>
      </c>
      <c r="DP99" s="2795">
        <v>2550</v>
      </c>
      <c r="DQ99" s="2795">
        <v>3150</v>
      </c>
      <c r="DR99" s="752">
        <v>1250</v>
      </c>
      <c r="DS99" s="2672"/>
      <c r="DT99" s="1970">
        <v>13750</v>
      </c>
      <c r="DU99" s="760">
        <v>20550</v>
      </c>
      <c r="DV99" s="1970">
        <v>5150</v>
      </c>
      <c r="DW99" s="2673"/>
      <c r="DX99" s="2673"/>
      <c r="DY99" s="1970">
        <v>30000</v>
      </c>
      <c r="DZ99" s="3378"/>
      <c r="EA99" s="3374"/>
      <c r="EB99" s="2800"/>
      <c r="EC99" s="2960"/>
      <c r="ED99" s="2960"/>
      <c r="EE99" s="2799"/>
      <c r="EF99" s="2800"/>
      <c r="EG99" s="2799"/>
      <c r="EH99" s="2800"/>
      <c r="EI99" s="2799"/>
      <c r="EJ99" s="2800"/>
      <c r="EK99" s="2799">
        <v>41000</v>
      </c>
      <c r="EL99" s="2800">
        <v>25625</v>
      </c>
      <c r="EM99" s="2800">
        <v>5125</v>
      </c>
    </row>
    <row r="100" spans="1:146" s="1742" customFormat="1" ht="24.6" hidden="1" customHeight="1" outlineLevel="2">
      <c r="A100" s="3505"/>
      <c r="B100" s="3505"/>
      <c r="C100" s="3505"/>
      <c r="D100" s="3505"/>
      <c r="E100" s="3505"/>
      <c r="F100" s="3504"/>
      <c r="G100" s="3504"/>
      <c r="H100" s="3504"/>
      <c r="I100" s="3504"/>
      <c r="W100" s="3505"/>
      <c r="X100" s="3505"/>
    </row>
    <row r="101" spans="1:146" s="589" customFormat="1" ht="15.75" hidden="1" outlineLevel="1" thickBot="1">
      <c r="D101" s="356"/>
      <c r="E101" s="356"/>
      <c r="F101" s="356"/>
      <c r="G101" s="3765" t="s">
        <v>3239</v>
      </c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  <c r="AV101" s="69"/>
      <c r="AW101" s="69"/>
      <c r="AX101" s="69"/>
      <c r="AZ101" s="69"/>
      <c r="BA101" s="69"/>
    </row>
    <row r="102" spans="1:146" s="1742" customFormat="1" ht="58.5" hidden="1" customHeight="1" outlineLevel="3" thickBot="1">
      <c r="A102" s="3505"/>
      <c r="B102" s="3505"/>
      <c r="C102" s="3505"/>
      <c r="D102" s="3510" t="s">
        <v>3070</v>
      </c>
      <c r="E102" s="3510" t="s">
        <v>3071</v>
      </c>
      <c r="F102" s="3510" t="s">
        <v>3072</v>
      </c>
      <c r="G102" s="3511" t="s">
        <v>3073</v>
      </c>
      <c r="H102" s="3511" t="s">
        <v>3074</v>
      </c>
      <c r="I102" s="3511" t="s">
        <v>3075</v>
      </c>
      <c r="J102" s="3512"/>
      <c r="K102" s="3510" t="s">
        <v>3076</v>
      </c>
      <c r="L102" s="3510" t="s">
        <v>3077</v>
      </c>
      <c r="M102" s="3510" t="s">
        <v>3078</v>
      </c>
      <c r="N102" s="3510" t="s">
        <v>3079</v>
      </c>
      <c r="O102" s="3510" t="s">
        <v>3080</v>
      </c>
      <c r="P102" s="3510" t="s">
        <v>3081</v>
      </c>
      <c r="Q102" s="3510" t="s">
        <v>3082</v>
      </c>
      <c r="R102" s="3510" t="s">
        <v>3083</v>
      </c>
      <c r="S102" s="3510" t="s">
        <v>3084</v>
      </c>
      <c r="T102" s="3510" t="s">
        <v>3085</v>
      </c>
      <c r="U102" s="3512"/>
      <c r="V102" s="3513" t="s">
        <v>3086</v>
      </c>
      <c r="W102" s="3513" t="s">
        <v>3087</v>
      </c>
      <c r="X102" s="3510" t="s">
        <v>3088</v>
      </c>
      <c r="Y102" s="3510" t="s">
        <v>3089</v>
      </c>
      <c r="Z102" s="3510" t="s">
        <v>3090</v>
      </c>
      <c r="AA102" s="3510" t="s">
        <v>3091</v>
      </c>
      <c r="AB102" s="3513" t="s">
        <v>3092</v>
      </c>
      <c r="AC102" s="3510" t="s">
        <v>3093</v>
      </c>
      <c r="AD102" s="3510"/>
      <c r="AE102" s="3512"/>
      <c r="AF102" s="3511" t="s">
        <v>3094</v>
      </c>
      <c r="AG102" s="3511" t="s">
        <v>3095</v>
      </c>
      <c r="AH102" s="3511" t="s">
        <v>3096</v>
      </c>
      <c r="AI102" s="3511" t="s">
        <v>3097</v>
      </c>
      <c r="AJ102" s="3511" t="s">
        <v>3098</v>
      </c>
      <c r="AK102" s="3511" t="s">
        <v>3099</v>
      </c>
      <c r="AL102" s="3511" t="s">
        <v>3100</v>
      </c>
      <c r="AM102" s="3511" t="s">
        <v>3101</v>
      </c>
      <c r="AN102" s="3511" t="s">
        <v>3102</v>
      </c>
      <c r="AO102" s="3511" t="s">
        <v>3103</v>
      </c>
      <c r="AP102" s="3511" t="s">
        <v>3104</v>
      </c>
      <c r="AQ102" s="3506" t="s">
        <v>3105</v>
      </c>
      <c r="AR102" s="3506" t="s">
        <v>3106</v>
      </c>
      <c r="AS102" s="3506" t="s">
        <v>3107</v>
      </c>
      <c r="AT102" s="3506" t="s">
        <v>3105</v>
      </c>
      <c r="AU102" s="3506" t="s">
        <v>3108</v>
      </c>
      <c r="AV102" s="3507"/>
      <c r="AW102" s="3506" t="s">
        <v>3109</v>
      </c>
      <c r="AX102" s="3506" t="s">
        <v>3110</v>
      </c>
      <c r="AY102" s="3506" t="s">
        <v>3111</v>
      </c>
      <c r="AZ102" s="3506" t="s">
        <v>3112</v>
      </c>
      <c r="BA102" s="3506" t="s">
        <v>3113</v>
      </c>
      <c r="BB102" s="3506" t="s">
        <v>3114</v>
      </c>
      <c r="BC102" s="3506" t="s">
        <v>3115</v>
      </c>
      <c r="BD102" s="3506" t="s">
        <v>3116</v>
      </c>
      <c r="BE102" s="3506" t="s">
        <v>3117</v>
      </c>
      <c r="BF102" s="3506" t="s">
        <v>3118</v>
      </c>
      <c r="BG102" s="3506" t="s">
        <v>3119</v>
      </c>
      <c r="BH102" s="3506" t="s">
        <v>3120</v>
      </c>
      <c r="BI102" s="3507"/>
      <c r="BJ102" s="3506" t="s">
        <v>3121</v>
      </c>
      <c r="BK102" s="3506" t="s">
        <v>3122</v>
      </c>
      <c r="BL102" s="3506" t="s">
        <v>3123</v>
      </c>
      <c r="BM102" s="3506" t="s">
        <v>3124</v>
      </c>
      <c r="BN102" s="3506" t="s">
        <v>3125</v>
      </c>
      <c r="BO102" s="3506" t="s">
        <v>3126</v>
      </c>
      <c r="BP102" s="3506" t="s">
        <v>3127</v>
      </c>
      <c r="BQ102" s="3506" t="s">
        <v>3128</v>
      </c>
      <c r="BR102" s="3506" t="s">
        <v>3129</v>
      </c>
      <c r="BS102" s="3506" t="s">
        <v>3130</v>
      </c>
      <c r="BT102" s="3506" t="s">
        <v>3131</v>
      </c>
      <c r="BU102" s="3506" t="s">
        <v>3132</v>
      </c>
      <c r="BV102" s="3507"/>
      <c r="BW102" s="2190" t="s">
        <v>3133</v>
      </c>
      <c r="BX102" s="2190" t="s">
        <v>3134</v>
      </c>
      <c r="BY102" s="2190" t="s">
        <v>3135</v>
      </c>
      <c r="BZ102" s="2190" t="s">
        <v>3136</v>
      </c>
      <c r="CA102" s="2190" t="s">
        <v>3137</v>
      </c>
      <c r="CB102" s="2190" t="s">
        <v>3138</v>
      </c>
      <c r="CC102" s="2190" t="s">
        <v>3139</v>
      </c>
      <c r="CD102" s="3507"/>
      <c r="CE102" s="2190" t="s">
        <v>3140</v>
      </c>
      <c r="CF102" s="2190" t="s">
        <v>3141</v>
      </c>
      <c r="CG102" s="2190" t="s">
        <v>3142</v>
      </c>
      <c r="CH102" s="2190" t="s">
        <v>3143</v>
      </c>
      <c r="CI102" s="2190" t="s">
        <v>3144</v>
      </c>
      <c r="CJ102" s="2190" t="s">
        <v>3145</v>
      </c>
      <c r="CK102" s="2190" t="s">
        <v>3146</v>
      </c>
      <c r="CL102" s="2190" t="s">
        <v>3147</v>
      </c>
      <c r="CM102" s="2190" t="s">
        <v>3148</v>
      </c>
      <c r="CN102" s="3509" t="s">
        <v>3149</v>
      </c>
      <c r="CO102" s="3507"/>
      <c r="CP102" s="2190" t="s">
        <v>3150</v>
      </c>
      <c r="CQ102" s="2190" t="s">
        <v>3151</v>
      </c>
      <c r="CR102" s="2190" t="s">
        <v>3152</v>
      </c>
      <c r="CS102" s="2190" t="s">
        <v>3153</v>
      </c>
      <c r="CT102" s="2190" t="s">
        <v>3154</v>
      </c>
      <c r="CU102" s="2190" t="s">
        <v>3155</v>
      </c>
      <c r="CV102" s="2190" t="s">
        <v>3156</v>
      </c>
      <c r="CW102" s="3507"/>
      <c r="CX102" s="2190" t="s">
        <v>3157</v>
      </c>
      <c r="CY102" s="2190" t="s">
        <v>3158</v>
      </c>
    </row>
    <row r="103" spans="1:146" s="1742" customFormat="1" ht="24.6" hidden="1" customHeight="1" outlineLevel="3">
      <c r="A103" s="3505">
        <f>100-23</f>
        <v>77</v>
      </c>
      <c r="B103" s="3505"/>
      <c r="C103" s="3505" t="s">
        <v>19</v>
      </c>
      <c r="D103" s="3505">
        <v>2000</v>
      </c>
      <c r="E103" s="3505">
        <v>2000</v>
      </c>
      <c r="F103" s="3505">
        <v>2200</v>
      </c>
      <c r="G103" s="1643">
        <v>4100</v>
      </c>
      <c r="H103" s="1651">
        <v>3450</v>
      </c>
      <c r="I103" s="1791">
        <v>3850</v>
      </c>
      <c r="J103" s="1785"/>
      <c r="K103" s="1672">
        <v>1050</v>
      </c>
      <c r="L103" s="1689">
        <v>1250</v>
      </c>
      <c r="M103" s="1672">
        <v>1250</v>
      </c>
      <c r="N103" s="1672">
        <v>1350</v>
      </c>
      <c r="O103" s="1672">
        <v>1750</v>
      </c>
      <c r="P103" s="1672">
        <v>1150</v>
      </c>
      <c r="Q103" s="1672">
        <v>1850</v>
      </c>
      <c r="R103" s="1672">
        <v>2950</v>
      </c>
      <c r="S103" s="1672">
        <v>1750</v>
      </c>
      <c r="T103" s="1672">
        <v>650</v>
      </c>
      <c r="U103" s="1672"/>
      <c r="V103" s="1725">
        <v>1450</v>
      </c>
      <c r="W103" s="1725">
        <v>1750</v>
      </c>
      <c r="X103" s="1643"/>
      <c r="Y103" s="1643">
        <v>1950</v>
      </c>
      <c r="Z103" s="1643">
        <v>2350</v>
      </c>
      <c r="AA103" s="1643">
        <v>2550</v>
      </c>
      <c r="AB103" s="1643">
        <v>2950</v>
      </c>
      <c r="AC103" s="1643">
        <v>3350</v>
      </c>
      <c r="AD103" s="1643"/>
      <c r="AE103" s="1643"/>
      <c r="AF103" s="1643">
        <v>2800</v>
      </c>
      <c r="AG103" s="1643">
        <v>3350</v>
      </c>
      <c r="AH103" s="1643">
        <v>3650</v>
      </c>
      <c r="AI103" s="1643">
        <v>4450</v>
      </c>
      <c r="AJ103" s="1643">
        <v>4350</v>
      </c>
      <c r="AK103" s="1643">
        <v>4450</v>
      </c>
      <c r="AL103" s="1643">
        <v>8250</v>
      </c>
      <c r="AM103" s="1643">
        <v>9950</v>
      </c>
      <c r="AN103" s="1643">
        <v>1950</v>
      </c>
      <c r="AO103" s="1643">
        <v>8300</v>
      </c>
      <c r="AP103" s="1643">
        <v>3600</v>
      </c>
      <c r="AQ103" s="1643">
        <v>2400</v>
      </c>
      <c r="AR103" s="1643">
        <v>9050</v>
      </c>
      <c r="AS103" s="1643">
        <v>4350</v>
      </c>
      <c r="AT103" s="1643">
        <v>2400</v>
      </c>
      <c r="AU103" s="1643">
        <v>950</v>
      </c>
      <c r="AV103" s="1794">
        <v>0</v>
      </c>
      <c r="AW103" s="1791">
        <v>900</v>
      </c>
      <c r="AX103" s="1785">
        <v>950</v>
      </c>
      <c r="AY103" s="1672">
        <v>1000</v>
      </c>
      <c r="AZ103" s="1689">
        <v>1050</v>
      </c>
      <c r="BA103" s="1761">
        <v>950</v>
      </c>
      <c r="BB103" s="763">
        <v>1000</v>
      </c>
      <c r="BC103" s="1797">
        <v>1050</v>
      </c>
      <c r="BD103" s="763">
        <v>1100</v>
      </c>
      <c r="BE103" s="763">
        <v>1000</v>
      </c>
      <c r="BF103" s="763">
        <v>1050</v>
      </c>
      <c r="BG103" s="763">
        <v>1100</v>
      </c>
      <c r="BH103" s="763">
        <v>1300</v>
      </c>
      <c r="BI103" s="1725"/>
      <c r="BJ103" s="1725">
        <v>1200</v>
      </c>
      <c r="BK103" s="2323">
        <v>1300</v>
      </c>
      <c r="BL103" s="1758">
        <v>1350</v>
      </c>
      <c r="BM103" s="2627">
        <v>1400</v>
      </c>
      <c r="BN103" s="1791">
        <v>1300</v>
      </c>
      <c r="BO103" s="1785">
        <v>1350</v>
      </c>
      <c r="BP103" s="1672">
        <v>1400</v>
      </c>
      <c r="BQ103" s="1689">
        <v>1500</v>
      </c>
      <c r="BR103" s="1672">
        <v>1350</v>
      </c>
      <c r="BS103" s="1672">
        <v>1400</v>
      </c>
      <c r="BT103" s="1672">
        <v>1500</v>
      </c>
      <c r="BU103" s="1672">
        <v>1750</v>
      </c>
      <c r="BV103" s="1672"/>
      <c r="BW103" s="1672">
        <v>1050</v>
      </c>
      <c r="BX103" s="1672">
        <v>1750</v>
      </c>
      <c r="BY103" s="1672">
        <v>3150</v>
      </c>
      <c r="BZ103" s="1672">
        <v>4200</v>
      </c>
      <c r="CA103" s="1672">
        <v>5250</v>
      </c>
      <c r="CB103" s="1672">
        <v>9450</v>
      </c>
      <c r="CC103" s="1672">
        <v>1750</v>
      </c>
      <c r="CD103" s="1672"/>
      <c r="CE103" s="1672">
        <v>950</v>
      </c>
      <c r="CF103" s="1652">
        <v>1200</v>
      </c>
      <c r="CG103" s="1791">
        <v>1300</v>
      </c>
      <c r="CH103" s="1785">
        <v>1000</v>
      </c>
      <c r="CI103" s="1672">
        <v>1300</v>
      </c>
      <c r="CJ103" s="1689">
        <v>1400</v>
      </c>
      <c r="CK103" s="1711">
        <v>1750</v>
      </c>
      <c r="CL103" s="763">
        <v>1900</v>
      </c>
      <c r="CM103" s="1797">
        <v>2250</v>
      </c>
      <c r="CN103" s="763">
        <v>1250</v>
      </c>
      <c r="CO103" s="763"/>
      <c r="CP103" s="763">
        <v>1900</v>
      </c>
      <c r="CQ103" s="763">
        <v>2150</v>
      </c>
      <c r="CR103" s="763">
        <v>3150</v>
      </c>
      <c r="CS103" s="763">
        <v>700</v>
      </c>
      <c r="CT103" s="763">
        <v>850</v>
      </c>
      <c r="CU103" s="246">
        <v>1050</v>
      </c>
      <c r="CV103" s="1652">
        <v>4800</v>
      </c>
      <c r="CW103" s="1791"/>
      <c r="CX103" s="1785">
        <v>50</v>
      </c>
      <c r="CY103" s="1672">
        <v>1700</v>
      </c>
    </row>
    <row r="104" spans="1:146" s="1742" customFormat="1" ht="24.6" hidden="1" customHeight="1" outlineLevel="2">
      <c r="A104" s="3505">
        <f>100-35</f>
        <v>65</v>
      </c>
      <c r="B104" s="3505"/>
      <c r="C104" s="3505"/>
      <c r="D104" s="3505"/>
      <c r="E104" s="3505"/>
      <c r="F104" s="3504"/>
      <c r="G104" s="3504"/>
      <c r="H104" s="3504"/>
      <c r="I104" s="3504"/>
      <c r="X104" s="1742">
        <v>2050</v>
      </c>
    </row>
    <row r="105" spans="1:146" s="1742" customFormat="1" ht="24.6" hidden="1" customHeight="1" outlineLevel="2">
      <c r="A105" s="3505"/>
      <c r="B105" s="3505"/>
      <c r="C105" s="3505"/>
      <c r="D105" s="3505">
        <v>2000</v>
      </c>
      <c r="E105" s="3505"/>
      <c r="F105" s="3504"/>
      <c r="G105" s="3504"/>
      <c r="H105" s="3504"/>
      <c r="I105" s="3504"/>
    </row>
    <row r="106" spans="1:146" s="1742" customFormat="1" ht="24.6" hidden="1" customHeight="1" outlineLevel="2">
      <c r="A106" s="3505"/>
      <c r="B106" s="3505"/>
      <c r="C106" s="3505"/>
      <c r="D106" s="3505">
        <v>2000</v>
      </c>
      <c r="E106" s="3505"/>
      <c r="F106" s="3504"/>
      <c r="G106" s="3504"/>
      <c r="H106" s="3504"/>
      <c r="I106" s="3504"/>
    </row>
    <row r="107" spans="1:146" s="1643" customFormat="1" ht="21" hidden="1" customHeight="1" outlineLevel="2">
      <c r="A107" s="3505"/>
      <c r="B107" s="3505"/>
      <c r="C107" s="3505"/>
      <c r="D107" s="3505">
        <v>2200</v>
      </c>
      <c r="E107" s="3505"/>
      <c r="M107" s="1643">
        <f>E185*2.5+T185*5</f>
        <v>6500</v>
      </c>
      <c r="Q107" s="1727"/>
      <c r="R107" s="246"/>
      <c r="S107" s="246"/>
      <c r="U107" s="246"/>
      <c r="V107" s="246"/>
      <c r="W107" s="246"/>
      <c r="X107" s="246"/>
      <c r="Y107" s="246"/>
      <c r="Z107" s="246"/>
      <c r="AA107" s="246"/>
      <c r="AB107" s="246"/>
      <c r="AC107" s="246">
        <f>U33*1.5</f>
        <v>2250</v>
      </c>
      <c r="AD107" s="246"/>
      <c r="AE107" s="246"/>
      <c r="AF107" s="246">
        <f>AD33*1.4</f>
        <v>3849.9999999999995</v>
      </c>
      <c r="AH107" s="1643">
        <f>AG33*1.55</f>
        <v>2170</v>
      </c>
      <c r="AO107" s="1727"/>
      <c r="AP107" s="246"/>
      <c r="AQ107" s="246"/>
      <c r="AR107" s="246"/>
      <c r="AS107" s="246"/>
      <c r="AT107" s="246"/>
      <c r="AU107" s="246"/>
      <c r="AV107" s="246"/>
      <c r="AW107" s="246"/>
      <c r="AX107" s="246"/>
      <c r="AY107" s="246"/>
      <c r="AZ107" s="246"/>
      <c r="BA107" s="246"/>
      <c r="BB107" s="246"/>
      <c r="BC107" s="246"/>
      <c r="BD107" s="246"/>
      <c r="BE107" s="246"/>
      <c r="BF107" s="246"/>
      <c r="BG107" s="246"/>
      <c r="BH107" s="246"/>
      <c r="BI107" s="246"/>
      <c r="BJ107" s="246"/>
      <c r="BK107" s="246"/>
      <c r="BL107" s="246"/>
      <c r="BM107" s="246"/>
      <c r="BN107" s="246"/>
      <c r="BO107" s="246"/>
      <c r="BP107" s="246"/>
      <c r="BQ107" s="246"/>
      <c r="BR107" s="246"/>
      <c r="BS107" s="246"/>
      <c r="BT107" s="246"/>
      <c r="BU107" s="246"/>
      <c r="BV107" s="246"/>
      <c r="BW107" s="246"/>
      <c r="BX107" s="246"/>
      <c r="BY107" s="246"/>
      <c r="BZ107" s="246"/>
      <c r="CA107" s="246"/>
      <c r="CB107" s="246"/>
      <c r="CC107" s="246"/>
      <c r="CD107" s="246"/>
      <c r="CE107" s="246"/>
      <c r="CF107" s="246"/>
      <c r="CG107" s="246"/>
      <c r="CH107" s="246"/>
      <c r="CI107" s="246"/>
      <c r="CJ107" s="246"/>
      <c r="CK107" s="246"/>
      <c r="CL107" s="246"/>
      <c r="CM107" s="246"/>
      <c r="CN107" s="246"/>
      <c r="CO107" s="246"/>
      <c r="CP107" s="246"/>
      <c r="CQ107" s="246"/>
      <c r="CR107" s="246"/>
      <c r="CS107" s="246"/>
      <c r="CT107" s="246"/>
      <c r="CU107" s="246"/>
      <c r="CV107" s="246"/>
      <c r="CW107" s="246"/>
      <c r="CX107" s="246"/>
      <c r="CY107" s="246"/>
      <c r="CZ107" s="246"/>
      <c r="DA107" s="246"/>
      <c r="DB107" s="246"/>
      <c r="DC107" s="246"/>
      <c r="DD107" s="246"/>
      <c r="DE107" s="246"/>
      <c r="DF107" s="246"/>
      <c r="DG107" s="246"/>
      <c r="DH107" s="246"/>
      <c r="DI107" s="246"/>
      <c r="DJ107" s="246"/>
      <c r="DK107" s="246"/>
      <c r="DL107" s="246"/>
      <c r="DM107" s="246"/>
      <c r="DN107" s="246"/>
      <c r="DO107" s="246"/>
      <c r="DP107" s="246"/>
      <c r="DQ107" s="246"/>
      <c r="DR107" s="246"/>
      <c r="DS107" s="246"/>
      <c r="DT107" s="246"/>
      <c r="DU107" s="246"/>
      <c r="DV107" s="246"/>
      <c r="DW107" s="246"/>
      <c r="DX107" s="246"/>
      <c r="DY107" s="246"/>
      <c r="DZ107" s="246"/>
      <c r="EA107" s="246"/>
      <c r="EB107" s="246"/>
      <c r="EC107" s="246"/>
      <c r="ED107" s="246"/>
      <c r="EE107" s="246"/>
      <c r="EF107" s="246"/>
      <c r="EG107" s="246"/>
      <c r="EH107" s="246"/>
      <c r="EI107" s="246"/>
      <c r="EJ107" s="246"/>
    </row>
    <row r="108" spans="1:146" s="1643" customFormat="1" ht="21" hidden="1" customHeight="1" outlineLevel="2">
      <c r="A108" s="1726"/>
      <c r="B108" s="1727"/>
      <c r="C108" s="2624"/>
      <c r="D108" s="1643">
        <v>4100</v>
      </c>
      <c r="Q108" s="1727"/>
      <c r="R108" s="246"/>
      <c r="S108" s="246"/>
      <c r="U108" s="246"/>
      <c r="V108" s="246"/>
      <c r="W108" s="246"/>
      <c r="X108" s="246"/>
      <c r="Y108" s="246"/>
      <c r="Z108" s="246"/>
      <c r="AA108" s="246"/>
      <c r="AB108" s="246"/>
      <c r="AC108" s="246"/>
      <c r="AD108" s="246"/>
      <c r="AE108" s="246"/>
      <c r="AF108" s="246"/>
      <c r="AO108" s="1727"/>
      <c r="AP108" s="246"/>
      <c r="AQ108" s="246"/>
      <c r="AR108" s="246"/>
      <c r="AS108" s="246"/>
      <c r="AT108" s="246"/>
      <c r="AU108" s="246"/>
      <c r="AV108" s="246"/>
      <c r="AW108" s="246"/>
      <c r="AX108" s="246"/>
      <c r="AY108" s="246"/>
      <c r="AZ108" s="246"/>
      <c r="BA108" s="246"/>
      <c r="BB108" s="246"/>
      <c r="BC108" s="246"/>
      <c r="BD108" s="246"/>
      <c r="BE108" s="246"/>
      <c r="BF108" s="246"/>
      <c r="BG108" s="246"/>
      <c r="BH108" s="246"/>
      <c r="BI108" s="246"/>
      <c r="BJ108" s="246"/>
      <c r="BK108" s="246"/>
      <c r="BL108" s="246"/>
      <c r="BM108" s="246"/>
      <c r="BN108" s="246"/>
      <c r="BO108" s="246"/>
      <c r="BP108" s="246"/>
      <c r="BQ108" s="246"/>
      <c r="BR108" s="246"/>
      <c r="BS108" s="246"/>
      <c r="BT108" s="246"/>
      <c r="BU108" s="246"/>
      <c r="BV108" s="246"/>
      <c r="BW108" s="246"/>
      <c r="BX108" s="246"/>
      <c r="BY108" s="246"/>
      <c r="BZ108" s="246"/>
      <c r="CA108" s="246"/>
      <c r="CB108" s="246"/>
      <c r="CC108" s="246"/>
      <c r="CD108" s="246"/>
      <c r="CE108" s="246"/>
      <c r="CF108" s="246"/>
      <c r="CG108" s="246"/>
      <c r="CH108" s="246"/>
      <c r="CI108" s="246"/>
      <c r="CJ108" s="246"/>
      <c r="CK108" s="246"/>
      <c r="CL108" s="246"/>
      <c r="CM108" s="246"/>
      <c r="CN108" s="246"/>
      <c r="CO108" s="246"/>
      <c r="CP108" s="246"/>
      <c r="CQ108" s="246"/>
      <c r="CR108" s="246"/>
      <c r="CS108" s="246"/>
      <c r="CT108" s="246"/>
      <c r="CU108" s="246"/>
      <c r="CV108" s="246"/>
      <c r="CW108" s="246"/>
      <c r="CX108" s="246"/>
      <c r="CY108" s="246"/>
      <c r="CZ108" s="246"/>
      <c r="DA108" s="246"/>
      <c r="DB108" s="246"/>
      <c r="DC108" s="246"/>
      <c r="DD108" s="246"/>
      <c r="DE108" s="246"/>
      <c r="DF108" s="246"/>
      <c r="DG108" s="246"/>
      <c r="DH108" s="246"/>
      <c r="DI108" s="246"/>
      <c r="DJ108" s="246"/>
      <c r="DK108" s="246"/>
      <c r="DL108" s="246"/>
      <c r="DM108" s="246"/>
      <c r="DN108" s="246"/>
      <c r="DO108" s="246"/>
      <c r="DP108" s="246"/>
      <c r="DQ108" s="246"/>
      <c r="DR108" s="246"/>
      <c r="DS108" s="246"/>
      <c r="DT108" s="246"/>
      <c r="DU108" s="246"/>
      <c r="DV108" s="246"/>
      <c r="DW108" s="246"/>
      <c r="DX108" s="246"/>
      <c r="DY108" s="246"/>
      <c r="DZ108" s="246"/>
      <c r="EA108" s="246"/>
      <c r="EB108" s="246"/>
      <c r="EC108" s="246"/>
      <c r="ED108" s="246"/>
      <c r="EE108" s="246"/>
      <c r="EF108" s="246"/>
      <c r="EG108" s="246"/>
      <c r="EH108" s="246"/>
      <c r="EI108" s="246"/>
      <c r="EJ108" s="246"/>
    </row>
    <row r="109" spans="1:146" s="761" customFormat="1" ht="21" hidden="1" customHeight="1" outlineLevel="2">
      <c r="A109" s="1649" t="s">
        <v>2573</v>
      </c>
      <c r="B109" s="1650"/>
      <c r="C109" s="1651"/>
      <c r="D109" s="1651">
        <v>3450</v>
      </c>
      <c r="E109" s="1651"/>
      <c r="F109" s="1651" t="s">
        <v>2603</v>
      </c>
      <c r="G109" s="1651"/>
      <c r="H109" s="1651"/>
      <c r="I109" s="1651"/>
      <c r="J109" s="1651"/>
      <c r="K109" s="1653" t="s">
        <v>2783</v>
      </c>
      <c r="L109" s="1651"/>
      <c r="M109" s="1651"/>
      <c r="N109" s="1651"/>
      <c r="O109" s="1651"/>
      <c r="P109" s="1651"/>
      <c r="Q109" s="1653" t="s">
        <v>2783</v>
      </c>
      <c r="R109" s="1651"/>
      <c r="S109" s="1651"/>
      <c r="T109" s="1651"/>
      <c r="U109" s="1651"/>
      <c r="V109" s="1651"/>
      <c r="W109" s="1651"/>
      <c r="X109" s="1651"/>
      <c r="Y109" s="1651" t="s">
        <v>2599</v>
      </c>
      <c r="Z109" s="1651" t="s">
        <v>2599</v>
      </c>
      <c r="AA109" s="1651" t="s">
        <v>2599</v>
      </c>
      <c r="AB109" s="1651"/>
      <c r="AC109" s="1651"/>
      <c r="AD109" s="1651"/>
      <c r="AE109" s="1651"/>
      <c r="AF109" s="1651"/>
      <c r="AG109" s="1651"/>
      <c r="AH109" s="1651"/>
      <c r="AI109" s="1651"/>
      <c r="AJ109" s="1651"/>
      <c r="AK109" s="1651"/>
      <c r="AL109" s="1651"/>
      <c r="AM109" s="1651"/>
      <c r="AN109" s="1651"/>
      <c r="AO109" s="1650"/>
      <c r="AP109" s="1651"/>
      <c r="AQ109" s="1651"/>
      <c r="AR109" s="1653"/>
      <c r="AS109" s="1651"/>
      <c r="AT109" s="1651"/>
      <c r="AU109" s="1651">
        <v>1.5</v>
      </c>
      <c r="AV109" s="1651"/>
      <c r="AW109" s="1651"/>
      <c r="AX109" s="1651"/>
      <c r="AY109" s="1651"/>
      <c r="AZ109" s="1651"/>
      <c r="BA109" s="1651"/>
      <c r="BB109" s="1651"/>
      <c r="BC109" s="1651"/>
      <c r="BD109" s="1651"/>
      <c r="BE109" s="1651"/>
      <c r="BF109" s="1651"/>
      <c r="BG109" s="3327" t="s">
        <v>2937</v>
      </c>
      <c r="BH109" s="1651"/>
      <c r="BI109" s="1651"/>
      <c r="BJ109" s="1651"/>
      <c r="BK109" s="1651"/>
      <c r="BL109" s="1651"/>
      <c r="BM109" s="1651"/>
      <c r="BN109" s="1651"/>
      <c r="BO109" s="1651"/>
      <c r="BP109" s="1651"/>
      <c r="BQ109" s="1650"/>
      <c r="BR109" s="1651"/>
      <c r="BS109" s="1651"/>
      <c r="BT109" s="1651"/>
      <c r="BU109" s="1651"/>
      <c r="BV109" s="1651"/>
      <c r="BW109" s="1651"/>
      <c r="BX109" s="1651"/>
      <c r="BY109" s="1650"/>
      <c r="BZ109" s="1651" t="s">
        <v>2622</v>
      </c>
      <c r="CA109" s="1651"/>
      <c r="CB109" s="1651"/>
      <c r="CC109" s="1651"/>
      <c r="CD109" s="1651"/>
      <c r="CE109" s="1651"/>
      <c r="CF109" s="1651"/>
      <c r="CG109" s="1651"/>
      <c r="CH109" s="1651"/>
      <c r="CI109" s="1651"/>
      <c r="CJ109" s="1651"/>
      <c r="CK109" s="1651"/>
      <c r="CL109" s="1651"/>
      <c r="CM109" s="1651"/>
      <c r="CN109" s="1651"/>
      <c r="CO109" s="1651"/>
      <c r="CP109" s="1651"/>
      <c r="CQ109" s="1651"/>
      <c r="CR109" s="1651"/>
      <c r="CS109" s="1651"/>
      <c r="CT109" s="1651"/>
      <c r="CU109" s="1651"/>
      <c r="CV109" s="1651"/>
      <c r="CW109" s="1651"/>
      <c r="CX109" s="1651"/>
      <c r="CY109" s="1651"/>
      <c r="CZ109" s="1651"/>
      <c r="DA109" s="1651"/>
      <c r="DB109" s="1651"/>
      <c r="DC109" s="1651"/>
      <c r="DD109" s="1650"/>
      <c r="DE109" s="1651"/>
      <c r="DF109" s="1651"/>
      <c r="DG109" s="1651"/>
      <c r="DH109" s="1651"/>
      <c r="DI109" s="1651"/>
      <c r="DJ109" s="1651"/>
      <c r="DK109" s="1651"/>
      <c r="DL109" s="1651"/>
      <c r="DM109" s="1651"/>
      <c r="DN109" s="1651"/>
      <c r="DO109" s="1651"/>
      <c r="DP109" s="1651"/>
      <c r="DQ109" s="1651"/>
      <c r="DR109" s="1651"/>
      <c r="DS109" s="1650"/>
      <c r="DT109" s="1651"/>
      <c r="DU109" s="1651"/>
      <c r="DV109" s="1651"/>
      <c r="DW109" s="1651"/>
      <c r="DX109" s="1651"/>
      <c r="DY109" s="1651"/>
      <c r="DZ109" s="1651"/>
      <c r="EA109" s="1651"/>
      <c r="EB109" s="1651"/>
      <c r="EC109" s="1651"/>
      <c r="ED109" s="1651"/>
      <c r="EE109" s="1651"/>
      <c r="EF109" s="1651"/>
      <c r="EG109" s="1651"/>
      <c r="EH109" s="1651"/>
      <c r="EI109" s="1651"/>
      <c r="EJ109" s="1651"/>
      <c r="EK109" s="1651"/>
      <c r="EL109" s="1651"/>
      <c r="EM109" s="1651"/>
      <c r="EN109" s="1651"/>
      <c r="EO109" s="1651"/>
      <c r="EP109" s="1651"/>
    </row>
    <row r="110" spans="1:146" s="761" customFormat="1" ht="21" hidden="1" customHeight="1" outlineLevel="3">
      <c r="A110" s="4938" t="s">
        <v>1016</v>
      </c>
      <c r="B110" s="4938"/>
      <c r="C110" s="1654"/>
      <c r="D110" s="1791">
        <v>3850</v>
      </c>
      <c r="E110" s="1792"/>
      <c r="F110" s="1792"/>
      <c r="G110" s="1792"/>
      <c r="H110" s="1792"/>
      <c r="I110" s="1792"/>
      <c r="J110" s="1792"/>
      <c r="K110" s="1792"/>
      <c r="L110" s="1792"/>
      <c r="M110" s="1792"/>
      <c r="N110" s="1792"/>
      <c r="O110" s="1792"/>
      <c r="P110" s="1793"/>
      <c r="Q110" s="1655"/>
      <c r="R110" s="1783" t="s">
        <v>89</v>
      </c>
      <c r="S110" s="1784"/>
      <c r="T110" s="1784"/>
      <c r="U110" s="1784"/>
      <c r="V110" s="1784"/>
      <c r="W110" s="1784"/>
      <c r="X110" s="1784"/>
      <c r="Y110" s="1784"/>
      <c r="Z110" s="1784"/>
      <c r="AA110" s="1784"/>
      <c r="AB110" s="1784"/>
      <c r="AC110" s="1784"/>
      <c r="AD110" s="1784"/>
      <c r="AE110" s="1784"/>
      <c r="AF110" s="1784"/>
      <c r="AG110" s="1784"/>
      <c r="AH110" s="1656"/>
      <c r="AI110" s="1656"/>
      <c r="AJ110" s="1784"/>
      <c r="AK110" s="1784"/>
      <c r="AL110" s="1784"/>
      <c r="AM110" s="1784"/>
      <c r="AN110" s="1784"/>
      <c r="AO110" s="1655"/>
      <c r="AP110" s="1783" t="s">
        <v>2194</v>
      </c>
      <c r="AQ110" s="1783"/>
      <c r="AR110" s="4914" t="s">
        <v>1014</v>
      </c>
      <c r="AS110" s="4914"/>
      <c r="AT110" s="4915"/>
      <c r="AU110" s="4914"/>
      <c r="AV110" s="4915"/>
      <c r="AW110" s="4914"/>
      <c r="AX110" s="4914"/>
      <c r="AY110" s="4914"/>
      <c r="AZ110" s="4914"/>
      <c r="BA110" s="4914"/>
      <c r="BB110" s="4914"/>
      <c r="BC110" s="4866" t="s">
        <v>2934</v>
      </c>
      <c r="BD110" s="4867" t="s">
        <v>883</v>
      </c>
      <c r="BE110" s="4868" t="s">
        <v>695</v>
      </c>
      <c r="BF110" s="4866" t="s">
        <v>2792</v>
      </c>
      <c r="BG110" s="4871" t="s">
        <v>2936</v>
      </c>
      <c r="BH110" s="4873" t="s">
        <v>108</v>
      </c>
      <c r="BI110" s="4874"/>
      <c r="BJ110" s="4874"/>
      <c r="BK110" s="4874"/>
      <c r="BL110" s="4874"/>
      <c r="BM110" s="4874"/>
      <c r="BN110" s="4874"/>
      <c r="BO110" s="4874"/>
      <c r="BP110" s="4874"/>
      <c r="BQ110" s="1655"/>
      <c r="BR110" s="4875" t="s">
        <v>456</v>
      </c>
      <c r="BS110" s="4875"/>
      <c r="BT110" s="4875"/>
      <c r="BU110" s="4875"/>
      <c r="BV110" s="4875"/>
      <c r="BW110" s="4875"/>
      <c r="BX110" s="4875"/>
      <c r="BY110" s="1655"/>
      <c r="BZ110" s="4857" t="s">
        <v>1015</v>
      </c>
      <c r="CA110" s="4858"/>
      <c r="CB110" s="4858"/>
      <c r="CC110" s="4858"/>
      <c r="CD110" s="4858"/>
      <c r="CE110" s="4858"/>
      <c r="CF110" s="4858"/>
      <c r="CG110" s="4858"/>
      <c r="CH110" s="4858"/>
      <c r="CI110" s="4858"/>
      <c r="CJ110" s="4858"/>
      <c r="CK110" s="4858"/>
      <c r="CL110" s="4858"/>
      <c r="CM110" s="4858"/>
      <c r="CN110" s="4858"/>
      <c r="CO110" s="4858"/>
      <c r="CP110" s="4858"/>
      <c r="CQ110" s="4858"/>
      <c r="CR110" s="4858"/>
      <c r="CS110" s="4858"/>
      <c r="CT110" s="4858"/>
      <c r="CU110" s="4858"/>
      <c r="CV110" s="4858"/>
      <c r="CW110" s="4858"/>
      <c r="CX110" s="4858"/>
      <c r="CY110" s="4858"/>
      <c r="CZ110" s="4858"/>
      <c r="DA110" s="4858"/>
      <c r="DB110" s="4858"/>
      <c r="DC110" s="4858"/>
      <c r="DD110" s="1655"/>
      <c r="DE110" s="1658"/>
      <c r="DF110" s="1658"/>
      <c r="DG110" s="1658"/>
      <c r="DH110" s="1658"/>
      <c r="DI110" s="1658"/>
      <c r="DJ110" s="1658"/>
      <c r="DK110" s="1659" t="s">
        <v>1038</v>
      </c>
      <c r="DL110" s="1658"/>
      <c r="DM110" s="1658"/>
      <c r="DN110" s="1658"/>
      <c r="DO110" s="1658"/>
      <c r="DP110" s="1658"/>
      <c r="DQ110" s="1658"/>
      <c r="DR110" s="1660"/>
      <c r="DS110" s="1655"/>
      <c r="DT110" s="4876" t="s">
        <v>693</v>
      </c>
      <c r="DU110" s="4876"/>
      <c r="DV110" s="4876"/>
      <c r="DW110" s="4877"/>
      <c r="DX110" s="4876"/>
      <c r="DY110" s="4876"/>
      <c r="DZ110" s="159"/>
      <c r="EA110" s="159"/>
      <c r="EB110" s="159"/>
      <c r="EC110" s="159"/>
      <c r="ED110" s="159"/>
      <c r="EE110" s="159"/>
      <c r="EF110" s="159"/>
      <c r="EG110" s="159"/>
      <c r="EH110" s="159"/>
      <c r="EI110" s="159"/>
      <c r="EJ110" s="159"/>
      <c r="EK110" s="159"/>
      <c r="EL110" s="159"/>
      <c r="EM110" s="159"/>
      <c r="EN110" s="159"/>
      <c r="EO110" s="159"/>
      <c r="EP110" s="159"/>
    </row>
    <row r="111" spans="1:146" s="761" customFormat="1" ht="21" hidden="1" customHeight="1" outlineLevel="3">
      <c r="A111" s="4938" t="s">
        <v>725</v>
      </c>
      <c r="B111" s="4938"/>
      <c r="C111" s="1661"/>
      <c r="D111" s="1785">
        <v>0</v>
      </c>
      <c r="E111" s="1786"/>
      <c r="F111" s="1786"/>
      <c r="G111" s="1786"/>
      <c r="H111" s="1786"/>
      <c r="I111" s="1786"/>
      <c r="J111" s="1786"/>
      <c r="K111" s="1786"/>
      <c r="L111" s="1787"/>
      <c r="M111" s="4878" t="s">
        <v>1023</v>
      </c>
      <c r="N111" s="4879"/>
      <c r="O111" s="4879"/>
      <c r="P111" s="4880"/>
      <c r="Q111" s="1662"/>
      <c r="R111" s="1788" t="s">
        <v>1026</v>
      </c>
      <c r="S111" s="1789"/>
      <c r="T111" s="1789"/>
      <c r="U111" s="1789"/>
      <c r="V111" s="1789"/>
      <c r="W111" s="1789"/>
      <c r="X111" s="1789"/>
      <c r="Y111" s="1789"/>
      <c r="Z111" s="1789"/>
      <c r="AA111" s="1789"/>
      <c r="AB111" s="1789"/>
      <c r="AC111" s="1789"/>
      <c r="AD111" s="1789"/>
      <c r="AE111" s="1789"/>
      <c r="AF111" s="1790"/>
      <c r="AG111" s="1666" t="s">
        <v>1027</v>
      </c>
      <c r="AH111" s="1667"/>
      <c r="AI111" s="1667"/>
      <c r="AJ111" s="1667"/>
      <c r="AK111" s="1667"/>
      <c r="AL111" s="1668"/>
      <c r="AM111" s="1669" t="s">
        <v>1028</v>
      </c>
      <c r="AN111" s="1670"/>
      <c r="AO111" s="1662"/>
      <c r="AP111" s="1788"/>
      <c r="AQ111" s="1788"/>
      <c r="AR111" s="4854" t="s">
        <v>2235</v>
      </c>
      <c r="AS111" s="4855"/>
      <c r="AT111" s="4855"/>
      <c r="AU111" s="4856"/>
      <c r="AV111" s="3393"/>
      <c r="AW111" s="4881" t="s">
        <v>1048</v>
      </c>
      <c r="AX111" s="4883" t="s">
        <v>1049</v>
      </c>
      <c r="AY111" s="4884"/>
      <c r="AZ111" s="4884"/>
      <c r="BA111" s="4884"/>
      <c r="BB111" s="4885"/>
      <c r="BC111" s="4866"/>
      <c r="BD111" s="4867"/>
      <c r="BE111" s="4869"/>
      <c r="BF111" s="4866"/>
      <c r="BG111" s="4872"/>
      <c r="BH111" s="4889" t="s">
        <v>709</v>
      </c>
      <c r="BI111" s="4890"/>
      <c r="BJ111" s="4891"/>
      <c r="BK111" s="4889" t="s">
        <v>1022</v>
      </c>
      <c r="BL111" s="4890"/>
      <c r="BM111" s="4891"/>
      <c r="BN111" s="4881" t="s">
        <v>1030</v>
      </c>
      <c r="BO111" s="4881" t="s">
        <v>743</v>
      </c>
      <c r="BP111" s="4881" t="s">
        <v>1029</v>
      </c>
      <c r="BQ111" s="1662"/>
      <c r="BR111" s="4895" t="s">
        <v>1052</v>
      </c>
      <c r="BS111" s="4896"/>
      <c r="BT111" s="4897"/>
      <c r="BU111" s="4901" t="s">
        <v>1053</v>
      </c>
      <c r="BV111" s="4902"/>
      <c r="BW111" s="4903"/>
      <c r="BX111" s="4907" t="s">
        <v>1054</v>
      </c>
      <c r="BY111" s="1662"/>
      <c r="BZ111" s="4909" t="s">
        <v>1020</v>
      </c>
      <c r="CA111" s="4910"/>
      <c r="CB111" s="4910"/>
      <c r="CC111" s="4910"/>
      <c r="CD111" s="4910"/>
      <c r="CE111" s="4910"/>
      <c r="CF111" s="4910"/>
      <c r="CG111" s="4910"/>
      <c r="CH111" s="4910"/>
      <c r="CI111" s="4910"/>
      <c r="CJ111" s="4910"/>
      <c r="CK111" s="4910"/>
      <c r="CL111" s="4910"/>
      <c r="CM111" s="4910"/>
      <c r="CN111" s="4911"/>
      <c r="CO111" s="4912" t="s">
        <v>1021</v>
      </c>
      <c r="CP111" s="4913"/>
      <c r="CQ111" s="4913"/>
      <c r="CR111" s="4913"/>
      <c r="CS111" s="4913"/>
      <c r="CT111" s="4913"/>
      <c r="CU111" s="4913"/>
      <c r="CV111" s="4913"/>
      <c r="CW111" s="4913"/>
      <c r="CX111" s="4913"/>
      <c r="CY111" s="4913"/>
      <c r="CZ111" s="4913"/>
      <c r="DA111" s="4913"/>
      <c r="DB111" s="4913"/>
      <c r="DC111" s="4913"/>
      <c r="DD111" s="1662"/>
      <c r="DE111" s="4850" t="s">
        <v>710</v>
      </c>
      <c r="DF111" s="4850"/>
      <c r="DG111" s="4850" t="s">
        <v>711</v>
      </c>
      <c r="DH111" s="4850"/>
      <c r="DI111" s="4850" t="s">
        <v>712</v>
      </c>
      <c r="DJ111" s="4850"/>
      <c r="DK111" s="4850" t="s">
        <v>713</v>
      </c>
      <c r="DL111" s="4850"/>
      <c r="DM111" s="4850" t="s">
        <v>714</v>
      </c>
      <c r="DN111" s="4850"/>
      <c r="DO111" s="4850"/>
      <c r="DP111" s="4850" t="s">
        <v>715</v>
      </c>
      <c r="DQ111" s="4850" t="s">
        <v>716</v>
      </c>
      <c r="DR111" s="4850" t="s">
        <v>2791</v>
      </c>
      <c r="DS111" s="1662"/>
      <c r="DT111" s="4851" t="s">
        <v>1037</v>
      </c>
      <c r="DU111" s="4851"/>
      <c r="DV111" s="4851"/>
      <c r="DW111" s="2948"/>
      <c r="DX111" s="4851" t="s">
        <v>996</v>
      </c>
      <c r="DY111" s="4851"/>
      <c r="DZ111" s="1671"/>
      <c r="EA111" s="1671"/>
      <c r="EB111" s="1671"/>
      <c r="EC111" s="1671"/>
      <c r="ED111" s="1671"/>
      <c r="EE111" s="1671"/>
      <c r="EF111" s="1671"/>
      <c r="EG111" s="1671"/>
      <c r="EH111" s="1671"/>
      <c r="EI111" s="1671"/>
      <c r="EJ111" s="1671"/>
      <c r="EK111" s="1671"/>
      <c r="EL111" s="1671"/>
      <c r="EM111" s="1671"/>
      <c r="EN111" s="1671"/>
      <c r="EO111" s="1671"/>
      <c r="EP111" s="1671"/>
    </row>
    <row r="112" spans="1:146" s="761" customFormat="1" ht="21" hidden="1" customHeight="1" outlineLevel="3">
      <c r="A112" s="4938"/>
      <c r="B112" s="4938"/>
      <c r="C112" s="1654"/>
      <c r="D112" s="1672">
        <v>1050</v>
      </c>
      <c r="E112" s="1672" t="s">
        <v>2602</v>
      </c>
      <c r="F112" s="2658" t="s">
        <v>2620</v>
      </c>
      <c r="G112" s="1673" t="s">
        <v>18</v>
      </c>
      <c r="H112" s="1673" t="s">
        <v>380</v>
      </c>
      <c r="I112" s="1674" t="s">
        <v>705</v>
      </c>
      <c r="J112" s="3391" t="s">
        <v>1006</v>
      </c>
      <c r="K112" s="2659" t="s">
        <v>2785</v>
      </c>
      <c r="L112" s="2660" t="s">
        <v>1008</v>
      </c>
      <c r="M112" s="4916" t="s">
        <v>1024</v>
      </c>
      <c r="N112" s="4917"/>
      <c r="O112" s="4918"/>
      <c r="P112" s="753" t="s">
        <v>1025</v>
      </c>
      <c r="Q112" s="2659" t="s">
        <v>2784</v>
      </c>
      <c r="R112" s="1672" t="s">
        <v>2191</v>
      </c>
      <c r="S112" s="1672" t="s">
        <v>1010</v>
      </c>
      <c r="T112" s="1657" t="s">
        <v>2782</v>
      </c>
      <c r="U112" s="1656"/>
      <c r="V112" s="1656"/>
      <c r="W112" s="1677"/>
      <c r="X112" s="2639"/>
      <c r="Y112" s="2638" t="s">
        <v>2593</v>
      </c>
      <c r="Z112" s="2638" t="s">
        <v>2595</v>
      </c>
      <c r="AA112" s="2638" t="s">
        <v>2597</v>
      </c>
      <c r="AB112" s="1678" t="s">
        <v>92</v>
      </c>
      <c r="AC112" s="1678" t="s">
        <v>93</v>
      </c>
      <c r="AD112" s="1678"/>
      <c r="AE112" s="3392"/>
      <c r="AF112" s="1678" t="s">
        <v>257</v>
      </c>
      <c r="AG112" s="1680" t="s">
        <v>18</v>
      </c>
      <c r="AH112" s="1680" t="s">
        <v>18</v>
      </c>
      <c r="AI112" s="1680" t="s">
        <v>18</v>
      </c>
      <c r="AJ112" s="1680" t="s">
        <v>380</v>
      </c>
      <c r="AK112" s="754" t="s">
        <v>705</v>
      </c>
      <c r="AL112" s="754" t="s">
        <v>706</v>
      </c>
      <c r="AM112" s="1681" t="s">
        <v>1011</v>
      </c>
      <c r="AN112" s="1681" t="s">
        <v>1012</v>
      </c>
      <c r="AO112" s="1655"/>
      <c r="AP112" s="1672" t="s">
        <v>2191</v>
      </c>
      <c r="AQ112" s="1672" t="s">
        <v>2191</v>
      </c>
      <c r="AR112" s="4854" t="s">
        <v>2236</v>
      </c>
      <c r="AS112" s="4855"/>
      <c r="AT112" s="4856"/>
      <c r="AU112" s="2168" t="s">
        <v>2237</v>
      </c>
      <c r="AV112" s="2694" t="s">
        <v>2610</v>
      </c>
      <c r="AW112" s="4882"/>
      <c r="AX112" s="4886"/>
      <c r="AY112" s="4887"/>
      <c r="AZ112" s="4887"/>
      <c r="BA112" s="4887"/>
      <c r="BB112" s="4888"/>
      <c r="BC112" s="4866"/>
      <c r="BD112" s="4867"/>
      <c r="BE112" s="4870"/>
      <c r="BF112" s="4866"/>
      <c r="BG112" s="4872"/>
      <c r="BH112" s="4892"/>
      <c r="BI112" s="4893"/>
      <c r="BJ112" s="4894"/>
      <c r="BK112" s="4892"/>
      <c r="BL112" s="4893"/>
      <c r="BM112" s="4894"/>
      <c r="BN112" s="4882"/>
      <c r="BO112" s="4882"/>
      <c r="BP112" s="4882"/>
      <c r="BQ112" s="1655" t="s">
        <v>2787</v>
      </c>
      <c r="BR112" s="4898"/>
      <c r="BS112" s="4899"/>
      <c r="BT112" s="4900"/>
      <c r="BU112" s="4904"/>
      <c r="BV112" s="4905"/>
      <c r="BW112" s="4906"/>
      <c r="BX112" s="4908"/>
      <c r="BY112" s="1655"/>
      <c r="BZ112" s="4857" t="s">
        <v>447</v>
      </c>
      <c r="CA112" s="4858"/>
      <c r="CB112" s="4858"/>
      <c r="CC112" s="4859"/>
      <c r="CD112" s="4860" t="s">
        <v>448</v>
      </c>
      <c r="CE112" s="4861"/>
      <c r="CF112" s="4861"/>
      <c r="CG112" s="4862"/>
      <c r="CH112" s="4857" t="s">
        <v>445</v>
      </c>
      <c r="CI112" s="4858"/>
      <c r="CJ112" s="4859"/>
      <c r="CK112" s="4860" t="s">
        <v>446</v>
      </c>
      <c r="CL112" s="4861"/>
      <c r="CM112" s="4862"/>
      <c r="CN112" s="1682" t="s">
        <v>1068</v>
      </c>
      <c r="CO112" s="4863" t="s">
        <v>452</v>
      </c>
      <c r="CP112" s="4864"/>
      <c r="CQ112" s="4864"/>
      <c r="CR112" s="4865"/>
      <c r="CS112" s="4863" t="s">
        <v>453</v>
      </c>
      <c r="CT112" s="4864"/>
      <c r="CU112" s="4864"/>
      <c r="CV112" s="4865"/>
      <c r="CW112" s="4852" t="s">
        <v>889</v>
      </c>
      <c r="CX112" s="4853"/>
      <c r="CY112" s="4853"/>
      <c r="CZ112" s="4852" t="s">
        <v>890</v>
      </c>
      <c r="DA112" s="4853"/>
      <c r="DB112" s="4853"/>
      <c r="DC112" s="1683" t="s">
        <v>454</v>
      </c>
      <c r="DD112" s="1655"/>
      <c r="DE112" s="4850"/>
      <c r="DF112" s="4850"/>
      <c r="DG112" s="4850"/>
      <c r="DH112" s="4850"/>
      <c r="DI112" s="4850"/>
      <c r="DJ112" s="4850"/>
      <c r="DK112" s="1684" t="s">
        <v>189</v>
      </c>
      <c r="DL112" s="1684" t="s">
        <v>190</v>
      </c>
      <c r="DM112" s="1685" t="s">
        <v>187</v>
      </c>
      <c r="DN112" s="1685" t="s">
        <v>719</v>
      </c>
      <c r="DO112" s="1686" t="s">
        <v>720</v>
      </c>
      <c r="DP112" s="4850"/>
      <c r="DQ112" s="4850"/>
      <c r="DR112" s="4850"/>
      <c r="DS112" s="1655"/>
      <c r="DT112" s="1687" t="s">
        <v>1032</v>
      </c>
      <c r="DU112" s="1687" t="s">
        <v>2199</v>
      </c>
      <c r="DV112" s="1687" t="s">
        <v>1034</v>
      </c>
      <c r="DW112" s="2949" t="s">
        <v>2768</v>
      </c>
      <c r="DX112" s="1687" t="s">
        <v>986</v>
      </c>
      <c r="DY112" s="1687" t="s">
        <v>987</v>
      </c>
      <c r="DZ112" s="3375" t="s">
        <v>2999</v>
      </c>
      <c r="EB112" s="761">
        <v>1.1499999999999999</v>
      </c>
      <c r="EF112" s="761">
        <v>1.1000000000000001</v>
      </c>
      <c r="EH112" s="761">
        <v>1.1000000000000001</v>
      </c>
      <c r="EJ112" s="761">
        <v>1.1000000000000001</v>
      </c>
      <c r="EL112" s="2801">
        <v>1</v>
      </c>
      <c r="EM112" s="2801">
        <v>0.2</v>
      </c>
      <c r="EN112" s="761" t="s">
        <v>2698</v>
      </c>
    </row>
    <row r="113" spans="1:146" s="761" customFormat="1" ht="21" hidden="1" customHeight="1" outlineLevel="3">
      <c r="A113" s="4929" t="s">
        <v>1017</v>
      </c>
      <c r="B113" s="4929"/>
      <c r="C113" s="1688"/>
      <c r="D113" s="1689">
        <v>1250</v>
      </c>
      <c r="E113" s="2990" t="s">
        <v>1041</v>
      </c>
      <c r="F113" s="1689"/>
      <c r="G113" s="2992" t="s">
        <v>1043</v>
      </c>
      <c r="H113" s="2992" t="s">
        <v>1044</v>
      </c>
      <c r="I113" s="2992" t="s">
        <v>1045</v>
      </c>
      <c r="J113" s="1692" t="s">
        <v>1041</v>
      </c>
      <c r="K113" s="2993" t="s">
        <v>1046</v>
      </c>
      <c r="L113" s="2993" t="s">
        <v>440</v>
      </c>
      <c r="M113" s="1693"/>
      <c r="N113" s="1693"/>
      <c r="O113" s="1693"/>
      <c r="P113" s="1693"/>
      <c r="Q113" s="3004" t="s">
        <v>2786</v>
      </c>
      <c r="R113" s="1689"/>
      <c r="S113" s="1689" t="s">
        <v>974</v>
      </c>
      <c r="T113" s="2994" t="s">
        <v>972</v>
      </c>
      <c r="U113" s="2994" t="s">
        <v>973</v>
      </c>
      <c r="V113" s="2994" t="s">
        <v>974</v>
      </c>
      <c r="W113" s="2994" t="s">
        <v>975</v>
      </c>
      <c r="X113" s="2640" t="s">
        <v>979</v>
      </c>
      <c r="Y113" s="3000" t="s">
        <v>2594</v>
      </c>
      <c r="Z113" s="3000" t="s">
        <v>2596</v>
      </c>
      <c r="AA113" s="3000" t="s">
        <v>2598</v>
      </c>
      <c r="AB113" s="2994" t="s">
        <v>976</v>
      </c>
      <c r="AC113" s="2994" t="s">
        <v>977</v>
      </c>
      <c r="AD113" s="2994"/>
      <c r="AE113" s="2994"/>
      <c r="AF113" s="2994" t="s">
        <v>978</v>
      </c>
      <c r="AG113" s="2992" t="s">
        <v>973</v>
      </c>
      <c r="AH113" s="2998" t="s">
        <v>2605</v>
      </c>
      <c r="AI113" s="2998" t="s">
        <v>2606</v>
      </c>
      <c r="AJ113" s="2992" t="s">
        <v>973</v>
      </c>
      <c r="AK113" s="2993" t="s">
        <v>977</v>
      </c>
      <c r="AL113" s="2993" t="s">
        <v>980</v>
      </c>
      <c r="AM113" s="1697" t="s">
        <v>974</v>
      </c>
      <c r="AN113" s="1698" t="s">
        <v>972</v>
      </c>
      <c r="AO113" s="1694"/>
      <c r="AP113" s="1788">
        <v>100</v>
      </c>
      <c r="AQ113" s="1788">
        <v>200</v>
      </c>
      <c r="AR113" s="2993" t="s">
        <v>2233</v>
      </c>
      <c r="AS113" s="2993" t="s">
        <v>2234</v>
      </c>
      <c r="AT113" s="2993" t="s">
        <v>981</v>
      </c>
      <c r="AU113" s="2993" t="s">
        <v>981</v>
      </c>
      <c r="AV113" s="3002"/>
      <c r="AW113" s="2993" t="s">
        <v>2924</v>
      </c>
      <c r="AX113" s="1699">
        <v>75</v>
      </c>
      <c r="AY113" s="1699">
        <v>100</v>
      </c>
      <c r="AZ113" s="1699">
        <v>120</v>
      </c>
      <c r="BA113" s="1699">
        <v>150</v>
      </c>
      <c r="BB113" s="1699">
        <v>200</v>
      </c>
      <c r="BC113" s="3003" t="s">
        <v>2935</v>
      </c>
      <c r="BD113" s="2999" t="s">
        <v>982</v>
      </c>
      <c r="BE113" s="1702"/>
      <c r="BF113" s="3022" t="s">
        <v>983</v>
      </c>
      <c r="BG113" s="3328"/>
      <c r="BH113" s="2993">
        <v>75</v>
      </c>
      <c r="BI113" s="2993">
        <v>90</v>
      </c>
      <c r="BJ113" s="2993">
        <v>110</v>
      </c>
      <c r="BK113" s="2993">
        <v>75</v>
      </c>
      <c r="BL113" s="2993">
        <v>90</v>
      </c>
      <c r="BM113" s="2993">
        <v>110</v>
      </c>
      <c r="BN113" s="2993" t="s">
        <v>979</v>
      </c>
      <c r="BO113" s="2993" t="s">
        <v>978</v>
      </c>
      <c r="BP113" s="2993" t="s">
        <v>978</v>
      </c>
      <c r="BQ113" s="3004"/>
      <c r="BR113" s="3008" t="s">
        <v>383</v>
      </c>
      <c r="BS113" s="3008" t="s">
        <v>381</v>
      </c>
      <c r="BT113" s="3008" t="s">
        <v>384</v>
      </c>
      <c r="BU113" s="3008" t="s">
        <v>385</v>
      </c>
      <c r="BV113" s="3008" t="s">
        <v>386</v>
      </c>
      <c r="BW113" s="3008" t="s">
        <v>387</v>
      </c>
      <c r="BX113" s="3008" t="s">
        <v>388</v>
      </c>
      <c r="BY113" s="1694"/>
      <c r="BZ113" s="3013" t="s">
        <v>1039</v>
      </c>
      <c r="CA113" s="3013" t="s">
        <v>467</v>
      </c>
      <c r="CB113" s="3013" t="s">
        <v>466</v>
      </c>
      <c r="CC113" s="3013" t="s">
        <v>470</v>
      </c>
      <c r="CD113" s="3013" t="s">
        <v>468</v>
      </c>
      <c r="CE113" s="3013" t="s">
        <v>467</v>
      </c>
      <c r="CF113" s="3013" t="s">
        <v>466</v>
      </c>
      <c r="CG113" s="3013" t="s">
        <v>470</v>
      </c>
      <c r="CH113" s="3013" t="s">
        <v>468</v>
      </c>
      <c r="CI113" s="3013" t="s">
        <v>467</v>
      </c>
      <c r="CJ113" s="3013" t="s">
        <v>466</v>
      </c>
      <c r="CK113" s="1705" t="s">
        <v>468</v>
      </c>
      <c r="CL113" s="1705" t="s">
        <v>467</v>
      </c>
      <c r="CM113" s="1705" t="s">
        <v>466</v>
      </c>
      <c r="CN113" s="3014" t="s">
        <v>469</v>
      </c>
      <c r="CO113" s="2993" t="s">
        <v>476</v>
      </c>
      <c r="CP113" s="2993" t="s">
        <v>477</v>
      </c>
      <c r="CQ113" s="2993" t="s">
        <v>478</v>
      </c>
      <c r="CR113" s="2993" t="s">
        <v>479</v>
      </c>
      <c r="CS113" s="2993" t="s">
        <v>476</v>
      </c>
      <c r="CT113" s="2993" t="s">
        <v>477</v>
      </c>
      <c r="CU113" s="2993" t="s">
        <v>478</v>
      </c>
      <c r="CV113" s="2993" t="s">
        <v>480</v>
      </c>
      <c r="CW113" s="2993" t="s">
        <v>472</v>
      </c>
      <c r="CX113" s="2993" t="s">
        <v>473</v>
      </c>
      <c r="CY113" s="2993" t="s">
        <v>474</v>
      </c>
      <c r="CZ113" s="1699" t="s">
        <v>472</v>
      </c>
      <c r="DA113" s="1699" t="s">
        <v>473</v>
      </c>
      <c r="DB113" s="1699" t="s">
        <v>474</v>
      </c>
      <c r="DC113" s="2993" t="s">
        <v>475</v>
      </c>
      <c r="DD113" s="1694"/>
      <c r="DE113" s="3009" t="s">
        <v>119</v>
      </c>
      <c r="DF113" s="3009" t="s">
        <v>120</v>
      </c>
      <c r="DG113" s="1707" t="s">
        <v>119</v>
      </c>
      <c r="DH113" s="1707" t="s">
        <v>120</v>
      </c>
      <c r="DI113" s="3009" t="s">
        <v>119</v>
      </c>
      <c r="DJ113" s="3009" t="s">
        <v>120</v>
      </c>
      <c r="DK113" s="3009" t="s">
        <v>121</v>
      </c>
      <c r="DL113" s="3009" t="s">
        <v>122</v>
      </c>
      <c r="DM113" s="3010" t="s">
        <v>1035</v>
      </c>
      <c r="DN113" s="3010" t="s">
        <v>1036</v>
      </c>
      <c r="DO113" s="3010" t="s">
        <v>1035</v>
      </c>
      <c r="DP113" s="3009" t="s">
        <v>124</v>
      </c>
      <c r="DQ113" s="1707" t="s">
        <v>125</v>
      </c>
      <c r="DR113" s="3009" t="s">
        <v>2790</v>
      </c>
      <c r="DS113" s="1694"/>
      <c r="DT113" s="1702" t="s">
        <v>985</v>
      </c>
      <c r="DU113" s="1702" t="s">
        <v>985</v>
      </c>
      <c r="DV113" s="2797" t="s">
        <v>984</v>
      </c>
      <c r="DW113" s="2950"/>
      <c r="DX113" s="1702" t="s">
        <v>985</v>
      </c>
      <c r="DY113" s="1702" t="s">
        <v>985</v>
      </c>
      <c r="DZ113" s="3376"/>
      <c r="EA113" s="4843" t="s">
        <v>1071</v>
      </c>
      <c r="EB113" s="4844"/>
      <c r="EC113" s="4844" t="s">
        <v>2769</v>
      </c>
      <c r="ED113" s="4844"/>
      <c r="EE113" s="4845" t="s">
        <v>1072</v>
      </c>
      <c r="EF113" s="4845"/>
      <c r="EG113" s="4845" t="s">
        <v>1073</v>
      </c>
      <c r="EH113" s="4845"/>
      <c r="EI113" s="4845" t="s">
        <v>1075</v>
      </c>
      <c r="EJ113" s="4845"/>
      <c r="EK113" s="4846" t="s">
        <v>2697</v>
      </c>
      <c r="EL113" s="4846"/>
      <c r="EM113" s="4846"/>
      <c r="EN113" s="1710"/>
      <c r="EO113" s="1710"/>
      <c r="EP113" s="1710"/>
    </row>
    <row r="114" spans="1:146" s="761" customFormat="1" ht="21" hidden="1" customHeight="1" outlineLevel="3">
      <c r="A114" s="4998" t="s">
        <v>1018</v>
      </c>
      <c r="B114" s="4999"/>
      <c r="C114" s="1760"/>
      <c r="D114" s="1761">
        <v>1250</v>
      </c>
      <c r="E114" s="1761" t="s">
        <v>988</v>
      </c>
      <c r="F114" s="1762" t="s">
        <v>2928</v>
      </c>
      <c r="G114" s="1762">
        <v>1</v>
      </c>
      <c r="H114" s="1762">
        <v>1.1000000000000001</v>
      </c>
      <c r="I114" s="1762" t="s">
        <v>2592</v>
      </c>
      <c r="J114" s="1763" t="s">
        <v>1055</v>
      </c>
      <c r="K114" s="1762">
        <v>2.04</v>
      </c>
      <c r="L114" s="1762">
        <v>1.6</v>
      </c>
      <c r="M114" s="1764" t="s">
        <v>2209</v>
      </c>
      <c r="N114" s="1764" t="s">
        <v>2210</v>
      </c>
      <c r="O114" s="1761" t="s">
        <v>2725</v>
      </c>
      <c r="P114" s="1762">
        <v>1.1000000000000001</v>
      </c>
      <c r="Q114" s="1765"/>
      <c r="R114" s="1766"/>
      <c r="S114" s="1766" t="s">
        <v>1059</v>
      </c>
      <c r="T114" s="1762">
        <v>0.7</v>
      </c>
      <c r="U114" s="1762">
        <v>1.1000000000000001</v>
      </c>
      <c r="V114" s="1766" t="s">
        <v>1058</v>
      </c>
      <c r="W114" s="1762">
        <v>1.1000000000000001</v>
      </c>
      <c r="X114" s="2641" t="s">
        <v>2604</v>
      </c>
      <c r="Y114" s="1762"/>
      <c r="Z114" s="1762"/>
      <c r="AA114" s="1762"/>
      <c r="AB114" s="1762">
        <v>1.2</v>
      </c>
      <c r="AC114" s="1762" t="s">
        <v>2607</v>
      </c>
      <c r="AD114" s="1762"/>
      <c r="AE114" s="1762"/>
      <c r="AF114" s="1762" t="s">
        <v>2608</v>
      </c>
      <c r="AG114" s="1766"/>
      <c r="AH114" s="2684"/>
      <c r="AI114" s="2684"/>
      <c r="AJ114" s="1762">
        <v>1</v>
      </c>
      <c r="AK114" s="1766" t="s">
        <v>1060</v>
      </c>
      <c r="AL114" s="1766" t="s">
        <v>1061</v>
      </c>
      <c r="AM114" s="1766" t="s">
        <v>1063</v>
      </c>
      <c r="AN114" s="1766" t="s">
        <v>1062</v>
      </c>
      <c r="AO114" s="1765"/>
      <c r="AP114" s="1766">
        <v>1.25</v>
      </c>
      <c r="AQ114" s="1766"/>
      <c r="AR114" s="1762" t="s">
        <v>2609</v>
      </c>
      <c r="AS114" s="1762">
        <v>1.7</v>
      </c>
      <c r="AT114" s="1762" t="s">
        <v>2625</v>
      </c>
      <c r="AU114" s="1762" t="s">
        <v>2925</v>
      </c>
      <c r="AV114" s="1762" t="s">
        <v>2611</v>
      </c>
      <c r="AW114" s="1762">
        <v>1.1000000000000001</v>
      </c>
      <c r="AX114" s="1766" t="s">
        <v>1064</v>
      </c>
      <c r="AY114" s="1767"/>
      <c r="AZ114" s="1767"/>
      <c r="BA114" s="1766" t="s">
        <v>1065</v>
      </c>
      <c r="BB114" s="1767"/>
      <c r="BC114" s="1762">
        <v>7.0000000000000007E-2</v>
      </c>
      <c r="BD114" s="1762">
        <v>0.65</v>
      </c>
      <c r="BE114" s="1766" t="s">
        <v>1066</v>
      </c>
      <c r="BF114" s="1766" t="s">
        <v>2613</v>
      </c>
      <c r="BG114" s="3329"/>
      <c r="BH114" s="1762">
        <v>0.85</v>
      </c>
      <c r="BI114" s="1762">
        <v>1.05</v>
      </c>
      <c r="BJ114" s="1762">
        <v>1.1499999999999999</v>
      </c>
      <c r="BK114" s="1762">
        <v>1.05</v>
      </c>
      <c r="BL114" s="1762">
        <v>1.05</v>
      </c>
      <c r="BM114" s="1762">
        <v>1.05</v>
      </c>
      <c r="BN114" s="1766"/>
      <c r="BO114" s="1766">
        <v>0.7</v>
      </c>
      <c r="BP114" s="1766">
        <v>0.7</v>
      </c>
      <c r="BQ114" s="1765" t="s">
        <v>2788</v>
      </c>
      <c r="BR114" s="1833" t="s">
        <v>2195</v>
      </c>
      <c r="BS114" s="1762">
        <v>1.25</v>
      </c>
      <c r="BT114" s="1762">
        <v>1.25</v>
      </c>
      <c r="BU114" s="1833" t="s">
        <v>2789</v>
      </c>
      <c r="BV114" s="1762">
        <v>0.33</v>
      </c>
      <c r="BW114" s="1762">
        <v>0.33</v>
      </c>
      <c r="BX114" s="1762">
        <v>1.8</v>
      </c>
      <c r="BY114" s="1765"/>
      <c r="BZ114" s="1764"/>
      <c r="CA114" s="1769">
        <v>1.05</v>
      </c>
      <c r="CB114" s="1769">
        <v>1.05</v>
      </c>
      <c r="CC114" s="1769">
        <v>1.05</v>
      </c>
      <c r="CD114" s="1770">
        <v>1.05</v>
      </c>
      <c r="CE114" s="1770">
        <v>1.05</v>
      </c>
      <c r="CF114" s="1770">
        <v>1.05</v>
      </c>
      <c r="CG114" s="1770">
        <v>1.05</v>
      </c>
      <c r="CH114" s="1770">
        <v>1.1000000000000001</v>
      </c>
      <c r="CI114" s="1770">
        <v>1.1000000000000001</v>
      </c>
      <c r="CJ114" s="1770">
        <v>1.1000000000000001</v>
      </c>
      <c r="CK114" s="1770">
        <v>1.1000000000000001</v>
      </c>
      <c r="CL114" s="1770">
        <v>1.1000000000000001</v>
      </c>
      <c r="CM114" s="1770">
        <v>1.1000000000000001</v>
      </c>
      <c r="CN114" s="1770">
        <v>1.1499999999999999</v>
      </c>
      <c r="CO114" s="1770">
        <v>1.35</v>
      </c>
      <c r="CP114" s="4847" t="s">
        <v>1069</v>
      </c>
      <c r="CQ114" s="4848"/>
      <c r="CR114" s="4848"/>
      <c r="CS114" s="4848"/>
      <c r="CT114" s="4848"/>
      <c r="CU114" s="4848"/>
      <c r="CV114" s="4848"/>
      <c r="CW114" s="4848"/>
      <c r="CX114" s="4848"/>
      <c r="CY114" s="4848"/>
      <c r="CZ114" s="4848"/>
      <c r="DA114" s="4848"/>
      <c r="DB114" s="4848"/>
      <c r="DC114" s="4849"/>
      <c r="DD114" s="1765"/>
      <c r="DE114" s="1766">
        <v>1.45</v>
      </c>
      <c r="DF114" s="1766">
        <v>1.2</v>
      </c>
      <c r="DG114" s="1766">
        <v>1.25</v>
      </c>
      <c r="DH114" s="1766">
        <v>1.2</v>
      </c>
      <c r="DI114" s="1766">
        <v>1.3</v>
      </c>
      <c r="DJ114" s="1766">
        <v>1.2</v>
      </c>
      <c r="DK114" s="1764">
        <v>1.25</v>
      </c>
      <c r="DL114" s="1766">
        <v>1</v>
      </c>
      <c r="DM114" s="1766">
        <v>2.2000000000000002</v>
      </c>
      <c r="DN114" s="1766" t="s">
        <v>1070</v>
      </c>
      <c r="DO114" s="1766" t="s">
        <v>1070</v>
      </c>
      <c r="DP114" s="1766">
        <v>1</v>
      </c>
      <c r="DQ114" s="1766">
        <v>1.2</v>
      </c>
      <c r="DR114" s="1766" t="s">
        <v>1062</v>
      </c>
      <c r="DS114" s="1765"/>
      <c r="DT114" s="1762">
        <v>0.8</v>
      </c>
      <c r="DU114" s="1762" t="s">
        <v>1152</v>
      </c>
      <c r="DV114" s="1764"/>
      <c r="DW114" s="1762">
        <v>0.8</v>
      </c>
      <c r="DX114" s="1762">
        <f>DT114</f>
        <v>0.8</v>
      </c>
      <c r="DY114" s="1762">
        <v>0.8</v>
      </c>
      <c r="DZ114" s="3377">
        <v>50</v>
      </c>
      <c r="EA114" s="3373" t="s">
        <v>735</v>
      </c>
      <c r="EB114" s="1773" t="s">
        <v>1074</v>
      </c>
      <c r="EC114" s="2959"/>
      <c r="ED114" s="2959"/>
      <c r="EE114" s="1772" t="s">
        <v>735</v>
      </c>
      <c r="EF114" s="1773" t="s">
        <v>1074</v>
      </c>
      <c r="EG114" s="1772" t="s">
        <v>735</v>
      </c>
      <c r="EH114" s="1773" t="s">
        <v>1074</v>
      </c>
      <c r="EI114" s="1772" t="s">
        <v>735</v>
      </c>
      <c r="EJ114" s="1773" t="s">
        <v>1074</v>
      </c>
      <c r="EK114" s="2798" t="s">
        <v>735</v>
      </c>
      <c r="EL114" s="2803" t="s">
        <v>1074</v>
      </c>
      <c r="EM114" s="2803" t="s">
        <v>2699</v>
      </c>
      <c r="EN114" s="1771"/>
      <c r="EO114" s="1771"/>
      <c r="EP114" s="1771"/>
    </row>
    <row r="115" spans="1:146" s="761" customFormat="1" ht="21" hidden="1" customHeight="1" outlineLevel="3">
      <c r="A115" s="5104" t="s">
        <v>910</v>
      </c>
      <c r="B115" s="1720" t="s">
        <v>1609</v>
      </c>
      <c r="C115" s="1745"/>
      <c r="D115" s="763">
        <v>1350</v>
      </c>
      <c r="E115" s="763"/>
      <c r="F115" s="764"/>
      <c r="G115" s="765"/>
      <c r="H115" s="766"/>
      <c r="I115" s="781"/>
      <c r="J115" s="1175"/>
      <c r="K115" s="751"/>
      <c r="L115" s="751"/>
      <c r="M115" s="753"/>
      <c r="N115" s="753"/>
      <c r="O115" s="763">
        <v>11300</v>
      </c>
      <c r="P115" s="2656"/>
      <c r="Q115" s="762"/>
      <c r="R115" s="764"/>
      <c r="S115" s="764">
        <f>S227*(1+$C$193)</f>
        <v>1899.8</v>
      </c>
      <c r="T115" s="1144">
        <v>2080</v>
      </c>
      <c r="U115" s="769">
        <f>U227*(1+$C$193)</f>
        <v>1899.8</v>
      </c>
      <c r="V115" s="769">
        <f>V227*(1+$C$193)</f>
        <v>1899.8</v>
      </c>
      <c r="W115" s="769">
        <f>W227*(1+$C$193)</f>
        <v>2103.35</v>
      </c>
      <c r="X115" s="2642"/>
      <c r="Y115" s="1807"/>
      <c r="Z115" s="1807"/>
      <c r="AA115" s="1807"/>
      <c r="AB115" s="769">
        <f t="shared" ref="AB115:AG115" si="70">AB227*(1+$C$193)</f>
        <v>3053.2499999999995</v>
      </c>
      <c r="AC115" s="769">
        <f t="shared" si="70"/>
        <v>3053.2499999999995</v>
      </c>
      <c r="AD115" s="764"/>
      <c r="AE115" s="770"/>
      <c r="AF115" s="764">
        <f t="shared" si="70"/>
        <v>3663.8999999999996</v>
      </c>
      <c r="AG115" s="765">
        <f t="shared" si="70"/>
        <v>1899.8</v>
      </c>
      <c r="AH115" s="2665"/>
      <c r="AI115" s="2665"/>
      <c r="AJ115" s="766">
        <f>AJ227*(1+$C$193)</f>
        <v>2035.4999999999998</v>
      </c>
      <c r="AK115" s="754">
        <f>AK227*(1+$C$193)</f>
        <v>3053.2499999999995</v>
      </c>
      <c r="AL115" s="754">
        <f>AL227*(1+$C$193)</f>
        <v>3663.8999999999996</v>
      </c>
      <c r="AM115" s="757">
        <f>AM227*(1+$C$193)</f>
        <v>1899.8</v>
      </c>
      <c r="AN115" s="757">
        <f>AN227*(1+$C$193)</f>
        <v>1682.6799999999996</v>
      </c>
      <c r="AO115" s="762"/>
      <c r="AP115" s="764"/>
      <c r="AQ115" s="764"/>
      <c r="AR115" s="769">
        <f>AR227*(1+$C$193)</f>
        <v>1546.9799999999996</v>
      </c>
      <c r="AS115" s="769">
        <f>AS227*(1+$C$193)</f>
        <v>2714</v>
      </c>
      <c r="AT115" s="769">
        <f>AT227*(1+$C$193)</f>
        <v>210.33499999999995</v>
      </c>
      <c r="AU115" s="769">
        <f>AU227*(1+$C$193)</f>
        <v>210.33499999999995</v>
      </c>
      <c r="AV115" s="2664"/>
      <c r="AW115" s="754">
        <f t="shared" ref="AW115:BF115" si="71">AW227*(1+$C$193)</f>
        <v>610.65</v>
      </c>
      <c r="AX115" s="757">
        <f t="shared" si="71"/>
        <v>1546.9799999999996</v>
      </c>
      <c r="AY115" s="757">
        <f t="shared" si="71"/>
        <v>2062.64</v>
      </c>
      <c r="AZ115" s="757">
        <f t="shared" si="71"/>
        <v>2483.31</v>
      </c>
      <c r="BA115" s="757">
        <f t="shared" si="71"/>
        <v>2714</v>
      </c>
      <c r="BB115" s="757">
        <f t="shared" si="71"/>
        <v>3514.6299999999997</v>
      </c>
      <c r="BC115" s="769">
        <f t="shared" si="71"/>
        <v>66.153749999999988</v>
      </c>
      <c r="BD115" s="769">
        <f t="shared" si="71"/>
        <v>1153.4499999999998</v>
      </c>
      <c r="BE115" s="759">
        <f t="shared" si="71"/>
        <v>1153.4499999999998</v>
      </c>
      <c r="BF115" s="767">
        <f t="shared" si="71"/>
        <v>2714</v>
      </c>
      <c r="BG115" s="762"/>
      <c r="BH115" s="771">
        <f t="shared" ref="BH115:BP115" si="72">BH227*(1+$C$193)</f>
        <v>1492.6999999999998</v>
      </c>
      <c r="BI115" s="771">
        <f t="shared" si="72"/>
        <v>1696.2499999999998</v>
      </c>
      <c r="BJ115" s="771">
        <f t="shared" si="72"/>
        <v>1696.2499999999998</v>
      </c>
      <c r="BK115" s="771">
        <f t="shared" si="72"/>
        <v>1628.3999999999999</v>
      </c>
      <c r="BL115" s="771">
        <f t="shared" si="72"/>
        <v>1831.9499999999998</v>
      </c>
      <c r="BM115" s="771">
        <f t="shared" si="72"/>
        <v>1831.9499999999998</v>
      </c>
      <c r="BN115" s="754">
        <f t="shared" si="72"/>
        <v>2917.5499999999997</v>
      </c>
      <c r="BO115" s="754">
        <f t="shared" si="72"/>
        <v>3188.95</v>
      </c>
      <c r="BP115" s="754">
        <f t="shared" si="72"/>
        <v>3528.2</v>
      </c>
      <c r="BQ115" s="762"/>
      <c r="BR115" s="763"/>
      <c r="BS115" s="773"/>
      <c r="BT115" s="773"/>
      <c r="BU115" s="760"/>
      <c r="BV115" s="760"/>
      <c r="BW115" s="760"/>
      <c r="BX115" s="760"/>
      <c r="BY115" s="762"/>
      <c r="BZ115" s="806">
        <f>BZ174</f>
        <v>0</v>
      </c>
      <c r="CA115" s="806">
        <f t="shared" ref="CA115:DC115" si="73">CA174</f>
        <v>0</v>
      </c>
      <c r="CB115" s="806">
        <f t="shared" si="73"/>
        <v>0</v>
      </c>
      <c r="CC115" s="806">
        <f t="shared" si="73"/>
        <v>0</v>
      </c>
      <c r="CD115" s="806">
        <f t="shared" si="73"/>
        <v>0</v>
      </c>
      <c r="CE115" s="806">
        <f t="shared" si="73"/>
        <v>0</v>
      </c>
      <c r="CF115" s="806">
        <f t="shared" si="73"/>
        <v>0</v>
      </c>
      <c r="CG115" s="806">
        <f t="shared" si="73"/>
        <v>0</v>
      </c>
      <c r="CH115" s="806">
        <f t="shared" si="73"/>
        <v>0</v>
      </c>
      <c r="CI115" s="806">
        <f t="shared" si="73"/>
        <v>0</v>
      </c>
      <c r="CJ115" s="806">
        <f t="shared" si="73"/>
        <v>0</v>
      </c>
      <c r="CK115" s="806">
        <f t="shared" si="73"/>
        <v>0</v>
      </c>
      <c r="CL115" s="806">
        <f t="shared" si="73"/>
        <v>0</v>
      </c>
      <c r="CM115" s="806">
        <f t="shared" si="73"/>
        <v>0</v>
      </c>
      <c r="CN115" s="806">
        <f t="shared" si="73"/>
        <v>0</v>
      </c>
      <c r="CO115" s="806">
        <f t="shared" si="73"/>
        <v>0</v>
      </c>
      <c r="CP115" s="806">
        <f t="shared" si="73"/>
        <v>0</v>
      </c>
      <c r="CQ115" s="806">
        <f t="shared" si="73"/>
        <v>0</v>
      </c>
      <c r="CR115" s="806">
        <f t="shared" si="73"/>
        <v>0</v>
      </c>
      <c r="CS115" s="806">
        <f t="shared" si="73"/>
        <v>0</v>
      </c>
      <c r="CT115" s="806">
        <f t="shared" si="73"/>
        <v>0</v>
      </c>
      <c r="CU115" s="806">
        <f t="shared" si="73"/>
        <v>0</v>
      </c>
      <c r="CV115" s="806">
        <f t="shared" si="73"/>
        <v>0</v>
      </c>
      <c r="CW115" s="806">
        <f t="shared" si="73"/>
        <v>0</v>
      </c>
      <c r="CX115" s="806">
        <f t="shared" si="73"/>
        <v>0</v>
      </c>
      <c r="CY115" s="806">
        <f t="shared" si="73"/>
        <v>0</v>
      </c>
      <c r="CZ115" s="806">
        <f t="shared" si="73"/>
        <v>0</v>
      </c>
      <c r="DA115" s="806">
        <f t="shared" si="73"/>
        <v>0</v>
      </c>
      <c r="DB115" s="806">
        <f t="shared" si="73"/>
        <v>0</v>
      </c>
      <c r="DC115" s="806">
        <f t="shared" si="73"/>
        <v>0</v>
      </c>
      <c r="DD115" s="762"/>
      <c r="DE115" s="752"/>
      <c r="DF115" s="752"/>
      <c r="DG115" s="752"/>
      <c r="DH115" s="752"/>
      <c r="DI115" s="752"/>
      <c r="DJ115" s="752"/>
      <c r="DK115" s="775"/>
      <c r="DL115" s="752"/>
      <c r="DM115" s="752"/>
      <c r="DN115" s="752"/>
      <c r="DO115" s="752"/>
      <c r="DP115" s="752"/>
      <c r="DQ115" s="752"/>
      <c r="DR115" s="752"/>
      <c r="DS115" s="776"/>
      <c r="DT115" s="759"/>
      <c r="DU115" s="760"/>
      <c r="DV115" s="760"/>
      <c r="DW115" s="2952"/>
      <c r="DX115" s="760"/>
      <c r="DY115" s="760"/>
      <c r="DZ115" s="3378"/>
      <c r="EA115" s="3374"/>
      <c r="EB115" s="812"/>
      <c r="EC115" s="2960"/>
      <c r="ED115" s="2960"/>
      <c r="EE115" s="811"/>
      <c r="EF115" s="812"/>
      <c r="EG115" s="811"/>
      <c r="EH115" s="812"/>
      <c r="EI115" s="811"/>
      <c r="EJ115" s="812"/>
      <c r="EK115" s="2799"/>
      <c r="EL115" s="2799"/>
      <c r="EM115" s="2799"/>
    </row>
    <row r="116" spans="1:146" s="761" customFormat="1" ht="21" hidden="1" customHeight="1" outlineLevel="3">
      <c r="A116" s="5023"/>
      <c r="B116" s="1720" t="s">
        <v>439</v>
      </c>
      <c r="C116" s="2793">
        <v>1.1499999999999999</v>
      </c>
      <c r="D116" s="1797">
        <v>1750</v>
      </c>
      <c r="E116" s="1797"/>
      <c r="F116" s="1798"/>
      <c r="G116" s="1799"/>
      <c r="H116" s="1800"/>
      <c r="I116" s="1801"/>
      <c r="J116" s="1802"/>
      <c r="K116" s="1803"/>
      <c r="L116" s="1803"/>
      <c r="M116" s="753"/>
      <c r="N116" s="1804"/>
      <c r="O116" s="1804"/>
      <c r="P116" s="2656">
        <f>M116</f>
        <v>0</v>
      </c>
      <c r="Q116" s="1782"/>
      <c r="R116" s="1798"/>
      <c r="S116" s="1798"/>
      <c r="T116" s="1806"/>
      <c r="U116" s="1807"/>
      <c r="V116" s="1807"/>
      <c r="W116" s="1807"/>
      <c r="X116" s="2642"/>
      <c r="Y116" s="1807"/>
      <c r="Z116" s="1807"/>
      <c r="AA116" s="1807"/>
      <c r="AB116" s="1807"/>
      <c r="AC116" s="1807"/>
      <c r="AD116" s="1798"/>
      <c r="AE116" s="1798"/>
      <c r="AF116" s="1798"/>
      <c r="AG116" s="1799"/>
      <c r="AH116" s="2665"/>
      <c r="AI116" s="2665"/>
      <c r="AJ116" s="1800"/>
      <c r="AK116" s="1808"/>
      <c r="AL116" s="1808"/>
      <c r="AM116" s="1809"/>
      <c r="AN116" s="1809"/>
      <c r="AO116" s="1782"/>
      <c r="AP116" s="1798"/>
      <c r="AQ116" s="1798"/>
      <c r="AR116" s="1807"/>
      <c r="AS116" s="1807"/>
      <c r="AT116" s="1807"/>
      <c r="AU116" s="1807"/>
      <c r="AV116" s="2664"/>
      <c r="AW116" s="1808"/>
      <c r="AX116" s="1809"/>
      <c r="AY116" s="1809"/>
      <c r="AZ116" s="1809"/>
      <c r="BA116" s="1809"/>
      <c r="BB116" s="1809"/>
      <c r="BC116" s="1807"/>
      <c r="BD116" s="1807"/>
      <c r="BE116" s="1810"/>
      <c r="BF116" s="1805"/>
      <c r="BG116" s="1782"/>
      <c r="BH116" s="1811"/>
      <c r="BI116" s="1811"/>
      <c r="BJ116" s="1811"/>
      <c r="BK116" s="1811"/>
      <c r="BL116" s="1811"/>
      <c r="BM116" s="1811"/>
      <c r="BN116" s="1808"/>
      <c r="BO116" s="1808"/>
      <c r="BP116" s="1808"/>
      <c r="BQ116" s="1782"/>
      <c r="BR116" s="1797"/>
      <c r="BS116" s="1812"/>
      <c r="BT116" s="1812"/>
      <c r="BU116" s="1813"/>
      <c r="BV116" s="1813"/>
      <c r="BW116" s="1813"/>
      <c r="BX116" s="1813"/>
      <c r="BY116" s="1782"/>
      <c r="BZ116" s="806">
        <f t="shared" ref="BZ116:DC117" si="74">BZ175</f>
        <v>0.39999999999999991</v>
      </c>
      <c r="CA116" s="806">
        <f t="shared" si="74"/>
        <v>0.36363636363636354</v>
      </c>
      <c r="CB116" s="806">
        <f t="shared" si="74"/>
        <v>0.33333333333333326</v>
      </c>
      <c r="CC116" s="806">
        <f t="shared" si="74"/>
        <v>0.30769230769230771</v>
      </c>
      <c r="CD116" s="806">
        <f t="shared" si="74"/>
        <v>1.3636363636363638</v>
      </c>
      <c r="CE116" s="806">
        <f t="shared" si="74"/>
        <v>1.25</v>
      </c>
      <c r="CF116" s="806">
        <f t="shared" si="74"/>
        <v>1.2307692307692308</v>
      </c>
      <c r="CG116" s="806">
        <f t="shared" si="74"/>
        <v>1.3076923076923075</v>
      </c>
      <c r="CH116" s="806" t="e">
        <f t="shared" si="74"/>
        <v>#DIV/0!</v>
      </c>
      <c r="CI116" s="806" t="e">
        <f t="shared" si="74"/>
        <v>#DIV/0!</v>
      </c>
      <c r="CJ116" s="806" t="e">
        <f t="shared" si="74"/>
        <v>#DIV/0!</v>
      </c>
      <c r="CK116" s="806">
        <f t="shared" si="74"/>
        <v>-1</v>
      </c>
      <c r="CL116" s="806">
        <f t="shared" si="74"/>
        <v>-1</v>
      </c>
      <c r="CM116" s="806">
        <f t="shared" si="74"/>
        <v>-1</v>
      </c>
      <c r="CN116" s="806" t="e">
        <f t="shared" si="74"/>
        <v>#DIV/0!</v>
      </c>
      <c r="CO116" s="806">
        <f t="shared" si="74"/>
        <v>-1</v>
      </c>
      <c r="CP116" s="806">
        <f t="shared" si="74"/>
        <v>-1</v>
      </c>
      <c r="CQ116" s="806">
        <f t="shared" si="74"/>
        <v>-1</v>
      </c>
      <c r="CR116" s="806">
        <f t="shared" si="74"/>
        <v>-1</v>
      </c>
      <c r="CS116" s="806">
        <f t="shared" si="74"/>
        <v>0</v>
      </c>
      <c r="CT116" s="806">
        <f t="shared" si="74"/>
        <v>0</v>
      </c>
      <c r="CU116" s="806">
        <f t="shared" si="74"/>
        <v>0</v>
      </c>
      <c r="CV116" s="806">
        <f t="shared" si="74"/>
        <v>0</v>
      </c>
      <c r="CW116" s="806" t="e">
        <f t="shared" si="74"/>
        <v>#DIV/0!</v>
      </c>
      <c r="CX116" s="806" t="e">
        <f t="shared" si="74"/>
        <v>#DIV/0!</v>
      </c>
      <c r="CY116" s="806" t="e">
        <f t="shared" si="74"/>
        <v>#DIV/0!</v>
      </c>
      <c r="CZ116" s="806">
        <f t="shared" si="74"/>
        <v>0</v>
      </c>
      <c r="DA116" s="806">
        <f t="shared" si="74"/>
        <v>0</v>
      </c>
      <c r="DB116" s="806">
        <f t="shared" si="74"/>
        <v>0</v>
      </c>
      <c r="DC116" s="806" t="e">
        <f t="shared" si="74"/>
        <v>#DIV/0!</v>
      </c>
      <c r="DD116" s="1782"/>
      <c r="DE116" s="1819"/>
      <c r="DF116" s="1819"/>
      <c r="DG116" s="1819"/>
      <c r="DH116" s="1819"/>
      <c r="DI116" s="1819"/>
      <c r="DJ116" s="1819"/>
      <c r="DK116" s="1820"/>
      <c r="DL116" s="1819"/>
      <c r="DM116" s="1819"/>
      <c r="DN116" s="1819"/>
      <c r="DO116" s="1819"/>
      <c r="DP116" s="1819"/>
      <c r="DQ116" s="1819"/>
      <c r="DR116" s="1819"/>
      <c r="DS116" s="1821"/>
      <c r="DT116" s="1810"/>
      <c r="DU116" s="1813"/>
      <c r="DV116" s="1813"/>
      <c r="DW116" s="2952"/>
      <c r="DX116" s="1813"/>
      <c r="DY116" s="1813"/>
      <c r="DZ116" s="3378"/>
      <c r="EA116" s="3374"/>
      <c r="EB116" s="1822"/>
      <c r="EC116" s="2960"/>
      <c r="ED116" s="2960"/>
      <c r="EE116" s="1758"/>
      <c r="EF116" s="1822"/>
      <c r="EG116" s="1758"/>
      <c r="EH116" s="1822"/>
      <c r="EI116" s="1758"/>
      <c r="EJ116" s="1822"/>
      <c r="EK116" s="2799"/>
      <c r="EL116" s="2799"/>
      <c r="EM116" s="2799"/>
      <c r="EN116" s="761">
        <f>E116*1.05</f>
        <v>0</v>
      </c>
    </row>
    <row r="117" spans="1:146" s="761" customFormat="1" ht="21" hidden="1" customHeight="1" outlineLevel="3">
      <c r="A117" s="5117" t="s">
        <v>206</v>
      </c>
      <c r="B117" s="1720" t="s">
        <v>391</v>
      </c>
      <c r="C117" s="2793">
        <v>0.65</v>
      </c>
      <c r="D117" s="763">
        <v>1150</v>
      </c>
      <c r="E117" s="763">
        <f>CEILING(E119*$C$31, 50)</f>
        <v>1250</v>
      </c>
      <c r="F117" s="764"/>
      <c r="G117" s="2991">
        <f>CEILING(G119*$C$31, 50)</f>
        <v>1250</v>
      </c>
      <c r="H117" s="766"/>
      <c r="I117" s="781"/>
      <c r="J117" s="1174">
        <v>1300</v>
      </c>
      <c r="K117" s="2657">
        <f>CEILING(E117*$K$28, 50)</f>
        <v>2550</v>
      </c>
      <c r="L117" s="2657">
        <f>CEILING(E117*$L$28*1.2, 50)</f>
        <v>2400</v>
      </c>
      <c r="M117" s="753"/>
      <c r="N117" s="753"/>
      <c r="O117" s="753"/>
      <c r="P117" s="767"/>
      <c r="Q117" s="2676">
        <f>CEILING(Q119*C117,50)</f>
        <v>2150</v>
      </c>
      <c r="R117" s="764"/>
      <c r="S117" s="764"/>
      <c r="T117" s="2676">
        <f>CEILING(T119*C117,50)</f>
        <v>700</v>
      </c>
      <c r="U117" s="2676">
        <f>CEILING(U119*C117,50)</f>
        <v>850</v>
      </c>
      <c r="V117" s="2676">
        <f>CEILING(V119*C117,50)</f>
        <v>850</v>
      </c>
      <c r="W117" s="2676">
        <f>CEILING(W119*C117,50)</f>
        <v>900</v>
      </c>
      <c r="X117" s="2996">
        <f>CEILING(X119*C117,50)</f>
        <v>1150</v>
      </c>
      <c r="Y117" s="1807"/>
      <c r="Z117" s="1807"/>
      <c r="AA117" s="1807"/>
      <c r="AB117" s="769"/>
      <c r="AC117" s="769">
        <v>1100</v>
      </c>
      <c r="AD117" s="764"/>
      <c r="AE117" s="770"/>
      <c r="AF117" s="764"/>
      <c r="AG117" s="2997">
        <f>CEILING(AG119*C117,50)</f>
        <v>750</v>
      </c>
      <c r="AH117" s="2997">
        <f>CEILING(AH119*C117,50)</f>
        <v>1150</v>
      </c>
      <c r="AI117" s="2665"/>
      <c r="AJ117" s="2991">
        <f>CEILING(AG117*$AJ$28, 50)</f>
        <v>750</v>
      </c>
      <c r="AK117" s="754"/>
      <c r="AL117" s="754"/>
      <c r="AM117" s="757"/>
      <c r="AN117" s="757">
        <v>700</v>
      </c>
      <c r="AO117" s="762"/>
      <c r="AP117" s="764"/>
      <c r="AQ117" s="764"/>
      <c r="AR117" s="2676">
        <f>CEILING(AR119*C117,50)</f>
        <v>650</v>
      </c>
      <c r="AS117" s="769">
        <f>CEILING(AS119*C117,50)</f>
        <v>1150</v>
      </c>
      <c r="AT117" s="2676">
        <f t="shared" ref="AT117:AT122" si="75">CEILING(AR117/10,10)</f>
        <v>70</v>
      </c>
      <c r="AU117" s="2676">
        <f>CEILING($AU$33*C117,10)</f>
        <v>150</v>
      </c>
      <c r="AV117" s="2676">
        <f>CEILING(AV119*C117,50)</f>
        <v>1150</v>
      </c>
      <c r="AW117" s="754"/>
      <c r="AX117" s="757">
        <v>700</v>
      </c>
      <c r="AY117" s="757">
        <v>950</v>
      </c>
      <c r="AZ117" s="757">
        <v>1150</v>
      </c>
      <c r="BA117" s="757">
        <v>1250</v>
      </c>
      <c r="BB117" s="757">
        <v>1600</v>
      </c>
      <c r="BC117" s="764">
        <f>BC119</f>
        <v>100</v>
      </c>
      <c r="BD117" s="2676">
        <f>CEILING(BD119*C117,50)</f>
        <v>450</v>
      </c>
      <c r="BE117" s="2676">
        <f>CEILING(BE119*C117,50)</f>
        <v>450</v>
      </c>
      <c r="BF117" s="2676">
        <f>CEILING(BF119*C117,50)</f>
        <v>1100</v>
      </c>
      <c r="BG117" s="2676">
        <f>CEILING($BG$33*C117,50)</f>
        <v>400</v>
      </c>
      <c r="BH117" s="2700">
        <f>CEILING(BH119*C117, 50)</f>
        <v>600</v>
      </c>
      <c r="BI117" s="2676">
        <f>CEILING($BI$33*C117,50)</f>
        <v>950</v>
      </c>
      <c r="BJ117" s="2676">
        <f>CEILING($BJ$33*C117,50)</f>
        <v>1050</v>
      </c>
      <c r="BK117" s="2676">
        <f>CEILING($BK$33*C117,50)</f>
        <v>750</v>
      </c>
      <c r="BL117" s="2676">
        <f>CEILING($BL$33*C117,50)</f>
        <v>1050</v>
      </c>
      <c r="BM117" s="2676">
        <f>CEILING($BM$33*C117,50)</f>
        <v>1100</v>
      </c>
      <c r="BN117" s="754"/>
      <c r="BO117" s="754"/>
      <c r="BP117" s="754"/>
      <c r="BQ117" s="762"/>
      <c r="BR117" s="2794">
        <f>CEILING($BR$33*C117,50)</f>
        <v>1500</v>
      </c>
      <c r="BS117" s="777">
        <f>CEILING($BS$33*C117,50)</f>
        <v>1700</v>
      </c>
      <c r="BT117" s="777">
        <f>CEILING($BT$33*C117,50)</f>
        <v>2450</v>
      </c>
      <c r="BU117" s="760"/>
      <c r="BV117" s="760"/>
      <c r="BW117" s="760"/>
      <c r="BX117" s="760"/>
      <c r="BY117" s="762"/>
      <c r="BZ117" s="806">
        <f t="shared" ref="BZ117:CG117" si="76">BZ176</f>
        <v>22</v>
      </c>
      <c r="CA117" s="806">
        <f t="shared" si="76"/>
        <v>11</v>
      </c>
      <c r="CB117" s="806">
        <f t="shared" si="76"/>
        <v>7.3333333333333339</v>
      </c>
      <c r="CC117" s="806">
        <f t="shared" si="76"/>
        <v>5.75</v>
      </c>
      <c r="CD117" s="806">
        <f t="shared" si="76"/>
        <v>-1</v>
      </c>
      <c r="CE117" s="806">
        <f t="shared" si="76"/>
        <v>-1</v>
      </c>
      <c r="CF117" s="806">
        <f t="shared" si="76"/>
        <v>-1</v>
      </c>
      <c r="CG117" s="806">
        <f t="shared" si="76"/>
        <v>-1</v>
      </c>
      <c r="CH117" s="755"/>
      <c r="CI117" s="755"/>
      <c r="CJ117" s="755"/>
      <c r="CK117" s="806"/>
      <c r="CL117" s="806"/>
      <c r="CM117" s="806"/>
      <c r="CN117" s="806" t="e">
        <f t="shared" si="74"/>
        <v>#DIV/0!</v>
      </c>
      <c r="CO117" s="806"/>
      <c r="CP117" s="806"/>
      <c r="CQ117" s="806"/>
      <c r="CR117" s="806"/>
      <c r="CS117" s="806">
        <f t="shared" ref="CS117:DC117" si="77">CS176</f>
        <v>-1</v>
      </c>
      <c r="CT117" s="806">
        <f t="shared" si="77"/>
        <v>-1</v>
      </c>
      <c r="CU117" s="806">
        <f t="shared" si="77"/>
        <v>-1</v>
      </c>
      <c r="CV117" s="806">
        <f t="shared" si="77"/>
        <v>-1</v>
      </c>
      <c r="CW117" s="806">
        <f t="shared" si="77"/>
        <v>10.333333333333334</v>
      </c>
      <c r="CX117" s="806">
        <f t="shared" si="77"/>
        <v>6</v>
      </c>
      <c r="CY117" s="806">
        <f t="shared" si="77"/>
        <v>5.166666666666667</v>
      </c>
      <c r="CZ117" s="806">
        <f t="shared" si="77"/>
        <v>10.333333333333334</v>
      </c>
      <c r="DA117" s="806">
        <f t="shared" si="77"/>
        <v>6</v>
      </c>
      <c r="DB117" s="806">
        <f t="shared" si="77"/>
        <v>5.166666666666667</v>
      </c>
      <c r="DC117" s="806" t="e">
        <f t="shared" si="77"/>
        <v>#DIV/0!</v>
      </c>
      <c r="DD117" s="762"/>
      <c r="DE117" s="2795"/>
      <c r="DF117" s="752">
        <f>DF176</f>
        <v>-0.14583333333333337</v>
      </c>
      <c r="DG117" s="752">
        <f>DG176</f>
        <v>-0.10999999999999999</v>
      </c>
      <c r="DH117" s="752">
        <f>DH176</f>
        <v>-0.10833333333333328</v>
      </c>
      <c r="DI117" s="752">
        <f>DI176</f>
        <v>-0.125</v>
      </c>
      <c r="DJ117" s="752">
        <f>DJ176</f>
        <v>-0.128</v>
      </c>
      <c r="DK117" s="2794"/>
      <c r="DL117" s="2795"/>
      <c r="DM117" s="752"/>
      <c r="DN117" s="752"/>
      <c r="DO117" s="752"/>
      <c r="DP117" s="2795"/>
      <c r="DQ117" s="2795"/>
      <c r="DR117" s="2795"/>
      <c r="DS117" s="776"/>
      <c r="DT117" s="1970" t="e">
        <f>CEILING(EB119*C117,50)</f>
        <v>#REF!</v>
      </c>
      <c r="DU117" s="1813"/>
      <c r="DV117" s="760"/>
      <c r="DW117" s="2952"/>
      <c r="DX117" s="1813"/>
      <c r="DY117" s="760"/>
      <c r="DZ117" s="3378">
        <f>32*$DZ$28</f>
        <v>1600</v>
      </c>
      <c r="EA117" s="3374" t="e">
        <f>'Полотна база'!#REF!</f>
        <v>#REF!</v>
      </c>
      <c r="EB117" s="812" t="e">
        <f>(EA117/1.6)*$EB$26</f>
        <v>#REF!</v>
      </c>
      <c r="EC117" s="2960"/>
      <c r="ED117" s="2960"/>
      <c r="EE117" s="811"/>
      <c r="EF117" s="812"/>
      <c r="EG117" s="811"/>
      <c r="EH117" s="812"/>
      <c r="EI117" s="811"/>
      <c r="EJ117" s="812"/>
      <c r="EK117" s="2799"/>
      <c r="EL117" s="2799"/>
      <c r="EM117" s="2799"/>
      <c r="EN117" s="761">
        <f>E117*1.05</f>
        <v>1312.5</v>
      </c>
    </row>
    <row r="118" spans="1:146" s="761" customFormat="1" ht="21" hidden="1" customHeight="1" outlineLevel="3">
      <c r="A118" s="5118"/>
      <c r="B118" s="2804" t="s">
        <v>2700</v>
      </c>
      <c r="C118" s="2793">
        <v>0.75</v>
      </c>
      <c r="D118" s="2805">
        <v>1850</v>
      </c>
      <c r="E118" s="763">
        <f>CEILING(E119*$C$32, 50)</f>
        <v>1500</v>
      </c>
      <c r="F118" s="2806"/>
      <c r="G118" s="2991">
        <f>CEILING(G119*$C$32, 50)</f>
        <v>1500</v>
      </c>
      <c r="H118" s="2808"/>
      <c r="I118" s="2809"/>
      <c r="J118" s="2810"/>
      <c r="K118" s="2657">
        <f>CEILING(E118*$K$28-50, 50)</f>
        <v>3050</v>
      </c>
      <c r="L118" s="2657">
        <f>CEILING(E118*$L$28*1.2-50, 50)</f>
        <v>2850</v>
      </c>
      <c r="M118" s="2811"/>
      <c r="N118" s="2811"/>
      <c r="O118" s="2811"/>
      <c r="P118" s="2812"/>
      <c r="Q118" s="2676">
        <f>CEILING(Q119*C118,50)</f>
        <v>2450</v>
      </c>
      <c r="R118" s="2806"/>
      <c r="S118" s="2806"/>
      <c r="T118" s="2676">
        <f>CEILING(T119*C118,50)</f>
        <v>800</v>
      </c>
      <c r="U118" s="2676">
        <f>CEILING(U119*C118,50)</f>
        <v>950</v>
      </c>
      <c r="V118" s="2676">
        <f>CEILING(V119*C118,50)</f>
        <v>950</v>
      </c>
      <c r="W118" s="2676">
        <f>CEILING(W119*C118,50)</f>
        <v>1050</v>
      </c>
      <c r="X118" s="2996">
        <f>CEILING(X119*C118,50)</f>
        <v>1350</v>
      </c>
      <c r="Y118" s="2826"/>
      <c r="Z118" s="2826"/>
      <c r="AA118" s="2826"/>
      <c r="AB118" s="2814"/>
      <c r="AC118" s="2814"/>
      <c r="AD118" s="2806"/>
      <c r="AE118" s="2806"/>
      <c r="AF118" s="2806"/>
      <c r="AG118" s="2997">
        <f>CEILING(AG119*C118,50)</f>
        <v>900</v>
      </c>
      <c r="AH118" s="2997">
        <f>CEILING(AH119*C118,50)</f>
        <v>1350</v>
      </c>
      <c r="AI118" s="2807"/>
      <c r="AJ118" s="2991">
        <f>CEILING(AG118*$AJ$28, 50)</f>
        <v>900</v>
      </c>
      <c r="AK118" s="2827"/>
      <c r="AL118" s="2827"/>
      <c r="AM118" s="2816"/>
      <c r="AN118" s="2816"/>
      <c r="AO118" s="2813"/>
      <c r="AP118" s="2806"/>
      <c r="AQ118" s="2806"/>
      <c r="AR118" s="2676">
        <f>CEILING(AR119*C118,50)</f>
        <v>750</v>
      </c>
      <c r="AS118" s="769">
        <f>CEILING(AS120*C118-50,50)</f>
        <v>1350</v>
      </c>
      <c r="AT118" s="2676">
        <f t="shared" si="75"/>
        <v>80</v>
      </c>
      <c r="AU118" s="2676">
        <f>CEILING($AU$33*C118,10)</f>
        <v>180</v>
      </c>
      <c r="AV118" s="2676">
        <f>CEILING(AV119*C118,50)</f>
        <v>1350</v>
      </c>
      <c r="AW118" s="2827"/>
      <c r="AX118" s="2816"/>
      <c r="AY118" s="2816"/>
      <c r="AZ118" s="2816"/>
      <c r="BA118" s="2816"/>
      <c r="BB118" s="2816"/>
      <c r="BC118" s="764">
        <f>BC119</f>
        <v>100</v>
      </c>
      <c r="BD118" s="2676">
        <f>CEILING(BD119*C118,50)</f>
        <v>500</v>
      </c>
      <c r="BE118" s="2676">
        <f>CEILING(BE119*C118,50)</f>
        <v>500</v>
      </c>
      <c r="BF118" s="2676">
        <f>CEILING(BF119*C118,50)</f>
        <v>1250</v>
      </c>
      <c r="BG118" s="2676">
        <f>CEILING($BG$33*C118,50)</f>
        <v>450</v>
      </c>
      <c r="BH118" s="2700">
        <f>CEILING(BH119*C118, 50)</f>
        <v>700</v>
      </c>
      <c r="BI118" s="2676">
        <f>CEILING($BI$33*C118,50)</f>
        <v>1100</v>
      </c>
      <c r="BJ118" s="2676">
        <f>CEILING($BJ$33*C118,50)</f>
        <v>1200</v>
      </c>
      <c r="BK118" s="2676">
        <f>CEILING($BK$33*C118,50)</f>
        <v>900</v>
      </c>
      <c r="BL118" s="2676">
        <f>CEILING($BL$33*C118,50)</f>
        <v>1200</v>
      </c>
      <c r="BM118" s="2676">
        <f>CEILING($BM$33*C118,50)</f>
        <v>1250</v>
      </c>
      <c r="BN118" s="2815"/>
      <c r="BO118" s="2815"/>
      <c r="BP118" s="2815"/>
      <c r="BQ118" s="2813"/>
      <c r="BR118" s="2794">
        <f>CEILING($BR$33*C118,50)</f>
        <v>1700</v>
      </c>
      <c r="BS118" s="777">
        <f>CEILING($BS$33*C118,50)</f>
        <v>1950</v>
      </c>
      <c r="BT118" s="777">
        <f>CEILING($BT$33*C118,50)</f>
        <v>2800</v>
      </c>
      <c r="BU118" s="2818"/>
      <c r="BV118" s="2818"/>
      <c r="BW118" s="2818"/>
      <c r="BX118" s="2818"/>
      <c r="BY118" s="2813"/>
      <c r="BZ118" s="2819"/>
      <c r="CA118" s="2819"/>
      <c r="CB118" s="2819"/>
      <c r="CC118" s="2819"/>
      <c r="CD118" s="2819"/>
      <c r="CE118" s="2819"/>
      <c r="CF118" s="2819"/>
      <c r="CG118" s="2819"/>
      <c r="CH118" s="2820"/>
      <c r="CI118" s="2820"/>
      <c r="CJ118" s="2820"/>
      <c r="CK118" s="2819"/>
      <c r="CL118" s="2819"/>
      <c r="CM118" s="2819"/>
      <c r="CN118" s="2819"/>
      <c r="CO118" s="2819"/>
      <c r="CP118" s="2819"/>
      <c r="CQ118" s="2819"/>
      <c r="CR118" s="2819"/>
      <c r="CS118" s="2819"/>
      <c r="CT118" s="2819"/>
      <c r="CU118" s="2819"/>
      <c r="CV118" s="2819"/>
      <c r="CW118" s="2819"/>
      <c r="CX118" s="2819"/>
      <c r="CY118" s="2819"/>
      <c r="CZ118" s="2819"/>
      <c r="DA118" s="2819"/>
      <c r="DB118" s="2819"/>
      <c r="DC118" s="2819"/>
      <c r="DD118" s="2813"/>
      <c r="DE118" s="2821"/>
      <c r="DF118" s="2822"/>
      <c r="DG118" s="2822"/>
      <c r="DH118" s="2822"/>
      <c r="DI118" s="2821"/>
      <c r="DJ118" s="2822"/>
      <c r="DK118" s="2817"/>
      <c r="DL118" s="2821"/>
      <c r="DM118" s="2822"/>
      <c r="DN118" s="2822"/>
      <c r="DO118" s="2822"/>
      <c r="DP118" s="2821"/>
      <c r="DQ118" s="2821"/>
      <c r="DR118" s="2821"/>
      <c r="DS118" s="2823"/>
      <c r="DT118" s="1970" t="e">
        <f>CEILING(DT119*C118,50)</f>
        <v>#REF!</v>
      </c>
      <c r="DU118" s="2825"/>
      <c r="DV118" s="2825"/>
      <c r="DW118" s="2952"/>
      <c r="DX118" s="2825"/>
      <c r="DY118" s="2825"/>
      <c r="DZ118" s="3378">
        <f>32*$DZ$28</f>
        <v>1600</v>
      </c>
      <c r="EA118" s="3374" t="e">
        <f>'Полотна база'!#REF!</f>
        <v>#REF!</v>
      </c>
      <c r="EB118" s="2800"/>
      <c r="EC118" s="2960"/>
      <c r="ED118" s="2960"/>
      <c r="EE118" s="2799"/>
      <c r="EF118" s="2800"/>
      <c r="EG118" s="2799"/>
      <c r="EH118" s="2800"/>
      <c r="EI118" s="2799"/>
      <c r="EJ118" s="2800"/>
      <c r="EK118" s="2799"/>
      <c r="EL118" s="2799"/>
      <c r="EM118" s="2799"/>
    </row>
    <row r="119" spans="1:146" s="761" customFormat="1" ht="21" hidden="1" customHeight="1" outlineLevel="3">
      <c r="A119" s="1719" t="s">
        <v>30</v>
      </c>
      <c r="B119" s="1723" t="s">
        <v>284</v>
      </c>
      <c r="C119" s="2793">
        <v>1</v>
      </c>
      <c r="D119" s="763">
        <v>2950</v>
      </c>
      <c r="E119" s="763">
        <v>1900</v>
      </c>
      <c r="F119" s="769"/>
      <c r="G119" s="2991">
        <f>CEILING(E119*$G$28, 50)</f>
        <v>1900</v>
      </c>
      <c r="H119" s="2991">
        <f>CEILING(G119*$H$28, 50)</f>
        <v>2100</v>
      </c>
      <c r="I119" s="779">
        <v>1900</v>
      </c>
      <c r="J119" s="1174">
        <f>E119</f>
        <v>1900</v>
      </c>
      <c r="K119" s="2657">
        <f>CEILING(E119*$K$28, 50)</f>
        <v>3900</v>
      </c>
      <c r="L119" s="2657">
        <f>CEILING(E119*$L$28*1.2, 50)</f>
        <v>3650</v>
      </c>
      <c r="M119" s="753"/>
      <c r="N119" s="753"/>
      <c r="O119" s="753"/>
      <c r="P119" s="753"/>
      <c r="Q119" s="778">
        <v>3250</v>
      </c>
      <c r="R119" s="763"/>
      <c r="S119" s="769">
        <f>V119</f>
        <v>1250</v>
      </c>
      <c r="T119" s="763">
        <v>1050</v>
      </c>
      <c r="U119" s="2676">
        <v>1250</v>
      </c>
      <c r="V119" s="2676">
        <v>1250</v>
      </c>
      <c r="W119" s="2676">
        <v>1350</v>
      </c>
      <c r="X119" s="2995">
        <v>1750</v>
      </c>
      <c r="Y119" s="2722">
        <v>2950</v>
      </c>
      <c r="Z119" s="2722">
        <v>1450</v>
      </c>
      <c r="AA119" s="2722">
        <v>1650</v>
      </c>
      <c r="AB119" s="769">
        <f>AC119</f>
        <v>1850</v>
      </c>
      <c r="AC119" s="2675">
        <v>1850</v>
      </c>
      <c r="AD119" s="2675"/>
      <c r="AE119" s="2675"/>
      <c r="AF119" s="2675">
        <v>3350</v>
      </c>
      <c r="AG119" s="2677">
        <v>1150</v>
      </c>
      <c r="AH119" s="2686">
        <v>1750</v>
      </c>
      <c r="AI119" s="2686">
        <v>2950</v>
      </c>
      <c r="AJ119" s="2991">
        <f>CEILING(AG119*$AJ$28, 50)</f>
        <v>1150</v>
      </c>
      <c r="AK119" s="3001">
        <f>AC119</f>
        <v>1850</v>
      </c>
      <c r="AL119" s="3001">
        <f>AF119</f>
        <v>3350</v>
      </c>
      <c r="AM119" s="757">
        <f t="shared" ref="AM119:AN121" si="78">S119</f>
        <v>1250</v>
      </c>
      <c r="AN119" s="757">
        <f t="shared" si="78"/>
        <v>1050</v>
      </c>
      <c r="AO119" s="778"/>
      <c r="AP119" s="769">
        <f>CEILING(R119*$AP$28, 50)</f>
        <v>0</v>
      </c>
      <c r="AQ119" s="763"/>
      <c r="AR119" s="2675">
        <v>950</v>
      </c>
      <c r="AS119" s="2675">
        <v>1750</v>
      </c>
      <c r="AT119" s="2676">
        <f t="shared" si="75"/>
        <v>100</v>
      </c>
      <c r="AU119" s="2676">
        <f>CEILING(AT119*1.7,10)</f>
        <v>170</v>
      </c>
      <c r="AV119" s="2722">
        <v>1750</v>
      </c>
      <c r="AW119" s="779">
        <f>CEILING(AU119*AW114*1, 5)</f>
        <v>190</v>
      </c>
      <c r="AX119" s="757">
        <f>AR119</f>
        <v>950</v>
      </c>
      <c r="AY119" s="757">
        <f>CEILING(AX119/75*100, 10)</f>
        <v>1270</v>
      </c>
      <c r="AZ119" s="757">
        <f>CEILING(AX119/75*120, 10)</f>
        <v>1520</v>
      </c>
      <c r="BA119" s="757">
        <f>AS119</f>
        <v>1750</v>
      </c>
      <c r="BB119" s="757">
        <f>CEILING(AX119/75*200*0.85, 10)</f>
        <v>2160</v>
      </c>
      <c r="BC119" s="764">
        <v>100</v>
      </c>
      <c r="BD119" s="2676">
        <v>650</v>
      </c>
      <c r="BE119" s="759">
        <f>BD119</f>
        <v>650</v>
      </c>
      <c r="BF119" s="757">
        <f>CEILING(U119*1.3, 50)</f>
        <v>1650</v>
      </c>
      <c r="BG119" s="778">
        <v>500</v>
      </c>
      <c r="BH119" s="2700">
        <f>CEILING(T119*$BH$28, 50)</f>
        <v>900</v>
      </c>
      <c r="BI119" s="2700">
        <f>CEILING(T119*$BI$28, 50)</f>
        <v>1150</v>
      </c>
      <c r="BJ119" s="2700">
        <f>CEILING(T119*$BJ$28, 50)</f>
        <v>1250</v>
      </c>
      <c r="BK119" s="2700">
        <f>CEILING(BH119*$BK$28, 50)</f>
        <v>950</v>
      </c>
      <c r="BL119" s="2700">
        <f>CEILING(BI119*$BL$28, 50)</f>
        <v>1250</v>
      </c>
      <c r="BM119" s="2700">
        <f>CEILING(BJ119*$BM$28, 50)</f>
        <v>1350</v>
      </c>
      <c r="BN119" s="2700">
        <f>CEILING(AD119*0.8*0.9, 50)</f>
        <v>0</v>
      </c>
      <c r="BO119" s="2700">
        <f>CEILING(AE119*0.8*0.9, 50)</f>
        <v>0</v>
      </c>
      <c r="BP119" s="2700">
        <f>CEILING(AF119*0.8*0.8, 50)</f>
        <v>2150</v>
      </c>
      <c r="BQ119" s="778">
        <v>1150</v>
      </c>
      <c r="BR119" s="1158">
        <f>E119</f>
        <v>1900</v>
      </c>
      <c r="BS119" s="777">
        <f>CEILING(BR119*$BS$28,50)</f>
        <v>2400</v>
      </c>
      <c r="BT119" s="777">
        <f>CEILING(BS119*$BS$28,50)</f>
        <v>3000</v>
      </c>
      <c r="BU119" s="777">
        <f>CEILING(BR119/3, 50)</f>
        <v>650</v>
      </c>
      <c r="BV119" s="777">
        <f>CEILING(BS119*$BV$28,50)</f>
        <v>800</v>
      </c>
      <c r="BW119" s="777">
        <f>CEILING(BT119/3,50)</f>
        <v>1000</v>
      </c>
      <c r="BX119" s="777">
        <f>CEILING(BT119*$BX$28,50)</f>
        <v>5400</v>
      </c>
      <c r="BY119" s="778"/>
      <c r="BZ119" s="3011">
        <v>850</v>
      </c>
      <c r="CA119" s="3012">
        <f>CEILING(BZ119*$CA$28, 50)</f>
        <v>900</v>
      </c>
      <c r="CB119" s="3012">
        <f>CEILING(CA119*$CB$28, 50)</f>
        <v>950</v>
      </c>
      <c r="CC119" s="3012">
        <f>CEILING(CB119*$CC$28, 50)</f>
        <v>1000</v>
      </c>
      <c r="CD119" s="3012">
        <f>CEILING(BZ119*$CD$28, 50)</f>
        <v>900</v>
      </c>
      <c r="CE119" s="3012">
        <f>CEILING(CA119*$CE$28, 50)</f>
        <v>950</v>
      </c>
      <c r="CF119" s="3012">
        <f>CEILING(CB119*$CF$28, 50)</f>
        <v>1000</v>
      </c>
      <c r="CG119" s="3012">
        <f>CEILING(CC119*$CG$28, 50)</f>
        <v>1050</v>
      </c>
      <c r="CH119" s="3012">
        <f>CEILING(BZ119*$CH$28, 50)</f>
        <v>950</v>
      </c>
      <c r="CI119" s="3012">
        <f>CEILING(CA119*$CI$28, 50)</f>
        <v>1000</v>
      </c>
      <c r="CJ119" s="755">
        <f>CEILING(CB119*$CJ$28, 50)</f>
        <v>1050</v>
      </c>
      <c r="CK119" s="755">
        <f>CEILING(BZ119*$CK$28, 50)</f>
        <v>950</v>
      </c>
      <c r="CL119" s="755">
        <f>CEILING(CA119*$CL$28, 50)</f>
        <v>1000</v>
      </c>
      <c r="CM119" s="755">
        <f>CEILING(CB119*$CL$28, 50)</f>
        <v>1050</v>
      </c>
      <c r="CN119" s="3012">
        <f>CEILING(CJ119*$CN$28, 50)</f>
        <v>1250</v>
      </c>
      <c r="CO119" s="3011">
        <f t="shared" ref="CO119:DC119" si="79">CEILING(BZ119*$CO$28,50)</f>
        <v>1150</v>
      </c>
      <c r="CP119" s="3011">
        <f t="shared" si="79"/>
        <v>1250</v>
      </c>
      <c r="CQ119" s="3011">
        <f t="shared" si="79"/>
        <v>1300</v>
      </c>
      <c r="CR119" s="3011">
        <f t="shared" si="79"/>
        <v>1350</v>
      </c>
      <c r="CS119" s="3011">
        <f t="shared" si="79"/>
        <v>1250</v>
      </c>
      <c r="CT119" s="3011">
        <f t="shared" si="79"/>
        <v>1300</v>
      </c>
      <c r="CU119" s="3011">
        <f t="shared" si="79"/>
        <v>1350</v>
      </c>
      <c r="CV119" s="3011">
        <f t="shared" si="79"/>
        <v>1450</v>
      </c>
      <c r="CW119" s="3011">
        <f t="shared" si="79"/>
        <v>1300</v>
      </c>
      <c r="CX119" s="3011">
        <f t="shared" si="79"/>
        <v>1350</v>
      </c>
      <c r="CY119" s="3011">
        <f t="shared" si="79"/>
        <v>1450</v>
      </c>
      <c r="CZ119" s="3011">
        <f t="shared" si="79"/>
        <v>1300</v>
      </c>
      <c r="DA119" s="3011">
        <f t="shared" si="79"/>
        <v>1350</v>
      </c>
      <c r="DB119" s="3011">
        <f t="shared" si="79"/>
        <v>1450</v>
      </c>
      <c r="DC119" s="3011">
        <f t="shared" si="79"/>
        <v>1700</v>
      </c>
      <c r="DD119" s="778"/>
      <c r="DE119" s="2795">
        <f>CEILING(AC119*$DE$28,50)</f>
        <v>2700</v>
      </c>
      <c r="DF119" s="2795">
        <f>CEILING(DE119*$DF$28,50)</f>
        <v>3250</v>
      </c>
      <c r="DG119" s="752">
        <f>CEILING(DE119*$DG$28,50)</f>
        <v>3400</v>
      </c>
      <c r="DH119" s="752">
        <f>CEILING(DG119*$DH$28,50)</f>
        <v>4100</v>
      </c>
      <c r="DI119" s="2795">
        <f>CEILING(DE119*$DI$28,50)</f>
        <v>3550</v>
      </c>
      <c r="DJ119" s="2795">
        <f>CEILING(DI119*$DJ$28,50)</f>
        <v>4300</v>
      </c>
      <c r="DK119" s="1158">
        <f>CEILING(AL119*$DK$28,50)</f>
        <v>4200</v>
      </c>
      <c r="DL119" s="2795">
        <f>CEILING(DK119*$DL$28,50)</f>
        <v>4200</v>
      </c>
      <c r="DM119" s="752">
        <f>CEILING(DI119*$DM$28,50)</f>
        <v>7850</v>
      </c>
      <c r="DN119" s="752">
        <f>DM119</f>
        <v>7850</v>
      </c>
      <c r="DO119" s="752">
        <f>DM119</f>
        <v>7850</v>
      </c>
      <c r="DP119" s="2795">
        <f>CEILING(AC119*$DP$28,50)</f>
        <v>1850</v>
      </c>
      <c r="DQ119" s="752">
        <f>CEILING(DP119*$DQ$28,50)</f>
        <v>2250</v>
      </c>
      <c r="DR119" s="752">
        <f>CEILING(V119*0.7,50)</f>
        <v>900</v>
      </c>
      <c r="DS119" s="780"/>
      <c r="DT119" s="1970" t="e">
        <f>CEILING(EB119*$DT$28,50)</f>
        <v>#REF!</v>
      </c>
      <c r="DU119" s="2825" t="e">
        <f>CEILING(EL119*0.8,50)</f>
        <v>#REF!</v>
      </c>
      <c r="DV119" s="2824" t="e">
        <f>CEILING(EM119,50)</f>
        <v>#REF!</v>
      </c>
      <c r="DW119" s="2673"/>
      <c r="DX119" s="1970" t="e">
        <f>CEILING(EF119*$DX$28,50)</f>
        <v>#REF!</v>
      </c>
      <c r="DY119" s="1970" t="e">
        <f>CEILING(EH119*$DY$28,50)</f>
        <v>#REF!</v>
      </c>
      <c r="DZ119" s="3378">
        <f>32*$DZ$28</f>
        <v>1600</v>
      </c>
      <c r="EA119" s="3374" t="e">
        <f>'Полотна база'!#REF!</f>
        <v>#REF!</v>
      </c>
      <c r="EB119" s="812" t="e">
        <f>(EA119/1.6)*$EB$26</f>
        <v>#REF!</v>
      </c>
      <c r="EC119" s="2960"/>
      <c r="ED119" s="2960"/>
      <c r="EE119" s="811" t="e">
        <f>'Полотна база'!#REF!</f>
        <v>#REF!</v>
      </c>
      <c r="EF119" s="812" t="e">
        <f>(EE119/1.6)*EF112</f>
        <v>#REF!</v>
      </c>
      <c r="EG119" s="811" t="e">
        <f>'Полотна база'!#REF!</f>
        <v>#REF!</v>
      </c>
      <c r="EH119" s="812" t="e">
        <f>(EG119/1.6)*EH112</f>
        <v>#REF!</v>
      </c>
      <c r="EI119" s="811"/>
      <c r="EJ119" s="812"/>
      <c r="EK119" s="2799" t="e">
        <f>'Полотна база'!#REF!</f>
        <v>#REF!</v>
      </c>
      <c r="EL119" s="2800" t="e">
        <f>(EK119/1.6)*$EL$26</f>
        <v>#REF!</v>
      </c>
      <c r="EM119" s="2800" t="e">
        <f>(EK119/1.6)*$EM$26</f>
        <v>#REF!</v>
      </c>
      <c r="EN119" s="761">
        <f>E119*1.05</f>
        <v>1995</v>
      </c>
    </row>
    <row r="120" spans="1:146" s="761" customFormat="1" ht="21" hidden="1" customHeight="1" outlineLevel="3">
      <c r="A120" s="5021" t="s">
        <v>1019</v>
      </c>
      <c r="B120" s="1720" t="s">
        <v>2587</v>
      </c>
      <c r="C120" s="2793">
        <v>1.05</v>
      </c>
      <c r="D120" s="763">
        <v>1750</v>
      </c>
      <c r="E120" s="763">
        <f>CEILING(E119*$C$34, 50)</f>
        <v>2000</v>
      </c>
      <c r="F120" s="769"/>
      <c r="G120" s="2991">
        <f>CEILING(E120*$G$28, 50)</f>
        <v>2000</v>
      </c>
      <c r="H120" s="2991">
        <f>CEILING(C120*H119, 50)</f>
        <v>2250</v>
      </c>
      <c r="I120" s="782"/>
      <c r="J120" s="1174">
        <f>E120</f>
        <v>2000</v>
      </c>
      <c r="K120" s="2657">
        <f>CEILING(E120*$K$28, 50)</f>
        <v>4100</v>
      </c>
      <c r="L120" s="2657">
        <f>CEILING(E120*$L$28*1.2, 50)</f>
        <v>3850</v>
      </c>
      <c r="M120" s="753"/>
      <c r="N120" s="753"/>
      <c r="O120" s="753"/>
      <c r="P120" s="753"/>
      <c r="Q120" s="2676">
        <f>CEILING(Q119*C120,50)</f>
        <v>3450</v>
      </c>
      <c r="R120" s="769"/>
      <c r="S120" s="769">
        <f>V120</f>
        <v>1350</v>
      </c>
      <c r="T120" s="2676">
        <f>CEILING(T119*1.05,50)</f>
        <v>1150</v>
      </c>
      <c r="U120" s="2676">
        <f>CEILING(U119*1.05,50)</f>
        <v>1350</v>
      </c>
      <c r="V120" s="2676">
        <f>U120</f>
        <v>1350</v>
      </c>
      <c r="W120" s="2676">
        <f>CEILING(W119*1.05,50)</f>
        <v>1450</v>
      </c>
      <c r="X120" s="2996">
        <f>CEILING(X119*C120,50)</f>
        <v>1850</v>
      </c>
      <c r="Y120" s="1807"/>
      <c r="Z120" s="1807"/>
      <c r="AA120" s="1807"/>
      <c r="AB120" s="2676">
        <v>1950</v>
      </c>
      <c r="AC120" s="770"/>
      <c r="AD120" s="770"/>
      <c r="AE120" s="770"/>
      <c r="AF120" s="770"/>
      <c r="AG120" s="2997">
        <f>CEILING(AG119*1.05,50)</f>
        <v>1250</v>
      </c>
      <c r="AH120" s="2997">
        <f>CEILING(AH119*1.05,50)</f>
        <v>1850</v>
      </c>
      <c r="AI120" s="2997">
        <f>CEILING(AI119*1.05,50)</f>
        <v>3100</v>
      </c>
      <c r="AJ120" s="2991">
        <f>CEILING(AG120*$AJ$28, 50)</f>
        <v>1250</v>
      </c>
      <c r="AK120" s="754"/>
      <c r="AL120" s="754"/>
      <c r="AM120" s="757">
        <f t="shared" si="78"/>
        <v>1350</v>
      </c>
      <c r="AN120" s="757">
        <f t="shared" si="78"/>
        <v>1150</v>
      </c>
      <c r="AO120" s="762"/>
      <c r="AP120" s="769"/>
      <c r="AQ120" s="769"/>
      <c r="AR120" s="2676">
        <f>CEILING(AR119*C120,50)</f>
        <v>1000</v>
      </c>
      <c r="AS120" s="769">
        <f>CEILING(AS119*C120,50)</f>
        <v>1850</v>
      </c>
      <c r="AT120" s="2676">
        <f t="shared" si="75"/>
        <v>100</v>
      </c>
      <c r="AU120" s="2676">
        <f>CEILING($AU$33*C120,10)</f>
        <v>250</v>
      </c>
      <c r="AV120" s="2676">
        <f>CEILING(AV119*C120,50)</f>
        <v>1850</v>
      </c>
      <c r="AW120" s="754"/>
      <c r="AX120" s="757">
        <f>AR120</f>
        <v>1000</v>
      </c>
      <c r="AY120" s="757">
        <f>CEILING(AX120/75*100, 10)</f>
        <v>1340</v>
      </c>
      <c r="AZ120" s="757">
        <f>CEILING(AX120/75*120, 10)</f>
        <v>1600</v>
      </c>
      <c r="BA120" s="757">
        <f>AS120</f>
        <v>1850</v>
      </c>
      <c r="BB120" s="757">
        <f>CEILING(AX120/75*200*0.85, 10)</f>
        <v>2270</v>
      </c>
      <c r="BC120" s="764">
        <f>BC119</f>
        <v>100</v>
      </c>
      <c r="BD120" s="2676">
        <f>CEILING(BD119*C120,50)</f>
        <v>700</v>
      </c>
      <c r="BE120" s="2676">
        <f>CEILING(BE119*C120,50)</f>
        <v>700</v>
      </c>
      <c r="BF120" s="2676">
        <f>CEILING(BF119*C120,50)</f>
        <v>1750</v>
      </c>
      <c r="BG120" s="2676">
        <f>CEILING($BG$33*C120,50)</f>
        <v>600</v>
      </c>
      <c r="BH120" s="2676">
        <f>CEILING(BH119*C120,50)</f>
        <v>950</v>
      </c>
      <c r="BI120" s="2676">
        <f>CEILING(BI119*C120,50)</f>
        <v>1250</v>
      </c>
      <c r="BJ120" s="2676">
        <f>CEILING($BJ$33*C120,50)</f>
        <v>1650</v>
      </c>
      <c r="BK120" s="2676">
        <f>CEILING($BK$33*C120,50)</f>
        <v>1250</v>
      </c>
      <c r="BL120" s="2676">
        <f>CEILING($BL$33*C120,50)</f>
        <v>1650</v>
      </c>
      <c r="BM120" s="2676">
        <f>CEILING($BM$33*C120,50)</f>
        <v>1750</v>
      </c>
      <c r="BN120" s="754"/>
      <c r="BO120" s="754"/>
      <c r="BP120" s="754"/>
      <c r="BQ120" s="762"/>
      <c r="BR120" s="2794">
        <f>CEILING($BR$33*C120,50)</f>
        <v>2400</v>
      </c>
      <c r="BS120" s="777">
        <f>CEILING($BS$33*C120,50)</f>
        <v>2700</v>
      </c>
      <c r="BT120" s="777">
        <f>CEILING($BT$33*C120,50)</f>
        <v>3900</v>
      </c>
      <c r="BU120" s="777">
        <f>CEILING($BU$33*C120,50)</f>
        <v>900</v>
      </c>
      <c r="BV120" s="777">
        <f>CEILING(BV119*$C$34,50)</f>
        <v>850</v>
      </c>
      <c r="BW120" s="777">
        <f>CEILING($BW$33*C120,50)</f>
        <v>1400</v>
      </c>
      <c r="BX120" s="777">
        <f>CEILING($BX$33*C120,50)</f>
        <v>5900</v>
      </c>
      <c r="BY120" s="762"/>
      <c r="BZ120" s="3012">
        <f>CEILING($BZ$33*C120,50)</f>
        <v>1150</v>
      </c>
      <c r="CA120" s="3012">
        <f>CEILING($CA$33*C120,50)</f>
        <v>1200</v>
      </c>
      <c r="CB120" s="3012">
        <f>CEILING($CB$33*C120,50)</f>
        <v>1250</v>
      </c>
      <c r="CC120" s="3012">
        <f>CEILING($CC$33*C120,50)</f>
        <v>1350</v>
      </c>
      <c r="CD120" s="3012"/>
      <c r="CE120" s="3012"/>
      <c r="CF120" s="755"/>
      <c r="CG120" s="755"/>
      <c r="CH120" s="3012">
        <f>CEILING($CH$33*$C$34,50)</f>
        <v>1250</v>
      </c>
      <c r="CI120" s="3012">
        <f>CEILING(CI119*$C$34,50)</f>
        <v>1050</v>
      </c>
      <c r="CJ120" s="3012">
        <f>CEILING(CJ119*$C$34,50)</f>
        <v>1150</v>
      </c>
      <c r="CK120" s="3012">
        <f>CEILING(CK119*$C$34,50)</f>
        <v>1000</v>
      </c>
      <c r="CL120" s="3012">
        <f>CEILING(CL119*$C$34,50)</f>
        <v>1050</v>
      </c>
      <c r="CM120" s="3012">
        <f>CEILING(CM119*$C$34,50)</f>
        <v>1150</v>
      </c>
      <c r="CN120" s="755"/>
      <c r="CO120" s="3012">
        <f>CEILING($CO$33*C120,50)</f>
        <v>1550</v>
      </c>
      <c r="CP120" s="3012">
        <f>CEILING($CP$33*C120,50)</f>
        <v>1650</v>
      </c>
      <c r="CQ120" s="3012">
        <f>CEILING($CQ$33*C120,50)</f>
        <v>1700</v>
      </c>
      <c r="CR120" s="3012">
        <f>CEILING($CR$33*C120,50)</f>
        <v>1750</v>
      </c>
      <c r="CS120" s="806">
        <f>CEILING(CD120*$CO$28,50)</f>
        <v>0</v>
      </c>
      <c r="CT120" s="806">
        <f>CEILING(CE120*$CO$28,50)</f>
        <v>0</v>
      </c>
      <c r="CU120" s="806">
        <f>CEILING(CF120*$CO$28,50)</f>
        <v>0</v>
      </c>
      <c r="CV120" s="806">
        <f>CEILING(CG120*$CO$28,50)</f>
        <v>0</v>
      </c>
      <c r="CW120" s="3012">
        <f t="shared" ref="CW120:DB120" si="80">CEILING(CW119*$C$34,50)</f>
        <v>1400</v>
      </c>
      <c r="CX120" s="3012">
        <f t="shared" si="80"/>
        <v>1450</v>
      </c>
      <c r="CY120" s="3012">
        <f t="shared" si="80"/>
        <v>1550</v>
      </c>
      <c r="CZ120" s="3012">
        <f t="shared" si="80"/>
        <v>1400</v>
      </c>
      <c r="DA120" s="3012">
        <f t="shared" si="80"/>
        <v>1450</v>
      </c>
      <c r="DB120" s="3012">
        <f t="shared" si="80"/>
        <v>1550</v>
      </c>
      <c r="DC120" s="806" t="e">
        <f>DC177</f>
        <v>#REF!</v>
      </c>
      <c r="DD120" s="762"/>
      <c r="DE120" s="2795">
        <f>CEILING($DE$33*C120,50)</f>
        <v>3500</v>
      </c>
      <c r="DF120" s="2795">
        <f>CEILING($DF$33*C120,50)</f>
        <v>4100</v>
      </c>
      <c r="DG120" s="752">
        <f>CEILING($DG$33*C120,50)</f>
        <v>4450</v>
      </c>
      <c r="DH120" s="752">
        <f>CEILING($DH$33*C120,50)</f>
        <v>5350</v>
      </c>
      <c r="DI120" s="2795">
        <f>CEILING($DI$33*C120,50)</f>
        <v>4550</v>
      </c>
      <c r="DJ120" s="2795">
        <f>CEILING($DJ$33*C120,50)</f>
        <v>5450</v>
      </c>
      <c r="DK120" s="2794">
        <f>CEILING($DK$33*C120,50)</f>
        <v>5350</v>
      </c>
      <c r="DL120" s="2795">
        <f t="shared" ref="DL120:DR120" si="81">CEILING(DL119*$C$34,50)</f>
        <v>4450</v>
      </c>
      <c r="DM120" s="2795">
        <f t="shared" si="81"/>
        <v>8250</v>
      </c>
      <c r="DN120" s="752">
        <f t="shared" si="81"/>
        <v>8250</v>
      </c>
      <c r="DO120" s="752">
        <f t="shared" si="81"/>
        <v>8250</v>
      </c>
      <c r="DP120" s="2795">
        <f t="shared" si="81"/>
        <v>1950</v>
      </c>
      <c r="DQ120" s="2795">
        <f t="shared" si="81"/>
        <v>2400</v>
      </c>
      <c r="DR120" s="752">
        <f t="shared" si="81"/>
        <v>950</v>
      </c>
      <c r="DS120" s="776"/>
      <c r="DT120" s="1970" t="e">
        <f>CEILING(DT119*C120,50)</f>
        <v>#REF!</v>
      </c>
      <c r="DU120" s="2825"/>
      <c r="DV120" s="759"/>
      <c r="DW120" s="2670"/>
      <c r="DX120" s="1970"/>
      <c r="DY120" s="1970" t="e">
        <f>CEILING(DY119*C120,50)</f>
        <v>#REF!</v>
      </c>
      <c r="DZ120" s="3378">
        <f>32*$DZ$28</f>
        <v>1600</v>
      </c>
      <c r="EA120" s="3374" t="e">
        <f>'Полотна база'!#REF!</f>
        <v>#REF!</v>
      </c>
      <c r="EB120" s="812" t="e">
        <f>(EA120/1.6)*$EB$26</f>
        <v>#REF!</v>
      </c>
      <c r="EC120" s="2960"/>
      <c r="ED120" s="2960"/>
      <c r="EE120" s="811"/>
      <c r="EF120" s="812"/>
      <c r="EG120" s="811"/>
      <c r="EH120" s="812"/>
      <c r="EI120" s="811" t="e">
        <f>'Полотна база'!#REF!</f>
        <v>#REF!</v>
      </c>
      <c r="EJ120" s="812" t="e">
        <f>(EI120/1.6)*$EJ$26</f>
        <v>#REF!</v>
      </c>
      <c r="EK120" s="2799"/>
      <c r="EL120" s="2800">
        <f>(EK120/1.6)*$EL$26</f>
        <v>0</v>
      </c>
      <c r="EM120" s="2800">
        <f>(EK120/1.6)*$EM$26</f>
        <v>0</v>
      </c>
      <c r="EN120" s="761">
        <f>E120*1.05</f>
        <v>2100</v>
      </c>
    </row>
    <row r="121" spans="1:146" s="761" customFormat="1" ht="21" hidden="1" customHeight="1" outlineLevel="3">
      <c r="A121" s="5027"/>
      <c r="B121" s="1722" t="s">
        <v>2570</v>
      </c>
      <c r="C121" s="2793">
        <v>1.1499999999999999</v>
      </c>
      <c r="D121" s="763">
        <v>650</v>
      </c>
      <c r="E121" s="763">
        <f>CEILING(E119*$C$35, 50)</f>
        <v>2150</v>
      </c>
      <c r="F121" s="769"/>
      <c r="G121" s="2991">
        <f>CEILING(E121*$G$28, 50)</f>
        <v>2150</v>
      </c>
      <c r="H121" s="2991">
        <f>CEILING(H119*C121, 50)</f>
        <v>2450</v>
      </c>
      <c r="I121" s="781"/>
      <c r="J121" s="1174">
        <f>E121</f>
        <v>2150</v>
      </c>
      <c r="K121" s="2657">
        <f>CEILING(E121*$K$28, 50)</f>
        <v>4400</v>
      </c>
      <c r="L121" s="2657">
        <f>CEILING(E121*$L$28*1.2-50, 50)</f>
        <v>4100</v>
      </c>
      <c r="M121" s="753"/>
      <c r="N121" s="753"/>
      <c r="O121" s="753"/>
      <c r="P121" s="753"/>
      <c r="Q121" s="2676">
        <f>CEILING(Q119*C121,50)</f>
        <v>3750</v>
      </c>
      <c r="R121" s="769"/>
      <c r="S121" s="769">
        <f>V121</f>
        <v>1450</v>
      </c>
      <c r="T121" s="2676">
        <f>CEILING(T119*1.15,50)</f>
        <v>1250</v>
      </c>
      <c r="U121" s="2676">
        <f>CEILING(U119*1.15,50)</f>
        <v>1450</v>
      </c>
      <c r="V121" s="2676">
        <f>U121</f>
        <v>1450</v>
      </c>
      <c r="W121" s="2676">
        <f>CEILING(W119*1.15,50)</f>
        <v>1600</v>
      </c>
      <c r="X121" s="2996">
        <f>CEILING(X119*C121,50)</f>
        <v>2050</v>
      </c>
      <c r="Y121" s="1807"/>
      <c r="Z121" s="1807"/>
      <c r="AA121" s="1807"/>
      <c r="AB121" s="2676">
        <v>2150</v>
      </c>
      <c r="AC121" s="764"/>
      <c r="AD121" s="764"/>
      <c r="AE121" s="770"/>
      <c r="AF121" s="764"/>
      <c r="AG121" s="2997">
        <f>CEILING(AG119*1.15,50)</f>
        <v>1350</v>
      </c>
      <c r="AH121" s="2997">
        <f>CEILING(AH119*1.15,50)</f>
        <v>2050</v>
      </c>
      <c r="AI121" s="2997">
        <f>CEILING(AI119*1.15,50)</f>
        <v>3400</v>
      </c>
      <c r="AJ121" s="2991">
        <f>CEILING(AG121*$AJ$28, 50)</f>
        <v>1350</v>
      </c>
      <c r="AK121" s="754"/>
      <c r="AL121" s="754"/>
      <c r="AM121" s="757">
        <f t="shared" si="78"/>
        <v>1450</v>
      </c>
      <c r="AN121" s="757">
        <f t="shared" si="78"/>
        <v>1250</v>
      </c>
      <c r="AO121" s="762"/>
      <c r="AP121" s="769"/>
      <c r="AQ121" s="769"/>
      <c r="AR121" s="2676">
        <f>CEILING(AR119*C121,50)</f>
        <v>1100</v>
      </c>
      <c r="AS121" s="769">
        <f>CEILING(AS119*C121,50)</f>
        <v>2050</v>
      </c>
      <c r="AT121" s="2676">
        <f t="shared" si="75"/>
        <v>110</v>
      </c>
      <c r="AU121" s="2676">
        <f>CEILING($AU$33*C121,10)</f>
        <v>270</v>
      </c>
      <c r="AV121" s="2676">
        <f>CEILING(AV120*C121-100,50)</f>
        <v>2050</v>
      </c>
      <c r="AW121" s="754"/>
      <c r="AX121" s="757">
        <f>AR121</f>
        <v>1100</v>
      </c>
      <c r="AY121" s="757">
        <f>CEILING(AX121/75*100, 10)</f>
        <v>1470</v>
      </c>
      <c r="AZ121" s="757">
        <f>CEILING(AX121/75*120, 10)</f>
        <v>1760</v>
      </c>
      <c r="BA121" s="757">
        <f>AS121</f>
        <v>2050</v>
      </c>
      <c r="BB121" s="757">
        <f>CEILING(AX121/75*200*0.85, 10)</f>
        <v>2500</v>
      </c>
      <c r="BC121" s="764">
        <f>BC119</f>
        <v>100</v>
      </c>
      <c r="BD121" s="2676">
        <f>CEILING(BD119*C121,50)</f>
        <v>750</v>
      </c>
      <c r="BE121" s="2676">
        <f>CEILING(BE119*C121,50)</f>
        <v>750</v>
      </c>
      <c r="BF121" s="2676">
        <f>CEILING(BF119*C121,50)</f>
        <v>1900</v>
      </c>
      <c r="BG121" s="2676">
        <f>CEILING($BG$33*C121,50)</f>
        <v>650</v>
      </c>
      <c r="BH121" s="2676">
        <f>CEILING(BH119*C121,50)</f>
        <v>1050</v>
      </c>
      <c r="BI121" s="2676">
        <f>CEILING(BI119*C121,50)</f>
        <v>1350</v>
      </c>
      <c r="BJ121" s="2676">
        <f>CEILING($BJ$33*C121,50)</f>
        <v>1800</v>
      </c>
      <c r="BK121" s="2676">
        <f>CEILING($BK$33*C121,50)</f>
        <v>1350</v>
      </c>
      <c r="BL121" s="2676">
        <f>CEILING($BL$33*C121,50)</f>
        <v>1800</v>
      </c>
      <c r="BM121" s="2676">
        <f>CEILING($BM$33*C121,50)</f>
        <v>1900</v>
      </c>
      <c r="BN121" s="754"/>
      <c r="BO121" s="754"/>
      <c r="BP121" s="754"/>
      <c r="BQ121" s="762"/>
      <c r="BR121" s="2794">
        <f>CEILING($BR$33*C121,50)</f>
        <v>2600</v>
      </c>
      <c r="BS121" s="777">
        <f>CEILING($BS$33*C121,50)</f>
        <v>2950</v>
      </c>
      <c r="BT121" s="777">
        <f>CEILING($BT$33*C121,50)</f>
        <v>4300</v>
      </c>
      <c r="BU121" s="777">
        <f>CEILING($BU$33*C121,50)</f>
        <v>1000</v>
      </c>
      <c r="BV121" s="777">
        <f>CEILING($BV$33*C121,50)</f>
        <v>1150</v>
      </c>
      <c r="BW121" s="777">
        <f>CEILING($BW$33*C121,50)</f>
        <v>1500</v>
      </c>
      <c r="BX121" s="777">
        <f>CEILING($BX$33*C121,50)</f>
        <v>6450</v>
      </c>
      <c r="BY121" s="762"/>
      <c r="BZ121" s="3012">
        <f>CEILING($BZ$33*C121,50)</f>
        <v>1250</v>
      </c>
      <c r="CA121" s="3012">
        <f>CEILING($CA$33*C121,50)</f>
        <v>1300</v>
      </c>
      <c r="CB121" s="3012">
        <f>CEILING($CB$33*C121,50)</f>
        <v>1350</v>
      </c>
      <c r="CC121" s="3012">
        <f>CEILING($CC$33*C121,50)</f>
        <v>1450</v>
      </c>
      <c r="CD121" s="3012">
        <f>CEILING($CD$33*$C$35,50)</f>
        <v>1300</v>
      </c>
      <c r="CE121" s="3012">
        <f>CEILING($CE$33*$C$35,50)</f>
        <v>1350</v>
      </c>
      <c r="CF121" s="3012">
        <f>CEILING($CF$33*$C$35,50)</f>
        <v>1450</v>
      </c>
      <c r="CG121" s="3012">
        <f>CEILING($CG$33*$C$35,50)</f>
        <v>1500</v>
      </c>
      <c r="CH121" s="3012">
        <f>CEILING($CH$33*$C$35,50)</f>
        <v>1350</v>
      </c>
      <c r="CI121" s="3012">
        <f>CEILING(CI120*$C$34,50)</f>
        <v>1150</v>
      </c>
      <c r="CJ121" s="3012">
        <f>CEILING($CJ$33*C121,50)</f>
        <v>1550</v>
      </c>
      <c r="CK121" s="3012">
        <f>CEILING(CK119*$C$35,50)</f>
        <v>1100</v>
      </c>
      <c r="CL121" s="3012">
        <f>CEILING(CL119*$C$35,50)</f>
        <v>1150</v>
      </c>
      <c r="CM121" s="3012">
        <f>CEILING(CM119*$C$35,50)</f>
        <v>1200</v>
      </c>
      <c r="CN121" s="755"/>
      <c r="CO121" s="3012">
        <f>CEILING($CO$33*C121,50)</f>
        <v>1700</v>
      </c>
      <c r="CP121" s="3012">
        <f>CEILING($CP$33*C121,50)</f>
        <v>1800</v>
      </c>
      <c r="CQ121" s="3012">
        <f>CEILING($CQ$33*C121,50)</f>
        <v>1850</v>
      </c>
      <c r="CR121" s="3012">
        <f>CEILING($CR$33*C121,50)</f>
        <v>1900</v>
      </c>
      <c r="CS121" s="3012">
        <f>CEILING($CS$33*C121,50)</f>
        <v>1800</v>
      </c>
      <c r="CT121" s="3012">
        <f>CEILING(CT119*$C$35,50)</f>
        <v>1500</v>
      </c>
      <c r="CU121" s="3012">
        <f t="shared" ref="CU121:DB121" si="82">CEILING(CU119*$C$35,50)</f>
        <v>1550</v>
      </c>
      <c r="CV121" s="3012">
        <f t="shared" si="82"/>
        <v>1650</v>
      </c>
      <c r="CW121" s="3012">
        <f t="shared" si="82"/>
        <v>1500</v>
      </c>
      <c r="CX121" s="3012">
        <f t="shared" si="82"/>
        <v>1550</v>
      </c>
      <c r="CY121" s="3012">
        <f t="shared" si="82"/>
        <v>1650</v>
      </c>
      <c r="CZ121" s="3012">
        <f t="shared" si="82"/>
        <v>1500</v>
      </c>
      <c r="DA121" s="3012">
        <f t="shared" si="82"/>
        <v>1550</v>
      </c>
      <c r="DB121" s="3012">
        <f t="shared" si="82"/>
        <v>1650</v>
      </c>
      <c r="DC121" s="806" t="e">
        <f>DC179</f>
        <v>#DIV/0!</v>
      </c>
      <c r="DD121" s="762"/>
      <c r="DE121" s="2795">
        <f>CEILING($DE$33*C121,50)</f>
        <v>3800</v>
      </c>
      <c r="DF121" s="2795">
        <f>CEILING($DF$33*C121,50)</f>
        <v>4500</v>
      </c>
      <c r="DG121" s="752">
        <f>CEILING($DG$33*C121,50)</f>
        <v>4850</v>
      </c>
      <c r="DH121" s="752">
        <f>CEILING($DH$33*C121,50)</f>
        <v>5850</v>
      </c>
      <c r="DI121" s="2795">
        <f>CEILING($DI$33*C121,50)</f>
        <v>4950</v>
      </c>
      <c r="DJ121" s="2795">
        <f>CEILING($DJ$33*C121,50)</f>
        <v>5950</v>
      </c>
      <c r="DK121" s="2794">
        <f>CEILING($DK$33*C121,50)</f>
        <v>5850</v>
      </c>
      <c r="DL121" s="2795">
        <f t="shared" ref="DL121:DR121" si="83">CEILING(DL119*$C$35,50)</f>
        <v>4750</v>
      </c>
      <c r="DM121" s="2795">
        <f t="shared" si="83"/>
        <v>8900</v>
      </c>
      <c r="DN121" s="752">
        <f t="shared" si="83"/>
        <v>8900</v>
      </c>
      <c r="DO121" s="752">
        <f t="shared" si="83"/>
        <v>8900</v>
      </c>
      <c r="DP121" s="2795">
        <f t="shared" si="83"/>
        <v>2100</v>
      </c>
      <c r="DQ121" s="2795">
        <f t="shared" si="83"/>
        <v>2550</v>
      </c>
      <c r="DR121" s="752">
        <f t="shared" si="83"/>
        <v>1050</v>
      </c>
      <c r="DS121" s="776"/>
      <c r="DT121" s="1970" t="e">
        <f>CEILING(DT119*C121,50)</f>
        <v>#REF!</v>
      </c>
      <c r="DU121" s="760" t="e">
        <f>CEILING(DU119*C121,50)</f>
        <v>#REF!</v>
      </c>
      <c r="DV121" s="1970" t="e">
        <f>CEILING(EM121,50)</f>
        <v>#REF!</v>
      </c>
      <c r="DW121" s="2673"/>
      <c r="DX121" s="760" t="e">
        <f>CEILING(DX119*C121,50)</f>
        <v>#REF!</v>
      </c>
      <c r="DY121" s="1970" t="e">
        <f>CEILING(DY119*C121,50)</f>
        <v>#REF!</v>
      </c>
      <c r="DZ121" s="3378">
        <f>32*$DZ$28</f>
        <v>1600</v>
      </c>
      <c r="EA121" s="3374" t="e">
        <f>'Полотна база'!#REF!</f>
        <v>#REF!</v>
      </c>
      <c r="EB121" s="812" t="e">
        <f>(EA121/1.6)*$EB$26</f>
        <v>#REF!</v>
      </c>
      <c r="EC121" s="2960"/>
      <c r="ED121" s="2960"/>
      <c r="EE121" s="811"/>
      <c r="EF121" s="812"/>
      <c r="EG121" s="811"/>
      <c r="EH121" s="812"/>
      <c r="EI121" s="811" t="e">
        <f>'Полотна база'!#REF!</f>
        <v>#REF!</v>
      </c>
      <c r="EJ121" s="812" t="e">
        <f>(EI121/1.6)*$EJ$26</f>
        <v>#REF!</v>
      </c>
      <c r="EK121" s="2799" t="e">
        <f>'Полотна база'!#REF!</f>
        <v>#REF!</v>
      </c>
      <c r="EL121" s="2800" t="e">
        <f>(EK121/1.6)*$EL$26</f>
        <v>#REF!</v>
      </c>
      <c r="EM121" s="2800" t="e">
        <f>(EK121/1.6)*$EM$26</f>
        <v>#REF!</v>
      </c>
      <c r="EN121" s="761">
        <f>E121*1.05</f>
        <v>2257.5</v>
      </c>
    </row>
    <row r="122" spans="1:146" s="761" customFormat="1" ht="21" hidden="1" customHeight="1" outlineLevel="3">
      <c r="A122" s="2661" t="s">
        <v>2588</v>
      </c>
      <c r="B122" s="2662"/>
      <c r="C122" s="2793">
        <v>1.25</v>
      </c>
      <c r="D122" s="2663">
        <v>0</v>
      </c>
      <c r="E122" s="763">
        <f>CEILING(E119*$C$37, 50)</f>
        <v>2350</v>
      </c>
      <c r="F122" s="2664"/>
      <c r="G122" s="2991">
        <f>CEILING(E122*$G$28, 50)</f>
        <v>2350</v>
      </c>
      <c r="H122" s="2991">
        <f>CEILING(C122*H119, 50)</f>
        <v>2650</v>
      </c>
      <c r="I122" s="2666"/>
      <c r="J122" s="1175"/>
      <c r="K122" s="2657">
        <f>CEILING(E122*$K$28, 50)</f>
        <v>4800</v>
      </c>
      <c r="L122" s="2657">
        <f>CEILING(E122*$L$28*1.2-50, 50)</f>
        <v>4500</v>
      </c>
      <c r="M122" s="2667"/>
      <c r="N122" s="2667"/>
      <c r="O122" s="2667"/>
      <c r="P122" s="2667"/>
      <c r="Q122" s="2676">
        <f>CEILING(Q119*C122,50)</f>
        <v>4100</v>
      </c>
      <c r="R122" s="2663"/>
      <c r="S122" s="2664"/>
      <c r="T122" s="2676">
        <f>CEILING(T119*1.25,50)</f>
        <v>1350</v>
      </c>
      <c r="U122" s="2676">
        <f>CEILING(U120*1.15,50)</f>
        <v>1600</v>
      </c>
      <c r="V122" s="2676">
        <f>U122</f>
        <v>1600</v>
      </c>
      <c r="W122" s="2676">
        <f>CEILING(W120*1.15,50)</f>
        <v>1700</v>
      </c>
      <c r="X122" s="2996">
        <f>CEILING(X119*C122,50)</f>
        <v>2200</v>
      </c>
      <c r="Y122" s="2664"/>
      <c r="Z122" s="2664"/>
      <c r="AA122" s="2664"/>
      <c r="AB122" s="2696">
        <v>2350</v>
      </c>
      <c r="AC122" s="2664"/>
      <c r="AD122" s="2664"/>
      <c r="AE122" s="2664"/>
      <c r="AF122" s="2664"/>
      <c r="AG122" s="2997">
        <f>CEILING(AG119*$C$37,50)</f>
        <v>1450</v>
      </c>
      <c r="AH122" s="2997">
        <f>CEILING(AH119*$C$37,50)</f>
        <v>2200</v>
      </c>
      <c r="AI122" s="2997">
        <f>CEILING(AI119*$C$37,50)</f>
        <v>3650</v>
      </c>
      <c r="AJ122" s="2997">
        <f>CEILING(AJ119*$C$37,50)</f>
        <v>1450</v>
      </c>
      <c r="AK122" s="2666"/>
      <c r="AL122" s="2666"/>
      <c r="AM122" s="2669"/>
      <c r="AN122" s="2669"/>
      <c r="AO122" s="2668"/>
      <c r="AP122" s="2664"/>
      <c r="AQ122" s="2663"/>
      <c r="AR122" s="2676">
        <f>CEILING(AR119*C122,50)</f>
        <v>1200</v>
      </c>
      <c r="AS122" s="769">
        <f>CEILING(AS119*C122,50)</f>
        <v>2200</v>
      </c>
      <c r="AT122" s="2676">
        <f t="shared" si="75"/>
        <v>120</v>
      </c>
      <c r="AU122" s="2676">
        <f>CEILING($AU$33*C122,10)</f>
        <v>290</v>
      </c>
      <c r="AV122" s="2676">
        <f>CEILING(AV121*C122-400,50)</f>
        <v>2200</v>
      </c>
      <c r="AW122" s="2666"/>
      <c r="AX122" s="2669"/>
      <c r="AY122" s="2669"/>
      <c r="AZ122" s="2669"/>
      <c r="BA122" s="2669"/>
      <c r="BB122" s="2669"/>
      <c r="BC122" s="764">
        <f>BC119</f>
        <v>100</v>
      </c>
      <c r="BD122" s="2676">
        <f>CEILING(BD119*C122,50)</f>
        <v>850</v>
      </c>
      <c r="BE122" s="2676">
        <f>CEILING(BE119*C122,50)</f>
        <v>850</v>
      </c>
      <c r="BF122" s="2676">
        <f>CEILING(BF119*C122,50)</f>
        <v>2100</v>
      </c>
      <c r="BG122" s="2676">
        <f>CEILING($BG$33*C122,50)</f>
        <v>700</v>
      </c>
      <c r="BH122" s="2676">
        <f>CEILING(BH119*C122,50)</f>
        <v>1150</v>
      </c>
      <c r="BI122" s="2676">
        <f>CEILING(BI119*C122,50)</f>
        <v>1450</v>
      </c>
      <c r="BJ122" s="2676">
        <f>CEILING($BJ$33*C122,50)</f>
        <v>1950</v>
      </c>
      <c r="BK122" s="2676">
        <f>CEILING($BK$33*C122,50)</f>
        <v>1450</v>
      </c>
      <c r="BL122" s="2676">
        <f>CEILING($BL$33*C122,50)</f>
        <v>1950</v>
      </c>
      <c r="BM122" s="2676">
        <f>CEILING($BM$33*C122,50)</f>
        <v>2100</v>
      </c>
      <c r="BN122" s="2671"/>
      <c r="BO122" s="2671"/>
      <c r="BP122" s="2671"/>
      <c r="BQ122" s="2668"/>
      <c r="BR122" s="2794">
        <f>CEILING($BR$33*C122,50)</f>
        <v>2850</v>
      </c>
      <c r="BS122" s="777">
        <f>CEILING($BS$33*C122,50)</f>
        <v>3200</v>
      </c>
      <c r="BT122" s="777">
        <f>CEILING($BT$33*C122,50)</f>
        <v>4650</v>
      </c>
      <c r="BU122" s="777">
        <f>CEILING($BU$33*C122,50)</f>
        <v>1100</v>
      </c>
      <c r="BV122" s="777">
        <f>CEILING($BV$33*C122,50)</f>
        <v>1250</v>
      </c>
      <c r="BW122" s="777">
        <f>CEILING($BW$33*C122,50)</f>
        <v>1650</v>
      </c>
      <c r="BX122" s="777">
        <f>CEILING($BX$33*C122,50)</f>
        <v>7000</v>
      </c>
      <c r="BY122" s="2668"/>
      <c r="BZ122" s="3012">
        <f>CEILING($BZ$33*C122,50)</f>
        <v>1350</v>
      </c>
      <c r="CA122" s="3012">
        <f>CEILING($CA$33*C122,50)</f>
        <v>1400</v>
      </c>
      <c r="CB122" s="3012">
        <f>CEILING($CB$33*C122,50)</f>
        <v>1450</v>
      </c>
      <c r="CC122" s="3012">
        <f>CEILING($CC$33*C122,50)</f>
        <v>1600</v>
      </c>
      <c r="CD122" s="3012">
        <f>CEILING($CD$33*$C$37,50)</f>
        <v>1400</v>
      </c>
      <c r="CE122" s="3012">
        <f>CEILING($CE$33*$C$37,50)</f>
        <v>1450</v>
      </c>
      <c r="CF122" s="3012">
        <f>CEILING($CF$33*$C$37,50)</f>
        <v>1550</v>
      </c>
      <c r="CG122" s="3012">
        <f>CEILING($CG$33*$C$37,50)</f>
        <v>1650</v>
      </c>
      <c r="CH122" s="3012">
        <f>CEILING($CH$33*$C$37,50)</f>
        <v>1450</v>
      </c>
      <c r="CI122" s="3012">
        <f>CEILING(CI121*$C$34,50)</f>
        <v>1250</v>
      </c>
      <c r="CJ122" s="3012">
        <f>CEILING($CJ$33*C122,50)</f>
        <v>1650</v>
      </c>
      <c r="CK122" s="3012">
        <f>CEILING(CK119*$C$37,50)</f>
        <v>1200</v>
      </c>
      <c r="CL122" s="3012">
        <f>CEILING(CL119*$C$37,50)</f>
        <v>1250</v>
      </c>
      <c r="CM122" s="3012">
        <f>CEILING(CM119*$C$37,50)</f>
        <v>1300</v>
      </c>
      <c r="CN122" s="806">
        <f>CN181</f>
        <v>0</v>
      </c>
      <c r="CO122" s="3012">
        <f>CEILING($CO$33*C122,50)</f>
        <v>1850</v>
      </c>
      <c r="CP122" s="3012">
        <f>CEILING($CP$33*C122,50)</f>
        <v>1950</v>
      </c>
      <c r="CQ122" s="3012">
        <f>CEILING($CQ$33*C122,50)</f>
        <v>2000</v>
      </c>
      <c r="CR122" s="3012">
        <f>CEILING($CR$33*C122,50)</f>
        <v>2100</v>
      </c>
      <c r="CS122" s="3012">
        <f>CEILING($CS$33*C122,50)</f>
        <v>1950</v>
      </c>
      <c r="CT122" s="3012">
        <f>CEILING(CT119*$C$37,50)</f>
        <v>1600</v>
      </c>
      <c r="CU122" s="3012">
        <f t="shared" ref="CU122:DB122" si="84">CEILING(CU119*$C$37,50)</f>
        <v>1700</v>
      </c>
      <c r="CV122" s="3012">
        <f t="shared" si="84"/>
        <v>1800</v>
      </c>
      <c r="CW122" s="3012">
        <f t="shared" si="84"/>
        <v>1600</v>
      </c>
      <c r="CX122" s="3012">
        <f t="shared" si="84"/>
        <v>1700</v>
      </c>
      <c r="CY122" s="3012">
        <f t="shared" si="84"/>
        <v>1800</v>
      </c>
      <c r="CZ122" s="3012">
        <f t="shared" si="84"/>
        <v>1600</v>
      </c>
      <c r="DA122" s="3012">
        <f t="shared" si="84"/>
        <v>1700</v>
      </c>
      <c r="DB122" s="3012">
        <f t="shared" si="84"/>
        <v>1800</v>
      </c>
      <c r="DC122" s="806">
        <f>DC181</f>
        <v>0</v>
      </c>
      <c r="DD122" s="2668"/>
      <c r="DE122" s="2795">
        <f>CEILING($DE$33*C122,50)</f>
        <v>4150</v>
      </c>
      <c r="DF122" s="2795">
        <f>CEILING($DF$33*C122,50)</f>
        <v>4900</v>
      </c>
      <c r="DG122" s="752">
        <f>CEILING($DG$33*C122,50)</f>
        <v>5250</v>
      </c>
      <c r="DH122" s="752">
        <f>CEILING($DH$33*C122,50)</f>
        <v>6350</v>
      </c>
      <c r="DI122" s="2795">
        <f>CEILING($DI$33*C122,50)</f>
        <v>5400</v>
      </c>
      <c r="DJ122" s="2795">
        <f>CEILING($DJ$33*C122,50)</f>
        <v>6450</v>
      </c>
      <c r="DK122" s="2794">
        <f>CEILING($DK$33*C122,50)</f>
        <v>6350</v>
      </c>
      <c r="DL122" s="2795">
        <f>CEILING(DL119*$C$35,50)</f>
        <v>4750</v>
      </c>
      <c r="DM122" s="2795">
        <f t="shared" ref="DM122:DR122" si="85">CEILING(DM119*$C$37,50)</f>
        <v>9700</v>
      </c>
      <c r="DN122" s="752">
        <f t="shared" si="85"/>
        <v>9700</v>
      </c>
      <c r="DO122" s="752">
        <f t="shared" si="85"/>
        <v>9700</v>
      </c>
      <c r="DP122" s="2795">
        <f t="shared" si="85"/>
        <v>2300</v>
      </c>
      <c r="DQ122" s="2795">
        <f t="shared" si="85"/>
        <v>2800</v>
      </c>
      <c r="DR122" s="752">
        <f t="shared" si="85"/>
        <v>1150</v>
      </c>
      <c r="DS122" s="2672"/>
      <c r="DT122" s="1970" t="e">
        <f>CEILING(DT119*C122,50)</f>
        <v>#REF!</v>
      </c>
      <c r="DU122" s="760" t="e">
        <f>CEILING(DU119*C122,50)</f>
        <v>#REF!</v>
      </c>
      <c r="DV122" s="1970" t="e">
        <f>CEILING(EM122,50)</f>
        <v>#REF!</v>
      </c>
      <c r="DW122" s="2673"/>
      <c r="DX122" s="2673"/>
      <c r="DY122" s="1970" t="e">
        <f>CEILING(DY119*C122,50)</f>
        <v>#REF!</v>
      </c>
      <c r="DZ122" s="3378"/>
      <c r="EA122" s="3374"/>
      <c r="EB122" s="2800"/>
      <c r="EC122" s="2960"/>
      <c r="ED122" s="2960"/>
      <c r="EE122" s="2799"/>
      <c r="EF122" s="2800"/>
      <c r="EG122" s="2799"/>
      <c r="EH122" s="2800"/>
      <c r="EI122" s="2799"/>
      <c r="EJ122" s="2800"/>
      <c r="EK122" s="2799" t="e">
        <f>'Полотна база'!#REF!</f>
        <v>#REF!</v>
      </c>
      <c r="EL122" s="2800" t="e">
        <f>(EK122/1.6)*$EL$26</f>
        <v>#REF!</v>
      </c>
      <c r="EM122" s="2800" t="e">
        <f>(EK122/1.6)*$EM$26</f>
        <v>#REF!</v>
      </c>
    </row>
    <row r="123" spans="1:146" s="761" customFormat="1" ht="21" hidden="1" customHeight="1" outlineLevel="3">
      <c r="A123" s="4928" t="s">
        <v>2412</v>
      </c>
      <c r="B123" s="4928"/>
      <c r="C123" s="1725">
        <f>CEILING('Декоры база'!B55/10*4, 50)</f>
        <v>4000</v>
      </c>
      <c r="D123" s="1725">
        <v>1450</v>
      </c>
      <c r="E123" s="1725"/>
      <c r="F123" s="1725"/>
      <c r="G123" s="1725"/>
      <c r="H123" s="1725"/>
      <c r="I123" s="1725"/>
      <c r="J123" s="1725"/>
      <c r="K123" s="1725"/>
      <c r="L123" s="1725"/>
      <c r="M123" s="1725"/>
      <c r="N123" s="1725"/>
      <c r="O123" s="1725"/>
      <c r="P123" s="1725"/>
      <c r="Q123" s="1725"/>
      <c r="R123" s="2324"/>
      <c r="S123" s="1725"/>
      <c r="T123" s="1725"/>
      <c r="U123" s="1725"/>
      <c r="V123" s="1725"/>
      <c r="W123" s="1725"/>
      <c r="X123" s="2643"/>
      <c r="Y123" s="2636"/>
      <c r="Z123" s="2636"/>
      <c r="AA123" s="2636"/>
      <c r="AB123" s="2359">
        <f>CEILING(AB119*0.28, 50)</f>
        <v>550</v>
      </c>
      <c r="AC123" s="2359">
        <f>CEILING(AC119*0.28, 50)</f>
        <v>550</v>
      </c>
      <c r="AD123" s="2359"/>
      <c r="AE123" s="2359"/>
      <c r="AF123" s="2359">
        <f>CEILING(AF119*0.28, 50)</f>
        <v>950</v>
      </c>
      <c r="AG123" s="1725"/>
      <c r="AH123" s="1725"/>
      <c r="AI123" s="1725"/>
      <c r="AJ123" s="1725"/>
      <c r="AK123" s="2359">
        <f>CEILING(AK119*0.28, 50)</f>
        <v>550</v>
      </c>
      <c r="AL123" s="2359">
        <f>CEILING(AL119*0.28, 50)</f>
        <v>950</v>
      </c>
      <c r="AM123" s="1725"/>
      <c r="AN123" s="1725"/>
      <c r="AO123" s="1725"/>
      <c r="AP123" s="2324"/>
      <c r="AQ123" s="2324"/>
      <c r="AR123" s="1725"/>
      <c r="AS123" s="1725"/>
      <c r="AT123" s="1725"/>
      <c r="AU123" s="1725"/>
      <c r="AV123" s="1725"/>
      <c r="AW123" s="1725"/>
      <c r="AX123" s="1725"/>
      <c r="AY123" s="1725"/>
      <c r="AZ123" s="1725"/>
      <c r="BA123" s="1725"/>
      <c r="BB123" s="1725"/>
      <c r="BC123" s="1725"/>
      <c r="BD123" s="1725"/>
      <c r="BE123" s="1725"/>
      <c r="BF123" s="1725"/>
      <c r="BG123" s="1725"/>
      <c r="BH123" s="1725"/>
      <c r="BI123" s="1725"/>
      <c r="BJ123" s="3007"/>
      <c r="BK123" s="1725"/>
      <c r="BL123" s="1725"/>
      <c r="BM123" s="1725"/>
      <c r="BN123" s="1725"/>
      <c r="BO123" s="1725"/>
      <c r="BP123" s="1725"/>
      <c r="BQ123" s="1725"/>
      <c r="BR123" s="1725"/>
      <c r="BS123" s="1725"/>
      <c r="BT123" s="1725"/>
      <c r="BU123" s="1725"/>
      <c r="BV123" s="1725"/>
      <c r="BW123" s="1725"/>
      <c r="BX123" s="1725"/>
      <c r="BY123" s="1725"/>
      <c r="BZ123" s="806">
        <f t="shared" ref="BZ123:CG123" si="86">BZ182</f>
        <v>0</v>
      </c>
      <c r="CA123" s="806">
        <f t="shared" si="86"/>
        <v>0</v>
      </c>
      <c r="CB123" s="806">
        <f t="shared" si="86"/>
        <v>0</v>
      </c>
      <c r="CC123" s="806">
        <f t="shared" si="86"/>
        <v>0</v>
      </c>
      <c r="CD123" s="806">
        <f t="shared" si="86"/>
        <v>0</v>
      </c>
      <c r="CE123" s="806">
        <f t="shared" si="86"/>
        <v>0</v>
      </c>
      <c r="CF123" s="806">
        <f t="shared" si="86"/>
        <v>0</v>
      </c>
      <c r="CG123" s="806">
        <f t="shared" si="86"/>
        <v>0</v>
      </c>
      <c r="CH123" s="806">
        <f>300</f>
        <v>300</v>
      </c>
      <c r="CI123" s="806">
        <f>300</f>
        <v>300</v>
      </c>
      <c r="CJ123" s="806">
        <f>300</f>
        <v>300</v>
      </c>
      <c r="CK123" s="806">
        <f>300</f>
        <v>300</v>
      </c>
      <c r="CL123" s="806">
        <f>300</f>
        <v>300</v>
      </c>
      <c r="CM123" s="806">
        <f>300</f>
        <v>300</v>
      </c>
      <c r="CN123" s="806">
        <v>350</v>
      </c>
      <c r="CO123" s="806">
        <f t="shared" ref="CO123:CV123" si="87">CO182</f>
        <v>0</v>
      </c>
      <c r="CP123" s="806">
        <f t="shared" si="87"/>
        <v>0</v>
      </c>
      <c r="CQ123" s="806">
        <f t="shared" si="87"/>
        <v>0</v>
      </c>
      <c r="CR123" s="806">
        <f t="shared" si="87"/>
        <v>0</v>
      </c>
      <c r="CS123" s="806">
        <f t="shared" si="87"/>
        <v>0</v>
      </c>
      <c r="CT123" s="806">
        <f t="shared" si="87"/>
        <v>0</v>
      </c>
      <c r="CU123" s="806">
        <f t="shared" si="87"/>
        <v>0</v>
      </c>
      <c r="CV123" s="806">
        <f t="shared" si="87"/>
        <v>0</v>
      </c>
      <c r="CW123" s="806">
        <v>400</v>
      </c>
      <c r="CX123" s="806">
        <v>450</v>
      </c>
      <c r="CY123" s="806">
        <v>450</v>
      </c>
      <c r="CZ123" s="806">
        <v>400</v>
      </c>
      <c r="DA123" s="806">
        <v>450</v>
      </c>
      <c r="DB123" s="806">
        <v>450</v>
      </c>
      <c r="DC123" s="806">
        <v>550</v>
      </c>
      <c r="DD123" s="1725"/>
      <c r="DE123" s="752"/>
      <c r="DF123" s="1725"/>
      <c r="DG123" s="1725"/>
      <c r="DH123" s="1725"/>
      <c r="DI123" s="1725">
        <f>CEILING(AL123*1.1, 50)</f>
        <v>1050</v>
      </c>
      <c r="DJ123" s="1725">
        <f>DI123</f>
        <v>1050</v>
      </c>
      <c r="DK123" s="3007"/>
      <c r="DL123" s="1725"/>
      <c r="DM123" s="1725"/>
      <c r="DN123" s="1725">
        <f>CEILING(DI123*1.1, 50)</f>
        <v>1200</v>
      </c>
      <c r="DO123" s="1725"/>
      <c r="DP123" s="1725">
        <f>DI123</f>
        <v>1050</v>
      </c>
      <c r="DQ123" s="1725"/>
      <c r="DR123" s="1725"/>
      <c r="DS123" s="1725"/>
      <c r="DT123" s="1725"/>
      <c r="DU123" s="1725"/>
      <c r="DV123" s="1725"/>
      <c r="DW123" s="1725"/>
      <c r="DX123" s="1725"/>
      <c r="DY123" s="1725"/>
      <c r="DZ123" s="3379"/>
      <c r="EA123" s="1651"/>
      <c r="EB123" s="1651"/>
      <c r="EC123" s="1651"/>
      <c r="ED123" s="1651"/>
      <c r="EE123" s="1651"/>
      <c r="EF123" s="1651"/>
      <c r="EG123" s="1651"/>
      <c r="EH123" s="1651"/>
      <c r="EI123" s="1651"/>
      <c r="EJ123" s="1651"/>
      <c r="EK123" s="1651"/>
      <c r="EL123" s="2802"/>
      <c r="EM123" s="2674"/>
      <c r="EN123" s="1651"/>
      <c r="EO123" s="1651"/>
      <c r="EP123" s="1651"/>
    </row>
    <row r="124" spans="1:146" s="761" customFormat="1" ht="21" hidden="1" customHeight="1" outlineLevel="3">
      <c r="A124" s="4947" t="s">
        <v>2411</v>
      </c>
      <c r="B124" s="4947"/>
      <c r="C124" s="1725"/>
      <c r="D124" s="1725">
        <v>1750</v>
      </c>
      <c r="E124" s="1725"/>
      <c r="F124" s="1725"/>
      <c r="G124" s="1725"/>
      <c r="H124" s="1725"/>
      <c r="I124" s="1725"/>
      <c r="J124" s="1725"/>
      <c r="K124" s="1725"/>
      <c r="L124" s="1725"/>
      <c r="M124" s="1725"/>
      <c r="N124" s="1725"/>
      <c r="O124" s="1725"/>
      <c r="P124" s="1725"/>
      <c r="Q124" s="1725"/>
      <c r="R124" s="1725"/>
      <c r="S124" s="1725"/>
      <c r="T124" s="1725"/>
      <c r="U124" s="1725"/>
      <c r="V124" s="1725"/>
      <c r="W124" s="1725"/>
      <c r="X124" s="2643"/>
      <c r="Y124" s="2636"/>
      <c r="Z124" s="2636"/>
      <c r="AA124" s="2636"/>
      <c r="AB124" s="446">
        <f>CEILING(AB119*0.15, 50)</f>
        <v>300</v>
      </c>
      <c r="AC124" s="446">
        <f>CEILING(AC119*0.15, 50)</f>
        <v>300</v>
      </c>
      <c r="AD124" s="1725"/>
      <c r="AE124" s="1725"/>
      <c r="AF124" s="446">
        <f>CEILING(AF119*0.15, 50)</f>
        <v>550</v>
      </c>
      <c r="AG124" s="1725"/>
      <c r="AH124" s="1725"/>
      <c r="AI124" s="1725"/>
      <c r="AJ124" s="1725"/>
      <c r="AK124" s="446">
        <f>CEILING(AK119*0.15, 50)</f>
        <v>300</v>
      </c>
      <c r="AL124" s="446">
        <f>CEILING(AL119*0.15, 50)</f>
        <v>550</v>
      </c>
      <c r="AM124" s="1725"/>
      <c r="AN124" s="1725"/>
      <c r="AO124" s="1725"/>
      <c r="AP124" s="1725"/>
      <c r="AQ124" s="1725"/>
      <c r="AR124" s="1725"/>
      <c r="AS124" s="1725"/>
      <c r="AT124" s="1725"/>
      <c r="AU124" s="1725"/>
      <c r="AV124" s="1725"/>
      <c r="AW124" s="1725"/>
      <c r="AX124" s="1725"/>
      <c r="AY124" s="1725"/>
      <c r="AZ124" s="1725"/>
      <c r="BA124" s="1725"/>
      <c r="BB124" s="1725"/>
      <c r="BC124" s="1725"/>
      <c r="BD124" s="1725"/>
      <c r="BE124" s="1725"/>
      <c r="BF124" s="1725"/>
      <c r="BG124" s="1725"/>
      <c r="BH124" s="1725"/>
      <c r="BI124" s="1725"/>
      <c r="BJ124" s="1725"/>
      <c r="BK124" s="1725"/>
      <c r="BL124" s="1725"/>
      <c r="BM124" s="1725"/>
      <c r="BN124" s="1725"/>
      <c r="BO124" s="1725"/>
      <c r="BP124" s="1725"/>
      <c r="BQ124" s="1725"/>
      <c r="BR124" s="1725"/>
      <c r="BS124" s="1725"/>
      <c r="BT124" s="1725"/>
      <c r="BU124" s="1725"/>
      <c r="BV124" s="1725"/>
      <c r="BW124" s="1725"/>
      <c r="BX124" s="1725"/>
      <c r="BY124" s="1725"/>
      <c r="BZ124" s="1725"/>
      <c r="CA124" s="1725"/>
      <c r="CB124" s="1725"/>
      <c r="CC124" s="1725"/>
      <c r="CD124" s="1725"/>
      <c r="CE124" s="1725"/>
      <c r="CF124" s="1725"/>
      <c r="CG124" s="1725"/>
      <c r="CH124" s="446">
        <f t="shared" ref="CH124:CN124" si="88">CEILING(CH119*0.18, 50)</f>
        <v>200</v>
      </c>
      <c r="CI124" s="446">
        <f t="shared" si="88"/>
        <v>200</v>
      </c>
      <c r="CJ124" s="446">
        <f t="shared" si="88"/>
        <v>200</v>
      </c>
      <c r="CK124" s="446">
        <f t="shared" si="88"/>
        <v>200</v>
      </c>
      <c r="CL124" s="446">
        <f t="shared" si="88"/>
        <v>200</v>
      </c>
      <c r="CM124" s="446">
        <f t="shared" si="88"/>
        <v>200</v>
      </c>
      <c r="CN124" s="446">
        <f t="shared" si="88"/>
        <v>250</v>
      </c>
      <c r="CO124" s="1725"/>
      <c r="CP124" s="1725"/>
      <c r="CQ124" s="1725"/>
      <c r="CR124" s="1725"/>
      <c r="CS124" s="1725"/>
      <c r="CT124" s="1725"/>
      <c r="CU124" s="1725"/>
      <c r="CV124" s="1725"/>
      <c r="CW124" s="446">
        <f t="shared" ref="CW124:DC124" si="89">CEILING(CW119*0.15, 50)</f>
        <v>200</v>
      </c>
      <c r="CX124" s="446">
        <f t="shared" si="89"/>
        <v>250</v>
      </c>
      <c r="CY124" s="446">
        <f t="shared" si="89"/>
        <v>250</v>
      </c>
      <c r="CZ124" s="446">
        <f t="shared" si="89"/>
        <v>200</v>
      </c>
      <c r="DA124" s="446">
        <f t="shared" si="89"/>
        <v>250</v>
      </c>
      <c r="DB124" s="446">
        <f t="shared" si="89"/>
        <v>250</v>
      </c>
      <c r="DC124" s="446">
        <f t="shared" si="89"/>
        <v>300</v>
      </c>
      <c r="DD124" s="1725"/>
      <c r="DE124" s="1725"/>
      <c r="DF124" s="1725"/>
      <c r="DG124" s="1725"/>
      <c r="DH124" s="1725"/>
      <c r="DI124" s="1725"/>
      <c r="DJ124" s="1725"/>
      <c r="DK124" s="1725"/>
      <c r="DL124" s="1725"/>
      <c r="DM124" s="1725"/>
      <c r="DN124" s="1725"/>
      <c r="DO124" s="1725"/>
      <c r="DP124" s="1725"/>
      <c r="DQ124" s="1725"/>
      <c r="DR124" s="1725"/>
      <c r="DS124" s="1725"/>
      <c r="DT124" s="1725"/>
      <c r="DU124" s="1725"/>
      <c r="DV124" s="1725"/>
      <c r="DW124" s="1725"/>
      <c r="DX124" s="1725"/>
      <c r="DY124" s="1725"/>
      <c r="DZ124" s="1651"/>
      <c r="EA124" s="1651"/>
      <c r="EB124" s="1651"/>
      <c r="EC124" s="1651"/>
      <c r="ED124" s="1651"/>
      <c r="EE124" s="1651"/>
      <c r="EF124" s="1651"/>
      <c r="EG124" s="1651"/>
      <c r="EH124" s="1651"/>
      <c r="EI124" s="1651"/>
      <c r="EJ124" s="1651"/>
      <c r="EK124" s="1651"/>
      <c r="EL124" s="1651"/>
      <c r="EM124" s="1651"/>
      <c r="EN124" s="1651"/>
      <c r="EO124" s="1651"/>
      <c r="EP124" s="1651"/>
    </row>
    <row r="125" spans="1:146" s="761" customFormat="1" ht="21" hidden="1" customHeight="1" outlineLevel="3" collapsed="1">
      <c r="A125" s="1726"/>
      <c r="B125" s="1727"/>
      <c r="C125" s="2625"/>
      <c r="D125" s="1643"/>
      <c r="E125" s="1643"/>
      <c r="F125" s="1643"/>
      <c r="G125" s="1643"/>
      <c r="H125" s="1643"/>
      <c r="I125" s="1643"/>
      <c r="Q125" s="1727"/>
      <c r="R125" s="246"/>
      <c r="S125" s="246"/>
      <c r="U125" s="246"/>
      <c r="V125" s="246"/>
      <c r="W125" s="246"/>
      <c r="X125" s="246"/>
      <c r="Y125" s="246"/>
      <c r="Z125" s="246"/>
      <c r="AA125" s="246"/>
      <c r="AB125" s="246"/>
      <c r="AC125" s="246"/>
      <c r="AD125" s="246"/>
      <c r="AE125" s="246"/>
      <c r="AF125" s="246"/>
      <c r="AO125" s="1727"/>
      <c r="AP125" s="246"/>
      <c r="AQ125" s="246"/>
      <c r="AR125" s="246"/>
      <c r="AS125" s="246"/>
      <c r="AT125" s="246"/>
      <c r="AU125" s="246"/>
      <c r="AV125" s="246"/>
      <c r="AW125" s="246"/>
      <c r="AX125" s="246"/>
      <c r="AY125" s="246"/>
      <c r="AZ125" s="246"/>
      <c r="BA125" s="246"/>
      <c r="BB125" s="246"/>
      <c r="BC125" s="246"/>
      <c r="BD125" s="246"/>
      <c r="BE125" s="246"/>
      <c r="BF125" s="246"/>
      <c r="BG125" s="246"/>
      <c r="BH125" s="246"/>
      <c r="BI125" s="246"/>
      <c r="BJ125" s="246"/>
      <c r="BK125" s="246"/>
      <c r="BL125" s="246"/>
      <c r="BM125" s="246"/>
      <c r="BN125" s="246"/>
      <c r="BO125" s="246"/>
      <c r="BP125" s="246"/>
      <c r="BQ125" s="246"/>
      <c r="BR125" s="246"/>
      <c r="BS125" s="246"/>
      <c r="BT125" s="246"/>
      <c r="BU125" s="246"/>
      <c r="BV125" s="246"/>
      <c r="BW125" s="246"/>
      <c r="BX125" s="246"/>
      <c r="BY125" s="246"/>
      <c r="BZ125" s="246"/>
      <c r="CA125" s="246"/>
      <c r="CB125" s="246"/>
      <c r="CC125" s="246"/>
      <c r="CD125" s="246"/>
      <c r="CE125" s="246"/>
      <c r="CF125" s="246"/>
      <c r="CG125" s="246"/>
      <c r="CH125" s="246"/>
      <c r="CI125" s="246"/>
      <c r="CJ125" s="246"/>
      <c r="CK125" s="246"/>
      <c r="CL125" s="246"/>
      <c r="CM125" s="246"/>
      <c r="CN125" s="246"/>
      <c r="CO125" s="246"/>
      <c r="CP125" s="246"/>
      <c r="CQ125" s="246"/>
      <c r="CR125" s="246"/>
      <c r="CS125" s="246"/>
      <c r="CT125" s="246"/>
      <c r="CU125" s="246"/>
      <c r="CV125" s="246"/>
      <c r="CW125" s="246"/>
      <c r="CX125" s="246"/>
      <c r="CY125" s="246"/>
      <c r="CZ125" s="246"/>
      <c r="DA125" s="246"/>
      <c r="DB125" s="246"/>
      <c r="DC125" s="246"/>
      <c r="DD125" s="246"/>
      <c r="DE125" s="246"/>
      <c r="DF125" s="246"/>
      <c r="DG125" s="246"/>
      <c r="DH125" s="246"/>
      <c r="DI125" s="246"/>
      <c r="DJ125" s="246"/>
      <c r="DK125" s="246"/>
      <c r="DL125" s="246"/>
      <c r="DM125" s="246"/>
      <c r="DN125" s="246"/>
      <c r="DO125" s="246"/>
      <c r="DP125" s="246"/>
      <c r="DQ125" s="246"/>
      <c r="DR125" s="246"/>
      <c r="DS125" s="246"/>
      <c r="DT125" s="246"/>
      <c r="DU125" s="246"/>
      <c r="DV125" s="246"/>
      <c r="DW125" s="246"/>
      <c r="DX125" s="246"/>
      <c r="DY125" s="246"/>
      <c r="DZ125" s="246"/>
      <c r="EA125" s="246"/>
      <c r="EB125" s="246"/>
      <c r="EC125" s="246"/>
      <c r="ED125" s="246"/>
      <c r="EE125" s="246"/>
      <c r="EF125" s="246"/>
      <c r="EG125" s="246"/>
      <c r="EH125" s="246"/>
      <c r="EI125" s="246"/>
      <c r="EJ125" s="246"/>
    </row>
    <row r="126" spans="1:146" s="761" customFormat="1" ht="21" hidden="1" customHeight="1" outlineLevel="3">
      <c r="A126" s="1726" t="s">
        <v>3066</v>
      </c>
      <c r="B126" s="1727"/>
      <c r="C126" s="2625"/>
      <c r="D126" s="1643">
        <v>1950</v>
      </c>
      <c r="E126" s="1643"/>
      <c r="F126" s="1643"/>
      <c r="G126" s="1643"/>
      <c r="H126" s="1643"/>
      <c r="I126" s="1643"/>
      <c r="Q126" s="1727"/>
      <c r="R126" s="246"/>
      <c r="S126" s="246"/>
      <c r="U126" s="246"/>
      <c r="V126" s="246"/>
      <c r="W126" s="246"/>
      <c r="X126" s="246"/>
      <c r="Y126" s="246"/>
      <c r="Z126" s="246"/>
      <c r="AA126" s="246"/>
      <c r="AB126" s="246"/>
      <c r="AC126" s="246"/>
      <c r="AD126" s="246"/>
      <c r="AE126" s="246"/>
      <c r="AF126" s="246"/>
      <c r="AO126" s="1727"/>
      <c r="AP126" s="246"/>
      <c r="AQ126" s="246"/>
      <c r="AR126" s="246"/>
      <c r="AS126" s="246"/>
      <c r="AT126" s="246"/>
      <c r="AU126" s="246"/>
      <c r="AV126" s="246"/>
      <c r="AW126" s="246"/>
      <c r="AX126" s="246"/>
      <c r="AY126" s="246"/>
      <c r="AZ126" s="246"/>
      <c r="BA126" s="246"/>
      <c r="BB126" s="246"/>
      <c r="BC126" s="246"/>
      <c r="BD126" s="246"/>
      <c r="BE126" s="246"/>
      <c r="BF126" s="246"/>
      <c r="BG126" s="246"/>
      <c r="BH126" s="246"/>
      <c r="BI126" s="246"/>
      <c r="BJ126" s="246"/>
      <c r="BK126" s="246"/>
      <c r="BL126" s="246"/>
      <c r="BM126" s="246"/>
      <c r="BN126" s="246"/>
      <c r="BO126" s="246"/>
      <c r="BP126" s="246"/>
      <c r="BQ126" s="246"/>
      <c r="BR126" s="246"/>
      <c r="BS126" s="246"/>
      <c r="BT126" s="246"/>
      <c r="BU126" s="246"/>
      <c r="BV126" s="246"/>
      <c r="BW126" s="246"/>
      <c r="BX126" s="246"/>
      <c r="BY126" s="246"/>
      <c r="BZ126" s="246"/>
      <c r="CA126" s="246"/>
      <c r="CB126" s="246"/>
      <c r="CC126" s="246"/>
      <c r="CD126" s="246"/>
      <c r="CE126" s="246"/>
      <c r="CF126" s="246"/>
      <c r="CG126" s="246"/>
      <c r="CH126" s="246"/>
      <c r="CI126" s="246"/>
      <c r="CJ126" s="246"/>
      <c r="CK126" s="246"/>
      <c r="CL126" s="246"/>
      <c r="CM126" s="246"/>
      <c r="CN126" s="246"/>
      <c r="CO126" s="246"/>
      <c r="CP126" s="246"/>
      <c r="CQ126" s="246"/>
      <c r="CR126" s="246"/>
      <c r="CS126" s="246"/>
      <c r="CT126" s="246"/>
      <c r="CU126" s="246"/>
      <c r="CV126" s="246"/>
      <c r="CW126" s="246"/>
      <c r="CX126" s="246"/>
      <c r="CY126" s="246"/>
      <c r="CZ126" s="246"/>
      <c r="DA126" s="246"/>
      <c r="DB126" s="246"/>
      <c r="DC126" s="246"/>
      <c r="DD126" s="246"/>
      <c r="DE126" s="246"/>
      <c r="DF126" s="246"/>
      <c r="DG126" s="246"/>
      <c r="DH126" s="246"/>
      <c r="DI126" s="246"/>
      <c r="DJ126" s="246"/>
      <c r="DK126" s="246"/>
      <c r="DL126" s="246"/>
      <c r="DM126" s="246"/>
      <c r="DN126" s="246"/>
      <c r="DO126" s="246"/>
      <c r="DP126" s="246"/>
      <c r="DQ126" s="246"/>
      <c r="DR126" s="246"/>
      <c r="DS126" s="246"/>
      <c r="DT126" s="246"/>
      <c r="DU126" s="246"/>
      <c r="DV126" s="246"/>
      <c r="DW126" s="246"/>
      <c r="DX126" s="246"/>
      <c r="DY126" s="246"/>
      <c r="DZ126" s="246"/>
      <c r="EA126" s="4843" t="s">
        <v>1071</v>
      </c>
      <c r="EB126" s="4844"/>
      <c r="EC126" s="4844" t="s">
        <v>2769</v>
      </c>
      <c r="ED126" s="4844"/>
      <c r="EE126" s="4845" t="s">
        <v>1072</v>
      </c>
      <c r="EF126" s="4845"/>
      <c r="EG126" s="4845" t="s">
        <v>1073</v>
      </c>
      <c r="EH126" s="4845"/>
      <c r="EI126" s="4845" t="s">
        <v>1075</v>
      </c>
      <c r="EJ126" s="4845"/>
      <c r="EK126" s="4846" t="s">
        <v>2697</v>
      </c>
      <c r="EL126" s="4846"/>
      <c r="EM126" s="4846"/>
    </row>
    <row r="127" spans="1:146" s="761" customFormat="1" ht="21" hidden="1" customHeight="1" outlineLevel="3">
      <c r="A127" s="5104" t="s">
        <v>910</v>
      </c>
      <c r="B127" s="1720" t="s">
        <v>1609</v>
      </c>
      <c r="C127" s="3495"/>
      <c r="D127" s="1643">
        <v>2350</v>
      </c>
      <c r="E127" s="1643"/>
      <c r="F127" s="1643"/>
      <c r="G127" s="1643"/>
      <c r="H127" s="1643"/>
      <c r="I127" s="1643"/>
      <c r="Q127" s="1727"/>
      <c r="R127" s="246"/>
      <c r="S127" s="246"/>
      <c r="U127" s="246"/>
      <c r="V127" s="246"/>
      <c r="W127" s="246"/>
      <c r="X127" s="246"/>
      <c r="Y127" s="246"/>
      <c r="Z127" s="246"/>
      <c r="AA127" s="246"/>
      <c r="AB127" s="246"/>
      <c r="AC127" s="246"/>
      <c r="AD127" s="246"/>
      <c r="AE127" s="246"/>
      <c r="AF127" s="246"/>
      <c r="AO127" s="1727"/>
      <c r="AP127" s="246"/>
      <c r="AQ127" s="246"/>
      <c r="AR127" s="246"/>
      <c r="AS127" s="246"/>
      <c r="AT127" s="246"/>
      <c r="AU127" s="246"/>
      <c r="AV127" s="246"/>
      <c r="AW127" s="246"/>
      <c r="AX127" s="246"/>
      <c r="AY127" s="246"/>
      <c r="AZ127" s="246"/>
      <c r="BA127" s="246"/>
      <c r="BB127" s="246"/>
      <c r="BC127" s="246"/>
      <c r="BD127" s="246"/>
      <c r="BE127" s="246"/>
      <c r="BF127" s="246"/>
      <c r="BG127" s="246"/>
      <c r="BH127" s="246"/>
      <c r="BI127" s="246"/>
      <c r="BJ127" s="246"/>
      <c r="BK127" s="246"/>
      <c r="BL127" s="246"/>
      <c r="BM127" s="246"/>
      <c r="BN127" s="246"/>
      <c r="BO127" s="246"/>
      <c r="BP127" s="246"/>
      <c r="BQ127" s="246"/>
      <c r="BR127" s="246"/>
      <c r="BS127" s="246"/>
      <c r="BT127" s="246"/>
      <c r="BU127" s="246"/>
      <c r="BV127" s="246"/>
      <c r="BW127" s="246"/>
      <c r="BX127" s="246"/>
      <c r="BY127" s="246"/>
      <c r="BZ127" s="246"/>
      <c r="CA127" s="246"/>
      <c r="CB127" s="246"/>
      <c r="CC127" s="246"/>
      <c r="CD127" s="246"/>
      <c r="CE127" s="246"/>
      <c r="CF127" s="246"/>
      <c r="CG127" s="246"/>
      <c r="CH127" s="246"/>
      <c r="CI127" s="246"/>
      <c r="CJ127" s="246"/>
      <c r="CK127" s="246"/>
      <c r="CL127" s="246"/>
      <c r="CM127" s="246"/>
      <c r="CN127" s="246"/>
      <c r="CO127" s="246"/>
      <c r="CP127" s="246"/>
      <c r="CQ127" s="246"/>
      <c r="CR127" s="246"/>
      <c r="CS127" s="246"/>
      <c r="CT127" s="246"/>
      <c r="CU127" s="246"/>
      <c r="CV127" s="246"/>
      <c r="CW127" s="246"/>
      <c r="CX127" s="246"/>
      <c r="CY127" s="246"/>
      <c r="CZ127" s="246"/>
      <c r="DA127" s="246"/>
      <c r="DB127" s="246"/>
      <c r="DC127" s="246"/>
      <c r="DD127" s="246"/>
      <c r="DE127" s="246"/>
      <c r="DF127" s="246"/>
      <c r="DG127" s="246"/>
      <c r="DH127" s="246"/>
      <c r="DI127" s="246"/>
      <c r="DJ127" s="246"/>
      <c r="DK127" s="246"/>
      <c r="DL127" s="246"/>
      <c r="DM127" s="246"/>
      <c r="DN127" s="246"/>
      <c r="DO127" s="246"/>
      <c r="DP127" s="246"/>
      <c r="DQ127" s="246"/>
      <c r="DR127" s="246"/>
      <c r="DS127" s="246"/>
      <c r="DT127" s="246"/>
      <c r="DU127" s="246"/>
      <c r="DV127" s="246"/>
      <c r="DW127" s="246"/>
      <c r="DX127" s="246"/>
      <c r="DY127" s="246"/>
      <c r="DZ127" s="246"/>
      <c r="EA127" s="3373" t="s">
        <v>735</v>
      </c>
      <c r="EB127" s="1773" t="s">
        <v>1074</v>
      </c>
      <c r="EC127" s="2959"/>
      <c r="ED127" s="2959"/>
      <c r="EE127" s="1772" t="s">
        <v>735</v>
      </c>
      <c r="EF127" s="1773" t="s">
        <v>1074</v>
      </c>
      <c r="EG127" s="1772" t="s">
        <v>735</v>
      </c>
      <c r="EH127" s="1773" t="s">
        <v>1074</v>
      </c>
      <c r="EI127" s="1772" t="s">
        <v>735</v>
      </c>
      <c r="EJ127" s="1773" t="s">
        <v>1074</v>
      </c>
      <c r="EK127" s="2798" t="s">
        <v>735</v>
      </c>
      <c r="EL127" s="2803" t="s">
        <v>1074</v>
      </c>
      <c r="EM127" s="2803" t="s">
        <v>2699</v>
      </c>
    </row>
    <row r="128" spans="1:146" s="761" customFormat="1" ht="21" hidden="1" customHeight="1" outlineLevel="3">
      <c r="A128" s="5023"/>
      <c r="B128" s="1720" t="s">
        <v>439</v>
      </c>
      <c r="C128" s="310"/>
      <c r="D128" s="1643">
        <v>2550</v>
      </c>
      <c r="E128" s="1643"/>
      <c r="F128" s="1643"/>
      <c r="G128" s="1643"/>
      <c r="H128" s="1643"/>
      <c r="I128" s="1643"/>
      <c r="Q128" s="1727"/>
      <c r="R128" s="246"/>
      <c r="S128" s="246"/>
      <c r="U128" s="246"/>
      <c r="V128" s="246"/>
      <c r="W128" s="246"/>
      <c r="X128" s="246"/>
      <c r="Y128" s="246"/>
      <c r="Z128" s="246"/>
      <c r="AA128" s="246"/>
      <c r="AB128" s="246"/>
      <c r="AC128" s="246"/>
      <c r="AD128" s="246"/>
      <c r="AE128" s="246"/>
      <c r="AF128" s="246"/>
      <c r="AO128" s="1727"/>
      <c r="AP128" s="246"/>
      <c r="AQ128" s="246"/>
      <c r="AR128" s="246"/>
      <c r="AS128" s="246"/>
      <c r="AT128" s="246"/>
      <c r="AU128" s="246"/>
      <c r="AV128" s="246"/>
      <c r="AW128" s="246"/>
      <c r="AX128" s="246"/>
      <c r="AY128" s="246"/>
      <c r="AZ128" s="246"/>
      <c r="BA128" s="246"/>
      <c r="BB128" s="246"/>
      <c r="BC128" s="246"/>
      <c r="BD128" s="246"/>
      <c r="BE128" s="246"/>
      <c r="BF128" s="246"/>
      <c r="BG128" s="246"/>
      <c r="BH128" s="246"/>
      <c r="BI128" s="246"/>
      <c r="BJ128" s="246"/>
      <c r="BK128" s="246"/>
      <c r="BL128" s="246"/>
      <c r="BM128" s="246"/>
      <c r="BN128" s="246"/>
      <c r="BO128" s="246"/>
      <c r="BP128" s="246"/>
      <c r="BQ128" s="246"/>
      <c r="BR128" s="246"/>
      <c r="BS128" s="246"/>
      <c r="BT128" s="246"/>
      <c r="BU128" s="246"/>
      <c r="BV128" s="246"/>
      <c r="BW128" s="246"/>
      <c r="BX128" s="246"/>
      <c r="BY128" s="246"/>
      <c r="BZ128" s="246"/>
      <c r="CA128" s="246"/>
      <c r="CB128" s="246"/>
      <c r="CC128" s="246"/>
      <c r="CD128" s="246"/>
      <c r="CE128" s="246"/>
      <c r="CF128" s="246"/>
      <c r="CG128" s="246"/>
      <c r="CH128" s="246"/>
      <c r="CI128" s="246"/>
      <c r="CJ128" s="246"/>
      <c r="CK128" s="246"/>
      <c r="CL128" s="246"/>
      <c r="CM128" s="246"/>
      <c r="CN128" s="246"/>
      <c r="CO128" s="246"/>
      <c r="CP128" s="246"/>
      <c r="CQ128" s="246"/>
      <c r="CR128" s="246"/>
      <c r="CS128" s="246"/>
      <c r="CT128" s="246"/>
      <c r="CU128" s="246"/>
      <c r="CV128" s="246"/>
      <c r="CW128" s="246"/>
      <c r="CX128" s="246"/>
      <c r="CY128" s="246"/>
      <c r="CZ128" s="246"/>
      <c r="DA128" s="246"/>
      <c r="DB128" s="246"/>
      <c r="DC128" s="246"/>
      <c r="DD128" s="246"/>
      <c r="DE128" s="246"/>
      <c r="DF128" s="246"/>
      <c r="DG128" s="246"/>
      <c r="DH128" s="246"/>
      <c r="DI128" s="246"/>
      <c r="DJ128" s="246"/>
      <c r="DK128" s="246"/>
      <c r="DL128" s="246"/>
      <c r="DM128" s="246"/>
      <c r="DN128" s="246"/>
      <c r="DO128" s="246"/>
      <c r="DP128" s="246"/>
      <c r="DQ128" s="246"/>
      <c r="DR128" s="246"/>
      <c r="DS128" s="246"/>
      <c r="DT128" s="246"/>
      <c r="DU128" s="246"/>
      <c r="DV128" s="246"/>
      <c r="DW128" s="246"/>
      <c r="DX128" s="246"/>
      <c r="DY128" s="246"/>
      <c r="DZ128" s="246"/>
      <c r="EA128" s="3374"/>
      <c r="EB128" s="812"/>
      <c r="EC128" s="2960"/>
      <c r="ED128" s="2960"/>
      <c r="EE128" s="811"/>
      <c r="EF128" s="812"/>
      <c r="EG128" s="811"/>
      <c r="EH128" s="812"/>
      <c r="EI128" s="811"/>
      <c r="EJ128" s="812"/>
      <c r="EK128" s="2799"/>
      <c r="EL128" s="2799"/>
      <c r="EM128" s="2799"/>
    </row>
    <row r="129" spans="1:146" s="761" customFormat="1" ht="21" hidden="1" customHeight="1" outlineLevel="3">
      <c r="A129" s="5117" t="s">
        <v>206</v>
      </c>
      <c r="B129" s="1720" t="s">
        <v>391</v>
      </c>
      <c r="C129" s="310"/>
      <c r="D129" s="1643">
        <v>2950</v>
      </c>
      <c r="E129" s="1643"/>
      <c r="F129" s="1643"/>
      <c r="G129" s="1643"/>
      <c r="H129" s="1643"/>
      <c r="I129" s="1643"/>
      <c r="Q129" s="1727"/>
      <c r="R129" s="246"/>
      <c r="S129" s="246"/>
      <c r="U129" s="246"/>
      <c r="V129" s="246"/>
      <c r="W129" s="246"/>
      <c r="X129" s="246"/>
      <c r="Y129" s="246"/>
      <c r="Z129" s="246"/>
      <c r="AA129" s="246"/>
      <c r="AB129" s="246"/>
      <c r="AC129" s="246"/>
      <c r="AD129" s="246"/>
      <c r="AE129" s="246"/>
      <c r="AF129" s="246"/>
      <c r="AO129" s="1727"/>
      <c r="AP129" s="246"/>
      <c r="AQ129" s="246"/>
      <c r="AR129" s="246"/>
      <c r="AS129" s="246"/>
      <c r="AT129" s="246"/>
      <c r="AU129" s="246"/>
      <c r="AV129" s="246"/>
      <c r="AW129" s="246"/>
      <c r="AX129" s="246"/>
      <c r="AY129" s="246"/>
      <c r="AZ129" s="246"/>
      <c r="BA129" s="246"/>
      <c r="BB129" s="246"/>
      <c r="BC129" s="246"/>
      <c r="BD129" s="246"/>
      <c r="BE129" s="246"/>
      <c r="BF129" s="246"/>
      <c r="BG129" s="246"/>
      <c r="BH129" s="246"/>
      <c r="BI129" s="246"/>
      <c r="BJ129" s="246"/>
      <c r="BK129" s="246"/>
      <c r="BL129" s="246"/>
      <c r="BM129" s="246"/>
      <c r="BN129" s="246"/>
      <c r="BO129" s="246"/>
      <c r="BP129" s="246"/>
      <c r="BQ129" s="246"/>
      <c r="BR129" s="246"/>
      <c r="BS129" s="246"/>
      <c r="BT129" s="246"/>
      <c r="BU129" s="246"/>
      <c r="BV129" s="246"/>
      <c r="BW129" s="246"/>
      <c r="BX129" s="246"/>
      <c r="BY129" s="246"/>
      <c r="BZ129" s="246"/>
      <c r="CA129" s="246"/>
      <c r="CB129" s="246"/>
      <c r="CC129" s="246"/>
      <c r="CD129" s="246"/>
      <c r="CE129" s="246"/>
      <c r="CF129" s="246"/>
      <c r="CG129" s="246"/>
      <c r="CH129" s="246"/>
      <c r="CI129" s="246"/>
      <c r="CJ129" s="246"/>
      <c r="CK129" s="246"/>
      <c r="CL129" s="246"/>
      <c r="CM129" s="246"/>
      <c r="CN129" s="246"/>
      <c r="CO129" s="246"/>
      <c r="CP129" s="246"/>
      <c r="CQ129" s="246"/>
      <c r="CR129" s="246"/>
      <c r="CS129" s="246"/>
      <c r="CT129" s="246"/>
      <c r="CU129" s="246"/>
      <c r="CV129" s="246"/>
      <c r="CW129" s="246"/>
      <c r="CX129" s="246"/>
      <c r="CY129" s="246"/>
      <c r="CZ129" s="246"/>
      <c r="DA129" s="246"/>
      <c r="DB129" s="246"/>
      <c r="DC129" s="246"/>
      <c r="DD129" s="246"/>
      <c r="DE129" s="246"/>
      <c r="DF129" s="246"/>
      <c r="DG129" s="246"/>
      <c r="DH129" s="246"/>
      <c r="DI129" s="246"/>
      <c r="DJ129" s="246"/>
      <c r="DK129" s="246"/>
      <c r="DL129" s="246"/>
      <c r="DM129" s="246"/>
      <c r="DN129" s="246"/>
      <c r="DO129" s="246"/>
      <c r="DP129" s="246"/>
      <c r="DQ129" s="246"/>
      <c r="DR129" s="246"/>
      <c r="DS129" s="246"/>
      <c r="DT129" s="246"/>
      <c r="DU129" s="246"/>
      <c r="DV129" s="246"/>
      <c r="DW129" s="246"/>
      <c r="DX129" s="246"/>
      <c r="DY129" s="246"/>
      <c r="DZ129" s="246"/>
      <c r="EA129" s="3374"/>
      <c r="EB129" s="1822"/>
      <c r="EC129" s="2960"/>
      <c r="ED129" s="2960"/>
      <c r="EE129" s="1758"/>
      <c r="EF129" s="1822"/>
      <c r="EG129" s="1758"/>
      <c r="EH129" s="1822"/>
      <c r="EI129" s="1758"/>
      <c r="EJ129" s="1822"/>
      <c r="EK129" s="2799"/>
      <c r="EL129" s="2799"/>
      <c r="EM129" s="2799"/>
    </row>
    <row r="130" spans="1:146" s="761" customFormat="1" ht="21" hidden="1" customHeight="1" outlineLevel="3">
      <c r="A130" s="5118"/>
      <c r="B130" s="2804" t="s">
        <v>2700</v>
      </c>
      <c r="C130" s="310"/>
      <c r="D130" s="1643">
        <v>3350</v>
      </c>
      <c r="E130" s="1643"/>
      <c r="F130" s="1643"/>
      <c r="G130" s="1643"/>
      <c r="H130" s="1643"/>
      <c r="I130" s="1643"/>
      <c r="Q130" s="1727"/>
      <c r="R130" s="246"/>
      <c r="S130" s="246"/>
      <c r="U130" s="246"/>
      <c r="V130" s="246"/>
      <c r="W130" s="246"/>
      <c r="X130" s="246"/>
      <c r="Y130" s="246"/>
      <c r="Z130" s="246"/>
      <c r="AA130" s="246"/>
      <c r="AB130" s="246"/>
      <c r="AC130" s="246"/>
      <c r="AD130" s="246"/>
      <c r="AE130" s="246"/>
      <c r="AF130" s="246"/>
      <c r="AO130" s="1727"/>
      <c r="AP130" s="246"/>
      <c r="AQ130" s="246"/>
      <c r="AR130" s="246"/>
      <c r="AS130" s="246"/>
      <c r="AT130" s="246"/>
      <c r="AU130" s="246"/>
      <c r="AV130" s="246"/>
      <c r="AW130" s="246"/>
      <c r="AX130" s="246"/>
      <c r="AY130" s="246"/>
      <c r="AZ130" s="246"/>
      <c r="BA130" s="246"/>
      <c r="BB130" s="246"/>
      <c r="BC130" s="246"/>
      <c r="BD130" s="246"/>
      <c r="BE130" s="246"/>
      <c r="BF130" s="246"/>
      <c r="BG130" s="246"/>
      <c r="BH130" s="246"/>
      <c r="BI130" s="246"/>
      <c r="BJ130" s="246"/>
      <c r="BK130" s="246"/>
      <c r="BL130" s="246"/>
      <c r="BM130" s="246"/>
      <c r="BN130" s="246"/>
      <c r="BO130" s="246"/>
      <c r="BP130" s="246"/>
      <c r="BQ130" s="246"/>
      <c r="BR130" s="246"/>
      <c r="BS130" s="246"/>
      <c r="BT130" s="246"/>
      <c r="BU130" s="246"/>
      <c r="BV130" s="246"/>
      <c r="BW130" s="246"/>
      <c r="BX130" s="246"/>
      <c r="BY130" s="246"/>
      <c r="BZ130" s="246"/>
      <c r="CA130" s="246"/>
      <c r="CB130" s="246"/>
      <c r="CC130" s="246"/>
      <c r="CD130" s="246"/>
      <c r="CE130" s="246"/>
      <c r="CF130" s="246"/>
      <c r="CG130" s="246"/>
      <c r="CH130" s="246"/>
      <c r="CI130" s="246"/>
      <c r="CJ130" s="246"/>
      <c r="CK130" s="246"/>
      <c r="CL130" s="246"/>
      <c r="CM130" s="246"/>
      <c r="CN130" s="246"/>
      <c r="CO130" s="246"/>
      <c r="CP130" s="246"/>
      <c r="CQ130" s="246"/>
      <c r="CR130" s="246"/>
      <c r="CS130" s="246"/>
      <c r="CT130" s="246"/>
      <c r="CU130" s="246"/>
      <c r="CV130" s="246"/>
      <c r="CW130" s="246"/>
      <c r="CX130" s="246"/>
      <c r="CY130" s="246"/>
      <c r="CZ130" s="246"/>
      <c r="DA130" s="246"/>
      <c r="DB130" s="246"/>
      <c r="DC130" s="246"/>
      <c r="DD130" s="246"/>
      <c r="DE130" s="246"/>
      <c r="DF130" s="246"/>
      <c r="DG130" s="246"/>
      <c r="DH130" s="246"/>
      <c r="DI130" s="246"/>
      <c r="DJ130" s="246"/>
      <c r="DK130" s="246"/>
      <c r="DL130" s="246"/>
      <c r="DM130" s="246"/>
      <c r="DN130" s="246"/>
      <c r="DO130" s="246"/>
      <c r="DP130" s="246"/>
      <c r="DQ130" s="246"/>
      <c r="DR130" s="246"/>
      <c r="DS130" s="246"/>
      <c r="DT130" s="246"/>
      <c r="DU130" s="246"/>
      <c r="DV130" s="246"/>
      <c r="DW130" s="246"/>
      <c r="DX130" s="246"/>
      <c r="DY130" s="246"/>
      <c r="DZ130" s="246"/>
      <c r="EA130" s="3492" t="e">
        <f>EA31/EA117-1</f>
        <v>#REF!</v>
      </c>
      <c r="EB130" s="3492" t="e">
        <f>EB31/EB117-1</f>
        <v>#REF!</v>
      </c>
      <c r="EC130" s="3492"/>
      <c r="ED130" s="3492"/>
      <c r="EE130" s="3492"/>
      <c r="EF130" s="3492"/>
      <c r="EG130" s="3492"/>
      <c r="EH130" s="3492"/>
      <c r="EI130" s="3492"/>
      <c r="EJ130" s="3492"/>
      <c r="EK130" s="3492"/>
      <c r="EL130" s="3492"/>
      <c r="EM130" s="3492"/>
    </row>
    <row r="131" spans="1:146" s="761" customFormat="1" ht="21" hidden="1" customHeight="1" outlineLevel="3">
      <c r="A131" s="1719" t="s">
        <v>30</v>
      </c>
      <c r="B131" s="1723" t="s">
        <v>284</v>
      </c>
      <c r="C131" s="310"/>
      <c r="D131" s="1643">
        <v>0</v>
      </c>
      <c r="E131" s="1643"/>
      <c r="F131" s="1643"/>
      <c r="G131" s="1643"/>
      <c r="H131" s="1643"/>
      <c r="I131" s="1643"/>
      <c r="Q131" s="1727"/>
      <c r="R131" s="246"/>
      <c r="S131" s="246"/>
      <c r="U131" s="246"/>
      <c r="V131" s="246"/>
      <c r="W131" s="246"/>
      <c r="X131" s="246"/>
      <c r="Y131" s="246"/>
      <c r="Z131" s="246"/>
      <c r="AA131" s="246"/>
      <c r="AB131" s="246"/>
      <c r="AC131" s="246"/>
      <c r="AD131" s="246"/>
      <c r="AE131" s="246"/>
      <c r="AF131" s="246"/>
      <c r="AO131" s="1727"/>
      <c r="AP131" s="246"/>
      <c r="AQ131" s="246"/>
      <c r="AR131" s="246"/>
      <c r="AS131" s="246"/>
      <c r="AT131" s="246"/>
      <c r="AU131" s="246"/>
      <c r="AV131" s="246"/>
      <c r="AW131" s="246"/>
      <c r="AX131" s="246"/>
      <c r="AY131" s="246"/>
      <c r="AZ131" s="246"/>
      <c r="BA131" s="246"/>
      <c r="BB131" s="246"/>
      <c r="BC131" s="246"/>
      <c r="BD131" s="246"/>
      <c r="BE131" s="246"/>
      <c r="BF131" s="246"/>
      <c r="BG131" s="246"/>
      <c r="BH131" s="246"/>
      <c r="BI131" s="246"/>
      <c r="BJ131" s="246"/>
      <c r="BK131" s="246"/>
      <c r="BL131" s="246"/>
      <c r="BM131" s="246"/>
      <c r="BN131" s="246"/>
      <c r="BO131" s="246"/>
      <c r="BP131" s="246"/>
      <c r="BQ131" s="246"/>
      <c r="BR131" s="246"/>
      <c r="BS131" s="246"/>
      <c r="BT131" s="246"/>
      <c r="BU131" s="246"/>
      <c r="BV131" s="246"/>
      <c r="BW131" s="246"/>
      <c r="BX131" s="246"/>
      <c r="BY131" s="246"/>
      <c r="BZ131" s="246"/>
      <c r="CA131" s="246"/>
      <c r="CB131" s="246"/>
      <c r="CC131" s="246"/>
      <c r="CD131" s="246"/>
      <c r="CE131" s="246"/>
      <c r="CF131" s="246"/>
      <c r="CG131" s="246"/>
      <c r="CH131" s="246"/>
      <c r="CI131" s="246"/>
      <c r="CJ131" s="246"/>
      <c r="CK131" s="246"/>
      <c r="CL131" s="246"/>
      <c r="CM131" s="246"/>
      <c r="CN131" s="246"/>
      <c r="CO131" s="246"/>
      <c r="CP131" s="246"/>
      <c r="CQ131" s="246"/>
      <c r="CR131" s="246"/>
      <c r="CS131" s="246"/>
      <c r="CT131" s="246"/>
      <c r="CU131" s="246"/>
      <c r="CV131" s="246"/>
      <c r="CW131" s="246"/>
      <c r="CX131" s="246"/>
      <c r="CY131" s="246"/>
      <c r="CZ131" s="246"/>
      <c r="DA131" s="246"/>
      <c r="DB131" s="246"/>
      <c r="DC131" s="246"/>
      <c r="DD131" s="246"/>
      <c r="DE131" s="246"/>
      <c r="DF131" s="246"/>
      <c r="DG131" s="246"/>
      <c r="DH131" s="246"/>
      <c r="DI131" s="246"/>
      <c r="DJ131" s="246"/>
      <c r="DK131" s="246"/>
      <c r="DL131" s="246"/>
      <c r="DM131" s="246"/>
      <c r="DN131" s="246"/>
      <c r="DO131" s="246"/>
      <c r="DP131" s="246"/>
      <c r="DQ131" s="246"/>
      <c r="DR131" s="246"/>
      <c r="DS131" s="246"/>
      <c r="DT131" s="246"/>
      <c r="DU131" s="246"/>
      <c r="DV131" s="246"/>
      <c r="DW131" s="246"/>
      <c r="DX131" s="246"/>
      <c r="DY131" s="246"/>
      <c r="DZ131" s="246"/>
      <c r="EA131" s="3492"/>
      <c r="EB131" s="3492"/>
      <c r="EC131" s="3492"/>
      <c r="ED131" s="3492"/>
      <c r="EE131" s="3492"/>
      <c r="EF131" s="3492"/>
      <c r="EG131" s="3492"/>
      <c r="EH131" s="3492"/>
      <c r="EI131" s="3492"/>
      <c r="EJ131" s="3492"/>
      <c r="EK131" s="3492"/>
      <c r="EL131" s="3492"/>
      <c r="EM131" s="3492"/>
    </row>
    <row r="132" spans="1:146" s="761" customFormat="1" ht="21" hidden="1" customHeight="1" outlineLevel="3">
      <c r="A132" s="5021" t="s">
        <v>1019</v>
      </c>
      <c r="B132" s="1720" t="s">
        <v>2587</v>
      </c>
      <c r="C132" s="310"/>
      <c r="D132" s="1643">
        <v>0</v>
      </c>
      <c r="E132" s="1643"/>
      <c r="F132" s="1643"/>
      <c r="G132" s="1643"/>
      <c r="H132" s="1643"/>
      <c r="I132" s="1643"/>
      <c r="Q132" s="1727"/>
      <c r="R132" s="246"/>
      <c r="S132" s="246"/>
      <c r="U132" s="246"/>
      <c r="V132" s="246"/>
      <c r="W132" s="246"/>
      <c r="X132" s="246"/>
      <c r="Y132" s="246"/>
      <c r="Z132" s="246"/>
      <c r="AA132" s="246"/>
      <c r="AB132" s="246"/>
      <c r="AC132" s="246"/>
      <c r="AD132" s="246"/>
      <c r="AE132" s="246"/>
      <c r="AF132" s="246"/>
      <c r="AO132" s="1727"/>
      <c r="AP132" s="246"/>
      <c r="AQ132" s="246"/>
      <c r="AR132" s="246"/>
      <c r="AS132" s="246"/>
      <c r="AT132" s="246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3492" t="e">
        <f t="shared" ref="EA132:EB134" si="90">EA33/EA119-1</f>
        <v>#REF!</v>
      </c>
      <c r="EB132" s="3492" t="e">
        <f t="shared" si="90"/>
        <v>#REF!</v>
      </c>
      <c r="EC132" s="3492"/>
      <c r="ED132" s="3492"/>
      <c r="EE132" s="3492" t="e">
        <f>EE33/EE119-1</f>
        <v>#REF!</v>
      </c>
      <c r="EF132" s="3492" t="e">
        <f>EF33/EF119-1</f>
        <v>#REF!</v>
      </c>
      <c r="EG132" s="3492" t="e">
        <f>EG33/EG119-1</f>
        <v>#REF!</v>
      </c>
      <c r="EH132" s="3492" t="e">
        <f>EH33/EH119-1</f>
        <v>#REF!</v>
      </c>
      <c r="EI132" s="3492"/>
      <c r="EJ132" s="3492"/>
      <c r="EK132" s="3492"/>
      <c r="EL132" s="3492"/>
      <c r="EM132" s="3492"/>
    </row>
    <row r="133" spans="1:146" s="1651" customFormat="1" ht="15.75" hidden="1" outlineLevel="2">
      <c r="A133" s="5027"/>
      <c r="B133" s="1722" t="s">
        <v>2570</v>
      </c>
      <c r="C133" s="310"/>
      <c r="D133" s="1643">
        <v>2800</v>
      </c>
      <c r="E133" s="1643"/>
      <c r="F133" s="1643"/>
      <c r="G133" s="1643"/>
      <c r="H133" s="1643"/>
      <c r="I133" s="1643"/>
      <c r="J133" s="761"/>
      <c r="K133" s="761"/>
      <c r="L133" s="761"/>
      <c r="M133" s="761"/>
      <c r="N133" s="761"/>
      <c r="O133" s="761"/>
      <c r="P133" s="761"/>
      <c r="Q133" s="1727"/>
      <c r="R133" s="246"/>
      <c r="S133" s="246"/>
      <c r="T133" s="761"/>
      <c r="U133" s="246"/>
      <c r="V133" s="246"/>
      <c r="W133" s="246"/>
      <c r="X133" s="246"/>
      <c r="Y133" s="246"/>
      <c r="Z133" s="246"/>
      <c r="AA133" s="246"/>
      <c r="AB133" s="246"/>
      <c r="AC133" s="246"/>
      <c r="AD133" s="246"/>
      <c r="AE133" s="246"/>
      <c r="AF133" s="246"/>
      <c r="AG133" s="761"/>
      <c r="AH133" s="761"/>
      <c r="AI133" s="761"/>
      <c r="AJ133" s="761"/>
      <c r="AK133" s="761"/>
      <c r="AL133" s="761"/>
      <c r="AM133" s="761"/>
      <c r="AN133" s="761"/>
      <c r="AO133" s="1727"/>
      <c r="AP133" s="246"/>
      <c r="AQ133" s="246"/>
      <c r="AR133" s="246"/>
      <c r="AS133" s="246"/>
      <c r="AT133" s="246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3492" t="e">
        <f t="shared" si="90"/>
        <v>#REF!</v>
      </c>
      <c r="EB133" s="3492" t="e">
        <f t="shared" si="90"/>
        <v>#REF!</v>
      </c>
      <c r="EC133" s="3492"/>
      <c r="ED133" s="3492"/>
      <c r="EE133" s="3492"/>
      <c r="EF133" s="3492"/>
      <c r="EG133" s="3492"/>
      <c r="EH133" s="3492"/>
      <c r="EI133" s="3492" t="e">
        <f>EI34/EI120-1</f>
        <v>#REF!</v>
      </c>
      <c r="EJ133" s="3492" t="e">
        <f>EJ34/EJ120-1</f>
        <v>#REF!</v>
      </c>
      <c r="EK133" s="3492"/>
      <c r="EL133" s="3492"/>
      <c r="EM133" s="3492"/>
      <c r="EN133" s="761"/>
      <c r="EO133" s="761"/>
      <c r="EP133" s="761"/>
    </row>
    <row r="134" spans="1:146" s="159" customFormat="1" ht="15" hidden="1" customHeight="1" outlineLevel="2">
      <c r="A134" s="2661" t="s">
        <v>2588</v>
      </c>
      <c r="B134" s="2662"/>
      <c r="C134" s="310"/>
      <c r="D134" s="1643">
        <v>3350</v>
      </c>
      <c r="E134" s="1643"/>
      <c r="F134" s="1643"/>
      <c r="G134" s="1643"/>
      <c r="H134" s="1643"/>
      <c r="I134" s="1643"/>
      <c r="J134" s="761"/>
      <c r="K134" s="761"/>
      <c r="L134" s="761"/>
      <c r="M134" s="761"/>
      <c r="N134" s="761"/>
      <c r="O134" s="761"/>
      <c r="P134" s="761"/>
      <c r="Q134" s="1727"/>
      <c r="R134" s="246"/>
      <c r="S134" s="246"/>
      <c r="T134" s="761"/>
      <c r="U134" s="246"/>
      <c r="V134" s="246"/>
      <c r="W134" s="246"/>
      <c r="X134" s="246"/>
      <c r="Y134" s="246"/>
      <c r="Z134" s="246"/>
      <c r="AA134" s="246"/>
      <c r="AB134" s="246"/>
      <c r="AC134" s="246"/>
      <c r="AD134" s="246"/>
      <c r="AE134" s="246"/>
      <c r="AF134" s="246"/>
      <c r="AG134" s="761"/>
      <c r="AH134" s="761"/>
      <c r="AI134" s="761"/>
      <c r="AJ134" s="761"/>
      <c r="AK134" s="761"/>
      <c r="AL134" s="761"/>
      <c r="AM134" s="761"/>
      <c r="AN134" s="761"/>
      <c r="AO134" s="1727"/>
      <c r="AP134" s="246"/>
      <c r="AQ134" s="246"/>
      <c r="AR134" s="246"/>
      <c r="AS134" s="246"/>
      <c r="AT134" s="246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3492" t="e">
        <f t="shared" si="90"/>
        <v>#REF!</v>
      </c>
      <c r="EB134" s="3492" t="e">
        <f t="shared" si="90"/>
        <v>#REF!</v>
      </c>
      <c r="EC134" s="3492"/>
      <c r="ED134" s="3492"/>
      <c r="EE134" s="3492"/>
      <c r="EF134" s="3492"/>
      <c r="EG134" s="3492"/>
      <c r="EH134" s="3492"/>
      <c r="EI134" s="3492"/>
      <c r="EJ134" s="3492"/>
      <c r="EK134" s="3492" t="e">
        <f>EK35/EK121-1</f>
        <v>#REF!</v>
      </c>
      <c r="EL134" s="3492" t="e">
        <f>EL35/EL121-1</f>
        <v>#REF!</v>
      </c>
      <c r="EM134" s="3492" t="e">
        <f>EM35/EM121-1</f>
        <v>#REF!</v>
      </c>
      <c r="EN134" s="761"/>
      <c r="EO134" s="761"/>
      <c r="EP134" s="761"/>
    </row>
    <row r="135" spans="1:146" s="1671" customFormat="1" ht="12.75" hidden="1" customHeight="1" outlineLevel="2">
      <c r="A135" s="4928" t="s">
        <v>2412</v>
      </c>
      <c r="B135" s="4928"/>
      <c r="C135" s="310"/>
      <c r="D135" s="1643">
        <v>3650</v>
      </c>
      <c r="E135" s="1643"/>
      <c r="F135" s="1643"/>
      <c r="G135" s="1643"/>
      <c r="H135" s="1643"/>
      <c r="I135" s="1643"/>
      <c r="J135" s="761"/>
      <c r="K135" s="761"/>
      <c r="L135" s="761"/>
      <c r="M135" s="761"/>
      <c r="N135" s="761"/>
      <c r="O135" s="761"/>
      <c r="P135" s="761"/>
      <c r="Q135" s="1727"/>
      <c r="R135" s="246"/>
      <c r="S135" s="246"/>
      <c r="T135" s="761"/>
      <c r="U135" s="246"/>
      <c r="V135" s="246"/>
      <c r="W135" s="246"/>
      <c r="X135" s="246"/>
      <c r="Y135" s="246"/>
      <c r="Z135" s="246"/>
      <c r="AA135" s="246"/>
      <c r="AB135" s="246"/>
      <c r="AC135" s="246"/>
      <c r="AD135" s="246"/>
      <c r="AE135" s="246"/>
      <c r="AF135" s="246"/>
      <c r="AG135" s="761"/>
      <c r="AH135" s="761"/>
      <c r="AI135" s="761"/>
      <c r="AJ135" s="761"/>
      <c r="AK135" s="761"/>
      <c r="AL135" s="761"/>
      <c r="AM135" s="761"/>
      <c r="AN135" s="761"/>
      <c r="AO135" s="1727"/>
      <c r="AP135" s="246"/>
      <c r="AQ135" s="246"/>
      <c r="AR135" s="246"/>
      <c r="AS135" s="246"/>
      <c r="AT135" s="246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3493"/>
      <c r="EB135" s="3493"/>
      <c r="EC135" s="3493"/>
      <c r="ED135" s="3493"/>
      <c r="EE135" s="3493"/>
      <c r="EF135" s="3493"/>
      <c r="EG135" s="3493"/>
      <c r="EH135" s="3493"/>
      <c r="EI135" s="3493"/>
      <c r="EJ135" s="3493"/>
      <c r="EK135" s="3493" t="e">
        <f>EK37/EK122-1</f>
        <v>#REF!</v>
      </c>
      <c r="EL135" s="3493" t="e">
        <f>EL37/EL122-1</f>
        <v>#REF!</v>
      </c>
      <c r="EM135" s="3493" t="e">
        <f>EM37/EM122-1</f>
        <v>#REF!</v>
      </c>
      <c r="EN135" s="761"/>
      <c r="EO135" s="761"/>
      <c r="EP135" s="761"/>
    </row>
    <row r="136" spans="1:146" s="761" customFormat="1" ht="38.25" hidden="1" customHeight="1" outlineLevel="1">
      <c r="A136" s="3496"/>
      <c r="B136" s="3497"/>
      <c r="C136" s="3497"/>
      <c r="D136" s="1643">
        <v>4450</v>
      </c>
      <c r="E136" s="1643"/>
      <c r="F136" s="1643"/>
      <c r="G136" s="1643"/>
      <c r="H136" s="1643"/>
      <c r="I136" s="1643"/>
      <c r="Q136" s="1727"/>
      <c r="R136" s="246"/>
      <c r="S136" s="246"/>
      <c r="U136" s="246"/>
      <c r="V136" s="246"/>
      <c r="W136" s="246"/>
      <c r="X136" s="246"/>
      <c r="Y136" s="246"/>
      <c r="Z136" s="246"/>
      <c r="AA136" s="246"/>
      <c r="AB136" s="246"/>
      <c r="AC136" s="246"/>
      <c r="AD136" s="246"/>
      <c r="AE136" s="246"/>
      <c r="AF136" s="246"/>
      <c r="AO136" s="1727"/>
      <c r="AP136" s="246"/>
      <c r="AQ136" s="246"/>
      <c r="AR136" s="246"/>
      <c r="AS136" s="246"/>
      <c r="AT136" s="246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3494"/>
      <c r="EB136" s="3494"/>
      <c r="EC136" s="3494"/>
      <c r="ED136" s="3494"/>
      <c r="EE136" s="3494"/>
      <c r="EF136" s="3494"/>
      <c r="EG136" s="3494"/>
      <c r="EH136" s="3494"/>
      <c r="EI136" s="3494"/>
      <c r="EJ136" s="3494"/>
      <c r="EK136" s="3494"/>
      <c r="EL136" s="3494"/>
      <c r="EM136" s="3494"/>
    </row>
    <row r="137" spans="1:146" s="1710" customFormat="1" ht="24" hidden="1" customHeight="1" outlineLevel="1">
      <c r="A137" s="1726"/>
      <c r="B137" s="1727"/>
      <c r="C137" s="2625"/>
      <c r="D137" s="1643">
        <v>4350</v>
      </c>
      <c r="E137" s="1643"/>
      <c r="F137" s="1643"/>
      <c r="G137" s="1643"/>
      <c r="H137" s="1643"/>
      <c r="I137" s="1643"/>
      <c r="J137" s="761"/>
      <c r="K137" s="761"/>
      <c r="L137" s="761"/>
      <c r="M137" s="761"/>
      <c r="N137" s="761"/>
      <c r="O137" s="761"/>
      <c r="P137" s="761"/>
      <c r="Q137" s="1727"/>
      <c r="R137" s="246"/>
      <c r="S137" s="246"/>
      <c r="T137" s="761"/>
      <c r="U137" s="246"/>
      <c r="V137" s="246"/>
      <c r="W137" s="246"/>
      <c r="X137" s="246"/>
      <c r="Y137" s="246"/>
      <c r="Z137" s="246"/>
      <c r="AA137" s="246"/>
      <c r="AB137" s="246"/>
      <c r="AC137" s="246"/>
      <c r="AD137" s="246"/>
      <c r="AE137" s="246"/>
      <c r="AF137" s="246"/>
      <c r="AG137" s="761"/>
      <c r="AH137" s="761"/>
      <c r="AI137" s="761"/>
      <c r="AJ137" s="761"/>
      <c r="AK137" s="761"/>
      <c r="AL137" s="761"/>
      <c r="AM137" s="761"/>
      <c r="AN137" s="761"/>
      <c r="AO137" s="1727"/>
      <c r="AP137" s="246"/>
      <c r="AQ137" s="246"/>
      <c r="AR137" s="246"/>
      <c r="AS137" s="246"/>
      <c r="AT137" s="246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3494"/>
      <c r="EB137" s="3494"/>
      <c r="EC137" s="3494"/>
      <c r="ED137" s="3494"/>
      <c r="EE137" s="3494"/>
      <c r="EF137" s="3494"/>
      <c r="EG137" s="3494"/>
      <c r="EH137" s="3494"/>
      <c r="EI137" s="3494"/>
      <c r="EJ137" s="3494"/>
      <c r="EK137" s="3494"/>
      <c r="EL137" s="3494"/>
      <c r="EM137" s="3494"/>
      <c r="EN137" s="761"/>
      <c r="EO137" s="761"/>
      <c r="EP137" s="761"/>
    </row>
    <row r="138" spans="1:146" s="1771" customFormat="1" ht="41.25" hidden="1" customHeight="1" outlineLevel="1">
      <c r="A138" s="1726"/>
      <c r="B138" s="1727"/>
      <c r="C138" s="2625"/>
      <c r="D138" s="1643">
        <v>4450</v>
      </c>
      <c r="E138" s="1643"/>
      <c r="F138" s="1643"/>
      <c r="G138" s="1643"/>
      <c r="H138" s="1643"/>
      <c r="I138" s="1643"/>
      <c r="J138" s="761"/>
      <c r="K138" s="761"/>
      <c r="L138" s="761"/>
      <c r="M138" s="761"/>
      <c r="N138" s="761"/>
      <c r="O138" s="761"/>
      <c r="P138" s="761"/>
      <c r="Q138" s="1727"/>
      <c r="R138" s="246"/>
      <c r="S138" s="246"/>
      <c r="T138" s="761"/>
      <c r="U138" s="246"/>
      <c r="V138" s="246"/>
      <c r="W138" s="246"/>
      <c r="X138" s="246"/>
      <c r="Y138" s="246"/>
      <c r="Z138" s="246"/>
      <c r="AA138" s="246"/>
      <c r="AB138" s="246"/>
      <c r="AC138" s="246"/>
      <c r="AD138" s="246"/>
      <c r="AE138" s="246"/>
      <c r="AF138" s="246"/>
      <c r="AG138" s="761"/>
      <c r="AH138" s="761"/>
      <c r="AI138" s="761"/>
      <c r="AJ138" s="761"/>
      <c r="AK138" s="761"/>
      <c r="AL138" s="761"/>
      <c r="AM138" s="761"/>
      <c r="AN138" s="761"/>
      <c r="AO138" s="1727"/>
      <c r="AP138" s="246"/>
      <c r="AQ138" s="246"/>
      <c r="AR138" s="246"/>
      <c r="AS138" s="246"/>
      <c r="AT138" s="246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3494"/>
      <c r="EB138" s="3494"/>
      <c r="EC138" s="3494"/>
      <c r="ED138" s="3494"/>
      <c r="EE138" s="3494"/>
      <c r="EF138" s="3494"/>
      <c r="EG138" s="3494"/>
      <c r="EH138" s="3494"/>
      <c r="EI138" s="3494"/>
      <c r="EJ138" s="3494"/>
      <c r="EK138" s="3494"/>
      <c r="EL138" s="3494"/>
      <c r="EM138" s="3494"/>
      <c r="EN138" s="761"/>
      <c r="EO138" s="761"/>
      <c r="EP138" s="761"/>
    </row>
    <row r="139" spans="1:146" s="761" customFormat="1" ht="15.75" hidden="1" customHeight="1" outlineLevel="1">
      <c r="A139" s="1726"/>
      <c r="B139" s="1727"/>
      <c r="C139" s="2625"/>
      <c r="D139" s="1643">
        <v>8250</v>
      </c>
      <c r="E139" s="1643"/>
      <c r="F139" s="1643"/>
      <c r="G139" s="1643"/>
      <c r="H139" s="1643"/>
      <c r="I139" s="1643"/>
      <c r="Q139" s="1727"/>
      <c r="R139" s="246"/>
      <c r="S139" s="246"/>
      <c r="U139" s="246"/>
      <c r="V139" s="246"/>
      <c r="W139" s="246"/>
      <c r="X139" s="246"/>
      <c r="Y139" s="246"/>
      <c r="Z139" s="246"/>
      <c r="AA139" s="246"/>
      <c r="AB139" s="246"/>
      <c r="AC139" s="246"/>
      <c r="AD139" s="246"/>
      <c r="AE139" s="246"/>
      <c r="AF139" s="246"/>
      <c r="AO139" s="1727"/>
      <c r="AP139" s="246"/>
      <c r="AQ139" s="246"/>
      <c r="AR139" s="246"/>
      <c r="AS139" s="246"/>
      <c r="AT139" s="246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3494"/>
      <c r="EB139" s="3494"/>
      <c r="EC139" s="3494"/>
      <c r="ED139" s="3494"/>
      <c r="EE139" s="3494"/>
      <c r="EF139" s="3494"/>
      <c r="EG139" s="3494"/>
      <c r="EH139" s="3494"/>
      <c r="EI139" s="3494"/>
      <c r="EJ139" s="3494"/>
      <c r="EK139" s="3494"/>
      <c r="EL139" s="3494"/>
      <c r="EM139" s="3494"/>
    </row>
    <row r="140" spans="1:146" s="761" customFormat="1" ht="15.75" hidden="1" customHeight="1" outlineLevel="1">
      <c r="A140" s="1726"/>
      <c r="B140" s="1727"/>
      <c r="C140" s="2625"/>
      <c r="D140" s="1643">
        <v>9950</v>
      </c>
      <c r="E140" s="1643"/>
      <c r="F140" s="1643"/>
      <c r="G140" s="1643"/>
      <c r="H140" s="1643"/>
      <c r="I140" s="1643"/>
      <c r="Q140" s="1727"/>
      <c r="R140" s="246"/>
      <c r="S140" s="246"/>
      <c r="U140" s="246"/>
      <c r="V140" s="246"/>
      <c r="W140" s="246"/>
      <c r="X140" s="246"/>
      <c r="Y140" s="246"/>
      <c r="Z140" s="246"/>
      <c r="AA140" s="246"/>
      <c r="AB140" s="246"/>
      <c r="AC140" s="246"/>
      <c r="AD140" s="246"/>
      <c r="AE140" s="246"/>
      <c r="AF140" s="246"/>
      <c r="AO140" s="1727"/>
      <c r="AP140" s="246"/>
      <c r="AQ140" s="246"/>
      <c r="AR140" s="246"/>
      <c r="AS140" s="246"/>
      <c r="AT140" s="246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3494"/>
      <c r="EB140" s="3494"/>
      <c r="EC140" s="3494"/>
      <c r="ED140" s="3494"/>
      <c r="EE140" s="3494"/>
      <c r="EF140" s="3494"/>
      <c r="EG140" s="3494"/>
      <c r="EH140" s="3494"/>
      <c r="EI140" s="3494"/>
      <c r="EJ140" s="3494"/>
      <c r="EK140" s="3494"/>
      <c r="EL140" s="3494"/>
      <c r="EM140" s="3494"/>
    </row>
    <row r="141" spans="1:146" s="761" customFormat="1" ht="15.75" hidden="1" outlineLevel="1">
      <c r="A141" s="1726"/>
      <c r="B141" s="1727"/>
      <c r="C141" s="2625"/>
      <c r="D141" s="1643">
        <v>1950</v>
      </c>
      <c r="E141" s="1643"/>
      <c r="F141" s="1643"/>
      <c r="G141" s="1643"/>
      <c r="H141" s="1643"/>
      <c r="I141" s="1643"/>
      <c r="Q141" s="1727"/>
      <c r="R141" s="246"/>
      <c r="S141" s="246"/>
      <c r="U141" s="246"/>
      <c r="V141" s="246"/>
      <c r="W141" s="246"/>
      <c r="X141" s="246"/>
      <c r="Y141" s="246"/>
      <c r="Z141" s="246"/>
      <c r="AA141" s="246"/>
      <c r="AB141" s="246"/>
      <c r="AC141" s="246"/>
      <c r="AD141" s="246"/>
      <c r="AE141" s="246"/>
      <c r="AF141" s="246"/>
      <c r="AO141" s="1727"/>
      <c r="AP141" s="246"/>
      <c r="AQ141" s="246"/>
      <c r="AR141" s="246"/>
      <c r="AS141" s="246"/>
      <c r="AT141" s="246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3494"/>
      <c r="EB141" s="3494"/>
      <c r="EC141" s="3494"/>
      <c r="ED141" s="3494"/>
      <c r="EE141" s="3494"/>
      <c r="EF141" s="3494"/>
      <c r="EG141" s="3494"/>
      <c r="EH141" s="3494"/>
      <c r="EI141" s="3494"/>
      <c r="EJ141" s="3494"/>
      <c r="EK141" s="3494"/>
      <c r="EL141" s="3494"/>
      <c r="EM141" s="3494"/>
    </row>
    <row r="142" spans="1:146" s="761" customFormat="1" ht="15.75" hidden="1" customHeight="1" outlineLevel="1">
      <c r="A142" s="1726"/>
      <c r="B142" s="1727"/>
      <c r="C142" s="2625"/>
      <c r="D142" s="1643">
        <v>8300</v>
      </c>
      <c r="E142" s="1643"/>
      <c r="F142" s="1643"/>
      <c r="G142" s="1643"/>
      <c r="H142" s="1643"/>
      <c r="I142" s="1643"/>
      <c r="Q142" s="1727"/>
      <c r="R142" s="246"/>
      <c r="S142" s="246"/>
      <c r="U142" s="246"/>
      <c r="V142" s="246"/>
      <c r="W142" s="246"/>
      <c r="X142" s="246"/>
      <c r="Y142" s="246"/>
      <c r="Z142" s="246"/>
      <c r="AA142" s="246"/>
      <c r="AB142" s="246"/>
      <c r="AC142" s="246"/>
      <c r="AD142" s="246"/>
      <c r="AE142" s="246"/>
      <c r="AF142" s="246"/>
      <c r="AO142" s="1727"/>
      <c r="AP142" s="246"/>
      <c r="AQ142" s="246"/>
      <c r="AR142" s="246"/>
      <c r="AS142" s="246"/>
      <c r="AT142" s="246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3494"/>
      <c r="EB142" s="3494"/>
      <c r="EC142" s="3494"/>
      <c r="ED142" s="3494"/>
      <c r="EE142" s="3494"/>
      <c r="EF142" s="3494"/>
      <c r="EG142" s="3494"/>
      <c r="EH142" s="3494"/>
      <c r="EI142" s="3494"/>
      <c r="EJ142" s="3494"/>
      <c r="EK142" s="3494"/>
      <c r="EL142" s="3494"/>
      <c r="EM142" s="3494"/>
    </row>
    <row r="143" spans="1:146" s="761" customFormat="1" ht="15.75" hidden="1" outlineLevel="1">
      <c r="A143" s="1726"/>
      <c r="B143" s="1727"/>
      <c r="C143" s="2625"/>
      <c r="D143" s="1643">
        <v>3600</v>
      </c>
      <c r="E143" s="1643"/>
      <c r="F143" s="1643"/>
      <c r="G143" s="1643"/>
      <c r="H143" s="1643"/>
      <c r="I143" s="1643"/>
      <c r="Q143" s="1727"/>
      <c r="R143" s="246"/>
      <c r="S143" s="246"/>
      <c r="U143" s="246"/>
      <c r="V143" s="246"/>
      <c r="W143" s="246"/>
      <c r="X143" s="246"/>
      <c r="Y143" s="246"/>
      <c r="Z143" s="246"/>
      <c r="AA143" s="246"/>
      <c r="AB143" s="246"/>
      <c r="AC143" s="246"/>
      <c r="AD143" s="246"/>
      <c r="AE143" s="246"/>
      <c r="AF143" s="246"/>
      <c r="AO143" s="1727"/>
      <c r="AP143" s="246"/>
      <c r="AQ143" s="246"/>
      <c r="AR143" s="246"/>
      <c r="AS143" s="246"/>
      <c r="AT143" s="246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3494"/>
      <c r="EB143" s="3494"/>
      <c r="EC143" s="3494"/>
      <c r="ED143" s="3494"/>
      <c r="EE143" s="3494"/>
      <c r="EF143" s="3494"/>
      <c r="EG143" s="3494"/>
      <c r="EH143" s="3494"/>
      <c r="EI143" s="3494"/>
      <c r="EJ143" s="3494"/>
      <c r="EK143" s="3494"/>
      <c r="EL143" s="3494"/>
      <c r="EM143" s="3494"/>
    </row>
    <row r="144" spans="1:146" s="761" customFormat="1" ht="15.75" hidden="1" outlineLevel="1">
      <c r="A144" s="1726"/>
      <c r="B144" s="1727"/>
      <c r="C144" s="2625"/>
      <c r="D144" s="1643">
        <v>2400</v>
      </c>
      <c r="E144" s="1643"/>
      <c r="F144" s="1643"/>
      <c r="G144" s="1643"/>
      <c r="H144" s="1643"/>
      <c r="I144" s="1643"/>
      <c r="Q144" s="1727"/>
      <c r="R144" s="246"/>
      <c r="S144" s="246"/>
      <c r="U144" s="246"/>
      <c r="V144" s="246"/>
      <c r="W144" s="246"/>
      <c r="X144" s="246"/>
      <c r="Y144" s="246"/>
      <c r="Z144" s="246"/>
      <c r="AA144" s="246"/>
      <c r="AB144" s="246"/>
      <c r="AC144" s="246"/>
      <c r="AD144" s="246"/>
      <c r="AE144" s="246"/>
      <c r="AF144" s="246"/>
      <c r="AO144" s="1727"/>
      <c r="AP144" s="246"/>
      <c r="AQ144" s="246"/>
      <c r="AR144" s="246"/>
      <c r="AS144" s="246"/>
      <c r="AT144" s="246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3494"/>
      <c r="EB144" s="3494"/>
      <c r="EC144" s="3494"/>
      <c r="ED144" s="3494"/>
      <c r="EE144" s="3494"/>
      <c r="EF144" s="3494"/>
      <c r="EG144" s="3494"/>
      <c r="EH144" s="3494"/>
      <c r="EI144" s="3494"/>
      <c r="EJ144" s="3494"/>
      <c r="EK144" s="3494"/>
      <c r="EL144" s="3494"/>
      <c r="EM144" s="3494"/>
    </row>
    <row r="145" spans="1:146" s="761" customFormat="1" ht="15.75" hidden="1" outlineLevel="1">
      <c r="A145" s="1726"/>
      <c r="B145" s="1727"/>
      <c r="C145" s="2625"/>
      <c r="D145" s="1643">
        <v>9050</v>
      </c>
      <c r="E145" s="1643"/>
      <c r="F145" s="1643"/>
      <c r="G145" s="1643"/>
      <c r="H145" s="1643"/>
      <c r="I145" s="1643"/>
      <c r="Q145" s="1727"/>
      <c r="R145" s="246"/>
      <c r="S145" s="246"/>
      <c r="U145" s="246"/>
      <c r="V145" s="246"/>
      <c r="W145" s="246"/>
      <c r="X145" s="246"/>
      <c r="Y145" s="246"/>
      <c r="Z145" s="246"/>
      <c r="AA145" s="246"/>
      <c r="AB145" s="246"/>
      <c r="AC145" s="246"/>
      <c r="AD145" s="246"/>
      <c r="AE145" s="246"/>
      <c r="AF145" s="246"/>
      <c r="AO145" s="1727"/>
      <c r="AP145" s="246"/>
      <c r="AQ145" s="246"/>
      <c r="AR145" s="246"/>
      <c r="AS145" s="246"/>
      <c r="AT145" s="246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3494"/>
      <c r="EB145" s="3494"/>
      <c r="EC145" s="3494"/>
      <c r="ED145" s="3494"/>
      <c r="EE145" s="3494"/>
      <c r="EF145" s="3494"/>
      <c r="EG145" s="3494"/>
      <c r="EH145" s="3494"/>
      <c r="EI145" s="3494"/>
      <c r="EJ145" s="3494"/>
      <c r="EK145" s="3494"/>
      <c r="EL145" s="3494"/>
      <c r="EM145" s="3494"/>
    </row>
    <row r="146" spans="1:146" s="1651" customFormat="1" ht="23.45" hidden="1" customHeight="1" outlineLevel="1">
      <c r="A146" s="1726"/>
      <c r="B146" s="1727"/>
      <c r="C146" s="2625"/>
      <c r="D146" s="1643">
        <v>4350</v>
      </c>
      <c r="E146" s="1643"/>
      <c r="F146" s="1643"/>
      <c r="G146" s="1643"/>
      <c r="H146" s="1643"/>
      <c r="I146" s="1643"/>
      <c r="J146" s="761"/>
      <c r="K146" s="761"/>
      <c r="L146" s="761"/>
      <c r="M146" s="761"/>
      <c r="N146" s="761"/>
      <c r="O146" s="761"/>
      <c r="P146" s="761"/>
      <c r="Q146" s="1727"/>
      <c r="R146" s="246"/>
      <c r="S146" s="246"/>
      <c r="T146" s="761"/>
      <c r="U146" s="246"/>
      <c r="V146" s="246"/>
      <c r="W146" s="246"/>
      <c r="X146" s="246"/>
      <c r="Y146" s="246"/>
      <c r="Z146" s="246"/>
      <c r="AA146" s="246"/>
      <c r="AB146" s="246"/>
      <c r="AC146" s="246"/>
      <c r="AD146" s="246"/>
      <c r="AE146" s="246"/>
      <c r="AF146" s="246"/>
      <c r="AG146" s="761"/>
      <c r="AH146" s="761"/>
      <c r="AI146" s="761"/>
      <c r="AJ146" s="761"/>
      <c r="AK146" s="761"/>
      <c r="AL146" s="761"/>
      <c r="AM146" s="761"/>
      <c r="AN146" s="761"/>
      <c r="AO146" s="1727"/>
      <c r="AP146" s="246"/>
      <c r="AQ146" s="246"/>
      <c r="AR146" s="246"/>
      <c r="AS146" s="246"/>
      <c r="AT146" s="246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3494"/>
      <c r="EB146" s="3494"/>
      <c r="EC146" s="3494"/>
      <c r="ED146" s="3494"/>
      <c r="EE146" s="3494"/>
      <c r="EF146" s="3494"/>
      <c r="EG146" s="3494"/>
      <c r="EH146" s="3494"/>
      <c r="EI146" s="3494"/>
      <c r="EJ146" s="3494"/>
      <c r="EK146" s="3494"/>
      <c r="EL146" s="3494"/>
      <c r="EM146" s="3494"/>
      <c r="EN146" s="761"/>
      <c r="EO146" s="761"/>
      <c r="EP146" s="761"/>
    </row>
    <row r="147" spans="1:146" s="1651" customFormat="1" ht="24.6" hidden="1" customHeight="1" outlineLevel="1">
      <c r="A147" s="1726"/>
      <c r="B147" s="1727"/>
      <c r="C147" s="2625"/>
      <c r="D147" s="1643">
        <v>2400</v>
      </c>
      <c r="E147" s="1643"/>
      <c r="F147" s="1643"/>
      <c r="G147" s="1643"/>
      <c r="H147" s="1643"/>
      <c r="I147" s="1643"/>
      <c r="J147" s="761"/>
      <c r="K147" s="761"/>
      <c r="L147" s="761"/>
      <c r="M147" s="761"/>
      <c r="N147" s="761"/>
      <c r="O147" s="761"/>
      <c r="P147" s="761"/>
      <c r="Q147" s="1727"/>
      <c r="R147" s="246"/>
      <c r="S147" s="246"/>
      <c r="T147" s="761"/>
      <c r="U147" s="246"/>
      <c r="V147" s="246"/>
      <c r="W147" s="246"/>
      <c r="X147" s="246"/>
      <c r="Y147" s="246"/>
      <c r="Z147" s="246"/>
      <c r="AA147" s="246"/>
      <c r="AB147" s="246"/>
      <c r="AC147" s="246"/>
      <c r="AD147" s="246"/>
      <c r="AE147" s="246"/>
      <c r="AF147" s="246"/>
      <c r="AG147" s="761"/>
      <c r="AH147" s="761"/>
      <c r="AI147" s="761"/>
      <c r="AJ147" s="761"/>
      <c r="AK147" s="761"/>
      <c r="AL147" s="761"/>
      <c r="AM147" s="761"/>
      <c r="AN147" s="761"/>
      <c r="AO147" s="1727"/>
      <c r="AP147" s="246"/>
      <c r="AQ147" s="246"/>
      <c r="AR147" s="246"/>
      <c r="AS147" s="246"/>
      <c r="AT147" s="246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3494"/>
      <c r="EB147" s="3494"/>
      <c r="EC147" s="3494"/>
      <c r="ED147" s="3494"/>
      <c r="EE147" s="3494"/>
      <c r="EF147" s="3494"/>
      <c r="EG147" s="3494"/>
      <c r="EH147" s="3494"/>
      <c r="EI147" s="3494"/>
      <c r="EJ147" s="3494"/>
      <c r="EK147" s="3494"/>
      <c r="EL147" s="3494"/>
      <c r="EM147" s="3494"/>
      <c r="EN147" s="761"/>
      <c r="EO147" s="761"/>
      <c r="EP147" s="761"/>
    </row>
    <row r="148" spans="1:146" s="1651" customFormat="1" ht="24.6" hidden="1" customHeight="1" outlineLevel="1">
      <c r="A148" s="1726"/>
      <c r="B148" s="1727"/>
      <c r="C148" s="2625"/>
      <c r="D148" s="1643">
        <v>950</v>
      </c>
      <c r="E148" s="1643"/>
      <c r="F148" s="1643"/>
      <c r="G148" s="1643"/>
      <c r="H148" s="1643"/>
      <c r="I148" s="1643"/>
      <c r="J148" s="761"/>
      <c r="K148" s="761"/>
      <c r="L148" s="761"/>
      <c r="M148" s="761"/>
      <c r="N148" s="761"/>
      <c r="O148" s="761"/>
      <c r="P148" s="761"/>
      <c r="Q148" s="1727"/>
      <c r="R148" s="246"/>
      <c r="S148" s="246"/>
      <c r="T148" s="761"/>
      <c r="U148" s="246"/>
      <c r="V148" s="246"/>
      <c r="W148" s="246"/>
      <c r="X148" s="246"/>
      <c r="Y148" s="246"/>
      <c r="Z148" s="246"/>
      <c r="AA148" s="246"/>
      <c r="AB148" s="246"/>
      <c r="AC148" s="246"/>
      <c r="AD148" s="246"/>
      <c r="AE148" s="246"/>
      <c r="AF148" s="246"/>
      <c r="AG148" s="761"/>
      <c r="AH148" s="761"/>
      <c r="AI148" s="761"/>
      <c r="AJ148" s="761"/>
      <c r="AK148" s="761"/>
      <c r="AL148" s="761"/>
      <c r="AM148" s="761"/>
      <c r="AN148" s="761"/>
      <c r="AO148" s="1727"/>
      <c r="AP148" s="246"/>
      <c r="AQ148" s="246"/>
      <c r="AR148" s="246"/>
      <c r="AS148" s="246"/>
      <c r="AT148" s="246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3494"/>
      <c r="EB148" s="3494"/>
      <c r="EC148" s="3494"/>
      <c r="ED148" s="3494"/>
      <c r="EE148" s="3494"/>
      <c r="EF148" s="3494"/>
      <c r="EG148" s="3494"/>
      <c r="EH148" s="3494"/>
      <c r="EI148" s="3494"/>
      <c r="EJ148" s="3494"/>
      <c r="EK148" s="3494"/>
      <c r="EL148" s="3494"/>
      <c r="EM148" s="3494"/>
      <c r="EN148" s="761"/>
      <c r="EO148" s="761"/>
      <c r="EP148" s="761"/>
    </row>
    <row r="149" spans="1:146" s="761" customFormat="1" ht="21" hidden="1" customHeight="1" outlineLevel="2">
      <c r="A149" s="1649" t="s">
        <v>2184</v>
      </c>
      <c r="B149" s="1650"/>
      <c r="C149" s="1651"/>
      <c r="D149" s="1794">
        <v>0</v>
      </c>
      <c r="E149" s="1794" t="e">
        <f>E21/E107-1</f>
        <v>#REF!</v>
      </c>
      <c r="F149" s="1794" t="e">
        <f>F21/F107-1</f>
        <v>#DIV/0!</v>
      </c>
      <c r="G149" s="1794" t="e">
        <f>G21/G107-1</f>
        <v>#REF!</v>
      </c>
      <c r="H149" s="1794" t="e">
        <f>H21/H107-1</f>
        <v>#DIV/0!</v>
      </c>
      <c r="I149" s="1794" t="e">
        <f>I21/I107-1</f>
        <v>#DIV/0!</v>
      </c>
      <c r="J149" s="1651"/>
      <c r="K149" s="1651"/>
      <c r="L149" s="1651"/>
      <c r="M149" s="1651"/>
      <c r="N149" s="1651"/>
      <c r="O149" s="1651"/>
      <c r="P149" s="1651"/>
      <c r="Q149" s="1650"/>
      <c r="R149" s="1651"/>
      <c r="S149" s="1651"/>
      <c r="T149" s="1651"/>
      <c r="U149" s="1651"/>
      <c r="V149" s="1651"/>
      <c r="W149" s="1651"/>
      <c r="X149" s="1651"/>
      <c r="Y149" s="1651"/>
      <c r="Z149" s="1651"/>
      <c r="AA149" s="1651"/>
      <c r="AB149" s="1651"/>
      <c r="AC149" s="1651"/>
      <c r="AD149" s="1651"/>
      <c r="AE149" s="1651"/>
      <c r="AF149" s="1651"/>
      <c r="AG149" s="1651"/>
      <c r="AH149" s="1651"/>
      <c r="AI149" s="1651"/>
      <c r="AJ149" s="1651"/>
      <c r="AK149" s="1651"/>
      <c r="AL149" s="1651"/>
      <c r="AM149" s="1651"/>
      <c r="AN149" s="1651"/>
      <c r="AO149" s="1650"/>
      <c r="AP149" s="1651"/>
      <c r="AQ149" s="1651"/>
      <c r="AR149" s="1653"/>
      <c r="AS149" s="1651"/>
      <c r="AT149" s="1651"/>
      <c r="AU149" s="1651"/>
      <c r="AV149" s="1651"/>
      <c r="AW149" s="1651"/>
      <c r="AX149" s="1651"/>
      <c r="AY149" s="1651"/>
      <c r="AZ149" s="1651"/>
      <c r="BA149" s="1651"/>
      <c r="BB149" s="1651"/>
      <c r="BC149" s="1651"/>
      <c r="BD149" s="1651"/>
      <c r="BE149" s="1651"/>
      <c r="BF149" s="1651"/>
      <c r="BG149" s="1650"/>
      <c r="BH149" s="1651"/>
      <c r="BI149" s="1651"/>
      <c r="BJ149" s="1651"/>
      <c r="BK149" s="1651"/>
      <c r="BL149" s="1651"/>
      <c r="BM149" s="1651"/>
      <c r="BN149" s="1651"/>
      <c r="BO149" s="1651"/>
      <c r="BP149" s="1651"/>
      <c r="BQ149" s="1650"/>
      <c r="BR149" s="1651"/>
      <c r="BS149" s="1651"/>
      <c r="BT149" s="1651"/>
      <c r="BU149" s="1651"/>
      <c r="BV149" s="1651"/>
      <c r="BW149" s="1651"/>
      <c r="BX149" s="1651"/>
      <c r="BY149" s="1650"/>
      <c r="BZ149" s="1651"/>
      <c r="CA149" s="1651"/>
      <c r="CB149" s="1651"/>
      <c r="CC149" s="1651"/>
      <c r="CD149" s="1651"/>
      <c r="CE149" s="1651"/>
      <c r="CF149" s="1651"/>
      <c r="CG149" s="1651"/>
      <c r="CH149" s="1651"/>
      <c r="CI149" s="1651"/>
      <c r="CJ149" s="1651"/>
      <c r="CK149" s="1651"/>
      <c r="CL149" s="1651"/>
      <c r="CM149" s="1651"/>
      <c r="CN149" s="1651"/>
      <c r="CO149" s="1651"/>
      <c r="CP149" s="1651"/>
      <c r="CQ149" s="1651"/>
      <c r="CR149" s="1651"/>
      <c r="CS149" s="1651"/>
      <c r="CT149" s="1651"/>
      <c r="CU149" s="1651"/>
      <c r="CV149" s="1651"/>
      <c r="CW149" s="1651"/>
      <c r="CX149" s="1651"/>
      <c r="CY149" s="1651"/>
      <c r="CZ149" s="1651"/>
      <c r="DA149" s="1651"/>
      <c r="DB149" s="1651"/>
      <c r="DC149" s="1651"/>
      <c r="DD149" s="1650"/>
      <c r="DE149" s="1651"/>
      <c r="DF149" s="1651"/>
      <c r="DG149" s="1651"/>
      <c r="DH149" s="1651"/>
      <c r="DI149" s="1651"/>
      <c r="DJ149" s="1651"/>
      <c r="DK149" s="1651"/>
      <c r="DL149" s="1651"/>
      <c r="DM149" s="1651"/>
      <c r="DN149" s="1651"/>
      <c r="DO149" s="1651"/>
      <c r="DP149" s="1651"/>
      <c r="DQ149" s="1651"/>
      <c r="DR149" s="1651"/>
      <c r="DS149" s="1650"/>
      <c r="DT149" s="1651"/>
      <c r="DU149" s="1651"/>
      <c r="DV149" s="1651"/>
      <c r="DW149" s="1651"/>
      <c r="DX149" s="1651"/>
      <c r="DY149" s="1651"/>
      <c r="DZ149" s="1651"/>
      <c r="EA149" s="1742"/>
      <c r="EB149" s="1742"/>
      <c r="EC149" s="1742"/>
      <c r="ED149" s="1742"/>
      <c r="EE149" s="1742"/>
      <c r="EF149" s="1742"/>
      <c r="EG149" s="1742"/>
      <c r="EH149" s="1742"/>
      <c r="EI149" s="1742"/>
      <c r="EJ149" s="1742"/>
      <c r="EK149" s="3494"/>
      <c r="EL149" s="3494"/>
      <c r="EM149" s="3494"/>
      <c r="EN149" s="1651"/>
      <c r="EO149" s="1651"/>
      <c r="EP149" s="1651"/>
    </row>
    <row r="150" spans="1:146" s="761" customFormat="1" ht="21" hidden="1" customHeight="1" outlineLevel="2">
      <c r="A150" s="4938" t="s">
        <v>1016</v>
      </c>
      <c r="B150" s="4938"/>
      <c r="C150" s="1654"/>
      <c r="D150" s="1791">
        <v>900</v>
      </c>
      <c r="E150" s="1792"/>
      <c r="F150" s="1792"/>
      <c r="G150" s="1792"/>
      <c r="H150" s="1792"/>
      <c r="I150" s="1792"/>
      <c r="J150" s="1792"/>
      <c r="K150" s="1792"/>
      <c r="L150" s="1792"/>
      <c r="M150" s="1792"/>
      <c r="N150" s="1792"/>
      <c r="O150" s="1792"/>
      <c r="P150" s="1793"/>
      <c r="Q150" s="1655"/>
      <c r="R150" s="1783" t="s">
        <v>89</v>
      </c>
      <c r="S150" s="1784"/>
      <c r="T150" s="1784"/>
      <c r="U150" s="1784"/>
      <c r="V150" s="1784"/>
      <c r="W150" s="1784"/>
      <c r="X150" s="1784"/>
      <c r="Y150" s="1784"/>
      <c r="Z150" s="1784"/>
      <c r="AA150" s="1784"/>
      <c r="AB150" s="1784"/>
      <c r="AC150" s="1784"/>
      <c r="AD150" s="1784"/>
      <c r="AE150" s="1784"/>
      <c r="AF150" s="1784"/>
      <c r="AG150" s="1784"/>
      <c r="AH150" s="1656"/>
      <c r="AI150" s="1656"/>
      <c r="AJ150" s="1784"/>
      <c r="AK150" s="1784"/>
      <c r="AL150" s="1784"/>
      <c r="AM150" s="1784"/>
      <c r="AN150" s="1784"/>
      <c r="AO150" s="1655"/>
      <c r="AP150" s="1783" t="s">
        <v>2194</v>
      </c>
      <c r="AQ150" s="1783"/>
      <c r="AR150" s="4914" t="s">
        <v>1014</v>
      </c>
      <c r="AS150" s="4914"/>
      <c r="AT150" s="4915"/>
      <c r="AU150" s="4914"/>
      <c r="AV150" s="4915"/>
      <c r="AW150" s="4914"/>
      <c r="AX150" s="4914"/>
      <c r="AY150" s="4914"/>
      <c r="AZ150" s="4914"/>
      <c r="BA150" s="4914"/>
      <c r="BB150" s="4914"/>
      <c r="BC150" s="4867" t="s">
        <v>882</v>
      </c>
      <c r="BD150" s="4867" t="s">
        <v>883</v>
      </c>
      <c r="BE150" s="4907" t="s">
        <v>695</v>
      </c>
      <c r="BF150" s="4867" t="s">
        <v>1031</v>
      </c>
      <c r="BG150" s="1655"/>
      <c r="BH150" s="4873" t="s">
        <v>108</v>
      </c>
      <c r="BI150" s="4874"/>
      <c r="BJ150" s="4874"/>
      <c r="BK150" s="4874"/>
      <c r="BL150" s="4874"/>
      <c r="BM150" s="4874"/>
      <c r="BN150" s="4874"/>
      <c r="BO150" s="4874"/>
      <c r="BP150" s="4874"/>
      <c r="BQ150" s="1655"/>
      <c r="BR150" s="4875" t="s">
        <v>456</v>
      </c>
      <c r="BS150" s="4875"/>
      <c r="BT150" s="4875"/>
      <c r="BU150" s="4875"/>
      <c r="BV150" s="4875"/>
      <c r="BW150" s="4875"/>
      <c r="BX150" s="4875"/>
      <c r="BY150" s="1655"/>
      <c r="BZ150" s="4857" t="s">
        <v>1015</v>
      </c>
      <c r="CA150" s="4858"/>
      <c r="CB150" s="4858"/>
      <c r="CC150" s="4858"/>
      <c r="CD150" s="4858"/>
      <c r="CE150" s="4858"/>
      <c r="CF150" s="4858"/>
      <c r="CG150" s="4858"/>
      <c r="CH150" s="4858"/>
      <c r="CI150" s="4858"/>
      <c r="CJ150" s="4858"/>
      <c r="CK150" s="4858"/>
      <c r="CL150" s="4858"/>
      <c r="CM150" s="4858"/>
      <c r="CN150" s="4858"/>
      <c r="CO150" s="4858"/>
      <c r="CP150" s="4858"/>
      <c r="CQ150" s="4858"/>
      <c r="CR150" s="4858"/>
      <c r="CS150" s="4858"/>
      <c r="CT150" s="4858"/>
      <c r="CU150" s="4858"/>
      <c r="CV150" s="4858"/>
      <c r="CW150" s="4858"/>
      <c r="CX150" s="4858"/>
      <c r="CY150" s="4858"/>
      <c r="CZ150" s="4858"/>
      <c r="DA150" s="4858"/>
      <c r="DB150" s="4858"/>
      <c r="DC150" s="4858"/>
      <c r="DD150" s="1655"/>
      <c r="DE150" s="1658"/>
      <c r="DF150" s="1658"/>
      <c r="DG150" s="1658"/>
      <c r="DH150" s="1658"/>
      <c r="DI150" s="1658"/>
      <c r="DJ150" s="1658"/>
      <c r="DK150" s="1659" t="s">
        <v>1038</v>
      </c>
      <c r="DL150" s="1658"/>
      <c r="DM150" s="1658"/>
      <c r="DN150" s="1658"/>
      <c r="DO150" s="1658"/>
      <c r="DP150" s="1658"/>
      <c r="DQ150" s="1658"/>
      <c r="DR150" s="1660"/>
      <c r="DS150" s="1655"/>
      <c r="DT150" s="4876" t="s">
        <v>693</v>
      </c>
      <c r="DU150" s="4876"/>
      <c r="DV150" s="4876"/>
      <c r="DW150" s="4877"/>
      <c r="DX150" s="4876"/>
      <c r="DY150" s="4876"/>
      <c r="DZ150" s="159"/>
      <c r="EA150" s="159"/>
      <c r="EB150" s="159"/>
      <c r="EC150" s="159"/>
      <c r="ED150" s="159"/>
      <c r="EE150" s="159"/>
      <c r="EF150" s="159"/>
      <c r="EG150" s="159"/>
      <c r="EH150" s="159"/>
      <c r="EI150" s="159"/>
      <c r="EJ150" s="159"/>
      <c r="EK150" s="159"/>
      <c r="EL150" s="159"/>
      <c r="EM150" s="159"/>
      <c r="EN150" s="159"/>
      <c r="EO150" s="159"/>
      <c r="EP150" s="159"/>
    </row>
    <row r="151" spans="1:146" s="159" customFormat="1" ht="22.5" hidden="1" customHeight="1" outlineLevel="3">
      <c r="A151" s="4938" t="s">
        <v>725</v>
      </c>
      <c r="B151" s="4938"/>
      <c r="C151" s="1661"/>
      <c r="D151" s="1785">
        <v>950</v>
      </c>
      <c r="E151" s="1786"/>
      <c r="F151" s="1786"/>
      <c r="G151" s="1786"/>
      <c r="H151" s="1786"/>
      <c r="I151" s="1786"/>
      <c r="J151" s="1786"/>
      <c r="K151" s="1786"/>
      <c r="L151" s="1787"/>
      <c r="M151" s="4878" t="s">
        <v>1023</v>
      </c>
      <c r="N151" s="4879"/>
      <c r="O151" s="4879"/>
      <c r="P151" s="4880"/>
      <c r="Q151" s="1662"/>
      <c r="R151" s="1788" t="s">
        <v>1026</v>
      </c>
      <c r="S151" s="1789"/>
      <c r="T151" s="1789"/>
      <c r="U151" s="1789"/>
      <c r="V151" s="1789"/>
      <c r="W151" s="1789"/>
      <c r="X151" s="1789"/>
      <c r="Y151" s="1789"/>
      <c r="Z151" s="1789"/>
      <c r="AA151" s="1789"/>
      <c r="AB151" s="1789"/>
      <c r="AC151" s="1789"/>
      <c r="AD151" s="1789"/>
      <c r="AE151" s="1789"/>
      <c r="AF151" s="1790"/>
      <c r="AG151" s="1666" t="s">
        <v>1027</v>
      </c>
      <c r="AH151" s="1667"/>
      <c r="AI151" s="1667"/>
      <c r="AJ151" s="1667"/>
      <c r="AK151" s="1667"/>
      <c r="AL151" s="1668"/>
      <c r="AM151" s="1669" t="s">
        <v>1028</v>
      </c>
      <c r="AN151" s="1670"/>
      <c r="AO151" s="1662"/>
      <c r="AP151" s="1788"/>
      <c r="AQ151" s="1788"/>
      <c r="AR151" s="4854" t="s">
        <v>2235</v>
      </c>
      <c r="AS151" s="4855"/>
      <c r="AT151" s="4855"/>
      <c r="AU151" s="4856"/>
      <c r="AV151" s="2601"/>
      <c r="AW151" s="4881" t="s">
        <v>1048</v>
      </c>
      <c r="AX151" s="4883" t="s">
        <v>1049</v>
      </c>
      <c r="AY151" s="4884"/>
      <c r="AZ151" s="4884"/>
      <c r="BA151" s="4884"/>
      <c r="BB151" s="4885"/>
      <c r="BC151" s="4867"/>
      <c r="BD151" s="4867"/>
      <c r="BE151" s="4985"/>
      <c r="BF151" s="4867"/>
      <c r="BG151" s="1662"/>
      <c r="BH151" s="4889" t="s">
        <v>709</v>
      </c>
      <c r="BI151" s="4890"/>
      <c r="BJ151" s="4891"/>
      <c r="BK151" s="4889" t="s">
        <v>1022</v>
      </c>
      <c r="BL151" s="4890"/>
      <c r="BM151" s="4891"/>
      <c r="BN151" s="4881" t="s">
        <v>1030</v>
      </c>
      <c r="BO151" s="4881" t="s">
        <v>743</v>
      </c>
      <c r="BP151" s="4881" t="s">
        <v>1029</v>
      </c>
      <c r="BQ151" s="1662"/>
      <c r="BR151" s="4895" t="s">
        <v>1052</v>
      </c>
      <c r="BS151" s="4896"/>
      <c r="BT151" s="4897"/>
      <c r="BU151" s="4901" t="s">
        <v>1053</v>
      </c>
      <c r="BV151" s="4902"/>
      <c r="BW151" s="4903"/>
      <c r="BX151" s="4907" t="s">
        <v>1054</v>
      </c>
      <c r="BY151" s="1662"/>
      <c r="BZ151" s="4909" t="s">
        <v>1020</v>
      </c>
      <c r="CA151" s="4910"/>
      <c r="CB151" s="4910"/>
      <c r="CC151" s="4910"/>
      <c r="CD151" s="4910"/>
      <c r="CE151" s="4910"/>
      <c r="CF151" s="4910"/>
      <c r="CG151" s="4910"/>
      <c r="CH151" s="4910"/>
      <c r="CI151" s="4910"/>
      <c r="CJ151" s="4910"/>
      <c r="CK151" s="4910"/>
      <c r="CL151" s="4910"/>
      <c r="CM151" s="4910"/>
      <c r="CN151" s="4911"/>
      <c r="CO151" s="4912" t="s">
        <v>1021</v>
      </c>
      <c r="CP151" s="4913"/>
      <c r="CQ151" s="4913"/>
      <c r="CR151" s="4913"/>
      <c r="CS151" s="4913"/>
      <c r="CT151" s="4913"/>
      <c r="CU151" s="4913"/>
      <c r="CV151" s="4913"/>
      <c r="CW151" s="4913"/>
      <c r="CX151" s="4913"/>
      <c r="CY151" s="4913"/>
      <c r="CZ151" s="4913"/>
      <c r="DA151" s="4913"/>
      <c r="DB151" s="4913"/>
      <c r="DC151" s="4913"/>
      <c r="DD151" s="1662"/>
      <c r="DE151" s="4850" t="s">
        <v>710</v>
      </c>
      <c r="DF151" s="4850"/>
      <c r="DG151" s="4850" t="s">
        <v>711</v>
      </c>
      <c r="DH151" s="4850"/>
      <c r="DI151" s="4850" t="s">
        <v>712</v>
      </c>
      <c r="DJ151" s="4850"/>
      <c r="DK151" s="4850" t="s">
        <v>713</v>
      </c>
      <c r="DL151" s="4850"/>
      <c r="DM151" s="4850" t="s">
        <v>714</v>
      </c>
      <c r="DN151" s="4850"/>
      <c r="DO151" s="4850"/>
      <c r="DP151" s="4850" t="s">
        <v>715</v>
      </c>
      <c r="DQ151" s="4850" t="s">
        <v>716</v>
      </c>
      <c r="DR151" s="4850" t="s">
        <v>717</v>
      </c>
      <c r="DS151" s="1662"/>
      <c r="DT151" s="4851" t="s">
        <v>1037</v>
      </c>
      <c r="DU151" s="4851"/>
      <c r="DV151" s="4851"/>
      <c r="DW151" s="2948"/>
      <c r="DX151" s="4851" t="s">
        <v>996</v>
      </c>
      <c r="DY151" s="4851"/>
      <c r="DZ151" s="1671"/>
      <c r="EA151" s="1671"/>
      <c r="EB151" s="1671"/>
      <c r="EC151" s="1671"/>
      <c r="ED151" s="1671"/>
      <c r="EE151" s="1671"/>
      <c r="EF151" s="1671"/>
      <c r="EG151" s="1671"/>
      <c r="EH151" s="1671"/>
      <c r="EI151" s="1671"/>
      <c r="EJ151" s="1671"/>
      <c r="EK151" s="1671"/>
      <c r="EL151" s="1671"/>
      <c r="EM151" s="1671"/>
      <c r="EN151" s="1671"/>
      <c r="EO151" s="1671"/>
      <c r="EP151" s="1671"/>
    </row>
    <row r="152" spans="1:146" s="1671" customFormat="1" ht="12.75" hidden="1" customHeight="1" outlineLevel="3">
      <c r="A152" s="4938"/>
      <c r="B152" s="4938"/>
      <c r="C152" s="1654"/>
      <c r="D152" s="1672">
        <v>1000</v>
      </c>
      <c r="E152" s="1672" t="s">
        <v>971</v>
      </c>
      <c r="F152" s="1672" t="s">
        <v>970</v>
      </c>
      <c r="G152" s="1673" t="s">
        <v>18</v>
      </c>
      <c r="H152" s="1673" t="s">
        <v>380</v>
      </c>
      <c r="I152" s="1674" t="s">
        <v>705</v>
      </c>
      <c r="J152" s="2595" t="s">
        <v>1006</v>
      </c>
      <c r="K152" s="1676" t="s">
        <v>1459</v>
      </c>
      <c r="L152" s="753" t="s">
        <v>1008</v>
      </c>
      <c r="M152" s="4916" t="s">
        <v>1024</v>
      </c>
      <c r="N152" s="4917"/>
      <c r="O152" s="4918"/>
      <c r="P152" s="753" t="s">
        <v>1025</v>
      </c>
      <c r="Q152" s="1655"/>
      <c r="R152" s="1672" t="s">
        <v>2191</v>
      </c>
      <c r="S152" s="1672" t="s">
        <v>1010</v>
      </c>
      <c r="T152" s="1657" t="s">
        <v>1013</v>
      </c>
      <c r="U152" s="1656"/>
      <c r="V152" s="1656"/>
      <c r="W152" s="1677"/>
      <c r="X152" s="2634"/>
      <c r="Y152" s="2634"/>
      <c r="Z152" s="2634"/>
      <c r="AA152" s="2634"/>
      <c r="AB152" s="1678" t="s">
        <v>92</v>
      </c>
      <c r="AC152" s="1678" t="s">
        <v>93</v>
      </c>
      <c r="AD152" s="1678"/>
      <c r="AE152" s="2594"/>
      <c r="AF152" s="1678" t="s">
        <v>257</v>
      </c>
      <c r="AG152" s="1680" t="s">
        <v>18</v>
      </c>
      <c r="AH152" s="2682"/>
      <c r="AI152" s="2682"/>
      <c r="AJ152" s="1680" t="s">
        <v>380</v>
      </c>
      <c r="AK152" s="754" t="s">
        <v>705</v>
      </c>
      <c r="AL152" s="754" t="s">
        <v>706</v>
      </c>
      <c r="AM152" s="1681" t="s">
        <v>1011</v>
      </c>
      <c r="AN152" s="1681" t="s">
        <v>1012</v>
      </c>
      <c r="AO152" s="1655"/>
      <c r="AP152" s="1672" t="s">
        <v>2191</v>
      </c>
      <c r="AQ152" s="1672" t="s">
        <v>2191</v>
      </c>
      <c r="AR152" s="4854" t="s">
        <v>2236</v>
      </c>
      <c r="AS152" s="4855"/>
      <c r="AT152" s="4856"/>
      <c r="AU152" s="2168" t="s">
        <v>2237</v>
      </c>
      <c r="AV152" s="2694"/>
      <c r="AW152" s="4882"/>
      <c r="AX152" s="4886"/>
      <c r="AY152" s="4887"/>
      <c r="AZ152" s="4887"/>
      <c r="BA152" s="4887"/>
      <c r="BB152" s="4888"/>
      <c r="BC152" s="4867"/>
      <c r="BD152" s="4867"/>
      <c r="BE152" s="4908"/>
      <c r="BF152" s="4867"/>
      <c r="BG152" s="1655"/>
      <c r="BH152" s="4892"/>
      <c r="BI152" s="4893"/>
      <c r="BJ152" s="4894"/>
      <c r="BK152" s="4892"/>
      <c r="BL152" s="4893"/>
      <c r="BM152" s="4894"/>
      <c r="BN152" s="4882"/>
      <c r="BO152" s="4882"/>
      <c r="BP152" s="4882"/>
      <c r="BQ152" s="1655"/>
      <c r="BR152" s="4898"/>
      <c r="BS152" s="4899"/>
      <c r="BT152" s="4900"/>
      <c r="BU152" s="4904"/>
      <c r="BV152" s="4905"/>
      <c r="BW152" s="4906"/>
      <c r="BX152" s="4908"/>
      <c r="BY152" s="1655"/>
      <c r="BZ152" s="4857" t="s">
        <v>447</v>
      </c>
      <c r="CA152" s="4858"/>
      <c r="CB152" s="4858"/>
      <c r="CC152" s="4859"/>
      <c r="CD152" s="4860" t="s">
        <v>448</v>
      </c>
      <c r="CE152" s="4861"/>
      <c r="CF152" s="4861"/>
      <c r="CG152" s="4862"/>
      <c r="CH152" s="4857" t="s">
        <v>445</v>
      </c>
      <c r="CI152" s="4858"/>
      <c r="CJ152" s="4859"/>
      <c r="CK152" s="4860" t="s">
        <v>446</v>
      </c>
      <c r="CL152" s="4861"/>
      <c r="CM152" s="4862"/>
      <c r="CN152" s="1682" t="s">
        <v>1068</v>
      </c>
      <c r="CO152" s="4863" t="s">
        <v>452</v>
      </c>
      <c r="CP152" s="4864"/>
      <c r="CQ152" s="4864"/>
      <c r="CR152" s="4865"/>
      <c r="CS152" s="4863" t="s">
        <v>453</v>
      </c>
      <c r="CT152" s="4864"/>
      <c r="CU152" s="4864"/>
      <c r="CV152" s="4865"/>
      <c r="CW152" s="4852" t="s">
        <v>889</v>
      </c>
      <c r="CX152" s="4853"/>
      <c r="CY152" s="4853"/>
      <c r="CZ152" s="4852" t="s">
        <v>890</v>
      </c>
      <c r="DA152" s="4853"/>
      <c r="DB152" s="4853"/>
      <c r="DC152" s="1683" t="s">
        <v>454</v>
      </c>
      <c r="DD152" s="1655"/>
      <c r="DE152" s="4850"/>
      <c r="DF152" s="4850"/>
      <c r="DG152" s="4850"/>
      <c r="DH152" s="4850"/>
      <c r="DI152" s="4850"/>
      <c r="DJ152" s="4850"/>
      <c r="DK152" s="1684" t="s">
        <v>189</v>
      </c>
      <c r="DL152" s="1684" t="s">
        <v>190</v>
      </c>
      <c r="DM152" s="1685" t="s">
        <v>187</v>
      </c>
      <c r="DN152" s="1685" t="s">
        <v>719</v>
      </c>
      <c r="DO152" s="1686" t="s">
        <v>720</v>
      </c>
      <c r="DP152" s="4850"/>
      <c r="DQ152" s="4850"/>
      <c r="DR152" s="4850"/>
      <c r="DS152" s="1655"/>
      <c r="DT152" s="1687" t="s">
        <v>1032</v>
      </c>
      <c r="DU152" s="1687" t="s">
        <v>2199</v>
      </c>
      <c r="DV152" s="1687" t="s">
        <v>1034</v>
      </c>
      <c r="DW152" s="2949"/>
      <c r="DX152" s="1687" t="s">
        <v>986</v>
      </c>
      <c r="DY152" s="1687" t="s">
        <v>987</v>
      </c>
      <c r="DZ152" s="761"/>
      <c r="EA152" s="761"/>
      <c r="EB152" s="761">
        <v>1.1499999999999999</v>
      </c>
      <c r="EC152" s="761"/>
      <c r="ED152" s="761"/>
      <c r="EE152" s="761"/>
      <c r="EF152" s="761">
        <v>1.1000000000000001</v>
      </c>
      <c r="EG152" s="761"/>
      <c r="EH152" s="761">
        <v>1.1000000000000001</v>
      </c>
      <c r="EI152" s="761"/>
      <c r="EJ152" s="761">
        <v>1.1000000000000001</v>
      </c>
      <c r="EK152" s="761"/>
      <c r="EL152" s="761"/>
      <c r="EM152" s="761"/>
      <c r="EN152" s="761"/>
      <c r="EO152" s="761"/>
      <c r="EP152" s="761"/>
    </row>
    <row r="153" spans="1:146" s="761" customFormat="1" ht="48" hidden="1" outlineLevel="3">
      <c r="A153" s="4929" t="s">
        <v>1017</v>
      </c>
      <c r="B153" s="4929"/>
      <c r="C153" s="1688"/>
      <c r="D153" s="1689">
        <v>1050</v>
      </c>
      <c r="E153" s="1689" t="s">
        <v>1041</v>
      </c>
      <c r="F153" s="1689" t="s">
        <v>1042</v>
      </c>
      <c r="G153" s="1690" t="s">
        <v>1043</v>
      </c>
      <c r="H153" s="1690" t="s">
        <v>1044</v>
      </c>
      <c r="I153" s="1691" t="s">
        <v>1045</v>
      </c>
      <c r="J153" s="1692" t="s">
        <v>1041</v>
      </c>
      <c r="K153" s="1693" t="s">
        <v>1046</v>
      </c>
      <c r="L153" s="1693" t="s">
        <v>440</v>
      </c>
      <c r="M153" s="1693"/>
      <c r="N153" s="1693"/>
      <c r="O153" s="1693"/>
      <c r="P153" s="1693"/>
      <c r="Q153" s="1694"/>
      <c r="R153" s="1689"/>
      <c r="S153" s="1689" t="s">
        <v>974</v>
      </c>
      <c r="T153" s="1695" t="s">
        <v>972</v>
      </c>
      <c r="U153" s="1695" t="s">
        <v>973</v>
      </c>
      <c r="V153" s="1695" t="s">
        <v>974</v>
      </c>
      <c r="W153" s="1695" t="s">
        <v>975</v>
      </c>
      <c r="X153" s="2635"/>
      <c r="Y153" s="2635"/>
      <c r="Z153" s="2635"/>
      <c r="AA153" s="2635"/>
      <c r="AB153" s="1695" t="s">
        <v>976</v>
      </c>
      <c r="AC153" s="1695" t="s">
        <v>977</v>
      </c>
      <c r="AD153" s="1695"/>
      <c r="AE153" s="1695"/>
      <c r="AF153" s="1695" t="s">
        <v>978</v>
      </c>
      <c r="AG153" s="1690" t="s">
        <v>973</v>
      </c>
      <c r="AH153" s="2683"/>
      <c r="AI153" s="2683"/>
      <c r="AJ153" s="1690" t="s">
        <v>973</v>
      </c>
      <c r="AK153" s="1696" t="s">
        <v>977</v>
      </c>
      <c r="AL153" s="1696" t="s">
        <v>980</v>
      </c>
      <c r="AM153" s="1697" t="s">
        <v>974</v>
      </c>
      <c r="AN153" s="1698" t="s">
        <v>972</v>
      </c>
      <c r="AO153" s="1694"/>
      <c r="AP153" s="1788">
        <v>100</v>
      </c>
      <c r="AQ153" s="1788">
        <v>200</v>
      </c>
      <c r="AR153" s="1693" t="s">
        <v>2233</v>
      </c>
      <c r="AS153" s="1693" t="s">
        <v>2234</v>
      </c>
      <c r="AT153" s="1693" t="s">
        <v>981</v>
      </c>
      <c r="AU153" s="1693" t="s">
        <v>981</v>
      </c>
      <c r="AV153" s="2695"/>
      <c r="AW153" s="1696" t="s">
        <v>194</v>
      </c>
      <c r="AX153" s="1699">
        <v>75</v>
      </c>
      <c r="AY153" s="1699">
        <v>100</v>
      </c>
      <c r="AZ153" s="1699">
        <v>120</v>
      </c>
      <c r="BA153" s="1699">
        <v>150</v>
      </c>
      <c r="BB153" s="1699">
        <v>200</v>
      </c>
      <c r="BC153" s="1700" t="s">
        <v>1051</v>
      </c>
      <c r="BD153" s="1701" t="s">
        <v>982</v>
      </c>
      <c r="BE153" s="1702"/>
      <c r="BF153" s="1703" t="s">
        <v>983</v>
      </c>
      <c r="BG153" s="1694"/>
      <c r="BH153" s="1696">
        <v>75</v>
      </c>
      <c r="BI153" s="1696">
        <v>90</v>
      </c>
      <c r="BJ153" s="1696">
        <v>110</v>
      </c>
      <c r="BK153" s="1696">
        <v>75</v>
      </c>
      <c r="BL153" s="1696">
        <v>90</v>
      </c>
      <c r="BM153" s="1696">
        <v>110</v>
      </c>
      <c r="BN153" s="1696" t="s">
        <v>979</v>
      </c>
      <c r="BO153" s="1696" t="s">
        <v>978</v>
      </c>
      <c r="BP153" s="1696" t="s">
        <v>978</v>
      </c>
      <c r="BQ153" s="1694"/>
      <c r="BR153" s="1704" t="s">
        <v>383</v>
      </c>
      <c r="BS153" s="1704" t="s">
        <v>381</v>
      </c>
      <c r="BT153" s="1704" t="s">
        <v>384</v>
      </c>
      <c r="BU153" s="1704" t="s">
        <v>385</v>
      </c>
      <c r="BV153" s="1704" t="s">
        <v>386</v>
      </c>
      <c r="BW153" s="1704" t="s">
        <v>387</v>
      </c>
      <c r="BX153" s="1704" t="s">
        <v>388</v>
      </c>
      <c r="BY153" s="1694"/>
      <c r="BZ153" s="1705" t="s">
        <v>1039</v>
      </c>
      <c r="CA153" s="1705" t="s">
        <v>467</v>
      </c>
      <c r="CB153" s="1705" t="s">
        <v>466</v>
      </c>
      <c r="CC153" s="1705" t="s">
        <v>470</v>
      </c>
      <c r="CD153" s="1705" t="s">
        <v>468</v>
      </c>
      <c r="CE153" s="1705" t="s">
        <v>467</v>
      </c>
      <c r="CF153" s="1705" t="s">
        <v>466</v>
      </c>
      <c r="CG153" s="1705" t="s">
        <v>470</v>
      </c>
      <c r="CH153" s="1705" t="s">
        <v>468</v>
      </c>
      <c r="CI153" s="1705" t="s">
        <v>467</v>
      </c>
      <c r="CJ153" s="1705" t="s">
        <v>466</v>
      </c>
      <c r="CK153" s="1705" t="s">
        <v>468</v>
      </c>
      <c r="CL153" s="1705" t="s">
        <v>467</v>
      </c>
      <c r="CM153" s="1705" t="s">
        <v>466</v>
      </c>
      <c r="CN153" s="1706" t="s">
        <v>469</v>
      </c>
      <c r="CO153" s="1699" t="s">
        <v>476</v>
      </c>
      <c r="CP153" s="1699" t="s">
        <v>477</v>
      </c>
      <c r="CQ153" s="1699" t="s">
        <v>478</v>
      </c>
      <c r="CR153" s="1699" t="s">
        <v>479</v>
      </c>
      <c r="CS153" s="1699" t="s">
        <v>476</v>
      </c>
      <c r="CT153" s="1699" t="s">
        <v>477</v>
      </c>
      <c r="CU153" s="1699" t="s">
        <v>478</v>
      </c>
      <c r="CV153" s="1699" t="s">
        <v>480</v>
      </c>
      <c r="CW153" s="1699" t="s">
        <v>472</v>
      </c>
      <c r="CX153" s="1699" t="s">
        <v>473</v>
      </c>
      <c r="CY153" s="1699" t="s">
        <v>474</v>
      </c>
      <c r="CZ153" s="1699" t="s">
        <v>472</v>
      </c>
      <c r="DA153" s="1699" t="s">
        <v>473</v>
      </c>
      <c r="DB153" s="1699" t="s">
        <v>474</v>
      </c>
      <c r="DC153" s="1699" t="s">
        <v>475</v>
      </c>
      <c r="DD153" s="1694"/>
      <c r="DE153" s="1707" t="s">
        <v>119</v>
      </c>
      <c r="DF153" s="1707" t="s">
        <v>120</v>
      </c>
      <c r="DG153" s="1707" t="s">
        <v>119</v>
      </c>
      <c r="DH153" s="1707" t="s">
        <v>120</v>
      </c>
      <c r="DI153" s="1707" t="s">
        <v>119</v>
      </c>
      <c r="DJ153" s="1707" t="s">
        <v>120</v>
      </c>
      <c r="DK153" s="1707" t="s">
        <v>121</v>
      </c>
      <c r="DL153" s="1707" t="s">
        <v>122</v>
      </c>
      <c r="DM153" s="1708" t="s">
        <v>1035</v>
      </c>
      <c r="DN153" s="1708" t="s">
        <v>1036</v>
      </c>
      <c r="DO153" s="1708" t="s">
        <v>1035</v>
      </c>
      <c r="DP153" s="1707" t="s">
        <v>124</v>
      </c>
      <c r="DQ153" s="1707" t="s">
        <v>125</v>
      </c>
      <c r="DR153" s="1707" t="s">
        <v>126</v>
      </c>
      <c r="DS153" s="1694"/>
      <c r="DT153" s="1702" t="s">
        <v>985</v>
      </c>
      <c r="DU153" s="1702" t="s">
        <v>985</v>
      </c>
      <c r="DV153" s="1709" t="s">
        <v>984</v>
      </c>
      <c r="DW153" s="2953"/>
      <c r="DX153" s="1702" t="s">
        <v>985</v>
      </c>
      <c r="DY153" s="1702" t="s">
        <v>985</v>
      </c>
      <c r="DZ153" s="1710"/>
      <c r="EA153" s="4844" t="s">
        <v>1071</v>
      </c>
      <c r="EB153" s="4844"/>
      <c r="EC153" s="2958"/>
      <c r="ED153" s="2958"/>
      <c r="EE153" s="4845" t="s">
        <v>1072</v>
      </c>
      <c r="EF153" s="4845"/>
      <c r="EG153" s="4845" t="s">
        <v>1073</v>
      </c>
      <c r="EH153" s="4845"/>
      <c r="EI153" s="4845" t="s">
        <v>1075</v>
      </c>
      <c r="EJ153" s="4845"/>
      <c r="EK153" s="1710"/>
      <c r="EL153" s="1710"/>
      <c r="EM153" s="1710"/>
      <c r="EN153" s="1710"/>
      <c r="EO153" s="1710"/>
      <c r="EP153" s="1710"/>
    </row>
    <row r="154" spans="1:146" s="1710" customFormat="1" ht="24" hidden="1" customHeight="1" outlineLevel="3">
      <c r="A154" s="4998" t="s">
        <v>1018</v>
      </c>
      <c r="B154" s="4999"/>
      <c r="C154" s="1760"/>
      <c r="D154" s="1761">
        <v>950</v>
      </c>
      <c r="E154" s="1761" t="s">
        <v>988</v>
      </c>
      <c r="F154" s="1762">
        <v>1.75</v>
      </c>
      <c r="G154" s="1762">
        <v>1</v>
      </c>
      <c r="H154" s="1762">
        <v>1.1000000000000001</v>
      </c>
      <c r="I154" s="1762" t="s">
        <v>1461</v>
      </c>
      <c r="J154" s="1763" t="s">
        <v>1055</v>
      </c>
      <c r="K154" s="1762">
        <v>2</v>
      </c>
      <c r="L154" s="1762">
        <v>1.75</v>
      </c>
      <c r="M154" s="1764" t="s">
        <v>2209</v>
      </c>
      <c r="N154" s="1764" t="s">
        <v>2210</v>
      </c>
      <c r="O154" s="1761" t="s">
        <v>988</v>
      </c>
      <c r="P154" s="1762">
        <v>1.1000000000000001</v>
      </c>
      <c r="Q154" s="1765"/>
      <c r="R154" s="1766"/>
      <c r="S154" s="1766" t="s">
        <v>1059</v>
      </c>
      <c r="T154" s="1762">
        <v>0.7</v>
      </c>
      <c r="U154" s="1762">
        <v>1.1000000000000001</v>
      </c>
      <c r="V154" s="1766" t="s">
        <v>1058</v>
      </c>
      <c r="W154" s="1762">
        <v>1.1000000000000001</v>
      </c>
      <c r="X154" s="1762"/>
      <c r="Y154" s="1762"/>
      <c r="Z154" s="1762"/>
      <c r="AA154" s="1762"/>
      <c r="AB154" s="1762">
        <v>1.2</v>
      </c>
      <c r="AC154" s="1762">
        <v>1.2</v>
      </c>
      <c r="AD154" s="1762"/>
      <c r="AE154" s="1762"/>
      <c r="AF154" s="1762">
        <v>1.25</v>
      </c>
      <c r="AG154" s="1766" t="s">
        <v>1058</v>
      </c>
      <c r="AH154" s="2684"/>
      <c r="AI154" s="2684"/>
      <c r="AJ154" s="1762">
        <v>1</v>
      </c>
      <c r="AK154" s="1766" t="s">
        <v>1060</v>
      </c>
      <c r="AL154" s="1766" t="s">
        <v>1061</v>
      </c>
      <c r="AM154" s="1766" t="s">
        <v>1063</v>
      </c>
      <c r="AN154" s="1766" t="s">
        <v>1062</v>
      </c>
      <c r="AO154" s="1765"/>
      <c r="AP154" s="1766">
        <v>1.25</v>
      </c>
      <c r="AQ154" s="1766"/>
      <c r="AR154" s="1762">
        <v>1</v>
      </c>
      <c r="AS154" s="1762">
        <v>1.75</v>
      </c>
      <c r="AT154" s="1762"/>
      <c r="AU154" s="1762"/>
      <c r="AV154" s="1762"/>
      <c r="AW154" s="1762">
        <v>1.3</v>
      </c>
      <c r="AX154" s="1766" t="s">
        <v>1064</v>
      </c>
      <c r="AY154" s="1767"/>
      <c r="AZ154" s="1767"/>
      <c r="BA154" s="1766" t="s">
        <v>1065</v>
      </c>
      <c r="BB154" s="1767"/>
      <c r="BC154" s="1762">
        <v>7.4999999999999997E-2</v>
      </c>
      <c r="BD154" s="1762">
        <v>0.65</v>
      </c>
      <c r="BE154" s="1766" t="s">
        <v>1066</v>
      </c>
      <c r="BF154" s="1766" t="s">
        <v>1067</v>
      </c>
      <c r="BG154" s="1765"/>
      <c r="BH154" s="1762">
        <v>0.85</v>
      </c>
      <c r="BI154" s="1762">
        <v>0.85</v>
      </c>
      <c r="BJ154" s="1762">
        <v>0.85</v>
      </c>
      <c r="BK154" s="1762">
        <v>1.05</v>
      </c>
      <c r="BL154" s="1762">
        <v>1.05</v>
      </c>
      <c r="BM154" s="1762">
        <v>1.05</v>
      </c>
      <c r="BN154" s="1766">
        <v>0.9</v>
      </c>
      <c r="BO154" s="1766">
        <v>0.9</v>
      </c>
      <c r="BP154" s="1766">
        <v>0.9</v>
      </c>
      <c r="BQ154" s="1765"/>
      <c r="BR154" s="1833" t="s">
        <v>2195</v>
      </c>
      <c r="BS154" s="1762">
        <v>1.05</v>
      </c>
      <c r="BT154" s="1762">
        <v>1.05</v>
      </c>
      <c r="BU154" s="1768"/>
      <c r="BV154" s="1762">
        <v>1.05</v>
      </c>
      <c r="BW154" s="1762">
        <v>1.05</v>
      </c>
      <c r="BX154" s="1762">
        <v>2.2999999999999998</v>
      </c>
      <c r="BY154" s="1765"/>
      <c r="BZ154" s="1764"/>
      <c r="CA154" s="1769">
        <v>1.05</v>
      </c>
      <c r="CB154" s="1769">
        <v>1.05</v>
      </c>
      <c r="CC154" s="1769">
        <v>1.05</v>
      </c>
      <c r="CD154" s="1770">
        <v>1.05</v>
      </c>
      <c r="CE154" s="1766"/>
      <c r="CF154" s="1766"/>
      <c r="CG154" s="1766"/>
      <c r="CH154" s="1770">
        <v>1.1000000000000001</v>
      </c>
      <c r="CI154" s="1764"/>
      <c r="CJ154" s="1764"/>
      <c r="CK154" s="1770">
        <v>1.1000000000000001</v>
      </c>
      <c r="CL154" s="1764"/>
      <c r="CM154" s="1764"/>
      <c r="CN154" s="1770">
        <v>1.1499999999999999</v>
      </c>
      <c r="CO154" s="1770">
        <v>1.45</v>
      </c>
      <c r="CP154" s="4847" t="s">
        <v>1069</v>
      </c>
      <c r="CQ154" s="4848"/>
      <c r="CR154" s="4848"/>
      <c r="CS154" s="4848"/>
      <c r="CT154" s="4848"/>
      <c r="CU154" s="4848"/>
      <c r="CV154" s="4848"/>
      <c r="CW154" s="4848"/>
      <c r="CX154" s="4848"/>
      <c r="CY154" s="4848"/>
      <c r="CZ154" s="4848"/>
      <c r="DA154" s="4848"/>
      <c r="DB154" s="4848"/>
      <c r="DC154" s="4849"/>
      <c r="DD154" s="1765"/>
      <c r="DE154" s="1766">
        <v>1.1499999999999999</v>
      </c>
      <c r="DF154" s="1766">
        <v>1.1499999999999999</v>
      </c>
      <c r="DG154" s="1766">
        <v>1.1000000000000001</v>
      </c>
      <c r="DH154" s="1766">
        <v>1.2</v>
      </c>
      <c r="DI154" s="1766">
        <v>1.05</v>
      </c>
      <c r="DJ154" s="1766">
        <v>1.1499999999999999</v>
      </c>
      <c r="DK154" s="1764">
        <v>2.1</v>
      </c>
      <c r="DL154" s="1766">
        <v>1.05</v>
      </c>
      <c r="DM154" s="1766">
        <v>1.45</v>
      </c>
      <c r="DN154" s="1766" t="s">
        <v>1070</v>
      </c>
      <c r="DO154" s="1766" t="s">
        <v>1070</v>
      </c>
      <c r="DP154" s="1766">
        <v>1.05</v>
      </c>
      <c r="DQ154" s="1766">
        <v>1.2</v>
      </c>
      <c r="DR154" s="1766" t="s">
        <v>1062</v>
      </c>
      <c r="DS154" s="1765"/>
      <c r="DT154" s="1762">
        <v>0.8</v>
      </c>
      <c r="DU154" s="1762" t="s">
        <v>1152</v>
      </c>
      <c r="DV154" s="1764"/>
      <c r="DW154" s="2951"/>
      <c r="DX154" s="1762">
        <f>DT154</f>
        <v>0.8</v>
      </c>
      <c r="DY154" s="1762">
        <f>DT154</f>
        <v>0.8</v>
      </c>
      <c r="DZ154" s="1771"/>
      <c r="EA154" s="1772" t="s">
        <v>735</v>
      </c>
      <c r="EB154" s="1773" t="s">
        <v>1074</v>
      </c>
      <c r="EC154" s="2959"/>
      <c r="ED154" s="2959"/>
      <c r="EE154" s="1772" t="s">
        <v>735</v>
      </c>
      <c r="EF154" s="1773" t="s">
        <v>1074</v>
      </c>
      <c r="EG154" s="1772" t="s">
        <v>735</v>
      </c>
      <c r="EH154" s="1773" t="s">
        <v>1074</v>
      </c>
      <c r="EI154" s="1772" t="s">
        <v>735</v>
      </c>
      <c r="EJ154" s="1773" t="s">
        <v>1074</v>
      </c>
      <c r="EK154" s="1771"/>
      <c r="EL154" s="1771"/>
      <c r="EM154" s="1771"/>
      <c r="EN154" s="1771"/>
      <c r="EO154" s="1771"/>
      <c r="EP154" s="1771"/>
    </row>
    <row r="155" spans="1:146" s="761" customFormat="1" hidden="1" outlineLevel="3">
      <c r="A155" s="5104" t="s">
        <v>910</v>
      </c>
      <c r="B155" s="1720" t="s">
        <v>1609</v>
      </c>
      <c r="C155" s="1745">
        <v>0.3</v>
      </c>
      <c r="D155" s="763">
        <v>1000</v>
      </c>
      <c r="E155" s="763"/>
      <c r="F155" s="764"/>
      <c r="G155" s="765"/>
      <c r="H155" s="766"/>
      <c r="I155" s="781"/>
      <c r="J155" s="1175"/>
      <c r="K155" s="751"/>
      <c r="L155" s="751"/>
      <c r="M155" s="753">
        <v>11900</v>
      </c>
      <c r="N155" s="753">
        <f>M155</f>
        <v>11900</v>
      </c>
      <c r="O155" s="763">
        <v>15500</v>
      </c>
      <c r="P155" s="767">
        <v>16900</v>
      </c>
      <c r="Q155" s="762"/>
      <c r="R155" s="764"/>
      <c r="S155" s="764">
        <f>S226*(1+$C$193)</f>
        <v>2328.75</v>
      </c>
      <c r="T155" s="1144">
        <f>T226*(1+$C$193)</f>
        <v>2080.35</v>
      </c>
      <c r="U155" s="769">
        <f>U226*(1+$C$193)</f>
        <v>2328.75</v>
      </c>
      <c r="V155" s="769">
        <f>V226*(1+$C$193)</f>
        <v>2328.75</v>
      </c>
      <c r="W155" s="769">
        <f>W226*(1+$C$193)</f>
        <v>2561.625</v>
      </c>
      <c r="X155" s="1807"/>
      <c r="Y155" s="1807"/>
      <c r="Z155" s="1807"/>
      <c r="AA155" s="1807"/>
      <c r="AB155" s="769">
        <f t="shared" ref="AB155:AN155" si="91">AB226*(1+$C$193)</f>
        <v>3725.9999999999995</v>
      </c>
      <c r="AC155" s="769">
        <f t="shared" si="91"/>
        <v>0</v>
      </c>
      <c r="AD155" s="764"/>
      <c r="AE155" s="770"/>
      <c r="AF155" s="764">
        <f t="shared" si="91"/>
        <v>0</v>
      </c>
      <c r="AG155" s="765">
        <f t="shared" si="91"/>
        <v>2328.75</v>
      </c>
      <c r="AH155" s="2665"/>
      <c r="AI155" s="2665"/>
      <c r="AJ155" s="766">
        <f t="shared" si="91"/>
        <v>2484</v>
      </c>
      <c r="AK155" s="754">
        <f t="shared" si="91"/>
        <v>0</v>
      </c>
      <c r="AL155" s="754">
        <f t="shared" si="91"/>
        <v>0</v>
      </c>
      <c r="AM155" s="757">
        <f t="shared" si="91"/>
        <v>2328.75</v>
      </c>
      <c r="AN155" s="757">
        <f t="shared" si="91"/>
        <v>2080.35</v>
      </c>
      <c r="AO155" s="762"/>
      <c r="AP155" s="764"/>
      <c r="AQ155" s="764"/>
      <c r="AR155" s="769">
        <f t="shared" ref="AR155:BF155" si="92">AR226*(1+$C$193)</f>
        <v>2018.25</v>
      </c>
      <c r="AS155" s="769">
        <f t="shared" si="92"/>
        <v>3570.7499999999995</v>
      </c>
      <c r="AT155" s="769">
        <f t="shared" si="92"/>
        <v>271.6875</v>
      </c>
      <c r="AU155" s="769">
        <f t="shared" si="92"/>
        <v>271.6875</v>
      </c>
      <c r="AV155" s="2664"/>
      <c r="AW155" s="754">
        <f t="shared" si="92"/>
        <v>0</v>
      </c>
      <c r="AX155" s="757">
        <f t="shared" si="92"/>
        <v>2018.25</v>
      </c>
      <c r="AY155" s="757">
        <f t="shared" si="92"/>
        <v>2701.35</v>
      </c>
      <c r="AZ155" s="757">
        <f t="shared" si="92"/>
        <v>3229.2</v>
      </c>
      <c r="BA155" s="757">
        <f t="shared" si="92"/>
        <v>3570.7499999999995</v>
      </c>
      <c r="BB155" s="757">
        <f t="shared" si="92"/>
        <v>4579.875</v>
      </c>
      <c r="BC155" s="769">
        <f>BC226*(1+$C$193)</f>
        <v>75.684374999999989</v>
      </c>
      <c r="BD155" s="769">
        <f t="shared" si="92"/>
        <v>1474.8749999999998</v>
      </c>
      <c r="BE155" s="759">
        <f t="shared" si="92"/>
        <v>1474.8749999999998</v>
      </c>
      <c r="BF155" s="767">
        <f t="shared" si="92"/>
        <v>3570.7499999999995</v>
      </c>
      <c r="BG155" s="762"/>
      <c r="BH155" s="771">
        <f t="shared" ref="BH155:BP155" si="93">BH226*(1+$C$193)</f>
        <v>1862.9999999999998</v>
      </c>
      <c r="BI155" s="771">
        <f t="shared" si="93"/>
        <v>2095.875</v>
      </c>
      <c r="BJ155" s="771">
        <f t="shared" si="93"/>
        <v>2095.875</v>
      </c>
      <c r="BK155" s="771">
        <f t="shared" si="93"/>
        <v>2018.25</v>
      </c>
      <c r="BL155" s="771">
        <f t="shared" si="93"/>
        <v>2251.125</v>
      </c>
      <c r="BM155" s="771">
        <f t="shared" si="93"/>
        <v>2251.125</v>
      </c>
      <c r="BN155" s="754">
        <f t="shared" si="93"/>
        <v>0</v>
      </c>
      <c r="BO155" s="754">
        <f t="shared" si="93"/>
        <v>0</v>
      </c>
      <c r="BP155" s="754">
        <f t="shared" si="93"/>
        <v>0</v>
      </c>
      <c r="BQ155" s="762"/>
      <c r="BR155" s="763">
        <f>BR226*(1+$C$193)</f>
        <v>3881.2499999999995</v>
      </c>
      <c r="BS155" s="773">
        <f t="shared" ref="BS155:BX155" si="94">BS226*(1+$C$193)</f>
        <v>4114.125</v>
      </c>
      <c r="BT155" s="773">
        <f t="shared" si="94"/>
        <v>4347</v>
      </c>
      <c r="BU155" s="760">
        <f t="shared" si="94"/>
        <v>776.24999999999989</v>
      </c>
      <c r="BV155" s="760">
        <f t="shared" si="94"/>
        <v>853.87499999999989</v>
      </c>
      <c r="BW155" s="760">
        <f t="shared" si="94"/>
        <v>931.49999999999989</v>
      </c>
      <c r="BX155" s="760">
        <f t="shared" si="94"/>
        <v>10013.625</v>
      </c>
      <c r="BY155" s="762"/>
      <c r="BZ155" s="774">
        <f>BZ226*(1+$C$193)</f>
        <v>1242</v>
      </c>
      <c r="CA155" s="755">
        <f t="shared" ref="CA155:DC155" si="95">CA226*(1+$C$193)</f>
        <v>1319.625</v>
      </c>
      <c r="CB155" s="755">
        <f t="shared" si="95"/>
        <v>1397.25</v>
      </c>
      <c r="CC155" s="755">
        <f t="shared" si="95"/>
        <v>1474.8749999999998</v>
      </c>
      <c r="CD155" s="806">
        <f t="shared" si="95"/>
        <v>1319.625</v>
      </c>
      <c r="CE155" s="755">
        <f t="shared" si="95"/>
        <v>1397.25</v>
      </c>
      <c r="CF155" s="755">
        <f t="shared" si="95"/>
        <v>1474.8749999999998</v>
      </c>
      <c r="CG155" s="755">
        <f t="shared" si="95"/>
        <v>1552.4999999999998</v>
      </c>
      <c r="CH155" s="809">
        <f t="shared" si="95"/>
        <v>1397.25</v>
      </c>
      <c r="CI155" s="756">
        <f t="shared" si="95"/>
        <v>1474.8749999999998</v>
      </c>
      <c r="CJ155" s="756">
        <f t="shared" si="95"/>
        <v>1552.4999999999998</v>
      </c>
      <c r="CK155" s="806">
        <f t="shared" si="95"/>
        <v>1397.25</v>
      </c>
      <c r="CL155" s="755">
        <f t="shared" si="95"/>
        <v>1474.8749999999998</v>
      </c>
      <c r="CM155" s="755">
        <f t="shared" si="95"/>
        <v>1552.4999999999998</v>
      </c>
      <c r="CN155" s="756">
        <f t="shared" si="95"/>
        <v>0</v>
      </c>
      <c r="CO155" s="757">
        <f t="shared" si="95"/>
        <v>1696.2499999999998</v>
      </c>
      <c r="CP155" s="757">
        <f t="shared" si="95"/>
        <v>1831.9499999999998</v>
      </c>
      <c r="CQ155" s="757">
        <f t="shared" si="95"/>
        <v>1899.8</v>
      </c>
      <c r="CR155" s="757">
        <f t="shared" si="95"/>
        <v>1967.6499999999999</v>
      </c>
      <c r="CS155" s="757">
        <f t="shared" si="95"/>
        <v>1831.9499999999998</v>
      </c>
      <c r="CT155" s="757">
        <f t="shared" si="95"/>
        <v>1899.8</v>
      </c>
      <c r="CU155" s="757">
        <f t="shared" si="95"/>
        <v>1967.6499999999999</v>
      </c>
      <c r="CV155" s="757">
        <f t="shared" si="95"/>
        <v>2103.35</v>
      </c>
      <c r="CW155" s="757">
        <f t="shared" si="95"/>
        <v>2173.5</v>
      </c>
      <c r="CX155" s="757">
        <f t="shared" si="95"/>
        <v>2251.125</v>
      </c>
      <c r="CY155" s="757">
        <f t="shared" si="95"/>
        <v>2406.375</v>
      </c>
      <c r="CZ155" s="757">
        <f t="shared" si="95"/>
        <v>2173.5</v>
      </c>
      <c r="DA155" s="757">
        <f t="shared" si="95"/>
        <v>2251.125</v>
      </c>
      <c r="DB155" s="757">
        <f t="shared" si="95"/>
        <v>2406.375</v>
      </c>
      <c r="DC155" s="757">
        <f t="shared" si="95"/>
        <v>0</v>
      </c>
      <c r="DD155" s="762"/>
      <c r="DE155" s="752">
        <f>DE226*(1+$C$193)</f>
        <v>7259.95</v>
      </c>
      <c r="DF155" s="752">
        <f t="shared" ref="DF155:DR155" si="96">DF226*(1+$C$193)</f>
        <v>8413.4</v>
      </c>
      <c r="DG155" s="752">
        <f t="shared" si="96"/>
        <v>8006.2999999999993</v>
      </c>
      <c r="DH155" s="752">
        <f t="shared" si="96"/>
        <v>9634.6999999999989</v>
      </c>
      <c r="DI155" s="752">
        <f t="shared" si="96"/>
        <v>7667.0499999999993</v>
      </c>
      <c r="DJ155" s="752">
        <f t="shared" si="96"/>
        <v>8820.5</v>
      </c>
      <c r="DK155" s="775">
        <f t="shared" si="96"/>
        <v>6310.0499999999993</v>
      </c>
      <c r="DL155" s="752">
        <f t="shared" si="96"/>
        <v>6649.2999999999993</v>
      </c>
      <c r="DM155" s="752">
        <f t="shared" si="96"/>
        <v>11670.199999999999</v>
      </c>
      <c r="DN155" s="752">
        <f t="shared" si="96"/>
        <v>11670.199999999999</v>
      </c>
      <c r="DO155" s="752">
        <f t="shared" si="96"/>
        <v>11670.199999999999</v>
      </c>
      <c r="DP155" s="752">
        <f t="shared" si="96"/>
        <v>3596.0499999999997</v>
      </c>
      <c r="DQ155" s="752">
        <f t="shared" si="96"/>
        <v>4138.8499999999995</v>
      </c>
      <c r="DR155" s="752">
        <f t="shared" si="96"/>
        <v>1886.2299999999996</v>
      </c>
      <c r="DS155" s="776"/>
      <c r="DT155" s="759">
        <f>DT226*(1+$C$193)</f>
        <v>14112.8</v>
      </c>
      <c r="DU155" s="760">
        <f>DU226*(1+$C$193)</f>
        <v>19269.399999999998</v>
      </c>
      <c r="DV155" s="760">
        <f>DV226*(1+$C$193)</f>
        <v>4817.3499999999995</v>
      </c>
      <c r="DW155" s="2952"/>
      <c r="DX155" s="760">
        <f>DX226*(1+$C$193)</f>
        <v>0</v>
      </c>
      <c r="DY155" s="760">
        <f>DY226*(1+$C$193)</f>
        <v>24018.899999999998</v>
      </c>
      <c r="EA155" s="811"/>
      <c r="EB155" s="812"/>
      <c r="EC155" s="2960"/>
      <c r="ED155" s="2960"/>
      <c r="EE155" s="811"/>
      <c r="EF155" s="812"/>
      <c r="EG155" s="811"/>
      <c r="EH155" s="812"/>
      <c r="EI155" s="811"/>
      <c r="EJ155" s="812"/>
    </row>
    <row r="156" spans="1:146" s="761" customFormat="1" hidden="1" outlineLevel="3">
      <c r="A156" s="5023"/>
      <c r="B156" s="1720" t="s">
        <v>439</v>
      </c>
      <c r="C156" s="1745">
        <v>0.3</v>
      </c>
      <c r="D156" s="1797">
        <v>1050</v>
      </c>
      <c r="E156" s="1797"/>
      <c r="F156" s="1798"/>
      <c r="G156" s="1799"/>
      <c r="H156" s="1800"/>
      <c r="I156" s="1801"/>
      <c r="J156" s="1802"/>
      <c r="K156" s="1803"/>
      <c r="L156" s="1803"/>
      <c r="M156" s="753">
        <v>15550</v>
      </c>
      <c r="N156" s="1804">
        <f>M156</f>
        <v>15550</v>
      </c>
      <c r="O156" s="1804"/>
      <c r="P156" s="767">
        <f>M156</f>
        <v>15550</v>
      </c>
      <c r="Q156" s="1782"/>
      <c r="R156" s="1798"/>
      <c r="S156" s="1798"/>
      <c r="T156" s="1806"/>
      <c r="U156" s="1807"/>
      <c r="V156" s="1807"/>
      <c r="W156" s="1807"/>
      <c r="X156" s="1807"/>
      <c r="Y156" s="1807"/>
      <c r="Z156" s="1807"/>
      <c r="AA156" s="1807"/>
      <c r="AB156" s="1807"/>
      <c r="AC156" s="1807"/>
      <c r="AD156" s="1798"/>
      <c r="AE156" s="1798"/>
      <c r="AF156" s="1798"/>
      <c r="AG156" s="1799"/>
      <c r="AH156" s="2665"/>
      <c r="AI156" s="2665"/>
      <c r="AJ156" s="1800"/>
      <c r="AK156" s="1808"/>
      <c r="AL156" s="1808"/>
      <c r="AM156" s="1809"/>
      <c r="AN156" s="1809"/>
      <c r="AO156" s="1782"/>
      <c r="AP156" s="1798"/>
      <c r="AQ156" s="1798"/>
      <c r="AR156" s="1807"/>
      <c r="AS156" s="1807"/>
      <c r="AT156" s="1807"/>
      <c r="AU156" s="1807"/>
      <c r="AV156" s="2664"/>
      <c r="AW156" s="1808"/>
      <c r="AX156" s="1809"/>
      <c r="AY156" s="1809"/>
      <c r="AZ156" s="1809"/>
      <c r="BA156" s="1809"/>
      <c r="BB156" s="1809"/>
      <c r="BC156" s="1807"/>
      <c r="BD156" s="1807"/>
      <c r="BE156" s="1810"/>
      <c r="BF156" s="1805"/>
      <c r="BG156" s="1782"/>
      <c r="BH156" s="1811"/>
      <c r="BI156" s="1811"/>
      <c r="BJ156" s="1811"/>
      <c r="BK156" s="1811"/>
      <c r="BL156" s="1811"/>
      <c r="BM156" s="1811"/>
      <c r="BN156" s="1808"/>
      <c r="BO156" s="1808"/>
      <c r="BP156" s="1808"/>
      <c r="BQ156" s="1782"/>
      <c r="BR156" s="1797"/>
      <c r="BS156" s="1812"/>
      <c r="BT156" s="1812"/>
      <c r="BU156" s="1813"/>
      <c r="BV156" s="1813"/>
      <c r="BW156" s="1813"/>
      <c r="BX156" s="1813"/>
      <c r="BY156" s="1782"/>
      <c r="BZ156" s="1814"/>
      <c r="CA156" s="1815"/>
      <c r="CB156" s="1815"/>
      <c r="CC156" s="1815"/>
      <c r="CD156" s="1816"/>
      <c r="CE156" s="1815"/>
      <c r="CF156" s="1815"/>
      <c r="CG156" s="1815"/>
      <c r="CH156" s="1817"/>
      <c r="CI156" s="1818"/>
      <c r="CJ156" s="1818"/>
      <c r="CK156" s="1816"/>
      <c r="CL156" s="1815"/>
      <c r="CM156" s="1815"/>
      <c r="CN156" s="1818"/>
      <c r="CO156" s="1809"/>
      <c r="CP156" s="1809"/>
      <c r="CQ156" s="1809"/>
      <c r="CR156" s="1809"/>
      <c r="CS156" s="1809"/>
      <c r="CT156" s="1809"/>
      <c r="CU156" s="1809"/>
      <c r="CV156" s="1809"/>
      <c r="CW156" s="1809"/>
      <c r="CX156" s="1809"/>
      <c r="CY156" s="1809"/>
      <c r="CZ156" s="1809"/>
      <c r="DA156" s="1809"/>
      <c r="DB156" s="1809"/>
      <c r="DC156" s="1809"/>
      <c r="DD156" s="1782"/>
      <c r="DE156" s="1819"/>
      <c r="DF156" s="1819"/>
      <c r="DG156" s="1819"/>
      <c r="DH156" s="1819"/>
      <c r="DI156" s="1819"/>
      <c r="DJ156" s="1819"/>
      <c r="DK156" s="1820"/>
      <c r="DL156" s="1819"/>
      <c r="DM156" s="1819"/>
      <c r="DN156" s="1819"/>
      <c r="DO156" s="1819"/>
      <c r="DP156" s="1819"/>
      <c r="DQ156" s="1819"/>
      <c r="DR156" s="1819"/>
      <c r="DS156" s="1821"/>
      <c r="DT156" s="1810"/>
      <c r="DU156" s="1813"/>
      <c r="DV156" s="1813"/>
      <c r="DW156" s="2952"/>
      <c r="DX156" s="1813"/>
      <c r="DY156" s="1813"/>
      <c r="EA156" s="1758"/>
      <c r="EB156" s="1822"/>
      <c r="EC156" s="2960"/>
      <c r="ED156" s="2960"/>
      <c r="EE156" s="1758"/>
      <c r="EF156" s="1822"/>
      <c r="EG156" s="1758"/>
      <c r="EH156" s="1822"/>
      <c r="EI156" s="1758"/>
      <c r="EJ156" s="1822"/>
      <c r="EN156" s="761">
        <f t="shared" ref="EN156:EN161" si="97">E156*1.05</f>
        <v>0</v>
      </c>
    </row>
    <row r="157" spans="1:146" s="761" customFormat="1" ht="15.75" hidden="1" outlineLevel="3">
      <c r="A157" s="1719" t="s">
        <v>206</v>
      </c>
      <c r="B157" s="1720" t="s">
        <v>391</v>
      </c>
      <c r="C157" s="1721"/>
      <c r="D157" s="763">
        <v>1100</v>
      </c>
      <c r="E157" s="763">
        <v>1300</v>
      </c>
      <c r="F157" s="764"/>
      <c r="G157" s="765">
        <v>1300</v>
      </c>
      <c r="H157" s="766"/>
      <c r="I157" s="781"/>
      <c r="J157" s="1174">
        <v>1300</v>
      </c>
      <c r="K157" s="751">
        <v>2500</v>
      </c>
      <c r="L157" s="751">
        <v>2700</v>
      </c>
      <c r="M157" s="753"/>
      <c r="N157" s="753"/>
      <c r="O157" s="753"/>
      <c r="P157" s="767"/>
      <c r="Q157" s="762"/>
      <c r="R157" s="764"/>
      <c r="S157" s="764"/>
      <c r="T157" s="763">
        <v>700</v>
      </c>
      <c r="U157" s="769">
        <v>800</v>
      </c>
      <c r="V157" s="769">
        <v>800</v>
      </c>
      <c r="W157" s="769">
        <v>900</v>
      </c>
      <c r="X157" s="1807"/>
      <c r="Y157" s="1807"/>
      <c r="Z157" s="1807"/>
      <c r="AA157" s="1807"/>
      <c r="AB157" s="769"/>
      <c r="AC157" s="769">
        <v>1100</v>
      </c>
      <c r="AD157" s="764"/>
      <c r="AE157" s="770"/>
      <c r="AF157" s="764"/>
      <c r="AG157" s="765">
        <v>800</v>
      </c>
      <c r="AH157" s="2665"/>
      <c r="AI157" s="2665"/>
      <c r="AJ157" s="766"/>
      <c r="AK157" s="754"/>
      <c r="AL157" s="754"/>
      <c r="AM157" s="757"/>
      <c r="AN157" s="757">
        <v>700</v>
      </c>
      <c r="AO157" s="762"/>
      <c r="AP157" s="764"/>
      <c r="AQ157" s="764"/>
      <c r="AR157" s="769">
        <v>700</v>
      </c>
      <c r="AS157" s="769">
        <v>1250</v>
      </c>
      <c r="AT157" s="769">
        <v>95</v>
      </c>
      <c r="AU157" s="769">
        <v>120</v>
      </c>
      <c r="AV157" s="2664"/>
      <c r="AW157" s="754"/>
      <c r="AX157" s="757">
        <v>700</v>
      </c>
      <c r="AY157" s="757">
        <v>950</v>
      </c>
      <c r="AZ157" s="757">
        <v>1150</v>
      </c>
      <c r="BA157" s="757">
        <v>1250</v>
      </c>
      <c r="BB157" s="757">
        <v>1600</v>
      </c>
      <c r="BC157" s="769">
        <v>55</v>
      </c>
      <c r="BD157" s="769">
        <v>500</v>
      </c>
      <c r="BE157" s="759">
        <v>500</v>
      </c>
      <c r="BF157" s="767">
        <v>1250</v>
      </c>
      <c r="BG157" s="762"/>
      <c r="BH157" s="771">
        <v>650</v>
      </c>
      <c r="BI157" s="771">
        <v>700</v>
      </c>
      <c r="BJ157" s="771">
        <v>700</v>
      </c>
      <c r="BK157" s="771">
        <v>650</v>
      </c>
      <c r="BL157" s="771">
        <v>750</v>
      </c>
      <c r="BM157" s="771">
        <v>750</v>
      </c>
      <c r="BN157" s="754"/>
      <c r="BO157" s="754"/>
      <c r="BP157" s="754"/>
      <c r="BQ157" s="762"/>
      <c r="BR157" s="1158">
        <v>1250</v>
      </c>
      <c r="BS157" s="773">
        <v>1300</v>
      </c>
      <c r="BT157" s="773">
        <v>1400</v>
      </c>
      <c r="BU157" s="760"/>
      <c r="BV157" s="760"/>
      <c r="BW157" s="760"/>
      <c r="BX157" s="760"/>
      <c r="BY157" s="762"/>
      <c r="BZ157" s="1158">
        <v>500</v>
      </c>
      <c r="CA157" s="755">
        <v>550</v>
      </c>
      <c r="CB157" s="755">
        <v>600</v>
      </c>
      <c r="CC157" s="755">
        <v>650</v>
      </c>
      <c r="CD157" s="806">
        <v>550</v>
      </c>
      <c r="CE157" s="755">
        <v>600</v>
      </c>
      <c r="CF157" s="755">
        <v>650</v>
      </c>
      <c r="CG157" s="755">
        <v>650</v>
      </c>
      <c r="CH157" s="809"/>
      <c r="CI157" s="756"/>
      <c r="CJ157" s="756"/>
      <c r="CK157" s="806">
        <v>600</v>
      </c>
      <c r="CL157" s="755">
        <v>650</v>
      </c>
      <c r="CM157" s="755">
        <v>650</v>
      </c>
      <c r="CN157" s="756"/>
      <c r="CO157" s="757">
        <v>750</v>
      </c>
      <c r="CP157" s="757">
        <v>800</v>
      </c>
      <c r="CQ157" s="757">
        <v>900</v>
      </c>
      <c r="CR157" s="757">
        <v>900</v>
      </c>
      <c r="CS157" s="757">
        <v>800</v>
      </c>
      <c r="CT157" s="757">
        <v>900</v>
      </c>
      <c r="CU157" s="757">
        <v>900</v>
      </c>
      <c r="CV157" s="757">
        <v>1000</v>
      </c>
      <c r="CW157" s="757"/>
      <c r="CX157" s="757"/>
      <c r="CY157" s="757"/>
      <c r="CZ157" s="757">
        <v>900</v>
      </c>
      <c r="DA157" s="757">
        <v>900</v>
      </c>
      <c r="DB157" s="757">
        <v>1000</v>
      </c>
      <c r="DC157" s="757"/>
      <c r="DD157" s="762"/>
      <c r="DE157" s="752">
        <v>3000</v>
      </c>
      <c r="DF157" s="752">
        <v>3450</v>
      </c>
      <c r="DG157" s="752">
        <v>3300</v>
      </c>
      <c r="DH157" s="752">
        <v>4000</v>
      </c>
      <c r="DI157" s="752"/>
      <c r="DJ157" s="752"/>
      <c r="DK157" s="1158">
        <v>2600</v>
      </c>
      <c r="DL157" s="752">
        <v>2750</v>
      </c>
      <c r="DM157" s="752"/>
      <c r="DN157" s="752"/>
      <c r="DO157" s="752"/>
      <c r="DP157" s="752">
        <v>1150</v>
      </c>
      <c r="DQ157" s="752">
        <v>1400</v>
      </c>
      <c r="DR157" s="752">
        <v>700</v>
      </c>
      <c r="DS157" s="776"/>
      <c r="DT157" s="1970">
        <v>6100</v>
      </c>
      <c r="DU157" s="760"/>
      <c r="DV157" s="760"/>
      <c r="DW157" s="2952"/>
      <c r="DX157" s="760"/>
      <c r="DY157" s="760"/>
      <c r="EA157" s="811" t="e">
        <f>'Полотна база'!#REF!</f>
        <v>#REF!</v>
      </c>
      <c r="EB157" s="812" t="e">
        <f>(EA157/1.6)*$EB$26</f>
        <v>#REF!</v>
      </c>
      <c r="EC157" s="2960"/>
      <c r="ED157" s="2960"/>
      <c r="EE157" s="811"/>
      <c r="EF157" s="812"/>
      <c r="EG157" s="811"/>
      <c r="EH157" s="812"/>
      <c r="EI157" s="811"/>
      <c r="EJ157" s="812"/>
      <c r="EN157" s="761">
        <f t="shared" si="97"/>
        <v>1365</v>
      </c>
    </row>
    <row r="158" spans="1:146" s="761" customFormat="1" hidden="1" outlineLevel="3">
      <c r="A158" s="5021" t="s">
        <v>1019</v>
      </c>
      <c r="B158" s="1720" t="s">
        <v>703</v>
      </c>
      <c r="C158" s="1721">
        <f>E158/E161</f>
        <v>0.95652173913043481</v>
      </c>
      <c r="D158" s="763">
        <v>1000</v>
      </c>
      <c r="E158" s="763">
        <v>2200</v>
      </c>
      <c r="F158" s="769" t="e">
        <f>CEILING(E158*$F$28, 50)</f>
        <v>#VALUE!</v>
      </c>
      <c r="G158" s="765">
        <f>CEILING(E158*$G$28, 50)</f>
        <v>2200</v>
      </c>
      <c r="H158" s="765">
        <f>CEILING(G158*$H$28, 50)</f>
        <v>2450</v>
      </c>
      <c r="I158" s="782"/>
      <c r="J158" s="1174">
        <f>E158</f>
        <v>2200</v>
      </c>
      <c r="K158" s="751">
        <f>CEILING(E158*$K$28, 50)</f>
        <v>4500</v>
      </c>
      <c r="L158" s="751">
        <f>CEILING(E158*$L$28*1.2, 50)</f>
        <v>4250</v>
      </c>
      <c r="M158" s="753"/>
      <c r="N158" s="753"/>
      <c r="O158" s="753"/>
      <c r="P158" s="753"/>
      <c r="Q158" s="762"/>
      <c r="R158" s="769"/>
      <c r="S158" s="769">
        <f>V158</f>
        <v>1400</v>
      </c>
      <c r="T158" s="763">
        <f>CEILING(E158*0.55, 50)</f>
        <v>1250</v>
      </c>
      <c r="U158" s="769">
        <f>CEILING(T158*$U$28, 50)</f>
        <v>1400</v>
      </c>
      <c r="V158" s="769">
        <f>U158</f>
        <v>1400</v>
      </c>
      <c r="W158" s="769">
        <f>CEILING(U158*$W$28, 50)</f>
        <v>1550</v>
      </c>
      <c r="X158" s="1807"/>
      <c r="Y158" s="1807"/>
      <c r="Z158" s="1807"/>
      <c r="AA158" s="1807"/>
      <c r="AB158" s="769">
        <f>CEILING(W158*$AB$28, 50)</f>
        <v>1900</v>
      </c>
      <c r="AC158" s="770"/>
      <c r="AD158" s="770"/>
      <c r="AE158" s="770"/>
      <c r="AF158" s="770"/>
      <c r="AG158" s="765">
        <f>T158</f>
        <v>1250</v>
      </c>
      <c r="AH158" s="2665"/>
      <c r="AI158" s="2665"/>
      <c r="AJ158" s="765">
        <f>CEILING(AG158*$AJ$28, 50)</f>
        <v>1250</v>
      </c>
      <c r="AK158" s="754"/>
      <c r="AL158" s="754"/>
      <c r="AM158" s="757">
        <f t="shared" ref="AM158:AN161" si="98">S158</f>
        <v>1400</v>
      </c>
      <c r="AN158" s="757">
        <f t="shared" si="98"/>
        <v>1250</v>
      </c>
      <c r="AO158" s="762"/>
      <c r="AP158" s="769"/>
      <c r="AQ158" s="769"/>
      <c r="AR158" s="769">
        <v>1250</v>
      </c>
      <c r="AS158" s="769">
        <v>2200</v>
      </c>
      <c r="AT158" s="769">
        <v>170</v>
      </c>
      <c r="AU158" s="769">
        <f>CEILING(AT158*1.25, 5)</f>
        <v>215</v>
      </c>
      <c r="AV158" s="2664"/>
      <c r="AW158" s="754"/>
      <c r="AX158" s="757">
        <f>AR158</f>
        <v>1250</v>
      </c>
      <c r="AY158" s="757">
        <f>CEILING(AX158/75*100, 10)</f>
        <v>1670</v>
      </c>
      <c r="AZ158" s="757">
        <f>CEILING(AX158/75*120, 10)</f>
        <v>2000</v>
      </c>
      <c r="BA158" s="757">
        <f>AS158</f>
        <v>2200</v>
      </c>
      <c r="BB158" s="757">
        <f>CEILING(AX158/75*200*0.85, 10)</f>
        <v>2840</v>
      </c>
      <c r="BC158" s="769">
        <f>BC157</f>
        <v>55</v>
      </c>
      <c r="BD158" s="769">
        <f>CEILING(T158*$BD$28, 50)</f>
        <v>850</v>
      </c>
      <c r="BE158" s="759">
        <f>BD158</f>
        <v>850</v>
      </c>
      <c r="BF158" s="767">
        <f>AS158</f>
        <v>2200</v>
      </c>
      <c r="BG158" s="762"/>
      <c r="BH158" s="771">
        <f>CEILING(T158*$BH$28, 50)</f>
        <v>1100</v>
      </c>
      <c r="BI158" s="771">
        <f>CEILING(U158*$BI$28, 50)</f>
        <v>1500</v>
      </c>
      <c r="BJ158" s="771">
        <f>CEILING(V158*$BJ$28, 50)</f>
        <v>1650</v>
      </c>
      <c r="BK158" s="771">
        <f>CEILING(BH158*$BK$28, 50)</f>
        <v>1200</v>
      </c>
      <c r="BL158" s="771">
        <f>CEILING(BI158*$BL$28, 50)</f>
        <v>1600</v>
      </c>
      <c r="BM158" s="771">
        <f>CEILING(BJ158*$BM$28, 50)</f>
        <v>1750</v>
      </c>
      <c r="BN158" s="754"/>
      <c r="BO158" s="754"/>
      <c r="BP158" s="754"/>
      <c r="BQ158" s="762"/>
      <c r="BR158" s="1158">
        <f>E158</f>
        <v>2200</v>
      </c>
      <c r="BS158" s="773">
        <f>CEILING(BR158*$BS$28, 50)</f>
        <v>2750</v>
      </c>
      <c r="BT158" s="773">
        <f>CEILING(BS158*$BT$28, 50)</f>
        <v>3450</v>
      </c>
      <c r="BU158" s="773">
        <f>CEILING(AU158*2.8, 50)</f>
        <v>650</v>
      </c>
      <c r="BV158" s="777">
        <f>CEILING(BU158*$BV$28, 50)</f>
        <v>250</v>
      </c>
      <c r="BW158" s="777">
        <f>CEILING(BV158*$BW$28, 50)</f>
        <v>100</v>
      </c>
      <c r="BX158" s="777">
        <f>CEILING(BT158*$BX$28, 50)</f>
        <v>6250</v>
      </c>
      <c r="BY158" s="762"/>
      <c r="BZ158" s="1158">
        <f>CEILING(BZ212*(1+$C$28), 50)</f>
        <v>50</v>
      </c>
      <c r="CA158" s="755">
        <f>CEILING(BZ158*$CA$28, 50)</f>
        <v>100</v>
      </c>
      <c r="CB158" s="755">
        <f>CEILING(CA158*$CB$28, 50)</f>
        <v>150</v>
      </c>
      <c r="CC158" s="755">
        <f>CEILING(CB158*$CC$28, 50)</f>
        <v>200</v>
      </c>
      <c r="CD158" s="806">
        <f>CEILING(BZ158*$CD$28, 50)</f>
        <v>100</v>
      </c>
      <c r="CE158" s="755">
        <f>CEILING(CD158*$CA$28, 50)</f>
        <v>150</v>
      </c>
      <c r="CF158" s="755">
        <f>CEILING(CE158*$CB$28, 50)</f>
        <v>200</v>
      </c>
      <c r="CG158" s="755">
        <f>CEILING(CF158*$CC$28, 50)</f>
        <v>250</v>
      </c>
      <c r="CH158" s="806">
        <f>CEILING(BZ158*$CH$28, 50)</f>
        <v>100</v>
      </c>
      <c r="CI158" s="755">
        <f>CEILING(CH158*$CA$28, 50)</f>
        <v>150</v>
      </c>
      <c r="CJ158" s="755">
        <f>CEILING(CI158*$CB$28, 50)</f>
        <v>200</v>
      </c>
      <c r="CK158" s="806">
        <f>CEILING(BZ158*$CK$28, 50)</f>
        <v>100</v>
      </c>
      <c r="CL158" s="755">
        <f>CEILING(CK158*$CA$28, 50)</f>
        <v>150</v>
      </c>
      <c r="CM158" s="755">
        <f>CEILING(CL158*$CB$28, 50)</f>
        <v>200</v>
      </c>
      <c r="CN158" s="756"/>
      <c r="CO158" s="757">
        <f t="shared" ref="CO158:DB161" si="99">CEILING(BZ158*$CO$28, 50)</f>
        <v>100</v>
      </c>
      <c r="CP158" s="757">
        <f t="shared" si="99"/>
        <v>150</v>
      </c>
      <c r="CQ158" s="757">
        <f t="shared" si="99"/>
        <v>250</v>
      </c>
      <c r="CR158" s="757">
        <f t="shared" si="99"/>
        <v>300</v>
      </c>
      <c r="CS158" s="757">
        <f t="shared" si="99"/>
        <v>150</v>
      </c>
      <c r="CT158" s="757">
        <f t="shared" si="99"/>
        <v>250</v>
      </c>
      <c r="CU158" s="757">
        <f t="shared" si="99"/>
        <v>300</v>
      </c>
      <c r="CV158" s="757">
        <f t="shared" si="99"/>
        <v>350</v>
      </c>
      <c r="CW158" s="757">
        <f t="shared" si="99"/>
        <v>150</v>
      </c>
      <c r="CX158" s="757">
        <f t="shared" si="99"/>
        <v>250</v>
      </c>
      <c r="CY158" s="757">
        <f t="shared" si="99"/>
        <v>300</v>
      </c>
      <c r="CZ158" s="757">
        <f t="shared" si="99"/>
        <v>150</v>
      </c>
      <c r="DA158" s="757">
        <f t="shared" si="99"/>
        <v>250</v>
      </c>
      <c r="DB158" s="757">
        <f t="shared" si="99"/>
        <v>300</v>
      </c>
      <c r="DC158" s="758"/>
      <c r="DD158" s="762"/>
      <c r="DE158" s="752">
        <f>CEILING(DK158*$DE$28, 50)</f>
        <v>4000</v>
      </c>
      <c r="DF158" s="752">
        <f>CEILING(DE158*$DF$28, 50)</f>
        <v>4800</v>
      </c>
      <c r="DG158" s="752">
        <f>CEILING(DE158*$DG$28, 50)</f>
        <v>5000</v>
      </c>
      <c r="DH158" s="752">
        <f>CEILING(DG158*$DH$28, 50)</f>
        <v>6000</v>
      </c>
      <c r="DI158" s="752">
        <f>CEILING(DE158*$DI$28, 50)</f>
        <v>5200</v>
      </c>
      <c r="DJ158" s="752">
        <f>CEILING(DI158*$DJ$28, 50)</f>
        <v>6250</v>
      </c>
      <c r="DK158" s="1158">
        <f>CEILING(E158*$DK$28, 50)</f>
        <v>2750</v>
      </c>
      <c r="DL158" s="752">
        <f>CEILING(DK158*$DL$28, 50)</f>
        <v>2750</v>
      </c>
      <c r="DM158" s="752">
        <f>CEILING(DG158*$DM$28, 50)</f>
        <v>11000</v>
      </c>
      <c r="DN158" s="752">
        <f>DM158</f>
        <v>11000</v>
      </c>
      <c r="DO158" s="752">
        <f>DM158</f>
        <v>11000</v>
      </c>
      <c r="DP158" s="752">
        <f>CEILING(AB158*$DP$28, 50)</f>
        <v>1900</v>
      </c>
      <c r="DQ158" s="752">
        <f>CEILING(DP158*$DQ$28, 50)</f>
        <v>2300</v>
      </c>
      <c r="DR158" s="752">
        <f>T158</f>
        <v>1250</v>
      </c>
      <c r="DS158" s="776"/>
      <c r="DT158" s="1970">
        <v>8500</v>
      </c>
      <c r="DU158" s="759"/>
      <c r="DV158" s="759"/>
      <c r="DW158" s="2670"/>
      <c r="DX158" s="1970"/>
      <c r="DY158" s="1970" t="e">
        <f>CEILING(EJ158*$DY$28, 100)</f>
        <v>#REF!</v>
      </c>
      <c r="EA158" s="811" t="e">
        <f>'Полотна база'!#REF!</f>
        <v>#REF!</v>
      </c>
      <c r="EB158" s="812" t="e">
        <f>(EA158/1.6)*$EB$26</f>
        <v>#REF!</v>
      </c>
      <c r="EC158" s="2960"/>
      <c r="ED158" s="2960"/>
      <c r="EE158" s="811"/>
      <c r="EF158" s="812"/>
      <c r="EG158" s="811"/>
      <c r="EH158" s="812"/>
      <c r="EI158" s="811" t="e">
        <f>'Полотна база'!#REF!</f>
        <v>#REF!</v>
      </c>
      <c r="EJ158" s="812" t="e">
        <f>(EI158/1.6)*$EJ$26</f>
        <v>#REF!</v>
      </c>
      <c r="EN158" s="761">
        <f t="shared" si="97"/>
        <v>2310</v>
      </c>
    </row>
    <row r="159" spans="1:146" s="790" customFormat="1" hidden="1" outlineLevel="3">
      <c r="A159" s="5022"/>
      <c r="B159" s="1722" t="s">
        <v>718</v>
      </c>
      <c r="C159" s="1721">
        <f>E159/E158</f>
        <v>1.0454545454545454</v>
      </c>
      <c r="D159" s="763">
        <v>1050</v>
      </c>
      <c r="E159" s="763">
        <v>2300</v>
      </c>
      <c r="F159" s="769" t="e">
        <f>CEILING(E159*$F$28, 50)</f>
        <v>#VALUE!</v>
      </c>
      <c r="G159" s="765">
        <f>CEILING(E159*$G$28, 50)</f>
        <v>2300</v>
      </c>
      <c r="H159" s="765">
        <f>CEILING(G159*$H$28, 50)</f>
        <v>2550</v>
      </c>
      <c r="I159" s="781"/>
      <c r="J159" s="1174">
        <f>E159</f>
        <v>2300</v>
      </c>
      <c r="K159" s="751">
        <f>CEILING(E159*$K$28, 50)</f>
        <v>4700</v>
      </c>
      <c r="L159" s="751">
        <f>CEILING(E159*$L$28*1.2, 50)</f>
        <v>4450</v>
      </c>
      <c r="M159" s="753"/>
      <c r="N159" s="753"/>
      <c r="O159" s="753"/>
      <c r="P159" s="753"/>
      <c r="Q159" s="762"/>
      <c r="R159" s="769"/>
      <c r="S159" s="769">
        <f>V159</f>
        <v>1450</v>
      </c>
      <c r="T159" s="763">
        <f>CEILING(E159*0.55, 50)</f>
        <v>1300</v>
      </c>
      <c r="U159" s="769">
        <f>CEILING(T159*$U$28, 50)</f>
        <v>1450</v>
      </c>
      <c r="V159" s="769">
        <f>U159</f>
        <v>1450</v>
      </c>
      <c r="W159" s="769">
        <f>CEILING(U159*$W$28, 50)</f>
        <v>1600</v>
      </c>
      <c r="X159" s="1807"/>
      <c r="Y159" s="1807"/>
      <c r="Z159" s="1807"/>
      <c r="AA159" s="1807"/>
      <c r="AB159" s="769">
        <f>CEILING(W159*$AB$28, 50)</f>
        <v>1950</v>
      </c>
      <c r="AC159" s="764"/>
      <c r="AD159" s="764"/>
      <c r="AE159" s="770"/>
      <c r="AF159" s="764"/>
      <c r="AG159" s="765">
        <f>T159</f>
        <v>1300</v>
      </c>
      <c r="AH159" s="2665"/>
      <c r="AI159" s="2665"/>
      <c r="AJ159" s="765">
        <f>CEILING(AG159*$AJ$28, 50)</f>
        <v>1300</v>
      </c>
      <c r="AK159" s="754"/>
      <c r="AL159" s="754"/>
      <c r="AM159" s="757">
        <f t="shared" si="98"/>
        <v>1450</v>
      </c>
      <c r="AN159" s="757">
        <f t="shared" si="98"/>
        <v>1300</v>
      </c>
      <c r="AO159" s="762"/>
      <c r="AP159" s="769"/>
      <c r="AQ159" s="769"/>
      <c r="AR159" s="769">
        <v>1300</v>
      </c>
      <c r="AS159" s="769">
        <v>2300</v>
      </c>
      <c r="AT159" s="769">
        <v>175</v>
      </c>
      <c r="AU159" s="769">
        <f>CEILING(AT159*1.25, 5)</f>
        <v>220</v>
      </c>
      <c r="AV159" s="2664"/>
      <c r="AW159" s="754"/>
      <c r="AX159" s="757">
        <f>AR159</f>
        <v>1300</v>
      </c>
      <c r="AY159" s="757">
        <f>CEILING(AX159/75*100, 10)</f>
        <v>1740</v>
      </c>
      <c r="AZ159" s="757">
        <f>CEILING(AX159/75*120, 10)</f>
        <v>2080</v>
      </c>
      <c r="BA159" s="757">
        <f>AS159</f>
        <v>2300</v>
      </c>
      <c r="BB159" s="757">
        <f>CEILING(AX159/75*200*0.85, 10)</f>
        <v>2950</v>
      </c>
      <c r="BC159" s="769">
        <f>BC158</f>
        <v>55</v>
      </c>
      <c r="BD159" s="769">
        <f>CEILING(T159*$BD$28, 50)</f>
        <v>850</v>
      </c>
      <c r="BE159" s="759">
        <f>BD159</f>
        <v>850</v>
      </c>
      <c r="BF159" s="767">
        <f>AS159</f>
        <v>2300</v>
      </c>
      <c r="BG159" s="762"/>
      <c r="BH159" s="771">
        <f>CEILING(T159*$BH$28, 50)</f>
        <v>1150</v>
      </c>
      <c r="BI159" s="771">
        <f>CEILING(U159*$BI$28, 50)</f>
        <v>1550</v>
      </c>
      <c r="BJ159" s="771">
        <f>CEILING(V159*$BJ$28, 50)</f>
        <v>1700</v>
      </c>
      <c r="BK159" s="771">
        <f>CEILING(BH159*$BK$28, 50)</f>
        <v>1250</v>
      </c>
      <c r="BL159" s="771">
        <f>CEILING(BI159*$BL$28, 50)</f>
        <v>1650</v>
      </c>
      <c r="BM159" s="771">
        <f>CEILING(BJ159*$BM$28, 50)</f>
        <v>1800</v>
      </c>
      <c r="BN159" s="754"/>
      <c r="BO159" s="754"/>
      <c r="BP159" s="754"/>
      <c r="BQ159" s="762"/>
      <c r="BR159" s="1158">
        <f>E159</f>
        <v>2300</v>
      </c>
      <c r="BS159" s="773">
        <f>CEILING(BR159*$BS$28, 50)</f>
        <v>2900</v>
      </c>
      <c r="BT159" s="773">
        <f>CEILING(BS159*$BT$28, 50)</f>
        <v>3650</v>
      </c>
      <c r="BU159" s="773">
        <f>CEILING(AU159*2.8, 50)</f>
        <v>650</v>
      </c>
      <c r="BV159" s="777">
        <f>CEILING(BU159*$BV$28, 50)</f>
        <v>250</v>
      </c>
      <c r="BW159" s="777">
        <f>CEILING(BV159*$BW$28, 50)</f>
        <v>100</v>
      </c>
      <c r="BX159" s="777">
        <f>CEILING(BT159*$BX$28, 50)</f>
        <v>6600</v>
      </c>
      <c r="BY159" s="762"/>
      <c r="BZ159" s="1158">
        <f>CEILING(BZ213*(1+$C$28), 50)</f>
        <v>0</v>
      </c>
      <c r="CA159" s="755">
        <f>CEILING(BZ159*$CA$28, 50)</f>
        <v>0</v>
      </c>
      <c r="CB159" s="755">
        <f>CEILING(CA159*$CB$28, 50)</f>
        <v>0</v>
      </c>
      <c r="CC159" s="755">
        <f>CEILING(CB159*$CC$28, 50)</f>
        <v>0</v>
      </c>
      <c r="CD159" s="806">
        <f>CEILING(BZ159*$CD$28, 50)</f>
        <v>0</v>
      </c>
      <c r="CE159" s="755">
        <f>CEILING(CD159*$CA$28, 50)</f>
        <v>0</v>
      </c>
      <c r="CF159" s="755">
        <f>CEILING(CE159*$CB$28, 50)</f>
        <v>0</v>
      </c>
      <c r="CG159" s="755">
        <f>CEILING(CF159*$CC$28, 50)</f>
        <v>0</v>
      </c>
      <c r="CH159" s="806">
        <f>CEILING(BZ159*$CH$28, 50)</f>
        <v>0</v>
      </c>
      <c r="CI159" s="755">
        <f>CEILING(CH159*$CA$28, 50)</f>
        <v>0</v>
      </c>
      <c r="CJ159" s="755">
        <f>CEILING(CI159*$CB$28, 50)</f>
        <v>0</v>
      </c>
      <c r="CK159" s="806">
        <f>CEILING(BZ159*$CK$28, 50)</f>
        <v>0</v>
      </c>
      <c r="CL159" s="755">
        <f>CEILING(CK159*$CA$28, 50)</f>
        <v>0</v>
      </c>
      <c r="CM159" s="755">
        <f>CEILING(CL159*$CB$28, 50)</f>
        <v>0</v>
      </c>
      <c r="CN159" s="756"/>
      <c r="CO159" s="757">
        <f t="shared" si="99"/>
        <v>0</v>
      </c>
      <c r="CP159" s="757">
        <f t="shared" si="99"/>
        <v>0</v>
      </c>
      <c r="CQ159" s="757">
        <f t="shared" si="99"/>
        <v>0</v>
      </c>
      <c r="CR159" s="757">
        <f t="shared" si="99"/>
        <v>0</v>
      </c>
      <c r="CS159" s="757">
        <f t="shared" si="99"/>
        <v>0</v>
      </c>
      <c r="CT159" s="757">
        <f t="shared" si="99"/>
        <v>0</v>
      </c>
      <c r="CU159" s="757">
        <f t="shared" si="99"/>
        <v>0</v>
      </c>
      <c r="CV159" s="757">
        <f t="shared" si="99"/>
        <v>0</v>
      </c>
      <c r="CW159" s="757">
        <f t="shared" si="99"/>
        <v>0</v>
      </c>
      <c r="CX159" s="757">
        <f t="shared" si="99"/>
        <v>0</v>
      </c>
      <c r="CY159" s="757">
        <f t="shared" si="99"/>
        <v>0</v>
      </c>
      <c r="CZ159" s="757">
        <f t="shared" si="99"/>
        <v>0</v>
      </c>
      <c r="DA159" s="757">
        <f t="shared" si="99"/>
        <v>0</v>
      </c>
      <c r="DB159" s="757">
        <f t="shared" si="99"/>
        <v>0</v>
      </c>
      <c r="DC159" s="758"/>
      <c r="DD159" s="762"/>
      <c r="DE159" s="752">
        <f>CEILING(DK159*$DE$28, 50)</f>
        <v>4250</v>
      </c>
      <c r="DF159" s="752">
        <f>CEILING(DE159*$DF$28, 50)</f>
        <v>5100</v>
      </c>
      <c r="DG159" s="752">
        <f>CEILING(DE159*$DG$28, 50)</f>
        <v>5350</v>
      </c>
      <c r="DH159" s="752">
        <f>CEILING(DG159*$DH$28, 50)</f>
        <v>6450</v>
      </c>
      <c r="DI159" s="752">
        <f>CEILING(DE159*$DI$28, 50)</f>
        <v>5550</v>
      </c>
      <c r="DJ159" s="752">
        <f>CEILING(DI159*$DJ$28, 50)</f>
        <v>6700</v>
      </c>
      <c r="DK159" s="1158">
        <f>CEILING(E159*$DK$28, 50)</f>
        <v>2900</v>
      </c>
      <c r="DL159" s="752">
        <f>CEILING(DK159*$DL$28, 50)</f>
        <v>2900</v>
      </c>
      <c r="DM159" s="752">
        <f>CEILING(DG159*$DM$28, 50)</f>
        <v>11800</v>
      </c>
      <c r="DN159" s="752">
        <f>DM159</f>
        <v>11800</v>
      </c>
      <c r="DO159" s="752">
        <f>DM159</f>
        <v>11800</v>
      </c>
      <c r="DP159" s="752">
        <f>CEILING(AB159*$DP$28, 50)</f>
        <v>1950</v>
      </c>
      <c r="DQ159" s="752">
        <f>CEILING(DP159*$DQ$28, 50)</f>
        <v>2350</v>
      </c>
      <c r="DR159" s="752">
        <f>T159</f>
        <v>1300</v>
      </c>
      <c r="DS159" s="776"/>
      <c r="DT159" s="1970">
        <v>9000</v>
      </c>
      <c r="DU159" s="1970">
        <v>15500</v>
      </c>
      <c r="DV159" s="1970">
        <v>3900</v>
      </c>
      <c r="DW159" s="2673"/>
      <c r="DX159" s="1970"/>
      <c r="DY159" s="1970">
        <v>15500</v>
      </c>
      <c r="DZ159" s="761"/>
      <c r="EA159" s="811" t="e">
        <f>'Полотна база'!#REF!</f>
        <v>#REF!</v>
      </c>
      <c r="EB159" s="812" t="e">
        <f>(EA159/1.6)*$EB$26</f>
        <v>#REF!</v>
      </c>
      <c r="EC159" s="2960"/>
      <c r="ED159" s="2960"/>
      <c r="EE159" s="811"/>
      <c r="EF159" s="812"/>
      <c r="EG159" s="811"/>
      <c r="EH159" s="812"/>
      <c r="EI159" s="811" t="e">
        <f>'Полотна база'!#REF!</f>
        <v>#REF!</v>
      </c>
      <c r="EJ159" s="812" t="e">
        <f>(EI159/1.6)*$EJ$26</f>
        <v>#REF!</v>
      </c>
      <c r="EK159" s="761"/>
      <c r="EL159" s="761"/>
      <c r="EM159" s="761"/>
      <c r="EN159" s="761">
        <f t="shared" si="97"/>
        <v>2415</v>
      </c>
      <c r="EO159" s="761"/>
      <c r="EP159" s="761"/>
    </row>
    <row r="160" spans="1:146" s="790" customFormat="1" ht="15.75" hidden="1" customHeight="1" outlineLevel="3">
      <c r="A160" s="5027"/>
      <c r="B160" s="1722" t="s">
        <v>103</v>
      </c>
      <c r="C160" s="1721">
        <f>E160/E159</f>
        <v>1.0434782608695652</v>
      </c>
      <c r="D160" s="763">
        <v>1100</v>
      </c>
      <c r="E160" s="763">
        <v>2400</v>
      </c>
      <c r="F160" s="769" t="e">
        <f>CEILING(E160*$F$28, 50)</f>
        <v>#VALUE!</v>
      </c>
      <c r="G160" s="765">
        <f>CEILING(E160*$G$28, 50)</f>
        <v>2400</v>
      </c>
      <c r="H160" s="765">
        <f>CEILING(G160*$H$28, 50)</f>
        <v>2650</v>
      </c>
      <c r="I160" s="781"/>
      <c r="J160" s="1174">
        <f>E160</f>
        <v>2400</v>
      </c>
      <c r="K160" s="751">
        <f>CEILING(E160*$K$28, 50)</f>
        <v>4900</v>
      </c>
      <c r="L160" s="751">
        <f>CEILING(E160*$L$28*1.2, 50)</f>
        <v>4650</v>
      </c>
      <c r="M160" s="753"/>
      <c r="N160" s="753"/>
      <c r="O160" s="753"/>
      <c r="P160" s="753"/>
      <c r="Q160" s="762"/>
      <c r="R160" s="769"/>
      <c r="S160" s="769">
        <f>V160</f>
        <v>1500</v>
      </c>
      <c r="T160" s="763">
        <f>CEILING(E160*0.55, 50)</f>
        <v>1350</v>
      </c>
      <c r="U160" s="769">
        <f>CEILING(T160*$U$28, 50)</f>
        <v>1500</v>
      </c>
      <c r="V160" s="769">
        <f>U160</f>
        <v>1500</v>
      </c>
      <c r="W160" s="769">
        <f>CEILING(U160*$W$28, 50)</f>
        <v>1650</v>
      </c>
      <c r="X160" s="1807"/>
      <c r="Y160" s="1807"/>
      <c r="Z160" s="1807"/>
      <c r="AA160" s="1807"/>
      <c r="AB160" s="769">
        <f>CEILING(W160*$AB$28, 50)</f>
        <v>2000</v>
      </c>
      <c r="AC160" s="764"/>
      <c r="AD160" s="764"/>
      <c r="AE160" s="770"/>
      <c r="AF160" s="764"/>
      <c r="AG160" s="765">
        <f>T160</f>
        <v>1350</v>
      </c>
      <c r="AH160" s="2665"/>
      <c r="AI160" s="2665"/>
      <c r="AJ160" s="765">
        <f>CEILING(AG160*$AJ$28, 50)</f>
        <v>1350</v>
      </c>
      <c r="AK160" s="754"/>
      <c r="AL160" s="754"/>
      <c r="AM160" s="757">
        <f t="shared" si="98"/>
        <v>1500</v>
      </c>
      <c r="AN160" s="757">
        <f t="shared" si="98"/>
        <v>1350</v>
      </c>
      <c r="AO160" s="762"/>
      <c r="AP160" s="769"/>
      <c r="AQ160" s="769"/>
      <c r="AR160" s="769">
        <v>1350</v>
      </c>
      <c r="AS160" s="769">
        <v>2400</v>
      </c>
      <c r="AT160" s="769">
        <v>180</v>
      </c>
      <c r="AU160" s="769">
        <f>CEILING(AT160*1.25, 5)</f>
        <v>225</v>
      </c>
      <c r="AV160" s="2664"/>
      <c r="AW160" s="754"/>
      <c r="AX160" s="757">
        <f>AR160</f>
        <v>1350</v>
      </c>
      <c r="AY160" s="757">
        <f>CEILING(AX160/75*100, 10)</f>
        <v>1800</v>
      </c>
      <c r="AZ160" s="757">
        <f>CEILING(AX160/75*120, 10)</f>
        <v>2160</v>
      </c>
      <c r="BA160" s="757">
        <f>AS160</f>
        <v>2400</v>
      </c>
      <c r="BB160" s="757">
        <f>CEILING(AX160/75*200*0.85, 10)</f>
        <v>3060</v>
      </c>
      <c r="BC160" s="769">
        <f>BC159</f>
        <v>55</v>
      </c>
      <c r="BD160" s="769">
        <f>CEILING(T160*$BD$28, 50)</f>
        <v>900</v>
      </c>
      <c r="BE160" s="759">
        <f>BD160</f>
        <v>900</v>
      </c>
      <c r="BF160" s="767">
        <f>AS160</f>
        <v>2400</v>
      </c>
      <c r="BG160" s="762"/>
      <c r="BH160" s="771">
        <f>CEILING(T160*$BH$28, 50)</f>
        <v>1150</v>
      </c>
      <c r="BI160" s="771">
        <f>CEILING(U160*$BI$28, 50)</f>
        <v>1600</v>
      </c>
      <c r="BJ160" s="771">
        <f>CEILING(V160*$BJ$28, 50)</f>
        <v>1750</v>
      </c>
      <c r="BK160" s="771">
        <f>CEILING(BH160*$BK$28, 50)</f>
        <v>1250</v>
      </c>
      <c r="BL160" s="771">
        <f>CEILING(BI160*$BL$28, 50)</f>
        <v>1700</v>
      </c>
      <c r="BM160" s="771">
        <f>CEILING(BJ160*$BM$28, 50)</f>
        <v>1850</v>
      </c>
      <c r="BN160" s="754"/>
      <c r="BO160" s="754"/>
      <c r="BP160" s="754"/>
      <c r="BQ160" s="762"/>
      <c r="BR160" s="1158">
        <f>E160</f>
        <v>2400</v>
      </c>
      <c r="BS160" s="773">
        <f>CEILING(BR160*$BS$28, 50)</f>
        <v>3000</v>
      </c>
      <c r="BT160" s="773">
        <f>CEILING(BS160*$BT$28, 50)</f>
        <v>3750</v>
      </c>
      <c r="BU160" s="773">
        <f>CEILING(AU160*2.8, 50)</f>
        <v>650</v>
      </c>
      <c r="BV160" s="777">
        <f>CEILING(BU160*$BV$28, 50)</f>
        <v>250</v>
      </c>
      <c r="BW160" s="777">
        <f>CEILING(BV160*$BW$28, 50)</f>
        <v>100</v>
      </c>
      <c r="BX160" s="777">
        <f>CEILING(BT160*$BX$28, 50)</f>
        <v>6750</v>
      </c>
      <c r="BY160" s="762"/>
      <c r="BZ160" s="1158">
        <f>CEILING(BZ214*(1+$C$28), 50)</f>
        <v>0</v>
      </c>
      <c r="CA160" s="755">
        <f>CEILING(BZ160*$CA$28, 50)</f>
        <v>0</v>
      </c>
      <c r="CB160" s="755">
        <f>CEILING(CA160*$CB$28, 50)</f>
        <v>0</v>
      </c>
      <c r="CC160" s="755">
        <f>CEILING(CB160*$CC$28, 50)</f>
        <v>0</v>
      </c>
      <c r="CD160" s="806">
        <f>CEILING(BZ160*$CD$28, 50)</f>
        <v>0</v>
      </c>
      <c r="CE160" s="755">
        <f>CEILING(CD160*$CA$28, 50)</f>
        <v>0</v>
      </c>
      <c r="CF160" s="755">
        <f>CEILING(CE160*$CB$28, 50)</f>
        <v>0</v>
      </c>
      <c r="CG160" s="755">
        <f>CEILING(CF160*$CC$28, 50)</f>
        <v>0</v>
      </c>
      <c r="CH160" s="806">
        <f>CEILING(BZ160*$CH$28, 50)</f>
        <v>0</v>
      </c>
      <c r="CI160" s="755">
        <f>CEILING(CH160*$CA$28, 50)</f>
        <v>0</v>
      </c>
      <c r="CJ160" s="755">
        <f>CEILING(CI160*$CB$28, 50)</f>
        <v>0</v>
      </c>
      <c r="CK160" s="806">
        <f>CEILING(BZ160*$CK$28, 50)</f>
        <v>0</v>
      </c>
      <c r="CL160" s="755">
        <f>CEILING(CK160*$CA$28, 50)</f>
        <v>0</v>
      </c>
      <c r="CM160" s="755">
        <f>CEILING(CL160*$CB$28, 50)</f>
        <v>0</v>
      </c>
      <c r="CN160" s="756"/>
      <c r="CO160" s="757">
        <f t="shared" si="99"/>
        <v>0</v>
      </c>
      <c r="CP160" s="757">
        <f t="shared" si="99"/>
        <v>0</v>
      </c>
      <c r="CQ160" s="757">
        <f t="shared" si="99"/>
        <v>0</v>
      </c>
      <c r="CR160" s="757">
        <f t="shared" si="99"/>
        <v>0</v>
      </c>
      <c r="CS160" s="757">
        <f t="shared" si="99"/>
        <v>0</v>
      </c>
      <c r="CT160" s="757">
        <f t="shared" si="99"/>
        <v>0</v>
      </c>
      <c r="CU160" s="757">
        <f t="shared" si="99"/>
        <v>0</v>
      </c>
      <c r="CV160" s="757">
        <f t="shared" si="99"/>
        <v>0</v>
      </c>
      <c r="CW160" s="757">
        <f t="shared" si="99"/>
        <v>0</v>
      </c>
      <c r="CX160" s="757">
        <f t="shared" si="99"/>
        <v>0</v>
      </c>
      <c r="CY160" s="757">
        <f t="shared" si="99"/>
        <v>0</v>
      </c>
      <c r="CZ160" s="757">
        <f t="shared" si="99"/>
        <v>0</v>
      </c>
      <c r="DA160" s="757">
        <f t="shared" si="99"/>
        <v>0</v>
      </c>
      <c r="DB160" s="757">
        <f t="shared" si="99"/>
        <v>0</v>
      </c>
      <c r="DC160" s="758"/>
      <c r="DD160" s="762"/>
      <c r="DE160" s="752">
        <f>CEILING(DK160*$DE$28, 50)</f>
        <v>4350</v>
      </c>
      <c r="DF160" s="752">
        <f>CEILING(DE160*$DF$28, 50)</f>
        <v>5250</v>
      </c>
      <c r="DG160" s="752">
        <f>CEILING(DE160*$DG$28, 50)</f>
        <v>5450</v>
      </c>
      <c r="DH160" s="752">
        <f>CEILING(DG160*$DH$28, 50)</f>
        <v>6550</v>
      </c>
      <c r="DI160" s="752">
        <f>CEILING(DE160*$DI$28, 50)</f>
        <v>5700</v>
      </c>
      <c r="DJ160" s="752">
        <f>CEILING(DI160*$DJ$28, 50)</f>
        <v>6850</v>
      </c>
      <c r="DK160" s="1158">
        <f>CEILING(E160*$DK$28, 50)</f>
        <v>3000</v>
      </c>
      <c r="DL160" s="752">
        <f>CEILING(DK160*$DL$28, 50)</f>
        <v>3000</v>
      </c>
      <c r="DM160" s="752">
        <f>CEILING(DG160*$DM$28, 50)</f>
        <v>12000</v>
      </c>
      <c r="DN160" s="752">
        <f>DM160</f>
        <v>12000</v>
      </c>
      <c r="DO160" s="752">
        <f>DM160</f>
        <v>12000</v>
      </c>
      <c r="DP160" s="752">
        <f>CEILING(AB160*$DP$28, 50)</f>
        <v>2000</v>
      </c>
      <c r="DQ160" s="752">
        <f>CEILING(DP160*$DQ$28, 50)</f>
        <v>2400</v>
      </c>
      <c r="DR160" s="752">
        <f>T160</f>
        <v>1350</v>
      </c>
      <c r="DS160" s="776"/>
      <c r="DT160" s="1970">
        <v>9500</v>
      </c>
      <c r="DU160" s="1970">
        <f>DV160*5*0.8</f>
        <v>18000</v>
      </c>
      <c r="DV160" s="1970">
        <v>4500</v>
      </c>
      <c r="DW160" s="2673"/>
      <c r="DX160" s="1970"/>
      <c r="DY160" s="1970">
        <v>16500</v>
      </c>
      <c r="DZ160" s="761"/>
      <c r="EA160" s="811" t="e">
        <f>'Полотна база'!#REF!</f>
        <v>#REF!</v>
      </c>
      <c r="EB160" s="812" t="e">
        <f>(EA160/1.6)*$EB$26</f>
        <v>#REF!</v>
      </c>
      <c r="EC160" s="2960"/>
      <c r="ED160" s="2960"/>
      <c r="EE160" s="811"/>
      <c r="EF160" s="812"/>
      <c r="EG160" s="811"/>
      <c r="EH160" s="812"/>
      <c r="EI160" s="811" t="e">
        <f>'Полотна база'!#REF!</f>
        <v>#REF!</v>
      </c>
      <c r="EJ160" s="812" t="e">
        <f>(EI160/1.6)*$EJ$26</f>
        <v>#REF!</v>
      </c>
      <c r="EK160" s="761"/>
      <c r="EL160" s="761"/>
      <c r="EM160" s="761"/>
      <c r="EN160" s="761">
        <f t="shared" si="97"/>
        <v>2520</v>
      </c>
      <c r="EO160" s="761"/>
      <c r="EP160" s="761"/>
    </row>
    <row r="161" spans="1:146" s="790" customFormat="1" ht="15.75" hidden="1" outlineLevel="3">
      <c r="A161" s="1719" t="s">
        <v>30</v>
      </c>
      <c r="B161" s="1723" t="s">
        <v>284</v>
      </c>
      <c r="C161" s="1724">
        <f>E161/E157</f>
        <v>1.7692307692307692</v>
      </c>
      <c r="D161" s="763">
        <v>1300</v>
      </c>
      <c r="E161" s="763">
        <v>2300</v>
      </c>
      <c r="F161" s="769" t="e">
        <f>CEILING(E161*$F$28, 50)</f>
        <v>#VALUE!</v>
      </c>
      <c r="G161" s="765">
        <f>CEILING(E161*$G$28, 50)</f>
        <v>2300</v>
      </c>
      <c r="H161" s="765">
        <f>CEILING(G161*$H$28, 50)</f>
        <v>2550</v>
      </c>
      <c r="I161" s="779">
        <f>H161</f>
        <v>2550</v>
      </c>
      <c r="J161" s="1174">
        <f>E161</f>
        <v>2300</v>
      </c>
      <c r="K161" s="751">
        <f>CEILING(E161*$K$28, 50)</f>
        <v>4700</v>
      </c>
      <c r="L161" s="751">
        <f>CEILING(E161*$L$28*1.2, 50)</f>
        <v>4450</v>
      </c>
      <c r="M161" s="753"/>
      <c r="N161" s="753"/>
      <c r="O161" s="753"/>
      <c r="P161" s="753"/>
      <c r="Q161" s="778"/>
      <c r="R161" s="763">
        <v>900</v>
      </c>
      <c r="S161" s="769">
        <f>V161</f>
        <v>1450</v>
      </c>
      <c r="T161" s="763">
        <f>CEILING(E161*0.55, 50)</f>
        <v>1300</v>
      </c>
      <c r="U161" s="769">
        <f>CEILING(T161*$U$28, 50)</f>
        <v>1450</v>
      </c>
      <c r="V161" s="769">
        <f>U161</f>
        <v>1450</v>
      </c>
      <c r="W161" s="769">
        <f>CEILING(U161*$W$28, 50)</f>
        <v>1600</v>
      </c>
      <c r="X161" s="1807"/>
      <c r="Y161" s="1807"/>
      <c r="Z161" s="1807"/>
      <c r="AA161" s="1807"/>
      <c r="AB161" s="769">
        <f>CEILING(W161*$AB$28, 50)</f>
        <v>1950</v>
      </c>
      <c r="AC161" s="769" t="e">
        <f>CEILING(W161*$AC$28, 50)</f>
        <v>#VALUE!</v>
      </c>
      <c r="AD161" s="769"/>
      <c r="AE161" s="769"/>
      <c r="AF161" s="769">
        <f>CEILING(AD161*AF154, 50)</f>
        <v>0</v>
      </c>
      <c r="AG161" s="765">
        <f>T161</f>
        <v>1300</v>
      </c>
      <c r="AH161" s="2665"/>
      <c r="AI161" s="2665"/>
      <c r="AJ161" s="765">
        <f>CEILING(AG161*$AJ$28, 50)</f>
        <v>1300</v>
      </c>
      <c r="AK161" s="779" t="e">
        <f>AC161</f>
        <v>#VALUE!</v>
      </c>
      <c r="AL161" s="779">
        <f>AF161</f>
        <v>0</v>
      </c>
      <c r="AM161" s="757">
        <f t="shared" si="98"/>
        <v>1450</v>
      </c>
      <c r="AN161" s="757">
        <f t="shared" si="98"/>
        <v>1300</v>
      </c>
      <c r="AO161" s="778"/>
      <c r="AP161" s="769">
        <f>CEILING(R161*$AP$28, 50)</f>
        <v>1150</v>
      </c>
      <c r="AQ161" s="763">
        <f>CEILING(AP161*1.85, 50)</f>
        <v>2150</v>
      </c>
      <c r="AR161" s="769">
        <v>1300</v>
      </c>
      <c r="AS161" s="769">
        <v>2300</v>
      </c>
      <c r="AT161" s="769">
        <v>175</v>
      </c>
      <c r="AU161" s="769">
        <f>CEILING(AT161*1.25, 5)</f>
        <v>220</v>
      </c>
      <c r="AV161" s="2685"/>
      <c r="AW161" s="779">
        <f>CEILING(AT161*AW154, 5)</f>
        <v>230</v>
      </c>
      <c r="AX161" s="757">
        <f>AR161</f>
        <v>1300</v>
      </c>
      <c r="AY161" s="757">
        <f>CEILING(AX161/75*100, 10)</f>
        <v>1740</v>
      </c>
      <c r="AZ161" s="757">
        <f>CEILING(AX161/75*120, 10)</f>
        <v>2080</v>
      </c>
      <c r="BA161" s="757">
        <f>AS161</f>
        <v>2300</v>
      </c>
      <c r="BB161" s="757">
        <f>CEILING(AX161/75*200*0.85, 10)</f>
        <v>2950</v>
      </c>
      <c r="BC161" s="769">
        <f>BC160</f>
        <v>55</v>
      </c>
      <c r="BD161" s="769">
        <f>CEILING(T161*$BD$28, 50)</f>
        <v>850</v>
      </c>
      <c r="BE161" s="759">
        <f>BD161</f>
        <v>850</v>
      </c>
      <c r="BF161" s="767">
        <f>AS161</f>
        <v>2300</v>
      </c>
      <c r="BG161" s="778"/>
      <c r="BH161" s="771">
        <f>CEILING(T161*$BH$28, 50)</f>
        <v>1150</v>
      </c>
      <c r="BI161" s="771">
        <f>CEILING(U161*$BI$28, 50)</f>
        <v>1550</v>
      </c>
      <c r="BJ161" s="771">
        <f>CEILING(V161*$BJ$28, 50)</f>
        <v>1700</v>
      </c>
      <c r="BK161" s="771">
        <f>CEILING(BH161*$BK$28, 50)</f>
        <v>1250</v>
      </c>
      <c r="BL161" s="771">
        <f>CEILING(BI161*$BL$28, 50)</f>
        <v>1650</v>
      </c>
      <c r="BM161" s="771">
        <f>CEILING(BJ161*$BM$28, 50)</f>
        <v>1800</v>
      </c>
      <c r="BN161" s="771">
        <v>2550</v>
      </c>
      <c r="BO161" s="771">
        <v>2700</v>
      </c>
      <c r="BP161" s="771">
        <v>2200</v>
      </c>
      <c r="BQ161" s="778"/>
      <c r="BR161" s="1158">
        <f>E161</f>
        <v>2300</v>
      </c>
      <c r="BS161" s="773">
        <f>CEILING(BR161*$BS$28, 50)</f>
        <v>2900</v>
      </c>
      <c r="BT161" s="773">
        <f>CEILING(BS161*$BT$28, 50)</f>
        <v>3650</v>
      </c>
      <c r="BU161" s="773">
        <f>CEILING(AU161*2.8, 50)</f>
        <v>650</v>
      </c>
      <c r="BV161" s="777">
        <f>CEILING(BU161*$BV$28, 50)</f>
        <v>250</v>
      </c>
      <c r="BW161" s="777">
        <f>CEILING(BV161*$BW$28, 50)</f>
        <v>100</v>
      </c>
      <c r="BX161" s="777">
        <f>CEILING(BT161*$BX$28, 50)</f>
        <v>6600</v>
      </c>
      <c r="BY161" s="778"/>
      <c r="BZ161" s="1158">
        <f>BZ159</f>
        <v>0</v>
      </c>
      <c r="CA161" s="755">
        <f>CEILING(BZ161*$CA$28, 50)</f>
        <v>0</v>
      </c>
      <c r="CB161" s="755">
        <f>CEILING(CA161*$CB$28, 50)</f>
        <v>0</v>
      </c>
      <c r="CC161" s="755">
        <f>CEILING(CB161*$CC$28, 50)</f>
        <v>0</v>
      </c>
      <c r="CD161" s="806">
        <f>CEILING(BZ161*$CD$28, 50)</f>
        <v>0</v>
      </c>
      <c r="CE161" s="755">
        <f>CEILING(CD161*$CA$28, 50)</f>
        <v>0</v>
      </c>
      <c r="CF161" s="755">
        <f>CEILING(CE161*$CB$28, 50)</f>
        <v>0</v>
      </c>
      <c r="CG161" s="755">
        <f>CEILING(CF161*$CC$28, 50)</f>
        <v>0</v>
      </c>
      <c r="CH161" s="806">
        <f>CEILING(BZ161*$CH$28, 50)</f>
        <v>0</v>
      </c>
      <c r="CI161" s="755">
        <f>CEILING(CH161*$CA$28, 50)</f>
        <v>0</v>
      </c>
      <c r="CJ161" s="755">
        <f>CEILING(CI161*$CB$28, 50)</f>
        <v>0</v>
      </c>
      <c r="CK161" s="806">
        <f>CEILING(BZ161*$CK$28, 50)</f>
        <v>0</v>
      </c>
      <c r="CL161" s="755">
        <f>CEILING(CK161*$CA$28, 50)</f>
        <v>0</v>
      </c>
      <c r="CM161" s="755">
        <f>CEILING(CL161*$CB$28, 50)</f>
        <v>0</v>
      </c>
      <c r="CN161" s="755">
        <f>CEILING(CM161*CN154, 50)</f>
        <v>0</v>
      </c>
      <c r="CO161" s="757">
        <f t="shared" si="99"/>
        <v>0</v>
      </c>
      <c r="CP161" s="757">
        <f t="shared" si="99"/>
        <v>0</v>
      </c>
      <c r="CQ161" s="757">
        <f t="shared" si="99"/>
        <v>0</v>
      </c>
      <c r="CR161" s="757">
        <f t="shared" si="99"/>
        <v>0</v>
      </c>
      <c r="CS161" s="757">
        <f t="shared" si="99"/>
        <v>0</v>
      </c>
      <c r="CT161" s="757">
        <f t="shared" si="99"/>
        <v>0</v>
      </c>
      <c r="CU161" s="757">
        <f t="shared" si="99"/>
        <v>0</v>
      </c>
      <c r="CV161" s="757">
        <f t="shared" si="99"/>
        <v>0</v>
      </c>
      <c r="CW161" s="757">
        <f t="shared" si="99"/>
        <v>0</v>
      </c>
      <c r="CX161" s="757">
        <f t="shared" si="99"/>
        <v>0</v>
      </c>
      <c r="CY161" s="757">
        <f t="shared" si="99"/>
        <v>0</v>
      </c>
      <c r="CZ161" s="757">
        <f t="shared" si="99"/>
        <v>0</v>
      </c>
      <c r="DA161" s="757">
        <f t="shared" si="99"/>
        <v>0</v>
      </c>
      <c r="DB161" s="757">
        <f t="shared" si="99"/>
        <v>0</v>
      </c>
      <c r="DC161" s="757">
        <f>CEILING(CN161*$CO$28, 50)</f>
        <v>0</v>
      </c>
      <c r="DD161" s="778"/>
      <c r="DE161" s="752">
        <f>CEILING(DK161*$DE$28, 50)</f>
        <v>4250</v>
      </c>
      <c r="DF161" s="752">
        <f>CEILING(DE161*$DF$28, 50)</f>
        <v>5100</v>
      </c>
      <c r="DG161" s="752">
        <f>CEILING(DE161*$DG$28, 50)</f>
        <v>5350</v>
      </c>
      <c r="DH161" s="752">
        <f>CEILING(DG161*$DH$28, 50)</f>
        <v>6450</v>
      </c>
      <c r="DI161" s="752">
        <f>CEILING(DE161*$DI$28, 50)</f>
        <v>5550</v>
      </c>
      <c r="DJ161" s="752">
        <f>CEILING(DI161*$DJ$28, 50)</f>
        <v>6700</v>
      </c>
      <c r="DK161" s="1158">
        <f>CEILING(E161*$DK$28, 50)</f>
        <v>2900</v>
      </c>
      <c r="DL161" s="752">
        <f>CEILING(DK161*$DL$28, 50)</f>
        <v>2900</v>
      </c>
      <c r="DM161" s="752"/>
      <c r="DN161" s="752"/>
      <c r="DO161" s="752"/>
      <c r="DP161" s="752" t="e">
        <f>CEILING(AC161*$DP$28, 50)</f>
        <v>#VALUE!</v>
      </c>
      <c r="DQ161" s="752" t="e">
        <f>CEILING(DP161*$DQ$28, 50)</f>
        <v>#VALUE!</v>
      </c>
      <c r="DR161" s="752">
        <f>T161</f>
        <v>1300</v>
      </c>
      <c r="DS161" s="780"/>
      <c r="DT161" s="1970">
        <v>8500</v>
      </c>
      <c r="DU161" s="1970">
        <v>15500</v>
      </c>
      <c r="DV161" s="1970">
        <f>DV159</f>
        <v>3900</v>
      </c>
      <c r="DW161" s="2673"/>
      <c r="DX161" s="1970">
        <v>12900</v>
      </c>
      <c r="DY161" s="1970">
        <v>18500</v>
      </c>
      <c r="DZ161" s="761"/>
      <c r="EA161" s="811" t="e">
        <f>'Полотна база'!#REF!</f>
        <v>#REF!</v>
      </c>
      <c r="EB161" s="812" t="e">
        <f>(EA161/1.6)*$EB$26</f>
        <v>#REF!</v>
      </c>
      <c r="EC161" s="2960"/>
      <c r="ED161" s="2960"/>
      <c r="EE161" s="811" t="e">
        <f>'Полотна база'!#REF!</f>
        <v>#REF!</v>
      </c>
      <c r="EF161" s="812" t="e">
        <f>(EE161/1.6)*EF152</f>
        <v>#REF!</v>
      </c>
      <c r="EG161" s="811" t="e">
        <f>'Полотна база'!#REF!</f>
        <v>#REF!</v>
      </c>
      <c r="EH161" s="812" t="e">
        <f>(EG161/1.6)*EH152</f>
        <v>#REF!</v>
      </c>
      <c r="EI161" s="811"/>
      <c r="EJ161" s="812"/>
      <c r="EK161" s="761"/>
      <c r="EL161" s="761"/>
      <c r="EM161" s="761"/>
      <c r="EN161" s="761">
        <f t="shared" si="97"/>
        <v>2415</v>
      </c>
      <c r="EO161" s="761"/>
      <c r="EP161" s="761"/>
    </row>
    <row r="162" spans="1:146" s="790" customFormat="1" ht="15.75" hidden="1" outlineLevel="3">
      <c r="A162" s="4928" t="s">
        <v>2412</v>
      </c>
      <c r="B162" s="4928"/>
      <c r="C162" s="1725">
        <f>CEILING('Декоры база'!B54/10*4, 50)</f>
        <v>1000</v>
      </c>
      <c r="D162" s="1725">
        <v>0</v>
      </c>
      <c r="E162" s="1725"/>
      <c r="F162" s="1725"/>
      <c r="G162" s="1725"/>
      <c r="H162" s="1725"/>
      <c r="I162" s="1725"/>
      <c r="J162" s="1725"/>
      <c r="K162" s="1725"/>
      <c r="L162" s="1725"/>
      <c r="M162" s="1725"/>
      <c r="N162" s="1725"/>
      <c r="O162" s="1725"/>
      <c r="P162" s="1725"/>
      <c r="Q162" s="1725"/>
      <c r="R162" s="2324"/>
      <c r="S162" s="1725"/>
      <c r="T162" s="1725"/>
      <c r="U162" s="1725"/>
      <c r="V162" s="1725"/>
      <c r="W162" s="1725"/>
      <c r="X162" s="2636"/>
      <c r="Y162" s="2636"/>
      <c r="Z162" s="2636"/>
      <c r="AA162" s="2636"/>
      <c r="AB162" s="2359">
        <f>CEILING(AB161*0.28, 50)</f>
        <v>550</v>
      </c>
      <c r="AC162" s="2359" t="e">
        <f>CEILING(AC161*0.28, 50)</f>
        <v>#VALUE!</v>
      </c>
      <c r="AD162" s="2359"/>
      <c r="AE162" s="2359"/>
      <c r="AF162" s="2359">
        <f>CEILING(AF161*0.28, 50)</f>
        <v>0</v>
      </c>
      <c r="AG162" s="1725"/>
      <c r="AH162" s="1725"/>
      <c r="AI162" s="1725"/>
      <c r="AJ162" s="1725"/>
      <c r="AK162" s="2359" t="e">
        <f>CEILING(AK161*0.28, 50)</f>
        <v>#VALUE!</v>
      </c>
      <c r="AL162" s="2359">
        <f>CEILING(AL161*0.28, 50)</f>
        <v>0</v>
      </c>
      <c r="AM162" s="1725"/>
      <c r="AN162" s="1725"/>
      <c r="AO162" s="1725"/>
      <c r="AP162" s="2324"/>
      <c r="AQ162" s="2324"/>
      <c r="AR162" s="1725"/>
      <c r="AS162" s="1725"/>
      <c r="AT162" s="1725"/>
      <c r="AU162" s="1725"/>
      <c r="AV162" s="1725"/>
      <c r="AW162" s="1725"/>
      <c r="AX162" s="1725"/>
      <c r="AY162" s="1725"/>
      <c r="AZ162" s="1725"/>
      <c r="BA162" s="1725"/>
      <c r="BB162" s="1725"/>
      <c r="BC162" s="1725"/>
      <c r="BD162" s="1725"/>
      <c r="BE162" s="1725"/>
      <c r="BF162" s="1725"/>
      <c r="BG162" s="1725"/>
      <c r="BH162" s="1725"/>
      <c r="BI162" s="1725"/>
      <c r="BJ162" s="1725"/>
      <c r="BK162" s="1725"/>
      <c r="BL162" s="1725"/>
      <c r="BM162" s="1725"/>
      <c r="BN162" s="2702">
        <f>BN161/BN33</f>
        <v>1.2439024390243902</v>
      </c>
      <c r="BO162" s="2702">
        <f>BO161/BO33-1</f>
        <v>0.19999999999999996</v>
      </c>
      <c r="BP162" s="2702">
        <f>BP161/BP33</f>
        <v>0.83018867924528306</v>
      </c>
      <c r="BQ162" s="1725"/>
      <c r="BR162" s="1725"/>
      <c r="BS162" s="1725"/>
      <c r="BT162" s="1725"/>
      <c r="BU162" s="1725"/>
      <c r="BV162" s="1725"/>
      <c r="BW162" s="1725"/>
      <c r="BX162" s="1725"/>
      <c r="BY162" s="1725"/>
      <c r="BZ162" s="1725"/>
      <c r="CA162" s="1725"/>
      <c r="CB162" s="1725"/>
      <c r="CC162" s="1725"/>
      <c r="CD162" s="1725"/>
      <c r="CE162" s="1725"/>
      <c r="CF162" s="1725"/>
      <c r="CG162" s="1725"/>
      <c r="CH162" s="2359">
        <f t="shared" ref="CH162:CN162" si="100">CEILING(CH161*0.28, 50)</f>
        <v>0</v>
      </c>
      <c r="CI162" s="2359">
        <f t="shared" si="100"/>
        <v>0</v>
      </c>
      <c r="CJ162" s="2359">
        <f t="shared" si="100"/>
        <v>0</v>
      </c>
      <c r="CK162" s="2359">
        <f t="shared" si="100"/>
        <v>0</v>
      </c>
      <c r="CL162" s="2359">
        <f t="shared" si="100"/>
        <v>0</v>
      </c>
      <c r="CM162" s="2359">
        <f t="shared" si="100"/>
        <v>0</v>
      </c>
      <c r="CN162" s="2359">
        <f t="shared" si="100"/>
        <v>0</v>
      </c>
      <c r="CO162" s="1725"/>
      <c r="CP162" s="1725"/>
      <c r="CQ162" s="1725"/>
      <c r="CR162" s="1725"/>
      <c r="CS162" s="1725"/>
      <c r="CT162" s="1725"/>
      <c r="CU162" s="1725"/>
      <c r="CV162" s="1725"/>
      <c r="CW162" s="2359">
        <f>CEILING(CW161*0.28, 50)</f>
        <v>0</v>
      </c>
      <c r="CX162" s="2359">
        <f t="shared" ref="CX162:DC162" si="101">CEILING(CX161*0.28, 50)</f>
        <v>0</v>
      </c>
      <c r="CY162" s="2359">
        <f t="shared" si="101"/>
        <v>0</v>
      </c>
      <c r="CZ162" s="2359">
        <f t="shared" si="101"/>
        <v>0</v>
      </c>
      <c r="DA162" s="2359">
        <f t="shared" si="101"/>
        <v>0</v>
      </c>
      <c r="DB162" s="2359">
        <f t="shared" si="101"/>
        <v>0</v>
      </c>
      <c r="DC162" s="2359">
        <f t="shared" si="101"/>
        <v>0</v>
      </c>
      <c r="DD162" s="1725"/>
      <c r="DE162" s="1725"/>
      <c r="DF162" s="1725"/>
      <c r="DG162" s="1725"/>
      <c r="DH162" s="1725"/>
      <c r="DI162" s="1725">
        <f>CEILING(AL162*1.1, 50)</f>
        <v>0</v>
      </c>
      <c r="DJ162" s="1725">
        <f>DI162</f>
        <v>0</v>
      </c>
      <c r="DK162" s="1725"/>
      <c r="DL162" s="1725"/>
      <c r="DM162" s="1725"/>
      <c r="DN162" s="1725">
        <f>CEILING(DI162*1.1, 50)</f>
        <v>0</v>
      </c>
      <c r="DO162" s="1725"/>
      <c r="DP162" s="1725">
        <f>DI162</f>
        <v>0</v>
      </c>
      <c r="DQ162" s="1725"/>
      <c r="DR162" s="1725"/>
      <c r="DS162" s="1725"/>
      <c r="DT162" s="1725"/>
      <c r="DU162" s="1725"/>
      <c r="DV162" s="1725"/>
      <c r="DW162" s="1725"/>
      <c r="DX162" s="1725"/>
      <c r="DY162" s="1725"/>
      <c r="DZ162" s="1651"/>
      <c r="EA162" s="1651"/>
      <c r="EB162" s="1651"/>
      <c r="EC162" s="1651"/>
      <c r="ED162" s="1651"/>
      <c r="EE162" s="1651"/>
      <c r="EF162" s="1651"/>
      <c r="EG162" s="1651"/>
      <c r="EH162" s="1651"/>
      <c r="EI162" s="1651"/>
      <c r="EJ162" s="1651"/>
      <c r="EK162" s="1651"/>
      <c r="EL162" s="1651"/>
      <c r="EM162" s="1651"/>
      <c r="EN162" s="1651"/>
      <c r="EO162" s="1651"/>
      <c r="EP162" s="1651"/>
    </row>
    <row r="163" spans="1:146" s="790" customFormat="1" ht="15.75" hidden="1" outlineLevel="3">
      <c r="A163" s="4947" t="s">
        <v>2411</v>
      </c>
      <c r="B163" s="4947"/>
      <c r="C163" s="1725"/>
      <c r="D163" s="1725">
        <v>1200</v>
      </c>
      <c r="E163" s="1725"/>
      <c r="F163" s="1725"/>
      <c r="G163" s="1725"/>
      <c r="H163" s="1725"/>
      <c r="I163" s="1725"/>
      <c r="J163" s="1725"/>
      <c r="K163" s="1725"/>
      <c r="L163" s="1725"/>
      <c r="M163" s="1725"/>
      <c r="N163" s="1725"/>
      <c r="O163" s="1725"/>
      <c r="P163" s="1725"/>
      <c r="Q163" s="1725"/>
      <c r="R163" s="1725"/>
      <c r="S163" s="1725"/>
      <c r="T163" s="1725"/>
      <c r="U163" s="1725"/>
      <c r="V163" s="1725"/>
      <c r="W163" s="1725"/>
      <c r="X163" s="2636"/>
      <c r="Y163" s="2636"/>
      <c r="Z163" s="2636"/>
      <c r="AA163" s="2636"/>
      <c r="AB163" s="446">
        <f>CEILING(AB161*0.15, 50)</f>
        <v>300</v>
      </c>
      <c r="AC163" s="446" t="e">
        <f>CEILING(AC161*0.15, 50)</f>
        <v>#VALUE!</v>
      </c>
      <c r="AD163" s="1725"/>
      <c r="AE163" s="1725"/>
      <c r="AF163" s="446">
        <f>CEILING(AF161*0.15, 50)</f>
        <v>0</v>
      </c>
      <c r="AG163" s="1725"/>
      <c r="AH163" s="1725"/>
      <c r="AI163" s="1725"/>
      <c r="AJ163" s="1725"/>
      <c r="AK163" s="446" t="e">
        <f>CEILING(AK161*0.15, 50)</f>
        <v>#VALUE!</v>
      </c>
      <c r="AL163" s="446">
        <f>CEILING(AL161*0.15, 50)</f>
        <v>0</v>
      </c>
      <c r="AM163" s="1725"/>
      <c r="AN163" s="1725"/>
      <c r="AO163" s="1725"/>
      <c r="AP163" s="1725"/>
      <c r="AQ163" s="1725"/>
      <c r="AR163" s="1725"/>
      <c r="AS163" s="1725"/>
      <c r="AT163" s="1725"/>
      <c r="AU163" s="1725"/>
      <c r="AV163" s="1725"/>
      <c r="AW163" s="1725"/>
      <c r="AX163" s="1725"/>
      <c r="AY163" s="1725"/>
      <c r="AZ163" s="1725"/>
      <c r="BA163" s="1725"/>
      <c r="BB163" s="1725"/>
      <c r="BC163" s="1725"/>
      <c r="BD163" s="1725"/>
      <c r="BE163" s="1725"/>
      <c r="BF163" s="1725"/>
      <c r="BG163" s="1725"/>
      <c r="BH163" s="1725"/>
      <c r="BI163" s="1725"/>
      <c r="BJ163" s="1725"/>
      <c r="BK163" s="1725"/>
      <c r="BL163" s="1725"/>
      <c r="BM163" s="1725"/>
      <c r="BN163" s="1725"/>
      <c r="BO163" s="1725"/>
      <c r="BP163" s="1725"/>
      <c r="BQ163" s="1725"/>
      <c r="BR163" s="1725"/>
      <c r="BS163" s="1725"/>
      <c r="BT163" s="1725"/>
      <c r="BU163" s="1725"/>
      <c r="BV163" s="1725"/>
      <c r="BW163" s="1725"/>
      <c r="BX163" s="1725"/>
      <c r="BY163" s="1725"/>
      <c r="BZ163" s="1725"/>
      <c r="CA163" s="1725"/>
      <c r="CB163" s="1725"/>
      <c r="CC163" s="1725"/>
      <c r="CD163" s="1725"/>
      <c r="CE163" s="1725"/>
      <c r="CF163" s="1725"/>
      <c r="CG163" s="1725"/>
      <c r="CH163" s="446">
        <f>CEILING(CH161*0.18, 50)</f>
        <v>0</v>
      </c>
      <c r="CI163" s="446">
        <f t="shared" ref="CI163:CN163" si="102">CEILING(CI161*0.18, 50)</f>
        <v>0</v>
      </c>
      <c r="CJ163" s="446">
        <f t="shared" si="102"/>
        <v>0</v>
      </c>
      <c r="CK163" s="446">
        <f t="shared" si="102"/>
        <v>0</v>
      </c>
      <c r="CL163" s="446">
        <f t="shared" si="102"/>
        <v>0</v>
      </c>
      <c r="CM163" s="446">
        <f t="shared" si="102"/>
        <v>0</v>
      </c>
      <c r="CN163" s="446">
        <f t="shared" si="102"/>
        <v>0</v>
      </c>
      <c r="CO163" s="1725"/>
      <c r="CP163" s="1725"/>
      <c r="CQ163" s="1725"/>
      <c r="CR163" s="1725"/>
      <c r="CS163" s="1725"/>
      <c r="CT163" s="1725"/>
      <c r="CU163" s="1725"/>
      <c r="CV163" s="1725"/>
      <c r="CW163" s="446">
        <f t="shared" ref="CW163:DC163" si="103">CEILING(CW161*0.15, 50)</f>
        <v>0</v>
      </c>
      <c r="CX163" s="446">
        <f t="shared" si="103"/>
        <v>0</v>
      </c>
      <c r="CY163" s="446">
        <f t="shared" si="103"/>
        <v>0</v>
      </c>
      <c r="CZ163" s="446">
        <f t="shared" si="103"/>
        <v>0</v>
      </c>
      <c r="DA163" s="446">
        <f t="shared" si="103"/>
        <v>0</v>
      </c>
      <c r="DB163" s="446">
        <f t="shared" si="103"/>
        <v>0</v>
      </c>
      <c r="DC163" s="446">
        <f t="shared" si="103"/>
        <v>0</v>
      </c>
      <c r="DD163" s="1725"/>
      <c r="DE163" s="1725"/>
      <c r="DF163" s="1725"/>
      <c r="DG163" s="1725"/>
      <c r="DH163" s="1725"/>
      <c r="DI163" s="1725"/>
      <c r="DJ163" s="1725"/>
      <c r="DK163" s="1725"/>
      <c r="DL163" s="1725"/>
      <c r="DM163" s="1725"/>
      <c r="DN163" s="1725"/>
      <c r="DO163" s="1725"/>
      <c r="DP163" s="1725"/>
      <c r="DQ163" s="1725"/>
      <c r="DR163" s="1725"/>
      <c r="DS163" s="1725"/>
      <c r="DT163" s="1725"/>
      <c r="DU163" s="1725"/>
      <c r="DV163" s="1725"/>
      <c r="DW163" s="1725"/>
      <c r="DX163" s="1725"/>
      <c r="DY163" s="1725"/>
      <c r="DZ163" s="1651"/>
      <c r="EA163" s="1651"/>
      <c r="EB163" s="1651"/>
      <c r="EC163" s="1651"/>
      <c r="ED163" s="1651"/>
      <c r="EE163" s="1651"/>
      <c r="EF163" s="1651"/>
      <c r="EG163" s="1651"/>
      <c r="EH163" s="1651"/>
      <c r="EI163" s="1651"/>
      <c r="EJ163" s="1651"/>
      <c r="EK163" s="1651"/>
      <c r="EL163" s="1651"/>
      <c r="EM163" s="1651"/>
      <c r="EN163" s="1651"/>
      <c r="EO163" s="1651"/>
      <c r="EP163" s="1651"/>
    </row>
    <row r="164" spans="1:146" s="1651" customFormat="1" hidden="1" outlineLevel="2">
      <c r="B164" s="1759"/>
      <c r="C164" s="4948" t="s">
        <v>2185</v>
      </c>
      <c r="D164" s="2323">
        <v>1300</v>
      </c>
      <c r="E164" s="2323" t="s">
        <v>2186</v>
      </c>
      <c r="F164" s="2323" t="s">
        <v>2187</v>
      </c>
      <c r="G164" s="2323" t="s">
        <v>2189</v>
      </c>
      <c r="H164" s="2323" t="s">
        <v>2188</v>
      </c>
      <c r="I164" s="2323" t="s">
        <v>2190</v>
      </c>
      <c r="CH164" s="1742"/>
      <c r="CI164" s="1742"/>
      <c r="CJ164" s="1742"/>
      <c r="CK164" s="1742"/>
      <c r="CL164" s="1742"/>
      <c r="CM164" s="1742"/>
      <c r="CN164" s="1742"/>
      <c r="CW164" s="1742"/>
      <c r="CX164" s="1742"/>
      <c r="CY164" s="1742"/>
      <c r="CZ164" s="1742"/>
      <c r="DA164" s="1742"/>
      <c r="DB164" s="1742"/>
      <c r="DC164" s="1742"/>
      <c r="DI164" s="1742"/>
      <c r="DJ164" s="1742"/>
      <c r="DN164" s="1742"/>
    </row>
    <row r="165" spans="1:146" s="1651" customFormat="1" ht="15.75" hidden="1" outlineLevel="2">
      <c r="A165" s="1726"/>
      <c r="B165" s="1727"/>
      <c r="C165" s="4949"/>
      <c r="D165" s="1758">
        <v>1350</v>
      </c>
      <c r="E165" s="1758">
        <f>E215*2.5+T215*5</f>
        <v>0</v>
      </c>
      <c r="F165" s="1758" t="e">
        <f>E212*2.5+T212*5</f>
        <v>#REF!</v>
      </c>
      <c r="G165" s="1758">
        <f>E213*2.5+T213*5</f>
        <v>0</v>
      </c>
      <c r="H165" s="1758">
        <f>E214*2.5+T214*5</f>
        <v>0</v>
      </c>
      <c r="I165" s="1758">
        <f>E211*2.5+T211*5</f>
        <v>0.18837265286470894</v>
      </c>
      <c r="J165" s="761"/>
      <c r="K165" s="761"/>
      <c r="L165" s="761"/>
      <c r="M165" s="761">
        <f>E203*2.5+T203*5</f>
        <v>0</v>
      </c>
      <c r="N165" s="761"/>
      <c r="O165" s="761"/>
      <c r="P165" s="761"/>
      <c r="Q165" s="1727"/>
      <c r="R165" s="246"/>
      <c r="S165" s="246"/>
      <c r="T165" s="761"/>
      <c r="U165" s="246"/>
      <c r="V165" s="246"/>
      <c r="W165" s="246"/>
      <c r="X165" s="246"/>
      <c r="Y165" s="246"/>
      <c r="Z165" s="246"/>
      <c r="AA165" s="246"/>
      <c r="AB165" s="246"/>
      <c r="AC165" s="246"/>
      <c r="AD165" s="246"/>
      <c r="AE165" s="246"/>
      <c r="AF165" s="246"/>
      <c r="AG165" s="761"/>
      <c r="AH165" s="761"/>
      <c r="AI165" s="761"/>
      <c r="AJ165" s="761"/>
      <c r="AK165" s="761"/>
      <c r="AL165" s="761"/>
      <c r="AM165" s="761"/>
      <c r="AN165" s="761"/>
      <c r="AO165" s="1727"/>
      <c r="AP165" s="246"/>
      <c r="AQ165" s="246"/>
      <c r="AR165" s="246"/>
      <c r="AS165" s="246"/>
      <c r="AT165" s="246"/>
      <c r="AU165" s="246"/>
      <c r="AV165" s="246"/>
      <c r="AW165" s="246"/>
      <c r="AX165" s="246"/>
      <c r="AY165" s="246"/>
      <c r="AZ165" s="246"/>
      <c r="BA165" s="246"/>
      <c r="BB165" s="246"/>
      <c r="BC165" s="4867" t="s">
        <v>882</v>
      </c>
      <c r="BD165" s="4867" t="s">
        <v>883</v>
      </c>
      <c r="BE165" s="4907" t="s">
        <v>695</v>
      </c>
      <c r="BF165" s="4867" t="s">
        <v>1031</v>
      </c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  <c r="ED165" s="246"/>
      <c r="EE165" s="246"/>
      <c r="EF165" s="246"/>
      <c r="EG165" s="246"/>
      <c r="EH165" s="246"/>
      <c r="EI165" s="246"/>
      <c r="EJ165" s="246"/>
      <c r="EK165" s="761"/>
      <c r="EL165" s="761"/>
      <c r="EM165" s="761"/>
      <c r="EN165" s="761"/>
      <c r="EO165" s="761"/>
      <c r="EP165" s="761"/>
    </row>
    <row r="166" spans="1:146" s="761" customFormat="1" ht="21" hidden="1" customHeight="1" outlineLevel="2">
      <c r="A166" s="1649" t="s">
        <v>1040</v>
      </c>
      <c r="B166" s="1727"/>
      <c r="C166" s="2626"/>
      <c r="D166" s="2627">
        <v>1400</v>
      </c>
      <c r="E166" s="2628"/>
      <c r="F166" s="2628"/>
      <c r="G166" s="2628"/>
      <c r="H166" s="2628"/>
      <c r="I166" s="2628"/>
      <c r="Q166" s="1727"/>
      <c r="R166" s="246"/>
      <c r="S166" s="246"/>
      <c r="U166" s="246"/>
      <c r="V166" s="246"/>
      <c r="W166" s="246"/>
      <c r="X166" s="246"/>
      <c r="Y166" s="246"/>
      <c r="Z166" s="246"/>
      <c r="AA166" s="246"/>
      <c r="AB166" s="246"/>
      <c r="AC166" s="246"/>
      <c r="AD166" s="246"/>
      <c r="AE166" s="246"/>
      <c r="AF166" s="246"/>
      <c r="AO166" s="1727"/>
      <c r="AP166" s="246"/>
      <c r="AQ166" s="246"/>
      <c r="AR166" s="246"/>
      <c r="AS166" s="246"/>
      <c r="AT166" s="246"/>
      <c r="AU166" s="246"/>
      <c r="AV166" s="246"/>
      <c r="AW166" s="246"/>
      <c r="AX166" s="246"/>
      <c r="AY166" s="246"/>
      <c r="AZ166" s="246"/>
      <c r="BA166" s="246"/>
      <c r="BB166" s="246"/>
      <c r="BC166" s="4927"/>
      <c r="BD166" s="4927"/>
      <c r="BE166" s="4985"/>
      <c r="BF166" s="4927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  <c r="ED166" s="246"/>
      <c r="EE166" s="246"/>
      <c r="EF166" s="246"/>
      <c r="EG166" s="246"/>
      <c r="EH166" s="246"/>
      <c r="EI166" s="246"/>
      <c r="EJ166" s="246"/>
    </row>
    <row r="167" spans="1:146" s="761" customFormat="1" ht="21" hidden="1" customHeight="1" outlineLevel="2">
      <c r="A167" s="4938" t="s">
        <v>1016</v>
      </c>
      <c r="B167" s="4938"/>
      <c r="C167" s="1654"/>
      <c r="D167" s="1791">
        <v>1300</v>
      </c>
      <c r="E167" s="1792"/>
      <c r="F167" s="1792"/>
      <c r="G167" s="1792"/>
      <c r="H167" s="1792"/>
      <c r="I167" s="1792"/>
      <c r="J167" s="1792"/>
      <c r="K167" s="1792"/>
      <c r="L167" s="1792"/>
      <c r="M167" s="1792"/>
      <c r="N167" s="1792"/>
      <c r="O167" s="1792"/>
      <c r="P167" s="1793"/>
      <c r="Q167" s="1655"/>
      <c r="R167" s="1783" t="s">
        <v>89</v>
      </c>
      <c r="S167" s="1784"/>
      <c r="T167" s="1784"/>
      <c r="U167" s="1784"/>
      <c r="V167" s="1784"/>
      <c r="W167" s="1784"/>
      <c r="X167" s="1784"/>
      <c r="Y167" s="1784"/>
      <c r="Z167" s="1784"/>
      <c r="AA167" s="1784"/>
      <c r="AB167" s="1784"/>
      <c r="AC167" s="1784"/>
      <c r="AD167" s="1784"/>
      <c r="AE167" s="1784"/>
      <c r="AF167" s="1784"/>
      <c r="AG167" s="1784"/>
      <c r="AH167" s="1656"/>
      <c r="AI167" s="1656"/>
      <c r="AJ167" s="1784"/>
      <c r="AK167" s="1784"/>
      <c r="AL167" s="1784"/>
      <c r="AM167" s="1784"/>
      <c r="AN167" s="1784"/>
      <c r="AO167" s="1655"/>
      <c r="AP167" s="1783" t="s">
        <v>2194</v>
      </c>
      <c r="AQ167" s="1783"/>
      <c r="AR167" s="4914" t="s">
        <v>1014</v>
      </c>
      <c r="AS167" s="4914"/>
      <c r="AT167" s="4915"/>
      <c r="AU167" s="4914"/>
      <c r="AV167" s="4915"/>
      <c r="AW167" s="4914"/>
      <c r="AX167" s="4914"/>
      <c r="AY167" s="4914"/>
      <c r="AZ167" s="4914"/>
      <c r="BA167" s="4914"/>
      <c r="BB167" s="4914"/>
      <c r="BC167" s="4927"/>
      <c r="BD167" s="4927"/>
      <c r="BE167" s="4985"/>
      <c r="BF167" s="4927"/>
      <c r="BG167" s="1655"/>
      <c r="BH167" s="4873" t="s">
        <v>108</v>
      </c>
      <c r="BI167" s="4874"/>
      <c r="BJ167" s="4874"/>
      <c r="BK167" s="4874"/>
      <c r="BL167" s="4874"/>
      <c r="BM167" s="4874"/>
      <c r="BN167" s="4874"/>
      <c r="BO167" s="4874"/>
      <c r="BP167" s="4874"/>
      <c r="BQ167" s="1655"/>
      <c r="BR167" s="4875" t="s">
        <v>456</v>
      </c>
      <c r="BS167" s="4875"/>
      <c r="BT167" s="4875"/>
      <c r="BU167" s="4875"/>
      <c r="BV167" s="4875"/>
      <c r="BW167" s="4875"/>
      <c r="BX167" s="4875"/>
      <c r="BY167" s="1655"/>
      <c r="BZ167" s="4857" t="s">
        <v>1015</v>
      </c>
      <c r="CA167" s="4858"/>
      <c r="CB167" s="4858"/>
      <c r="CC167" s="4858"/>
      <c r="CD167" s="4858"/>
      <c r="CE167" s="4858"/>
      <c r="CF167" s="4858"/>
      <c r="CG167" s="4858"/>
      <c r="CH167" s="4858"/>
      <c r="CI167" s="4858"/>
      <c r="CJ167" s="4858"/>
      <c r="CK167" s="4858"/>
      <c r="CL167" s="4858"/>
      <c r="CM167" s="4858"/>
      <c r="CN167" s="4858"/>
      <c r="CO167" s="4858"/>
      <c r="CP167" s="4858"/>
      <c r="CQ167" s="4858"/>
      <c r="CR167" s="4858"/>
      <c r="CS167" s="4858"/>
      <c r="CT167" s="4858"/>
      <c r="CU167" s="4858"/>
      <c r="CV167" s="4858"/>
      <c r="CW167" s="4858"/>
      <c r="CX167" s="4858"/>
      <c r="CY167" s="4858"/>
      <c r="CZ167" s="4858"/>
      <c r="DA167" s="4858"/>
      <c r="DB167" s="4858"/>
      <c r="DC167" s="4858"/>
      <c r="DD167" s="1655"/>
      <c r="DE167" s="1658"/>
      <c r="DF167" s="1658"/>
      <c r="DG167" s="1658"/>
      <c r="DH167" s="1658"/>
      <c r="DI167" s="1658"/>
      <c r="DJ167" s="1658"/>
      <c r="DK167" s="1659" t="s">
        <v>1038</v>
      </c>
      <c r="DL167" s="1658"/>
      <c r="DM167" s="1658"/>
      <c r="DN167" s="1658"/>
      <c r="DO167" s="1658"/>
      <c r="DP167" s="1658"/>
      <c r="DQ167" s="1658"/>
      <c r="DR167" s="1660"/>
      <c r="DS167" s="1655"/>
      <c r="DT167" s="4876" t="s">
        <v>693</v>
      </c>
      <c r="DU167" s="4876"/>
      <c r="DV167" s="4876"/>
      <c r="DW167" s="4877"/>
      <c r="DX167" s="4876"/>
      <c r="DY167" s="4876"/>
      <c r="DZ167" s="159"/>
      <c r="EA167" s="159"/>
      <c r="EB167" s="159"/>
      <c r="EC167" s="159"/>
      <c r="ED167" s="159"/>
      <c r="EE167" s="159"/>
      <c r="EF167" s="159"/>
      <c r="EG167" s="159"/>
      <c r="EH167" s="159"/>
      <c r="EI167" s="159"/>
      <c r="EJ167" s="159"/>
      <c r="EK167" s="159"/>
      <c r="EL167" s="159"/>
      <c r="EM167" s="159"/>
      <c r="EN167" s="159"/>
      <c r="EO167" s="159"/>
      <c r="EP167" s="159"/>
    </row>
    <row r="168" spans="1:146" s="761" customFormat="1" ht="21" hidden="1" customHeight="1" outlineLevel="2">
      <c r="A168" s="4938" t="s">
        <v>725</v>
      </c>
      <c r="B168" s="4938"/>
      <c r="C168" s="1661"/>
      <c r="D168" s="1785">
        <v>1350</v>
      </c>
      <c r="E168" s="1786"/>
      <c r="F168" s="1786"/>
      <c r="G168" s="1786"/>
      <c r="H168" s="1786"/>
      <c r="I168" s="1786"/>
      <c r="J168" s="1786"/>
      <c r="K168" s="1786"/>
      <c r="L168" s="1787"/>
      <c r="M168" s="4878" t="s">
        <v>1023</v>
      </c>
      <c r="N168" s="4879"/>
      <c r="O168" s="4879"/>
      <c r="P168" s="4880"/>
      <c r="Q168" s="1662"/>
      <c r="R168" s="1788" t="s">
        <v>1026</v>
      </c>
      <c r="S168" s="1789"/>
      <c r="T168" s="1789"/>
      <c r="U168" s="1789"/>
      <c r="V168" s="1789"/>
      <c r="W168" s="1789"/>
      <c r="X168" s="1789"/>
      <c r="Y168" s="1789"/>
      <c r="Z168" s="1789"/>
      <c r="AA168" s="1789"/>
      <c r="AB168" s="1789"/>
      <c r="AC168" s="1789"/>
      <c r="AD168" s="1789"/>
      <c r="AE168" s="1789"/>
      <c r="AF168" s="1790"/>
      <c r="AG168" s="1666" t="s">
        <v>1027</v>
      </c>
      <c r="AH168" s="1667"/>
      <c r="AI168" s="1667"/>
      <c r="AJ168" s="1667"/>
      <c r="AK168" s="1667"/>
      <c r="AL168" s="1668"/>
      <c r="AM168" s="1669" t="s">
        <v>1028</v>
      </c>
      <c r="AN168" s="1670"/>
      <c r="AO168" s="1662"/>
      <c r="AP168" s="1788"/>
      <c r="AQ168" s="1788"/>
      <c r="AR168" s="4939" t="s">
        <v>1047</v>
      </c>
      <c r="AS168" s="4940"/>
      <c r="AT168" s="4940"/>
      <c r="AU168" s="4941"/>
      <c r="AV168" s="2601"/>
      <c r="AW168" s="4881" t="s">
        <v>1048</v>
      </c>
      <c r="AX168" s="4883" t="s">
        <v>1049</v>
      </c>
      <c r="AY168" s="4884"/>
      <c r="AZ168" s="4884"/>
      <c r="BA168" s="4884"/>
      <c r="BB168" s="4885"/>
      <c r="BC168" s="4867"/>
      <c r="BD168" s="4867"/>
      <c r="BE168" s="4985"/>
      <c r="BF168" s="4867"/>
      <c r="BG168" s="1662"/>
      <c r="BH168" s="4889" t="s">
        <v>709</v>
      </c>
      <c r="BI168" s="4890"/>
      <c r="BJ168" s="4891"/>
      <c r="BK168" s="4889" t="s">
        <v>1022</v>
      </c>
      <c r="BL168" s="4890"/>
      <c r="BM168" s="4891"/>
      <c r="BN168" s="4881" t="s">
        <v>1030</v>
      </c>
      <c r="BO168" s="4881" t="s">
        <v>743</v>
      </c>
      <c r="BP168" s="4881" t="s">
        <v>1029</v>
      </c>
      <c r="BQ168" s="1662"/>
      <c r="BR168" s="4895" t="s">
        <v>1052</v>
      </c>
      <c r="BS168" s="4896"/>
      <c r="BT168" s="4897"/>
      <c r="BU168" s="4901" t="s">
        <v>1053</v>
      </c>
      <c r="BV168" s="4902"/>
      <c r="BW168" s="4903"/>
      <c r="BX168" s="4907" t="s">
        <v>1054</v>
      </c>
      <c r="BY168" s="1662"/>
      <c r="BZ168" s="4909" t="s">
        <v>1020</v>
      </c>
      <c r="CA168" s="4910"/>
      <c r="CB168" s="4910"/>
      <c r="CC168" s="4910"/>
      <c r="CD168" s="4910"/>
      <c r="CE168" s="4910"/>
      <c r="CF168" s="4910"/>
      <c r="CG168" s="4910"/>
      <c r="CH168" s="4910"/>
      <c r="CI168" s="4910"/>
      <c r="CJ168" s="4910"/>
      <c r="CK168" s="4910"/>
      <c r="CL168" s="4910"/>
      <c r="CM168" s="4910"/>
      <c r="CN168" s="4911"/>
      <c r="CO168" s="4912" t="s">
        <v>1021</v>
      </c>
      <c r="CP168" s="4913"/>
      <c r="CQ168" s="4913"/>
      <c r="CR168" s="4913"/>
      <c r="CS168" s="4913"/>
      <c r="CT168" s="4913"/>
      <c r="CU168" s="4913"/>
      <c r="CV168" s="4913"/>
      <c r="CW168" s="4913"/>
      <c r="CX168" s="4913"/>
      <c r="CY168" s="4913"/>
      <c r="CZ168" s="4913"/>
      <c r="DA168" s="4913"/>
      <c r="DB168" s="4913"/>
      <c r="DC168" s="4913"/>
      <c r="DD168" s="1662"/>
      <c r="DE168" s="4850" t="s">
        <v>710</v>
      </c>
      <c r="DF168" s="4850"/>
      <c r="DG168" s="4850" t="s">
        <v>711</v>
      </c>
      <c r="DH168" s="4850"/>
      <c r="DI168" s="4850" t="s">
        <v>712</v>
      </c>
      <c r="DJ168" s="4850"/>
      <c r="DK168" s="4850" t="s">
        <v>713</v>
      </c>
      <c r="DL168" s="4850"/>
      <c r="DM168" s="4850" t="s">
        <v>714</v>
      </c>
      <c r="DN168" s="4850"/>
      <c r="DO168" s="4850"/>
      <c r="DP168" s="4850" t="s">
        <v>715</v>
      </c>
      <c r="DQ168" s="4850" t="s">
        <v>716</v>
      </c>
      <c r="DR168" s="4850" t="s">
        <v>717</v>
      </c>
      <c r="DS168" s="1662"/>
      <c r="DT168" s="4851" t="s">
        <v>1037</v>
      </c>
      <c r="DU168" s="4851"/>
      <c r="DV168" s="4851"/>
      <c r="DW168" s="2948"/>
      <c r="DX168" s="4851" t="s">
        <v>996</v>
      </c>
      <c r="DY168" s="4851"/>
      <c r="DZ168" s="1671"/>
      <c r="EA168" s="1671"/>
      <c r="EB168" s="1671"/>
      <c r="EC168" s="1671"/>
      <c r="ED168" s="1671"/>
      <c r="EE168" s="1671"/>
      <c r="EF168" s="1671"/>
      <c r="EG168" s="1671"/>
      <c r="EH168" s="1671"/>
      <c r="EI168" s="1671"/>
      <c r="EJ168" s="1671"/>
      <c r="EK168" s="1671"/>
      <c r="EL168" s="1671"/>
      <c r="EM168" s="1671"/>
      <c r="EN168" s="1671"/>
      <c r="EO168" s="1671"/>
      <c r="EP168" s="1671"/>
    </row>
    <row r="169" spans="1:146" s="1651" customFormat="1" ht="38.25" hidden="1" outlineLevel="2">
      <c r="A169" s="4938"/>
      <c r="B169" s="4938"/>
      <c r="C169" s="1654"/>
      <c r="D169" s="1672">
        <v>1400</v>
      </c>
      <c r="E169" s="1672" t="s">
        <v>971</v>
      </c>
      <c r="F169" s="1672" t="s">
        <v>970</v>
      </c>
      <c r="G169" s="1673" t="s">
        <v>18</v>
      </c>
      <c r="H169" s="1673" t="s">
        <v>380</v>
      </c>
      <c r="I169" s="1674" t="s">
        <v>705</v>
      </c>
      <c r="J169" s="2595" t="s">
        <v>1006</v>
      </c>
      <c r="K169" s="753" t="s">
        <v>1007</v>
      </c>
      <c r="L169" s="753" t="s">
        <v>1008</v>
      </c>
      <c r="M169" s="4916" t="s">
        <v>1024</v>
      </c>
      <c r="N169" s="4917"/>
      <c r="O169" s="4918"/>
      <c r="P169" s="753" t="s">
        <v>1025</v>
      </c>
      <c r="Q169" s="1655"/>
      <c r="R169" s="1672" t="s">
        <v>2191</v>
      </c>
      <c r="S169" s="1672" t="s">
        <v>1010</v>
      </c>
      <c r="T169" s="1657" t="s">
        <v>1013</v>
      </c>
      <c r="U169" s="1656"/>
      <c r="V169" s="1656"/>
      <c r="W169" s="1677"/>
      <c r="X169" s="2634"/>
      <c r="Y169" s="2634"/>
      <c r="Z169" s="2634"/>
      <c r="AA169" s="2634"/>
      <c r="AB169" s="1678" t="s">
        <v>92</v>
      </c>
      <c r="AC169" s="1678" t="s">
        <v>93</v>
      </c>
      <c r="AD169" s="1678"/>
      <c r="AE169" s="2594"/>
      <c r="AF169" s="1678" t="s">
        <v>257</v>
      </c>
      <c r="AG169" s="1680" t="s">
        <v>18</v>
      </c>
      <c r="AH169" s="2682"/>
      <c r="AI169" s="2682"/>
      <c r="AJ169" s="1680" t="s">
        <v>380</v>
      </c>
      <c r="AK169" s="754" t="s">
        <v>705</v>
      </c>
      <c r="AL169" s="754" t="s">
        <v>706</v>
      </c>
      <c r="AM169" s="1681" t="s">
        <v>1011</v>
      </c>
      <c r="AN169" s="1681" t="s">
        <v>1012</v>
      </c>
      <c r="AO169" s="1655"/>
      <c r="AP169" s="1672" t="s">
        <v>2191</v>
      </c>
      <c r="AQ169" s="1672" t="s">
        <v>2191</v>
      </c>
      <c r="AR169" s="4942"/>
      <c r="AS169" s="4943"/>
      <c r="AT169" s="4943"/>
      <c r="AU169" s="4944"/>
      <c r="AV169" s="2602"/>
      <c r="AW169" s="4882"/>
      <c r="AX169" s="4886"/>
      <c r="AY169" s="4887"/>
      <c r="AZ169" s="4887"/>
      <c r="BA169" s="4887"/>
      <c r="BB169" s="4888"/>
      <c r="BC169" s="4867"/>
      <c r="BD169" s="4867"/>
      <c r="BE169" s="4908"/>
      <c r="BF169" s="4867"/>
      <c r="BG169" s="1655"/>
      <c r="BH169" s="4892"/>
      <c r="BI169" s="4893"/>
      <c r="BJ169" s="4894"/>
      <c r="BK169" s="4892"/>
      <c r="BL169" s="4893"/>
      <c r="BM169" s="4894"/>
      <c r="BN169" s="4882"/>
      <c r="BO169" s="4882"/>
      <c r="BP169" s="4882"/>
      <c r="BQ169" s="1655"/>
      <c r="BR169" s="4898"/>
      <c r="BS169" s="4899"/>
      <c r="BT169" s="4900"/>
      <c r="BU169" s="4904"/>
      <c r="BV169" s="4905"/>
      <c r="BW169" s="4906"/>
      <c r="BX169" s="4908"/>
      <c r="BY169" s="1655"/>
      <c r="BZ169" s="4857" t="s">
        <v>447</v>
      </c>
      <c r="CA169" s="4858"/>
      <c r="CB169" s="4858"/>
      <c r="CC169" s="4859"/>
      <c r="CD169" s="4860" t="s">
        <v>448</v>
      </c>
      <c r="CE169" s="4861"/>
      <c r="CF169" s="4861"/>
      <c r="CG169" s="4862"/>
      <c r="CH169" s="4857" t="s">
        <v>445</v>
      </c>
      <c r="CI169" s="4858"/>
      <c r="CJ169" s="4859"/>
      <c r="CK169" s="4860" t="s">
        <v>446</v>
      </c>
      <c r="CL169" s="4861"/>
      <c r="CM169" s="4862"/>
      <c r="CN169" s="809" t="s">
        <v>449</v>
      </c>
      <c r="CO169" s="4863" t="s">
        <v>452</v>
      </c>
      <c r="CP169" s="4864"/>
      <c r="CQ169" s="4864"/>
      <c r="CR169" s="4865"/>
      <c r="CS169" s="4863" t="s">
        <v>453</v>
      </c>
      <c r="CT169" s="4864"/>
      <c r="CU169" s="4864"/>
      <c r="CV169" s="4865"/>
      <c r="CW169" s="4852" t="s">
        <v>889</v>
      </c>
      <c r="CX169" s="4853"/>
      <c r="CY169" s="4853"/>
      <c r="CZ169" s="4852" t="s">
        <v>890</v>
      </c>
      <c r="DA169" s="4853"/>
      <c r="DB169" s="4853"/>
      <c r="DC169" s="1683" t="s">
        <v>454</v>
      </c>
      <c r="DD169" s="1655"/>
      <c r="DE169" s="4850"/>
      <c r="DF169" s="4850"/>
      <c r="DG169" s="4850"/>
      <c r="DH169" s="4850"/>
      <c r="DI169" s="4850"/>
      <c r="DJ169" s="4850"/>
      <c r="DK169" s="1684" t="s">
        <v>189</v>
      </c>
      <c r="DL169" s="1684" t="s">
        <v>190</v>
      </c>
      <c r="DM169" s="1685" t="s">
        <v>187</v>
      </c>
      <c r="DN169" s="1685" t="s">
        <v>719</v>
      </c>
      <c r="DO169" s="1686" t="s">
        <v>720</v>
      </c>
      <c r="DP169" s="4850"/>
      <c r="DQ169" s="4850"/>
      <c r="DR169" s="4850"/>
      <c r="DS169" s="1655"/>
      <c r="DT169" s="1687" t="s">
        <v>1032</v>
      </c>
      <c r="DU169" s="1687" t="s">
        <v>1033</v>
      </c>
      <c r="DV169" s="1687" t="s">
        <v>1034</v>
      </c>
      <c r="DW169" s="2949"/>
      <c r="DX169" s="1687" t="s">
        <v>986</v>
      </c>
      <c r="DY169" s="1687" t="s">
        <v>987</v>
      </c>
      <c r="DZ169" s="761"/>
      <c r="EA169" s="761"/>
      <c r="EB169" s="761"/>
      <c r="EC169" s="761"/>
      <c r="ED169" s="761"/>
      <c r="EE169" s="761"/>
      <c r="EF169" s="761"/>
      <c r="EG169" s="761"/>
      <c r="EH169" s="761"/>
      <c r="EI169" s="761"/>
      <c r="EJ169" s="761"/>
      <c r="EK169" s="761"/>
      <c r="EL169" s="761"/>
      <c r="EM169" s="761"/>
      <c r="EN169" s="761"/>
      <c r="EO169" s="761"/>
      <c r="EP169" s="761"/>
    </row>
    <row r="170" spans="1:146" s="159" customFormat="1" ht="22.5" hidden="1" customHeight="1" outlineLevel="3">
      <c r="A170" s="4929" t="s">
        <v>1017</v>
      </c>
      <c r="B170" s="4929"/>
      <c r="C170" s="1688"/>
      <c r="D170" s="1689">
        <v>1500</v>
      </c>
      <c r="E170" s="1689" t="s">
        <v>1041</v>
      </c>
      <c r="F170" s="1689" t="s">
        <v>1042</v>
      </c>
      <c r="G170" s="1690" t="s">
        <v>1043</v>
      </c>
      <c r="H170" s="1690" t="s">
        <v>1044</v>
      </c>
      <c r="I170" s="1691" t="s">
        <v>1045</v>
      </c>
      <c r="J170" s="1692" t="s">
        <v>1041</v>
      </c>
      <c r="K170" s="1693" t="s">
        <v>1046</v>
      </c>
      <c r="L170" s="1693" t="s">
        <v>440</v>
      </c>
      <c r="M170" s="1693" t="s">
        <v>492</v>
      </c>
      <c r="N170" s="1693" t="s">
        <v>491</v>
      </c>
      <c r="O170" s="1693" t="s">
        <v>707</v>
      </c>
      <c r="P170" s="1693" t="s">
        <v>708</v>
      </c>
      <c r="Q170" s="1694"/>
      <c r="R170" s="1689"/>
      <c r="S170" s="1689" t="s">
        <v>974</v>
      </c>
      <c r="T170" s="1695" t="s">
        <v>972</v>
      </c>
      <c r="U170" s="1695" t="s">
        <v>973</v>
      </c>
      <c r="V170" s="1695" t="s">
        <v>974</v>
      </c>
      <c r="W170" s="1695" t="s">
        <v>975</v>
      </c>
      <c r="X170" s="2635"/>
      <c r="Y170" s="2635"/>
      <c r="Z170" s="2635"/>
      <c r="AA170" s="2635"/>
      <c r="AB170" s="1695" t="s">
        <v>976</v>
      </c>
      <c r="AC170" s="1695" t="s">
        <v>977</v>
      </c>
      <c r="AD170" s="1695"/>
      <c r="AE170" s="1695"/>
      <c r="AF170" s="1695" t="s">
        <v>978</v>
      </c>
      <c r="AG170" s="1690" t="s">
        <v>973</v>
      </c>
      <c r="AH170" s="2683"/>
      <c r="AI170" s="2683"/>
      <c r="AJ170" s="1690" t="s">
        <v>973</v>
      </c>
      <c r="AK170" s="1696" t="s">
        <v>977</v>
      </c>
      <c r="AL170" s="1696" t="s">
        <v>980</v>
      </c>
      <c r="AM170" s="1697" t="s">
        <v>974</v>
      </c>
      <c r="AN170" s="1698" t="s">
        <v>972</v>
      </c>
      <c r="AO170" s="1694"/>
      <c r="AP170" s="1788">
        <v>100</v>
      </c>
      <c r="AQ170" s="1788">
        <v>200</v>
      </c>
      <c r="AR170" s="1693">
        <v>75</v>
      </c>
      <c r="AS170" s="1693">
        <v>150</v>
      </c>
      <c r="AT170" s="1693" t="s">
        <v>981</v>
      </c>
      <c r="AU170" s="1693" t="s">
        <v>981</v>
      </c>
      <c r="AV170" s="2695"/>
      <c r="AW170" s="1696" t="s">
        <v>207</v>
      </c>
      <c r="AX170" s="1699">
        <v>75</v>
      </c>
      <c r="AY170" s="1699">
        <v>100</v>
      </c>
      <c r="AZ170" s="1699">
        <v>120</v>
      </c>
      <c r="BA170" s="1699">
        <v>150</v>
      </c>
      <c r="BB170" s="1699">
        <v>200</v>
      </c>
      <c r="BC170" s="1700" t="s">
        <v>1051</v>
      </c>
      <c r="BD170" s="1701" t="s">
        <v>982</v>
      </c>
      <c r="BE170" s="1702"/>
      <c r="BF170" s="1703" t="s">
        <v>983</v>
      </c>
      <c r="BG170" s="1694"/>
      <c r="BH170" s="1696">
        <v>75</v>
      </c>
      <c r="BI170" s="1696">
        <v>90</v>
      </c>
      <c r="BJ170" s="1696">
        <v>110</v>
      </c>
      <c r="BK170" s="1696">
        <v>75</v>
      </c>
      <c r="BL170" s="1696">
        <v>90</v>
      </c>
      <c r="BM170" s="1696">
        <v>110</v>
      </c>
      <c r="BN170" s="1696" t="s">
        <v>979</v>
      </c>
      <c r="BO170" s="1696" t="s">
        <v>978</v>
      </c>
      <c r="BP170" s="1696" t="s">
        <v>978</v>
      </c>
      <c r="BQ170" s="1694"/>
      <c r="BR170" s="1704" t="s">
        <v>383</v>
      </c>
      <c r="BS170" s="1704" t="s">
        <v>381</v>
      </c>
      <c r="BT170" s="1704" t="s">
        <v>384</v>
      </c>
      <c r="BU170" s="1704" t="s">
        <v>385</v>
      </c>
      <c r="BV170" s="1704" t="s">
        <v>386</v>
      </c>
      <c r="BW170" s="1704" t="s">
        <v>387</v>
      </c>
      <c r="BX170" s="1704" t="s">
        <v>388</v>
      </c>
      <c r="BY170" s="1694"/>
      <c r="BZ170" s="1705" t="s">
        <v>1039</v>
      </c>
      <c r="CA170" s="1705" t="s">
        <v>467</v>
      </c>
      <c r="CB170" s="1705" t="s">
        <v>466</v>
      </c>
      <c r="CC170" s="1705" t="s">
        <v>470</v>
      </c>
      <c r="CD170" s="1705" t="s">
        <v>468</v>
      </c>
      <c r="CE170" s="1705" t="s">
        <v>467</v>
      </c>
      <c r="CF170" s="1705" t="s">
        <v>466</v>
      </c>
      <c r="CG170" s="1705" t="s">
        <v>470</v>
      </c>
      <c r="CH170" s="1705" t="s">
        <v>468</v>
      </c>
      <c r="CI170" s="1705" t="s">
        <v>467</v>
      </c>
      <c r="CJ170" s="1705" t="s">
        <v>466</v>
      </c>
      <c r="CK170" s="1705" t="s">
        <v>468</v>
      </c>
      <c r="CL170" s="1705" t="s">
        <v>467</v>
      </c>
      <c r="CM170" s="1705" t="s">
        <v>466</v>
      </c>
      <c r="CN170" s="1706" t="s">
        <v>469</v>
      </c>
      <c r="CO170" s="1699" t="s">
        <v>476</v>
      </c>
      <c r="CP170" s="1699" t="s">
        <v>477</v>
      </c>
      <c r="CQ170" s="1699" t="s">
        <v>478</v>
      </c>
      <c r="CR170" s="1699" t="s">
        <v>479</v>
      </c>
      <c r="CS170" s="1699" t="s">
        <v>476</v>
      </c>
      <c r="CT170" s="1699" t="s">
        <v>477</v>
      </c>
      <c r="CU170" s="1699" t="s">
        <v>478</v>
      </c>
      <c r="CV170" s="1699" t="s">
        <v>480</v>
      </c>
      <c r="CW170" s="1699" t="s">
        <v>472</v>
      </c>
      <c r="CX170" s="1699" t="s">
        <v>473</v>
      </c>
      <c r="CY170" s="1699" t="s">
        <v>474</v>
      </c>
      <c r="CZ170" s="1699" t="s">
        <v>472</v>
      </c>
      <c r="DA170" s="1699" t="s">
        <v>473</v>
      </c>
      <c r="DB170" s="1699" t="s">
        <v>474</v>
      </c>
      <c r="DC170" s="1699" t="s">
        <v>475</v>
      </c>
      <c r="DD170" s="1694"/>
      <c r="DE170" s="1707" t="s">
        <v>119</v>
      </c>
      <c r="DF170" s="1707" t="s">
        <v>120</v>
      </c>
      <c r="DG170" s="1707" t="s">
        <v>119</v>
      </c>
      <c r="DH170" s="1707" t="s">
        <v>120</v>
      </c>
      <c r="DI170" s="1707" t="s">
        <v>119</v>
      </c>
      <c r="DJ170" s="1707" t="s">
        <v>120</v>
      </c>
      <c r="DK170" s="1707" t="s">
        <v>121</v>
      </c>
      <c r="DL170" s="1707" t="s">
        <v>122</v>
      </c>
      <c r="DM170" s="1708" t="s">
        <v>1035</v>
      </c>
      <c r="DN170" s="1708" t="s">
        <v>1036</v>
      </c>
      <c r="DO170" s="1708" t="s">
        <v>1035</v>
      </c>
      <c r="DP170" s="1707" t="s">
        <v>124</v>
      </c>
      <c r="DQ170" s="1707" t="s">
        <v>125</v>
      </c>
      <c r="DR170" s="1707" t="s">
        <v>126</v>
      </c>
      <c r="DS170" s="1694"/>
      <c r="DT170" s="1702" t="s">
        <v>985</v>
      </c>
      <c r="DU170" s="1702" t="s">
        <v>985</v>
      </c>
      <c r="DV170" s="1709" t="s">
        <v>984</v>
      </c>
      <c r="DW170" s="2953"/>
      <c r="DX170" s="1702" t="s">
        <v>985</v>
      </c>
      <c r="DY170" s="1702" t="s">
        <v>985</v>
      </c>
      <c r="DZ170" s="1710"/>
      <c r="EA170" s="1710"/>
      <c r="EB170" s="1710"/>
      <c r="EC170" s="1710"/>
      <c r="ED170" s="1710"/>
      <c r="EE170" s="1710"/>
      <c r="EF170" s="1710"/>
      <c r="EG170" s="1710"/>
      <c r="EH170" s="1710"/>
      <c r="EI170" s="1710"/>
      <c r="EJ170" s="1710"/>
      <c r="EK170" s="1710"/>
      <c r="EL170" s="1710"/>
      <c r="EM170" s="1710"/>
      <c r="EN170" s="1710"/>
      <c r="EO170" s="1710"/>
      <c r="EP170" s="1710"/>
    </row>
    <row r="171" spans="1:146" s="1671" customFormat="1" ht="12.75" hidden="1" customHeight="1" outlineLevel="3">
      <c r="A171" s="4930" t="s">
        <v>1018</v>
      </c>
      <c r="B171" s="4931"/>
      <c r="C171" s="1735"/>
      <c r="D171" s="788">
        <v>1350</v>
      </c>
      <c r="E171" s="2733" t="s">
        <v>988</v>
      </c>
      <c r="F171" s="788"/>
      <c r="G171" s="788"/>
      <c r="H171" s="788"/>
      <c r="I171" s="788"/>
      <c r="J171" s="788"/>
      <c r="K171" s="788"/>
      <c r="L171" s="788"/>
      <c r="M171" s="788"/>
      <c r="N171" s="788"/>
      <c r="O171" s="788"/>
      <c r="P171" s="788"/>
      <c r="Q171" s="1714"/>
      <c r="R171" s="1739"/>
      <c r="S171" s="1739"/>
      <c r="T171" s="1739"/>
      <c r="U171" s="1739"/>
      <c r="V171" s="1739"/>
      <c r="W171" s="1739"/>
      <c r="X171" s="1753"/>
      <c r="Y171" s="1753"/>
      <c r="Z171" s="1753"/>
      <c r="AA171" s="1753"/>
      <c r="AB171" s="1739"/>
      <c r="AC171" s="1739"/>
      <c r="AD171" s="1739"/>
      <c r="AE171" s="1739"/>
      <c r="AF171" s="1739"/>
      <c r="AG171" s="1740"/>
      <c r="AH171" s="2687"/>
      <c r="AI171" s="2687"/>
      <c r="AJ171" s="1740"/>
      <c r="AK171" s="1713"/>
      <c r="AL171" s="1713"/>
      <c r="AM171" s="1715"/>
      <c r="AN171" s="1716"/>
      <c r="AO171" s="1714"/>
      <c r="AP171" s="1739"/>
      <c r="AQ171" s="1739"/>
      <c r="AR171" s="1717"/>
      <c r="AS171" s="1717"/>
      <c r="AT171" s="1717"/>
      <c r="AU171" s="1717"/>
      <c r="AV171" s="2697"/>
      <c r="AW171" s="1713"/>
      <c r="AX171" s="1716"/>
      <c r="AY171" s="1716"/>
      <c r="AZ171" s="1716"/>
      <c r="BA171" s="1716"/>
      <c r="BB171" s="1716"/>
      <c r="BC171" s="1739"/>
      <c r="BD171" s="1739"/>
      <c r="BE171" s="1713"/>
      <c r="BF171" s="1713"/>
      <c r="BG171" s="1714"/>
      <c r="BH171" s="1713"/>
      <c r="BI171" s="1713"/>
      <c r="BJ171" s="1713"/>
      <c r="BK171" s="1717"/>
      <c r="BL171" s="1713"/>
      <c r="BM171" s="1713"/>
      <c r="BN171" s="1713"/>
      <c r="BO171" s="1713"/>
      <c r="BP171" s="1713"/>
      <c r="BQ171" s="1714"/>
      <c r="BR171" s="1717"/>
      <c r="BS171" s="1717"/>
      <c r="BT171" s="1717"/>
      <c r="BU171" s="1717"/>
      <c r="BV171" s="1717"/>
      <c r="BW171" s="1717"/>
      <c r="BX171" s="1717"/>
      <c r="BY171" s="1714"/>
      <c r="BZ171" s="1713"/>
      <c r="CA171" s="1713"/>
      <c r="CB171" s="1713"/>
      <c r="CC171" s="1713"/>
      <c r="CD171" s="1713"/>
      <c r="CE171" s="1713"/>
      <c r="CF171" s="1713"/>
      <c r="CG171" s="1713"/>
      <c r="CH171" s="1713"/>
      <c r="CI171" s="1713"/>
      <c r="CJ171" s="1713"/>
      <c r="CK171" s="1713"/>
      <c r="CL171" s="1713"/>
      <c r="CM171" s="1713"/>
      <c r="CN171" s="1713"/>
      <c r="CO171" s="1713"/>
      <c r="CP171" s="1713"/>
      <c r="CQ171" s="1713"/>
      <c r="CR171" s="1713"/>
      <c r="CS171" s="1713"/>
      <c r="CT171" s="1713"/>
      <c r="CU171" s="1713"/>
      <c r="CV171" s="1713"/>
      <c r="CW171" s="1713"/>
      <c r="CX171" s="1713"/>
      <c r="CY171" s="1713"/>
      <c r="CZ171" s="1713"/>
      <c r="DA171" s="1713"/>
      <c r="DB171" s="1713"/>
      <c r="DC171" s="1713"/>
      <c r="DD171" s="1714"/>
      <c r="DE171" s="1713"/>
      <c r="DF171" s="1713"/>
      <c r="DG171" s="1713"/>
      <c r="DH171" s="1713"/>
      <c r="DI171" s="1713"/>
      <c r="DJ171" s="1713"/>
      <c r="DK171" s="1713"/>
      <c r="DL171" s="1713"/>
      <c r="DM171" s="1713"/>
      <c r="DN171" s="1713"/>
      <c r="DO171" s="1713"/>
      <c r="DP171" s="1713"/>
      <c r="DQ171" s="1713"/>
      <c r="DR171" s="1713"/>
      <c r="DS171" s="1714"/>
      <c r="DT171" s="1713"/>
      <c r="DU171" s="1713"/>
      <c r="DV171" s="1713"/>
      <c r="DW171" s="2727"/>
      <c r="DX171" s="1713"/>
      <c r="DY171" s="1713"/>
      <c r="DZ171" s="761"/>
      <c r="EA171" s="761"/>
      <c r="EB171" s="761"/>
      <c r="EC171" s="761"/>
      <c r="ED171" s="761"/>
      <c r="EE171" s="761"/>
      <c r="EF171" s="761"/>
      <c r="EG171" s="761"/>
      <c r="EH171" s="761"/>
      <c r="EI171" s="761"/>
      <c r="EJ171" s="761"/>
      <c r="EK171" s="761"/>
      <c r="EL171" s="761"/>
      <c r="EM171" s="761"/>
      <c r="EN171" s="761"/>
      <c r="EO171" s="761"/>
      <c r="EP171" s="761"/>
    </row>
    <row r="172" spans="1:146" s="761" customFormat="1" ht="38.25" hidden="1" customHeight="1" outlineLevel="3">
      <c r="A172" s="2603" t="s">
        <v>360</v>
      </c>
      <c r="B172" s="2604"/>
      <c r="C172" s="1735"/>
      <c r="D172" s="788">
        <v>1400</v>
      </c>
      <c r="E172" s="2734" t="e">
        <f>E28/E154-1</f>
        <v>#VALUE!</v>
      </c>
      <c r="F172" s="788"/>
      <c r="G172" s="788"/>
      <c r="H172" s="788"/>
      <c r="I172" s="788"/>
      <c r="J172" s="788"/>
      <c r="K172" s="788"/>
      <c r="L172" s="788"/>
      <c r="M172" s="788"/>
      <c r="N172" s="788"/>
      <c r="O172" s="788"/>
      <c r="P172" s="788"/>
      <c r="Q172" s="1714"/>
      <c r="R172" s="2723"/>
      <c r="S172" s="2723"/>
      <c r="T172" s="2723"/>
      <c r="U172" s="2723"/>
      <c r="V172" s="2723"/>
      <c r="W172" s="2723"/>
      <c r="X172" s="2723"/>
      <c r="Y172" s="2723"/>
      <c r="Z172" s="2723"/>
      <c r="AA172" s="2723"/>
      <c r="AB172" s="2723"/>
      <c r="AC172" s="2723"/>
      <c r="AD172" s="2723"/>
      <c r="AE172" s="2723"/>
      <c r="AF172" s="2723"/>
      <c r="AG172" s="2688"/>
      <c r="AH172" s="2688"/>
      <c r="AI172" s="2688"/>
      <c r="AJ172" s="2688"/>
      <c r="AK172" s="2727"/>
      <c r="AL172" s="2727"/>
      <c r="AM172" s="2728"/>
      <c r="AN172" s="2729"/>
      <c r="AO172" s="1714"/>
      <c r="AP172" s="2723"/>
      <c r="AQ172" s="2723"/>
      <c r="AR172" s="2697"/>
      <c r="AS172" s="2697"/>
      <c r="AT172" s="2697"/>
      <c r="AU172" s="2697"/>
      <c r="AV172" s="2697"/>
      <c r="AW172" s="2727"/>
      <c r="AX172" s="2729"/>
      <c r="AY172" s="2729"/>
      <c r="AZ172" s="2729"/>
      <c r="BA172" s="2729"/>
      <c r="BB172" s="2729"/>
      <c r="BC172" s="2723"/>
      <c r="BD172" s="2723"/>
      <c r="BE172" s="2727"/>
      <c r="BF172" s="2727"/>
      <c r="BG172" s="1714"/>
      <c r="BH172" s="2727"/>
      <c r="BI172" s="2727"/>
      <c r="BJ172" s="2727"/>
      <c r="BK172" s="2697"/>
      <c r="BL172" s="2727"/>
      <c r="BM172" s="2727"/>
      <c r="BN172" s="2727"/>
      <c r="BO172" s="2727"/>
      <c r="BP172" s="2727"/>
      <c r="BQ172" s="1714"/>
      <c r="BR172" s="2730"/>
      <c r="BS172" s="2730"/>
      <c r="BT172" s="2730"/>
      <c r="BU172" s="2697"/>
      <c r="BV172" s="2697"/>
      <c r="BW172" s="2697"/>
      <c r="BX172" s="2697"/>
      <c r="BY172" s="1714"/>
      <c r="BZ172" s="2727"/>
      <c r="CA172" s="2727"/>
      <c r="CB172" s="2727"/>
      <c r="CC172" s="2727"/>
      <c r="CD172" s="2727"/>
      <c r="CE172" s="2727"/>
      <c r="CF172" s="2727"/>
      <c r="CG172" s="2727"/>
      <c r="CH172" s="2727"/>
      <c r="CI172" s="2727"/>
      <c r="CJ172" s="2727"/>
      <c r="CK172" s="2727"/>
      <c r="CL172" s="2727"/>
      <c r="CM172" s="2727"/>
      <c r="CN172" s="2727"/>
      <c r="CO172" s="2727"/>
      <c r="CP172" s="2727"/>
      <c r="CQ172" s="2727"/>
      <c r="CR172" s="2727"/>
      <c r="CS172" s="2727"/>
      <c r="CT172" s="2727"/>
      <c r="CU172" s="2727"/>
      <c r="CV172" s="2727"/>
      <c r="CW172" s="2727"/>
      <c r="CX172" s="2727"/>
      <c r="CY172" s="2727"/>
      <c r="CZ172" s="2727"/>
      <c r="DA172" s="2727"/>
      <c r="DB172" s="2727"/>
      <c r="DC172" s="2727"/>
      <c r="DD172" s="1714"/>
      <c r="DE172" s="2727"/>
      <c r="DF172" s="2727"/>
      <c r="DG172" s="2727"/>
      <c r="DH172" s="2727"/>
      <c r="DI172" s="2727"/>
      <c r="DJ172" s="2727"/>
      <c r="DK172" s="2727"/>
      <c r="DL172" s="2727"/>
      <c r="DM172" s="2727"/>
      <c r="DN172" s="2727"/>
      <c r="DO172" s="2727"/>
      <c r="DP172" s="2727"/>
      <c r="DQ172" s="2727"/>
      <c r="DR172" s="2727"/>
      <c r="DS172" s="1714"/>
      <c r="DT172" s="2727"/>
      <c r="DU172" s="2727"/>
      <c r="DV172" s="2727"/>
      <c r="DW172" s="2727"/>
      <c r="DX172" s="2727"/>
      <c r="DY172" s="2727"/>
    </row>
    <row r="173" spans="1:146" s="1710" customFormat="1" ht="24" hidden="1" customHeight="1" outlineLevel="3">
      <c r="A173" s="4945" t="s">
        <v>910</v>
      </c>
      <c r="B173" s="2732" t="s">
        <v>1609</v>
      </c>
      <c r="C173" s="1735"/>
      <c r="D173" s="788">
        <v>1500</v>
      </c>
      <c r="E173" s="2734" t="e">
        <f>E29/E155-1</f>
        <v>#DIV/0!</v>
      </c>
      <c r="F173" s="788"/>
      <c r="G173" s="788"/>
      <c r="H173" s="788"/>
      <c r="I173" s="788"/>
      <c r="J173" s="788"/>
      <c r="K173" s="788"/>
      <c r="L173" s="788"/>
      <c r="M173" s="788" t="e">
        <f>O14/M31-1</f>
        <v>#DIV/0!</v>
      </c>
      <c r="N173" s="788"/>
      <c r="O173" s="788"/>
      <c r="P173" s="788" t="e">
        <f>P14/P31-1</f>
        <v>#DIV/0!</v>
      </c>
      <c r="Q173" s="1714"/>
      <c r="R173" s="1753"/>
      <c r="S173" s="1753"/>
      <c r="T173" s="1753"/>
      <c r="U173" s="1753"/>
      <c r="V173" s="1753"/>
      <c r="W173" s="1753"/>
      <c r="X173" s="1753"/>
      <c r="Y173" s="1753"/>
      <c r="Z173" s="1753"/>
      <c r="AA173" s="1753"/>
      <c r="AB173" s="1753"/>
      <c r="AC173" s="1753"/>
      <c r="AD173" s="1753"/>
      <c r="AE173" s="1753"/>
      <c r="AF173" s="1753"/>
      <c r="AG173" s="1749"/>
      <c r="AH173" s="2688"/>
      <c r="AI173" s="2688"/>
      <c r="AJ173" s="1749"/>
      <c r="AK173" s="1751"/>
      <c r="AL173" s="1751"/>
      <c r="AM173" s="1752"/>
      <c r="AN173" s="1754"/>
      <c r="AO173" s="1714"/>
      <c r="AP173" s="1753"/>
      <c r="AQ173" s="1753"/>
      <c r="AR173" s="1755"/>
      <c r="AS173" s="1755"/>
      <c r="AT173" s="1755"/>
      <c r="AU173" s="1755"/>
      <c r="AV173" s="2697"/>
      <c r="AW173" s="1751"/>
      <c r="AX173" s="1754"/>
      <c r="AY173" s="1754"/>
      <c r="AZ173" s="1754"/>
      <c r="BA173" s="1754"/>
      <c r="BB173" s="1754"/>
      <c r="BC173" s="1753"/>
      <c r="BD173" s="1753"/>
      <c r="BE173" s="1751"/>
      <c r="BF173" s="1751"/>
      <c r="BG173" s="1714"/>
      <c r="BH173" s="1751"/>
      <c r="BI173" s="1751"/>
      <c r="BJ173" s="1751"/>
      <c r="BK173" s="1755"/>
      <c r="BL173" s="1751"/>
      <c r="BM173" s="1751"/>
      <c r="BN173" s="1751"/>
      <c r="BO173" s="1751"/>
      <c r="BP173" s="1751"/>
      <c r="BQ173" s="1714"/>
      <c r="BR173" s="1795"/>
      <c r="BS173" s="1795"/>
      <c r="BT173" s="1795"/>
      <c r="BU173" s="1755"/>
      <c r="BV173" s="1755"/>
      <c r="BW173" s="1755"/>
      <c r="BX173" s="1755"/>
      <c r="BY173" s="1714"/>
      <c r="BZ173" s="1751"/>
      <c r="CA173" s="1751"/>
      <c r="CB173" s="1751"/>
      <c r="CC173" s="1751"/>
      <c r="CD173" s="1751"/>
      <c r="CE173" s="1751"/>
      <c r="CF173" s="1751"/>
      <c r="CG173" s="1751"/>
      <c r="CH173" s="1751"/>
      <c r="CI173" s="1751"/>
      <c r="CJ173" s="1751"/>
      <c r="CK173" s="1751"/>
      <c r="CL173" s="1751"/>
      <c r="CM173" s="1751"/>
      <c r="CN173" s="1751"/>
      <c r="CO173" s="1751"/>
      <c r="CP173" s="1751"/>
      <c r="CQ173" s="1751"/>
      <c r="CR173" s="1751"/>
      <c r="CS173" s="1751"/>
      <c r="CT173" s="1751"/>
      <c r="CU173" s="1751"/>
      <c r="CV173" s="1751"/>
      <c r="CW173" s="1751"/>
      <c r="CX173" s="1751"/>
      <c r="CY173" s="1751"/>
      <c r="CZ173" s="1751"/>
      <c r="DA173" s="1751"/>
      <c r="DB173" s="1751"/>
      <c r="DC173" s="1751"/>
      <c r="DD173" s="1714"/>
      <c r="DE173" s="1751"/>
      <c r="DF173" s="1751"/>
      <c r="DG173" s="1751"/>
      <c r="DH173" s="1751"/>
      <c r="DI173" s="1751"/>
      <c r="DJ173" s="1751"/>
      <c r="DK173" s="1751"/>
      <c r="DL173" s="1751"/>
      <c r="DM173" s="1751"/>
      <c r="DN173" s="1751"/>
      <c r="DO173" s="1751"/>
      <c r="DP173" s="1751"/>
      <c r="DQ173" s="1751"/>
      <c r="DR173" s="1751"/>
      <c r="DS173" s="1714"/>
      <c r="DT173" s="1751"/>
      <c r="DU173" s="1751"/>
      <c r="DV173" s="1751"/>
      <c r="DW173" s="2727"/>
      <c r="DX173" s="1751"/>
      <c r="DY173" s="1751"/>
      <c r="DZ173" s="761"/>
      <c r="EA173" s="761"/>
      <c r="EB173" s="761"/>
      <c r="EC173" s="761"/>
      <c r="ED173" s="761"/>
      <c r="EE173" s="761"/>
      <c r="EF173" s="761"/>
      <c r="EG173" s="761"/>
      <c r="EH173" s="761"/>
      <c r="EI173" s="761"/>
      <c r="EJ173" s="761"/>
      <c r="EK173" s="761"/>
      <c r="EL173" s="761"/>
      <c r="EM173" s="761"/>
      <c r="EN173" s="761"/>
      <c r="EO173" s="761"/>
      <c r="EP173" s="761"/>
    </row>
    <row r="174" spans="1:146" s="761" customFormat="1" ht="12.75" hidden="1" customHeight="1" outlineLevel="3">
      <c r="A174" s="4946"/>
      <c r="B174" s="2731" t="s">
        <v>439</v>
      </c>
      <c r="C174" s="1735"/>
      <c r="D174" s="788">
        <v>1750</v>
      </c>
      <c r="E174" s="2734" t="e">
        <f>E30/E156-1</f>
        <v>#DIV/0!</v>
      </c>
      <c r="F174" s="788"/>
      <c r="G174" s="788"/>
      <c r="H174" s="788"/>
      <c r="I174" s="788"/>
      <c r="J174" s="788"/>
      <c r="K174" s="788"/>
      <c r="L174" s="788"/>
      <c r="M174" s="788"/>
      <c r="N174" s="788"/>
      <c r="O174" s="788"/>
      <c r="P174" s="788"/>
      <c r="Q174" s="1714"/>
      <c r="R174" s="2723"/>
      <c r="S174" s="2723"/>
      <c r="T174" s="2723"/>
      <c r="U174" s="2723"/>
      <c r="V174" s="2723"/>
      <c r="W174" s="2723"/>
      <c r="X174" s="2723"/>
      <c r="Y174" s="2723"/>
      <c r="Z174" s="2723"/>
      <c r="AA174" s="2723"/>
      <c r="AB174" s="2723"/>
      <c r="AC174" s="2723"/>
      <c r="AD174" s="2723"/>
      <c r="AE174" s="2723"/>
      <c r="AF174" s="2723"/>
      <c r="AG174" s="2688"/>
      <c r="AH174" s="2688"/>
      <c r="AI174" s="2688"/>
      <c r="AJ174" s="2688"/>
      <c r="AK174" s="2727"/>
      <c r="AL174" s="2727"/>
      <c r="AM174" s="2728"/>
      <c r="AN174" s="2729"/>
      <c r="AO174" s="1714"/>
      <c r="AP174" s="2723"/>
      <c r="AQ174" s="2723"/>
      <c r="AR174" s="2697"/>
      <c r="AS174" s="2697"/>
      <c r="AT174" s="2697"/>
      <c r="AU174" s="2697"/>
      <c r="AV174" s="2697"/>
      <c r="AW174" s="2727"/>
      <c r="AX174" s="2729"/>
      <c r="AY174" s="2729"/>
      <c r="AZ174" s="2729"/>
      <c r="BA174" s="2729"/>
      <c r="BB174" s="2729"/>
      <c r="BC174" s="2723"/>
      <c r="BD174" s="2723"/>
      <c r="BE174" s="2727"/>
      <c r="BF174" s="2727"/>
      <c r="BG174" s="1714"/>
      <c r="BH174" s="2727"/>
      <c r="BI174" s="2727"/>
      <c r="BJ174" s="2727"/>
      <c r="BK174" s="2697"/>
      <c r="BL174" s="2727"/>
      <c r="BM174" s="2727"/>
      <c r="BN174" s="2727"/>
      <c r="BO174" s="2727"/>
      <c r="BP174" s="2727"/>
      <c r="BQ174" s="1714"/>
      <c r="BR174" s="2730"/>
      <c r="BS174" s="2730"/>
      <c r="BT174" s="2730"/>
      <c r="BU174" s="2697"/>
      <c r="BV174" s="2697"/>
      <c r="BW174" s="2697"/>
      <c r="BX174" s="2697"/>
      <c r="BY174" s="1714"/>
      <c r="BZ174" s="2727"/>
      <c r="CA174" s="2727"/>
      <c r="CB174" s="2727"/>
      <c r="CC174" s="2727"/>
      <c r="CD174" s="2727"/>
      <c r="CE174" s="2727"/>
      <c r="CF174" s="2727"/>
      <c r="CG174" s="2727"/>
      <c r="CH174" s="2727"/>
      <c r="CI174" s="2727"/>
      <c r="CJ174" s="2727"/>
      <c r="CK174" s="2727"/>
      <c r="CL174" s="2727"/>
      <c r="CM174" s="2727"/>
      <c r="CN174" s="2727"/>
      <c r="CO174" s="2727"/>
      <c r="CP174" s="2727"/>
      <c r="CQ174" s="2727"/>
      <c r="CR174" s="2727"/>
      <c r="CS174" s="2727"/>
      <c r="CT174" s="2727"/>
      <c r="CU174" s="2727"/>
      <c r="CV174" s="2727"/>
      <c r="CW174" s="2727"/>
      <c r="CX174" s="2727"/>
      <c r="CY174" s="2727"/>
      <c r="CZ174" s="2727"/>
      <c r="DA174" s="2727"/>
      <c r="DB174" s="2727"/>
      <c r="DC174" s="2727"/>
      <c r="DD174" s="1714"/>
      <c r="DE174" s="2727"/>
      <c r="DF174" s="2727"/>
      <c r="DG174" s="2727"/>
      <c r="DH174" s="2727"/>
      <c r="DI174" s="2727"/>
      <c r="DJ174" s="2727"/>
      <c r="DK174" s="2727"/>
      <c r="DL174" s="2727"/>
      <c r="DM174" s="2727"/>
      <c r="DN174" s="2727"/>
      <c r="DO174" s="2727"/>
      <c r="DP174" s="2727"/>
      <c r="DQ174" s="2727"/>
      <c r="DR174" s="2727"/>
      <c r="DS174" s="1714"/>
      <c r="DT174" s="2727"/>
      <c r="DU174" s="2727"/>
      <c r="DV174" s="2727"/>
      <c r="DW174" s="2727"/>
      <c r="DX174" s="2727"/>
      <c r="DY174" s="2727"/>
    </row>
    <row r="175" spans="1:146" s="761" customFormat="1" ht="15.75" hidden="1" customHeight="1" outlineLevel="3">
      <c r="A175" s="1774" t="s">
        <v>206</v>
      </c>
      <c r="B175" s="1775" t="s">
        <v>391</v>
      </c>
      <c r="C175" s="1745"/>
      <c r="D175" s="796">
        <v>0</v>
      </c>
      <c r="E175" s="2734">
        <f>E31/E157-1</f>
        <v>0.19230769230769229</v>
      </c>
      <c r="F175" s="2734"/>
      <c r="G175" s="2734">
        <f>G31/G157-1</f>
        <v>0.19230769230769229</v>
      </c>
      <c r="H175" s="2734"/>
      <c r="I175" s="2734"/>
      <c r="J175" s="2734">
        <f>J31/J157-1</f>
        <v>0.19230769230769229</v>
      </c>
      <c r="K175" s="2734">
        <f>K31/K157-1</f>
        <v>0.26</v>
      </c>
      <c r="L175" s="2734">
        <f>L31/L157-1</f>
        <v>9.259259259259256E-2</v>
      </c>
      <c r="M175" s="2734"/>
      <c r="N175" s="2734"/>
      <c r="O175" s="2734"/>
      <c r="P175" s="2734"/>
      <c r="Q175" s="799"/>
      <c r="R175" s="2734" t="e">
        <f t="shared" ref="R175:AA175" si="104">R31/R157-1</f>
        <v>#DIV/0!</v>
      </c>
      <c r="S175" s="2734" t="e">
        <f t="shared" si="104"/>
        <v>#DIV/0!</v>
      </c>
      <c r="T175" s="2734">
        <f t="shared" si="104"/>
        <v>0.21428571428571419</v>
      </c>
      <c r="U175" s="2734">
        <f t="shared" si="104"/>
        <v>0.25</v>
      </c>
      <c r="V175" s="2734">
        <f t="shared" si="104"/>
        <v>0.25</v>
      </c>
      <c r="W175" s="2734">
        <f t="shared" si="104"/>
        <v>0.22222222222222232</v>
      </c>
      <c r="X175" s="2734" t="e">
        <f t="shared" si="104"/>
        <v>#DIV/0!</v>
      </c>
      <c r="Y175" s="2734" t="e">
        <f t="shared" si="104"/>
        <v>#DIV/0!</v>
      </c>
      <c r="Z175" s="2734" t="e">
        <f t="shared" si="104"/>
        <v>#DIV/0!</v>
      </c>
      <c r="AA175" s="2734" t="e">
        <f t="shared" si="104"/>
        <v>#DIV/0!</v>
      </c>
      <c r="AB175" s="2734"/>
      <c r="AC175" s="2734">
        <f>AC31/AC157-1</f>
        <v>4.5454545454545414E-2</v>
      </c>
      <c r="AD175" s="2734"/>
      <c r="AE175" s="2734"/>
      <c r="AF175" s="2734" t="e">
        <f>AF31/AF157-1</f>
        <v>#DIV/0!</v>
      </c>
      <c r="AG175" s="2689">
        <f>AG31/AG157-1</f>
        <v>0.1875</v>
      </c>
      <c r="AH175" s="2689" t="e">
        <f>AH31/AH157-1</f>
        <v>#DIV/0!</v>
      </c>
      <c r="AI175" s="2689" t="e">
        <f>AI31/AI157-1</f>
        <v>#DIV/0!</v>
      </c>
      <c r="AJ175" s="2689" t="e">
        <f>AJ31/AJ157-1</f>
        <v>#DIV/0!</v>
      </c>
      <c r="AK175" s="793"/>
      <c r="AL175" s="793"/>
      <c r="AM175" s="2689" t="e">
        <f>AM31/AM157-1</f>
        <v>#DIV/0!</v>
      </c>
      <c r="AN175" s="2689">
        <f>AN31/AN157-1</f>
        <v>0</v>
      </c>
      <c r="AO175" s="799"/>
      <c r="AP175" s="2734" t="e">
        <f t="shared" ref="AP175:AV175" si="105">AP31/AP157-1</f>
        <v>#DIV/0!</v>
      </c>
      <c r="AQ175" s="2734" t="e">
        <f t="shared" si="105"/>
        <v>#DIV/0!</v>
      </c>
      <c r="AR175" s="2734">
        <f t="shared" si="105"/>
        <v>0.21428571428571419</v>
      </c>
      <c r="AS175" s="2734">
        <f t="shared" si="105"/>
        <v>8.0000000000000071E-2</v>
      </c>
      <c r="AT175" s="2734">
        <f t="shared" si="105"/>
        <v>-5.2631578947368474E-2</v>
      </c>
      <c r="AU175" s="2734">
        <f t="shared" si="105"/>
        <v>0.25</v>
      </c>
      <c r="AV175" s="2734" t="e">
        <f t="shared" si="105"/>
        <v>#DIV/0!</v>
      </c>
      <c r="AW175" s="793"/>
      <c r="AX175" s="785">
        <f t="shared" ref="AX175:BF175" si="106">AX31/AX157-1</f>
        <v>0</v>
      </c>
      <c r="AY175" s="785">
        <f t="shared" si="106"/>
        <v>0</v>
      </c>
      <c r="AZ175" s="785">
        <f t="shared" si="106"/>
        <v>0</v>
      </c>
      <c r="BA175" s="785">
        <f t="shared" si="106"/>
        <v>0</v>
      </c>
      <c r="BB175" s="785">
        <f t="shared" si="106"/>
        <v>0</v>
      </c>
      <c r="BC175" s="2734">
        <f t="shared" si="106"/>
        <v>1.1818181818181817</v>
      </c>
      <c r="BD175" s="2734">
        <f t="shared" si="106"/>
        <v>-0.21999999999999997</v>
      </c>
      <c r="BE175" s="785">
        <f t="shared" si="106"/>
        <v>0.10000000000000009</v>
      </c>
      <c r="BF175" s="2734">
        <f t="shared" si="106"/>
        <v>8.0000000000000071E-2</v>
      </c>
      <c r="BG175" s="799"/>
      <c r="BH175" s="793">
        <f t="shared" ref="BH175:BP175" si="107">BH31/BH157-1</f>
        <v>0.15384615384615374</v>
      </c>
      <c r="BI175" s="793">
        <f t="shared" si="107"/>
        <v>0.35714285714285721</v>
      </c>
      <c r="BJ175" s="793">
        <f t="shared" si="107"/>
        <v>0.5</v>
      </c>
      <c r="BK175" s="793">
        <f t="shared" si="107"/>
        <v>0.15384615384615374</v>
      </c>
      <c r="BL175" s="793">
        <f t="shared" si="107"/>
        <v>0.39999999999999991</v>
      </c>
      <c r="BM175" s="793">
        <f t="shared" si="107"/>
        <v>0.46666666666666656</v>
      </c>
      <c r="BN175" s="793" t="e">
        <f t="shared" si="107"/>
        <v>#DIV/0!</v>
      </c>
      <c r="BO175" s="793" t="e">
        <f t="shared" si="107"/>
        <v>#DIV/0!</v>
      </c>
      <c r="BP175" s="793" t="e">
        <f t="shared" si="107"/>
        <v>#DIV/0!</v>
      </c>
      <c r="BQ175" s="799"/>
      <c r="BR175" s="791">
        <f t="shared" ref="BR175:BX175" si="108">BR31/BR157-1</f>
        <v>0.19999999999999996</v>
      </c>
      <c r="BS175" s="791">
        <f t="shared" si="108"/>
        <v>0.30769230769230771</v>
      </c>
      <c r="BT175" s="791">
        <f t="shared" si="108"/>
        <v>0.75</v>
      </c>
      <c r="BU175" s="791" t="e">
        <f t="shared" si="108"/>
        <v>#DIV/0!</v>
      </c>
      <c r="BV175" s="791" t="e">
        <f t="shared" si="108"/>
        <v>#DIV/0!</v>
      </c>
      <c r="BW175" s="791" t="e">
        <f t="shared" si="108"/>
        <v>#DIV/0!</v>
      </c>
      <c r="BX175" s="791" t="e">
        <f t="shared" si="108"/>
        <v>#DIV/0!</v>
      </c>
      <c r="BY175" s="799"/>
      <c r="BZ175" s="792">
        <f t="shared" ref="BZ175:DC175" si="109">BZ31/BZ157-1</f>
        <v>0.39999999999999991</v>
      </c>
      <c r="CA175" s="792">
        <f t="shared" si="109"/>
        <v>0.36363636363636354</v>
      </c>
      <c r="CB175" s="792">
        <f t="shared" si="109"/>
        <v>0.33333333333333326</v>
      </c>
      <c r="CC175" s="792">
        <f t="shared" si="109"/>
        <v>0.30769230769230771</v>
      </c>
      <c r="CD175" s="792">
        <f t="shared" si="109"/>
        <v>1.3636363636363638</v>
      </c>
      <c r="CE175" s="792">
        <f t="shared" si="109"/>
        <v>1.25</v>
      </c>
      <c r="CF175" s="792">
        <f t="shared" si="109"/>
        <v>1.2307692307692308</v>
      </c>
      <c r="CG175" s="792">
        <f t="shared" si="109"/>
        <v>1.3076923076923075</v>
      </c>
      <c r="CH175" s="792" t="e">
        <f t="shared" si="109"/>
        <v>#DIV/0!</v>
      </c>
      <c r="CI175" s="792" t="e">
        <f t="shared" si="109"/>
        <v>#DIV/0!</v>
      </c>
      <c r="CJ175" s="792" t="e">
        <f t="shared" si="109"/>
        <v>#DIV/0!</v>
      </c>
      <c r="CK175" s="792">
        <f t="shared" si="109"/>
        <v>-1</v>
      </c>
      <c r="CL175" s="792">
        <f t="shared" si="109"/>
        <v>-1</v>
      </c>
      <c r="CM175" s="792">
        <f t="shared" si="109"/>
        <v>-1</v>
      </c>
      <c r="CN175" s="792" t="e">
        <f t="shared" si="109"/>
        <v>#DIV/0!</v>
      </c>
      <c r="CO175" s="785">
        <f t="shared" si="109"/>
        <v>-1</v>
      </c>
      <c r="CP175" s="785">
        <f t="shared" si="109"/>
        <v>-1</v>
      </c>
      <c r="CQ175" s="785">
        <f t="shared" si="109"/>
        <v>-1</v>
      </c>
      <c r="CR175" s="785">
        <f t="shared" si="109"/>
        <v>-1</v>
      </c>
      <c r="CS175" s="785">
        <f t="shared" si="109"/>
        <v>0</v>
      </c>
      <c r="CT175" s="785">
        <f t="shared" si="109"/>
        <v>0</v>
      </c>
      <c r="CU175" s="785">
        <f t="shared" si="109"/>
        <v>0</v>
      </c>
      <c r="CV175" s="785">
        <f t="shared" si="109"/>
        <v>0</v>
      </c>
      <c r="CW175" s="785" t="e">
        <f t="shared" si="109"/>
        <v>#DIV/0!</v>
      </c>
      <c r="CX175" s="785" t="e">
        <f t="shared" si="109"/>
        <v>#DIV/0!</v>
      </c>
      <c r="CY175" s="785" t="e">
        <f t="shared" si="109"/>
        <v>#DIV/0!</v>
      </c>
      <c r="CZ175" s="785">
        <f t="shared" si="109"/>
        <v>0</v>
      </c>
      <c r="DA175" s="785">
        <f t="shared" si="109"/>
        <v>0</v>
      </c>
      <c r="DB175" s="785">
        <f t="shared" si="109"/>
        <v>0</v>
      </c>
      <c r="DC175" s="785" t="e">
        <f t="shared" si="109"/>
        <v>#DIV/0!</v>
      </c>
      <c r="DD175" s="799"/>
      <c r="DE175" s="789">
        <f t="shared" ref="DE175:DR175" si="110">DE31/DE157-1</f>
        <v>-1</v>
      </c>
      <c r="DF175" s="789">
        <f t="shared" si="110"/>
        <v>0</v>
      </c>
      <c r="DG175" s="789">
        <f t="shared" si="110"/>
        <v>0</v>
      </c>
      <c r="DH175" s="789">
        <f t="shared" si="110"/>
        <v>0</v>
      </c>
      <c r="DI175" s="789" t="e">
        <f t="shared" si="110"/>
        <v>#DIV/0!</v>
      </c>
      <c r="DJ175" s="789" t="e">
        <f t="shared" si="110"/>
        <v>#DIV/0!</v>
      </c>
      <c r="DK175" s="789">
        <f t="shared" si="110"/>
        <v>-1</v>
      </c>
      <c r="DL175" s="789">
        <f t="shared" si="110"/>
        <v>-1</v>
      </c>
      <c r="DM175" s="789" t="e">
        <f t="shared" si="110"/>
        <v>#DIV/0!</v>
      </c>
      <c r="DN175" s="789" t="e">
        <f t="shared" si="110"/>
        <v>#DIV/0!</v>
      </c>
      <c r="DO175" s="789" t="e">
        <f t="shared" si="110"/>
        <v>#DIV/0!</v>
      </c>
      <c r="DP175" s="789">
        <f t="shared" si="110"/>
        <v>-1</v>
      </c>
      <c r="DQ175" s="789">
        <f t="shared" si="110"/>
        <v>-1</v>
      </c>
      <c r="DR175" s="789">
        <f t="shared" si="110"/>
        <v>-1</v>
      </c>
      <c r="DS175" s="802"/>
      <c r="DT175" s="787">
        <f>DT31/DT157-1</f>
        <v>0.58196721311475419</v>
      </c>
      <c r="DU175" s="787" t="e">
        <f>DU35/DU157-1</f>
        <v>#DIV/0!</v>
      </c>
      <c r="DV175" s="787" t="e">
        <f>DV31/DV157-1</f>
        <v>#DIV/0!</v>
      </c>
      <c r="DW175" s="2954"/>
      <c r="DX175" s="787" t="e">
        <f>DX33/DX157-1</f>
        <v>#DIV/0!</v>
      </c>
      <c r="DY175" s="787" t="e">
        <f>DY31/DY157-1</f>
        <v>#DIV/0!</v>
      </c>
      <c r="DZ175" s="790"/>
      <c r="EA175" s="790"/>
      <c r="EB175" s="790"/>
      <c r="EC175" s="790"/>
      <c r="ED175" s="790"/>
      <c r="EE175" s="790"/>
      <c r="EF175" s="790"/>
      <c r="EG175" s="790"/>
      <c r="EH175" s="790"/>
      <c r="EI175" s="790"/>
      <c r="EJ175" s="790"/>
      <c r="EK175" s="790"/>
      <c r="EL175" s="790"/>
      <c r="EM175" s="790"/>
      <c r="EN175" s="790"/>
      <c r="EO175" s="790"/>
      <c r="EP175" s="790"/>
    </row>
    <row r="176" spans="1:146" s="761" customFormat="1" hidden="1" outlineLevel="3">
      <c r="A176" s="4932" t="s">
        <v>1019</v>
      </c>
      <c r="B176" s="1775" t="s">
        <v>703</v>
      </c>
      <c r="C176" s="1745"/>
      <c r="D176" s="783">
        <v>1050</v>
      </c>
      <c r="E176" s="2734">
        <f>E34/E158-1</f>
        <v>0.13636363636363646</v>
      </c>
      <c r="F176" s="2734" t="e">
        <f>F34/F158-1</f>
        <v>#VALUE!</v>
      </c>
      <c r="G176" s="2734">
        <f>G34/G158-1</f>
        <v>0.13636363636363646</v>
      </c>
      <c r="H176" s="2734">
        <f>H34/H158-1</f>
        <v>0.12244897959183665</v>
      </c>
      <c r="I176" s="2734"/>
      <c r="J176" s="2734">
        <f>J34/J158-1</f>
        <v>0.13636363636363646</v>
      </c>
      <c r="K176" s="2734">
        <f>K34/K158-1</f>
        <v>0.12222222222222223</v>
      </c>
      <c r="L176" s="2734">
        <f>L34/L158-1</f>
        <v>0.11764705882352944</v>
      </c>
      <c r="M176" s="2734"/>
      <c r="N176" s="2734"/>
      <c r="O176" s="2734"/>
      <c r="P176" s="2734"/>
      <c r="Q176" s="799"/>
      <c r="R176" s="2734" t="e">
        <f t="shared" ref="R176:AB176" si="111">R34/R158-1</f>
        <v>#DIV/0!</v>
      </c>
      <c r="S176" s="2734">
        <f t="shared" si="111"/>
        <v>0.14285714285714279</v>
      </c>
      <c r="T176" s="2734">
        <f t="shared" si="111"/>
        <v>0.12000000000000011</v>
      </c>
      <c r="U176" s="2734">
        <f t="shared" si="111"/>
        <v>0.14285714285714279</v>
      </c>
      <c r="V176" s="2734">
        <f t="shared" si="111"/>
        <v>0.14285714285714279</v>
      </c>
      <c r="W176" s="2734">
        <f t="shared" si="111"/>
        <v>0.12903225806451624</v>
      </c>
      <c r="X176" s="2734" t="e">
        <f t="shared" si="111"/>
        <v>#DIV/0!</v>
      </c>
      <c r="Y176" s="2734" t="e">
        <f t="shared" si="111"/>
        <v>#DIV/0!</v>
      </c>
      <c r="Z176" s="2734" t="e">
        <f t="shared" si="111"/>
        <v>#DIV/0!</v>
      </c>
      <c r="AA176" s="2734" t="e">
        <f t="shared" si="111"/>
        <v>#DIV/0!</v>
      </c>
      <c r="AB176" s="2734">
        <f t="shared" si="111"/>
        <v>0.28947368421052633</v>
      </c>
      <c r="AC176" s="2734"/>
      <c r="AD176" s="2734"/>
      <c r="AE176" s="2734"/>
      <c r="AF176" s="2734"/>
      <c r="AG176" s="2689"/>
      <c r="AH176" s="2689"/>
      <c r="AI176" s="2689"/>
      <c r="AJ176" s="2689"/>
      <c r="AK176" s="793"/>
      <c r="AL176" s="793"/>
      <c r="AM176" s="2689"/>
      <c r="AN176" s="2689"/>
      <c r="AO176" s="799"/>
      <c r="AP176" s="2734" t="e">
        <f t="shared" ref="AP176:AV176" si="112">AP34/AP158-1</f>
        <v>#DIV/0!</v>
      </c>
      <c r="AQ176" s="2734" t="e">
        <f t="shared" si="112"/>
        <v>#DIV/0!</v>
      </c>
      <c r="AR176" s="2734">
        <f t="shared" si="112"/>
        <v>0.12000000000000011</v>
      </c>
      <c r="AS176" s="2734">
        <f t="shared" si="112"/>
        <v>0</v>
      </c>
      <c r="AT176" s="2734">
        <f t="shared" si="112"/>
        <v>-0.17647058823529416</v>
      </c>
      <c r="AU176" s="2734">
        <f t="shared" si="112"/>
        <v>0.16279069767441867</v>
      </c>
      <c r="AV176" s="2734" t="e">
        <f t="shared" si="112"/>
        <v>#DIV/0!</v>
      </c>
      <c r="AW176" s="793"/>
      <c r="AX176" s="785">
        <f t="shared" ref="AX176:BF176" si="113">AX34/AX158-1</f>
        <v>0.12000000000000011</v>
      </c>
      <c r="AY176" s="785">
        <f t="shared" si="113"/>
        <v>0.11976047904191622</v>
      </c>
      <c r="AZ176" s="785">
        <f t="shared" si="113"/>
        <v>0.12000000000000011</v>
      </c>
      <c r="BA176" s="785">
        <f t="shared" si="113"/>
        <v>0</v>
      </c>
      <c r="BB176" s="785">
        <f t="shared" si="113"/>
        <v>0.11971830985915499</v>
      </c>
      <c r="BC176" s="2734">
        <f t="shared" si="113"/>
        <v>1.1818181818181817</v>
      </c>
      <c r="BD176" s="2734">
        <f t="shared" si="113"/>
        <v>0</v>
      </c>
      <c r="BE176" s="785">
        <f t="shared" si="113"/>
        <v>0</v>
      </c>
      <c r="BF176" s="2734">
        <f t="shared" si="113"/>
        <v>0</v>
      </c>
      <c r="BG176" s="799"/>
      <c r="BH176" s="793">
        <f t="shared" ref="BH176:BP176" si="114">BH34/BH158-1</f>
        <v>9.0909090909090828E-2</v>
      </c>
      <c r="BI176" s="793">
        <f t="shared" si="114"/>
        <v>3.3333333333333437E-2</v>
      </c>
      <c r="BJ176" s="793">
        <f t="shared" si="114"/>
        <v>0</v>
      </c>
      <c r="BK176" s="793">
        <f t="shared" si="114"/>
        <v>4.1666666666666741E-2</v>
      </c>
      <c r="BL176" s="793">
        <f t="shared" si="114"/>
        <v>3.125E-2</v>
      </c>
      <c r="BM176" s="793">
        <f t="shared" si="114"/>
        <v>0</v>
      </c>
      <c r="BN176" s="793" t="e">
        <f t="shared" si="114"/>
        <v>#DIV/0!</v>
      </c>
      <c r="BO176" s="793" t="e">
        <f t="shared" si="114"/>
        <v>#DIV/0!</v>
      </c>
      <c r="BP176" s="793" t="e">
        <f t="shared" si="114"/>
        <v>#DIV/0!</v>
      </c>
      <c r="BQ176" s="799"/>
      <c r="BR176" s="791">
        <f t="shared" ref="BR176:BX176" si="115">BR34/BR158-1</f>
        <v>9.0909090909090828E-2</v>
      </c>
      <c r="BS176" s="791">
        <f t="shared" si="115"/>
        <v>-1.8181818181818188E-2</v>
      </c>
      <c r="BT176" s="791">
        <f t="shared" si="115"/>
        <v>0.13043478260869557</v>
      </c>
      <c r="BU176" s="791">
        <f t="shared" si="115"/>
        <v>0.38461538461538458</v>
      </c>
      <c r="BV176" s="791">
        <f t="shared" si="115"/>
        <v>3.2</v>
      </c>
      <c r="BW176" s="791">
        <f t="shared" si="115"/>
        <v>13</v>
      </c>
      <c r="BX176" s="791">
        <f t="shared" si="115"/>
        <v>-5.600000000000005E-2</v>
      </c>
      <c r="BY176" s="799"/>
      <c r="BZ176" s="792">
        <f t="shared" ref="BZ176:DC176" si="116">BZ34/BZ158-1</f>
        <v>22</v>
      </c>
      <c r="CA176" s="792">
        <f t="shared" si="116"/>
        <v>11</v>
      </c>
      <c r="CB176" s="792">
        <f t="shared" si="116"/>
        <v>7.3333333333333339</v>
      </c>
      <c r="CC176" s="792">
        <f t="shared" si="116"/>
        <v>5.75</v>
      </c>
      <c r="CD176" s="792">
        <f t="shared" si="116"/>
        <v>-1</v>
      </c>
      <c r="CE176" s="792">
        <f t="shared" si="116"/>
        <v>-1</v>
      </c>
      <c r="CF176" s="792">
        <f t="shared" si="116"/>
        <v>-1</v>
      </c>
      <c r="CG176" s="792">
        <f t="shared" si="116"/>
        <v>-1</v>
      </c>
      <c r="CH176" s="792">
        <f t="shared" si="116"/>
        <v>11.5</v>
      </c>
      <c r="CI176" s="792">
        <f t="shared" si="116"/>
        <v>8</v>
      </c>
      <c r="CJ176" s="792">
        <f t="shared" si="116"/>
        <v>6</v>
      </c>
      <c r="CK176" s="792">
        <f t="shared" si="116"/>
        <v>11.5</v>
      </c>
      <c r="CL176" s="792">
        <f t="shared" si="116"/>
        <v>8</v>
      </c>
      <c r="CM176" s="792">
        <f t="shared" si="116"/>
        <v>6</v>
      </c>
      <c r="CN176" s="792" t="e">
        <f t="shared" si="116"/>
        <v>#DIV/0!</v>
      </c>
      <c r="CO176" s="785">
        <f t="shared" si="116"/>
        <v>14.5</v>
      </c>
      <c r="CP176" s="785">
        <f t="shared" si="116"/>
        <v>10</v>
      </c>
      <c r="CQ176" s="785">
        <f t="shared" si="116"/>
        <v>5.8</v>
      </c>
      <c r="CR176" s="785">
        <f t="shared" si="116"/>
        <v>4.833333333333333</v>
      </c>
      <c r="CS176" s="785">
        <f t="shared" si="116"/>
        <v>-1</v>
      </c>
      <c r="CT176" s="785">
        <f t="shared" si="116"/>
        <v>-1</v>
      </c>
      <c r="CU176" s="785">
        <f t="shared" si="116"/>
        <v>-1</v>
      </c>
      <c r="CV176" s="785">
        <f t="shared" si="116"/>
        <v>-1</v>
      </c>
      <c r="CW176" s="785">
        <f t="shared" si="116"/>
        <v>10.333333333333334</v>
      </c>
      <c r="CX176" s="785">
        <f t="shared" si="116"/>
        <v>6</v>
      </c>
      <c r="CY176" s="785">
        <f t="shared" si="116"/>
        <v>5.166666666666667</v>
      </c>
      <c r="CZ176" s="785">
        <f t="shared" si="116"/>
        <v>10.333333333333334</v>
      </c>
      <c r="DA176" s="785">
        <f t="shared" si="116"/>
        <v>6</v>
      </c>
      <c r="DB176" s="785">
        <f t="shared" si="116"/>
        <v>5.166666666666667</v>
      </c>
      <c r="DC176" s="785" t="e">
        <f t="shared" si="116"/>
        <v>#DIV/0!</v>
      </c>
      <c r="DD176" s="799"/>
      <c r="DE176" s="789">
        <f t="shared" ref="DE176:DR176" si="117">DE34/DE158-1</f>
        <v>-0.125</v>
      </c>
      <c r="DF176" s="789">
        <f t="shared" si="117"/>
        <v>-0.14583333333333337</v>
      </c>
      <c r="DG176" s="789">
        <f t="shared" si="117"/>
        <v>-0.10999999999999999</v>
      </c>
      <c r="DH176" s="789">
        <f t="shared" si="117"/>
        <v>-0.10833333333333328</v>
      </c>
      <c r="DI176" s="789">
        <f t="shared" si="117"/>
        <v>-0.125</v>
      </c>
      <c r="DJ176" s="789">
        <f t="shared" si="117"/>
        <v>-0.128</v>
      </c>
      <c r="DK176" s="789">
        <f t="shared" si="117"/>
        <v>0.94545454545454555</v>
      </c>
      <c r="DL176" s="789">
        <f t="shared" si="117"/>
        <v>0.98181818181818192</v>
      </c>
      <c r="DM176" s="789">
        <f t="shared" si="117"/>
        <v>-8.6363636363636309E-2</v>
      </c>
      <c r="DN176" s="789">
        <f t="shared" si="117"/>
        <v>-8.6363636363636309E-2</v>
      </c>
      <c r="DO176" s="789">
        <f t="shared" si="117"/>
        <v>-8.6363636363636309E-2</v>
      </c>
      <c r="DP176" s="789">
        <f t="shared" si="117"/>
        <v>0.28947368421052633</v>
      </c>
      <c r="DQ176" s="789">
        <f t="shared" si="117"/>
        <v>0.28260869565217384</v>
      </c>
      <c r="DR176" s="789">
        <f t="shared" si="117"/>
        <v>-4.0000000000000036E-2</v>
      </c>
      <c r="DS176" s="802"/>
      <c r="DT176" s="787">
        <f>DT34/DT158-1</f>
        <v>0.46470588235294108</v>
      </c>
      <c r="DU176" s="787" t="e">
        <f>DU34/DU158-1</f>
        <v>#DIV/0!</v>
      </c>
      <c r="DV176" s="787" t="e">
        <f>DV34/DV158-1</f>
        <v>#DIV/0!</v>
      </c>
      <c r="DW176" s="2954"/>
      <c r="DX176" s="787" t="e">
        <f>DX34/DX158-1</f>
        <v>#DIV/0!</v>
      </c>
      <c r="DY176" s="787" t="e">
        <f>DY34/DY158-1</f>
        <v>#REF!</v>
      </c>
      <c r="DZ176" s="790"/>
      <c r="EA176" s="790"/>
      <c r="EB176" s="790"/>
      <c r="EC176" s="790"/>
      <c r="ED176" s="790"/>
      <c r="EE176" s="790"/>
      <c r="EF176" s="790"/>
      <c r="EG176" s="790"/>
      <c r="EH176" s="790"/>
      <c r="EI176" s="790"/>
      <c r="EJ176" s="790"/>
      <c r="EK176" s="790"/>
      <c r="EL176" s="790"/>
      <c r="EM176" s="790"/>
      <c r="EN176" s="790"/>
      <c r="EO176" s="790"/>
      <c r="EP176" s="790"/>
    </row>
    <row r="177" spans="1:146" s="761" customFormat="1" hidden="1" outlineLevel="3">
      <c r="A177" s="4933"/>
      <c r="B177" s="1778" t="s">
        <v>718</v>
      </c>
      <c r="C177" s="1745"/>
      <c r="D177" s="783">
        <v>1750</v>
      </c>
      <c r="E177" s="2734" t="e">
        <f>#REF!/E159-1</f>
        <v>#REF!</v>
      </c>
      <c r="F177" s="2734" t="e">
        <f>#REF!/F159-1</f>
        <v>#REF!</v>
      </c>
      <c r="G177" s="2734" t="e">
        <f>#REF!/G159-1</f>
        <v>#REF!</v>
      </c>
      <c r="H177" s="2734" t="e">
        <f>#REF!/H159-1</f>
        <v>#REF!</v>
      </c>
      <c r="I177" s="2734"/>
      <c r="J177" s="2734" t="e">
        <f>#REF!/J159-1</f>
        <v>#REF!</v>
      </c>
      <c r="K177" s="2734" t="e">
        <f>#REF!/K159-1</f>
        <v>#REF!</v>
      </c>
      <c r="L177" s="2734" t="e">
        <f>#REF!/L159-1</f>
        <v>#REF!</v>
      </c>
      <c r="M177" s="2734"/>
      <c r="N177" s="2734"/>
      <c r="O177" s="2734"/>
      <c r="P177" s="2734"/>
      <c r="Q177" s="799"/>
      <c r="R177" s="2734" t="e">
        <f>#REF!/R159-1</f>
        <v>#REF!</v>
      </c>
      <c r="S177" s="2734" t="e">
        <f>#REF!/S159-1</f>
        <v>#REF!</v>
      </c>
      <c r="T177" s="2734" t="e">
        <f>#REF!/T159-1</f>
        <v>#REF!</v>
      </c>
      <c r="U177" s="2734" t="e">
        <f>#REF!/U159-1</f>
        <v>#REF!</v>
      </c>
      <c r="V177" s="2734" t="e">
        <f>#REF!/V159-1</f>
        <v>#REF!</v>
      </c>
      <c r="W177" s="2734" t="e">
        <f>#REF!/W159-1</f>
        <v>#REF!</v>
      </c>
      <c r="X177" s="2734" t="e">
        <f>#REF!/X159-1</f>
        <v>#REF!</v>
      </c>
      <c r="Y177" s="2734" t="e">
        <f>#REF!/Y159-1</f>
        <v>#REF!</v>
      </c>
      <c r="Z177" s="2734" t="e">
        <f>#REF!/Z159-1</f>
        <v>#REF!</v>
      </c>
      <c r="AA177" s="2734" t="e">
        <f>#REF!/AA159-1</f>
        <v>#REF!</v>
      </c>
      <c r="AB177" s="2734" t="e">
        <f>#REF!/AB159-1</f>
        <v>#REF!</v>
      </c>
      <c r="AC177" s="2734"/>
      <c r="AD177" s="2734"/>
      <c r="AE177" s="2734"/>
      <c r="AF177" s="2734"/>
      <c r="AG177" s="2689"/>
      <c r="AH177" s="2689"/>
      <c r="AI177" s="2689"/>
      <c r="AJ177" s="2689"/>
      <c r="AK177" s="793"/>
      <c r="AL177" s="793"/>
      <c r="AM177" s="2689"/>
      <c r="AN177" s="2689"/>
      <c r="AO177" s="799"/>
      <c r="AP177" s="2734" t="e">
        <f>#REF!/AP159-1</f>
        <v>#REF!</v>
      </c>
      <c r="AQ177" s="2734" t="e">
        <f>#REF!/AQ159-1</f>
        <v>#REF!</v>
      </c>
      <c r="AR177" s="2734" t="e">
        <f>#REF!/AR159-1</f>
        <v>#REF!</v>
      </c>
      <c r="AS177" s="2734" t="e">
        <f>#REF!/AS159-1</f>
        <v>#REF!</v>
      </c>
      <c r="AT177" s="2734" t="e">
        <f>#REF!/AT159-1</f>
        <v>#REF!</v>
      </c>
      <c r="AU177" s="2734" t="e">
        <f>#REF!/AU159-1</f>
        <v>#REF!</v>
      </c>
      <c r="AV177" s="2734" t="e">
        <f>#REF!/AV159-1</f>
        <v>#REF!</v>
      </c>
      <c r="AW177" s="793"/>
      <c r="AX177" s="785" t="e">
        <f>#REF!/AX159-1</f>
        <v>#REF!</v>
      </c>
      <c r="AY177" s="785" t="e">
        <f>#REF!/AY159-1</f>
        <v>#REF!</v>
      </c>
      <c r="AZ177" s="785" t="e">
        <f>#REF!/AZ159-1</f>
        <v>#REF!</v>
      </c>
      <c r="BA177" s="785" t="e">
        <f>#REF!/BA159-1</f>
        <v>#REF!</v>
      </c>
      <c r="BB177" s="785" t="e">
        <f>#REF!/BB159-1</f>
        <v>#REF!</v>
      </c>
      <c r="BC177" s="2734" t="e">
        <f>#REF!/BC159-1</f>
        <v>#REF!</v>
      </c>
      <c r="BD177" s="2734" t="e">
        <f>#REF!/BD159-1</f>
        <v>#REF!</v>
      </c>
      <c r="BE177" s="785" t="e">
        <f>#REF!/BE159-1</f>
        <v>#REF!</v>
      </c>
      <c r="BF177" s="2734" t="e">
        <f>#REF!/BF159-1</f>
        <v>#REF!</v>
      </c>
      <c r="BG177" s="799"/>
      <c r="BH177" s="793" t="e">
        <f>#REF!/BH159-1</f>
        <v>#REF!</v>
      </c>
      <c r="BI177" s="793" t="e">
        <f>#REF!/BI159-1</f>
        <v>#REF!</v>
      </c>
      <c r="BJ177" s="793" t="e">
        <f>#REF!/BJ159-1</f>
        <v>#REF!</v>
      </c>
      <c r="BK177" s="793" t="e">
        <f>#REF!/BK159-1</f>
        <v>#REF!</v>
      </c>
      <c r="BL177" s="793" t="e">
        <f>#REF!/BL159-1</f>
        <v>#REF!</v>
      </c>
      <c r="BM177" s="793" t="e">
        <f>#REF!/BM159-1</f>
        <v>#REF!</v>
      </c>
      <c r="BN177" s="793" t="e">
        <f>#REF!/BN159-1</f>
        <v>#REF!</v>
      </c>
      <c r="BO177" s="793" t="e">
        <f>#REF!/BO159-1</f>
        <v>#REF!</v>
      </c>
      <c r="BP177" s="793" t="e">
        <f>#REF!/BP159-1</f>
        <v>#REF!</v>
      </c>
      <c r="BQ177" s="799"/>
      <c r="BR177" s="791" t="e">
        <f>#REF!/BR159-1</f>
        <v>#REF!</v>
      </c>
      <c r="BS177" s="791" t="e">
        <f>#REF!/BS159-1</f>
        <v>#REF!</v>
      </c>
      <c r="BT177" s="791" t="e">
        <f>#REF!/BT159-1</f>
        <v>#REF!</v>
      </c>
      <c r="BU177" s="791" t="e">
        <f>#REF!/BU159-1</f>
        <v>#REF!</v>
      </c>
      <c r="BV177" s="791" t="e">
        <f>#REF!/BV159-1</f>
        <v>#REF!</v>
      </c>
      <c r="BW177" s="791" t="e">
        <f>#REF!/BW159-1</f>
        <v>#REF!</v>
      </c>
      <c r="BX177" s="791" t="e">
        <f>#REF!/BX159-1</f>
        <v>#REF!</v>
      </c>
      <c r="BY177" s="799"/>
      <c r="BZ177" s="792" t="e">
        <f>#REF!/BZ159-1</f>
        <v>#REF!</v>
      </c>
      <c r="CA177" s="792" t="e">
        <f>#REF!/CA159-1</f>
        <v>#REF!</v>
      </c>
      <c r="CB177" s="792" t="e">
        <f>#REF!/CB159-1</f>
        <v>#REF!</v>
      </c>
      <c r="CC177" s="792" t="e">
        <f>#REF!/CC159-1</f>
        <v>#REF!</v>
      </c>
      <c r="CD177" s="792" t="e">
        <f>#REF!/CD159-1</f>
        <v>#REF!</v>
      </c>
      <c r="CE177" s="792" t="e">
        <f>#REF!/CE159-1</f>
        <v>#REF!</v>
      </c>
      <c r="CF177" s="792" t="e">
        <f>#REF!/CF159-1</f>
        <v>#REF!</v>
      </c>
      <c r="CG177" s="792" t="e">
        <f>#REF!/CG159-1</f>
        <v>#REF!</v>
      </c>
      <c r="CH177" s="792" t="e">
        <f>#REF!/CH159-1</f>
        <v>#REF!</v>
      </c>
      <c r="CI177" s="792" t="e">
        <f>#REF!/CI159-1</f>
        <v>#REF!</v>
      </c>
      <c r="CJ177" s="792" t="e">
        <f>#REF!/CJ159-1</f>
        <v>#REF!</v>
      </c>
      <c r="CK177" s="792" t="e">
        <f>#REF!/CK159-1</f>
        <v>#REF!</v>
      </c>
      <c r="CL177" s="792" t="e">
        <f>#REF!/CL159-1</f>
        <v>#REF!</v>
      </c>
      <c r="CM177" s="792" t="e">
        <f>#REF!/CM159-1</f>
        <v>#REF!</v>
      </c>
      <c r="CN177" s="792" t="e">
        <f>#REF!/CN159-1</f>
        <v>#REF!</v>
      </c>
      <c r="CO177" s="785" t="e">
        <f>#REF!/CO159-1</f>
        <v>#REF!</v>
      </c>
      <c r="CP177" s="785" t="e">
        <f>#REF!/CP159-1</f>
        <v>#REF!</v>
      </c>
      <c r="CQ177" s="785" t="e">
        <f>#REF!/CQ159-1</f>
        <v>#REF!</v>
      </c>
      <c r="CR177" s="785" t="e">
        <f>#REF!/CR159-1</f>
        <v>#REF!</v>
      </c>
      <c r="CS177" s="785" t="e">
        <f>#REF!/CS159-1</f>
        <v>#REF!</v>
      </c>
      <c r="CT177" s="785" t="e">
        <f>#REF!/CT159-1</f>
        <v>#REF!</v>
      </c>
      <c r="CU177" s="785" t="e">
        <f>#REF!/CU159-1</f>
        <v>#REF!</v>
      </c>
      <c r="CV177" s="785" t="e">
        <f>#REF!/CV159-1</f>
        <v>#REF!</v>
      </c>
      <c r="CW177" s="785" t="e">
        <f>#REF!/CW159-1</f>
        <v>#REF!</v>
      </c>
      <c r="CX177" s="785" t="e">
        <f>#REF!/CX159-1</f>
        <v>#REF!</v>
      </c>
      <c r="CY177" s="785" t="e">
        <f>#REF!/CY159-1</f>
        <v>#REF!</v>
      </c>
      <c r="CZ177" s="785" t="e">
        <f>#REF!/CZ159-1</f>
        <v>#REF!</v>
      </c>
      <c r="DA177" s="785" t="e">
        <f>#REF!/DA159-1</f>
        <v>#REF!</v>
      </c>
      <c r="DB177" s="785" t="e">
        <f>#REF!/DB159-1</f>
        <v>#REF!</v>
      </c>
      <c r="DC177" s="785" t="e">
        <f>#REF!/DC159-1</f>
        <v>#REF!</v>
      </c>
      <c r="DD177" s="799"/>
      <c r="DE177" s="789" t="e">
        <f>#REF!/DE159-1</f>
        <v>#REF!</v>
      </c>
      <c r="DF177" s="789" t="e">
        <f>#REF!/DF159-1</f>
        <v>#REF!</v>
      </c>
      <c r="DG177" s="789" t="e">
        <f>#REF!/DG159-1</f>
        <v>#REF!</v>
      </c>
      <c r="DH177" s="789" t="e">
        <f>#REF!/DH159-1</f>
        <v>#REF!</v>
      </c>
      <c r="DI177" s="789" t="e">
        <f>#REF!/DI159-1</f>
        <v>#REF!</v>
      </c>
      <c r="DJ177" s="789" t="e">
        <f>#REF!/DJ159-1</f>
        <v>#REF!</v>
      </c>
      <c r="DK177" s="789" t="e">
        <f>#REF!/DK159-1</f>
        <v>#REF!</v>
      </c>
      <c r="DL177" s="789" t="e">
        <f>#REF!/DL159-1</f>
        <v>#REF!</v>
      </c>
      <c r="DM177" s="789" t="e">
        <f>#REF!/DM159-1</f>
        <v>#REF!</v>
      </c>
      <c r="DN177" s="789" t="e">
        <f>#REF!/DN159-1</f>
        <v>#REF!</v>
      </c>
      <c r="DO177" s="789" t="e">
        <f>#REF!/DO159-1</f>
        <v>#REF!</v>
      </c>
      <c r="DP177" s="789" t="e">
        <f>#REF!/DP159-1</f>
        <v>#REF!</v>
      </c>
      <c r="DQ177" s="789" t="e">
        <f>#REF!/DQ159-1</f>
        <v>#REF!</v>
      </c>
      <c r="DR177" s="789" t="e">
        <f>#REF!/DR159-1</f>
        <v>#REF!</v>
      </c>
      <c r="DS177" s="802"/>
      <c r="DT177" s="787" t="e">
        <f>#REF!/DT159-1</f>
        <v>#REF!</v>
      </c>
      <c r="DU177" s="787" t="e">
        <f>#REF!/DU159-1</f>
        <v>#REF!</v>
      </c>
      <c r="DV177" s="787" t="e">
        <f>#REF!/DV159-1</f>
        <v>#REF!</v>
      </c>
      <c r="DW177" s="2954"/>
      <c r="DX177" s="787" t="e">
        <f>#REF!/DX159-1</f>
        <v>#REF!</v>
      </c>
      <c r="DY177" s="787" t="e">
        <f>#REF!/DY159-1</f>
        <v>#REF!</v>
      </c>
      <c r="DZ177" s="790"/>
      <c r="EA177" s="790"/>
      <c r="EB177" s="790"/>
      <c r="EC177" s="790"/>
      <c r="ED177" s="790"/>
      <c r="EE177" s="790"/>
      <c r="EF177" s="790"/>
      <c r="EG177" s="790"/>
      <c r="EH177" s="790"/>
      <c r="EI177" s="790"/>
      <c r="EJ177" s="790"/>
      <c r="EK177" s="790"/>
      <c r="EL177" s="790"/>
      <c r="EM177" s="790"/>
      <c r="EN177" s="790"/>
      <c r="EO177" s="790"/>
      <c r="EP177" s="790"/>
    </row>
    <row r="178" spans="1:146" s="761" customFormat="1" ht="15.75" hidden="1" customHeight="1" outlineLevel="3">
      <c r="A178" s="4934"/>
      <c r="B178" s="1778" t="s">
        <v>103</v>
      </c>
      <c r="C178" s="1745"/>
      <c r="D178" s="783">
        <v>3150</v>
      </c>
      <c r="E178" s="2734">
        <f>E35/E160-1</f>
        <v>0.125</v>
      </c>
      <c r="F178" s="2734" t="e">
        <f>F35/F160-1</f>
        <v>#VALUE!</v>
      </c>
      <c r="G178" s="2734">
        <f>G35/G160-1</f>
        <v>0.125</v>
      </c>
      <c r="H178" s="2734">
        <f>H35/H160-1</f>
        <v>0.1132075471698113</v>
      </c>
      <c r="I178" s="2734"/>
      <c r="J178" s="2734">
        <f>J35/J160-1</f>
        <v>0.125</v>
      </c>
      <c r="K178" s="2734">
        <f>K35/K160-1</f>
        <v>0.11224489795918369</v>
      </c>
      <c r="L178" s="2734">
        <f>L35/L160-1</f>
        <v>9.6774193548387011E-2</v>
      </c>
      <c r="M178" s="2734"/>
      <c r="N178" s="2734"/>
      <c r="O178" s="2734"/>
      <c r="P178" s="2734"/>
      <c r="Q178" s="799"/>
      <c r="R178" s="2734" t="e">
        <f t="shared" ref="R178:AB178" si="118">R35/R160-1</f>
        <v>#DIV/0!</v>
      </c>
      <c r="S178" s="2734">
        <f t="shared" si="118"/>
        <v>0.1333333333333333</v>
      </c>
      <c r="T178" s="2734">
        <f t="shared" si="118"/>
        <v>0.11111111111111116</v>
      </c>
      <c r="U178" s="2734">
        <f t="shared" si="118"/>
        <v>0.1333333333333333</v>
      </c>
      <c r="V178" s="2734">
        <f t="shared" si="118"/>
        <v>0.1333333333333333</v>
      </c>
      <c r="W178" s="2734">
        <f t="shared" si="118"/>
        <v>0.1515151515151516</v>
      </c>
      <c r="X178" s="2734" t="e">
        <f t="shared" si="118"/>
        <v>#DIV/0!</v>
      </c>
      <c r="Y178" s="2734" t="e">
        <f t="shared" si="118"/>
        <v>#DIV/0!</v>
      </c>
      <c r="Z178" s="2734" t="e">
        <f t="shared" si="118"/>
        <v>#DIV/0!</v>
      </c>
      <c r="AA178" s="2734" t="e">
        <f t="shared" si="118"/>
        <v>#DIV/0!</v>
      </c>
      <c r="AB178" s="2734">
        <f t="shared" si="118"/>
        <v>0.30000000000000004</v>
      </c>
      <c r="AC178" s="2734"/>
      <c r="AD178" s="2734"/>
      <c r="AE178" s="2734"/>
      <c r="AF178" s="2734"/>
      <c r="AG178" s="2689"/>
      <c r="AH178" s="2689"/>
      <c r="AI178" s="2689"/>
      <c r="AJ178" s="2689"/>
      <c r="AK178" s="793"/>
      <c r="AL178" s="793"/>
      <c r="AM178" s="2689"/>
      <c r="AN178" s="2689"/>
      <c r="AO178" s="799"/>
      <c r="AP178" s="2734" t="e">
        <f t="shared" ref="AP178:AV178" si="119">AP35/AP160-1</f>
        <v>#DIV/0!</v>
      </c>
      <c r="AQ178" s="2734" t="e">
        <f t="shared" si="119"/>
        <v>#DIV/0!</v>
      </c>
      <c r="AR178" s="2734">
        <f t="shared" si="119"/>
        <v>0.11111111111111116</v>
      </c>
      <c r="AS178" s="2734">
        <f t="shared" si="119"/>
        <v>-2.083333333333337E-2</v>
      </c>
      <c r="AT178" s="2734">
        <f t="shared" si="119"/>
        <v>-0.16666666666666663</v>
      </c>
      <c r="AU178" s="2734">
        <f t="shared" si="119"/>
        <v>0.15555555555555545</v>
      </c>
      <c r="AV178" s="2734" t="e">
        <f t="shared" si="119"/>
        <v>#DIV/0!</v>
      </c>
      <c r="AW178" s="793"/>
      <c r="AX178" s="785">
        <f t="shared" ref="AX178:BF178" si="120">AX35/AX160-1</f>
        <v>0.11111111111111116</v>
      </c>
      <c r="AY178" s="785">
        <f t="shared" si="120"/>
        <v>0.11111111111111116</v>
      </c>
      <c r="AZ178" s="785">
        <f t="shared" si="120"/>
        <v>0.11111111111111116</v>
      </c>
      <c r="BA178" s="785">
        <f t="shared" si="120"/>
        <v>-2.083333333333337E-2</v>
      </c>
      <c r="BB178" s="785">
        <f t="shared" si="120"/>
        <v>0.11111111111111116</v>
      </c>
      <c r="BC178" s="2734">
        <f t="shared" si="120"/>
        <v>1.1818181818181817</v>
      </c>
      <c r="BD178" s="2734">
        <f t="shared" si="120"/>
        <v>0</v>
      </c>
      <c r="BE178" s="785">
        <f t="shared" si="120"/>
        <v>0</v>
      </c>
      <c r="BF178" s="2734">
        <f t="shared" si="120"/>
        <v>-2.083333333333337E-2</v>
      </c>
      <c r="BG178" s="799"/>
      <c r="BH178" s="793">
        <f t="shared" ref="BH178:BP178" si="121">BH35/BH160-1</f>
        <v>8.6956521739130377E-2</v>
      </c>
      <c r="BI178" s="793">
        <f t="shared" si="121"/>
        <v>3.125E-2</v>
      </c>
      <c r="BJ178" s="793">
        <f t="shared" si="121"/>
        <v>2.857142857142847E-2</v>
      </c>
      <c r="BK178" s="793">
        <f t="shared" si="121"/>
        <v>4.0000000000000036E-2</v>
      </c>
      <c r="BL178" s="793">
        <f t="shared" si="121"/>
        <v>5.8823529411764719E-2</v>
      </c>
      <c r="BM178" s="793">
        <f t="shared" si="121"/>
        <v>2.7027027027026973E-2</v>
      </c>
      <c r="BN178" s="793" t="e">
        <f t="shared" si="121"/>
        <v>#DIV/0!</v>
      </c>
      <c r="BO178" s="793" t="e">
        <f t="shared" si="121"/>
        <v>#DIV/0!</v>
      </c>
      <c r="BP178" s="793" t="e">
        <f t="shared" si="121"/>
        <v>#DIV/0!</v>
      </c>
      <c r="BQ178" s="799"/>
      <c r="BR178" s="791">
        <f t="shared" ref="BR178:BX178" si="122">BR35/BR160-1</f>
        <v>6.25E-2</v>
      </c>
      <c r="BS178" s="791">
        <f t="shared" si="122"/>
        <v>-3.3333333333333326E-2</v>
      </c>
      <c r="BT178" s="791">
        <f t="shared" si="122"/>
        <v>0.12000000000000011</v>
      </c>
      <c r="BU178" s="791">
        <f t="shared" si="122"/>
        <v>0.53846153846153855</v>
      </c>
      <c r="BV178" s="791">
        <f t="shared" si="122"/>
        <v>3.5999999999999996</v>
      </c>
      <c r="BW178" s="791">
        <f t="shared" si="122"/>
        <v>14</v>
      </c>
      <c r="BX178" s="791">
        <f t="shared" si="122"/>
        <v>-5.9259259259259234E-2</v>
      </c>
      <c r="BY178" s="799"/>
      <c r="BZ178" s="792" t="e">
        <f t="shared" ref="BZ178:DC178" si="123">BZ35/BZ160-1</f>
        <v>#DIV/0!</v>
      </c>
      <c r="CA178" s="792" t="e">
        <f t="shared" si="123"/>
        <v>#DIV/0!</v>
      </c>
      <c r="CB178" s="792" t="e">
        <f t="shared" si="123"/>
        <v>#DIV/0!</v>
      </c>
      <c r="CC178" s="792" t="e">
        <f t="shared" si="123"/>
        <v>#DIV/0!</v>
      </c>
      <c r="CD178" s="792" t="e">
        <f t="shared" si="123"/>
        <v>#DIV/0!</v>
      </c>
      <c r="CE178" s="792" t="e">
        <f t="shared" si="123"/>
        <v>#DIV/0!</v>
      </c>
      <c r="CF178" s="792" t="e">
        <f t="shared" si="123"/>
        <v>#DIV/0!</v>
      </c>
      <c r="CG178" s="792" t="e">
        <f t="shared" si="123"/>
        <v>#DIV/0!</v>
      </c>
      <c r="CH178" s="792" t="e">
        <f t="shared" si="123"/>
        <v>#DIV/0!</v>
      </c>
      <c r="CI178" s="792" t="e">
        <f t="shared" si="123"/>
        <v>#DIV/0!</v>
      </c>
      <c r="CJ178" s="792" t="e">
        <f t="shared" si="123"/>
        <v>#DIV/0!</v>
      </c>
      <c r="CK178" s="792" t="e">
        <f t="shared" si="123"/>
        <v>#DIV/0!</v>
      </c>
      <c r="CL178" s="792" t="e">
        <f t="shared" si="123"/>
        <v>#DIV/0!</v>
      </c>
      <c r="CM178" s="792" t="e">
        <f t="shared" si="123"/>
        <v>#DIV/0!</v>
      </c>
      <c r="CN178" s="792" t="e">
        <f t="shared" si="123"/>
        <v>#DIV/0!</v>
      </c>
      <c r="CO178" s="785" t="e">
        <f t="shared" si="123"/>
        <v>#DIV/0!</v>
      </c>
      <c r="CP178" s="785" t="e">
        <f t="shared" si="123"/>
        <v>#DIV/0!</v>
      </c>
      <c r="CQ178" s="785" t="e">
        <f t="shared" si="123"/>
        <v>#DIV/0!</v>
      </c>
      <c r="CR178" s="785" t="e">
        <f t="shared" si="123"/>
        <v>#DIV/0!</v>
      </c>
      <c r="CS178" s="785" t="e">
        <f t="shared" si="123"/>
        <v>#DIV/0!</v>
      </c>
      <c r="CT178" s="785" t="e">
        <f t="shared" si="123"/>
        <v>#DIV/0!</v>
      </c>
      <c r="CU178" s="785" t="e">
        <f t="shared" si="123"/>
        <v>#DIV/0!</v>
      </c>
      <c r="CV178" s="785" t="e">
        <f t="shared" si="123"/>
        <v>#DIV/0!</v>
      </c>
      <c r="CW178" s="785" t="e">
        <f t="shared" si="123"/>
        <v>#DIV/0!</v>
      </c>
      <c r="CX178" s="785" t="e">
        <f t="shared" si="123"/>
        <v>#DIV/0!</v>
      </c>
      <c r="CY178" s="785" t="e">
        <f t="shared" si="123"/>
        <v>#DIV/0!</v>
      </c>
      <c r="CZ178" s="785" t="e">
        <f t="shared" si="123"/>
        <v>#DIV/0!</v>
      </c>
      <c r="DA178" s="785" t="e">
        <f t="shared" si="123"/>
        <v>#DIV/0!</v>
      </c>
      <c r="DB178" s="785" t="e">
        <f t="shared" si="123"/>
        <v>#DIV/0!</v>
      </c>
      <c r="DC178" s="785" t="e">
        <f t="shared" si="123"/>
        <v>#DIV/0!</v>
      </c>
      <c r="DD178" s="799"/>
      <c r="DE178" s="789">
        <f t="shared" ref="DE178:DR178" si="124">DE35/DE160-1</f>
        <v>-0.13793103448275867</v>
      </c>
      <c r="DF178" s="789">
        <f t="shared" si="124"/>
        <v>-0.15238095238095239</v>
      </c>
      <c r="DG178" s="789">
        <f t="shared" si="124"/>
        <v>-0.12844036697247707</v>
      </c>
      <c r="DH178" s="789">
        <f t="shared" si="124"/>
        <v>-0.12213740458015265</v>
      </c>
      <c r="DI178" s="789">
        <f t="shared" si="124"/>
        <v>-0.14035087719298245</v>
      </c>
      <c r="DJ178" s="789">
        <f t="shared" si="124"/>
        <v>-0.14598540145985406</v>
      </c>
      <c r="DK178" s="789">
        <f t="shared" si="124"/>
        <v>0.91666666666666674</v>
      </c>
      <c r="DL178" s="789">
        <f t="shared" si="124"/>
        <v>0.95</v>
      </c>
      <c r="DM178" s="789">
        <f t="shared" si="124"/>
        <v>-9.9999999999999978E-2</v>
      </c>
      <c r="DN178" s="789">
        <f t="shared" si="124"/>
        <v>-9.9999999999999978E-2</v>
      </c>
      <c r="DO178" s="789">
        <f t="shared" si="124"/>
        <v>-9.9999999999999978E-2</v>
      </c>
      <c r="DP178" s="789">
        <f t="shared" si="124"/>
        <v>0.30000000000000004</v>
      </c>
      <c r="DQ178" s="789">
        <f t="shared" si="124"/>
        <v>0.33333333333333326</v>
      </c>
      <c r="DR178" s="789">
        <f t="shared" si="124"/>
        <v>-6.6666666666666652E-2</v>
      </c>
      <c r="DS178" s="802"/>
      <c r="DT178" s="787">
        <f>DT35/DT160-1</f>
        <v>0.41052631578947363</v>
      </c>
      <c r="DU178" s="787" t="e">
        <f>#REF!/DU160-1</f>
        <v>#REF!</v>
      </c>
      <c r="DV178" s="787" t="e">
        <f>#REF!/DV160-1</f>
        <v>#REF!</v>
      </c>
      <c r="DW178" s="2954"/>
      <c r="DX178" s="787" t="e">
        <f>DX35/DX160-1</f>
        <v>#DIV/0!</v>
      </c>
      <c r="DY178" s="787">
        <f>DY35/DY160-1</f>
        <v>0.77272727272727271</v>
      </c>
      <c r="DZ178" s="790"/>
      <c r="EA178" s="790"/>
      <c r="EB178" s="790"/>
      <c r="EC178" s="790"/>
      <c r="ED178" s="790"/>
      <c r="EE178" s="790"/>
      <c r="EF178" s="790"/>
      <c r="EG178" s="790"/>
      <c r="EH178" s="790"/>
      <c r="EI178" s="790"/>
      <c r="EJ178" s="790"/>
      <c r="EK178" s="790"/>
      <c r="EL178" s="790"/>
      <c r="EM178" s="790"/>
      <c r="EN178" s="790"/>
      <c r="EO178" s="790"/>
      <c r="EP178" s="790"/>
    </row>
    <row r="179" spans="1:146" s="761" customFormat="1" ht="12.75" hidden="1" customHeight="1" outlineLevel="3">
      <c r="A179" s="1774" t="s">
        <v>30</v>
      </c>
      <c r="B179" s="1779" t="s">
        <v>284</v>
      </c>
      <c r="C179" s="1746"/>
      <c r="D179" s="783">
        <v>4200</v>
      </c>
      <c r="E179" s="2734">
        <f t="shared" ref="E179:L179" si="125">E33/E161-1</f>
        <v>2.1739130434782705E-2</v>
      </c>
      <c r="F179" s="2734" t="e">
        <f t="shared" si="125"/>
        <v>#VALUE!</v>
      </c>
      <c r="G179" s="2734">
        <f t="shared" si="125"/>
        <v>2.1739130434782705E-2</v>
      </c>
      <c r="H179" s="2734">
        <f t="shared" si="125"/>
        <v>1.9607843137254832E-2</v>
      </c>
      <c r="I179" s="2734">
        <f t="shared" si="125"/>
        <v>-7.8431372549019662E-2</v>
      </c>
      <c r="J179" s="2734">
        <f t="shared" si="125"/>
        <v>2.1739130434782705E-2</v>
      </c>
      <c r="K179" s="2734">
        <f t="shared" si="125"/>
        <v>2.1276595744680771E-2</v>
      </c>
      <c r="L179" s="2734">
        <f t="shared" si="125"/>
        <v>1.1235955056179803E-2</v>
      </c>
      <c r="M179" s="2734"/>
      <c r="N179" s="2734"/>
      <c r="O179" s="2734"/>
      <c r="P179" s="2734"/>
      <c r="Q179" s="803"/>
      <c r="R179" s="2734">
        <f t="shared" ref="R179:AC179" si="126">R33/R161-1</f>
        <v>-1</v>
      </c>
      <c r="S179" s="2734">
        <f t="shared" si="126"/>
        <v>3.4482758620689724E-2</v>
      </c>
      <c r="T179" s="2734">
        <f t="shared" si="126"/>
        <v>0</v>
      </c>
      <c r="U179" s="2734">
        <f t="shared" si="126"/>
        <v>3.4482758620689724E-2</v>
      </c>
      <c r="V179" s="2734">
        <f t="shared" si="126"/>
        <v>3.4482758620689724E-2</v>
      </c>
      <c r="W179" s="2734">
        <f t="shared" si="126"/>
        <v>3.125E-2</v>
      </c>
      <c r="X179" s="2734" t="e">
        <f t="shared" si="126"/>
        <v>#DIV/0!</v>
      </c>
      <c r="Y179" s="2734" t="e">
        <f t="shared" si="126"/>
        <v>#DIV/0!</v>
      </c>
      <c r="Z179" s="2734" t="e">
        <f t="shared" si="126"/>
        <v>#DIV/0!</v>
      </c>
      <c r="AA179" s="2734" t="e">
        <f t="shared" si="126"/>
        <v>#DIV/0!</v>
      </c>
      <c r="AB179" s="2734">
        <f t="shared" si="126"/>
        <v>0.17948717948717952</v>
      </c>
      <c r="AC179" s="2734" t="e">
        <f t="shared" si="126"/>
        <v>#VALUE!</v>
      </c>
      <c r="AD179" s="2734"/>
      <c r="AE179" s="2734"/>
      <c r="AF179" s="2734" t="e">
        <f t="shared" ref="AF179:AN179" si="127">AF33/AF161-1</f>
        <v>#DIV/0!</v>
      </c>
      <c r="AG179" s="2689">
        <f t="shared" si="127"/>
        <v>7.6923076923076872E-2</v>
      </c>
      <c r="AH179" s="2689" t="e">
        <f t="shared" si="127"/>
        <v>#DIV/0!</v>
      </c>
      <c r="AI179" s="2689" t="e">
        <f t="shared" si="127"/>
        <v>#DIV/0!</v>
      </c>
      <c r="AJ179" s="2689">
        <f t="shared" si="127"/>
        <v>7.6923076923076872E-2</v>
      </c>
      <c r="AK179" s="793" t="e">
        <f t="shared" si="127"/>
        <v>#VALUE!</v>
      </c>
      <c r="AL179" s="793" t="e">
        <f t="shared" si="127"/>
        <v>#DIV/0!</v>
      </c>
      <c r="AM179" s="2689">
        <f t="shared" si="127"/>
        <v>3.4482758620689724E-2</v>
      </c>
      <c r="AN179" s="2689">
        <f t="shared" si="127"/>
        <v>0</v>
      </c>
      <c r="AO179" s="803"/>
      <c r="AP179" s="2734">
        <f t="shared" ref="AP179:BF179" si="128">AP33/AP161-1</f>
        <v>-1</v>
      </c>
      <c r="AQ179" s="2734">
        <f t="shared" si="128"/>
        <v>-1</v>
      </c>
      <c r="AR179" s="2734">
        <f t="shared" si="128"/>
        <v>0</v>
      </c>
      <c r="AS179" s="2734">
        <f t="shared" si="128"/>
        <v>-0.10869565217391308</v>
      </c>
      <c r="AT179" s="2734">
        <f t="shared" si="128"/>
        <v>-0.25714285714285712</v>
      </c>
      <c r="AU179" s="2734">
        <f t="shared" si="128"/>
        <v>4.5454545454545414E-2</v>
      </c>
      <c r="AV179" s="2734" t="e">
        <f t="shared" si="128"/>
        <v>#DIV/0!</v>
      </c>
      <c r="AW179" s="793">
        <f t="shared" si="128"/>
        <v>5.5</v>
      </c>
      <c r="AX179" s="785">
        <f t="shared" si="128"/>
        <v>0</v>
      </c>
      <c r="AY179" s="785">
        <f t="shared" si="128"/>
        <v>0</v>
      </c>
      <c r="AZ179" s="785">
        <f t="shared" si="128"/>
        <v>0</v>
      </c>
      <c r="BA179" s="785">
        <f t="shared" si="128"/>
        <v>-0.10869565217391308</v>
      </c>
      <c r="BB179" s="785">
        <f t="shared" si="128"/>
        <v>0</v>
      </c>
      <c r="BC179" s="2734">
        <f t="shared" si="128"/>
        <v>1.1818181818181817</v>
      </c>
      <c r="BD179" s="2734">
        <f t="shared" si="128"/>
        <v>-9.4117647058823528E-2</v>
      </c>
      <c r="BE179" s="785">
        <f t="shared" si="128"/>
        <v>-9.4117647058823528E-2</v>
      </c>
      <c r="BF179" s="2734">
        <f t="shared" si="128"/>
        <v>-0.10869565217391308</v>
      </c>
      <c r="BG179" s="803"/>
      <c r="BH179" s="793">
        <f t="shared" ref="BH179:BP179" si="129">BH33/BH161-1</f>
        <v>-4.3478260869565188E-2</v>
      </c>
      <c r="BI179" s="793">
        <f t="shared" si="129"/>
        <v>-6.4516129032258118E-2</v>
      </c>
      <c r="BJ179" s="793">
        <f t="shared" si="129"/>
        <v>-8.8235294117647078E-2</v>
      </c>
      <c r="BK179" s="793">
        <f t="shared" si="129"/>
        <v>-7.999999999999996E-2</v>
      </c>
      <c r="BL179" s="793">
        <f t="shared" si="129"/>
        <v>-6.0606060606060552E-2</v>
      </c>
      <c r="BM179" s="793">
        <f t="shared" si="129"/>
        <v>-8.333333333333337E-2</v>
      </c>
      <c r="BN179" s="793">
        <f t="shared" si="129"/>
        <v>-0.19607843137254899</v>
      </c>
      <c r="BO179" s="793">
        <f t="shared" si="129"/>
        <v>-0.16666666666666663</v>
      </c>
      <c r="BP179" s="793">
        <f t="shared" si="129"/>
        <v>0.20454545454545459</v>
      </c>
      <c r="BQ179" s="803"/>
      <c r="BR179" s="791">
        <f t="shared" ref="BR179:BX179" si="130">BR33/BR161-1</f>
        <v>-2.1739130434782594E-2</v>
      </c>
      <c r="BS179" s="791">
        <f t="shared" si="130"/>
        <v>-0.12068965517241381</v>
      </c>
      <c r="BT179" s="791">
        <f t="shared" si="130"/>
        <v>1.3698630136986356E-2</v>
      </c>
      <c r="BU179" s="791">
        <f t="shared" si="130"/>
        <v>0.30769230769230771</v>
      </c>
      <c r="BV179" s="791">
        <f t="shared" si="130"/>
        <v>3</v>
      </c>
      <c r="BW179" s="791">
        <f t="shared" si="130"/>
        <v>12</v>
      </c>
      <c r="BX179" s="791">
        <f t="shared" si="130"/>
        <v>-0.15151515151515149</v>
      </c>
      <c r="BY179" s="803"/>
      <c r="BZ179" s="792" t="e">
        <f t="shared" ref="BZ179:DC179" si="131">BZ33/BZ161-1</f>
        <v>#DIV/0!</v>
      </c>
      <c r="CA179" s="792" t="e">
        <f t="shared" si="131"/>
        <v>#DIV/0!</v>
      </c>
      <c r="CB179" s="792" t="e">
        <f t="shared" si="131"/>
        <v>#DIV/0!</v>
      </c>
      <c r="CC179" s="792" t="e">
        <f t="shared" si="131"/>
        <v>#DIV/0!</v>
      </c>
      <c r="CD179" s="792" t="e">
        <f t="shared" si="131"/>
        <v>#DIV/0!</v>
      </c>
      <c r="CE179" s="792" t="e">
        <f t="shared" si="131"/>
        <v>#DIV/0!</v>
      </c>
      <c r="CF179" s="792" t="e">
        <f t="shared" si="131"/>
        <v>#DIV/0!</v>
      </c>
      <c r="CG179" s="792" t="e">
        <f t="shared" si="131"/>
        <v>#DIV/0!</v>
      </c>
      <c r="CH179" s="792" t="e">
        <f t="shared" si="131"/>
        <v>#DIV/0!</v>
      </c>
      <c r="CI179" s="792" t="e">
        <f t="shared" si="131"/>
        <v>#DIV/0!</v>
      </c>
      <c r="CJ179" s="792" t="e">
        <f t="shared" si="131"/>
        <v>#DIV/0!</v>
      </c>
      <c r="CK179" s="792" t="e">
        <f t="shared" si="131"/>
        <v>#DIV/0!</v>
      </c>
      <c r="CL179" s="792" t="e">
        <f t="shared" si="131"/>
        <v>#DIV/0!</v>
      </c>
      <c r="CM179" s="792" t="e">
        <f t="shared" si="131"/>
        <v>#DIV/0!</v>
      </c>
      <c r="CN179" s="792" t="e">
        <f t="shared" si="131"/>
        <v>#DIV/0!</v>
      </c>
      <c r="CO179" s="785" t="e">
        <f t="shared" si="131"/>
        <v>#DIV/0!</v>
      </c>
      <c r="CP179" s="785" t="e">
        <f t="shared" si="131"/>
        <v>#DIV/0!</v>
      </c>
      <c r="CQ179" s="785" t="e">
        <f t="shared" si="131"/>
        <v>#DIV/0!</v>
      </c>
      <c r="CR179" s="785" t="e">
        <f t="shared" si="131"/>
        <v>#DIV/0!</v>
      </c>
      <c r="CS179" s="785" t="e">
        <f t="shared" si="131"/>
        <v>#DIV/0!</v>
      </c>
      <c r="CT179" s="785" t="e">
        <f t="shared" si="131"/>
        <v>#DIV/0!</v>
      </c>
      <c r="CU179" s="785" t="e">
        <f t="shared" si="131"/>
        <v>#DIV/0!</v>
      </c>
      <c r="CV179" s="785" t="e">
        <f t="shared" si="131"/>
        <v>#DIV/0!</v>
      </c>
      <c r="CW179" s="785" t="e">
        <f t="shared" si="131"/>
        <v>#DIV/0!</v>
      </c>
      <c r="CX179" s="785" t="e">
        <f t="shared" si="131"/>
        <v>#DIV/0!</v>
      </c>
      <c r="CY179" s="785" t="e">
        <f t="shared" si="131"/>
        <v>#DIV/0!</v>
      </c>
      <c r="CZ179" s="785" t="e">
        <f t="shared" si="131"/>
        <v>#DIV/0!</v>
      </c>
      <c r="DA179" s="785" t="e">
        <f t="shared" si="131"/>
        <v>#DIV/0!</v>
      </c>
      <c r="DB179" s="785" t="e">
        <f t="shared" si="131"/>
        <v>#DIV/0!</v>
      </c>
      <c r="DC179" s="785" t="e">
        <f t="shared" si="131"/>
        <v>#DIV/0!</v>
      </c>
      <c r="DD179" s="803"/>
      <c r="DE179" s="789">
        <f t="shared" ref="DE179:DR179" si="132">DE33/DE161-1</f>
        <v>-0.22352941176470587</v>
      </c>
      <c r="DF179" s="789">
        <f t="shared" si="132"/>
        <v>-0.23529411764705888</v>
      </c>
      <c r="DG179" s="789">
        <f t="shared" si="132"/>
        <v>-0.21495327102803741</v>
      </c>
      <c r="DH179" s="789">
        <f t="shared" si="132"/>
        <v>-0.21705426356589153</v>
      </c>
      <c r="DI179" s="789">
        <f t="shared" si="132"/>
        <v>-0.22522522522522526</v>
      </c>
      <c r="DJ179" s="789">
        <f t="shared" si="132"/>
        <v>-0.23134328358208955</v>
      </c>
      <c r="DK179" s="789">
        <f t="shared" si="132"/>
        <v>0.74137931034482762</v>
      </c>
      <c r="DL179" s="789">
        <f t="shared" si="132"/>
        <v>0.77586206896551735</v>
      </c>
      <c r="DM179" s="789" t="e">
        <f t="shared" si="132"/>
        <v>#DIV/0!</v>
      </c>
      <c r="DN179" s="789" t="e">
        <f t="shared" si="132"/>
        <v>#DIV/0!</v>
      </c>
      <c r="DO179" s="789" t="e">
        <f t="shared" si="132"/>
        <v>#DIV/0!</v>
      </c>
      <c r="DP179" s="789" t="e">
        <f t="shared" si="132"/>
        <v>#VALUE!</v>
      </c>
      <c r="DQ179" s="789" t="e">
        <f t="shared" si="132"/>
        <v>#VALUE!</v>
      </c>
      <c r="DR179" s="789">
        <f t="shared" si="132"/>
        <v>-0.14615384615384619</v>
      </c>
      <c r="DS179" s="804"/>
      <c r="DT179" s="787">
        <f>DT33/DT161-1</f>
        <v>0.39411764705882346</v>
      </c>
      <c r="DU179" s="787" t="e">
        <f>#REF!/DU161-1</f>
        <v>#REF!</v>
      </c>
      <c r="DV179" s="787">
        <f>DV35/DV161-1</f>
        <v>0.33333333333333326</v>
      </c>
      <c r="DW179" s="2954"/>
      <c r="DX179" s="787" t="e">
        <f>#REF!/DX161-1</f>
        <v>#REF!</v>
      </c>
      <c r="DY179" s="787">
        <f>DY33/DY161-1</f>
        <v>0.39729729729729724</v>
      </c>
      <c r="DZ179" s="790"/>
      <c r="EA179" s="790"/>
      <c r="EB179" s="790"/>
      <c r="EC179" s="790"/>
      <c r="ED179" s="790"/>
      <c r="EE179" s="790"/>
      <c r="EF179" s="790"/>
      <c r="EG179" s="790"/>
      <c r="EH179" s="790"/>
      <c r="EI179" s="790"/>
      <c r="EJ179" s="790"/>
      <c r="EK179" s="790"/>
      <c r="EL179" s="790"/>
      <c r="EM179" s="790"/>
      <c r="EN179" s="790"/>
      <c r="EO179" s="790"/>
      <c r="EP179" s="790"/>
    </row>
    <row r="180" spans="1:146" s="761" customFormat="1" ht="12.75" hidden="1" customHeight="1" outlineLevel="3">
      <c r="A180" s="1651"/>
      <c r="B180" s="4935" t="s">
        <v>286</v>
      </c>
      <c r="C180" s="4936"/>
      <c r="D180" s="1651">
        <v>5250</v>
      </c>
      <c r="E180" s="1651"/>
      <c r="F180" s="1651"/>
      <c r="G180" s="1651"/>
      <c r="H180" s="1651"/>
      <c r="I180" s="1651"/>
      <c r="J180" s="1651"/>
      <c r="K180" s="1651"/>
      <c r="L180" s="1651"/>
      <c r="M180" s="1651"/>
      <c r="N180" s="1651"/>
      <c r="O180" s="1651"/>
      <c r="P180" s="1651"/>
      <c r="Q180" s="1651"/>
      <c r="R180" s="1651"/>
      <c r="S180" s="1651"/>
      <c r="T180" s="1651"/>
      <c r="U180" s="1651"/>
      <c r="V180" s="1651"/>
      <c r="W180" s="1651"/>
      <c r="X180" s="1651"/>
      <c r="Y180" s="1651"/>
      <c r="Z180" s="1651"/>
      <c r="AA180" s="1651"/>
      <c r="AB180" s="1651"/>
      <c r="AC180" s="1651"/>
      <c r="AD180" s="1651"/>
      <c r="AE180" s="1651"/>
      <c r="AF180" s="1651"/>
      <c r="AG180" s="1651"/>
      <c r="AH180" s="1651"/>
      <c r="AI180" s="1651"/>
      <c r="AJ180" s="1651"/>
      <c r="AK180" s="1651"/>
      <c r="AL180" s="1651"/>
      <c r="AM180" s="1651"/>
      <c r="AN180" s="1651"/>
      <c r="AO180" s="1651"/>
      <c r="AP180" s="1651"/>
      <c r="AQ180" s="1651"/>
      <c r="AR180" s="1651"/>
      <c r="AS180" s="1651"/>
      <c r="AT180" s="1651"/>
      <c r="AU180" s="1651"/>
      <c r="AV180" s="1651"/>
      <c r="AW180" s="1651"/>
      <c r="AX180" s="1651"/>
      <c r="AY180" s="1651"/>
      <c r="AZ180" s="1651"/>
      <c r="BA180" s="1651"/>
      <c r="BB180" s="1651"/>
      <c r="BC180" s="1651"/>
      <c r="BD180" s="1651"/>
      <c r="BE180" s="1651"/>
      <c r="BF180" s="1651"/>
      <c r="BG180" s="1651"/>
      <c r="BH180" s="1651"/>
      <c r="BI180" s="1651"/>
      <c r="BJ180" s="1651"/>
      <c r="BK180" s="1651"/>
      <c r="BL180" s="1651"/>
      <c r="BM180" s="1651"/>
      <c r="BN180" s="1651"/>
      <c r="BO180" s="1651"/>
      <c r="BP180" s="1651"/>
      <c r="BQ180" s="1651"/>
      <c r="BR180" s="1651"/>
      <c r="BS180" s="1651"/>
      <c r="BT180" s="1651"/>
      <c r="BU180" s="1651"/>
      <c r="BV180" s="1651"/>
      <c r="BW180" s="1651"/>
      <c r="BX180" s="1651"/>
      <c r="BY180" s="1651"/>
      <c r="BZ180" s="1651"/>
      <c r="CA180" s="1651"/>
      <c r="CB180" s="1651"/>
      <c r="CC180" s="1651"/>
      <c r="CD180" s="1651"/>
      <c r="CE180" s="1651"/>
      <c r="CF180" s="1651"/>
      <c r="CG180" s="1651"/>
      <c r="CH180" s="1725"/>
      <c r="CI180" s="1725"/>
      <c r="CJ180" s="1725"/>
      <c r="CK180" s="1725"/>
      <c r="CL180" s="1725"/>
      <c r="CM180" s="1725"/>
      <c r="CN180" s="1725"/>
      <c r="CO180" s="1651"/>
      <c r="CP180" s="1651"/>
      <c r="CQ180" s="1651"/>
      <c r="CR180" s="1651"/>
      <c r="CS180" s="1651"/>
      <c r="CT180" s="1651"/>
      <c r="CU180" s="1651"/>
      <c r="CV180" s="1651"/>
      <c r="CW180" s="1651"/>
      <c r="CX180" s="1651"/>
      <c r="CY180" s="1651"/>
      <c r="CZ180" s="1651"/>
      <c r="DA180" s="1651"/>
      <c r="DB180" s="1651"/>
      <c r="DC180" s="1651"/>
      <c r="DD180" s="1651"/>
      <c r="DE180" s="1651"/>
      <c r="DF180" s="1651"/>
      <c r="DG180" s="1651"/>
      <c r="DH180" s="1651"/>
      <c r="DI180" s="1651"/>
      <c r="DJ180" s="1651"/>
      <c r="DK180" s="1651"/>
      <c r="DL180" s="1651"/>
      <c r="DM180" s="1651"/>
      <c r="DN180" s="1651"/>
      <c r="DO180" s="1651"/>
      <c r="DP180" s="1651"/>
      <c r="DQ180" s="1651"/>
      <c r="DR180" s="1651"/>
      <c r="DS180" s="1651"/>
      <c r="DT180" s="1651"/>
      <c r="DU180" s="1651"/>
      <c r="DV180" s="1651"/>
      <c r="DW180" s="1651"/>
      <c r="DX180" s="1651"/>
      <c r="DY180" s="1651"/>
      <c r="DZ180" s="1651"/>
      <c r="EA180" s="1651"/>
      <c r="EB180" s="1651"/>
      <c r="EC180" s="1651"/>
      <c r="ED180" s="1651"/>
      <c r="EE180" s="1651"/>
      <c r="EF180" s="1651"/>
      <c r="EG180" s="1651"/>
      <c r="EH180" s="1651"/>
      <c r="EI180" s="1651"/>
      <c r="EJ180" s="1651"/>
      <c r="EK180" s="1651"/>
      <c r="EL180" s="1651"/>
      <c r="EM180" s="1651"/>
      <c r="EN180" s="1651"/>
      <c r="EO180" s="1651"/>
      <c r="EP180" s="1651"/>
    </row>
    <row r="181" spans="1:146" s="761" customFormat="1" hidden="1" outlineLevel="3">
      <c r="A181" s="1651"/>
      <c r="B181" s="4952" t="s">
        <v>285</v>
      </c>
      <c r="C181" s="4953"/>
      <c r="D181" s="1651">
        <v>9450</v>
      </c>
      <c r="E181" s="1651"/>
      <c r="F181" s="1651"/>
      <c r="G181" s="1651"/>
      <c r="H181" s="1651"/>
      <c r="I181" s="1651"/>
      <c r="J181" s="1651"/>
      <c r="K181" s="1651"/>
      <c r="L181" s="1651"/>
      <c r="M181" s="1651"/>
      <c r="N181" s="1651"/>
      <c r="O181" s="1651"/>
      <c r="P181" s="1651"/>
      <c r="Q181" s="1651"/>
      <c r="R181" s="1651"/>
      <c r="S181" s="1651"/>
      <c r="T181" s="1651"/>
      <c r="U181" s="1651"/>
      <c r="V181" s="1651"/>
      <c r="W181" s="1651"/>
      <c r="X181" s="1651"/>
      <c r="Y181" s="1651"/>
      <c r="Z181" s="1651"/>
      <c r="AA181" s="1651"/>
      <c r="AB181" s="1651"/>
      <c r="AC181" s="1651"/>
      <c r="AD181" s="1651"/>
      <c r="AE181" s="1651"/>
      <c r="AF181" s="1651"/>
      <c r="AG181" s="1651"/>
      <c r="AH181" s="1651"/>
      <c r="AI181" s="1651"/>
      <c r="AJ181" s="1651"/>
      <c r="AK181" s="1651"/>
      <c r="AL181" s="1651"/>
      <c r="AM181" s="1651"/>
      <c r="AN181" s="1651"/>
      <c r="AO181" s="1651"/>
      <c r="AP181" s="1651"/>
      <c r="AQ181" s="1651"/>
      <c r="AR181" s="1651"/>
      <c r="AS181" s="1651"/>
      <c r="AT181" s="1651"/>
      <c r="AU181" s="1651"/>
      <c r="AV181" s="1651"/>
      <c r="AW181" s="1651"/>
      <c r="AX181" s="1651"/>
      <c r="AY181" s="1651"/>
      <c r="AZ181" s="1651"/>
      <c r="BA181" s="1651"/>
      <c r="BB181" s="1651"/>
      <c r="BC181" s="1651"/>
      <c r="BD181" s="1651"/>
      <c r="BE181" s="1651"/>
      <c r="BF181" s="1651"/>
      <c r="BG181" s="1651"/>
      <c r="BH181" s="1651"/>
      <c r="BI181" s="1651"/>
      <c r="BJ181" s="1651"/>
      <c r="BK181" s="1651"/>
      <c r="BL181" s="1651"/>
      <c r="BM181" s="1651"/>
      <c r="BN181" s="1651"/>
      <c r="BO181" s="1651"/>
      <c r="BP181" s="1651"/>
      <c r="BQ181" s="1651"/>
      <c r="BR181" s="1651"/>
      <c r="BS181" s="1651"/>
      <c r="BT181" s="1651"/>
      <c r="BU181" s="1651"/>
      <c r="BV181" s="1651"/>
      <c r="BW181" s="1651"/>
      <c r="BX181" s="1651"/>
      <c r="BY181" s="1651"/>
      <c r="BZ181" s="1651"/>
      <c r="CA181" s="1651"/>
      <c r="CB181" s="1651"/>
      <c r="CC181" s="1651"/>
      <c r="CD181" s="1651"/>
      <c r="CE181" s="1651"/>
      <c r="CF181" s="1651"/>
      <c r="CG181" s="1651"/>
      <c r="CH181" s="1725"/>
      <c r="CI181" s="1725"/>
      <c r="CJ181" s="1725"/>
      <c r="CK181" s="1725"/>
      <c r="CL181" s="1725"/>
      <c r="CM181" s="1725"/>
      <c r="CN181" s="1725"/>
      <c r="CO181" s="1651"/>
      <c r="CP181" s="1651"/>
      <c r="CQ181" s="1651"/>
      <c r="CR181" s="1651"/>
      <c r="CS181" s="1651"/>
      <c r="CT181" s="1651"/>
      <c r="CU181" s="1651"/>
      <c r="CV181" s="1651"/>
      <c r="CW181" s="1651"/>
      <c r="CX181" s="1651"/>
      <c r="CY181" s="1651"/>
      <c r="CZ181" s="1651"/>
      <c r="DA181" s="1651"/>
      <c r="DB181" s="1651"/>
      <c r="DC181" s="1651"/>
      <c r="DD181" s="1651"/>
      <c r="DE181" s="1651"/>
      <c r="DF181" s="1651"/>
      <c r="DG181" s="1651"/>
      <c r="DH181" s="1651"/>
      <c r="DI181" s="1651"/>
      <c r="DJ181" s="1651"/>
      <c r="DK181" s="1651"/>
      <c r="DL181" s="1651"/>
      <c r="DM181" s="1651"/>
      <c r="DN181" s="1651"/>
      <c r="DO181" s="1651"/>
      <c r="DP181" s="1651"/>
      <c r="DQ181" s="1651"/>
      <c r="DR181" s="1651"/>
      <c r="DS181" s="1651"/>
      <c r="DT181" s="1651"/>
      <c r="DU181" s="1651"/>
      <c r="DV181" s="1651"/>
      <c r="DW181" s="1651"/>
      <c r="DX181" s="1651"/>
      <c r="DY181" s="1651"/>
      <c r="DZ181" s="1651"/>
      <c r="EA181" s="1651"/>
      <c r="EB181" s="1651"/>
      <c r="EC181" s="1651"/>
      <c r="ED181" s="1651"/>
      <c r="EE181" s="1651"/>
      <c r="EF181" s="1651"/>
      <c r="EG181" s="1651"/>
      <c r="EH181" s="1651"/>
      <c r="EI181" s="1651"/>
      <c r="EJ181" s="1651"/>
      <c r="EK181" s="1651"/>
      <c r="EL181" s="1651"/>
      <c r="EM181" s="1651"/>
      <c r="EN181" s="1651"/>
      <c r="EO181" s="1651"/>
      <c r="EP181" s="1651"/>
    </row>
    <row r="182" spans="1:146" s="1651" customFormat="1" ht="12.75" hidden="1" customHeight="1" outlineLevel="3">
      <c r="A182" s="1726"/>
      <c r="B182" s="1727"/>
      <c r="C182" s="2625"/>
      <c r="D182" s="1643">
        <v>1750</v>
      </c>
      <c r="E182" s="1643"/>
      <c r="F182" s="1643"/>
      <c r="G182" s="1643"/>
      <c r="H182" s="1643"/>
      <c r="I182" s="1643"/>
      <c r="J182" s="761"/>
      <c r="K182" s="761"/>
      <c r="L182" s="761"/>
      <c r="M182" s="761"/>
      <c r="N182" s="761"/>
      <c r="O182" s="761"/>
      <c r="P182" s="761"/>
      <c r="Q182" s="1727"/>
      <c r="R182" s="246"/>
      <c r="S182" s="246"/>
      <c r="T182" s="761"/>
      <c r="U182" s="246"/>
      <c r="V182" s="246"/>
      <c r="W182" s="246"/>
      <c r="X182" s="246"/>
      <c r="Y182" s="246"/>
      <c r="Z182" s="246"/>
      <c r="AA182" s="246"/>
      <c r="AB182" s="246"/>
      <c r="AC182" s="246"/>
      <c r="AD182" s="246"/>
      <c r="AE182" s="246"/>
      <c r="AF182" s="246"/>
      <c r="AG182" s="761"/>
      <c r="AH182" s="761"/>
      <c r="AI182" s="761"/>
      <c r="AJ182" s="761"/>
      <c r="AK182" s="761"/>
      <c r="AL182" s="761"/>
      <c r="AM182" s="761"/>
      <c r="AN182" s="761"/>
      <c r="AO182" s="1727"/>
      <c r="AP182" s="246"/>
      <c r="AQ182" s="246"/>
      <c r="AR182" s="246"/>
      <c r="AS182" s="246"/>
      <c r="AT182" s="246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  <c r="ED182" s="246"/>
      <c r="EE182" s="246"/>
      <c r="EF182" s="246"/>
      <c r="EG182" s="246"/>
      <c r="EH182" s="246"/>
      <c r="EI182" s="246"/>
      <c r="EJ182" s="246"/>
      <c r="EK182" s="761"/>
      <c r="EL182" s="761"/>
      <c r="EM182" s="761"/>
      <c r="EN182" s="761"/>
      <c r="EO182" s="761"/>
      <c r="EP182" s="761"/>
    </row>
    <row r="183" spans="1:146" s="1651" customFormat="1" ht="12.75" hidden="1" customHeight="1" outlineLevel="3">
      <c r="A183" s="1726"/>
      <c r="B183" s="1727"/>
      <c r="C183" s="2625"/>
      <c r="D183" s="1643">
        <v>0</v>
      </c>
      <c r="E183" s="1643"/>
      <c r="F183" s="1643"/>
      <c r="G183" s="1643"/>
      <c r="H183" s="1643"/>
      <c r="I183" s="1643"/>
      <c r="J183" s="761"/>
      <c r="K183" s="761"/>
      <c r="L183" s="761"/>
      <c r="M183" s="761"/>
      <c r="N183" s="761"/>
      <c r="O183" s="761"/>
      <c r="P183" s="761"/>
      <c r="Q183" s="1727"/>
      <c r="R183" s="246"/>
      <c r="S183" s="246"/>
      <c r="T183" s="761"/>
      <c r="U183" s="246"/>
      <c r="V183" s="246"/>
      <c r="W183" s="246"/>
      <c r="X183" s="246"/>
      <c r="Y183" s="246"/>
      <c r="Z183" s="246"/>
      <c r="AA183" s="246"/>
      <c r="AB183" s="246"/>
      <c r="AC183" s="246"/>
      <c r="AD183" s="246"/>
      <c r="AE183" s="246"/>
      <c r="AF183" s="246"/>
      <c r="AG183" s="761"/>
      <c r="AH183" s="761"/>
      <c r="AI183" s="761"/>
      <c r="AJ183" s="761"/>
      <c r="AK183" s="761"/>
      <c r="AL183" s="761"/>
      <c r="AM183" s="761"/>
      <c r="AN183" s="761"/>
      <c r="AO183" s="1727"/>
      <c r="AP183" s="246"/>
      <c r="AQ183" s="246"/>
      <c r="AR183" s="246"/>
      <c r="AS183" s="246"/>
      <c r="AT183" s="246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  <c r="ED183" s="246"/>
      <c r="EE183" s="246"/>
      <c r="EF183" s="246"/>
      <c r="EG183" s="246"/>
      <c r="EH183" s="246"/>
      <c r="EI183" s="246"/>
      <c r="EJ183" s="246"/>
      <c r="EK183" s="761"/>
      <c r="EL183" s="761"/>
      <c r="EM183" s="761"/>
      <c r="EN183" s="761"/>
      <c r="EO183" s="761"/>
      <c r="EP183" s="761"/>
    </row>
    <row r="184" spans="1:146" s="761" customFormat="1" ht="21" hidden="1" customHeight="1" outlineLevel="2">
      <c r="A184" s="1726"/>
      <c r="B184" s="1727"/>
      <c r="C184" s="2625"/>
      <c r="D184" s="1643">
        <v>950</v>
      </c>
      <c r="E184" s="1643"/>
      <c r="F184" s="1643"/>
      <c r="G184" s="1643"/>
      <c r="H184" s="1643"/>
      <c r="I184" s="1643"/>
      <c r="Q184" s="1727"/>
      <c r="R184" s="246"/>
      <c r="S184" s="246"/>
      <c r="U184" s="246"/>
      <c r="V184" s="246"/>
      <c r="W184" s="246"/>
      <c r="X184" s="246"/>
      <c r="Y184" s="246"/>
      <c r="Z184" s="246"/>
      <c r="AA184" s="246"/>
      <c r="AB184" s="246"/>
      <c r="AC184" s="246"/>
      <c r="AD184" s="246"/>
      <c r="AE184" s="246"/>
      <c r="AF184" s="246"/>
      <c r="AO184" s="1727"/>
      <c r="AP184" s="246"/>
      <c r="AQ184" s="246"/>
      <c r="AR184" s="246"/>
      <c r="AS184" s="246"/>
      <c r="AT184" s="246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  <c r="ED184" s="246"/>
      <c r="EE184" s="246"/>
      <c r="EF184" s="246"/>
      <c r="EG184" s="246"/>
      <c r="EH184" s="246"/>
      <c r="EI184" s="246"/>
      <c r="EJ184" s="246"/>
    </row>
    <row r="185" spans="1:146" s="1651" customFormat="1" ht="15" hidden="1" outlineLevel="2">
      <c r="A185" s="1649" t="s">
        <v>2183</v>
      </c>
      <c r="B185" s="1650"/>
      <c r="C185" s="1729"/>
      <c r="D185" s="1652">
        <v>1200</v>
      </c>
      <c r="E185" s="1652">
        <v>1200</v>
      </c>
      <c r="F185" s="1652"/>
      <c r="G185" s="1652">
        <v>1200</v>
      </c>
      <c r="H185" s="1652"/>
      <c r="I185" s="1652"/>
      <c r="J185" s="1652">
        <v>1200</v>
      </c>
      <c r="K185" s="1652">
        <f>CEILING(K31*0.81, 50)</f>
        <v>2600</v>
      </c>
      <c r="L185" s="1652">
        <f>CEILING(L31*0.81, 50)</f>
        <v>2400</v>
      </c>
      <c r="M185" s="1652"/>
      <c r="N185" s="1652"/>
      <c r="O185" s="1652"/>
      <c r="P185" s="1652"/>
      <c r="Q185" s="1652"/>
      <c r="R185" s="1652"/>
      <c r="S185" s="1652"/>
      <c r="T185" s="1652">
        <f>CEILING(T31*0.81, 50)</f>
        <v>700</v>
      </c>
      <c r="U185" s="1652">
        <f>CEILING(U31*0.81, 50)</f>
        <v>850</v>
      </c>
      <c r="V185" s="1652">
        <f>CEILING(V31*0.81, 50)</f>
        <v>850</v>
      </c>
      <c r="W185" s="1652">
        <f>CEILING(W31*0.81, 50)</f>
        <v>900</v>
      </c>
      <c r="X185" s="1652"/>
      <c r="Y185" s="1652"/>
      <c r="Z185" s="1652"/>
      <c r="AA185" s="1652"/>
      <c r="AB185" s="1652"/>
      <c r="AC185" s="1652">
        <f>CEILING(AC31*0.81, 50)</f>
        <v>950</v>
      </c>
      <c r="AD185" s="1652"/>
      <c r="AE185" s="1652"/>
      <c r="AF185" s="1652"/>
      <c r="AG185" s="1652">
        <f>CEILING(AG31*0.81, 50)</f>
        <v>800</v>
      </c>
      <c r="AH185" s="1652"/>
      <c r="AI185" s="1652"/>
      <c r="AJ185" s="1652"/>
      <c r="AK185" s="1652"/>
      <c r="AL185" s="1652"/>
      <c r="AM185" s="1652"/>
      <c r="AN185" s="1652">
        <f>CEILING(AN31*0.81, 50)</f>
        <v>600</v>
      </c>
      <c r="AO185" s="1652"/>
      <c r="AP185" s="1652"/>
      <c r="AQ185" s="1652"/>
      <c r="AR185" s="1652">
        <f>CEILING(AR31*0.81, 50)</f>
        <v>700</v>
      </c>
      <c r="AS185" s="1652">
        <f>CEILING(AS31*0.81, 50)</f>
        <v>1100</v>
      </c>
      <c r="AT185" s="1652">
        <f>CEILING(AT31*0.81, 5)</f>
        <v>75</v>
      </c>
      <c r="AU185" s="1652">
        <f>CEILING(AU31*0.81, 5)</f>
        <v>125</v>
      </c>
      <c r="AV185" s="1652"/>
      <c r="AW185" s="1652"/>
      <c r="AX185" s="1652">
        <f>CEILING(AX31*0.81, 50)</f>
        <v>600</v>
      </c>
      <c r="AY185" s="1652">
        <f>CEILING(AY31*0.81, 50)</f>
        <v>800</v>
      </c>
      <c r="AZ185" s="1652">
        <f>CEILING(AZ31*0.81, 50)</f>
        <v>950</v>
      </c>
      <c r="BA185" s="1652">
        <f>CEILING(BA31*0.81, 50)</f>
        <v>1050</v>
      </c>
      <c r="BB185" s="1652">
        <f>CEILING(BB31*0.81, 50)</f>
        <v>1300</v>
      </c>
      <c r="BC185" s="1652">
        <f>CEILING(BC31*0.81, 5)</f>
        <v>100</v>
      </c>
      <c r="BD185" s="1652">
        <f>CEILING(BD31*0.81, 50)</f>
        <v>350</v>
      </c>
      <c r="BE185" s="1652">
        <f>CEILING(BE31*0.81, 50)</f>
        <v>450</v>
      </c>
      <c r="BF185" s="1652">
        <f>CEILING(BF31*0.81, 50)</f>
        <v>1100</v>
      </c>
      <c r="BG185" s="1652"/>
      <c r="BH185" s="1652">
        <f t="shared" ref="BH185:BM185" si="133">CEILING(BH31*0.81, 50)</f>
        <v>650</v>
      </c>
      <c r="BI185" s="1652">
        <f t="shared" si="133"/>
        <v>800</v>
      </c>
      <c r="BJ185" s="1652">
        <f t="shared" si="133"/>
        <v>900</v>
      </c>
      <c r="BK185" s="1652">
        <f t="shared" si="133"/>
        <v>650</v>
      </c>
      <c r="BL185" s="1652">
        <f t="shared" si="133"/>
        <v>900</v>
      </c>
      <c r="BM185" s="1652">
        <f t="shared" si="133"/>
        <v>900</v>
      </c>
      <c r="BN185" s="1652"/>
      <c r="BO185" s="1652"/>
      <c r="BP185" s="1652"/>
      <c r="BQ185" s="1652"/>
      <c r="BR185" s="1652">
        <f>CEILING(BR31*0.81, 50)</f>
        <v>1250</v>
      </c>
      <c r="BS185" s="1652">
        <f>CEILING(BS31*0.81, 50)</f>
        <v>1400</v>
      </c>
      <c r="BT185" s="1652">
        <f>CEILING(BT31*0.81, 50)</f>
        <v>2000</v>
      </c>
      <c r="BU185" s="1652"/>
      <c r="BV185" s="1652"/>
      <c r="BW185" s="1652"/>
      <c r="BX185" s="1652"/>
      <c r="BY185" s="1652"/>
      <c r="BZ185" s="1652">
        <f t="shared" ref="BZ185:CG185" si="134">CEILING(BZ31*0.81, 50)</f>
        <v>600</v>
      </c>
      <c r="CA185" s="1652">
        <f t="shared" si="134"/>
        <v>650</v>
      </c>
      <c r="CB185" s="1652">
        <f t="shared" si="134"/>
        <v>650</v>
      </c>
      <c r="CC185" s="1652">
        <f t="shared" si="134"/>
        <v>700</v>
      </c>
      <c r="CD185" s="1652">
        <f t="shared" si="134"/>
        <v>1100</v>
      </c>
      <c r="CE185" s="1652">
        <f t="shared" si="134"/>
        <v>1100</v>
      </c>
      <c r="CF185" s="1652">
        <f t="shared" si="134"/>
        <v>1200</v>
      </c>
      <c r="CG185" s="1652">
        <f t="shared" si="134"/>
        <v>1250</v>
      </c>
      <c r="CH185" s="1652"/>
      <c r="CI185" s="1652"/>
      <c r="CJ185" s="1652"/>
      <c r="CK185" s="1652">
        <f>CEILING(CK31*0.81, 50)</f>
        <v>0</v>
      </c>
      <c r="CL185" s="1652">
        <f>CEILING(CL31*0.81, 50)</f>
        <v>0</v>
      </c>
      <c r="CM185" s="1652">
        <f>CEILING(CM31*0.81, 50)</f>
        <v>0</v>
      </c>
      <c r="CN185" s="1652"/>
      <c r="CO185" s="1652">
        <f t="shared" ref="CO185:CV185" si="135">CEILING(CO31*0.81, 50)</f>
        <v>0</v>
      </c>
      <c r="CP185" s="1652">
        <f t="shared" si="135"/>
        <v>0</v>
      </c>
      <c r="CQ185" s="1652">
        <f t="shared" si="135"/>
        <v>0</v>
      </c>
      <c r="CR185" s="1652">
        <f t="shared" si="135"/>
        <v>0</v>
      </c>
      <c r="CS185" s="1652">
        <f t="shared" si="135"/>
        <v>650</v>
      </c>
      <c r="CT185" s="1652">
        <f t="shared" si="135"/>
        <v>750</v>
      </c>
      <c r="CU185" s="1652">
        <f t="shared" si="135"/>
        <v>750</v>
      </c>
      <c r="CV185" s="1652">
        <f t="shared" si="135"/>
        <v>850</v>
      </c>
      <c r="CW185" s="1652"/>
      <c r="CX185" s="1652"/>
      <c r="CY185" s="1652"/>
      <c r="CZ185" s="1652">
        <f>CEILING(CZ31*0.81, 50)</f>
        <v>750</v>
      </c>
      <c r="DA185" s="1652">
        <f>CEILING(DA31*0.81, 50)</f>
        <v>750</v>
      </c>
      <c r="DB185" s="1652">
        <f>CEILING(DB31*0.81, 50)</f>
        <v>850</v>
      </c>
      <c r="DC185" s="1652"/>
      <c r="DD185" s="1652"/>
      <c r="DE185" s="1652">
        <f>CEILING(DE31*0.81, 50)</f>
        <v>0</v>
      </c>
      <c r="DF185" s="1652">
        <f>CEILING(DF31*0.81, 50)</f>
        <v>2800</v>
      </c>
      <c r="DG185" s="1652">
        <f>CEILING(DG31*0.81, 50)</f>
        <v>2700</v>
      </c>
      <c r="DH185" s="1652">
        <f>CEILING(DH31*0.81, 50)</f>
        <v>3250</v>
      </c>
      <c r="DI185" s="1652"/>
      <c r="DJ185" s="1652"/>
      <c r="DK185" s="1652">
        <f>CEILING(DK31*0.81, 50)</f>
        <v>0</v>
      </c>
      <c r="DL185" s="1652">
        <f>CEILING(DL31*0.81, 50)</f>
        <v>0</v>
      </c>
      <c r="DM185" s="1652"/>
      <c r="DN185" s="1652"/>
      <c r="DO185" s="1652"/>
      <c r="DP185" s="1652">
        <f>CEILING(DP31*0.81, 50)</f>
        <v>0</v>
      </c>
      <c r="DQ185" s="1652">
        <f>CEILING(DQ31*0.81, 50)</f>
        <v>0</v>
      </c>
      <c r="DR185" s="1652">
        <f>CEILING(DR31*0.81, 50)</f>
        <v>0</v>
      </c>
      <c r="DS185" s="1652"/>
      <c r="DT185" s="1652">
        <f>CEILING(DT31*0.81, 50)</f>
        <v>7850</v>
      </c>
      <c r="DU185" s="1652"/>
      <c r="DV185" s="1652"/>
      <c r="DW185" s="1652"/>
      <c r="DX185" s="1652"/>
      <c r="DY185" s="1652"/>
    </row>
    <row r="186" spans="1:146" s="159" customFormat="1" ht="22.5" hidden="1" customHeight="1" outlineLevel="3">
      <c r="A186" s="4976" t="s">
        <v>1016</v>
      </c>
      <c r="B186" s="4977"/>
      <c r="C186" s="1654"/>
      <c r="D186" s="1791">
        <v>1300</v>
      </c>
      <c r="E186" s="1792"/>
      <c r="F186" s="1792"/>
      <c r="G186" s="1792"/>
      <c r="H186" s="1792"/>
      <c r="I186" s="1792"/>
      <c r="J186" s="1792"/>
      <c r="K186" s="1792"/>
      <c r="L186" s="1792"/>
      <c r="M186" s="1792"/>
      <c r="N186" s="1792"/>
      <c r="O186" s="1792"/>
      <c r="P186" s="1793"/>
      <c r="Q186" s="1655"/>
      <c r="R186" s="1783" t="s">
        <v>89</v>
      </c>
      <c r="S186" s="1784"/>
      <c r="T186" s="1784"/>
      <c r="U186" s="1784"/>
      <c r="V186" s="1784"/>
      <c r="W186" s="1784"/>
      <c r="X186" s="1784"/>
      <c r="Y186" s="1784"/>
      <c r="Z186" s="1784"/>
      <c r="AA186" s="1784"/>
      <c r="AB186" s="1784"/>
      <c r="AC186" s="1784"/>
      <c r="AD186" s="1784"/>
      <c r="AE186" s="1784"/>
      <c r="AF186" s="1784"/>
      <c r="AG186" s="1784"/>
      <c r="AH186" s="1656"/>
      <c r="AI186" s="1656"/>
      <c r="AJ186" s="1784"/>
      <c r="AK186" s="1784"/>
      <c r="AL186" s="1784"/>
      <c r="AM186" s="1784"/>
      <c r="AN186" s="1784"/>
      <c r="AO186" s="1655"/>
      <c r="AP186" s="1783" t="s">
        <v>2194</v>
      </c>
      <c r="AQ186" s="1783"/>
      <c r="AR186" s="4978" t="s">
        <v>1014</v>
      </c>
      <c r="AS186" s="4979"/>
      <c r="AT186" s="4979"/>
      <c r="AU186" s="4979"/>
      <c r="AV186" s="4980"/>
      <c r="AW186" s="4979"/>
      <c r="AX186" s="4979"/>
      <c r="AY186" s="4979"/>
      <c r="AZ186" s="4979"/>
      <c r="BA186" s="4979"/>
      <c r="BB186" s="4981"/>
      <c r="BC186" s="4982" t="s">
        <v>882</v>
      </c>
      <c r="BD186" s="4982" t="s">
        <v>883</v>
      </c>
      <c r="BE186" s="4907" t="s">
        <v>695</v>
      </c>
      <c r="BF186" s="4982" t="s">
        <v>1050</v>
      </c>
      <c r="BG186" s="1655"/>
      <c r="BH186" s="5074" t="s">
        <v>108</v>
      </c>
      <c r="BI186" s="5075"/>
      <c r="BJ186" s="5075"/>
      <c r="BK186" s="5075"/>
      <c r="BL186" s="5075"/>
      <c r="BM186" s="5075"/>
      <c r="BN186" s="5075"/>
      <c r="BO186" s="5075"/>
      <c r="BP186" s="5075"/>
      <c r="BQ186" s="1655"/>
      <c r="BR186" s="5000" t="s">
        <v>456</v>
      </c>
      <c r="BS186" s="5001"/>
      <c r="BT186" s="5001"/>
      <c r="BU186" s="5001"/>
      <c r="BV186" s="5001"/>
      <c r="BW186" s="5001"/>
      <c r="BX186" s="5002"/>
      <c r="BY186" s="1655"/>
      <c r="BZ186" s="4973" t="s">
        <v>1015</v>
      </c>
      <c r="CA186" s="4974"/>
      <c r="CB186" s="4974"/>
      <c r="CC186" s="4974"/>
      <c r="CD186" s="4974"/>
      <c r="CE186" s="4974"/>
      <c r="CF186" s="4974"/>
      <c r="CG186" s="4974"/>
      <c r="CH186" s="4974"/>
      <c r="CI186" s="4974"/>
      <c r="CJ186" s="4974"/>
      <c r="CK186" s="4974"/>
      <c r="CL186" s="4974"/>
      <c r="CM186" s="4974"/>
      <c r="CN186" s="4974"/>
      <c r="CO186" s="4974"/>
      <c r="CP186" s="4974"/>
      <c r="CQ186" s="4974"/>
      <c r="CR186" s="4974"/>
      <c r="CS186" s="4974"/>
      <c r="CT186" s="4974"/>
      <c r="CU186" s="4974"/>
      <c r="CV186" s="4974"/>
      <c r="CW186" s="4974"/>
      <c r="CX186" s="4974"/>
      <c r="CY186" s="4974"/>
      <c r="CZ186" s="4974"/>
      <c r="DA186" s="4974"/>
      <c r="DB186" s="4974"/>
      <c r="DC186" s="4974"/>
      <c r="DD186" s="1655"/>
      <c r="DE186" s="1658"/>
      <c r="DF186" s="1658"/>
      <c r="DG186" s="1658"/>
      <c r="DH186" s="1658"/>
      <c r="DI186" s="1658"/>
      <c r="DJ186" s="1658"/>
      <c r="DK186" s="1659" t="s">
        <v>1038</v>
      </c>
      <c r="DL186" s="1658"/>
      <c r="DM186" s="1658"/>
      <c r="DN186" s="1658"/>
      <c r="DO186" s="1658"/>
      <c r="DP186" s="1658"/>
      <c r="DQ186" s="1658"/>
      <c r="DR186" s="1660"/>
      <c r="DS186" s="1655"/>
      <c r="DT186" s="5003" t="s">
        <v>693</v>
      </c>
      <c r="DU186" s="5004"/>
      <c r="DV186" s="5004"/>
      <c r="DW186" s="5005"/>
      <c r="DX186" s="5004"/>
      <c r="DY186" s="5006"/>
    </row>
    <row r="187" spans="1:146" s="1671" customFormat="1" ht="12.75" hidden="1" customHeight="1" outlineLevel="3">
      <c r="A187" s="4986" t="s">
        <v>725</v>
      </c>
      <c r="B187" s="4987"/>
      <c r="C187" s="1661"/>
      <c r="D187" s="1785">
        <v>1000</v>
      </c>
      <c r="E187" s="1786"/>
      <c r="F187" s="1786"/>
      <c r="G187" s="1786"/>
      <c r="H187" s="1786"/>
      <c r="I187" s="1786"/>
      <c r="J187" s="1786"/>
      <c r="K187" s="1786"/>
      <c r="L187" s="1787"/>
      <c r="M187" s="4878" t="s">
        <v>1023</v>
      </c>
      <c r="N187" s="4879"/>
      <c r="O187" s="4879"/>
      <c r="P187" s="4880"/>
      <c r="Q187" s="1662"/>
      <c r="R187" s="1788" t="s">
        <v>1026</v>
      </c>
      <c r="S187" s="1789"/>
      <c r="T187" s="1789"/>
      <c r="U187" s="1789"/>
      <c r="V187" s="1789"/>
      <c r="W187" s="1789"/>
      <c r="X187" s="1789"/>
      <c r="Y187" s="1789"/>
      <c r="Z187" s="1789"/>
      <c r="AA187" s="1789"/>
      <c r="AB187" s="1789"/>
      <c r="AC187" s="1789"/>
      <c r="AD187" s="1789"/>
      <c r="AE187" s="1789"/>
      <c r="AF187" s="1790"/>
      <c r="AG187" s="1666" t="s">
        <v>1027</v>
      </c>
      <c r="AH187" s="1667"/>
      <c r="AI187" s="1667"/>
      <c r="AJ187" s="1667"/>
      <c r="AK187" s="1667"/>
      <c r="AL187" s="1668"/>
      <c r="AM187" s="1669" t="s">
        <v>1028</v>
      </c>
      <c r="AN187" s="1670"/>
      <c r="AO187" s="1662"/>
      <c r="AP187" s="1788"/>
      <c r="AQ187" s="1788"/>
      <c r="AR187" s="4939" t="s">
        <v>1047</v>
      </c>
      <c r="AS187" s="4940"/>
      <c r="AT187" s="4940"/>
      <c r="AU187" s="4941"/>
      <c r="AV187" s="2601"/>
      <c r="AW187" s="4881" t="s">
        <v>1048</v>
      </c>
      <c r="AX187" s="4883" t="s">
        <v>1049</v>
      </c>
      <c r="AY187" s="4884"/>
      <c r="AZ187" s="4884"/>
      <c r="BA187" s="4884"/>
      <c r="BB187" s="4885"/>
      <c r="BC187" s="4983"/>
      <c r="BD187" s="4983"/>
      <c r="BE187" s="4985"/>
      <c r="BF187" s="4983"/>
      <c r="BG187" s="1662"/>
      <c r="BH187" s="4889" t="s">
        <v>709</v>
      </c>
      <c r="BI187" s="4890"/>
      <c r="BJ187" s="4891"/>
      <c r="BK187" s="4889" t="s">
        <v>1022</v>
      </c>
      <c r="BL187" s="4890"/>
      <c r="BM187" s="4891"/>
      <c r="BN187" s="4881" t="s">
        <v>1030</v>
      </c>
      <c r="BO187" s="4881" t="s">
        <v>743</v>
      </c>
      <c r="BP187" s="4881" t="s">
        <v>1029</v>
      </c>
      <c r="BQ187" s="1662"/>
      <c r="BR187" s="4895" t="s">
        <v>1052</v>
      </c>
      <c r="BS187" s="4896"/>
      <c r="BT187" s="4897"/>
      <c r="BU187" s="4901" t="s">
        <v>1053</v>
      </c>
      <c r="BV187" s="4902"/>
      <c r="BW187" s="4903"/>
      <c r="BX187" s="4907" t="s">
        <v>1054</v>
      </c>
      <c r="BY187" s="1662"/>
      <c r="BZ187" s="4924" t="s">
        <v>1020</v>
      </c>
      <c r="CA187" s="4925"/>
      <c r="CB187" s="4925"/>
      <c r="CC187" s="4925"/>
      <c r="CD187" s="4925"/>
      <c r="CE187" s="4925"/>
      <c r="CF187" s="4925"/>
      <c r="CG187" s="4925"/>
      <c r="CH187" s="4925"/>
      <c r="CI187" s="4925"/>
      <c r="CJ187" s="4925"/>
      <c r="CK187" s="4925"/>
      <c r="CL187" s="4925"/>
      <c r="CM187" s="4925"/>
      <c r="CN187" s="4926"/>
      <c r="CO187" s="4958" t="s">
        <v>1021</v>
      </c>
      <c r="CP187" s="4959"/>
      <c r="CQ187" s="4959"/>
      <c r="CR187" s="4959"/>
      <c r="CS187" s="4959"/>
      <c r="CT187" s="4959"/>
      <c r="CU187" s="4959"/>
      <c r="CV187" s="4959"/>
      <c r="CW187" s="4959"/>
      <c r="CX187" s="4959"/>
      <c r="CY187" s="4959"/>
      <c r="CZ187" s="4959"/>
      <c r="DA187" s="4959"/>
      <c r="DB187" s="4959"/>
      <c r="DC187" s="4959"/>
      <c r="DD187" s="1662"/>
      <c r="DE187" s="4963" t="s">
        <v>710</v>
      </c>
      <c r="DF187" s="4964"/>
      <c r="DG187" s="4963" t="s">
        <v>711</v>
      </c>
      <c r="DH187" s="4964"/>
      <c r="DI187" s="4963" t="s">
        <v>712</v>
      </c>
      <c r="DJ187" s="4964"/>
      <c r="DK187" s="4967" t="s">
        <v>713</v>
      </c>
      <c r="DL187" s="4968"/>
      <c r="DM187" s="4967" t="s">
        <v>714</v>
      </c>
      <c r="DN187" s="4969"/>
      <c r="DO187" s="4968"/>
      <c r="DP187" s="4950" t="s">
        <v>715</v>
      </c>
      <c r="DQ187" s="4950" t="s">
        <v>716</v>
      </c>
      <c r="DR187" s="4950" t="s">
        <v>717</v>
      </c>
      <c r="DS187" s="1662"/>
      <c r="DT187" s="4955" t="s">
        <v>1037</v>
      </c>
      <c r="DU187" s="4956"/>
      <c r="DV187" s="4957"/>
      <c r="DW187" s="2907"/>
      <c r="DX187" s="4955" t="s">
        <v>996</v>
      </c>
      <c r="DY187" s="4957"/>
    </row>
    <row r="188" spans="1:146" s="761" customFormat="1" ht="45" hidden="1" outlineLevel="3">
      <c r="A188" s="4988"/>
      <c r="B188" s="4989"/>
      <c r="C188" s="1654"/>
      <c r="D188" s="1672">
        <v>1300</v>
      </c>
      <c r="E188" s="1672" t="s">
        <v>971</v>
      </c>
      <c r="F188" s="1672" t="s">
        <v>970</v>
      </c>
      <c r="G188" s="1673" t="s">
        <v>18</v>
      </c>
      <c r="H188" s="1673" t="s">
        <v>380</v>
      </c>
      <c r="I188" s="1674" t="s">
        <v>705</v>
      </c>
      <c r="J188" s="2593" t="s">
        <v>1006</v>
      </c>
      <c r="K188" s="1676" t="s">
        <v>1459</v>
      </c>
      <c r="L188" s="753" t="s">
        <v>1008</v>
      </c>
      <c r="M188" s="4992" t="s">
        <v>1024</v>
      </c>
      <c r="N188" s="4993"/>
      <c r="O188" s="4994"/>
      <c r="P188" s="753" t="s">
        <v>1025</v>
      </c>
      <c r="Q188" s="1655"/>
      <c r="R188" s="1672" t="s">
        <v>2191</v>
      </c>
      <c r="S188" s="1672" t="s">
        <v>1010</v>
      </c>
      <c r="T188" s="1657" t="s">
        <v>1013</v>
      </c>
      <c r="U188" s="1656"/>
      <c r="V188" s="1656"/>
      <c r="W188" s="1677"/>
      <c r="X188" s="2634"/>
      <c r="Y188" s="2634"/>
      <c r="Z188" s="2634"/>
      <c r="AA188" s="2634"/>
      <c r="AB188" s="1678" t="s">
        <v>92</v>
      </c>
      <c r="AC188" s="1678" t="s">
        <v>93</v>
      </c>
      <c r="AD188" s="1678"/>
      <c r="AE188" s="2594"/>
      <c r="AF188" s="1678" t="s">
        <v>257</v>
      </c>
      <c r="AG188" s="1680" t="s">
        <v>18</v>
      </c>
      <c r="AH188" s="2682"/>
      <c r="AI188" s="2682"/>
      <c r="AJ188" s="1680" t="s">
        <v>380</v>
      </c>
      <c r="AK188" s="754" t="s">
        <v>705</v>
      </c>
      <c r="AL188" s="754" t="s">
        <v>706</v>
      </c>
      <c r="AM188" s="1681" t="s">
        <v>1011</v>
      </c>
      <c r="AN188" s="1681" t="s">
        <v>1012</v>
      </c>
      <c r="AO188" s="1655"/>
      <c r="AP188" s="1672" t="s">
        <v>2191</v>
      </c>
      <c r="AQ188" s="1672" t="s">
        <v>2191</v>
      </c>
      <c r="AR188" s="4942"/>
      <c r="AS188" s="4943"/>
      <c r="AT188" s="4943"/>
      <c r="AU188" s="4944"/>
      <c r="AV188" s="2602"/>
      <c r="AW188" s="4997"/>
      <c r="AX188" s="4886"/>
      <c r="AY188" s="4887"/>
      <c r="AZ188" s="4887"/>
      <c r="BA188" s="4887"/>
      <c r="BB188" s="4888"/>
      <c r="BC188" s="4984"/>
      <c r="BD188" s="4984"/>
      <c r="BE188" s="4954"/>
      <c r="BF188" s="4984"/>
      <c r="BG188" s="1655"/>
      <c r="BH188" s="4892"/>
      <c r="BI188" s="4893"/>
      <c r="BJ188" s="4894"/>
      <c r="BK188" s="4892"/>
      <c r="BL188" s="4893"/>
      <c r="BM188" s="4894"/>
      <c r="BN188" s="4997"/>
      <c r="BO188" s="4997"/>
      <c r="BP188" s="4997"/>
      <c r="BQ188" s="1655"/>
      <c r="BR188" s="4898"/>
      <c r="BS188" s="4899"/>
      <c r="BT188" s="4900"/>
      <c r="BU188" s="4904"/>
      <c r="BV188" s="4905"/>
      <c r="BW188" s="4906"/>
      <c r="BX188" s="4954"/>
      <c r="BY188" s="1655"/>
      <c r="BZ188" s="4973" t="s">
        <v>447</v>
      </c>
      <c r="CA188" s="4974"/>
      <c r="CB188" s="4974"/>
      <c r="CC188" s="4975"/>
      <c r="CD188" s="4960" t="s">
        <v>448</v>
      </c>
      <c r="CE188" s="4961"/>
      <c r="CF188" s="4961"/>
      <c r="CG188" s="4962"/>
      <c r="CH188" s="4973" t="s">
        <v>445</v>
      </c>
      <c r="CI188" s="4974"/>
      <c r="CJ188" s="4975"/>
      <c r="CK188" s="4960" t="s">
        <v>446</v>
      </c>
      <c r="CL188" s="4961"/>
      <c r="CM188" s="4962"/>
      <c r="CN188" s="809" t="s">
        <v>449</v>
      </c>
      <c r="CO188" s="4970" t="s">
        <v>452</v>
      </c>
      <c r="CP188" s="4971"/>
      <c r="CQ188" s="4971"/>
      <c r="CR188" s="4972"/>
      <c r="CS188" s="4970" t="s">
        <v>453</v>
      </c>
      <c r="CT188" s="4971"/>
      <c r="CU188" s="4971"/>
      <c r="CV188" s="4972"/>
      <c r="CW188" s="4970" t="s">
        <v>889</v>
      </c>
      <c r="CX188" s="4971"/>
      <c r="CY188" s="4972"/>
      <c r="CZ188" s="4970" t="s">
        <v>890</v>
      </c>
      <c r="DA188" s="4971"/>
      <c r="DB188" s="4972"/>
      <c r="DC188" s="1683" t="s">
        <v>454</v>
      </c>
      <c r="DD188" s="1655"/>
      <c r="DE188" s="4965"/>
      <c r="DF188" s="4966"/>
      <c r="DG188" s="4965"/>
      <c r="DH188" s="4966"/>
      <c r="DI188" s="4965"/>
      <c r="DJ188" s="4966"/>
      <c r="DK188" s="1684" t="s">
        <v>189</v>
      </c>
      <c r="DL188" s="1684" t="s">
        <v>190</v>
      </c>
      <c r="DM188" s="1732" t="s">
        <v>187</v>
      </c>
      <c r="DN188" s="1732" t="s">
        <v>719</v>
      </c>
      <c r="DO188" s="1686" t="s">
        <v>720</v>
      </c>
      <c r="DP188" s="4951"/>
      <c r="DQ188" s="4951"/>
      <c r="DR188" s="4951"/>
      <c r="DS188" s="1655"/>
      <c r="DT188" s="1687" t="s">
        <v>1032</v>
      </c>
      <c r="DU188" s="1687" t="s">
        <v>1033</v>
      </c>
      <c r="DV188" s="1687" t="s">
        <v>1034</v>
      </c>
      <c r="DW188" s="2949"/>
      <c r="DX188" s="1687" t="s">
        <v>986</v>
      </c>
      <c r="DY188" s="1687" t="s">
        <v>987</v>
      </c>
    </row>
    <row r="189" spans="1:146" s="1710" customFormat="1" ht="24" hidden="1" customHeight="1" outlineLevel="3">
      <c r="A189" s="4990" t="s">
        <v>1017</v>
      </c>
      <c r="B189" s="4991"/>
      <c r="C189" s="1688"/>
      <c r="D189" s="1689">
        <v>1400</v>
      </c>
      <c r="E189" s="1689" t="s">
        <v>1041</v>
      </c>
      <c r="F189" s="1689" t="s">
        <v>1042</v>
      </c>
      <c r="G189" s="1690" t="s">
        <v>1043</v>
      </c>
      <c r="H189" s="1690" t="s">
        <v>1044</v>
      </c>
      <c r="I189" s="1691" t="s">
        <v>1045</v>
      </c>
      <c r="J189" s="1733" t="s">
        <v>1041</v>
      </c>
      <c r="K189" s="1693" t="s">
        <v>1046</v>
      </c>
      <c r="L189" s="1693" t="s">
        <v>440</v>
      </c>
      <c r="M189" s="1693" t="s">
        <v>492</v>
      </c>
      <c r="N189" s="1693" t="s">
        <v>491</v>
      </c>
      <c r="O189" s="1693" t="s">
        <v>707</v>
      </c>
      <c r="P189" s="1693" t="s">
        <v>708</v>
      </c>
      <c r="Q189" s="1694"/>
      <c r="R189" s="1689"/>
      <c r="S189" s="1689" t="s">
        <v>974</v>
      </c>
      <c r="T189" s="1695" t="s">
        <v>972</v>
      </c>
      <c r="U189" s="1695" t="s">
        <v>973</v>
      </c>
      <c r="V189" s="1695" t="s">
        <v>974</v>
      </c>
      <c r="W189" s="1695" t="s">
        <v>975</v>
      </c>
      <c r="X189" s="2635"/>
      <c r="Y189" s="2635"/>
      <c r="Z189" s="2635"/>
      <c r="AA189" s="2635"/>
      <c r="AB189" s="1695" t="s">
        <v>976</v>
      </c>
      <c r="AC189" s="1695" t="s">
        <v>977</v>
      </c>
      <c r="AD189" s="1695"/>
      <c r="AE189" s="1695"/>
      <c r="AF189" s="1695" t="s">
        <v>978</v>
      </c>
      <c r="AG189" s="1690" t="s">
        <v>973</v>
      </c>
      <c r="AH189" s="2683"/>
      <c r="AI189" s="2683"/>
      <c r="AJ189" s="1690" t="s">
        <v>973</v>
      </c>
      <c r="AK189" s="1696" t="s">
        <v>977</v>
      </c>
      <c r="AL189" s="1696" t="s">
        <v>980</v>
      </c>
      <c r="AM189" s="1697" t="s">
        <v>974</v>
      </c>
      <c r="AN189" s="1698" t="s">
        <v>972</v>
      </c>
      <c r="AO189" s="1694"/>
      <c r="AP189" s="1788">
        <v>100</v>
      </c>
      <c r="AQ189" s="1788">
        <v>200</v>
      </c>
      <c r="AR189" s="1693">
        <v>75</v>
      </c>
      <c r="AS189" s="1693">
        <v>150</v>
      </c>
      <c r="AT189" s="1693" t="s">
        <v>981</v>
      </c>
      <c r="AU189" s="1693" t="s">
        <v>981</v>
      </c>
      <c r="AV189" s="2695"/>
      <c r="AW189" s="1696" t="s">
        <v>207</v>
      </c>
      <c r="AX189" s="1699">
        <v>75</v>
      </c>
      <c r="AY189" s="1699">
        <v>100</v>
      </c>
      <c r="AZ189" s="1699">
        <v>120</v>
      </c>
      <c r="BA189" s="1699">
        <v>150</v>
      </c>
      <c r="BB189" s="1699">
        <v>200</v>
      </c>
      <c r="BC189" s="1700" t="s">
        <v>1051</v>
      </c>
      <c r="BD189" s="1701" t="s">
        <v>982</v>
      </c>
      <c r="BE189" s="1702"/>
      <c r="BF189" s="1703" t="s">
        <v>983</v>
      </c>
      <c r="BG189" s="1694"/>
      <c r="BH189" s="1696">
        <v>75</v>
      </c>
      <c r="BI189" s="1696">
        <v>90</v>
      </c>
      <c r="BJ189" s="1696">
        <v>110</v>
      </c>
      <c r="BK189" s="1696">
        <v>75</v>
      </c>
      <c r="BL189" s="1696">
        <v>90</v>
      </c>
      <c r="BM189" s="1696">
        <v>110</v>
      </c>
      <c r="BN189" s="1696" t="s">
        <v>979</v>
      </c>
      <c r="BO189" s="1696" t="s">
        <v>978</v>
      </c>
      <c r="BP189" s="1696" t="s">
        <v>978</v>
      </c>
      <c r="BQ189" s="1694"/>
      <c r="BR189" s="1704" t="s">
        <v>383</v>
      </c>
      <c r="BS189" s="1704" t="s">
        <v>381</v>
      </c>
      <c r="BT189" s="1704" t="s">
        <v>384</v>
      </c>
      <c r="BU189" s="1704" t="s">
        <v>385</v>
      </c>
      <c r="BV189" s="1704" t="s">
        <v>386</v>
      </c>
      <c r="BW189" s="1704" t="s">
        <v>387</v>
      </c>
      <c r="BX189" s="1704" t="s">
        <v>388</v>
      </c>
      <c r="BY189" s="1694"/>
      <c r="BZ189" s="1705" t="s">
        <v>1039</v>
      </c>
      <c r="CA189" s="1705" t="s">
        <v>467</v>
      </c>
      <c r="CB189" s="1705" t="s">
        <v>466</v>
      </c>
      <c r="CC189" s="1705" t="s">
        <v>470</v>
      </c>
      <c r="CD189" s="1705" t="s">
        <v>468</v>
      </c>
      <c r="CE189" s="1705" t="s">
        <v>467</v>
      </c>
      <c r="CF189" s="1705" t="s">
        <v>466</v>
      </c>
      <c r="CG189" s="1705" t="s">
        <v>470</v>
      </c>
      <c r="CH189" s="1705" t="s">
        <v>468</v>
      </c>
      <c r="CI189" s="1705" t="s">
        <v>467</v>
      </c>
      <c r="CJ189" s="1705" t="s">
        <v>466</v>
      </c>
      <c r="CK189" s="1705" t="s">
        <v>468</v>
      </c>
      <c r="CL189" s="1705" t="s">
        <v>467</v>
      </c>
      <c r="CM189" s="1705" t="s">
        <v>466</v>
      </c>
      <c r="CN189" s="1706" t="s">
        <v>469</v>
      </c>
      <c r="CO189" s="1699" t="s">
        <v>476</v>
      </c>
      <c r="CP189" s="1699" t="s">
        <v>477</v>
      </c>
      <c r="CQ189" s="1699" t="s">
        <v>478</v>
      </c>
      <c r="CR189" s="1699" t="s">
        <v>479</v>
      </c>
      <c r="CS189" s="1699" t="s">
        <v>476</v>
      </c>
      <c r="CT189" s="1699" t="s">
        <v>477</v>
      </c>
      <c r="CU189" s="1699" t="s">
        <v>478</v>
      </c>
      <c r="CV189" s="1699" t="s">
        <v>480</v>
      </c>
      <c r="CW189" s="1699" t="s">
        <v>472</v>
      </c>
      <c r="CX189" s="1699" t="s">
        <v>473</v>
      </c>
      <c r="CY189" s="1699" t="s">
        <v>474</v>
      </c>
      <c r="CZ189" s="1699" t="s">
        <v>472</v>
      </c>
      <c r="DA189" s="1699" t="s">
        <v>473</v>
      </c>
      <c r="DB189" s="1699" t="s">
        <v>474</v>
      </c>
      <c r="DC189" s="1699" t="s">
        <v>475</v>
      </c>
      <c r="DD189" s="1694"/>
      <c r="DE189" s="1707" t="s">
        <v>119</v>
      </c>
      <c r="DF189" s="1707" t="s">
        <v>120</v>
      </c>
      <c r="DG189" s="1707" t="s">
        <v>119</v>
      </c>
      <c r="DH189" s="1707" t="s">
        <v>120</v>
      </c>
      <c r="DI189" s="1707" t="s">
        <v>119</v>
      </c>
      <c r="DJ189" s="1707" t="s">
        <v>120</v>
      </c>
      <c r="DK189" s="1707" t="s">
        <v>121</v>
      </c>
      <c r="DL189" s="1707" t="s">
        <v>122</v>
      </c>
      <c r="DM189" s="1734" t="s">
        <v>1035</v>
      </c>
      <c r="DN189" s="1734" t="s">
        <v>1036</v>
      </c>
      <c r="DO189" s="1734" t="s">
        <v>1035</v>
      </c>
      <c r="DP189" s="1707" t="s">
        <v>124</v>
      </c>
      <c r="DQ189" s="1707" t="s">
        <v>125</v>
      </c>
      <c r="DR189" s="1707" t="s">
        <v>126</v>
      </c>
      <c r="DS189" s="1694"/>
      <c r="DT189" s="1702" t="s">
        <v>985</v>
      </c>
      <c r="DU189" s="1702" t="s">
        <v>985</v>
      </c>
      <c r="DV189" s="1709" t="s">
        <v>984</v>
      </c>
      <c r="DW189" s="2953"/>
      <c r="DX189" s="1702" t="s">
        <v>985</v>
      </c>
      <c r="DY189" s="1702" t="s">
        <v>985</v>
      </c>
    </row>
    <row r="190" spans="1:146" s="761" customFormat="1" ht="51" hidden="1" outlineLevel="3">
      <c r="A190" s="4995" t="s">
        <v>1018</v>
      </c>
      <c r="B190" s="4996"/>
      <c r="C190" s="1735"/>
      <c r="D190" s="1711">
        <v>1750</v>
      </c>
      <c r="E190" s="1711"/>
      <c r="F190" s="1736">
        <f>F197/E197</f>
        <v>1.5625</v>
      </c>
      <c r="G190" s="1737"/>
      <c r="H190" s="1737"/>
      <c r="I190" s="1737"/>
      <c r="J190" s="1738"/>
      <c r="K190" s="1713"/>
      <c r="L190" s="1713"/>
      <c r="M190" s="1713"/>
      <c r="N190" s="1713"/>
      <c r="O190" s="1713"/>
      <c r="P190" s="1713"/>
      <c r="Q190" s="1714"/>
      <c r="R190" s="1715"/>
      <c r="S190" s="1715" t="s">
        <v>1059</v>
      </c>
      <c r="T190" s="1739"/>
      <c r="U190" s="1712">
        <v>1.1000000000000001</v>
      </c>
      <c r="V190" s="1715" t="s">
        <v>1058</v>
      </c>
      <c r="W190" s="1712">
        <v>1.1000000000000001</v>
      </c>
      <c r="X190" s="1712"/>
      <c r="Y190" s="1712"/>
      <c r="Z190" s="1712"/>
      <c r="AA190" s="1712"/>
      <c r="AB190" s="1712">
        <v>1.6</v>
      </c>
      <c r="AC190" s="1712">
        <f>AB190</f>
        <v>1.6</v>
      </c>
      <c r="AD190" s="1712"/>
      <c r="AE190" s="1712"/>
      <c r="AF190" s="1712">
        <v>1.2</v>
      </c>
      <c r="AG190" s="1715" t="s">
        <v>1058</v>
      </c>
      <c r="AH190" s="2690"/>
      <c r="AI190" s="2690"/>
      <c r="AJ190" s="1712">
        <v>1.05</v>
      </c>
      <c r="AK190" s="1715" t="s">
        <v>1060</v>
      </c>
      <c r="AL190" s="1715" t="s">
        <v>1061</v>
      </c>
      <c r="AM190" s="1715" t="s">
        <v>1063</v>
      </c>
      <c r="AN190" s="1715" t="s">
        <v>1062</v>
      </c>
      <c r="AO190" s="1714"/>
      <c r="AP190" s="1715"/>
      <c r="AQ190" s="1715"/>
      <c r="AR190" s="1712">
        <v>0.9</v>
      </c>
      <c r="AS190" s="1712">
        <v>1.75</v>
      </c>
      <c r="AT190" s="1712"/>
      <c r="AU190" s="1712"/>
      <c r="AV190" s="1712"/>
      <c r="AW190" s="1712">
        <v>1.45</v>
      </c>
      <c r="AX190" s="1715" t="s">
        <v>1064</v>
      </c>
      <c r="AY190" s="1716"/>
      <c r="AZ190" s="1716"/>
      <c r="BA190" s="1715" t="s">
        <v>1065</v>
      </c>
      <c r="BB190" s="1716"/>
      <c r="BC190" s="1712">
        <v>7.4999999999999997E-2</v>
      </c>
      <c r="BD190" s="1712">
        <v>0.65</v>
      </c>
      <c r="BE190" s="1715" t="s">
        <v>1066</v>
      </c>
      <c r="BF190" s="1715" t="s">
        <v>1067</v>
      </c>
      <c r="BG190" s="1714"/>
      <c r="BH190" s="1712">
        <v>0.85</v>
      </c>
      <c r="BI190" s="1712">
        <v>0.85</v>
      </c>
      <c r="BJ190" s="1712">
        <v>0.85</v>
      </c>
      <c r="BK190" s="1712">
        <v>1.05</v>
      </c>
      <c r="BL190" s="1712">
        <v>1.05</v>
      </c>
      <c r="BM190" s="1712">
        <v>1.05</v>
      </c>
      <c r="BN190" s="1715">
        <v>0.9</v>
      </c>
      <c r="BO190" s="1715">
        <v>0.9</v>
      </c>
      <c r="BP190" s="1715">
        <v>0.9</v>
      </c>
      <c r="BQ190" s="1714"/>
      <c r="BR190" s="1717"/>
      <c r="BS190" s="1712">
        <v>1.05</v>
      </c>
      <c r="BT190" s="1712">
        <v>1.05</v>
      </c>
      <c r="BU190" s="1717"/>
      <c r="BV190" s="1712">
        <v>1.05</v>
      </c>
      <c r="BW190" s="1712">
        <v>1.05</v>
      </c>
      <c r="BX190" s="1712">
        <v>2.2999999999999998</v>
      </c>
      <c r="BY190" s="1714"/>
      <c r="BZ190" s="1713"/>
      <c r="CA190" s="1713"/>
      <c r="CB190" s="1713"/>
      <c r="CC190" s="1713"/>
      <c r="CD190" s="1713"/>
      <c r="CE190" s="1713"/>
      <c r="CF190" s="1713"/>
      <c r="CG190" s="1713"/>
      <c r="CH190" s="1713"/>
      <c r="CI190" s="1713"/>
      <c r="CJ190" s="1713"/>
      <c r="CK190" s="1713"/>
      <c r="CL190" s="1713"/>
      <c r="CM190" s="1713"/>
      <c r="CN190" s="1713"/>
      <c r="CO190" s="1718">
        <v>1.45</v>
      </c>
      <c r="CP190" s="5018" t="s">
        <v>1069</v>
      </c>
      <c r="CQ190" s="5019"/>
      <c r="CR190" s="5019"/>
      <c r="CS190" s="5019"/>
      <c r="CT190" s="5019"/>
      <c r="CU190" s="5019"/>
      <c r="CV190" s="5019"/>
      <c r="CW190" s="5019"/>
      <c r="CX190" s="5019"/>
      <c r="CY190" s="5019"/>
      <c r="CZ190" s="5019"/>
      <c r="DA190" s="5019"/>
      <c r="DB190" s="5019"/>
      <c r="DC190" s="5020"/>
      <c r="DD190" s="1714"/>
      <c r="DE190" s="1715">
        <v>1.1499999999999999</v>
      </c>
      <c r="DF190" s="1715">
        <v>1.1499999999999999</v>
      </c>
      <c r="DG190" s="1715">
        <v>1.1000000000000001</v>
      </c>
      <c r="DH190" s="1715">
        <v>1.2</v>
      </c>
      <c r="DI190" s="1715">
        <v>1.05</v>
      </c>
      <c r="DJ190" s="1715">
        <v>1.1499999999999999</v>
      </c>
      <c r="DK190" s="1713"/>
      <c r="DL190" s="1715">
        <v>1.05</v>
      </c>
      <c r="DM190" s="1715">
        <v>1.45</v>
      </c>
      <c r="DN190" s="1715" t="s">
        <v>1070</v>
      </c>
      <c r="DO190" s="1715" t="s">
        <v>1070</v>
      </c>
      <c r="DP190" s="1715">
        <v>1.05</v>
      </c>
      <c r="DQ190" s="1715">
        <v>1.1499999999999999</v>
      </c>
      <c r="DR190" s="1715" t="s">
        <v>1062</v>
      </c>
      <c r="DS190" s="1714"/>
      <c r="DT190" s="1712">
        <v>0.8</v>
      </c>
      <c r="DU190" s="1712" t="s">
        <v>1152</v>
      </c>
      <c r="DV190" s="1713"/>
      <c r="DW190" s="2955"/>
      <c r="DX190" s="1712">
        <f>DT190</f>
        <v>0.8</v>
      </c>
      <c r="DY190" s="1712">
        <f>DT190</f>
        <v>0.8</v>
      </c>
    </row>
    <row r="191" spans="1:146" s="761" customFormat="1" hidden="1" outlineLevel="3">
      <c r="A191" s="5104" t="s">
        <v>910</v>
      </c>
      <c r="B191" s="1720" t="s">
        <v>1609</v>
      </c>
      <c r="C191" s="1745">
        <v>0.3</v>
      </c>
      <c r="D191" s="763">
        <v>1900</v>
      </c>
      <c r="E191" s="763"/>
      <c r="F191" s="764"/>
      <c r="G191" s="765"/>
      <c r="H191" s="766"/>
      <c r="I191" s="781"/>
      <c r="J191" s="1175"/>
      <c r="K191" s="751"/>
      <c r="L191" s="751"/>
      <c r="M191" s="768"/>
      <c r="N191" s="753"/>
      <c r="O191" s="753"/>
      <c r="P191" s="767"/>
      <c r="Q191" s="762"/>
      <c r="R191" s="764"/>
      <c r="S191" s="764">
        <f>S237*(1+$C$193)</f>
        <v>0</v>
      </c>
      <c r="T191" s="1144">
        <f>T237*(1+$C$193)</f>
        <v>0</v>
      </c>
      <c r="U191" s="769">
        <f>U237*(1+$C$193)</f>
        <v>0</v>
      </c>
      <c r="V191" s="769">
        <f>V237*(1+$C$193)</f>
        <v>0</v>
      </c>
      <c r="W191" s="769">
        <f>W237*(1+$C$193)</f>
        <v>0</v>
      </c>
      <c r="X191" s="1807"/>
      <c r="Y191" s="1807"/>
      <c r="Z191" s="1807"/>
      <c r="AA191" s="1807"/>
      <c r="AB191" s="769">
        <f t="shared" ref="AB191:AN191" si="136">AB237*(1+$C$193)</f>
        <v>0</v>
      </c>
      <c r="AC191" s="769">
        <f t="shared" si="136"/>
        <v>0</v>
      </c>
      <c r="AD191" s="764"/>
      <c r="AE191" s="770"/>
      <c r="AF191" s="764">
        <f t="shared" si="136"/>
        <v>0</v>
      </c>
      <c r="AG191" s="765">
        <f t="shared" si="136"/>
        <v>0</v>
      </c>
      <c r="AH191" s="2665"/>
      <c r="AI191" s="2665"/>
      <c r="AJ191" s="766">
        <f t="shared" si="136"/>
        <v>0</v>
      </c>
      <c r="AK191" s="754">
        <f t="shared" si="136"/>
        <v>0</v>
      </c>
      <c r="AL191" s="754">
        <f t="shared" si="136"/>
        <v>0</v>
      </c>
      <c r="AM191" s="757">
        <f t="shared" si="136"/>
        <v>0</v>
      </c>
      <c r="AN191" s="757">
        <f t="shared" si="136"/>
        <v>0</v>
      </c>
      <c r="AO191" s="762"/>
      <c r="AP191" s="764"/>
      <c r="AQ191" s="764"/>
      <c r="AR191" s="769">
        <f t="shared" ref="AR191:BF191" si="137">AR237*(1+$C$193)</f>
        <v>0</v>
      </c>
      <c r="AS191" s="769">
        <f t="shared" si="137"/>
        <v>0</v>
      </c>
      <c r="AT191" s="769">
        <f t="shared" si="137"/>
        <v>0</v>
      </c>
      <c r="AU191" s="769">
        <f t="shared" si="137"/>
        <v>0</v>
      </c>
      <c r="AV191" s="2664"/>
      <c r="AW191" s="754">
        <f t="shared" si="137"/>
        <v>0</v>
      </c>
      <c r="AX191" s="757">
        <f t="shared" si="137"/>
        <v>0</v>
      </c>
      <c r="AY191" s="757">
        <f t="shared" si="137"/>
        <v>0</v>
      </c>
      <c r="AZ191" s="757">
        <f t="shared" si="137"/>
        <v>0</v>
      </c>
      <c r="BA191" s="757">
        <f t="shared" si="137"/>
        <v>0</v>
      </c>
      <c r="BB191" s="757">
        <f t="shared" si="137"/>
        <v>0</v>
      </c>
      <c r="BC191" s="769">
        <f t="shared" si="137"/>
        <v>0</v>
      </c>
      <c r="BD191" s="769">
        <f t="shared" si="137"/>
        <v>0</v>
      </c>
      <c r="BE191" s="759">
        <f t="shared" si="137"/>
        <v>0</v>
      </c>
      <c r="BF191" s="767">
        <f t="shared" si="137"/>
        <v>0</v>
      </c>
      <c r="BG191" s="762"/>
      <c r="BH191" s="771">
        <f t="shared" ref="BH191:BP191" si="138">BH237*(1+$C$193)</f>
        <v>0</v>
      </c>
      <c r="BI191" s="771">
        <f t="shared" si="138"/>
        <v>0</v>
      </c>
      <c r="BJ191" s="771">
        <f t="shared" si="138"/>
        <v>0</v>
      </c>
      <c r="BK191" s="771">
        <f t="shared" si="138"/>
        <v>0</v>
      </c>
      <c r="BL191" s="771">
        <f t="shared" si="138"/>
        <v>0</v>
      </c>
      <c r="BM191" s="771">
        <f t="shared" si="138"/>
        <v>0</v>
      </c>
      <c r="BN191" s="754">
        <f t="shared" si="138"/>
        <v>0</v>
      </c>
      <c r="BO191" s="754">
        <f t="shared" si="138"/>
        <v>0</v>
      </c>
      <c r="BP191" s="754">
        <f t="shared" si="138"/>
        <v>0</v>
      </c>
      <c r="BQ191" s="762"/>
      <c r="BR191" s="763">
        <f t="shared" ref="BR191:BX191" si="139">BR237*(1+$C$193)</f>
        <v>0</v>
      </c>
      <c r="BS191" s="773">
        <f t="shared" si="139"/>
        <v>0</v>
      </c>
      <c r="BT191" s="773">
        <f t="shared" si="139"/>
        <v>0</v>
      </c>
      <c r="BU191" s="760">
        <f t="shared" si="139"/>
        <v>0</v>
      </c>
      <c r="BV191" s="760">
        <f t="shared" si="139"/>
        <v>0</v>
      </c>
      <c r="BW191" s="760">
        <f t="shared" si="139"/>
        <v>0</v>
      </c>
      <c r="BX191" s="760">
        <f t="shared" si="139"/>
        <v>0</v>
      </c>
      <c r="BY191" s="762"/>
      <c r="BZ191" s="774">
        <f t="shared" ref="BZ191:DC191" si="140">BZ237*(1+$C$193)</f>
        <v>0</v>
      </c>
      <c r="CA191" s="755">
        <f t="shared" si="140"/>
        <v>0</v>
      </c>
      <c r="CB191" s="755">
        <f t="shared" si="140"/>
        <v>0</v>
      </c>
      <c r="CC191" s="755">
        <f t="shared" si="140"/>
        <v>0</v>
      </c>
      <c r="CD191" s="806">
        <f t="shared" si="140"/>
        <v>0</v>
      </c>
      <c r="CE191" s="755">
        <f t="shared" si="140"/>
        <v>0</v>
      </c>
      <c r="CF191" s="755">
        <f t="shared" si="140"/>
        <v>0</v>
      </c>
      <c r="CG191" s="755">
        <f t="shared" si="140"/>
        <v>0</v>
      </c>
      <c r="CH191" s="809">
        <f t="shared" si="140"/>
        <v>0</v>
      </c>
      <c r="CI191" s="756">
        <f t="shared" si="140"/>
        <v>0</v>
      </c>
      <c r="CJ191" s="756">
        <f t="shared" si="140"/>
        <v>0</v>
      </c>
      <c r="CK191" s="806">
        <f t="shared" si="140"/>
        <v>0</v>
      </c>
      <c r="CL191" s="755">
        <f t="shared" si="140"/>
        <v>0</v>
      </c>
      <c r="CM191" s="755">
        <f t="shared" si="140"/>
        <v>0</v>
      </c>
      <c r="CN191" s="756">
        <f t="shared" si="140"/>
        <v>0</v>
      </c>
      <c r="CO191" s="757">
        <f t="shared" si="140"/>
        <v>0</v>
      </c>
      <c r="CP191" s="757">
        <f t="shared" si="140"/>
        <v>0</v>
      </c>
      <c r="CQ191" s="757">
        <f t="shared" si="140"/>
        <v>0</v>
      </c>
      <c r="CR191" s="757">
        <f t="shared" si="140"/>
        <v>0</v>
      </c>
      <c r="CS191" s="757">
        <f t="shared" si="140"/>
        <v>0</v>
      </c>
      <c r="CT191" s="757">
        <f t="shared" si="140"/>
        <v>0</v>
      </c>
      <c r="CU191" s="757">
        <f t="shared" si="140"/>
        <v>0</v>
      </c>
      <c r="CV191" s="757">
        <f t="shared" si="140"/>
        <v>0</v>
      </c>
      <c r="CW191" s="757">
        <f t="shared" si="140"/>
        <v>0</v>
      </c>
      <c r="CX191" s="757">
        <f t="shared" si="140"/>
        <v>0</v>
      </c>
      <c r="CY191" s="757">
        <f t="shared" si="140"/>
        <v>0</v>
      </c>
      <c r="CZ191" s="757">
        <f t="shared" si="140"/>
        <v>0</v>
      </c>
      <c r="DA191" s="757">
        <f t="shared" si="140"/>
        <v>0</v>
      </c>
      <c r="DB191" s="757">
        <f t="shared" si="140"/>
        <v>0</v>
      </c>
      <c r="DC191" s="757">
        <f t="shared" si="140"/>
        <v>0</v>
      </c>
      <c r="DD191" s="762"/>
      <c r="DE191" s="752">
        <f t="shared" ref="DE191:DR191" si="141">DE237*(1+$C$193)</f>
        <v>0</v>
      </c>
      <c r="DF191" s="752">
        <f t="shared" si="141"/>
        <v>0</v>
      </c>
      <c r="DG191" s="752">
        <f t="shared" si="141"/>
        <v>0</v>
      </c>
      <c r="DH191" s="752">
        <f t="shared" si="141"/>
        <v>0</v>
      </c>
      <c r="DI191" s="752">
        <f t="shared" si="141"/>
        <v>0</v>
      </c>
      <c r="DJ191" s="752">
        <f t="shared" si="141"/>
        <v>0</v>
      </c>
      <c r="DK191" s="775">
        <f t="shared" si="141"/>
        <v>0</v>
      </c>
      <c r="DL191" s="752">
        <f t="shared" si="141"/>
        <v>0</v>
      </c>
      <c r="DM191" s="752">
        <f t="shared" si="141"/>
        <v>0</v>
      </c>
      <c r="DN191" s="752">
        <f t="shared" si="141"/>
        <v>0</v>
      </c>
      <c r="DO191" s="752">
        <f t="shared" si="141"/>
        <v>0</v>
      </c>
      <c r="DP191" s="752">
        <f t="shared" si="141"/>
        <v>0</v>
      </c>
      <c r="DQ191" s="752">
        <f t="shared" si="141"/>
        <v>0</v>
      </c>
      <c r="DR191" s="752">
        <f t="shared" si="141"/>
        <v>0</v>
      </c>
      <c r="DS191" s="776"/>
      <c r="DT191" s="759">
        <f>DT237*(1+$C$193)</f>
        <v>0</v>
      </c>
      <c r="DU191" s="760">
        <f>DU237*(1+$C$193)</f>
        <v>0</v>
      </c>
      <c r="DV191" s="760">
        <f>DV237*(1+$C$193)</f>
        <v>0</v>
      </c>
      <c r="DW191" s="2952"/>
      <c r="DX191" s="760">
        <f>DX237*(1+$C$193)</f>
        <v>0</v>
      </c>
      <c r="DY191" s="760">
        <f>DY237*(1+$C$193)</f>
        <v>0</v>
      </c>
      <c r="EA191" s="811"/>
      <c r="EB191" s="812"/>
      <c r="EC191" s="2960"/>
      <c r="ED191" s="2960"/>
      <c r="EE191" s="811"/>
      <c r="EF191" s="812"/>
      <c r="EG191" s="811"/>
      <c r="EH191" s="812"/>
      <c r="EI191" s="811"/>
      <c r="EJ191" s="812"/>
    </row>
    <row r="192" spans="1:146" s="790" customFormat="1" hidden="1" outlineLevel="3">
      <c r="A192" s="5023"/>
      <c r="B192" s="1720" t="s">
        <v>439</v>
      </c>
      <c r="C192" s="1780"/>
      <c r="D192" s="1797">
        <v>2250</v>
      </c>
      <c r="E192" s="1797"/>
      <c r="F192" s="1798"/>
      <c r="G192" s="1799"/>
      <c r="H192" s="1800"/>
      <c r="I192" s="1801"/>
      <c r="J192" s="1802"/>
      <c r="K192" s="1803"/>
      <c r="L192" s="1803"/>
      <c r="M192" s="1823"/>
      <c r="N192" s="1804"/>
      <c r="O192" s="1804"/>
      <c r="P192" s="1805"/>
      <c r="Q192" s="1782"/>
      <c r="R192" s="1798"/>
      <c r="S192" s="1798"/>
      <c r="T192" s="1806"/>
      <c r="U192" s="1807"/>
      <c r="V192" s="1807"/>
      <c r="W192" s="1807"/>
      <c r="X192" s="1807"/>
      <c r="Y192" s="1807"/>
      <c r="Z192" s="1807"/>
      <c r="AA192" s="1807"/>
      <c r="AB192" s="1807"/>
      <c r="AC192" s="1807"/>
      <c r="AD192" s="1798"/>
      <c r="AE192" s="1798"/>
      <c r="AF192" s="1798"/>
      <c r="AG192" s="1799"/>
      <c r="AH192" s="2665"/>
      <c r="AI192" s="2665"/>
      <c r="AJ192" s="1800"/>
      <c r="AK192" s="1808"/>
      <c r="AL192" s="1808"/>
      <c r="AM192" s="1809"/>
      <c r="AN192" s="1809"/>
      <c r="AO192" s="1782"/>
      <c r="AP192" s="1798"/>
      <c r="AQ192" s="1798"/>
      <c r="AR192" s="1807"/>
      <c r="AS192" s="1807"/>
      <c r="AT192" s="1807"/>
      <c r="AU192" s="1807"/>
      <c r="AV192" s="2664"/>
      <c r="AW192" s="1808"/>
      <c r="AX192" s="1809"/>
      <c r="AY192" s="1809"/>
      <c r="AZ192" s="1809"/>
      <c r="BA192" s="1809"/>
      <c r="BB192" s="1809"/>
      <c r="BC192" s="1807"/>
      <c r="BD192" s="1807"/>
      <c r="BE192" s="1810"/>
      <c r="BF192" s="1805"/>
      <c r="BG192" s="1782"/>
      <c r="BH192" s="1811"/>
      <c r="BI192" s="1811"/>
      <c r="BJ192" s="1811"/>
      <c r="BK192" s="1811"/>
      <c r="BL192" s="1811"/>
      <c r="BM192" s="1811"/>
      <c r="BN192" s="1808"/>
      <c r="BO192" s="1808"/>
      <c r="BP192" s="1808"/>
      <c r="BQ192" s="1782"/>
      <c r="BR192" s="1797"/>
      <c r="BS192" s="1812"/>
      <c r="BT192" s="1812"/>
      <c r="BU192" s="1813"/>
      <c r="BV192" s="1813"/>
      <c r="BW192" s="1813"/>
      <c r="BX192" s="1813"/>
      <c r="BY192" s="1782"/>
      <c r="BZ192" s="1814"/>
      <c r="CA192" s="1815"/>
      <c r="CB192" s="1815"/>
      <c r="CC192" s="1815"/>
      <c r="CD192" s="1816"/>
      <c r="CE192" s="1815"/>
      <c r="CF192" s="1815"/>
      <c r="CG192" s="1815"/>
      <c r="CH192" s="1817"/>
      <c r="CI192" s="1818"/>
      <c r="CJ192" s="1818"/>
      <c r="CK192" s="1816"/>
      <c r="CL192" s="1815"/>
      <c r="CM192" s="1815"/>
      <c r="CN192" s="1818"/>
      <c r="CO192" s="1809"/>
      <c r="CP192" s="1809"/>
      <c r="CQ192" s="1809"/>
      <c r="CR192" s="1809"/>
      <c r="CS192" s="1809"/>
      <c r="CT192" s="1809"/>
      <c r="CU192" s="1809"/>
      <c r="CV192" s="1809"/>
      <c r="CW192" s="1809"/>
      <c r="CX192" s="1809"/>
      <c r="CY192" s="1809"/>
      <c r="CZ192" s="1809"/>
      <c r="DA192" s="1809"/>
      <c r="DB192" s="1809"/>
      <c r="DC192" s="1809"/>
      <c r="DD192" s="1782"/>
      <c r="DE192" s="1819"/>
      <c r="DF192" s="1819"/>
      <c r="DG192" s="1819"/>
      <c r="DH192" s="1819"/>
      <c r="DI192" s="1819"/>
      <c r="DJ192" s="1819"/>
      <c r="DK192" s="1820"/>
      <c r="DL192" s="1819"/>
      <c r="DM192" s="1819"/>
      <c r="DN192" s="1819"/>
      <c r="DO192" s="1819"/>
      <c r="DP192" s="1819"/>
      <c r="DQ192" s="1819"/>
      <c r="DR192" s="1819"/>
      <c r="DS192" s="1821"/>
      <c r="DT192" s="1810"/>
      <c r="DU192" s="1813"/>
      <c r="DV192" s="1813"/>
      <c r="DW192" s="2952"/>
      <c r="DX192" s="1813"/>
      <c r="DY192" s="1813"/>
      <c r="DZ192" s="761"/>
      <c r="EA192" s="1758"/>
      <c r="EB192" s="1822"/>
      <c r="EC192" s="2960"/>
      <c r="ED192" s="2960"/>
      <c r="EE192" s="1758"/>
      <c r="EF192" s="1822"/>
      <c r="EG192" s="1758"/>
      <c r="EH192" s="1822"/>
      <c r="EI192" s="1758"/>
      <c r="EJ192" s="1822"/>
      <c r="EK192" s="761"/>
      <c r="EL192" s="761"/>
      <c r="EM192" s="761"/>
      <c r="EN192" s="761"/>
      <c r="EO192" s="761"/>
      <c r="EP192" s="761"/>
    </row>
    <row r="193" spans="1:146" s="790" customFormat="1" ht="15.75" hidden="1" customHeight="1" outlineLevel="3">
      <c r="A193" s="1719" t="s">
        <v>206</v>
      </c>
      <c r="B193" s="1720" t="s">
        <v>391</v>
      </c>
      <c r="C193" s="1745">
        <v>0.15</v>
      </c>
      <c r="D193" s="763">
        <v>1250</v>
      </c>
      <c r="E193" s="763">
        <f>E238*(1+$C$193)</f>
        <v>1426</v>
      </c>
      <c r="F193" s="764"/>
      <c r="G193" s="765">
        <f>G238*(1+$C$193)</f>
        <v>1552.4999999999998</v>
      </c>
      <c r="H193" s="766"/>
      <c r="I193" s="781"/>
      <c r="J193" s="1175">
        <f>J238*(1+$C$193)</f>
        <v>1426</v>
      </c>
      <c r="K193" s="751">
        <f>K238*(1+$C$193)</f>
        <v>2875</v>
      </c>
      <c r="L193" s="751">
        <f>L238*(1+$C$193)</f>
        <v>3047.4999999999995</v>
      </c>
      <c r="M193" s="768"/>
      <c r="N193" s="753"/>
      <c r="O193" s="753"/>
      <c r="P193" s="767"/>
      <c r="Q193" s="762"/>
      <c r="R193" s="764"/>
      <c r="S193" s="764">
        <f>S238*(1+$C$193)</f>
        <v>0</v>
      </c>
      <c r="T193" s="1144">
        <f>T238*(1+$C$193)</f>
        <v>770.49999999999989</v>
      </c>
      <c r="U193" s="769">
        <f>U238*(1+$C$193)</f>
        <v>862.49999999999989</v>
      </c>
      <c r="V193" s="769">
        <f>V238*(1+$C$193)</f>
        <v>862.49999999999989</v>
      </c>
      <c r="W193" s="769">
        <f>W238*(1+$C$193)</f>
        <v>977.49999999999989</v>
      </c>
      <c r="X193" s="1807"/>
      <c r="Y193" s="1807"/>
      <c r="Z193" s="1807"/>
      <c r="AA193" s="1807"/>
      <c r="AB193" s="769">
        <f t="shared" ref="AB193:AN193" si="142">AB238*(1+$C$193)</f>
        <v>0</v>
      </c>
      <c r="AC193" s="769">
        <f t="shared" si="142"/>
        <v>1380</v>
      </c>
      <c r="AD193" s="764"/>
      <c r="AE193" s="770"/>
      <c r="AF193" s="764">
        <f t="shared" si="142"/>
        <v>0</v>
      </c>
      <c r="AG193" s="765">
        <f t="shared" si="142"/>
        <v>862.49999999999989</v>
      </c>
      <c r="AH193" s="2665"/>
      <c r="AI193" s="2665"/>
      <c r="AJ193" s="766">
        <f t="shared" si="142"/>
        <v>0</v>
      </c>
      <c r="AK193" s="754">
        <f t="shared" si="142"/>
        <v>0</v>
      </c>
      <c r="AL193" s="754">
        <f t="shared" si="142"/>
        <v>0</v>
      </c>
      <c r="AM193" s="757">
        <f t="shared" si="142"/>
        <v>0</v>
      </c>
      <c r="AN193" s="757">
        <f t="shared" si="142"/>
        <v>770.49999999999989</v>
      </c>
      <c r="AO193" s="762"/>
      <c r="AP193" s="764"/>
      <c r="AQ193" s="764"/>
      <c r="AR193" s="769">
        <f t="shared" ref="AR193:BF193" si="143">AR238*(1+$C$193)</f>
        <v>747.49999999999989</v>
      </c>
      <c r="AS193" s="769">
        <f t="shared" si="143"/>
        <v>1322.5</v>
      </c>
      <c r="AT193" s="769">
        <f t="shared" si="143"/>
        <v>103.49999999999999</v>
      </c>
      <c r="AU193" s="769">
        <f t="shared" si="143"/>
        <v>103.49999999999999</v>
      </c>
      <c r="AV193" s="2664"/>
      <c r="AW193" s="754">
        <f t="shared" si="143"/>
        <v>0</v>
      </c>
      <c r="AX193" s="757">
        <f t="shared" si="143"/>
        <v>747.49999999999989</v>
      </c>
      <c r="AY193" s="757">
        <f t="shared" si="143"/>
        <v>1000.4999999999999</v>
      </c>
      <c r="AZ193" s="757">
        <f t="shared" si="143"/>
        <v>1196</v>
      </c>
      <c r="BA193" s="757">
        <f t="shared" si="143"/>
        <v>1322.5</v>
      </c>
      <c r="BB193" s="757">
        <f t="shared" si="143"/>
        <v>1701.9999999999998</v>
      </c>
      <c r="BC193" s="769">
        <f t="shared" si="143"/>
        <v>56.062499999999993</v>
      </c>
      <c r="BD193" s="769">
        <f t="shared" si="143"/>
        <v>575</v>
      </c>
      <c r="BE193" s="759">
        <f t="shared" si="143"/>
        <v>575</v>
      </c>
      <c r="BF193" s="767">
        <f t="shared" si="143"/>
        <v>1322.5</v>
      </c>
      <c r="BG193" s="762"/>
      <c r="BH193" s="771">
        <f t="shared" ref="BH193:BP193" si="144">BH238*(1+$C$193)</f>
        <v>690</v>
      </c>
      <c r="BI193" s="771">
        <f t="shared" si="144"/>
        <v>804.99999999999989</v>
      </c>
      <c r="BJ193" s="771">
        <f t="shared" si="144"/>
        <v>804.99999999999989</v>
      </c>
      <c r="BK193" s="771">
        <f t="shared" si="144"/>
        <v>747.49999999999989</v>
      </c>
      <c r="BL193" s="771">
        <f t="shared" si="144"/>
        <v>862.49999999999989</v>
      </c>
      <c r="BM193" s="771">
        <f t="shared" si="144"/>
        <v>862.49999999999989</v>
      </c>
      <c r="BN193" s="754">
        <f t="shared" si="144"/>
        <v>0</v>
      </c>
      <c r="BO193" s="754">
        <f t="shared" si="144"/>
        <v>0</v>
      </c>
      <c r="BP193" s="754">
        <f t="shared" si="144"/>
        <v>0</v>
      </c>
      <c r="BQ193" s="762"/>
      <c r="BR193" s="763">
        <f t="shared" ref="BR193:BX193" si="145">BR238*(1+$C$193)</f>
        <v>1897.4999999999998</v>
      </c>
      <c r="BS193" s="773">
        <f t="shared" si="145"/>
        <v>2012.4999999999998</v>
      </c>
      <c r="BT193" s="773">
        <f t="shared" si="145"/>
        <v>2127.5</v>
      </c>
      <c r="BU193" s="760">
        <f t="shared" si="145"/>
        <v>0</v>
      </c>
      <c r="BV193" s="760">
        <f t="shared" si="145"/>
        <v>0</v>
      </c>
      <c r="BW193" s="760">
        <f t="shared" si="145"/>
        <v>0</v>
      </c>
      <c r="BX193" s="760">
        <f t="shared" si="145"/>
        <v>0</v>
      </c>
      <c r="BY193" s="762"/>
      <c r="BZ193" s="774">
        <f t="shared" ref="BZ193:DC193" si="146">BZ238*(1+$C$193)</f>
        <v>575</v>
      </c>
      <c r="CA193" s="755">
        <f t="shared" si="146"/>
        <v>632.5</v>
      </c>
      <c r="CB193" s="755">
        <f t="shared" si="146"/>
        <v>690</v>
      </c>
      <c r="CC193" s="755">
        <f t="shared" si="146"/>
        <v>747.49999999999989</v>
      </c>
      <c r="CD193" s="806">
        <f t="shared" si="146"/>
        <v>632.5</v>
      </c>
      <c r="CE193" s="755">
        <f t="shared" si="146"/>
        <v>690</v>
      </c>
      <c r="CF193" s="755">
        <f t="shared" si="146"/>
        <v>747.49999999999989</v>
      </c>
      <c r="CG193" s="755">
        <f t="shared" si="146"/>
        <v>804.99999999999989</v>
      </c>
      <c r="CH193" s="809">
        <f t="shared" si="146"/>
        <v>0</v>
      </c>
      <c r="CI193" s="756">
        <f t="shared" si="146"/>
        <v>0</v>
      </c>
      <c r="CJ193" s="756">
        <f t="shared" si="146"/>
        <v>0</v>
      </c>
      <c r="CK193" s="806">
        <f t="shared" si="146"/>
        <v>632.5</v>
      </c>
      <c r="CL193" s="755">
        <f t="shared" si="146"/>
        <v>690</v>
      </c>
      <c r="CM193" s="755">
        <f t="shared" si="146"/>
        <v>747.49999999999989</v>
      </c>
      <c r="CN193" s="756">
        <f t="shared" si="146"/>
        <v>0</v>
      </c>
      <c r="CO193" s="757">
        <f t="shared" si="146"/>
        <v>919.99999999999989</v>
      </c>
      <c r="CP193" s="757">
        <f t="shared" si="146"/>
        <v>1035</v>
      </c>
      <c r="CQ193" s="757">
        <f t="shared" si="146"/>
        <v>1092.5</v>
      </c>
      <c r="CR193" s="757">
        <f t="shared" si="146"/>
        <v>1207.5</v>
      </c>
      <c r="CS193" s="757">
        <f t="shared" si="146"/>
        <v>1035</v>
      </c>
      <c r="CT193" s="757">
        <f t="shared" si="146"/>
        <v>1092.5</v>
      </c>
      <c r="CU193" s="757">
        <f t="shared" si="146"/>
        <v>1207.5</v>
      </c>
      <c r="CV193" s="757">
        <f t="shared" si="146"/>
        <v>1265</v>
      </c>
      <c r="CW193" s="757">
        <f t="shared" si="146"/>
        <v>0</v>
      </c>
      <c r="CX193" s="757">
        <f t="shared" si="146"/>
        <v>0</v>
      </c>
      <c r="CY193" s="757">
        <f t="shared" si="146"/>
        <v>0</v>
      </c>
      <c r="CZ193" s="757">
        <f t="shared" si="146"/>
        <v>1092.5</v>
      </c>
      <c r="DA193" s="757">
        <f t="shared" si="146"/>
        <v>1207.5</v>
      </c>
      <c r="DB193" s="757">
        <f t="shared" si="146"/>
        <v>1265</v>
      </c>
      <c r="DC193" s="757">
        <f t="shared" si="146"/>
        <v>0</v>
      </c>
      <c r="DD193" s="762"/>
      <c r="DE193" s="752">
        <f t="shared" ref="DE193:DR193" si="147">DE238*(1+$C$193)</f>
        <v>4370</v>
      </c>
      <c r="DF193" s="752">
        <f t="shared" si="147"/>
        <v>5060</v>
      </c>
      <c r="DG193" s="752">
        <f t="shared" si="147"/>
        <v>4830</v>
      </c>
      <c r="DH193" s="752">
        <f t="shared" si="147"/>
        <v>5807.5</v>
      </c>
      <c r="DI193" s="752">
        <f t="shared" si="147"/>
        <v>0</v>
      </c>
      <c r="DJ193" s="752">
        <f t="shared" si="147"/>
        <v>0</v>
      </c>
      <c r="DK193" s="775">
        <f t="shared" si="147"/>
        <v>3794.9999999999995</v>
      </c>
      <c r="DL193" s="752">
        <f t="shared" si="147"/>
        <v>4024.9999999999995</v>
      </c>
      <c r="DM193" s="752">
        <f t="shared" si="147"/>
        <v>0</v>
      </c>
      <c r="DN193" s="752">
        <f t="shared" si="147"/>
        <v>0</v>
      </c>
      <c r="DO193" s="752">
        <f t="shared" si="147"/>
        <v>0</v>
      </c>
      <c r="DP193" s="752">
        <f t="shared" si="147"/>
        <v>1609.9999999999998</v>
      </c>
      <c r="DQ193" s="752">
        <f t="shared" si="147"/>
        <v>1897.4999999999998</v>
      </c>
      <c r="DR193" s="752">
        <f t="shared" si="147"/>
        <v>804.99999999999989</v>
      </c>
      <c r="DS193" s="776"/>
      <c r="DT193" s="759">
        <f t="shared" ref="DT193:DY197" si="148">DT238*(1+$C$193)</f>
        <v>7589.9999999999991</v>
      </c>
      <c r="DU193" s="760">
        <f t="shared" si="148"/>
        <v>0</v>
      </c>
      <c r="DV193" s="760">
        <f t="shared" si="148"/>
        <v>0</v>
      </c>
      <c r="DW193" s="2952"/>
      <c r="DX193" s="760">
        <f t="shared" si="148"/>
        <v>0</v>
      </c>
      <c r="DY193" s="760">
        <f t="shared" si="148"/>
        <v>0</v>
      </c>
      <c r="DZ193" s="761"/>
      <c r="EA193" s="811">
        <v>11050</v>
      </c>
      <c r="EB193" s="812">
        <v>7942.1874999999991</v>
      </c>
      <c r="EC193" s="2960"/>
      <c r="ED193" s="2960"/>
      <c r="EE193" s="811"/>
      <c r="EF193" s="812"/>
      <c r="EG193" s="811"/>
      <c r="EH193" s="812"/>
      <c r="EI193" s="811"/>
      <c r="EJ193" s="812"/>
      <c r="EK193" s="761"/>
      <c r="EL193" s="761"/>
      <c r="EM193" s="761"/>
      <c r="EN193" s="761"/>
      <c r="EO193" s="761"/>
      <c r="EP193" s="761"/>
    </row>
    <row r="194" spans="1:146" s="790" customFormat="1" hidden="1" outlineLevel="3">
      <c r="A194" s="5021" t="s">
        <v>1019</v>
      </c>
      <c r="B194" s="1720" t="s">
        <v>703</v>
      </c>
      <c r="C194" s="1745">
        <v>0.2</v>
      </c>
      <c r="D194" s="763">
        <v>0</v>
      </c>
      <c r="E194" s="763">
        <f>E239*(1+$C$194)</f>
        <v>1992</v>
      </c>
      <c r="F194" s="769">
        <f>F239*(1+$C$194)</f>
        <v>3120</v>
      </c>
      <c r="G194" s="765">
        <f>G239*(1+$C$194)</f>
        <v>2100</v>
      </c>
      <c r="H194" s="765">
        <f>H239*(1+$C$194)</f>
        <v>2220</v>
      </c>
      <c r="I194" s="781"/>
      <c r="J194" s="1175">
        <f>J239*(1+$C$194)</f>
        <v>1992</v>
      </c>
      <c r="K194" s="751">
        <f>K239*(1+$C$194)</f>
        <v>4020</v>
      </c>
      <c r="L194" s="751">
        <f>L239*(1+$C$194)</f>
        <v>4200</v>
      </c>
      <c r="M194" s="753"/>
      <c r="N194" s="753"/>
      <c r="O194" s="753"/>
      <c r="P194" s="753"/>
      <c r="Q194" s="762"/>
      <c r="R194" s="769"/>
      <c r="S194" s="769">
        <f>S239*(1+$C$194)</f>
        <v>1560</v>
      </c>
      <c r="T194" s="769">
        <f>T239*(1+$C$194)</f>
        <v>1368</v>
      </c>
      <c r="U194" s="769">
        <f>U239*(1+$C$194)</f>
        <v>1560</v>
      </c>
      <c r="V194" s="769">
        <f>V239*(1+$C$194)</f>
        <v>1560</v>
      </c>
      <c r="W194" s="769">
        <f>W239*(1+$C$194)</f>
        <v>1740</v>
      </c>
      <c r="X194" s="1807"/>
      <c r="Y194" s="1807"/>
      <c r="Z194" s="1807"/>
      <c r="AA194" s="1807"/>
      <c r="AB194" s="769">
        <f t="shared" ref="AB194:AN194" si="149">AB239*(1+$C$194)</f>
        <v>2520</v>
      </c>
      <c r="AC194" s="770">
        <f t="shared" si="149"/>
        <v>0</v>
      </c>
      <c r="AD194" s="770"/>
      <c r="AE194" s="770"/>
      <c r="AF194" s="770">
        <f t="shared" si="149"/>
        <v>0</v>
      </c>
      <c r="AG194" s="765">
        <f t="shared" si="149"/>
        <v>1560</v>
      </c>
      <c r="AH194" s="2665"/>
      <c r="AI194" s="2665"/>
      <c r="AJ194" s="765">
        <f t="shared" si="149"/>
        <v>1680</v>
      </c>
      <c r="AK194" s="754">
        <f t="shared" si="149"/>
        <v>0</v>
      </c>
      <c r="AL194" s="754">
        <f t="shared" si="149"/>
        <v>0</v>
      </c>
      <c r="AM194" s="757">
        <f t="shared" si="149"/>
        <v>1560</v>
      </c>
      <c r="AN194" s="757">
        <f t="shared" si="149"/>
        <v>1368</v>
      </c>
      <c r="AO194" s="762"/>
      <c r="AP194" s="769"/>
      <c r="AQ194" s="769"/>
      <c r="AR194" s="769">
        <f t="shared" ref="AR194:BF194" si="150">AR239*(1+$C$194)</f>
        <v>1320</v>
      </c>
      <c r="AS194" s="769">
        <f t="shared" si="150"/>
        <v>2340</v>
      </c>
      <c r="AT194" s="769">
        <f t="shared" si="150"/>
        <v>180</v>
      </c>
      <c r="AU194" s="769">
        <f t="shared" si="150"/>
        <v>180</v>
      </c>
      <c r="AV194" s="2664"/>
      <c r="AW194" s="754">
        <f t="shared" si="150"/>
        <v>0</v>
      </c>
      <c r="AX194" s="757">
        <f t="shared" si="150"/>
        <v>1320</v>
      </c>
      <c r="AY194" s="757">
        <f t="shared" si="150"/>
        <v>1764</v>
      </c>
      <c r="AZ194" s="757">
        <f t="shared" si="150"/>
        <v>2112</v>
      </c>
      <c r="BA194" s="757">
        <f t="shared" si="150"/>
        <v>2340</v>
      </c>
      <c r="BB194" s="757">
        <f t="shared" si="150"/>
        <v>3000</v>
      </c>
      <c r="BC194" s="769">
        <f t="shared" si="150"/>
        <v>58.5</v>
      </c>
      <c r="BD194" s="769">
        <f t="shared" si="150"/>
        <v>960</v>
      </c>
      <c r="BE194" s="759">
        <f t="shared" si="150"/>
        <v>960</v>
      </c>
      <c r="BF194" s="767">
        <f t="shared" si="150"/>
        <v>2340</v>
      </c>
      <c r="BG194" s="762"/>
      <c r="BH194" s="771">
        <f t="shared" ref="BH194:BP194" si="151">BH239*(1+$C$194)</f>
        <v>1260</v>
      </c>
      <c r="BI194" s="771">
        <f t="shared" si="151"/>
        <v>1380</v>
      </c>
      <c r="BJ194" s="771">
        <f t="shared" si="151"/>
        <v>1380</v>
      </c>
      <c r="BK194" s="771">
        <f t="shared" si="151"/>
        <v>1380</v>
      </c>
      <c r="BL194" s="771">
        <f t="shared" si="151"/>
        <v>1500</v>
      </c>
      <c r="BM194" s="771">
        <f t="shared" si="151"/>
        <v>1500</v>
      </c>
      <c r="BN194" s="754">
        <f t="shared" si="151"/>
        <v>0</v>
      </c>
      <c r="BO194" s="754">
        <f t="shared" si="151"/>
        <v>0</v>
      </c>
      <c r="BP194" s="754">
        <f t="shared" si="151"/>
        <v>0</v>
      </c>
      <c r="BQ194" s="762"/>
      <c r="BR194" s="763">
        <f t="shared" ref="BR194:BX194" si="152">BR239*(1+$C$194)</f>
        <v>2640</v>
      </c>
      <c r="BS194" s="773">
        <f t="shared" si="152"/>
        <v>2820</v>
      </c>
      <c r="BT194" s="773">
        <f t="shared" si="152"/>
        <v>3000</v>
      </c>
      <c r="BU194" s="773">
        <f t="shared" si="152"/>
        <v>540</v>
      </c>
      <c r="BV194" s="777">
        <f t="shared" si="152"/>
        <v>600</v>
      </c>
      <c r="BW194" s="777">
        <f t="shared" si="152"/>
        <v>660</v>
      </c>
      <c r="BX194" s="777">
        <f t="shared" si="152"/>
        <v>6900</v>
      </c>
      <c r="BY194" s="762"/>
      <c r="BZ194" s="774">
        <f t="shared" ref="BZ194:CN194" si="153">BZ239*(1+$C$194)</f>
        <v>780</v>
      </c>
      <c r="CA194" s="755">
        <f t="shared" si="153"/>
        <v>840</v>
      </c>
      <c r="CB194" s="755">
        <f t="shared" si="153"/>
        <v>900</v>
      </c>
      <c r="CC194" s="755">
        <f t="shared" si="153"/>
        <v>960</v>
      </c>
      <c r="CD194" s="806">
        <f t="shared" si="153"/>
        <v>840</v>
      </c>
      <c r="CE194" s="755">
        <f t="shared" si="153"/>
        <v>900</v>
      </c>
      <c r="CF194" s="755">
        <f t="shared" si="153"/>
        <v>960</v>
      </c>
      <c r="CG194" s="755">
        <f t="shared" si="153"/>
        <v>1020</v>
      </c>
      <c r="CH194" s="806">
        <f t="shared" si="153"/>
        <v>900</v>
      </c>
      <c r="CI194" s="755">
        <f t="shared" si="153"/>
        <v>960</v>
      </c>
      <c r="CJ194" s="755">
        <f t="shared" si="153"/>
        <v>1020</v>
      </c>
      <c r="CK194" s="806">
        <f t="shared" si="153"/>
        <v>900</v>
      </c>
      <c r="CL194" s="755">
        <f t="shared" si="153"/>
        <v>960</v>
      </c>
      <c r="CM194" s="755">
        <f t="shared" si="153"/>
        <v>1020</v>
      </c>
      <c r="CN194" s="756">
        <f t="shared" si="153"/>
        <v>0</v>
      </c>
      <c r="CO194" s="757">
        <f t="shared" ref="CO194:CV197" si="154">CO239*(1+$C$193)</f>
        <v>1207.5</v>
      </c>
      <c r="CP194" s="757">
        <f t="shared" si="154"/>
        <v>1265</v>
      </c>
      <c r="CQ194" s="757">
        <f t="shared" si="154"/>
        <v>1380</v>
      </c>
      <c r="CR194" s="757">
        <f t="shared" si="154"/>
        <v>1437.5</v>
      </c>
      <c r="CS194" s="757">
        <f t="shared" si="154"/>
        <v>1265</v>
      </c>
      <c r="CT194" s="757">
        <f t="shared" si="154"/>
        <v>1380</v>
      </c>
      <c r="CU194" s="757">
        <f t="shared" si="154"/>
        <v>1437.5</v>
      </c>
      <c r="CV194" s="757">
        <f t="shared" si="154"/>
        <v>1552.4999999999998</v>
      </c>
      <c r="CW194" s="757">
        <f t="shared" ref="CW194:DC194" si="155">CW239*(1+$C$194)</f>
        <v>1440</v>
      </c>
      <c r="CX194" s="757">
        <f t="shared" si="155"/>
        <v>1500</v>
      </c>
      <c r="CY194" s="757">
        <f t="shared" si="155"/>
        <v>1620</v>
      </c>
      <c r="CZ194" s="757">
        <f t="shared" si="155"/>
        <v>1440</v>
      </c>
      <c r="DA194" s="757">
        <f t="shared" si="155"/>
        <v>1500</v>
      </c>
      <c r="DB194" s="757">
        <f t="shared" si="155"/>
        <v>1620</v>
      </c>
      <c r="DC194" s="758">
        <f t="shared" si="155"/>
        <v>0</v>
      </c>
      <c r="DD194" s="762"/>
      <c r="DE194" s="752">
        <f t="shared" ref="DE194:DR194" si="156">DE239*(1+$C$193)</f>
        <v>5405</v>
      </c>
      <c r="DF194" s="752">
        <f t="shared" si="156"/>
        <v>6267.4999999999991</v>
      </c>
      <c r="DG194" s="752">
        <f t="shared" si="156"/>
        <v>5979.9999999999991</v>
      </c>
      <c r="DH194" s="752">
        <f t="shared" si="156"/>
        <v>7187.4999999999991</v>
      </c>
      <c r="DI194" s="752">
        <f t="shared" si="156"/>
        <v>5692.5</v>
      </c>
      <c r="DJ194" s="752">
        <f t="shared" si="156"/>
        <v>6554.9999999999991</v>
      </c>
      <c r="DK194" s="775">
        <f t="shared" si="156"/>
        <v>4657.5</v>
      </c>
      <c r="DL194" s="752">
        <f t="shared" si="156"/>
        <v>4945</v>
      </c>
      <c r="DM194" s="752">
        <f t="shared" si="156"/>
        <v>8682.5</v>
      </c>
      <c r="DN194" s="752">
        <f t="shared" si="156"/>
        <v>8682.5</v>
      </c>
      <c r="DO194" s="752">
        <f t="shared" si="156"/>
        <v>8682.5</v>
      </c>
      <c r="DP194" s="752">
        <f t="shared" si="156"/>
        <v>2587.5</v>
      </c>
      <c r="DQ194" s="752">
        <f t="shared" si="156"/>
        <v>2989.9999999999995</v>
      </c>
      <c r="DR194" s="752">
        <f t="shared" si="156"/>
        <v>1357</v>
      </c>
      <c r="DS194" s="776"/>
      <c r="DT194" s="759">
        <f t="shared" si="148"/>
        <v>9545</v>
      </c>
      <c r="DU194" s="759">
        <f t="shared" si="148"/>
        <v>0</v>
      </c>
      <c r="DV194" s="759">
        <f t="shared" si="148"/>
        <v>0</v>
      </c>
      <c r="DW194" s="2670"/>
      <c r="DX194" s="760">
        <f t="shared" si="148"/>
        <v>0</v>
      </c>
      <c r="DY194" s="759">
        <f t="shared" si="148"/>
        <v>17710</v>
      </c>
      <c r="DZ194" s="761"/>
      <c r="EA194" s="811">
        <v>13900</v>
      </c>
      <c r="EB194" s="812">
        <v>9990.625</v>
      </c>
      <c r="EC194" s="2960"/>
      <c r="ED194" s="2960"/>
      <c r="EE194" s="811"/>
      <c r="EF194" s="812"/>
      <c r="EG194" s="811"/>
      <c r="EH194" s="812"/>
      <c r="EI194" s="811">
        <v>23150</v>
      </c>
      <c r="EJ194" s="812">
        <v>15915.625000000002</v>
      </c>
      <c r="EK194" s="761"/>
      <c r="EL194" s="761"/>
      <c r="EM194" s="761"/>
      <c r="EN194" s="761"/>
      <c r="EO194" s="761"/>
      <c r="EP194" s="761"/>
    </row>
    <row r="195" spans="1:146" s="790" customFormat="1" hidden="1" outlineLevel="3">
      <c r="A195" s="5022"/>
      <c r="B195" s="1722" t="s">
        <v>718</v>
      </c>
      <c r="C195" s="1745">
        <v>0.2</v>
      </c>
      <c r="D195" s="763">
        <v>1900</v>
      </c>
      <c r="E195" s="763">
        <f>E240*(1+$C$195)</f>
        <v>2112</v>
      </c>
      <c r="F195" s="769">
        <f>F240*(1+$C$195)</f>
        <v>3300</v>
      </c>
      <c r="G195" s="765">
        <f>G240*(1+$C$195)</f>
        <v>2220</v>
      </c>
      <c r="H195" s="765">
        <f>H240*(1+$C$195)</f>
        <v>2340</v>
      </c>
      <c r="I195" s="781"/>
      <c r="J195" s="1175">
        <f>J240*(1+$C$195)</f>
        <v>2112</v>
      </c>
      <c r="K195" s="751">
        <f>K240*(1+$C$195)</f>
        <v>4260</v>
      </c>
      <c r="L195" s="751">
        <f>L240*(1+$C$195)</f>
        <v>4440</v>
      </c>
      <c r="M195" s="753"/>
      <c r="N195" s="753"/>
      <c r="O195" s="753"/>
      <c r="P195" s="753"/>
      <c r="Q195" s="762"/>
      <c r="R195" s="769"/>
      <c r="S195" s="769">
        <f>S240*(1+$C$195)</f>
        <v>1680</v>
      </c>
      <c r="T195" s="769">
        <f>T240*(1+$C$195)</f>
        <v>1488</v>
      </c>
      <c r="U195" s="769">
        <f>U240*(1+$C$195)</f>
        <v>1680</v>
      </c>
      <c r="V195" s="769">
        <f>V240*(1+$C$195)</f>
        <v>1680</v>
      </c>
      <c r="W195" s="769">
        <f>W240*(1+$C$195)</f>
        <v>1860</v>
      </c>
      <c r="X195" s="1807"/>
      <c r="Y195" s="1807"/>
      <c r="Z195" s="1807"/>
      <c r="AA195" s="1807"/>
      <c r="AB195" s="769">
        <f t="shared" ref="AB195:AN195" si="157">AB240*(1+$C$195)</f>
        <v>2700</v>
      </c>
      <c r="AC195" s="764">
        <f t="shared" si="157"/>
        <v>0</v>
      </c>
      <c r="AD195" s="764"/>
      <c r="AE195" s="770"/>
      <c r="AF195" s="764">
        <f t="shared" si="157"/>
        <v>0</v>
      </c>
      <c r="AG195" s="765">
        <f t="shared" si="157"/>
        <v>1680</v>
      </c>
      <c r="AH195" s="2665"/>
      <c r="AI195" s="2665"/>
      <c r="AJ195" s="765">
        <f t="shared" si="157"/>
        <v>1800</v>
      </c>
      <c r="AK195" s="754">
        <f t="shared" si="157"/>
        <v>0</v>
      </c>
      <c r="AL195" s="754">
        <f t="shared" si="157"/>
        <v>0</v>
      </c>
      <c r="AM195" s="757">
        <f t="shared" si="157"/>
        <v>1680</v>
      </c>
      <c r="AN195" s="757">
        <f t="shared" si="157"/>
        <v>1488</v>
      </c>
      <c r="AO195" s="762"/>
      <c r="AP195" s="769"/>
      <c r="AQ195" s="769"/>
      <c r="AR195" s="769">
        <f t="shared" ref="AR195:BF195" si="158">AR240*(1+$C$195)</f>
        <v>1440</v>
      </c>
      <c r="AS195" s="769">
        <f t="shared" si="158"/>
        <v>2520</v>
      </c>
      <c r="AT195" s="769">
        <f t="shared" si="158"/>
        <v>192</v>
      </c>
      <c r="AU195" s="769">
        <f t="shared" si="158"/>
        <v>192</v>
      </c>
      <c r="AV195" s="2664"/>
      <c r="AW195" s="754">
        <f t="shared" si="158"/>
        <v>0</v>
      </c>
      <c r="AX195" s="757">
        <f t="shared" si="158"/>
        <v>1440</v>
      </c>
      <c r="AY195" s="757">
        <f t="shared" si="158"/>
        <v>1920</v>
      </c>
      <c r="AZ195" s="757">
        <f t="shared" si="158"/>
        <v>2304</v>
      </c>
      <c r="BA195" s="757">
        <f t="shared" si="158"/>
        <v>2520</v>
      </c>
      <c r="BB195" s="757">
        <f t="shared" si="158"/>
        <v>3264</v>
      </c>
      <c r="BC195" s="769">
        <f t="shared" si="158"/>
        <v>58.5</v>
      </c>
      <c r="BD195" s="769">
        <f t="shared" si="158"/>
        <v>1020</v>
      </c>
      <c r="BE195" s="759">
        <f t="shared" si="158"/>
        <v>1020</v>
      </c>
      <c r="BF195" s="767">
        <f t="shared" si="158"/>
        <v>2520</v>
      </c>
      <c r="BG195" s="762"/>
      <c r="BH195" s="771">
        <f t="shared" ref="BH195:BP195" si="159">BH240*(1+$C$195)</f>
        <v>1320</v>
      </c>
      <c r="BI195" s="771">
        <f t="shared" si="159"/>
        <v>1500</v>
      </c>
      <c r="BJ195" s="771">
        <f t="shared" si="159"/>
        <v>1500</v>
      </c>
      <c r="BK195" s="771">
        <f t="shared" si="159"/>
        <v>1440</v>
      </c>
      <c r="BL195" s="771">
        <f t="shared" si="159"/>
        <v>1620</v>
      </c>
      <c r="BM195" s="771">
        <f t="shared" si="159"/>
        <v>1620</v>
      </c>
      <c r="BN195" s="754">
        <f t="shared" si="159"/>
        <v>0</v>
      </c>
      <c r="BO195" s="754">
        <f t="shared" si="159"/>
        <v>0</v>
      </c>
      <c r="BP195" s="754">
        <f t="shared" si="159"/>
        <v>0</v>
      </c>
      <c r="BQ195" s="762"/>
      <c r="BR195" s="763">
        <f t="shared" ref="BR195:BX195" si="160">BR240*(1+$C$195)</f>
        <v>2700</v>
      </c>
      <c r="BS195" s="773">
        <f t="shared" si="160"/>
        <v>2880</v>
      </c>
      <c r="BT195" s="773">
        <f t="shared" si="160"/>
        <v>3060</v>
      </c>
      <c r="BU195" s="773">
        <f t="shared" si="160"/>
        <v>540</v>
      </c>
      <c r="BV195" s="777">
        <f t="shared" si="160"/>
        <v>600</v>
      </c>
      <c r="BW195" s="777">
        <f t="shared" si="160"/>
        <v>660</v>
      </c>
      <c r="BX195" s="777">
        <f t="shared" si="160"/>
        <v>7080</v>
      </c>
      <c r="BY195" s="762"/>
      <c r="BZ195" s="774">
        <f t="shared" ref="BZ195:CN195" si="161">BZ240*(1+$C$195)</f>
        <v>840</v>
      </c>
      <c r="CA195" s="755">
        <f t="shared" si="161"/>
        <v>900</v>
      </c>
      <c r="CB195" s="755">
        <f t="shared" si="161"/>
        <v>960</v>
      </c>
      <c r="CC195" s="755">
        <f t="shared" si="161"/>
        <v>1020</v>
      </c>
      <c r="CD195" s="806">
        <f t="shared" si="161"/>
        <v>900</v>
      </c>
      <c r="CE195" s="755">
        <f t="shared" si="161"/>
        <v>960</v>
      </c>
      <c r="CF195" s="755">
        <f t="shared" si="161"/>
        <v>1020</v>
      </c>
      <c r="CG195" s="755">
        <f t="shared" si="161"/>
        <v>1080</v>
      </c>
      <c r="CH195" s="806">
        <f t="shared" si="161"/>
        <v>960</v>
      </c>
      <c r="CI195" s="755">
        <f t="shared" si="161"/>
        <v>1020</v>
      </c>
      <c r="CJ195" s="755">
        <f t="shared" si="161"/>
        <v>1080</v>
      </c>
      <c r="CK195" s="806">
        <f t="shared" si="161"/>
        <v>960</v>
      </c>
      <c r="CL195" s="755">
        <f t="shared" si="161"/>
        <v>1020</v>
      </c>
      <c r="CM195" s="755">
        <f t="shared" si="161"/>
        <v>1080</v>
      </c>
      <c r="CN195" s="756">
        <f t="shared" si="161"/>
        <v>0</v>
      </c>
      <c r="CO195" s="757">
        <f t="shared" si="154"/>
        <v>1265</v>
      </c>
      <c r="CP195" s="757">
        <f t="shared" si="154"/>
        <v>1380</v>
      </c>
      <c r="CQ195" s="757">
        <f t="shared" si="154"/>
        <v>1437.5</v>
      </c>
      <c r="CR195" s="757">
        <f t="shared" si="154"/>
        <v>1552.4999999999998</v>
      </c>
      <c r="CS195" s="757">
        <f t="shared" si="154"/>
        <v>1380</v>
      </c>
      <c r="CT195" s="757">
        <f t="shared" si="154"/>
        <v>1437.5</v>
      </c>
      <c r="CU195" s="757">
        <f t="shared" si="154"/>
        <v>1552.4999999999998</v>
      </c>
      <c r="CV195" s="757">
        <f t="shared" si="154"/>
        <v>1609.9999999999998</v>
      </c>
      <c r="CW195" s="757">
        <f t="shared" ref="CW195:DC195" si="162">CW240*(1+$C$195)</f>
        <v>1500</v>
      </c>
      <c r="CX195" s="757">
        <f t="shared" si="162"/>
        <v>1620</v>
      </c>
      <c r="CY195" s="757">
        <f t="shared" si="162"/>
        <v>1680</v>
      </c>
      <c r="CZ195" s="757">
        <f t="shared" si="162"/>
        <v>1500</v>
      </c>
      <c r="DA195" s="757">
        <f t="shared" si="162"/>
        <v>1620</v>
      </c>
      <c r="DB195" s="757">
        <f t="shared" si="162"/>
        <v>1680</v>
      </c>
      <c r="DC195" s="758">
        <f t="shared" si="162"/>
        <v>0</v>
      </c>
      <c r="DD195" s="762"/>
      <c r="DE195" s="752">
        <f t="shared" ref="DE195:DR195" si="163">DE240*(1+$C$193)</f>
        <v>5635</v>
      </c>
      <c r="DF195" s="752">
        <f t="shared" si="163"/>
        <v>6497.4999999999991</v>
      </c>
      <c r="DG195" s="752">
        <f t="shared" si="163"/>
        <v>6209.9999999999991</v>
      </c>
      <c r="DH195" s="752">
        <f t="shared" si="163"/>
        <v>7474.9999999999991</v>
      </c>
      <c r="DI195" s="752">
        <f t="shared" si="163"/>
        <v>5922.4999999999991</v>
      </c>
      <c r="DJ195" s="752">
        <f t="shared" si="163"/>
        <v>6842.4999999999991</v>
      </c>
      <c r="DK195" s="775">
        <f t="shared" si="163"/>
        <v>4887.5</v>
      </c>
      <c r="DL195" s="752">
        <f t="shared" si="163"/>
        <v>5175</v>
      </c>
      <c r="DM195" s="752">
        <f t="shared" si="163"/>
        <v>9027.5</v>
      </c>
      <c r="DN195" s="752">
        <f t="shared" si="163"/>
        <v>9027.5</v>
      </c>
      <c r="DO195" s="752">
        <f t="shared" si="163"/>
        <v>9027.5</v>
      </c>
      <c r="DP195" s="752">
        <f t="shared" si="163"/>
        <v>2875</v>
      </c>
      <c r="DQ195" s="752">
        <f t="shared" si="163"/>
        <v>3334.9999999999995</v>
      </c>
      <c r="DR195" s="752">
        <f t="shared" si="163"/>
        <v>1472</v>
      </c>
      <c r="DS195" s="776"/>
      <c r="DT195" s="759">
        <f t="shared" si="148"/>
        <v>10350</v>
      </c>
      <c r="DU195" s="759">
        <f t="shared" si="148"/>
        <v>15179.999999999998</v>
      </c>
      <c r="DV195" s="763">
        <f t="shared" si="148"/>
        <v>3794.9999999999995</v>
      </c>
      <c r="DW195" s="2663"/>
      <c r="DX195" s="760">
        <f t="shared" si="148"/>
        <v>0</v>
      </c>
      <c r="DY195" s="759">
        <f t="shared" si="148"/>
        <v>18572.5</v>
      </c>
      <c r="DZ195" s="761"/>
      <c r="EA195" s="811">
        <v>15150</v>
      </c>
      <c r="EB195" s="812">
        <v>10889.0625</v>
      </c>
      <c r="EC195" s="2960"/>
      <c r="ED195" s="2960"/>
      <c r="EE195" s="811"/>
      <c r="EF195" s="812"/>
      <c r="EG195" s="811"/>
      <c r="EH195" s="812"/>
      <c r="EI195" s="811">
        <v>24450</v>
      </c>
      <c r="EJ195" s="812">
        <v>16809.375</v>
      </c>
      <c r="EK195" s="761"/>
      <c r="EL195" s="761"/>
      <c r="EM195" s="761"/>
      <c r="EN195" s="761"/>
      <c r="EO195" s="761"/>
      <c r="EP195" s="761"/>
    </row>
    <row r="196" spans="1:146" s="790" customFormat="1" hidden="1" outlineLevel="3">
      <c r="A196" s="5023"/>
      <c r="B196" s="1722" t="s">
        <v>103</v>
      </c>
      <c r="C196" s="1745">
        <v>0.2</v>
      </c>
      <c r="D196" s="763">
        <v>2150</v>
      </c>
      <c r="E196" s="763">
        <f>E241*(1+$C$196)</f>
        <v>2232</v>
      </c>
      <c r="F196" s="769">
        <f>F241*(1+$C$196)</f>
        <v>3480</v>
      </c>
      <c r="G196" s="765">
        <f>G241*(1+$C$196)</f>
        <v>2400</v>
      </c>
      <c r="H196" s="765">
        <f>H241*(1+$C$196)</f>
        <v>2520</v>
      </c>
      <c r="I196" s="781"/>
      <c r="J196" s="1175">
        <f>J241*(1+$C$196)</f>
        <v>2232</v>
      </c>
      <c r="K196" s="751">
        <f>K241*(1+$C$196)</f>
        <v>4500</v>
      </c>
      <c r="L196" s="751">
        <f>L241*(1+$C$196)</f>
        <v>4740</v>
      </c>
      <c r="M196" s="753"/>
      <c r="N196" s="753"/>
      <c r="O196" s="753"/>
      <c r="P196" s="753"/>
      <c r="Q196" s="762"/>
      <c r="R196" s="769"/>
      <c r="S196" s="769">
        <f>S241*(1+$C$196)</f>
        <v>1800</v>
      </c>
      <c r="T196" s="769">
        <f>T241*(1+$C$196)</f>
        <v>1608</v>
      </c>
      <c r="U196" s="769">
        <f>U241*(1+$C$196)</f>
        <v>1800</v>
      </c>
      <c r="V196" s="769">
        <f>V241*(1+$C$196)</f>
        <v>1800</v>
      </c>
      <c r="W196" s="769">
        <f>W241*(1+$C$196)</f>
        <v>1980</v>
      </c>
      <c r="X196" s="1807"/>
      <c r="Y196" s="1807"/>
      <c r="Z196" s="1807"/>
      <c r="AA196" s="1807"/>
      <c r="AB196" s="769">
        <f t="shared" ref="AB196:AN196" si="164">AB241*(1+$C$196)</f>
        <v>2880</v>
      </c>
      <c r="AC196" s="764">
        <f t="shared" si="164"/>
        <v>0</v>
      </c>
      <c r="AD196" s="764"/>
      <c r="AE196" s="770"/>
      <c r="AF196" s="764">
        <f t="shared" si="164"/>
        <v>0</v>
      </c>
      <c r="AG196" s="765">
        <f t="shared" si="164"/>
        <v>1800</v>
      </c>
      <c r="AH196" s="2665"/>
      <c r="AI196" s="2665"/>
      <c r="AJ196" s="765">
        <f t="shared" si="164"/>
        <v>1920</v>
      </c>
      <c r="AK196" s="754">
        <f t="shared" si="164"/>
        <v>0</v>
      </c>
      <c r="AL196" s="754">
        <f t="shared" si="164"/>
        <v>0</v>
      </c>
      <c r="AM196" s="757">
        <f t="shared" si="164"/>
        <v>1800</v>
      </c>
      <c r="AN196" s="757">
        <f t="shared" si="164"/>
        <v>1608</v>
      </c>
      <c r="AO196" s="762"/>
      <c r="AP196" s="769"/>
      <c r="AQ196" s="769"/>
      <c r="AR196" s="769">
        <f t="shared" ref="AR196:BF196" si="165">AR241*(1+$C$196)</f>
        <v>1560</v>
      </c>
      <c r="AS196" s="769">
        <f t="shared" si="165"/>
        <v>2760</v>
      </c>
      <c r="AT196" s="769">
        <f t="shared" si="165"/>
        <v>210</v>
      </c>
      <c r="AU196" s="769">
        <f t="shared" si="165"/>
        <v>210</v>
      </c>
      <c r="AV196" s="2664"/>
      <c r="AW196" s="754">
        <f t="shared" si="165"/>
        <v>0</v>
      </c>
      <c r="AX196" s="757">
        <f t="shared" si="165"/>
        <v>1560</v>
      </c>
      <c r="AY196" s="757">
        <f t="shared" si="165"/>
        <v>2088</v>
      </c>
      <c r="AZ196" s="757">
        <f t="shared" si="165"/>
        <v>2496</v>
      </c>
      <c r="BA196" s="757">
        <f t="shared" si="165"/>
        <v>2760</v>
      </c>
      <c r="BB196" s="757">
        <f t="shared" si="165"/>
        <v>3540</v>
      </c>
      <c r="BC196" s="769">
        <f t="shared" si="165"/>
        <v>58.5</v>
      </c>
      <c r="BD196" s="769">
        <f t="shared" si="165"/>
        <v>1140</v>
      </c>
      <c r="BE196" s="759">
        <f t="shared" si="165"/>
        <v>1140</v>
      </c>
      <c r="BF196" s="767">
        <f t="shared" si="165"/>
        <v>2760</v>
      </c>
      <c r="BG196" s="762"/>
      <c r="BH196" s="771">
        <f t="shared" ref="BH196:BP196" si="166">BH241*(1+$C$196)</f>
        <v>1440</v>
      </c>
      <c r="BI196" s="771">
        <f t="shared" si="166"/>
        <v>1620</v>
      </c>
      <c r="BJ196" s="771">
        <f t="shared" si="166"/>
        <v>1620</v>
      </c>
      <c r="BK196" s="771">
        <f t="shared" si="166"/>
        <v>1560</v>
      </c>
      <c r="BL196" s="771">
        <f t="shared" si="166"/>
        <v>1740</v>
      </c>
      <c r="BM196" s="771">
        <f t="shared" si="166"/>
        <v>1740</v>
      </c>
      <c r="BN196" s="754">
        <f t="shared" si="166"/>
        <v>0</v>
      </c>
      <c r="BO196" s="754">
        <f t="shared" si="166"/>
        <v>0</v>
      </c>
      <c r="BP196" s="754">
        <f t="shared" si="166"/>
        <v>0</v>
      </c>
      <c r="BQ196" s="762"/>
      <c r="BR196" s="763">
        <f t="shared" ref="BR196:BX196" si="167">BR241*(1+$C$196)</f>
        <v>3000</v>
      </c>
      <c r="BS196" s="773">
        <f t="shared" si="167"/>
        <v>3180</v>
      </c>
      <c r="BT196" s="773">
        <f t="shared" si="167"/>
        <v>3360</v>
      </c>
      <c r="BU196" s="773">
        <f t="shared" si="167"/>
        <v>600</v>
      </c>
      <c r="BV196" s="777">
        <f t="shared" si="167"/>
        <v>660</v>
      </c>
      <c r="BW196" s="777">
        <f t="shared" si="167"/>
        <v>720</v>
      </c>
      <c r="BX196" s="777">
        <f t="shared" si="167"/>
        <v>7740</v>
      </c>
      <c r="BY196" s="762"/>
      <c r="BZ196" s="774">
        <f t="shared" ref="BZ196:CN196" si="168">BZ241*(1+$C$196)</f>
        <v>960</v>
      </c>
      <c r="CA196" s="755">
        <f t="shared" si="168"/>
        <v>1020</v>
      </c>
      <c r="CB196" s="755">
        <f t="shared" si="168"/>
        <v>1080</v>
      </c>
      <c r="CC196" s="755">
        <f t="shared" si="168"/>
        <v>1140</v>
      </c>
      <c r="CD196" s="806">
        <f t="shared" si="168"/>
        <v>1020</v>
      </c>
      <c r="CE196" s="755">
        <f t="shared" si="168"/>
        <v>1080</v>
      </c>
      <c r="CF196" s="755">
        <f t="shared" si="168"/>
        <v>1140</v>
      </c>
      <c r="CG196" s="755">
        <f t="shared" si="168"/>
        <v>1200</v>
      </c>
      <c r="CH196" s="806">
        <f t="shared" si="168"/>
        <v>1080</v>
      </c>
      <c r="CI196" s="755">
        <f t="shared" si="168"/>
        <v>1140</v>
      </c>
      <c r="CJ196" s="755">
        <f t="shared" si="168"/>
        <v>1200</v>
      </c>
      <c r="CK196" s="806">
        <f t="shared" si="168"/>
        <v>1080</v>
      </c>
      <c r="CL196" s="755">
        <f t="shared" si="168"/>
        <v>1140</v>
      </c>
      <c r="CM196" s="755">
        <f t="shared" si="168"/>
        <v>1200</v>
      </c>
      <c r="CN196" s="756">
        <f t="shared" si="168"/>
        <v>0</v>
      </c>
      <c r="CO196" s="757">
        <f t="shared" si="154"/>
        <v>1437.5</v>
      </c>
      <c r="CP196" s="757">
        <f t="shared" si="154"/>
        <v>1552.4999999999998</v>
      </c>
      <c r="CQ196" s="757">
        <f t="shared" si="154"/>
        <v>1609.9999999999998</v>
      </c>
      <c r="CR196" s="757">
        <f t="shared" si="154"/>
        <v>1667.4999999999998</v>
      </c>
      <c r="CS196" s="757">
        <f t="shared" si="154"/>
        <v>1552.4999999999998</v>
      </c>
      <c r="CT196" s="757">
        <f t="shared" si="154"/>
        <v>1609.9999999999998</v>
      </c>
      <c r="CU196" s="757">
        <f t="shared" si="154"/>
        <v>1667.4999999999998</v>
      </c>
      <c r="CV196" s="757">
        <f t="shared" si="154"/>
        <v>1782.4999999999998</v>
      </c>
      <c r="CW196" s="757">
        <f t="shared" ref="CW196:DC196" si="169">CW241*(1+$C$196)</f>
        <v>1680</v>
      </c>
      <c r="CX196" s="757">
        <f t="shared" si="169"/>
        <v>1740</v>
      </c>
      <c r="CY196" s="757">
        <f t="shared" si="169"/>
        <v>1860</v>
      </c>
      <c r="CZ196" s="757">
        <f t="shared" si="169"/>
        <v>1680</v>
      </c>
      <c r="DA196" s="757">
        <f t="shared" si="169"/>
        <v>1740</v>
      </c>
      <c r="DB196" s="757">
        <f t="shared" si="169"/>
        <v>1860</v>
      </c>
      <c r="DC196" s="758">
        <f t="shared" si="169"/>
        <v>0</v>
      </c>
      <c r="DD196" s="762"/>
      <c r="DE196" s="752">
        <f t="shared" ref="DE196:DR196" si="170">DE241*(1+$C$193)</f>
        <v>6152.4999999999991</v>
      </c>
      <c r="DF196" s="752">
        <f t="shared" si="170"/>
        <v>7129.9999999999991</v>
      </c>
      <c r="DG196" s="752">
        <f t="shared" si="170"/>
        <v>6784.9999999999991</v>
      </c>
      <c r="DH196" s="752">
        <f t="shared" si="170"/>
        <v>8164.9999999999991</v>
      </c>
      <c r="DI196" s="752">
        <f t="shared" si="170"/>
        <v>6497.4999999999991</v>
      </c>
      <c r="DJ196" s="752">
        <f t="shared" si="170"/>
        <v>7474.9999999999991</v>
      </c>
      <c r="DK196" s="775">
        <f t="shared" si="170"/>
        <v>5347.5</v>
      </c>
      <c r="DL196" s="752">
        <f t="shared" si="170"/>
        <v>5635</v>
      </c>
      <c r="DM196" s="752">
        <f t="shared" si="170"/>
        <v>9890</v>
      </c>
      <c r="DN196" s="752">
        <f t="shared" si="170"/>
        <v>9890</v>
      </c>
      <c r="DO196" s="752">
        <f t="shared" si="170"/>
        <v>9890</v>
      </c>
      <c r="DP196" s="752">
        <f t="shared" si="170"/>
        <v>3047.4999999999995</v>
      </c>
      <c r="DQ196" s="752">
        <f t="shared" si="170"/>
        <v>3507.4999999999995</v>
      </c>
      <c r="DR196" s="752">
        <f t="shared" si="170"/>
        <v>1598.4999999999998</v>
      </c>
      <c r="DS196" s="776"/>
      <c r="DT196" s="759">
        <f t="shared" si="148"/>
        <v>11959.999999999998</v>
      </c>
      <c r="DU196" s="759">
        <f t="shared" si="148"/>
        <v>16329.999999999998</v>
      </c>
      <c r="DV196" s="763">
        <f t="shared" si="148"/>
        <v>4082.4999999999995</v>
      </c>
      <c r="DW196" s="2663"/>
      <c r="DX196" s="760">
        <f t="shared" si="148"/>
        <v>0</v>
      </c>
      <c r="DY196" s="759">
        <f t="shared" si="148"/>
        <v>20355</v>
      </c>
      <c r="DZ196" s="761"/>
      <c r="EA196" s="811">
        <v>17500</v>
      </c>
      <c r="EB196" s="812">
        <v>12578.124999999998</v>
      </c>
      <c r="EC196" s="2960"/>
      <c r="ED196" s="2960"/>
      <c r="EE196" s="811"/>
      <c r="EF196" s="812"/>
      <c r="EG196" s="811"/>
      <c r="EH196" s="812"/>
      <c r="EI196" s="811">
        <v>26750</v>
      </c>
      <c r="EJ196" s="812">
        <v>18390.625</v>
      </c>
      <c r="EK196" s="761"/>
      <c r="EL196" s="761"/>
      <c r="EM196" s="761"/>
      <c r="EN196" s="761"/>
      <c r="EO196" s="761"/>
      <c r="EP196" s="761"/>
    </row>
    <row r="197" spans="1:146" s="1651" customFormat="1" ht="15.75" hidden="1" outlineLevel="2">
      <c r="A197" s="1719" t="s">
        <v>30</v>
      </c>
      <c r="B197" s="1723" t="s">
        <v>284</v>
      </c>
      <c r="C197" s="1746">
        <v>0.1</v>
      </c>
      <c r="D197" s="763">
        <v>3150</v>
      </c>
      <c r="E197" s="763">
        <f>E242*(1+$C$197)</f>
        <v>1936.0000000000002</v>
      </c>
      <c r="F197" s="769">
        <f t="shared" ref="F197:L197" si="171">F242*(1+$C$197)</f>
        <v>3025.0000000000005</v>
      </c>
      <c r="G197" s="765">
        <f t="shared" si="171"/>
        <v>2035.0000000000002</v>
      </c>
      <c r="H197" s="765">
        <f t="shared" si="171"/>
        <v>2145</v>
      </c>
      <c r="I197" s="779">
        <f t="shared" si="171"/>
        <v>2145</v>
      </c>
      <c r="J197" s="1175">
        <f t="shared" si="171"/>
        <v>1936.0000000000002</v>
      </c>
      <c r="K197" s="751">
        <f t="shared" si="171"/>
        <v>3905.0000000000005</v>
      </c>
      <c r="L197" s="751">
        <f t="shared" si="171"/>
        <v>4070.0000000000005</v>
      </c>
      <c r="M197" s="753"/>
      <c r="N197" s="753"/>
      <c r="O197" s="753"/>
      <c r="P197" s="753"/>
      <c r="Q197" s="778"/>
      <c r="R197" s="769">
        <v>960</v>
      </c>
      <c r="S197" s="769">
        <f>S242*(1+$C$197)</f>
        <v>1540.0000000000002</v>
      </c>
      <c r="T197" s="769">
        <f>T242*(1+$C$197)</f>
        <v>1364</v>
      </c>
      <c r="U197" s="769">
        <f>U242*(1+$C$197)</f>
        <v>1540.0000000000002</v>
      </c>
      <c r="V197" s="769">
        <f>V242*(1+$C$197)</f>
        <v>1540.0000000000002</v>
      </c>
      <c r="W197" s="769">
        <f>W242*(1+$C$197)</f>
        <v>1705.0000000000002</v>
      </c>
      <c r="X197" s="1807"/>
      <c r="Y197" s="1807"/>
      <c r="Z197" s="1807"/>
      <c r="AA197" s="1807"/>
      <c r="AB197" s="769">
        <f t="shared" ref="AB197:AN197" si="172">AB242*(1+$C$197)</f>
        <v>2475</v>
      </c>
      <c r="AC197" s="769">
        <f t="shared" si="172"/>
        <v>2475</v>
      </c>
      <c r="AD197" s="769"/>
      <c r="AE197" s="769"/>
      <c r="AF197" s="769">
        <f t="shared" si="172"/>
        <v>2970.0000000000005</v>
      </c>
      <c r="AG197" s="765">
        <f t="shared" si="172"/>
        <v>1540.0000000000002</v>
      </c>
      <c r="AH197" s="2665"/>
      <c r="AI197" s="2665"/>
      <c r="AJ197" s="765">
        <f t="shared" si="172"/>
        <v>1650.0000000000002</v>
      </c>
      <c r="AK197" s="779">
        <f t="shared" si="172"/>
        <v>2475</v>
      </c>
      <c r="AL197" s="779">
        <f t="shared" si="172"/>
        <v>2970.0000000000005</v>
      </c>
      <c r="AM197" s="757">
        <f t="shared" si="172"/>
        <v>1540.0000000000002</v>
      </c>
      <c r="AN197" s="757">
        <f t="shared" si="172"/>
        <v>1364</v>
      </c>
      <c r="AO197" s="778"/>
      <c r="AP197" s="769">
        <v>1150</v>
      </c>
      <c r="AQ197" s="769">
        <v>2150</v>
      </c>
      <c r="AR197" s="769">
        <f t="shared" ref="AR197:BF197" si="173">AR242*(1+$C$197)</f>
        <v>1254</v>
      </c>
      <c r="AS197" s="769">
        <f t="shared" si="173"/>
        <v>2200</v>
      </c>
      <c r="AT197" s="769">
        <f t="shared" si="173"/>
        <v>170.5</v>
      </c>
      <c r="AU197" s="769">
        <f t="shared" si="173"/>
        <v>170.5</v>
      </c>
      <c r="AV197" s="2685"/>
      <c r="AW197" s="779">
        <f t="shared" si="173"/>
        <v>495.00000000000006</v>
      </c>
      <c r="AX197" s="757">
        <f t="shared" si="173"/>
        <v>1254</v>
      </c>
      <c r="AY197" s="757">
        <f t="shared" si="173"/>
        <v>1672.0000000000002</v>
      </c>
      <c r="AZ197" s="757">
        <f t="shared" si="173"/>
        <v>2013.0000000000002</v>
      </c>
      <c r="BA197" s="757">
        <f t="shared" si="173"/>
        <v>2200</v>
      </c>
      <c r="BB197" s="757">
        <f t="shared" si="173"/>
        <v>2849.0000000000005</v>
      </c>
      <c r="BC197" s="769">
        <f t="shared" si="173"/>
        <v>53.625000000000007</v>
      </c>
      <c r="BD197" s="769">
        <f t="shared" si="173"/>
        <v>935.00000000000011</v>
      </c>
      <c r="BE197" s="759">
        <f t="shared" si="173"/>
        <v>935.00000000000011</v>
      </c>
      <c r="BF197" s="767">
        <f t="shared" si="173"/>
        <v>2200</v>
      </c>
      <c r="BG197" s="778"/>
      <c r="BH197" s="771">
        <f t="shared" ref="BH197:BP197" si="174">BH242*(1+$C$197)</f>
        <v>1210</v>
      </c>
      <c r="BI197" s="771">
        <f t="shared" si="174"/>
        <v>1375</v>
      </c>
      <c r="BJ197" s="771">
        <f t="shared" si="174"/>
        <v>1375</v>
      </c>
      <c r="BK197" s="771">
        <f t="shared" si="174"/>
        <v>1320</v>
      </c>
      <c r="BL197" s="771">
        <f t="shared" si="174"/>
        <v>1485.0000000000002</v>
      </c>
      <c r="BM197" s="771">
        <f t="shared" si="174"/>
        <v>1485.0000000000002</v>
      </c>
      <c r="BN197" s="771">
        <f t="shared" si="174"/>
        <v>2365</v>
      </c>
      <c r="BO197" s="771">
        <f t="shared" si="174"/>
        <v>2585</v>
      </c>
      <c r="BP197" s="771">
        <f t="shared" si="174"/>
        <v>2860.0000000000005</v>
      </c>
      <c r="BQ197" s="778"/>
      <c r="BR197" s="763">
        <f t="shared" ref="BR197:BX197" si="175">BR242*(1+$C$197)</f>
        <v>2585</v>
      </c>
      <c r="BS197" s="773">
        <f t="shared" si="175"/>
        <v>2750</v>
      </c>
      <c r="BT197" s="773">
        <f t="shared" si="175"/>
        <v>2915.0000000000005</v>
      </c>
      <c r="BU197" s="773">
        <f t="shared" si="175"/>
        <v>495.00000000000006</v>
      </c>
      <c r="BV197" s="777">
        <f t="shared" si="175"/>
        <v>550</v>
      </c>
      <c r="BW197" s="777">
        <f t="shared" si="175"/>
        <v>605</v>
      </c>
      <c r="BX197" s="777">
        <f t="shared" si="175"/>
        <v>6710.0000000000009</v>
      </c>
      <c r="BY197" s="778"/>
      <c r="BZ197" s="774">
        <f t="shared" ref="BZ197:CN197" si="176">BZ242*(1+$C$197)</f>
        <v>770.00000000000011</v>
      </c>
      <c r="CA197" s="755">
        <f t="shared" si="176"/>
        <v>825.00000000000011</v>
      </c>
      <c r="CB197" s="755">
        <f t="shared" si="176"/>
        <v>880.00000000000011</v>
      </c>
      <c r="CC197" s="755">
        <f t="shared" si="176"/>
        <v>935.00000000000011</v>
      </c>
      <c r="CD197" s="806">
        <f t="shared" si="176"/>
        <v>825.00000000000011</v>
      </c>
      <c r="CE197" s="755">
        <f t="shared" si="176"/>
        <v>880.00000000000011</v>
      </c>
      <c r="CF197" s="755">
        <f t="shared" si="176"/>
        <v>935.00000000000011</v>
      </c>
      <c r="CG197" s="755">
        <f t="shared" si="176"/>
        <v>990.00000000000011</v>
      </c>
      <c r="CH197" s="806">
        <f t="shared" si="176"/>
        <v>880.00000000000011</v>
      </c>
      <c r="CI197" s="755">
        <f t="shared" si="176"/>
        <v>935.00000000000011</v>
      </c>
      <c r="CJ197" s="755">
        <f t="shared" si="176"/>
        <v>990.00000000000011</v>
      </c>
      <c r="CK197" s="806">
        <f t="shared" si="176"/>
        <v>880.00000000000011</v>
      </c>
      <c r="CL197" s="755">
        <f t="shared" si="176"/>
        <v>935.00000000000011</v>
      </c>
      <c r="CM197" s="755">
        <f t="shared" si="176"/>
        <v>990.00000000000011</v>
      </c>
      <c r="CN197" s="755">
        <f t="shared" si="176"/>
        <v>1155</v>
      </c>
      <c r="CO197" s="757">
        <f t="shared" si="154"/>
        <v>1265</v>
      </c>
      <c r="CP197" s="757">
        <f t="shared" si="154"/>
        <v>1380</v>
      </c>
      <c r="CQ197" s="757">
        <f t="shared" si="154"/>
        <v>1437.5</v>
      </c>
      <c r="CR197" s="757">
        <f t="shared" si="154"/>
        <v>1552.4999999999998</v>
      </c>
      <c r="CS197" s="757">
        <f t="shared" si="154"/>
        <v>1380</v>
      </c>
      <c r="CT197" s="757">
        <f t="shared" si="154"/>
        <v>1437.5</v>
      </c>
      <c r="CU197" s="757">
        <f t="shared" si="154"/>
        <v>1552.4999999999998</v>
      </c>
      <c r="CV197" s="757">
        <f t="shared" si="154"/>
        <v>1609.9999999999998</v>
      </c>
      <c r="CW197" s="757">
        <f t="shared" ref="CW197:DC197" si="177">CW242*(1+$C$197)</f>
        <v>1375</v>
      </c>
      <c r="CX197" s="757">
        <f t="shared" si="177"/>
        <v>1485.0000000000002</v>
      </c>
      <c r="CY197" s="757">
        <f t="shared" si="177"/>
        <v>1540.0000000000002</v>
      </c>
      <c r="CZ197" s="757">
        <f t="shared" si="177"/>
        <v>1375</v>
      </c>
      <c r="DA197" s="757">
        <f t="shared" si="177"/>
        <v>1485.0000000000002</v>
      </c>
      <c r="DB197" s="757">
        <f t="shared" si="177"/>
        <v>1540.0000000000002</v>
      </c>
      <c r="DC197" s="757">
        <f t="shared" si="177"/>
        <v>1760.0000000000002</v>
      </c>
      <c r="DD197" s="778"/>
      <c r="DE197" s="752">
        <f t="shared" ref="DE197:DR197" si="178">DE242*(1+$C$193)</f>
        <v>5635</v>
      </c>
      <c r="DF197" s="752">
        <f t="shared" si="178"/>
        <v>6497.4999999999991</v>
      </c>
      <c r="DG197" s="752">
        <f t="shared" si="178"/>
        <v>6209.9999999999991</v>
      </c>
      <c r="DH197" s="752">
        <f t="shared" si="178"/>
        <v>7474.9999999999991</v>
      </c>
      <c r="DI197" s="752">
        <f t="shared" si="178"/>
        <v>5922.4999999999991</v>
      </c>
      <c r="DJ197" s="752">
        <f t="shared" si="178"/>
        <v>6842.4999999999991</v>
      </c>
      <c r="DK197" s="775">
        <f t="shared" si="178"/>
        <v>4887.5</v>
      </c>
      <c r="DL197" s="752">
        <f t="shared" si="178"/>
        <v>5175</v>
      </c>
      <c r="DM197" s="752">
        <f t="shared" si="178"/>
        <v>0</v>
      </c>
      <c r="DN197" s="752">
        <f t="shared" si="178"/>
        <v>0</v>
      </c>
      <c r="DO197" s="752">
        <f t="shared" si="178"/>
        <v>0</v>
      </c>
      <c r="DP197" s="752">
        <f t="shared" si="178"/>
        <v>2875</v>
      </c>
      <c r="DQ197" s="752">
        <f t="shared" si="178"/>
        <v>3334.9999999999995</v>
      </c>
      <c r="DR197" s="752">
        <f t="shared" si="178"/>
        <v>1472</v>
      </c>
      <c r="DS197" s="780"/>
      <c r="DT197" s="759">
        <f t="shared" si="148"/>
        <v>8280</v>
      </c>
      <c r="DU197" s="759">
        <f t="shared" si="148"/>
        <v>15639.999999999998</v>
      </c>
      <c r="DV197" s="763">
        <f t="shared" si="148"/>
        <v>3909.9999999999995</v>
      </c>
      <c r="DW197" s="2663"/>
      <c r="DX197" s="759">
        <f t="shared" si="148"/>
        <v>14662.499999999998</v>
      </c>
      <c r="DY197" s="759">
        <f t="shared" si="148"/>
        <v>20010</v>
      </c>
      <c r="DZ197" s="761"/>
      <c r="EA197" s="811">
        <v>12100</v>
      </c>
      <c r="EB197" s="812">
        <v>8696.875</v>
      </c>
      <c r="EC197" s="2960"/>
      <c r="ED197" s="2960"/>
      <c r="EE197" s="811">
        <v>22400</v>
      </c>
      <c r="EF197" s="812">
        <v>15400.000000000002</v>
      </c>
      <c r="EG197" s="811">
        <v>30600</v>
      </c>
      <c r="EH197" s="812">
        <v>21037.5</v>
      </c>
      <c r="EI197" s="811"/>
      <c r="EJ197" s="812"/>
      <c r="EK197" s="761"/>
      <c r="EL197" s="761"/>
      <c r="EM197" s="761"/>
      <c r="EN197" s="761"/>
      <c r="EO197" s="761"/>
      <c r="EP197" s="761"/>
    </row>
    <row r="198" spans="1:146" s="1651" customFormat="1" ht="48" hidden="1" outlineLevel="2">
      <c r="B198" s="1756" t="s">
        <v>286</v>
      </c>
      <c r="C198" s="1746">
        <v>0.1</v>
      </c>
      <c r="D198" s="763">
        <v>700</v>
      </c>
      <c r="E198" s="763"/>
      <c r="CH198" s="1725">
        <f t="shared" ref="CH198:CN198" si="179">CH243*(1+$C$198)</f>
        <v>363.00000000000006</v>
      </c>
      <c r="CI198" s="1725">
        <f t="shared" si="179"/>
        <v>379.50000000000006</v>
      </c>
      <c r="CJ198" s="1725">
        <f t="shared" si="179"/>
        <v>396.00000000000006</v>
      </c>
      <c r="CK198" s="1725">
        <f t="shared" si="179"/>
        <v>363.00000000000006</v>
      </c>
      <c r="CL198" s="1725">
        <f t="shared" si="179"/>
        <v>379.50000000000006</v>
      </c>
      <c r="CM198" s="1725">
        <f t="shared" si="179"/>
        <v>396.00000000000006</v>
      </c>
      <c r="CN198" s="1725">
        <f t="shared" si="179"/>
        <v>418.00000000000006</v>
      </c>
      <c r="CW198" s="1725">
        <f t="shared" ref="CW198:DC198" si="180">CW243*(1+$C$198)</f>
        <v>0</v>
      </c>
      <c r="CX198" s="1725">
        <f t="shared" si="180"/>
        <v>0</v>
      </c>
      <c r="CY198" s="1725">
        <f t="shared" si="180"/>
        <v>0</v>
      </c>
      <c r="CZ198" s="1725">
        <f t="shared" si="180"/>
        <v>0</v>
      </c>
      <c r="DA198" s="1725">
        <f t="shared" si="180"/>
        <v>0</v>
      </c>
      <c r="DB198" s="1725">
        <f t="shared" si="180"/>
        <v>0</v>
      </c>
      <c r="DC198" s="1725">
        <f t="shared" si="180"/>
        <v>0</v>
      </c>
    </row>
    <row r="199" spans="1:146" s="1651" customFormat="1" ht="36" hidden="1" outlineLevel="1">
      <c r="B199" s="1757" t="s">
        <v>285</v>
      </c>
      <c r="C199" s="1746">
        <v>0.1</v>
      </c>
      <c r="D199" s="763">
        <v>850</v>
      </c>
      <c r="E199" s="763"/>
      <c r="CH199" s="1725">
        <f t="shared" ref="CH199:CN199" si="181">CH244*(1+$C$199)</f>
        <v>291.5</v>
      </c>
      <c r="CI199" s="1725">
        <f t="shared" si="181"/>
        <v>302.5</v>
      </c>
      <c r="CJ199" s="1725">
        <f t="shared" si="181"/>
        <v>319</v>
      </c>
      <c r="CK199" s="1725">
        <f t="shared" si="181"/>
        <v>291.5</v>
      </c>
      <c r="CL199" s="1725">
        <f t="shared" si="181"/>
        <v>302.5</v>
      </c>
      <c r="CM199" s="1725">
        <f t="shared" si="181"/>
        <v>319</v>
      </c>
      <c r="CN199" s="1725">
        <f t="shared" si="181"/>
        <v>335.5</v>
      </c>
      <c r="CW199" s="1725">
        <f t="shared" ref="CW199:DC199" si="182">CW244*(1+$C$199)</f>
        <v>0</v>
      </c>
      <c r="CX199" s="1725">
        <f t="shared" si="182"/>
        <v>0</v>
      </c>
      <c r="CY199" s="1725">
        <f t="shared" si="182"/>
        <v>0</v>
      </c>
      <c r="CZ199" s="1725">
        <f t="shared" si="182"/>
        <v>0</v>
      </c>
      <c r="DA199" s="1725">
        <f t="shared" si="182"/>
        <v>0</v>
      </c>
      <c r="DB199" s="1725">
        <f t="shared" si="182"/>
        <v>0</v>
      </c>
      <c r="DC199" s="1725">
        <f t="shared" si="182"/>
        <v>0</v>
      </c>
    </row>
    <row r="200" spans="1:146" s="1651" customFormat="1" ht="15.75" hidden="1" outlineLevel="2">
      <c r="A200" s="1726"/>
      <c r="B200" s="1727"/>
      <c r="C200" s="246"/>
      <c r="D200" s="246">
        <v>1050</v>
      </c>
      <c r="E200" s="246"/>
      <c r="F200" s="246"/>
      <c r="G200" s="761"/>
      <c r="H200" s="761"/>
      <c r="I200" s="761"/>
      <c r="J200" s="761"/>
      <c r="K200" s="761"/>
      <c r="L200" s="761"/>
      <c r="M200" s="761"/>
      <c r="N200" s="761"/>
      <c r="O200" s="761"/>
      <c r="P200" s="761"/>
      <c r="Q200" s="1727"/>
      <c r="R200" s="246"/>
      <c r="S200" s="246"/>
      <c r="T200" s="246"/>
      <c r="U200" s="246"/>
      <c r="V200" s="246"/>
      <c r="W200" s="246"/>
      <c r="X200" s="246"/>
      <c r="Y200" s="246"/>
      <c r="Z200" s="246"/>
      <c r="AA200" s="246"/>
      <c r="AB200" s="246"/>
      <c r="AC200" s="246"/>
      <c r="AD200" s="246"/>
      <c r="AE200" s="246"/>
      <c r="AF200" s="246"/>
      <c r="AG200" s="761"/>
      <c r="AH200" s="761"/>
      <c r="AI200" s="761"/>
      <c r="AJ200" s="761"/>
      <c r="AK200" s="761"/>
      <c r="AL200" s="761"/>
      <c r="AM200" s="761"/>
      <c r="AN200" s="761"/>
      <c r="AO200" s="1727"/>
      <c r="AP200" s="246"/>
      <c r="AQ200" s="246"/>
      <c r="AR200" s="246"/>
      <c r="AS200" s="246"/>
      <c r="AT200" s="246"/>
      <c r="AU200" s="246"/>
      <c r="AV200" s="246"/>
      <c r="AW200" s="761"/>
      <c r="AX200" s="761"/>
      <c r="AY200" s="761"/>
      <c r="AZ200" s="761"/>
      <c r="BA200" s="761"/>
      <c r="BB200" s="761"/>
      <c r="BC200" s="246"/>
      <c r="BD200" s="246"/>
      <c r="BE200" s="761"/>
      <c r="BF200" s="761"/>
      <c r="BG200" s="1727"/>
      <c r="BH200" s="761"/>
      <c r="BI200" s="761"/>
      <c r="BJ200" s="761"/>
      <c r="BK200" s="761"/>
      <c r="BL200" s="761"/>
      <c r="BM200" s="761"/>
      <c r="BN200" s="761"/>
      <c r="BO200" s="761"/>
      <c r="BP200" s="761"/>
      <c r="BQ200" s="1727"/>
      <c r="BR200" s="761"/>
      <c r="BS200" s="761"/>
      <c r="BT200" s="761"/>
      <c r="BU200" s="761"/>
      <c r="BV200" s="761"/>
      <c r="BW200" s="761"/>
      <c r="BX200" s="761"/>
      <c r="BY200" s="1727"/>
      <c r="BZ200" s="761"/>
      <c r="CA200" s="761"/>
      <c r="CB200" s="761"/>
      <c r="CC200" s="761"/>
      <c r="CD200" s="761"/>
      <c r="CE200" s="761"/>
      <c r="CF200" s="761"/>
      <c r="CG200" s="761"/>
      <c r="CH200" s="761"/>
      <c r="CI200" s="761"/>
      <c r="CJ200" s="761"/>
      <c r="CK200" s="761"/>
      <c r="CL200" s="761"/>
      <c r="CM200" s="761"/>
      <c r="CN200" s="761"/>
      <c r="CO200" s="761"/>
      <c r="CP200" s="761"/>
      <c r="CQ200" s="761"/>
      <c r="CR200" s="761"/>
      <c r="CS200" s="761"/>
      <c r="CT200" s="761"/>
      <c r="CU200" s="761"/>
      <c r="CV200" s="761"/>
      <c r="CW200" s="761"/>
      <c r="CX200" s="761"/>
      <c r="CY200" s="761"/>
      <c r="CZ200" s="761"/>
      <c r="DA200" s="761"/>
      <c r="DB200" s="761"/>
      <c r="DC200" s="761"/>
      <c r="DD200" s="1727"/>
      <c r="DE200" s="761"/>
      <c r="DF200" s="761"/>
      <c r="DG200" s="761"/>
      <c r="DH200" s="761"/>
      <c r="DI200" s="761"/>
      <c r="DJ200" s="761"/>
      <c r="DK200" s="761"/>
      <c r="DL200" s="761"/>
      <c r="DM200" s="761"/>
      <c r="DN200" s="761"/>
      <c r="DO200" s="761"/>
      <c r="DP200" s="761"/>
      <c r="DQ200" s="761"/>
      <c r="DR200" s="761"/>
      <c r="DS200" s="1727"/>
      <c r="DT200" s="1643"/>
      <c r="DU200" s="761"/>
      <c r="DV200" s="761"/>
      <c r="DW200" s="761"/>
      <c r="DX200" s="761"/>
      <c r="DY200" s="761"/>
      <c r="DZ200" s="761"/>
      <c r="EA200" s="761"/>
      <c r="EB200" s="761"/>
      <c r="EC200" s="761"/>
      <c r="ED200" s="761"/>
      <c r="EE200" s="761"/>
      <c r="EF200" s="761"/>
      <c r="EG200" s="761"/>
      <c r="EH200" s="761"/>
      <c r="EI200" s="761"/>
      <c r="EJ200" s="761"/>
      <c r="EK200" s="761"/>
      <c r="EL200" s="761"/>
      <c r="EM200" s="761"/>
      <c r="EN200" s="761"/>
      <c r="EO200" s="761"/>
      <c r="EP200" s="761"/>
    </row>
    <row r="201" spans="1:146" s="159" customFormat="1" ht="22.5" hidden="1" customHeight="1" outlineLevel="3">
      <c r="A201" s="1649" t="s">
        <v>1040</v>
      </c>
      <c r="B201" s="1650"/>
      <c r="C201" s="1729"/>
      <c r="D201" s="1652">
        <v>4800</v>
      </c>
      <c r="E201" s="1652"/>
      <c r="F201" s="1652"/>
      <c r="G201" s="1651"/>
      <c r="H201" s="1651"/>
      <c r="I201" s="1651"/>
      <c r="J201" s="1651"/>
      <c r="K201" s="1651"/>
      <c r="L201" s="1651"/>
      <c r="M201" s="1651"/>
      <c r="N201" s="1651"/>
      <c r="O201" s="1651"/>
      <c r="P201" s="1651"/>
      <c r="Q201" s="1650"/>
      <c r="R201" s="1650"/>
      <c r="S201" s="1650"/>
      <c r="T201" s="1730"/>
      <c r="U201" s="1650"/>
      <c r="V201" s="1650"/>
      <c r="W201" s="1650"/>
      <c r="X201" s="1650"/>
      <c r="Y201" s="1650"/>
      <c r="Z201" s="1650"/>
      <c r="AA201" s="1650"/>
      <c r="AB201" s="1650"/>
      <c r="AC201" s="1651"/>
      <c r="AD201" s="1651"/>
      <c r="AE201" s="1651"/>
      <c r="AF201" s="1651"/>
      <c r="AG201" s="1651"/>
      <c r="AH201" s="1651"/>
      <c r="AI201" s="1651"/>
      <c r="AJ201" s="1651"/>
      <c r="AK201" s="1651"/>
      <c r="AL201" s="1651"/>
      <c r="AM201" s="1651"/>
      <c r="AN201" s="1651"/>
      <c r="AO201" s="1650"/>
      <c r="AP201" s="1650"/>
      <c r="AQ201" s="1650"/>
      <c r="AR201" s="1653"/>
      <c r="AS201" s="1651"/>
      <c r="AT201" s="1651"/>
      <c r="AU201" s="1651"/>
      <c r="AV201" s="1651"/>
      <c r="AW201" s="1651"/>
      <c r="AX201" s="1651"/>
      <c r="AY201" s="1651"/>
      <c r="AZ201" s="1651"/>
      <c r="BA201" s="1651"/>
      <c r="BB201" s="1651"/>
      <c r="BC201" s="1651"/>
      <c r="BD201" s="1651"/>
      <c r="BE201" s="1651"/>
      <c r="BF201" s="1651"/>
      <c r="BG201" s="1650"/>
      <c r="BH201" s="1651"/>
      <c r="BI201" s="1651"/>
      <c r="BJ201" s="1651"/>
      <c r="BK201" s="1651"/>
      <c r="BL201" s="1651"/>
      <c r="BM201" s="1651"/>
      <c r="BN201" s="1651"/>
      <c r="BO201" s="1651"/>
      <c r="BP201" s="1651"/>
      <c r="BQ201" s="1650"/>
      <c r="BR201" s="1651"/>
      <c r="BS201" s="1651"/>
      <c r="BT201" s="1651"/>
      <c r="BU201" s="1651"/>
      <c r="BV201" s="1651"/>
      <c r="BW201" s="1651"/>
      <c r="BX201" s="1651"/>
      <c r="BY201" s="1650"/>
      <c r="BZ201" s="1651"/>
      <c r="CA201" s="1651"/>
      <c r="CB201" s="1651"/>
      <c r="CC201" s="1651"/>
      <c r="CD201" s="1651"/>
      <c r="CE201" s="1651"/>
      <c r="CF201" s="1651"/>
      <c r="CG201" s="1651"/>
      <c r="CH201" s="1651"/>
      <c r="CI201" s="1651"/>
      <c r="CJ201" s="1651"/>
      <c r="CK201" s="1651"/>
      <c r="CL201" s="1651"/>
      <c r="CM201" s="1651"/>
      <c r="CN201" s="1651"/>
      <c r="CO201" s="1651"/>
      <c r="CP201" s="1651"/>
      <c r="CQ201" s="1651"/>
      <c r="CR201" s="1651"/>
      <c r="CS201" s="1651"/>
      <c r="CT201" s="1651"/>
      <c r="CU201" s="1651"/>
      <c r="CV201" s="1651"/>
      <c r="CW201" s="1651"/>
      <c r="CX201" s="1651"/>
      <c r="CY201" s="1651"/>
      <c r="CZ201" s="1651"/>
      <c r="DA201" s="1651"/>
      <c r="DB201" s="1651"/>
      <c r="DC201" s="1651"/>
      <c r="DD201" s="1650"/>
      <c r="DE201" s="1651"/>
      <c r="DF201" s="1651"/>
      <c r="DG201" s="1651"/>
      <c r="DH201" s="1651"/>
      <c r="DI201" s="1651"/>
      <c r="DJ201" s="1651"/>
      <c r="DK201" s="1651"/>
      <c r="DL201" s="1651"/>
      <c r="DM201" s="1651"/>
      <c r="DN201" s="1651"/>
      <c r="DO201" s="1651"/>
      <c r="DP201" s="1651"/>
      <c r="DQ201" s="1651"/>
      <c r="DR201" s="1651"/>
      <c r="DS201" s="1650"/>
      <c r="DT201" s="1651"/>
      <c r="DU201" s="1651"/>
      <c r="DV201" s="1651"/>
      <c r="DW201" s="1651"/>
      <c r="DX201" s="1651"/>
      <c r="DY201" s="1651"/>
      <c r="DZ201" s="1651"/>
      <c r="EA201" s="1651"/>
      <c r="EB201" s="1651"/>
      <c r="EC201" s="1651"/>
      <c r="ED201" s="1651"/>
      <c r="EE201" s="1651"/>
      <c r="EF201" s="1651"/>
      <c r="EG201" s="1651"/>
      <c r="EH201" s="1651"/>
      <c r="EI201" s="1651"/>
      <c r="EJ201" s="1651"/>
      <c r="EK201" s="1651"/>
      <c r="EL201" s="1651"/>
      <c r="EM201" s="1651"/>
      <c r="EN201" s="1651"/>
      <c r="EO201" s="1651"/>
      <c r="EP201" s="1651"/>
    </row>
    <row r="202" spans="1:146" s="1671" customFormat="1" ht="12.75" hidden="1" customHeight="1" outlineLevel="3">
      <c r="A202" s="4938" t="s">
        <v>1016</v>
      </c>
      <c r="B202" s="4938"/>
      <c r="C202" s="1654"/>
      <c r="D202" s="1791">
        <v>0</v>
      </c>
      <c r="E202" s="1792"/>
      <c r="F202" s="1792"/>
      <c r="G202" s="1792"/>
      <c r="H202" s="1792"/>
      <c r="I202" s="1792"/>
      <c r="J202" s="1792"/>
      <c r="K202" s="1792"/>
      <c r="L202" s="1792"/>
      <c r="M202" s="1792"/>
      <c r="N202" s="1792"/>
      <c r="O202" s="1792"/>
      <c r="P202" s="1793"/>
      <c r="Q202" s="1655"/>
      <c r="R202" s="1783" t="s">
        <v>89</v>
      </c>
      <c r="S202" s="1784"/>
      <c r="T202" s="1784"/>
      <c r="U202" s="1784"/>
      <c r="V202" s="1784"/>
      <c r="W202" s="1784"/>
      <c r="X202" s="1784"/>
      <c r="Y202" s="1784"/>
      <c r="Z202" s="1784"/>
      <c r="AA202" s="1784"/>
      <c r="AB202" s="1784"/>
      <c r="AC202" s="1784"/>
      <c r="AD202" s="1784"/>
      <c r="AE202" s="1784"/>
      <c r="AF202" s="1784"/>
      <c r="AG202" s="1784"/>
      <c r="AH202" s="1656"/>
      <c r="AI202" s="1656"/>
      <c r="AJ202" s="1784"/>
      <c r="AK202" s="1784"/>
      <c r="AL202" s="1784"/>
      <c r="AM202" s="1784"/>
      <c r="AN202" s="1784"/>
      <c r="AO202" s="1655"/>
      <c r="AP202" s="1783" t="s">
        <v>2194</v>
      </c>
      <c r="AQ202" s="1783"/>
      <c r="AR202" s="4914" t="s">
        <v>1014</v>
      </c>
      <c r="AS202" s="4914"/>
      <c r="AT202" s="4915"/>
      <c r="AU202" s="4914"/>
      <c r="AV202" s="4915"/>
      <c r="AW202" s="4914"/>
      <c r="AX202" s="4914"/>
      <c r="AY202" s="4914"/>
      <c r="AZ202" s="4914"/>
      <c r="BA202" s="4914"/>
      <c r="BB202" s="4914"/>
      <c r="BC202" s="4867" t="s">
        <v>882</v>
      </c>
      <c r="BD202" s="4867" t="s">
        <v>883</v>
      </c>
      <c r="BE202" s="4907" t="s">
        <v>695</v>
      </c>
      <c r="BF202" s="4867" t="s">
        <v>1031</v>
      </c>
      <c r="BG202" s="1655"/>
      <c r="BH202" s="4873" t="s">
        <v>108</v>
      </c>
      <c r="BI202" s="4874"/>
      <c r="BJ202" s="4874"/>
      <c r="BK202" s="4874"/>
      <c r="BL202" s="4874"/>
      <c r="BM202" s="4874"/>
      <c r="BN202" s="4874"/>
      <c r="BO202" s="4874"/>
      <c r="BP202" s="4874"/>
      <c r="BQ202" s="1655"/>
      <c r="BR202" s="4875" t="s">
        <v>456</v>
      </c>
      <c r="BS202" s="4875"/>
      <c r="BT202" s="4875"/>
      <c r="BU202" s="4875"/>
      <c r="BV202" s="4875"/>
      <c r="BW202" s="4875"/>
      <c r="BX202" s="4875"/>
      <c r="BY202" s="1655"/>
      <c r="BZ202" s="4857" t="s">
        <v>1015</v>
      </c>
      <c r="CA202" s="4858"/>
      <c r="CB202" s="4858"/>
      <c r="CC202" s="4858"/>
      <c r="CD202" s="4858"/>
      <c r="CE202" s="4858"/>
      <c r="CF202" s="4858"/>
      <c r="CG202" s="4858"/>
      <c r="CH202" s="4858"/>
      <c r="CI202" s="4858"/>
      <c r="CJ202" s="4858"/>
      <c r="CK202" s="4858"/>
      <c r="CL202" s="4858"/>
      <c r="CM202" s="4858"/>
      <c r="CN202" s="4858"/>
      <c r="CO202" s="4858"/>
      <c r="CP202" s="4858"/>
      <c r="CQ202" s="4858"/>
      <c r="CR202" s="4858"/>
      <c r="CS202" s="4858"/>
      <c r="CT202" s="4858"/>
      <c r="CU202" s="4858"/>
      <c r="CV202" s="4858"/>
      <c r="CW202" s="4858"/>
      <c r="CX202" s="4858"/>
      <c r="CY202" s="4858"/>
      <c r="CZ202" s="4858"/>
      <c r="DA202" s="4858"/>
      <c r="DB202" s="4858"/>
      <c r="DC202" s="4858"/>
      <c r="DD202" s="1655"/>
      <c r="DE202" s="1658"/>
      <c r="DF202" s="1658"/>
      <c r="DG202" s="1658"/>
      <c r="DH202" s="1658"/>
      <c r="DI202" s="1658"/>
      <c r="DJ202" s="1658"/>
      <c r="DK202" s="1659" t="s">
        <v>1038</v>
      </c>
      <c r="DL202" s="1658"/>
      <c r="DM202" s="1658"/>
      <c r="DN202" s="1658"/>
      <c r="DO202" s="1658"/>
      <c r="DP202" s="1658"/>
      <c r="DQ202" s="1658"/>
      <c r="DR202" s="1660"/>
      <c r="DS202" s="1655"/>
      <c r="DT202" s="4876" t="s">
        <v>693</v>
      </c>
      <c r="DU202" s="4876"/>
      <c r="DV202" s="4876"/>
      <c r="DW202" s="4877"/>
      <c r="DX202" s="4876"/>
      <c r="DY202" s="4876"/>
      <c r="DZ202" s="159"/>
      <c r="EA202" s="159"/>
      <c r="EB202" s="159"/>
      <c r="EC202" s="159"/>
      <c r="ED202" s="159"/>
      <c r="EE202" s="159"/>
      <c r="EF202" s="159"/>
      <c r="EG202" s="159"/>
      <c r="EH202" s="159"/>
      <c r="EI202" s="159"/>
      <c r="EJ202" s="159"/>
      <c r="EK202" s="159"/>
      <c r="EL202" s="159"/>
      <c r="EM202" s="159"/>
      <c r="EN202" s="159"/>
      <c r="EO202" s="159"/>
      <c r="EP202" s="159"/>
    </row>
    <row r="203" spans="1:146" s="761" customFormat="1" ht="38.25" hidden="1" customHeight="1" outlineLevel="3">
      <c r="A203" s="4938" t="s">
        <v>725</v>
      </c>
      <c r="B203" s="4938"/>
      <c r="C203" s="1661"/>
      <c r="D203" s="1785">
        <v>50</v>
      </c>
      <c r="E203" s="1786"/>
      <c r="F203" s="1786"/>
      <c r="G203" s="1786"/>
      <c r="H203" s="1786"/>
      <c r="I203" s="1786"/>
      <c r="J203" s="1786"/>
      <c r="K203" s="1786"/>
      <c r="L203" s="1787"/>
      <c r="M203" s="4878" t="s">
        <v>1023</v>
      </c>
      <c r="N203" s="4879"/>
      <c r="O203" s="4879"/>
      <c r="P203" s="4880"/>
      <c r="Q203" s="1662"/>
      <c r="R203" s="1788" t="s">
        <v>1026</v>
      </c>
      <c r="S203" s="1789"/>
      <c r="T203" s="1789"/>
      <c r="U203" s="1789"/>
      <c r="V203" s="1789"/>
      <c r="W203" s="1789"/>
      <c r="X203" s="1789"/>
      <c r="Y203" s="1789"/>
      <c r="Z203" s="1789"/>
      <c r="AA203" s="1789"/>
      <c r="AB203" s="1789"/>
      <c r="AC203" s="1789"/>
      <c r="AD203" s="1789"/>
      <c r="AE203" s="1789"/>
      <c r="AF203" s="1790"/>
      <c r="AG203" s="1666" t="s">
        <v>1027</v>
      </c>
      <c r="AH203" s="1667"/>
      <c r="AI203" s="1667"/>
      <c r="AJ203" s="1667"/>
      <c r="AK203" s="1667"/>
      <c r="AL203" s="1668"/>
      <c r="AM203" s="1669" t="s">
        <v>1028</v>
      </c>
      <c r="AN203" s="1670"/>
      <c r="AO203" s="1662"/>
      <c r="AP203" s="1788"/>
      <c r="AQ203" s="1788"/>
      <c r="AR203" s="4939" t="s">
        <v>1047</v>
      </c>
      <c r="AS203" s="4940"/>
      <c r="AT203" s="4940"/>
      <c r="AU203" s="4941"/>
      <c r="AV203" s="2601"/>
      <c r="AW203" s="4881" t="s">
        <v>1048</v>
      </c>
      <c r="AX203" s="4883" t="s">
        <v>1049</v>
      </c>
      <c r="AY203" s="4884"/>
      <c r="AZ203" s="4884"/>
      <c r="BA203" s="4884"/>
      <c r="BB203" s="4885"/>
      <c r="BC203" s="4867"/>
      <c r="BD203" s="4867"/>
      <c r="BE203" s="4985"/>
      <c r="BF203" s="4867"/>
      <c r="BG203" s="1662"/>
      <c r="BH203" s="4889" t="s">
        <v>709</v>
      </c>
      <c r="BI203" s="4890"/>
      <c r="BJ203" s="4891"/>
      <c r="BK203" s="4889" t="s">
        <v>1022</v>
      </c>
      <c r="BL203" s="4890"/>
      <c r="BM203" s="4891"/>
      <c r="BN203" s="4881" t="s">
        <v>1030</v>
      </c>
      <c r="BO203" s="4881" t="s">
        <v>743</v>
      </c>
      <c r="BP203" s="4881" t="s">
        <v>1029</v>
      </c>
      <c r="BQ203" s="1662"/>
      <c r="BR203" s="4895" t="s">
        <v>1052</v>
      </c>
      <c r="BS203" s="4896"/>
      <c r="BT203" s="4897"/>
      <c r="BU203" s="4901" t="s">
        <v>1053</v>
      </c>
      <c r="BV203" s="4902"/>
      <c r="BW203" s="4903"/>
      <c r="BX203" s="4907" t="s">
        <v>1054</v>
      </c>
      <c r="BY203" s="1662"/>
      <c r="BZ203" s="4909" t="s">
        <v>1020</v>
      </c>
      <c r="CA203" s="4910"/>
      <c r="CB203" s="4910"/>
      <c r="CC203" s="4910"/>
      <c r="CD203" s="4910"/>
      <c r="CE203" s="4910"/>
      <c r="CF203" s="4910"/>
      <c r="CG203" s="4910"/>
      <c r="CH203" s="4910"/>
      <c r="CI203" s="4910"/>
      <c r="CJ203" s="4910"/>
      <c r="CK203" s="4910"/>
      <c r="CL203" s="4910"/>
      <c r="CM203" s="4910"/>
      <c r="CN203" s="4911"/>
      <c r="CO203" s="4912" t="s">
        <v>1021</v>
      </c>
      <c r="CP203" s="4913"/>
      <c r="CQ203" s="4913"/>
      <c r="CR203" s="4913"/>
      <c r="CS203" s="4913"/>
      <c r="CT203" s="4913"/>
      <c r="CU203" s="4913"/>
      <c r="CV203" s="4913"/>
      <c r="CW203" s="4913"/>
      <c r="CX203" s="4913"/>
      <c r="CY203" s="4913"/>
      <c r="CZ203" s="4913"/>
      <c r="DA203" s="4913"/>
      <c r="DB203" s="4913"/>
      <c r="DC203" s="4913"/>
      <c r="DD203" s="1662"/>
      <c r="DE203" s="4850" t="s">
        <v>710</v>
      </c>
      <c r="DF203" s="4850"/>
      <c r="DG203" s="4850" t="s">
        <v>711</v>
      </c>
      <c r="DH203" s="4850"/>
      <c r="DI203" s="4850" t="s">
        <v>712</v>
      </c>
      <c r="DJ203" s="4850"/>
      <c r="DK203" s="4850" t="s">
        <v>713</v>
      </c>
      <c r="DL203" s="4850"/>
      <c r="DM203" s="4850" t="s">
        <v>714</v>
      </c>
      <c r="DN203" s="4850"/>
      <c r="DO203" s="4850"/>
      <c r="DP203" s="4850" t="s">
        <v>715</v>
      </c>
      <c r="DQ203" s="4850" t="s">
        <v>716</v>
      </c>
      <c r="DR203" s="4850" t="s">
        <v>717</v>
      </c>
      <c r="DS203" s="1662"/>
      <c r="DT203" s="4851" t="s">
        <v>1037</v>
      </c>
      <c r="DU203" s="4851"/>
      <c r="DV203" s="4851"/>
      <c r="DW203" s="2948"/>
      <c r="DX203" s="4851" t="s">
        <v>996</v>
      </c>
      <c r="DY203" s="4851"/>
      <c r="DZ203" s="1671"/>
      <c r="EA203" s="1671"/>
      <c r="EB203" s="1671"/>
      <c r="EC203" s="1671"/>
      <c r="ED203" s="1671"/>
      <c r="EE203" s="1671"/>
      <c r="EF203" s="1671"/>
      <c r="EG203" s="1671"/>
      <c r="EH203" s="1671"/>
      <c r="EI203" s="1671"/>
      <c r="EJ203" s="1671"/>
      <c r="EK203" s="1671"/>
      <c r="EL203" s="1671"/>
      <c r="EM203" s="1671"/>
      <c r="EN203" s="1671"/>
      <c r="EO203" s="1671"/>
      <c r="EP203" s="1671"/>
    </row>
    <row r="204" spans="1:146" s="1710" customFormat="1" ht="24" hidden="1" customHeight="1" outlineLevel="3">
      <c r="A204" s="4938"/>
      <c r="B204" s="4938"/>
      <c r="C204" s="1654"/>
      <c r="D204" s="1672">
        <v>1700</v>
      </c>
      <c r="E204" s="1672" t="s">
        <v>971</v>
      </c>
      <c r="F204" s="1672" t="s">
        <v>970</v>
      </c>
      <c r="G204" s="1673" t="s">
        <v>18</v>
      </c>
      <c r="H204" s="1673" t="s">
        <v>380</v>
      </c>
      <c r="I204" s="1674" t="s">
        <v>705</v>
      </c>
      <c r="J204" s="1675" t="s">
        <v>1006</v>
      </c>
      <c r="K204" s="753" t="s">
        <v>1007</v>
      </c>
      <c r="L204" s="753" t="s">
        <v>1008</v>
      </c>
      <c r="M204" s="4916" t="s">
        <v>1024</v>
      </c>
      <c r="N204" s="4917"/>
      <c r="O204" s="4918"/>
      <c r="P204" s="753" t="s">
        <v>1025</v>
      </c>
      <c r="Q204" s="1655"/>
      <c r="R204" s="1672" t="s">
        <v>2191</v>
      </c>
      <c r="S204" s="1672" t="s">
        <v>1010</v>
      </c>
      <c r="T204" s="1657" t="s">
        <v>1013</v>
      </c>
      <c r="U204" s="1656"/>
      <c r="V204" s="1656"/>
      <c r="W204" s="1677"/>
      <c r="X204" s="2634"/>
      <c r="Y204" s="2634"/>
      <c r="Z204" s="2634"/>
      <c r="AA204" s="2634"/>
      <c r="AB204" s="1678" t="s">
        <v>92</v>
      </c>
      <c r="AC204" s="1678" t="s">
        <v>93</v>
      </c>
      <c r="AD204" s="1678"/>
      <c r="AE204" s="1679"/>
      <c r="AF204" s="1678" t="s">
        <v>257</v>
      </c>
      <c r="AG204" s="1680" t="s">
        <v>18</v>
      </c>
      <c r="AH204" s="2682"/>
      <c r="AI204" s="2682"/>
      <c r="AJ204" s="1680" t="s">
        <v>380</v>
      </c>
      <c r="AK204" s="754" t="s">
        <v>705</v>
      </c>
      <c r="AL204" s="754" t="s">
        <v>706</v>
      </c>
      <c r="AM204" s="1681" t="s">
        <v>1011</v>
      </c>
      <c r="AN204" s="1681" t="s">
        <v>1012</v>
      </c>
      <c r="AO204" s="1655"/>
      <c r="AP204" s="1672" t="s">
        <v>2191</v>
      </c>
      <c r="AQ204" s="1672" t="s">
        <v>2191</v>
      </c>
      <c r="AR204" s="4942"/>
      <c r="AS204" s="4943"/>
      <c r="AT204" s="4943"/>
      <c r="AU204" s="4944"/>
      <c r="AV204" s="2602"/>
      <c r="AW204" s="4882"/>
      <c r="AX204" s="4886"/>
      <c r="AY204" s="4887"/>
      <c r="AZ204" s="4887"/>
      <c r="BA204" s="4887"/>
      <c r="BB204" s="4888"/>
      <c r="BC204" s="4867"/>
      <c r="BD204" s="4867"/>
      <c r="BE204" s="4908"/>
      <c r="BF204" s="4867"/>
      <c r="BG204" s="1655"/>
      <c r="BH204" s="4892"/>
      <c r="BI204" s="4893"/>
      <c r="BJ204" s="4894"/>
      <c r="BK204" s="4892"/>
      <c r="BL204" s="4893"/>
      <c r="BM204" s="4894"/>
      <c r="BN204" s="4882"/>
      <c r="BO204" s="4882"/>
      <c r="BP204" s="4882"/>
      <c r="BQ204" s="1655"/>
      <c r="BR204" s="4898"/>
      <c r="BS204" s="4899"/>
      <c r="BT204" s="4900"/>
      <c r="BU204" s="4904"/>
      <c r="BV204" s="4905"/>
      <c r="BW204" s="4906"/>
      <c r="BX204" s="4908"/>
      <c r="BY204" s="1655"/>
      <c r="BZ204" s="4857" t="s">
        <v>447</v>
      </c>
      <c r="CA204" s="4858"/>
      <c r="CB204" s="4858"/>
      <c r="CC204" s="4859"/>
      <c r="CD204" s="4860" t="s">
        <v>448</v>
      </c>
      <c r="CE204" s="4861"/>
      <c r="CF204" s="4861"/>
      <c r="CG204" s="4862"/>
      <c r="CH204" s="4857" t="s">
        <v>445</v>
      </c>
      <c r="CI204" s="4858"/>
      <c r="CJ204" s="4859"/>
      <c r="CK204" s="4860" t="s">
        <v>446</v>
      </c>
      <c r="CL204" s="4861"/>
      <c r="CM204" s="4862"/>
      <c r="CN204" s="809" t="s">
        <v>449</v>
      </c>
      <c r="CO204" s="4863" t="s">
        <v>452</v>
      </c>
      <c r="CP204" s="4864"/>
      <c r="CQ204" s="4864"/>
      <c r="CR204" s="4865"/>
      <c r="CS204" s="4863" t="s">
        <v>453</v>
      </c>
      <c r="CT204" s="4864"/>
      <c r="CU204" s="4864"/>
      <c r="CV204" s="4865"/>
      <c r="CW204" s="4852" t="s">
        <v>889</v>
      </c>
      <c r="CX204" s="4853"/>
      <c r="CY204" s="4853"/>
      <c r="CZ204" s="4852" t="s">
        <v>890</v>
      </c>
      <c r="DA204" s="4853"/>
      <c r="DB204" s="4853"/>
      <c r="DC204" s="1683" t="s">
        <v>454</v>
      </c>
      <c r="DD204" s="1655"/>
      <c r="DE204" s="4850"/>
      <c r="DF204" s="4850"/>
      <c r="DG204" s="4850"/>
      <c r="DH204" s="4850"/>
      <c r="DI204" s="4850"/>
      <c r="DJ204" s="4850"/>
      <c r="DK204" s="1684" t="s">
        <v>189</v>
      </c>
      <c r="DL204" s="1684" t="s">
        <v>190</v>
      </c>
      <c r="DM204" s="1685" t="s">
        <v>187</v>
      </c>
      <c r="DN204" s="1685" t="s">
        <v>719</v>
      </c>
      <c r="DO204" s="1686" t="s">
        <v>720</v>
      </c>
      <c r="DP204" s="4850"/>
      <c r="DQ204" s="4850"/>
      <c r="DR204" s="4850"/>
      <c r="DS204" s="1655"/>
      <c r="DT204" s="1687" t="s">
        <v>1032</v>
      </c>
      <c r="DU204" s="1687" t="s">
        <v>1033</v>
      </c>
      <c r="DV204" s="1687" t="s">
        <v>1034</v>
      </c>
      <c r="DW204" s="2949"/>
      <c r="DX204" s="1687" t="s">
        <v>986</v>
      </c>
      <c r="DY204" s="1687" t="s">
        <v>987</v>
      </c>
      <c r="DZ204" s="761"/>
      <c r="EA204" s="761"/>
      <c r="EB204" s="761"/>
      <c r="EC204" s="761"/>
      <c r="ED204" s="761"/>
      <c r="EE204" s="761"/>
      <c r="EF204" s="761"/>
      <c r="EG204" s="761"/>
      <c r="EH204" s="761"/>
      <c r="EI204" s="761"/>
      <c r="EJ204" s="761"/>
      <c r="EK204" s="761"/>
      <c r="EL204" s="761"/>
      <c r="EM204" s="761"/>
      <c r="EN204" s="761"/>
      <c r="EO204" s="761"/>
      <c r="EP204" s="761"/>
    </row>
    <row r="205" spans="1:146" s="761" customFormat="1" ht="12.75" hidden="1" customHeight="1" outlineLevel="3">
      <c r="A205" s="4929" t="s">
        <v>1017</v>
      </c>
      <c r="B205" s="4929"/>
      <c r="C205" s="1688"/>
      <c r="D205" s="1689"/>
      <c r="E205" s="1689" t="s">
        <v>1041</v>
      </c>
      <c r="F205" s="1689" t="s">
        <v>1042</v>
      </c>
      <c r="G205" s="1690" t="s">
        <v>1043</v>
      </c>
      <c r="H205" s="1690" t="s">
        <v>1044</v>
      </c>
      <c r="I205" s="1691" t="s">
        <v>1045</v>
      </c>
      <c r="J205" s="1692" t="s">
        <v>1041</v>
      </c>
      <c r="K205" s="1693" t="s">
        <v>1046</v>
      </c>
      <c r="L205" s="1693" t="s">
        <v>440</v>
      </c>
      <c r="M205" s="1693" t="s">
        <v>492</v>
      </c>
      <c r="N205" s="1693" t="s">
        <v>491</v>
      </c>
      <c r="O205" s="1693" t="s">
        <v>707</v>
      </c>
      <c r="P205" s="1693" t="s">
        <v>708</v>
      </c>
      <c r="Q205" s="1694"/>
      <c r="R205" s="1689"/>
      <c r="S205" s="1689" t="s">
        <v>974</v>
      </c>
      <c r="T205" s="1695" t="s">
        <v>972</v>
      </c>
      <c r="U205" s="1695" t="s">
        <v>973</v>
      </c>
      <c r="V205" s="1695" t="s">
        <v>974</v>
      </c>
      <c r="W205" s="1695" t="s">
        <v>975</v>
      </c>
      <c r="X205" s="2635"/>
      <c r="Y205" s="2635"/>
      <c r="Z205" s="2635"/>
      <c r="AA205" s="2635"/>
      <c r="AB205" s="1695" t="s">
        <v>976</v>
      </c>
      <c r="AC205" s="1695" t="s">
        <v>977</v>
      </c>
      <c r="AD205" s="1695"/>
      <c r="AE205" s="1695"/>
      <c r="AF205" s="1695" t="s">
        <v>978</v>
      </c>
      <c r="AG205" s="1690" t="s">
        <v>973</v>
      </c>
      <c r="AH205" s="2683"/>
      <c r="AI205" s="2683"/>
      <c r="AJ205" s="1690" t="s">
        <v>973</v>
      </c>
      <c r="AK205" s="1696" t="s">
        <v>977</v>
      </c>
      <c r="AL205" s="1696" t="s">
        <v>980</v>
      </c>
      <c r="AM205" s="1697" t="s">
        <v>974</v>
      </c>
      <c r="AN205" s="1698" t="s">
        <v>972</v>
      </c>
      <c r="AO205" s="1694"/>
      <c r="AP205" s="1788">
        <v>100</v>
      </c>
      <c r="AQ205" s="1788">
        <v>200</v>
      </c>
      <c r="AR205" s="1693">
        <v>75</v>
      </c>
      <c r="AS205" s="1693">
        <v>150</v>
      </c>
      <c r="AT205" s="1693" t="s">
        <v>981</v>
      </c>
      <c r="AU205" s="1693" t="s">
        <v>981</v>
      </c>
      <c r="AV205" s="2695"/>
      <c r="AW205" s="1696" t="s">
        <v>207</v>
      </c>
      <c r="AX205" s="1699">
        <v>75</v>
      </c>
      <c r="AY205" s="1699">
        <v>100</v>
      </c>
      <c r="AZ205" s="1699">
        <v>120</v>
      </c>
      <c r="BA205" s="1699">
        <v>150</v>
      </c>
      <c r="BB205" s="1699">
        <v>200</v>
      </c>
      <c r="BC205" s="1700" t="s">
        <v>1051</v>
      </c>
      <c r="BD205" s="1701" t="s">
        <v>982</v>
      </c>
      <c r="BE205" s="1702"/>
      <c r="BF205" s="1703" t="s">
        <v>983</v>
      </c>
      <c r="BG205" s="1694"/>
      <c r="BH205" s="1696">
        <v>75</v>
      </c>
      <c r="BI205" s="1696">
        <v>90</v>
      </c>
      <c r="BJ205" s="1696">
        <v>110</v>
      </c>
      <c r="BK205" s="1696">
        <v>75</v>
      </c>
      <c r="BL205" s="1696">
        <v>90</v>
      </c>
      <c r="BM205" s="1696">
        <v>110</v>
      </c>
      <c r="BN205" s="1696" t="s">
        <v>979</v>
      </c>
      <c r="BO205" s="1696" t="s">
        <v>978</v>
      </c>
      <c r="BP205" s="1696" t="s">
        <v>978</v>
      </c>
      <c r="BQ205" s="1694"/>
      <c r="BR205" s="1704" t="s">
        <v>383</v>
      </c>
      <c r="BS205" s="1704" t="s">
        <v>381</v>
      </c>
      <c r="BT205" s="1704" t="s">
        <v>384</v>
      </c>
      <c r="BU205" s="1704" t="s">
        <v>385</v>
      </c>
      <c r="BV205" s="1704" t="s">
        <v>386</v>
      </c>
      <c r="BW205" s="1704" t="s">
        <v>387</v>
      </c>
      <c r="BX205" s="1704" t="s">
        <v>388</v>
      </c>
      <c r="BY205" s="1694"/>
      <c r="BZ205" s="1705" t="s">
        <v>1039</v>
      </c>
      <c r="CA205" s="1705" t="s">
        <v>467</v>
      </c>
      <c r="CB205" s="1705" t="s">
        <v>466</v>
      </c>
      <c r="CC205" s="1705" t="s">
        <v>470</v>
      </c>
      <c r="CD205" s="1705" t="s">
        <v>468</v>
      </c>
      <c r="CE205" s="1705" t="s">
        <v>467</v>
      </c>
      <c r="CF205" s="1705" t="s">
        <v>466</v>
      </c>
      <c r="CG205" s="1705" t="s">
        <v>470</v>
      </c>
      <c r="CH205" s="1705" t="s">
        <v>468</v>
      </c>
      <c r="CI205" s="1705" t="s">
        <v>467</v>
      </c>
      <c r="CJ205" s="1705" t="s">
        <v>466</v>
      </c>
      <c r="CK205" s="1705" t="s">
        <v>468</v>
      </c>
      <c r="CL205" s="1705" t="s">
        <v>467</v>
      </c>
      <c r="CM205" s="1705" t="s">
        <v>466</v>
      </c>
      <c r="CN205" s="1706" t="s">
        <v>469</v>
      </c>
      <c r="CO205" s="1699" t="s">
        <v>476</v>
      </c>
      <c r="CP205" s="1699" t="s">
        <v>477</v>
      </c>
      <c r="CQ205" s="1699" t="s">
        <v>478</v>
      </c>
      <c r="CR205" s="1699" t="s">
        <v>479</v>
      </c>
      <c r="CS205" s="1699" t="s">
        <v>476</v>
      </c>
      <c r="CT205" s="1699" t="s">
        <v>477</v>
      </c>
      <c r="CU205" s="1699" t="s">
        <v>478</v>
      </c>
      <c r="CV205" s="1699" t="s">
        <v>480</v>
      </c>
      <c r="CW205" s="1699" t="s">
        <v>472</v>
      </c>
      <c r="CX205" s="1699" t="s">
        <v>473</v>
      </c>
      <c r="CY205" s="1699" t="s">
        <v>474</v>
      </c>
      <c r="CZ205" s="1699" t="s">
        <v>472</v>
      </c>
      <c r="DA205" s="1699" t="s">
        <v>473</v>
      </c>
      <c r="DB205" s="1699" t="s">
        <v>474</v>
      </c>
      <c r="DC205" s="1699" t="s">
        <v>475</v>
      </c>
      <c r="DD205" s="1694"/>
      <c r="DE205" s="1707" t="s">
        <v>119</v>
      </c>
      <c r="DF205" s="1707" t="s">
        <v>120</v>
      </c>
      <c r="DG205" s="1707" t="s">
        <v>119</v>
      </c>
      <c r="DH205" s="1707" t="s">
        <v>120</v>
      </c>
      <c r="DI205" s="1707" t="s">
        <v>119</v>
      </c>
      <c r="DJ205" s="1707" t="s">
        <v>120</v>
      </c>
      <c r="DK205" s="1707" t="s">
        <v>121</v>
      </c>
      <c r="DL205" s="1707" t="s">
        <v>122</v>
      </c>
      <c r="DM205" s="1708" t="s">
        <v>1035</v>
      </c>
      <c r="DN205" s="1708" t="s">
        <v>1036</v>
      </c>
      <c r="DO205" s="1708" t="s">
        <v>1035</v>
      </c>
      <c r="DP205" s="1707" t="s">
        <v>124</v>
      </c>
      <c r="DQ205" s="1707" t="s">
        <v>125</v>
      </c>
      <c r="DR205" s="1707" t="s">
        <v>126</v>
      </c>
      <c r="DS205" s="1694"/>
      <c r="DT205" s="1702" t="s">
        <v>985</v>
      </c>
      <c r="DU205" s="1702" t="s">
        <v>985</v>
      </c>
      <c r="DV205" s="1709" t="s">
        <v>984</v>
      </c>
      <c r="DW205" s="2953"/>
      <c r="DX205" s="1702" t="s">
        <v>985</v>
      </c>
      <c r="DY205" s="1702" t="s">
        <v>985</v>
      </c>
      <c r="DZ205" s="1710"/>
      <c r="EA205" s="1710"/>
      <c r="EB205" s="1710"/>
      <c r="EC205" s="1710"/>
      <c r="ED205" s="1710"/>
      <c r="EE205" s="1710"/>
      <c r="EF205" s="1710"/>
      <c r="EG205" s="1710"/>
      <c r="EH205" s="1710"/>
      <c r="EI205" s="1710"/>
      <c r="EJ205" s="1710"/>
      <c r="EK205" s="1710"/>
      <c r="EL205" s="1710"/>
      <c r="EM205" s="1710"/>
      <c r="EN205" s="1710"/>
      <c r="EO205" s="1710"/>
      <c r="EP205" s="1710"/>
    </row>
    <row r="206" spans="1:146" s="761" customFormat="1" hidden="1" outlineLevel="3">
      <c r="A206" s="4930" t="s">
        <v>1018</v>
      </c>
      <c r="B206" s="4931"/>
      <c r="C206" s="1735"/>
      <c r="D206" s="1711"/>
      <c r="E206" s="1711" t="s">
        <v>988</v>
      </c>
      <c r="F206" s="1736"/>
      <c r="G206" s="1737"/>
      <c r="H206" s="1737"/>
      <c r="I206" s="1737"/>
      <c r="J206" s="1738"/>
      <c r="K206" s="1713"/>
      <c r="L206" s="1713"/>
      <c r="M206" s="1713"/>
      <c r="N206" s="1713"/>
      <c r="O206" s="1713"/>
      <c r="P206" s="1713"/>
      <c r="Q206" s="1714"/>
      <c r="R206" s="1739"/>
      <c r="S206" s="1739"/>
      <c r="T206" s="1739"/>
      <c r="U206" s="1739"/>
      <c r="V206" s="1739"/>
      <c r="W206" s="1739"/>
      <c r="X206" s="1753"/>
      <c r="Y206" s="1753"/>
      <c r="Z206" s="1753"/>
      <c r="AA206" s="1753"/>
      <c r="AB206" s="1739"/>
      <c r="AC206" s="1739"/>
      <c r="AD206" s="1739"/>
      <c r="AE206" s="1739"/>
      <c r="AF206" s="1739"/>
      <c r="AG206" s="1740"/>
      <c r="AH206" s="2687"/>
      <c r="AI206" s="2687"/>
      <c r="AJ206" s="1740"/>
      <c r="AK206" s="1713"/>
      <c r="AL206" s="1713"/>
      <c r="AM206" s="1715"/>
      <c r="AN206" s="1716"/>
      <c r="AO206" s="1714"/>
      <c r="AP206" s="1739"/>
      <c r="AQ206" s="1739"/>
      <c r="AR206" s="1717"/>
      <c r="AS206" s="1717"/>
      <c r="AT206" s="1717"/>
      <c r="AU206" s="1717"/>
      <c r="AV206" s="2697"/>
      <c r="AW206" s="1713"/>
      <c r="AX206" s="1716"/>
      <c r="AY206" s="1716"/>
      <c r="AZ206" s="1716"/>
      <c r="BA206" s="1716"/>
      <c r="BB206" s="1716"/>
      <c r="BC206" s="1739"/>
      <c r="BD206" s="1739"/>
      <c r="BE206" s="1713"/>
      <c r="BF206" s="1713"/>
      <c r="BG206" s="1714"/>
      <c r="BH206" s="1713"/>
      <c r="BI206" s="1713"/>
      <c r="BJ206" s="1713"/>
      <c r="BK206" s="1717"/>
      <c r="BL206" s="1713"/>
      <c r="BM206" s="1713"/>
      <c r="BN206" s="1713"/>
      <c r="BO206" s="1713"/>
      <c r="BP206" s="1713"/>
      <c r="BQ206" s="1714"/>
      <c r="BR206" s="1717"/>
      <c r="BS206" s="1717"/>
      <c r="BT206" s="1717"/>
      <c r="BU206" s="1717"/>
      <c r="BV206" s="1717"/>
      <c r="BW206" s="1717"/>
      <c r="BX206" s="1717"/>
      <c r="BY206" s="1714"/>
      <c r="BZ206" s="1713"/>
      <c r="CA206" s="1713"/>
      <c r="CB206" s="1713"/>
      <c r="CC206" s="1713"/>
      <c r="CD206" s="1713"/>
      <c r="CE206" s="1713"/>
      <c r="CF206" s="1713"/>
      <c r="CG206" s="1713"/>
      <c r="CH206" s="1713"/>
      <c r="CI206" s="1713"/>
      <c r="CJ206" s="1713"/>
      <c r="CK206" s="1713"/>
      <c r="CL206" s="1713"/>
      <c r="CM206" s="1713"/>
      <c r="CN206" s="1713"/>
      <c r="CO206" s="1713"/>
      <c r="CP206" s="1713"/>
      <c r="CQ206" s="1713"/>
      <c r="CR206" s="1713"/>
      <c r="CS206" s="1713"/>
      <c r="CT206" s="1713"/>
      <c r="CU206" s="1713"/>
      <c r="CV206" s="1713"/>
      <c r="CW206" s="1713"/>
      <c r="CX206" s="1713"/>
      <c r="CY206" s="1713"/>
      <c r="CZ206" s="1713"/>
      <c r="DA206" s="1713"/>
      <c r="DB206" s="1713"/>
      <c r="DC206" s="1713"/>
      <c r="DD206" s="1714"/>
      <c r="DE206" s="1713"/>
      <c r="DF206" s="1713"/>
      <c r="DG206" s="1713"/>
      <c r="DH206" s="1713"/>
      <c r="DI206" s="1713"/>
      <c r="DJ206" s="1713"/>
      <c r="DK206" s="1713"/>
      <c r="DL206" s="1713"/>
      <c r="DM206" s="1713"/>
      <c r="DN206" s="1713"/>
      <c r="DO206" s="1713"/>
      <c r="DP206" s="1713"/>
      <c r="DQ206" s="1713"/>
      <c r="DR206" s="1713"/>
      <c r="DS206" s="1714"/>
      <c r="DT206" s="1713"/>
      <c r="DU206" s="1713"/>
      <c r="DV206" s="1713"/>
      <c r="DW206" s="2727"/>
      <c r="DX206" s="1713"/>
      <c r="DY206" s="1713"/>
    </row>
    <row r="207" spans="1:146" s="761" customFormat="1" ht="15.75" hidden="1" outlineLevel="3">
      <c r="A207" s="5096" t="s">
        <v>910</v>
      </c>
      <c r="B207" s="5097"/>
      <c r="C207" s="1735"/>
      <c r="D207" s="1747"/>
      <c r="E207" s="1747"/>
      <c r="F207" s="1748"/>
      <c r="G207" s="1749"/>
      <c r="H207" s="1749"/>
      <c r="I207" s="1749"/>
      <c r="J207" s="1750"/>
      <c r="K207" s="1751"/>
      <c r="L207" s="1751"/>
      <c r="M207" s="788" t="e">
        <f>O29/M191-1</f>
        <v>#DIV/0!</v>
      </c>
      <c r="N207" s="1751"/>
      <c r="O207" s="1751"/>
      <c r="P207" s="788" t="e">
        <f>P29/P191-1</f>
        <v>#DIV/0!</v>
      </c>
      <c r="Q207" s="1714"/>
      <c r="R207" s="1753"/>
      <c r="S207" s="1753"/>
      <c r="T207" s="1753"/>
      <c r="U207" s="1753"/>
      <c r="V207" s="1753"/>
      <c r="W207" s="1753"/>
      <c r="X207" s="1753"/>
      <c r="Y207" s="1753"/>
      <c r="Z207" s="1753"/>
      <c r="AA207" s="1753"/>
      <c r="AB207" s="1753"/>
      <c r="AC207" s="1753"/>
      <c r="AD207" s="1753"/>
      <c r="AE207" s="1753"/>
      <c r="AF207" s="1753"/>
      <c r="AG207" s="1749"/>
      <c r="AH207" s="2688"/>
      <c r="AI207" s="2688"/>
      <c r="AJ207" s="1749"/>
      <c r="AK207" s="1751"/>
      <c r="AL207" s="1751"/>
      <c r="AM207" s="1752"/>
      <c r="AN207" s="1754"/>
      <c r="AO207" s="1714"/>
      <c r="AP207" s="1753"/>
      <c r="AQ207" s="1753"/>
      <c r="AR207" s="1755"/>
      <c r="AS207" s="1755"/>
      <c r="AT207" s="1755"/>
      <c r="AU207" s="1755"/>
      <c r="AV207" s="2697"/>
      <c r="AW207" s="1751"/>
      <c r="AX207" s="1754"/>
      <c r="AY207" s="1754"/>
      <c r="AZ207" s="1754"/>
      <c r="BA207" s="1754"/>
      <c r="BB207" s="1754"/>
      <c r="BC207" s="1753"/>
      <c r="BD207" s="1753"/>
      <c r="BE207" s="1751"/>
      <c r="BF207" s="1751"/>
      <c r="BG207" s="1714"/>
      <c r="BH207" s="1751"/>
      <c r="BI207" s="1751"/>
      <c r="BJ207" s="1751"/>
      <c r="BK207" s="1755"/>
      <c r="BL207" s="1751"/>
      <c r="BM207" s="1751"/>
      <c r="BN207" s="1751"/>
      <c r="BO207" s="1751"/>
      <c r="BP207" s="1751"/>
      <c r="BQ207" s="1714"/>
      <c r="BR207" s="1795"/>
      <c r="BS207" s="1795"/>
      <c r="BT207" s="1795"/>
      <c r="BU207" s="1755"/>
      <c r="BV207" s="1755"/>
      <c r="BW207" s="1755"/>
      <c r="BX207" s="1755"/>
      <c r="BY207" s="1714"/>
      <c r="BZ207" s="1751"/>
      <c r="CA207" s="1751"/>
      <c r="CB207" s="1751"/>
      <c r="CC207" s="1751"/>
      <c r="CD207" s="1751"/>
      <c r="CE207" s="1751"/>
      <c r="CF207" s="1751"/>
      <c r="CG207" s="1751"/>
      <c r="CH207" s="1751"/>
      <c r="CI207" s="1751"/>
      <c r="CJ207" s="1751"/>
      <c r="CK207" s="1751"/>
      <c r="CL207" s="1751"/>
      <c r="CM207" s="1751"/>
      <c r="CN207" s="1751"/>
      <c r="CO207" s="1751"/>
      <c r="CP207" s="1751"/>
      <c r="CQ207" s="1751"/>
      <c r="CR207" s="1751"/>
      <c r="CS207" s="1751"/>
      <c r="CT207" s="1751"/>
      <c r="CU207" s="1751"/>
      <c r="CV207" s="1751"/>
      <c r="CW207" s="1751"/>
      <c r="CX207" s="1751"/>
      <c r="CY207" s="1751"/>
      <c r="CZ207" s="1751"/>
      <c r="DA207" s="1751"/>
      <c r="DB207" s="1751"/>
      <c r="DC207" s="1751"/>
      <c r="DD207" s="1714"/>
      <c r="DE207" s="1751"/>
      <c r="DF207" s="1751"/>
      <c r="DG207" s="1751"/>
      <c r="DH207" s="1751"/>
      <c r="DI207" s="1751"/>
      <c r="DJ207" s="1751"/>
      <c r="DK207" s="1751"/>
      <c r="DL207" s="1751"/>
      <c r="DM207" s="1751"/>
      <c r="DN207" s="1751"/>
      <c r="DO207" s="1751"/>
      <c r="DP207" s="1751"/>
      <c r="DQ207" s="1751"/>
      <c r="DR207" s="1751"/>
      <c r="DS207" s="1714"/>
      <c r="DT207" s="1751"/>
      <c r="DU207" s="1751"/>
      <c r="DV207" s="1751"/>
      <c r="DW207" s="2727"/>
      <c r="DX207" s="1751"/>
      <c r="DY207" s="1751"/>
    </row>
    <row r="208" spans="1:146" s="761" customFormat="1" ht="15.75" hidden="1" customHeight="1" outlineLevel="3">
      <c r="A208" s="1774" t="s">
        <v>206</v>
      </c>
      <c r="B208" s="1775" t="s">
        <v>391</v>
      </c>
      <c r="C208" s="1745"/>
      <c r="D208" s="796"/>
      <c r="E208" s="796">
        <f>E31/E193-1</f>
        <v>8.6956521739130377E-2</v>
      </c>
      <c r="F208" s="783"/>
      <c r="G208" s="784">
        <f>G31/G193-1</f>
        <v>-1.6103059581319412E-3</v>
      </c>
      <c r="H208" s="784"/>
      <c r="I208" s="786"/>
      <c r="J208" s="1776">
        <f>J31/J193-1</f>
        <v>8.6956521739130377E-2</v>
      </c>
      <c r="K208" s="788">
        <f>K31/K193-1</f>
        <v>9.565217391304337E-2</v>
      </c>
      <c r="L208" s="788">
        <f>L31/L193-1</f>
        <v>-3.1993437243642231E-2</v>
      </c>
      <c r="M208" s="788"/>
      <c r="N208" s="788"/>
      <c r="O208" s="788"/>
      <c r="P208" s="788"/>
      <c r="Q208" s="799"/>
      <c r="R208" s="783"/>
      <c r="S208" s="783"/>
      <c r="T208" s="796">
        <f>T31/T193-1</f>
        <v>0.10317975340687879</v>
      </c>
      <c r="U208" s="783">
        <f>U31/U193-1</f>
        <v>0.15942028985507273</v>
      </c>
      <c r="V208" s="783">
        <f>V31/V193-1</f>
        <v>0.15942028985507273</v>
      </c>
      <c r="W208" s="783">
        <f>W31/W193-1</f>
        <v>0.1253196930946292</v>
      </c>
      <c r="X208" s="2637"/>
      <c r="Y208" s="2637"/>
      <c r="Z208" s="2637"/>
      <c r="AA208" s="2637"/>
      <c r="AB208" s="783"/>
      <c r="AC208" s="783">
        <f>AC31/AC193-1</f>
        <v>-0.16666666666666663</v>
      </c>
      <c r="AD208" s="783"/>
      <c r="AE208" s="797"/>
      <c r="AF208" s="783"/>
      <c r="AG208" s="784">
        <f>AG31/AG193-1</f>
        <v>0.10144927536231907</v>
      </c>
      <c r="AH208" s="2689"/>
      <c r="AI208" s="2689"/>
      <c r="AJ208" s="784"/>
      <c r="AK208" s="793"/>
      <c r="AL208" s="793"/>
      <c r="AM208" s="785"/>
      <c r="AN208" s="785">
        <f>AN31/AN193-1</f>
        <v>-9.1499026606099765E-2</v>
      </c>
      <c r="AO208" s="799"/>
      <c r="AP208" s="783"/>
      <c r="AQ208" s="783"/>
      <c r="AR208" s="783">
        <f>AR31/AR193-1</f>
        <v>0.13712374581939812</v>
      </c>
      <c r="AS208" s="783">
        <f>AS31/AS193-1</f>
        <v>2.0793950850661602E-2</v>
      </c>
      <c r="AT208" s="783">
        <f>AT31/AT193-1</f>
        <v>-0.13043478260869557</v>
      </c>
      <c r="AU208" s="783">
        <f>AU31/AU193-1</f>
        <v>0.4492753623188408</v>
      </c>
      <c r="AV208" s="2698"/>
      <c r="AW208" s="793"/>
      <c r="AX208" s="785">
        <f>AX31/AX193-1</f>
        <v>-6.3545150501672087E-2</v>
      </c>
      <c r="AY208" s="785"/>
      <c r="AZ208" s="785"/>
      <c r="BA208" s="785">
        <f>BA31/BA193-1</f>
        <v>-5.4820415879016982E-2</v>
      </c>
      <c r="BB208" s="785"/>
      <c r="BC208" s="783">
        <f>BC31/BC193-1</f>
        <v>1.1404682274247495</v>
      </c>
      <c r="BD208" s="783">
        <f>BD31/BD193-1</f>
        <v>-0.32173913043478264</v>
      </c>
      <c r="BE208" s="787">
        <f>BE31/BE193-1</f>
        <v>-4.3478260869565188E-2</v>
      </c>
      <c r="BF208" s="788">
        <f>BF31/BF193-1</f>
        <v>2.0793950850661602E-2</v>
      </c>
      <c r="BG208" s="799"/>
      <c r="BH208" s="793">
        <f t="shared" ref="BH208:BM208" si="183">BH31/BH193-1</f>
        <v>8.6956521739130377E-2</v>
      </c>
      <c r="BI208" s="793">
        <f t="shared" si="183"/>
        <v>0.1801242236024847</v>
      </c>
      <c r="BJ208" s="793">
        <f t="shared" si="183"/>
        <v>0.30434782608695676</v>
      </c>
      <c r="BK208" s="793">
        <f t="shared" si="183"/>
        <v>3.3444816053513904E-3</v>
      </c>
      <c r="BL208" s="793">
        <f t="shared" si="183"/>
        <v>0.21739130434782616</v>
      </c>
      <c r="BM208" s="793">
        <f t="shared" si="183"/>
        <v>0.27536231884057982</v>
      </c>
      <c r="BN208" s="793"/>
      <c r="BO208" s="793"/>
      <c r="BP208" s="793"/>
      <c r="BQ208" s="799"/>
      <c r="BR208" s="798">
        <f>BR31/BR193-1</f>
        <v>-0.20948616600790504</v>
      </c>
      <c r="BS208" s="791">
        <f>BS31/BS193-1</f>
        <v>-0.15527950310559002</v>
      </c>
      <c r="BT208" s="791">
        <f>BT31/BT193-1</f>
        <v>0.1515863689776733</v>
      </c>
      <c r="BU208" s="787"/>
      <c r="BV208" s="787"/>
      <c r="BW208" s="787"/>
      <c r="BX208" s="787"/>
      <c r="BY208" s="799"/>
      <c r="BZ208" s="792">
        <f t="shared" ref="BZ208:CG208" si="184">BZ31/BZ193-1</f>
        <v>0.21739130434782616</v>
      </c>
      <c r="CA208" s="792">
        <f t="shared" si="184"/>
        <v>0.18577075098814233</v>
      </c>
      <c r="CB208" s="792">
        <f t="shared" si="184"/>
        <v>0.15942028985507251</v>
      </c>
      <c r="CC208" s="792">
        <f t="shared" si="184"/>
        <v>0.13712374581939812</v>
      </c>
      <c r="CD208" s="792">
        <f t="shared" si="184"/>
        <v>1.0553359683794468</v>
      </c>
      <c r="CE208" s="792">
        <f t="shared" si="184"/>
        <v>0.95652173913043481</v>
      </c>
      <c r="CF208" s="792">
        <f t="shared" si="184"/>
        <v>0.93979933110367919</v>
      </c>
      <c r="CG208" s="792">
        <f t="shared" si="184"/>
        <v>0.86335403726708093</v>
      </c>
      <c r="CH208" s="792"/>
      <c r="CI208" s="792"/>
      <c r="CJ208" s="792"/>
      <c r="CK208" s="800">
        <f>CK31/CK193-1</f>
        <v>-1</v>
      </c>
      <c r="CL208" s="792">
        <f>CL31/CL193-1</f>
        <v>-1</v>
      </c>
      <c r="CM208" s="792">
        <f>CM31/CM193-1</f>
        <v>-1</v>
      </c>
      <c r="CN208" s="792"/>
      <c r="CO208" s="785">
        <f t="shared" ref="CO208:CV208" si="185">CO31/CO193-1</f>
        <v>-1</v>
      </c>
      <c r="CP208" s="785">
        <f t="shared" si="185"/>
        <v>-1</v>
      </c>
      <c r="CQ208" s="785">
        <f t="shared" si="185"/>
        <v>-1</v>
      </c>
      <c r="CR208" s="785">
        <f t="shared" si="185"/>
        <v>-1</v>
      </c>
      <c r="CS208" s="785">
        <f t="shared" si="185"/>
        <v>-0.22705314009661837</v>
      </c>
      <c r="CT208" s="785">
        <f t="shared" si="185"/>
        <v>-0.17620137299771166</v>
      </c>
      <c r="CU208" s="785">
        <f t="shared" si="185"/>
        <v>-0.25465838509316774</v>
      </c>
      <c r="CV208" s="785">
        <f t="shared" si="185"/>
        <v>-0.20948616600790515</v>
      </c>
      <c r="CW208" s="785"/>
      <c r="CX208" s="785"/>
      <c r="CY208" s="785"/>
      <c r="CZ208" s="785">
        <f>CZ31/CZ193-1</f>
        <v>-0.17620137299771166</v>
      </c>
      <c r="DA208" s="785">
        <f>DA31/DA193-1</f>
        <v>-0.25465838509316774</v>
      </c>
      <c r="DB208" s="785">
        <f>DB31/DB193-1</f>
        <v>-0.20948616600790515</v>
      </c>
      <c r="DC208" s="785"/>
      <c r="DD208" s="799"/>
      <c r="DE208" s="801">
        <f>DE31/DE193-1</f>
        <v>-1</v>
      </c>
      <c r="DF208" s="789">
        <f>DF31/DF193-1</f>
        <v>-0.31818181818181823</v>
      </c>
      <c r="DG208" s="789">
        <f>DG31/DG193-1</f>
        <v>-0.31677018633540377</v>
      </c>
      <c r="DH208" s="789">
        <f>DH31/DH193-1</f>
        <v>-0.31123547137322427</v>
      </c>
      <c r="DI208" s="789"/>
      <c r="DJ208" s="789"/>
      <c r="DK208" s="789">
        <f>DK31/DK193-1</f>
        <v>-1</v>
      </c>
      <c r="DL208" s="789">
        <f>DL31/DL193-1</f>
        <v>-1</v>
      </c>
      <c r="DM208" s="789"/>
      <c r="DN208" s="789"/>
      <c r="DO208" s="789"/>
      <c r="DP208" s="789">
        <f>DP31/DP193-1</f>
        <v>-1</v>
      </c>
      <c r="DQ208" s="789">
        <f>DQ31/DQ193-1</f>
        <v>-1</v>
      </c>
      <c r="DR208" s="789">
        <f>DR31/DR193-1</f>
        <v>-1</v>
      </c>
      <c r="DS208" s="802"/>
      <c r="DT208" s="787">
        <f>DT31/DT193-1</f>
        <v>0.27140974967061937</v>
      </c>
      <c r="DU208" s="787"/>
      <c r="DV208" s="787"/>
      <c r="DW208" s="2954"/>
      <c r="DX208" s="787"/>
      <c r="DY208" s="787"/>
      <c r="DZ208" s="790"/>
      <c r="EA208" s="790"/>
      <c r="EB208" s="790"/>
      <c r="EC208" s="790"/>
      <c r="ED208" s="790"/>
      <c r="EE208" s="790"/>
      <c r="EF208" s="790"/>
      <c r="EG208" s="790"/>
      <c r="EH208" s="790"/>
      <c r="EI208" s="790"/>
      <c r="EJ208" s="790"/>
      <c r="EK208" s="790"/>
      <c r="EL208" s="790"/>
      <c r="EM208" s="790"/>
      <c r="EN208" s="790"/>
      <c r="EO208" s="790"/>
      <c r="EP208" s="790"/>
    </row>
    <row r="209" spans="1:146" s="761" customFormat="1" ht="12.75" hidden="1" customHeight="1" outlineLevel="3">
      <c r="A209" s="4932" t="s">
        <v>1019</v>
      </c>
      <c r="B209" s="1775" t="s">
        <v>703</v>
      </c>
      <c r="C209" s="1745"/>
      <c r="D209" s="783"/>
      <c r="E209" s="783">
        <f>E34/E194-1</f>
        <v>0.2550200803212852</v>
      </c>
      <c r="F209" s="783">
        <f>F34/F194-1</f>
        <v>-1</v>
      </c>
      <c r="G209" s="784">
        <f>G34/G194-1</f>
        <v>0.19047619047619047</v>
      </c>
      <c r="H209" s="784">
        <f>H34/H194-1</f>
        <v>0.23873873873873874</v>
      </c>
      <c r="I209" s="1777"/>
      <c r="J209" s="1776">
        <f>J34/J194-1</f>
        <v>0.2550200803212852</v>
      </c>
      <c r="K209" s="788">
        <f>K34/K194-1</f>
        <v>0.25621890547263693</v>
      </c>
      <c r="L209" s="788">
        <f>L34/L194-1</f>
        <v>0.13095238095238093</v>
      </c>
      <c r="M209" s="788"/>
      <c r="N209" s="788"/>
      <c r="O209" s="788"/>
      <c r="P209" s="788"/>
      <c r="Q209" s="799"/>
      <c r="R209" s="783"/>
      <c r="S209" s="783">
        <f>S34/S194-1</f>
        <v>2.564102564102555E-2</v>
      </c>
      <c r="T209" s="783">
        <f>T34/T194-1</f>
        <v>2.3391812865497075E-2</v>
      </c>
      <c r="U209" s="783">
        <f>U34/U194-1</f>
        <v>2.564102564102555E-2</v>
      </c>
      <c r="V209" s="783">
        <f>V34/V194-1</f>
        <v>2.564102564102555E-2</v>
      </c>
      <c r="W209" s="783">
        <f>W34/W194-1</f>
        <v>5.7471264367816577E-3</v>
      </c>
      <c r="X209" s="2637"/>
      <c r="Y209" s="2637"/>
      <c r="Z209" s="2637"/>
      <c r="AA209" s="2637"/>
      <c r="AB209" s="783">
        <f>AB34/AB194-1</f>
        <v>-2.777777777777779E-2</v>
      </c>
      <c r="AC209" s="797"/>
      <c r="AD209" s="797"/>
      <c r="AE209" s="797"/>
      <c r="AF209" s="797"/>
      <c r="AG209" s="784">
        <f>AG34/AG194-1</f>
        <v>-3.8461538461538436E-2</v>
      </c>
      <c r="AH209" s="2689"/>
      <c r="AI209" s="2689"/>
      <c r="AJ209" s="784">
        <f>AJ34/AJ194-1</f>
        <v>-0.1071428571428571</v>
      </c>
      <c r="AK209" s="793"/>
      <c r="AL209" s="793"/>
      <c r="AM209" s="785">
        <f>AM34/AM194-1</f>
        <v>2.564102564102555E-2</v>
      </c>
      <c r="AN209" s="785">
        <f>AN34/AN194-1</f>
        <v>2.3391812865497075E-2</v>
      </c>
      <c r="AO209" s="799"/>
      <c r="AP209" s="783"/>
      <c r="AQ209" s="783"/>
      <c r="AR209" s="783">
        <f>AR34/AR194-1</f>
        <v>6.0606060606060552E-2</v>
      </c>
      <c r="AS209" s="783">
        <f>AS34/AS194-1</f>
        <v>-5.9829059829059839E-2</v>
      </c>
      <c r="AT209" s="783">
        <f>AT34/AT194-1</f>
        <v>-0.22222222222222221</v>
      </c>
      <c r="AU209" s="783">
        <f>AU34/AU194-1</f>
        <v>0.38888888888888884</v>
      </c>
      <c r="AV209" s="2698"/>
      <c r="AW209" s="793"/>
      <c r="AX209" s="785">
        <f>AX34/AX194-1</f>
        <v>6.0606060606060552E-2</v>
      </c>
      <c r="AY209" s="785"/>
      <c r="AZ209" s="785"/>
      <c r="BA209" s="785">
        <f>BA34/BA194-1</f>
        <v>-5.9829059829059839E-2</v>
      </c>
      <c r="BB209" s="785"/>
      <c r="BC209" s="783">
        <f>BC34/BC194-1</f>
        <v>1.0512820512820511</v>
      </c>
      <c r="BD209" s="783">
        <f>BD34/BD194-1</f>
        <v>-0.11458333333333337</v>
      </c>
      <c r="BE209" s="787">
        <f>BE34/BE194-1</f>
        <v>-0.11458333333333337</v>
      </c>
      <c r="BF209" s="788">
        <f>BF34/BF194-1</f>
        <v>-5.9829059829059839E-2</v>
      </c>
      <c r="BG209" s="799"/>
      <c r="BH209" s="793">
        <f t="shared" ref="BH209:BM209" si="186">BH34/BH194-1</f>
        <v>-4.7619047619047672E-2</v>
      </c>
      <c r="BI209" s="793">
        <f t="shared" si="186"/>
        <v>0.12318840579710155</v>
      </c>
      <c r="BJ209" s="793">
        <f t="shared" si="186"/>
        <v>0.19565217391304346</v>
      </c>
      <c r="BK209" s="793">
        <f t="shared" si="186"/>
        <v>-9.4202898550724612E-2</v>
      </c>
      <c r="BL209" s="793">
        <f t="shared" si="186"/>
        <v>0.10000000000000009</v>
      </c>
      <c r="BM209" s="793">
        <f t="shared" si="186"/>
        <v>0.16666666666666674</v>
      </c>
      <c r="BN209" s="793"/>
      <c r="BO209" s="793"/>
      <c r="BP209" s="793"/>
      <c r="BQ209" s="799"/>
      <c r="BR209" s="791">
        <f t="shared" ref="BR209:BX209" si="187">BR34/BR194-1</f>
        <v>-9.0909090909090939E-2</v>
      </c>
      <c r="BS209" s="791">
        <f t="shared" si="187"/>
        <v>-4.2553191489361653E-2</v>
      </c>
      <c r="BT209" s="791">
        <f t="shared" si="187"/>
        <v>0.30000000000000004</v>
      </c>
      <c r="BU209" s="791">
        <f t="shared" si="187"/>
        <v>0.66666666666666674</v>
      </c>
      <c r="BV209" s="791">
        <f t="shared" si="187"/>
        <v>0.75</v>
      </c>
      <c r="BW209" s="791">
        <f t="shared" si="187"/>
        <v>1.1212121212121211</v>
      </c>
      <c r="BX209" s="791">
        <f t="shared" si="187"/>
        <v>-0.14492753623188404</v>
      </c>
      <c r="BY209" s="799"/>
      <c r="BZ209" s="792">
        <f>BZ34/BZ194-1</f>
        <v>0.47435897435897445</v>
      </c>
      <c r="CA209" s="792">
        <f>CA34/CA194-1</f>
        <v>0.4285714285714286</v>
      </c>
      <c r="CB209" s="792">
        <f>CB34/CB194-1</f>
        <v>0.38888888888888884</v>
      </c>
      <c r="CC209" s="792">
        <f>CC34/CC194-1</f>
        <v>0.40625</v>
      </c>
      <c r="CD209" s="792"/>
      <c r="CE209" s="792"/>
      <c r="CF209" s="792"/>
      <c r="CG209" s="792"/>
      <c r="CH209" s="792">
        <f t="shared" ref="CH209:CM209" si="188">CH34/CH194-1</f>
        <v>0.38888888888888884</v>
      </c>
      <c r="CI209" s="792">
        <f t="shared" si="188"/>
        <v>0.40625</v>
      </c>
      <c r="CJ209" s="792">
        <f t="shared" si="188"/>
        <v>0.37254901960784315</v>
      </c>
      <c r="CK209" s="792">
        <f t="shared" si="188"/>
        <v>0.38888888888888884</v>
      </c>
      <c r="CL209" s="792">
        <f t="shared" si="188"/>
        <v>0.40625</v>
      </c>
      <c r="CM209" s="792">
        <f t="shared" si="188"/>
        <v>0.37254901960784315</v>
      </c>
      <c r="CN209" s="792"/>
      <c r="CO209" s="785">
        <f>CO34/CO194-1</f>
        <v>0.28364389233954457</v>
      </c>
      <c r="CP209" s="785">
        <f>CP34/CP194-1</f>
        <v>0.30434782608695654</v>
      </c>
      <c r="CQ209" s="785">
        <f>CQ34/CQ194-1</f>
        <v>0.23188405797101441</v>
      </c>
      <c r="CR209" s="785">
        <f>CR34/CR194-1</f>
        <v>0.21739130434782616</v>
      </c>
      <c r="CS209" s="785"/>
      <c r="CT209" s="785"/>
      <c r="CU209" s="785"/>
      <c r="CV209" s="785"/>
      <c r="CW209" s="785">
        <f t="shared" ref="CW209:DB209" si="189">CW34/CW194-1</f>
        <v>0.18055555555555558</v>
      </c>
      <c r="CX209" s="785">
        <f t="shared" si="189"/>
        <v>0.16666666666666674</v>
      </c>
      <c r="CY209" s="785">
        <f t="shared" si="189"/>
        <v>0.14197530864197527</v>
      </c>
      <c r="CZ209" s="785">
        <f t="shared" si="189"/>
        <v>0.18055555555555558</v>
      </c>
      <c r="DA209" s="785">
        <f t="shared" si="189"/>
        <v>0.16666666666666674</v>
      </c>
      <c r="DB209" s="785">
        <f t="shared" si="189"/>
        <v>0.14197530864197527</v>
      </c>
      <c r="DC209" s="785"/>
      <c r="DD209" s="799"/>
      <c r="DE209" s="789">
        <f t="shared" ref="DE209:DR209" si="190">DE34/DE194-1</f>
        <v>-0.3524514338575393</v>
      </c>
      <c r="DF209" s="789">
        <f t="shared" si="190"/>
        <v>-0.34583167132030301</v>
      </c>
      <c r="DG209" s="789">
        <f t="shared" si="190"/>
        <v>-0.25585284280936449</v>
      </c>
      <c r="DH209" s="789">
        <f t="shared" si="190"/>
        <v>-0.2556521739130434</v>
      </c>
      <c r="DI209" s="789">
        <f t="shared" si="190"/>
        <v>-0.20070267896354854</v>
      </c>
      <c r="DJ209" s="789">
        <f t="shared" si="190"/>
        <v>-0.16857360793287557</v>
      </c>
      <c r="DK209" s="789">
        <f t="shared" si="190"/>
        <v>0.14868491680085882</v>
      </c>
      <c r="DL209" s="789">
        <f t="shared" si="190"/>
        <v>0.10212335692618812</v>
      </c>
      <c r="DM209" s="789">
        <f t="shared" si="190"/>
        <v>0.15750071983875613</v>
      </c>
      <c r="DN209" s="789">
        <f t="shared" si="190"/>
        <v>0.15750071983875613</v>
      </c>
      <c r="DO209" s="789">
        <f t="shared" si="190"/>
        <v>0.15750071983875613</v>
      </c>
      <c r="DP209" s="789">
        <f t="shared" si="190"/>
        <v>-5.3140096618357502E-2</v>
      </c>
      <c r="DQ209" s="789">
        <f t="shared" si="190"/>
        <v>-1.3377926421404562E-2</v>
      </c>
      <c r="DR209" s="789">
        <f t="shared" si="190"/>
        <v>-0.11569638909358881</v>
      </c>
      <c r="DS209" s="802"/>
      <c r="DT209" s="787">
        <f>DT34/DT194-1</f>
        <v>0.30434782608695654</v>
      </c>
      <c r="DU209" s="787"/>
      <c r="DV209" s="787"/>
      <c r="DW209" s="2954"/>
      <c r="DX209" s="787"/>
      <c r="DY209" s="787">
        <f>DY34/DY194-1</f>
        <v>0.53303218520609819</v>
      </c>
      <c r="DZ209" s="790"/>
      <c r="EA209" s="790"/>
      <c r="EB209" s="790"/>
      <c r="EC209" s="790"/>
      <c r="ED209" s="790"/>
      <c r="EE209" s="790"/>
      <c r="EF209" s="790"/>
      <c r="EG209" s="790"/>
      <c r="EH209" s="790"/>
      <c r="EI209" s="790"/>
      <c r="EJ209" s="790"/>
      <c r="EK209" s="790"/>
      <c r="EL209" s="790"/>
      <c r="EM209" s="790"/>
      <c r="EN209" s="790"/>
      <c r="EO209" s="790"/>
      <c r="EP209" s="790"/>
    </row>
    <row r="210" spans="1:146" s="761" customFormat="1" ht="12.75" hidden="1" customHeight="1" outlineLevel="3">
      <c r="A210" s="4933"/>
      <c r="B210" s="1778" t="s">
        <v>718</v>
      </c>
      <c r="C210" s="1745"/>
      <c r="D210" s="783"/>
      <c r="E210" s="783" t="e">
        <f>#REF!/E195-1</f>
        <v>#REF!</v>
      </c>
      <c r="F210" s="783" t="e">
        <f>#REF!/F195-1</f>
        <v>#REF!</v>
      </c>
      <c r="G210" s="784" t="e">
        <f>#REF!/G195-1</f>
        <v>#REF!</v>
      </c>
      <c r="H210" s="784" t="e">
        <f>#REF!/H195-1</f>
        <v>#REF!</v>
      </c>
      <c r="I210" s="786"/>
      <c r="J210" s="1776" t="e">
        <f>#REF!/J195-1</f>
        <v>#REF!</v>
      </c>
      <c r="K210" s="788" t="e">
        <f>#REF!/K195-1</f>
        <v>#REF!</v>
      </c>
      <c r="L210" s="788" t="e">
        <f>#REF!/L195-1</f>
        <v>#REF!</v>
      </c>
      <c r="M210" s="788"/>
      <c r="N210" s="788"/>
      <c r="O210" s="788"/>
      <c r="P210" s="788"/>
      <c r="Q210" s="799"/>
      <c r="R210" s="783"/>
      <c r="S210" s="783" t="e">
        <f>#REF!/S195-1</f>
        <v>#REF!</v>
      </c>
      <c r="T210" s="783" t="e">
        <f>#REF!/T195-1</f>
        <v>#REF!</v>
      </c>
      <c r="U210" s="783" t="e">
        <f>#REF!/U195-1</f>
        <v>#REF!</v>
      </c>
      <c r="V210" s="783" t="e">
        <f>#REF!/V195-1</f>
        <v>#REF!</v>
      </c>
      <c r="W210" s="783" t="e">
        <f>#REF!/W195-1</f>
        <v>#REF!</v>
      </c>
      <c r="X210" s="2637"/>
      <c r="Y210" s="2637"/>
      <c r="Z210" s="2637"/>
      <c r="AA210" s="2637"/>
      <c r="AB210" s="783" t="e">
        <f>#REF!/AB195-1</f>
        <v>#REF!</v>
      </c>
      <c r="AC210" s="783"/>
      <c r="AD210" s="783"/>
      <c r="AE210" s="797"/>
      <c r="AF210" s="783"/>
      <c r="AG210" s="784" t="e">
        <f>#REF!/AG195-1</f>
        <v>#REF!</v>
      </c>
      <c r="AH210" s="2689"/>
      <c r="AI210" s="2689"/>
      <c r="AJ210" s="784" t="e">
        <f>#REF!/AJ195-1</f>
        <v>#REF!</v>
      </c>
      <c r="AK210" s="793"/>
      <c r="AL210" s="793"/>
      <c r="AM210" s="785" t="e">
        <f>#REF!/AM195-1</f>
        <v>#REF!</v>
      </c>
      <c r="AN210" s="785" t="e">
        <f>#REF!/AN195-1</f>
        <v>#REF!</v>
      </c>
      <c r="AO210" s="799"/>
      <c r="AP210" s="783"/>
      <c r="AQ210" s="783"/>
      <c r="AR210" s="783" t="e">
        <f>#REF!/AR195-1</f>
        <v>#REF!</v>
      </c>
      <c r="AS210" s="783" t="e">
        <f>#REF!/AS195-1</f>
        <v>#REF!</v>
      </c>
      <c r="AT210" s="783" t="e">
        <f>#REF!/AT195-1</f>
        <v>#REF!</v>
      </c>
      <c r="AU210" s="783" t="e">
        <f>#REF!/AU195-1</f>
        <v>#REF!</v>
      </c>
      <c r="AV210" s="2698"/>
      <c r="AW210" s="793"/>
      <c r="AX210" s="785" t="e">
        <f>#REF!/AX195-1</f>
        <v>#REF!</v>
      </c>
      <c r="AY210" s="785"/>
      <c r="AZ210" s="785"/>
      <c r="BA210" s="785" t="e">
        <f>#REF!/BA195-1</f>
        <v>#REF!</v>
      </c>
      <c r="BB210" s="785"/>
      <c r="BC210" s="783" t="e">
        <f>#REF!/BC195-1</f>
        <v>#REF!</v>
      </c>
      <c r="BD210" s="783" t="e">
        <f>#REF!/BD195-1</f>
        <v>#REF!</v>
      </c>
      <c r="BE210" s="787" t="e">
        <f>#REF!/BE195-1</f>
        <v>#REF!</v>
      </c>
      <c r="BF210" s="788" t="e">
        <f>#REF!/BF195-1</f>
        <v>#REF!</v>
      </c>
      <c r="BG210" s="799"/>
      <c r="BH210" s="793" t="e">
        <f>#REF!/BH195-1</f>
        <v>#REF!</v>
      </c>
      <c r="BI210" s="793" t="e">
        <f>#REF!/BI195-1</f>
        <v>#REF!</v>
      </c>
      <c r="BJ210" s="793" t="e">
        <f>#REF!/BJ195-1</f>
        <v>#REF!</v>
      </c>
      <c r="BK210" s="793" t="e">
        <f>#REF!/BK195-1</f>
        <v>#REF!</v>
      </c>
      <c r="BL210" s="793" t="e">
        <f>#REF!/BL195-1</f>
        <v>#REF!</v>
      </c>
      <c r="BM210" s="793" t="e">
        <f>#REF!/BM195-1</f>
        <v>#REF!</v>
      </c>
      <c r="BN210" s="793"/>
      <c r="BO210" s="793"/>
      <c r="BP210" s="793"/>
      <c r="BQ210" s="799"/>
      <c r="BR210" s="791" t="e">
        <f>#REF!/BR195-1</f>
        <v>#REF!</v>
      </c>
      <c r="BS210" s="791" t="e">
        <f>#REF!/BS195-1</f>
        <v>#REF!</v>
      </c>
      <c r="BT210" s="791" t="e">
        <f>#REF!/BT195-1</f>
        <v>#REF!</v>
      </c>
      <c r="BU210" s="791" t="e">
        <f>#REF!/BU195-1</f>
        <v>#REF!</v>
      </c>
      <c r="BV210" s="791" t="e">
        <f>#REF!/BV195-1</f>
        <v>#REF!</v>
      </c>
      <c r="BW210" s="791" t="e">
        <f>#REF!/BW195-1</f>
        <v>#REF!</v>
      </c>
      <c r="BX210" s="791" t="e">
        <f>#REF!/BX195-1</f>
        <v>#REF!</v>
      </c>
      <c r="BY210" s="799"/>
      <c r="BZ210" s="792" t="e">
        <f>#REF!/BZ195-1</f>
        <v>#REF!</v>
      </c>
      <c r="CA210" s="792" t="e">
        <f>#REF!/CA195-1</f>
        <v>#REF!</v>
      </c>
      <c r="CB210" s="792" t="e">
        <f>#REF!/CB195-1</f>
        <v>#REF!</v>
      </c>
      <c r="CC210" s="792" t="e">
        <f>#REF!/CC195-1</f>
        <v>#REF!</v>
      </c>
      <c r="CD210" s="792" t="e">
        <f>#REF!/CD195-1</f>
        <v>#REF!</v>
      </c>
      <c r="CE210" s="792" t="e">
        <f>#REF!/CE195-1</f>
        <v>#REF!</v>
      </c>
      <c r="CF210" s="792" t="e">
        <f>#REF!/CF195-1</f>
        <v>#REF!</v>
      </c>
      <c r="CG210" s="792" t="e">
        <f>#REF!/CG195-1</f>
        <v>#REF!</v>
      </c>
      <c r="CH210" s="792" t="e">
        <f>#REF!/CH195-1</f>
        <v>#REF!</v>
      </c>
      <c r="CI210" s="792" t="e">
        <f>#REF!/CI195-1</f>
        <v>#REF!</v>
      </c>
      <c r="CJ210" s="792" t="e">
        <f>#REF!/CJ195-1</f>
        <v>#REF!</v>
      </c>
      <c r="CK210" s="792" t="e">
        <f>#REF!/CK195-1</f>
        <v>#REF!</v>
      </c>
      <c r="CL210" s="792" t="e">
        <f>#REF!/CL195-1</f>
        <v>#REF!</v>
      </c>
      <c r="CM210" s="792" t="e">
        <f>#REF!/CM195-1</f>
        <v>#REF!</v>
      </c>
      <c r="CN210" s="792"/>
      <c r="CO210" s="785" t="e">
        <f>#REF!/CO195-1</f>
        <v>#REF!</v>
      </c>
      <c r="CP210" s="785" t="e">
        <f>#REF!/CP195-1</f>
        <v>#REF!</v>
      </c>
      <c r="CQ210" s="785" t="e">
        <f>#REF!/CQ195-1</f>
        <v>#REF!</v>
      </c>
      <c r="CR210" s="785" t="e">
        <f>#REF!/CR195-1</f>
        <v>#REF!</v>
      </c>
      <c r="CS210" s="785" t="e">
        <f>#REF!/CS195-1</f>
        <v>#REF!</v>
      </c>
      <c r="CT210" s="785" t="e">
        <f>#REF!/CT195-1</f>
        <v>#REF!</v>
      </c>
      <c r="CU210" s="785" t="e">
        <f>#REF!/CU195-1</f>
        <v>#REF!</v>
      </c>
      <c r="CV210" s="785" t="e">
        <f>#REF!/CV195-1</f>
        <v>#REF!</v>
      </c>
      <c r="CW210" s="785" t="e">
        <f>#REF!/CW195-1</f>
        <v>#REF!</v>
      </c>
      <c r="CX210" s="785" t="e">
        <f>#REF!/CX195-1</f>
        <v>#REF!</v>
      </c>
      <c r="CY210" s="785" t="e">
        <f>#REF!/CY195-1</f>
        <v>#REF!</v>
      </c>
      <c r="CZ210" s="785" t="e">
        <f>#REF!/CZ195-1</f>
        <v>#REF!</v>
      </c>
      <c r="DA210" s="785" t="e">
        <f>#REF!/DA195-1</f>
        <v>#REF!</v>
      </c>
      <c r="DB210" s="785" t="e">
        <f>#REF!/DB195-1</f>
        <v>#REF!</v>
      </c>
      <c r="DC210" s="785"/>
      <c r="DD210" s="799"/>
      <c r="DE210" s="789" t="e">
        <f>#REF!/DE195-1</f>
        <v>#REF!</v>
      </c>
      <c r="DF210" s="789" t="e">
        <f>#REF!/DF195-1</f>
        <v>#REF!</v>
      </c>
      <c r="DG210" s="789" t="e">
        <f>#REF!/DG195-1</f>
        <v>#REF!</v>
      </c>
      <c r="DH210" s="789" t="e">
        <f>#REF!/DH195-1</f>
        <v>#REF!</v>
      </c>
      <c r="DI210" s="789" t="e">
        <f>#REF!/DI195-1</f>
        <v>#REF!</v>
      </c>
      <c r="DJ210" s="789" t="e">
        <f>#REF!/DJ195-1</f>
        <v>#REF!</v>
      </c>
      <c r="DK210" s="789" t="e">
        <f>#REF!/DK195-1</f>
        <v>#REF!</v>
      </c>
      <c r="DL210" s="789" t="e">
        <f>#REF!/DL195-1</f>
        <v>#REF!</v>
      </c>
      <c r="DM210" s="789" t="e">
        <f>#REF!/DM195-1</f>
        <v>#REF!</v>
      </c>
      <c r="DN210" s="789" t="e">
        <f>#REF!/DN195-1</f>
        <v>#REF!</v>
      </c>
      <c r="DO210" s="789" t="e">
        <f>#REF!/DO195-1</f>
        <v>#REF!</v>
      </c>
      <c r="DP210" s="789" t="e">
        <f>#REF!/DP195-1</f>
        <v>#REF!</v>
      </c>
      <c r="DQ210" s="789" t="e">
        <f>#REF!/DQ195-1</f>
        <v>#REF!</v>
      </c>
      <c r="DR210" s="789" t="e">
        <f>#REF!/DR195-1</f>
        <v>#REF!</v>
      </c>
      <c r="DS210" s="802"/>
      <c r="DT210" s="787" t="e">
        <f>#REF!/DT195-1</f>
        <v>#REF!</v>
      </c>
      <c r="DU210" s="787" t="e">
        <f>#REF!/DU195-1</f>
        <v>#REF!</v>
      </c>
      <c r="DV210" s="787" t="e">
        <f>#REF!/DV195-1</f>
        <v>#REF!</v>
      </c>
      <c r="DW210" s="2954"/>
      <c r="DX210" s="787"/>
      <c r="DY210" s="787" t="e">
        <f>#REF!/DY195-1</f>
        <v>#REF!</v>
      </c>
      <c r="DZ210" s="790"/>
      <c r="EA210" s="790"/>
      <c r="EB210" s="790"/>
      <c r="EC210" s="790"/>
      <c r="ED210" s="790"/>
      <c r="EE210" s="790"/>
      <c r="EF210" s="790"/>
      <c r="EG210" s="790"/>
      <c r="EH210" s="790"/>
      <c r="EI210" s="790"/>
      <c r="EJ210" s="790"/>
      <c r="EK210" s="790"/>
      <c r="EL210" s="790"/>
      <c r="EM210" s="790"/>
      <c r="EN210" s="790"/>
      <c r="EO210" s="790"/>
      <c r="EP210" s="790"/>
    </row>
    <row r="211" spans="1:146" s="761" customFormat="1" hidden="1" outlineLevel="3">
      <c r="A211" s="4934"/>
      <c r="B211" s="1778" t="s">
        <v>103</v>
      </c>
      <c r="C211" s="1745"/>
      <c r="D211" s="783"/>
      <c r="E211" s="783">
        <f>E35/E196-1</f>
        <v>0.20967741935483875</v>
      </c>
      <c r="F211" s="783">
        <f>F35/F196-1</f>
        <v>-1</v>
      </c>
      <c r="G211" s="784">
        <f>G35/G196-1</f>
        <v>0.125</v>
      </c>
      <c r="H211" s="784">
        <f>H35/H196-1</f>
        <v>0.17063492063492069</v>
      </c>
      <c r="I211" s="786"/>
      <c r="J211" s="1776">
        <f>J35/J196-1</f>
        <v>0.20967741935483875</v>
      </c>
      <c r="K211" s="788">
        <f>K35/K196-1</f>
        <v>0.21111111111111103</v>
      </c>
      <c r="L211" s="788">
        <f>L35/L196-1</f>
        <v>7.5949367088607556E-2</v>
      </c>
      <c r="M211" s="788"/>
      <c r="N211" s="788"/>
      <c r="O211" s="788"/>
      <c r="P211" s="788"/>
      <c r="Q211" s="799"/>
      <c r="R211" s="783"/>
      <c r="S211" s="783">
        <f>S35/S196-1</f>
        <v>-5.555555555555558E-2</v>
      </c>
      <c r="T211" s="783">
        <f>T35/T196-1</f>
        <v>-6.7164179104477584E-2</v>
      </c>
      <c r="U211" s="783">
        <f>U35/U196-1</f>
        <v>-5.555555555555558E-2</v>
      </c>
      <c r="V211" s="783">
        <f>V35/V196-1</f>
        <v>-5.555555555555558E-2</v>
      </c>
      <c r="W211" s="783">
        <f>W35/W196-1</f>
        <v>-4.0404040404040442E-2</v>
      </c>
      <c r="X211" s="2637"/>
      <c r="Y211" s="2637"/>
      <c r="Z211" s="2637"/>
      <c r="AA211" s="2637"/>
      <c r="AB211" s="783">
        <f>AB35/AB196-1</f>
        <v>-9.722222222222221E-2</v>
      </c>
      <c r="AC211" s="783"/>
      <c r="AD211" s="783"/>
      <c r="AE211" s="797"/>
      <c r="AF211" s="783"/>
      <c r="AG211" s="784">
        <f>AG35/AG196-1</f>
        <v>-0.11111111111111116</v>
      </c>
      <c r="AH211" s="2689"/>
      <c r="AI211" s="2689"/>
      <c r="AJ211" s="784">
        <f>AJ35/AJ196-1</f>
        <v>-0.16666666666666663</v>
      </c>
      <c r="AK211" s="793"/>
      <c r="AL211" s="793"/>
      <c r="AM211" s="785">
        <f>AM35/AM196-1</f>
        <v>-5.555555555555558E-2</v>
      </c>
      <c r="AN211" s="785">
        <f>AN35/AN196-1</f>
        <v>-6.7164179104477584E-2</v>
      </c>
      <c r="AO211" s="799"/>
      <c r="AP211" s="783"/>
      <c r="AQ211" s="783"/>
      <c r="AR211" s="783">
        <f>AR35/AR196-1</f>
        <v>-3.8461538461538436E-2</v>
      </c>
      <c r="AS211" s="783">
        <f>AS35/AS196-1</f>
        <v>-0.14855072463768115</v>
      </c>
      <c r="AT211" s="783">
        <f>AT35/AT196-1</f>
        <v>-0.2857142857142857</v>
      </c>
      <c r="AU211" s="783">
        <f>AU35/AU196-1</f>
        <v>0.23809523809523814</v>
      </c>
      <c r="AV211" s="2698"/>
      <c r="AW211" s="793"/>
      <c r="AX211" s="785">
        <f>AX35/AX196-1</f>
        <v>-3.8461538461538436E-2</v>
      </c>
      <c r="AY211" s="785"/>
      <c r="AZ211" s="785"/>
      <c r="BA211" s="785">
        <f>BA35/BA196-1</f>
        <v>-0.14855072463768115</v>
      </c>
      <c r="BB211" s="785"/>
      <c r="BC211" s="783">
        <f>BC35/BC196-1</f>
        <v>1.0512820512820511</v>
      </c>
      <c r="BD211" s="783">
        <f>BD35/BD196-1</f>
        <v>-0.21052631578947367</v>
      </c>
      <c r="BE211" s="787">
        <f>BE35/BE196-1</f>
        <v>-0.21052631578947367</v>
      </c>
      <c r="BF211" s="788">
        <f>BF35/BF196-1</f>
        <v>-0.14855072463768115</v>
      </c>
      <c r="BG211" s="799"/>
      <c r="BH211" s="793">
        <f t="shared" ref="BH211:BM211" si="191">BH35/BH196-1</f>
        <v>-0.13194444444444442</v>
      </c>
      <c r="BI211" s="793">
        <f t="shared" si="191"/>
        <v>1.8518518518518601E-2</v>
      </c>
      <c r="BJ211" s="793">
        <f t="shared" si="191"/>
        <v>0.11111111111111116</v>
      </c>
      <c r="BK211" s="793">
        <f t="shared" si="191"/>
        <v>-0.16666666666666663</v>
      </c>
      <c r="BL211" s="793">
        <f t="shared" si="191"/>
        <v>3.4482758620689724E-2</v>
      </c>
      <c r="BM211" s="793">
        <f t="shared" si="191"/>
        <v>9.1954022988505857E-2</v>
      </c>
      <c r="BN211" s="793"/>
      <c r="BO211" s="793"/>
      <c r="BP211" s="793"/>
      <c r="BQ211" s="799"/>
      <c r="BR211" s="791">
        <f t="shared" ref="BR211:BX211" si="192">BR35/BR196-1</f>
        <v>-0.15000000000000002</v>
      </c>
      <c r="BS211" s="791">
        <f t="shared" si="192"/>
        <v>-8.8050314465408785E-2</v>
      </c>
      <c r="BT211" s="791">
        <f t="shared" si="192"/>
        <v>0.25</v>
      </c>
      <c r="BU211" s="791">
        <f t="shared" si="192"/>
        <v>0.66666666666666674</v>
      </c>
      <c r="BV211" s="791">
        <f t="shared" si="192"/>
        <v>0.74242424242424243</v>
      </c>
      <c r="BW211" s="791">
        <f t="shared" si="192"/>
        <v>1.0833333333333335</v>
      </c>
      <c r="BX211" s="791">
        <f t="shared" si="192"/>
        <v>-0.17958656330749356</v>
      </c>
      <c r="BY211" s="799"/>
      <c r="BZ211" s="792">
        <f t="shared" ref="BZ211:CM211" si="193">BZ35/BZ196-1</f>
        <v>0.25</v>
      </c>
      <c r="CA211" s="792">
        <f t="shared" si="193"/>
        <v>0.27450980392156854</v>
      </c>
      <c r="CB211" s="792">
        <f t="shared" si="193"/>
        <v>0.25</v>
      </c>
      <c r="CC211" s="792">
        <f t="shared" si="193"/>
        <v>0.27192982456140347</v>
      </c>
      <c r="CD211" s="792">
        <f t="shared" si="193"/>
        <v>0.27450980392156854</v>
      </c>
      <c r="CE211" s="792">
        <f t="shared" si="193"/>
        <v>0.25</v>
      </c>
      <c r="CF211" s="792">
        <f t="shared" si="193"/>
        <v>0.27192982456140347</v>
      </c>
      <c r="CG211" s="792">
        <f t="shared" si="193"/>
        <v>0.25</v>
      </c>
      <c r="CH211" s="792">
        <f t="shared" si="193"/>
        <v>0.25</v>
      </c>
      <c r="CI211" s="792">
        <f t="shared" si="193"/>
        <v>0.27192982456140347</v>
      </c>
      <c r="CJ211" s="792">
        <f t="shared" si="193"/>
        <v>0.25</v>
      </c>
      <c r="CK211" s="792">
        <f t="shared" si="193"/>
        <v>0.25</v>
      </c>
      <c r="CL211" s="792">
        <f t="shared" si="193"/>
        <v>0.27192982456140347</v>
      </c>
      <c r="CM211" s="792">
        <f t="shared" si="193"/>
        <v>0.25</v>
      </c>
      <c r="CN211" s="792"/>
      <c r="CO211" s="785">
        <f t="shared" ref="CO211:DB211" si="194">CO35/CO196-1</f>
        <v>0.14782608695652177</v>
      </c>
      <c r="CP211" s="785">
        <f t="shared" si="194"/>
        <v>0.15942028985507273</v>
      </c>
      <c r="CQ211" s="785">
        <f t="shared" si="194"/>
        <v>0.14906832298136652</v>
      </c>
      <c r="CR211" s="785">
        <f t="shared" si="194"/>
        <v>0.13943028485757147</v>
      </c>
      <c r="CS211" s="785">
        <f t="shared" si="194"/>
        <v>0.15942028985507273</v>
      </c>
      <c r="CT211" s="785">
        <f t="shared" si="194"/>
        <v>0.14906832298136652</v>
      </c>
      <c r="CU211" s="785">
        <f t="shared" si="194"/>
        <v>0.13943028485757147</v>
      </c>
      <c r="CV211" s="785">
        <f t="shared" si="194"/>
        <v>0.1220196353436187</v>
      </c>
      <c r="CW211" s="785">
        <f t="shared" si="194"/>
        <v>0.10119047619047628</v>
      </c>
      <c r="CX211" s="785">
        <f t="shared" si="194"/>
        <v>9.1954022988505857E-2</v>
      </c>
      <c r="CY211" s="785">
        <f t="shared" si="194"/>
        <v>7.5268817204301008E-2</v>
      </c>
      <c r="CZ211" s="785">
        <f t="shared" si="194"/>
        <v>0.10119047619047628</v>
      </c>
      <c r="DA211" s="785">
        <f t="shared" si="194"/>
        <v>9.1954022988505857E-2</v>
      </c>
      <c r="DB211" s="785">
        <f t="shared" si="194"/>
        <v>7.5268817204301008E-2</v>
      </c>
      <c r="DC211" s="785"/>
      <c r="DD211" s="799"/>
      <c r="DE211" s="789">
        <f t="shared" ref="DE211:DR211" si="195">DE35/DE196-1</f>
        <v>-0.39049167005282392</v>
      </c>
      <c r="DF211" s="789">
        <f t="shared" si="195"/>
        <v>-0.37587657784011208</v>
      </c>
      <c r="DG211" s="789">
        <f t="shared" si="195"/>
        <v>-0.29992630803242437</v>
      </c>
      <c r="DH211" s="789">
        <f t="shared" si="195"/>
        <v>-0.29577464788732388</v>
      </c>
      <c r="DI211" s="789">
        <f t="shared" si="195"/>
        <v>-0.24586379376683332</v>
      </c>
      <c r="DJ211" s="789">
        <f t="shared" si="195"/>
        <v>-0.21739130434782594</v>
      </c>
      <c r="DK211" s="789">
        <f t="shared" si="195"/>
        <v>7.5268817204301008E-2</v>
      </c>
      <c r="DL211" s="789">
        <f t="shared" si="195"/>
        <v>3.815439219165917E-2</v>
      </c>
      <c r="DM211" s="789">
        <f t="shared" si="195"/>
        <v>9.2012133468149626E-2</v>
      </c>
      <c r="DN211" s="789">
        <f t="shared" si="195"/>
        <v>9.2012133468149626E-2</v>
      </c>
      <c r="DO211" s="789">
        <f t="shared" si="195"/>
        <v>9.2012133468149626E-2</v>
      </c>
      <c r="DP211" s="789">
        <f t="shared" si="195"/>
        <v>-0.14684167350287103</v>
      </c>
      <c r="DQ211" s="789">
        <f t="shared" si="195"/>
        <v>-8.7669280114041181E-2</v>
      </c>
      <c r="DR211" s="789">
        <f t="shared" si="195"/>
        <v>-0.2117610259618391</v>
      </c>
      <c r="DS211" s="802"/>
      <c r="DT211" s="787">
        <f>DT35/DT196-1</f>
        <v>0.12040133779264228</v>
      </c>
      <c r="DU211" s="787" t="e">
        <f>#REF!/DU196-1</f>
        <v>#REF!</v>
      </c>
      <c r="DV211" s="787" t="e">
        <f>#REF!/DV196-1</f>
        <v>#REF!</v>
      </c>
      <c r="DW211" s="2954"/>
      <c r="DX211" s="787"/>
      <c r="DY211" s="787">
        <f>DY35/DY196-1</f>
        <v>0.4369933677229183</v>
      </c>
      <c r="DZ211" s="790"/>
      <c r="EA211" s="790"/>
      <c r="EB211" s="790"/>
      <c r="EC211" s="790"/>
      <c r="ED211" s="790"/>
      <c r="EE211" s="790"/>
      <c r="EF211" s="790"/>
      <c r="EG211" s="790"/>
      <c r="EH211" s="790"/>
      <c r="EI211" s="790"/>
      <c r="EJ211" s="790"/>
      <c r="EK211" s="790"/>
      <c r="EL211" s="790"/>
      <c r="EM211" s="790"/>
      <c r="EN211" s="790"/>
      <c r="EO211" s="790"/>
      <c r="EP211" s="790"/>
    </row>
    <row r="212" spans="1:146" s="1651" customFormat="1" ht="12.75" hidden="1" customHeight="1" outlineLevel="2">
      <c r="A212" s="1774" t="s">
        <v>30</v>
      </c>
      <c r="B212" s="1779" t="s">
        <v>284</v>
      </c>
      <c r="C212" s="1746"/>
      <c r="D212" s="783">
        <f t="shared" ref="D212:L212" si="196">D33/D197-1</f>
        <v>-1</v>
      </c>
      <c r="E212" s="783">
        <f t="shared" si="196"/>
        <v>0.21384297520661133</v>
      </c>
      <c r="F212" s="783">
        <f t="shared" si="196"/>
        <v>-1</v>
      </c>
      <c r="G212" s="784">
        <f t="shared" si="196"/>
        <v>0.15479115479115468</v>
      </c>
      <c r="H212" s="784">
        <f t="shared" si="196"/>
        <v>0.21212121212121215</v>
      </c>
      <c r="I212" s="786">
        <f t="shared" si="196"/>
        <v>9.5571095571095555E-2</v>
      </c>
      <c r="J212" s="1776">
        <f t="shared" si="196"/>
        <v>0.21384297520661133</v>
      </c>
      <c r="K212" s="788">
        <f t="shared" si="196"/>
        <v>0.2291933418693981</v>
      </c>
      <c r="L212" s="788">
        <f t="shared" si="196"/>
        <v>0.10565110565110558</v>
      </c>
      <c r="M212" s="788"/>
      <c r="N212" s="788"/>
      <c r="O212" s="788"/>
      <c r="P212" s="788"/>
      <c r="Q212" s="803"/>
      <c r="R212" s="783">
        <f>R33/R197-1</f>
        <v>-1</v>
      </c>
      <c r="S212" s="783">
        <f>S33/S197-1</f>
        <v>-2.5974025974026094E-2</v>
      </c>
      <c r="T212" s="783" t="e">
        <f>#REF!/T197-1</f>
        <v>#REF!</v>
      </c>
      <c r="U212" s="783">
        <f>T33/U197-1</f>
        <v>-0.15584415584415601</v>
      </c>
      <c r="V212" s="783">
        <f>V33/V197-1</f>
        <v>-2.5974025974026094E-2</v>
      </c>
      <c r="W212" s="783">
        <f>W33/W197-1</f>
        <v>-3.2258064516129115E-2</v>
      </c>
      <c r="X212" s="2637"/>
      <c r="Y212" s="2637"/>
      <c r="Z212" s="2637"/>
      <c r="AA212" s="2637"/>
      <c r="AB212" s="783"/>
      <c r="AC212" s="783">
        <f>AC33/AC197-1</f>
        <v>-7.0707070707070718E-2</v>
      </c>
      <c r="AD212" s="783"/>
      <c r="AE212" s="783"/>
      <c r="AF212" s="783">
        <f>AF33/AF197-1</f>
        <v>0.31313131313131293</v>
      </c>
      <c r="AG212" s="784">
        <f>AG33/AG197-1</f>
        <v>-9.090909090909105E-2</v>
      </c>
      <c r="AH212" s="2689"/>
      <c r="AI212" s="2689"/>
      <c r="AJ212" s="784">
        <f>AJ33/AJ197-1</f>
        <v>-0.1515151515151516</v>
      </c>
      <c r="AK212" s="786">
        <f>AK33/AK197-1</f>
        <v>-7.0707070707070718E-2</v>
      </c>
      <c r="AL212" s="786">
        <f>AL33/AL197-1</f>
        <v>0.31313131313131293</v>
      </c>
      <c r="AM212" s="785">
        <f>AM33/AM197-1</f>
        <v>-2.5974025974026094E-2</v>
      </c>
      <c r="AN212" s="785">
        <f>AN33/AN197-1</f>
        <v>-4.692082111436946E-2</v>
      </c>
      <c r="AO212" s="803"/>
      <c r="AP212" s="783">
        <f t="shared" ref="AP212:AU212" si="197">AP33/AP197-1</f>
        <v>-1</v>
      </c>
      <c r="AQ212" s="783">
        <f t="shared" si="197"/>
        <v>-1</v>
      </c>
      <c r="AR212" s="783">
        <f t="shared" si="197"/>
        <v>3.6682615629983983E-2</v>
      </c>
      <c r="AS212" s="783">
        <f t="shared" si="197"/>
        <v>-6.8181818181818232E-2</v>
      </c>
      <c r="AT212" s="783">
        <f t="shared" si="197"/>
        <v>-0.23753665689149561</v>
      </c>
      <c r="AU212" s="783">
        <f t="shared" si="197"/>
        <v>0.34897360703812308</v>
      </c>
      <c r="AV212" s="2699"/>
      <c r="AW212" s="786">
        <f>AW33/AW197-1</f>
        <v>2.0202020202020199</v>
      </c>
      <c r="AX212" s="785">
        <f>AX33/AX197-1</f>
        <v>3.6682615629983983E-2</v>
      </c>
      <c r="AY212" s="785"/>
      <c r="AZ212" s="785"/>
      <c r="BA212" s="785">
        <f>BA33/BA197-1</f>
        <v>-6.8181818181818232E-2</v>
      </c>
      <c r="BB212" s="785"/>
      <c r="BC212" s="783">
        <f>BC33/BC197-1</f>
        <v>1.2377622377622375</v>
      </c>
      <c r="BD212" s="783">
        <f>BD33/BD197-1</f>
        <v>-0.17647058823529427</v>
      </c>
      <c r="BE212" s="787">
        <f>BE33/BE197-1</f>
        <v>-0.17647058823529427</v>
      </c>
      <c r="BF212" s="788">
        <f>BF33/BF197-1</f>
        <v>-6.8181818181818232E-2</v>
      </c>
      <c r="BG212" s="803"/>
      <c r="BH212" s="793">
        <f t="shared" ref="BH212:BP212" si="198">BH33/BH197-1</f>
        <v>-9.0909090909090939E-2</v>
      </c>
      <c r="BI212" s="793">
        <f t="shared" si="198"/>
        <v>5.4545454545454453E-2</v>
      </c>
      <c r="BJ212" s="793">
        <f t="shared" si="198"/>
        <v>0.1272727272727272</v>
      </c>
      <c r="BK212" s="793">
        <f t="shared" si="198"/>
        <v>-0.12878787878787878</v>
      </c>
      <c r="BL212" s="793">
        <f t="shared" si="198"/>
        <v>4.3771043771043683E-2</v>
      </c>
      <c r="BM212" s="793">
        <f t="shared" si="198"/>
        <v>0.11111111111111094</v>
      </c>
      <c r="BN212" s="793">
        <f t="shared" si="198"/>
        <v>-0.13319238900634245</v>
      </c>
      <c r="BO212" s="793">
        <f t="shared" si="198"/>
        <v>-0.12959381044487428</v>
      </c>
      <c r="BP212" s="793">
        <f t="shared" si="198"/>
        <v>-7.3426573426573549E-2</v>
      </c>
      <c r="BQ212" s="803"/>
      <c r="BR212" s="791">
        <f t="shared" ref="BR212:BX212" si="199">BR33/BR197-1</f>
        <v>-0.12959381044487428</v>
      </c>
      <c r="BS212" s="791">
        <f t="shared" si="199"/>
        <v>-7.2727272727272751E-2</v>
      </c>
      <c r="BT212" s="791">
        <f t="shared" si="199"/>
        <v>0.2692967409948539</v>
      </c>
      <c r="BU212" s="791">
        <f t="shared" si="199"/>
        <v>0.7171717171717169</v>
      </c>
      <c r="BV212" s="791">
        <f t="shared" si="199"/>
        <v>0.81818181818181812</v>
      </c>
      <c r="BW212" s="791">
        <f t="shared" si="199"/>
        <v>1.1487603305785123</v>
      </c>
      <c r="BX212" s="791">
        <f t="shared" si="199"/>
        <v>-0.16542473919523115</v>
      </c>
      <c r="BY212" s="803"/>
      <c r="BZ212" s="792">
        <f t="shared" ref="BZ212:DC212" si="200">BZ33/BZ197-1</f>
        <v>0.36363636363636354</v>
      </c>
      <c r="CA212" s="792">
        <f t="shared" si="200"/>
        <v>0.34545454545454524</v>
      </c>
      <c r="CB212" s="792">
        <f t="shared" si="200"/>
        <v>0.31818181818181812</v>
      </c>
      <c r="CC212" s="792">
        <f t="shared" si="200"/>
        <v>0.34759358288770037</v>
      </c>
      <c r="CD212" s="792">
        <f t="shared" si="200"/>
        <v>0.34545454545454524</v>
      </c>
      <c r="CE212" s="792">
        <f t="shared" si="200"/>
        <v>0.31818181818181812</v>
      </c>
      <c r="CF212" s="792">
        <f t="shared" si="200"/>
        <v>0.34759358288770037</v>
      </c>
      <c r="CG212" s="792">
        <f t="shared" si="200"/>
        <v>0.33333333333333326</v>
      </c>
      <c r="CH212" s="792">
        <f t="shared" si="200"/>
        <v>0.31818181818181812</v>
      </c>
      <c r="CI212" s="792">
        <f t="shared" si="200"/>
        <v>0.34759358288770037</v>
      </c>
      <c r="CJ212" s="792">
        <f t="shared" si="200"/>
        <v>0.33333333333333326</v>
      </c>
      <c r="CK212" s="792">
        <f t="shared" si="200"/>
        <v>0.31818181818181812</v>
      </c>
      <c r="CL212" s="792">
        <f t="shared" si="200"/>
        <v>0.34759358288770037</v>
      </c>
      <c r="CM212" s="792">
        <f t="shared" si="200"/>
        <v>0.33333333333333326</v>
      </c>
      <c r="CN212" s="792">
        <f t="shared" si="200"/>
        <v>0.32467532467532467</v>
      </c>
      <c r="CO212" s="785">
        <f t="shared" si="200"/>
        <v>0.14624505928853759</v>
      </c>
      <c r="CP212" s="785">
        <f t="shared" si="200"/>
        <v>0.12318840579710155</v>
      </c>
      <c r="CQ212" s="785">
        <f t="shared" si="200"/>
        <v>0.11304347826086958</v>
      </c>
      <c r="CR212" s="785">
        <f t="shared" si="200"/>
        <v>6.2801932367149815E-2</v>
      </c>
      <c r="CS212" s="785">
        <f t="shared" si="200"/>
        <v>0.12318840579710155</v>
      </c>
      <c r="CT212" s="785">
        <f t="shared" si="200"/>
        <v>0.11304347826086958</v>
      </c>
      <c r="CU212" s="785">
        <f t="shared" si="200"/>
        <v>6.2801932367149815E-2</v>
      </c>
      <c r="CV212" s="785">
        <f t="shared" si="200"/>
        <v>8.6956521739130599E-2</v>
      </c>
      <c r="CW212" s="785">
        <f t="shared" si="200"/>
        <v>0.16363636363636358</v>
      </c>
      <c r="CX212" s="785">
        <f t="shared" si="200"/>
        <v>0.11111111111111094</v>
      </c>
      <c r="CY212" s="785">
        <f t="shared" si="200"/>
        <v>0.13636363636363624</v>
      </c>
      <c r="CZ212" s="785">
        <f t="shared" si="200"/>
        <v>0.16363636363636358</v>
      </c>
      <c r="DA212" s="785">
        <f t="shared" si="200"/>
        <v>0.11111111111111094</v>
      </c>
      <c r="DB212" s="785">
        <f t="shared" si="200"/>
        <v>0.13636363636363624</v>
      </c>
      <c r="DC212" s="785">
        <f t="shared" si="200"/>
        <v>0.16477272727272707</v>
      </c>
      <c r="DD212" s="803"/>
      <c r="DE212" s="789">
        <f t="shared" ref="DE212:DL212" si="201">DE33/DE197-1</f>
        <v>-0.41437444543034607</v>
      </c>
      <c r="DF212" s="789">
        <f t="shared" si="201"/>
        <v>-0.39976914197768365</v>
      </c>
      <c r="DG212" s="789">
        <f t="shared" si="201"/>
        <v>-0.32367149758454095</v>
      </c>
      <c r="DH212" s="789">
        <f t="shared" si="201"/>
        <v>-0.32441471571906344</v>
      </c>
      <c r="DI212" s="789">
        <f t="shared" si="201"/>
        <v>-0.27395525538201759</v>
      </c>
      <c r="DJ212" s="789">
        <f t="shared" si="201"/>
        <v>-0.24735111435878687</v>
      </c>
      <c r="DK212" s="789">
        <f t="shared" si="201"/>
        <v>3.3248081841432242E-2</v>
      </c>
      <c r="DL212" s="789">
        <f t="shared" si="201"/>
        <v>-4.8309178743961567E-3</v>
      </c>
      <c r="DM212" s="789"/>
      <c r="DN212" s="789"/>
      <c r="DO212" s="789"/>
      <c r="DP212" s="789">
        <f>DP33/DP197-1</f>
        <v>-0.19999999999999996</v>
      </c>
      <c r="DQ212" s="789">
        <f>DQ33/DQ197-1</f>
        <v>-0.16041979010494745</v>
      </c>
      <c r="DR212" s="789">
        <f>DR33/DR197-1</f>
        <v>-0.24592391304347827</v>
      </c>
      <c r="DS212" s="804"/>
      <c r="DT212" s="787">
        <f>DT33/DT197-1</f>
        <v>0.43115942028985499</v>
      </c>
      <c r="DU212" s="787" t="e">
        <f>#REF!/DU197-1</f>
        <v>#REF!</v>
      </c>
      <c r="DV212" s="787">
        <f>DV35/DV197-1</f>
        <v>0.32992327365728924</v>
      </c>
      <c r="DW212" s="2954"/>
      <c r="DX212" s="805" t="e">
        <f>#REF!/DX197-1</f>
        <v>#REF!</v>
      </c>
      <c r="DY212" s="787">
        <f>DY33/DY197-1</f>
        <v>0.29185407296351817</v>
      </c>
      <c r="DZ212" s="790"/>
      <c r="EA212" s="790"/>
      <c r="EB212" s="790"/>
      <c r="EC212" s="790"/>
      <c r="ED212" s="790"/>
      <c r="EE212" s="790"/>
      <c r="EF212" s="790"/>
      <c r="EG212" s="790"/>
      <c r="EH212" s="790"/>
      <c r="EI212" s="790"/>
      <c r="EJ212" s="790"/>
      <c r="EK212" s="790"/>
      <c r="EL212" s="790"/>
      <c r="EM212" s="790"/>
      <c r="EN212" s="790"/>
      <c r="EO212" s="790"/>
      <c r="EP212" s="790"/>
    </row>
    <row r="213" spans="1:146" s="1651" customFormat="1" ht="12.75" hidden="1" customHeight="1" outlineLevel="2">
      <c r="B213" s="4935" t="s">
        <v>286</v>
      </c>
      <c r="C213" s="4936"/>
      <c r="CH213" s="1725"/>
      <c r="CI213" s="1725"/>
      <c r="CJ213" s="1725"/>
      <c r="CK213" s="1725"/>
      <c r="CL213" s="1725"/>
      <c r="CM213" s="1725"/>
      <c r="CN213" s="1725"/>
    </row>
    <row r="214" spans="1:146" s="1651" customFormat="1" hidden="1" outlineLevel="1">
      <c r="B214" s="4952" t="s">
        <v>285</v>
      </c>
      <c r="C214" s="4953"/>
      <c r="CH214" s="1725"/>
      <c r="CI214" s="1725"/>
      <c r="CJ214" s="1725"/>
      <c r="CK214" s="1725"/>
      <c r="CL214" s="1725"/>
      <c r="CM214" s="1725"/>
      <c r="CN214" s="1725"/>
    </row>
    <row r="215" spans="1:146" s="1651" customFormat="1" hidden="1" outlineLevel="2">
      <c r="C215" s="1640"/>
    </row>
    <row r="216" spans="1:146" s="159" customFormat="1" ht="22.5" hidden="1" customHeight="1" outlineLevel="3">
      <c r="A216" s="1649" t="s">
        <v>2180</v>
      </c>
      <c r="B216" s="1650"/>
      <c r="C216" s="1729"/>
      <c r="D216" s="1652"/>
      <c r="E216" s="1652"/>
      <c r="F216" s="1652"/>
      <c r="G216" s="1651"/>
      <c r="H216" s="1651"/>
      <c r="I216" s="1651"/>
      <c r="J216" s="1651"/>
      <c r="K216" s="1651"/>
      <c r="L216" s="1651"/>
      <c r="M216" s="1651">
        <f>M237*1.3</f>
        <v>15405</v>
      </c>
      <c r="N216" s="1651">
        <f>N237*1.3</f>
        <v>0</v>
      </c>
      <c r="O216" s="1651">
        <f>O237*1.3</f>
        <v>0</v>
      </c>
      <c r="P216" s="1651">
        <f>P237*1.3</f>
        <v>16965</v>
      </c>
      <c r="Q216" s="1650"/>
      <c r="R216" s="1650"/>
      <c r="S216" s="1650"/>
      <c r="T216" s="1730"/>
      <c r="U216" s="1650"/>
      <c r="V216" s="1650"/>
      <c r="W216" s="1650"/>
      <c r="X216" s="1650"/>
      <c r="Y216" s="1650"/>
      <c r="Z216" s="1650"/>
      <c r="AA216" s="1650"/>
      <c r="AB216" s="1650"/>
      <c r="AC216" s="1651"/>
      <c r="AD216" s="1651"/>
      <c r="AE216" s="1651"/>
      <c r="AF216" s="1651"/>
      <c r="AG216" s="1651"/>
      <c r="AH216" s="1651"/>
      <c r="AI216" s="1651"/>
      <c r="AJ216" s="1651"/>
      <c r="AK216" s="1651"/>
      <c r="AL216" s="1651"/>
      <c r="AM216" s="1651"/>
      <c r="AN216" s="1651"/>
      <c r="AO216" s="1650"/>
      <c r="AP216" s="1650"/>
      <c r="AQ216" s="1650"/>
      <c r="AR216" s="1653"/>
      <c r="AS216" s="1651"/>
      <c r="AT216" s="1651"/>
      <c r="AU216" s="1651"/>
      <c r="AV216" s="1651"/>
      <c r="AW216" s="1651"/>
      <c r="AX216" s="1651"/>
      <c r="AY216" s="1651"/>
      <c r="AZ216" s="1651"/>
      <c r="BA216" s="1651"/>
      <c r="BB216" s="1651"/>
      <c r="BC216" s="1651"/>
      <c r="BD216" s="1651"/>
      <c r="BE216" s="1651"/>
      <c r="BF216" s="1651"/>
      <c r="BG216" s="1650"/>
      <c r="BH216" s="1651"/>
      <c r="BI216" s="1651"/>
      <c r="BJ216" s="1651"/>
      <c r="BK216" s="1651"/>
      <c r="BL216" s="1651"/>
      <c r="BM216" s="1651"/>
      <c r="BN216" s="1651"/>
      <c r="BO216" s="1651"/>
      <c r="BP216" s="1651"/>
      <c r="BQ216" s="1650"/>
      <c r="BR216" s="1651"/>
      <c r="BS216" s="1651"/>
      <c r="BT216" s="1651"/>
      <c r="BU216" s="1651"/>
      <c r="BV216" s="1651"/>
      <c r="BW216" s="1651"/>
      <c r="BX216" s="1651"/>
      <c r="BY216" s="1650"/>
      <c r="BZ216" s="1651"/>
      <c r="CA216" s="1651"/>
      <c r="CB216" s="1651"/>
      <c r="CC216" s="1651"/>
      <c r="CD216" s="1651"/>
      <c r="CE216" s="1651"/>
      <c r="CF216" s="1651"/>
      <c r="CG216" s="1651"/>
      <c r="CH216" s="1651"/>
      <c r="CI216" s="1651"/>
      <c r="CJ216" s="1651"/>
      <c r="CK216" s="1651"/>
      <c r="CL216" s="1651"/>
      <c r="CM216" s="1651"/>
      <c r="CN216" s="1651"/>
      <c r="CO216" s="1651"/>
      <c r="CP216" s="1651"/>
      <c r="CQ216" s="1651"/>
      <c r="CR216" s="1651"/>
      <c r="CS216" s="1651"/>
      <c r="CT216" s="1651"/>
      <c r="CU216" s="1651"/>
      <c r="CV216" s="1651"/>
      <c r="CW216" s="1651"/>
      <c r="CX216" s="1651"/>
      <c r="CY216" s="1651"/>
      <c r="CZ216" s="1651"/>
      <c r="DA216" s="1651"/>
      <c r="DB216" s="1651"/>
      <c r="DC216" s="1651"/>
      <c r="DD216" s="1650"/>
      <c r="DE216" s="1651"/>
      <c r="DF216" s="1651"/>
      <c r="DG216" s="1651"/>
      <c r="DH216" s="1651"/>
      <c r="DI216" s="1651"/>
      <c r="DJ216" s="1651"/>
      <c r="DK216" s="1651"/>
      <c r="DL216" s="1651"/>
      <c r="DM216" s="1651"/>
      <c r="DN216" s="1651"/>
      <c r="DO216" s="1651"/>
      <c r="DP216" s="1651"/>
      <c r="DQ216" s="1651"/>
      <c r="DR216" s="1651"/>
      <c r="DS216" s="1650"/>
      <c r="DT216" s="1651"/>
      <c r="DU216" s="1651"/>
      <c r="DV216" s="1651"/>
      <c r="DW216" s="1651"/>
      <c r="DX216" s="1651"/>
      <c r="DY216" s="1651"/>
      <c r="DZ216" s="1651"/>
      <c r="EA216" s="1651"/>
      <c r="EB216" s="1651"/>
      <c r="EC216" s="1651"/>
      <c r="ED216" s="1651"/>
      <c r="EE216" s="1651"/>
      <c r="EF216" s="1651"/>
      <c r="EG216" s="1651"/>
      <c r="EH216" s="1651"/>
      <c r="EI216" s="1651"/>
      <c r="EJ216" s="1651"/>
      <c r="EK216" s="1651"/>
      <c r="EL216" s="1651"/>
      <c r="EM216" s="1651"/>
      <c r="EN216" s="1651"/>
      <c r="EO216" s="1651"/>
      <c r="EP216" s="1651"/>
    </row>
    <row r="217" spans="1:146" s="1671" customFormat="1" ht="12.75" hidden="1" customHeight="1" outlineLevel="3">
      <c r="A217" s="5007" t="s">
        <v>1016</v>
      </c>
      <c r="B217" s="5008"/>
      <c r="C217" s="1654"/>
      <c r="D217" s="1735"/>
      <c r="E217" s="5009" t="s">
        <v>462</v>
      </c>
      <c r="F217" s="4980"/>
      <c r="G217" s="4980"/>
      <c r="H217" s="4980"/>
      <c r="I217" s="4980"/>
      <c r="J217" s="4980"/>
      <c r="K217" s="4980"/>
      <c r="L217" s="4980"/>
      <c r="M217" s="4980"/>
      <c r="N217" s="4980"/>
      <c r="O217" s="4980"/>
      <c r="P217" s="5010"/>
      <c r="Q217" s="1655"/>
      <c r="R217" s="1656"/>
      <c r="S217" s="1656"/>
      <c r="T217" s="1657" t="s">
        <v>89</v>
      </c>
      <c r="U217" s="1656"/>
      <c r="V217" s="1656"/>
      <c r="W217" s="1656"/>
      <c r="X217" s="1784"/>
      <c r="Y217" s="1784"/>
      <c r="Z217" s="1784"/>
      <c r="AA217" s="1784"/>
      <c r="AB217" s="1656"/>
      <c r="AC217" s="1656"/>
      <c r="AD217" s="1656"/>
      <c r="AE217" s="1656"/>
      <c r="AF217" s="1656"/>
      <c r="AG217" s="1656"/>
      <c r="AH217" s="1656"/>
      <c r="AI217" s="1656"/>
      <c r="AJ217" s="1656"/>
      <c r="AK217" s="1656"/>
      <c r="AL217" s="1656"/>
      <c r="AM217" s="1656"/>
      <c r="AN217" s="1656"/>
      <c r="AO217" s="1655"/>
      <c r="AP217" s="1656"/>
      <c r="AQ217" s="1656"/>
      <c r="AR217" s="5009" t="s">
        <v>1014</v>
      </c>
      <c r="AS217" s="4980"/>
      <c r="AT217" s="4980"/>
      <c r="AU217" s="4980"/>
      <c r="AV217" s="4980"/>
      <c r="AW217" s="4980"/>
      <c r="AX217" s="4980"/>
      <c r="AY217" s="4980"/>
      <c r="AZ217" s="4980"/>
      <c r="BA217" s="4980"/>
      <c r="BB217" s="5010"/>
      <c r="BC217" s="4982" t="s">
        <v>882</v>
      </c>
      <c r="BD217" s="4982" t="s">
        <v>883</v>
      </c>
      <c r="BE217" s="4907" t="s">
        <v>695</v>
      </c>
      <c r="BF217" s="4982" t="s">
        <v>1050</v>
      </c>
      <c r="BG217" s="1655"/>
      <c r="BH217" s="5056" t="s">
        <v>108</v>
      </c>
      <c r="BI217" s="5057"/>
      <c r="BJ217" s="5057"/>
      <c r="BK217" s="5057"/>
      <c r="BL217" s="5057"/>
      <c r="BM217" s="5057"/>
      <c r="BN217" s="5057"/>
      <c r="BO217" s="5057"/>
      <c r="BP217" s="5057"/>
      <c r="BQ217" s="1655"/>
      <c r="BR217" s="5058" t="s">
        <v>456</v>
      </c>
      <c r="BS217" s="5059"/>
      <c r="BT217" s="5059"/>
      <c r="BU217" s="5059"/>
      <c r="BV217" s="5059"/>
      <c r="BW217" s="5059"/>
      <c r="BX217" s="5060"/>
      <c r="BY217" s="1655"/>
      <c r="BZ217" s="5047" t="s">
        <v>1015</v>
      </c>
      <c r="CA217" s="5048"/>
      <c r="CB217" s="5048"/>
      <c r="CC217" s="5048"/>
      <c r="CD217" s="5048"/>
      <c r="CE217" s="5048"/>
      <c r="CF217" s="5048"/>
      <c r="CG217" s="5048"/>
      <c r="CH217" s="5048"/>
      <c r="CI217" s="5048"/>
      <c r="CJ217" s="5048"/>
      <c r="CK217" s="5048"/>
      <c r="CL217" s="5048"/>
      <c r="CM217" s="5048"/>
      <c r="CN217" s="5048"/>
      <c r="CO217" s="5048"/>
      <c r="CP217" s="5048"/>
      <c r="CQ217" s="5048"/>
      <c r="CR217" s="5048"/>
      <c r="CS217" s="5048"/>
      <c r="CT217" s="5048"/>
      <c r="CU217" s="5048"/>
      <c r="CV217" s="5048"/>
      <c r="CW217" s="5048"/>
      <c r="CX217" s="5048"/>
      <c r="CY217" s="5048"/>
      <c r="CZ217" s="5048"/>
      <c r="DA217" s="5048"/>
      <c r="DB217" s="5048"/>
      <c r="DC217" s="5048"/>
      <c r="DD217" s="1655"/>
      <c r="DE217" s="1658"/>
      <c r="DF217" s="1658"/>
      <c r="DG217" s="1658"/>
      <c r="DH217" s="1658"/>
      <c r="DI217" s="1658"/>
      <c r="DJ217" s="1658"/>
      <c r="DK217" s="1659" t="s">
        <v>1038</v>
      </c>
      <c r="DL217" s="1658"/>
      <c r="DM217" s="1658"/>
      <c r="DN217" s="1658"/>
      <c r="DO217" s="1658"/>
      <c r="DP217" s="1658"/>
      <c r="DQ217" s="1658"/>
      <c r="DR217" s="1660"/>
      <c r="DS217" s="1655"/>
      <c r="DT217" s="5028" t="s">
        <v>693</v>
      </c>
      <c r="DU217" s="5005"/>
      <c r="DV217" s="5005"/>
      <c r="DW217" s="5005"/>
      <c r="DX217" s="5005"/>
      <c r="DY217" s="5029"/>
      <c r="DZ217" s="159"/>
      <c r="EA217" s="159"/>
      <c r="EB217" s="159"/>
      <c r="EC217" s="159"/>
      <c r="ED217" s="159"/>
      <c r="EE217" s="159"/>
      <c r="EF217" s="159"/>
      <c r="EG217" s="159"/>
      <c r="EH217" s="159"/>
      <c r="EI217" s="159"/>
      <c r="EJ217" s="159"/>
      <c r="EK217" s="159"/>
      <c r="EL217" s="159"/>
      <c r="EM217" s="159"/>
      <c r="EN217" s="159"/>
      <c r="EO217" s="159"/>
      <c r="EP217" s="159"/>
    </row>
    <row r="218" spans="1:146" s="761" customFormat="1" ht="38.25" hidden="1" customHeight="1" outlineLevel="3">
      <c r="A218" s="4986" t="s">
        <v>725</v>
      </c>
      <c r="B218" s="4987"/>
      <c r="C218" s="1661"/>
      <c r="D218" s="1781"/>
      <c r="E218" s="4854" t="s">
        <v>1009</v>
      </c>
      <c r="F218" s="4855"/>
      <c r="G218" s="4855"/>
      <c r="H218" s="4855"/>
      <c r="I218" s="4855"/>
      <c r="J218" s="4855"/>
      <c r="K218" s="4855"/>
      <c r="L218" s="4856"/>
      <c r="M218" s="4854" t="s">
        <v>1023</v>
      </c>
      <c r="N218" s="4855"/>
      <c r="O218" s="4855"/>
      <c r="P218" s="4856"/>
      <c r="Q218" s="1662"/>
      <c r="R218" s="1663"/>
      <c r="S218" s="1663"/>
      <c r="T218" s="1664" t="s">
        <v>1026</v>
      </c>
      <c r="U218" s="1663"/>
      <c r="V218" s="1663"/>
      <c r="W218" s="1663"/>
      <c r="X218" s="1786"/>
      <c r="Y218" s="1786"/>
      <c r="Z218" s="1786"/>
      <c r="AA218" s="1786"/>
      <c r="AB218" s="1663"/>
      <c r="AC218" s="1663"/>
      <c r="AD218" s="1663"/>
      <c r="AE218" s="1663"/>
      <c r="AF218" s="1665"/>
      <c r="AG218" s="1666" t="s">
        <v>1027</v>
      </c>
      <c r="AH218" s="1667"/>
      <c r="AI218" s="1667"/>
      <c r="AJ218" s="1667"/>
      <c r="AK218" s="1667"/>
      <c r="AL218" s="1668"/>
      <c r="AM218" s="1669" t="s">
        <v>1028</v>
      </c>
      <c r="AN218" s="1670"/>
      <c r="AO218" s="1662"/>
      <c r="AP218" s="1663"/>
      <c r="AQ218" s="1663"/>
      <c r="AR218" s="4939" t="s">
        <v>1047</v>
      </c>
      <c r="AS218" s="4940"/>
      <c r="AT218" s="4940"/>
      <c r="AU218" s="4941"/>
      <c r="AV218" s="2601"/>
      <c r="AW218" s="4881" t="s">
        <v>1048</v>
      </c>
      <c r="AX218" s="4883" t="s">
        <v>1049</v>
      </c>
      <c r="AY218" s="4884"/>
      <c r="AZ218" s="4884"/>
      <c r="BA218" s="4884"/>
      <c r="BB218" s="4885"/>
      <c r="BC218" s="4983"/>
      <c r="BD218" s="4983"/>
      <c r="BE218" s="4985"/>
      <c r="BF218" s="4983"/>
      <c r="BG218" s="1662"/>
      <c r="BH218" s="4889" t="s">
        <v>709</v>
      </c>
      <c r="BI218" s="4890"/>
      <c r="BJ218" s="4891"/>
      <c r="BK218" s="4889" t="s">
        <v>1022</v>
      </c>
      <c r="BL218" s="4890"/>
      <c r="BM218" s="4891"/>
      <c r="BN218" s="4881" t="s">
        <v>1030</v>
      </c>
      <c r="BO218" s="4881" t="s">
        <v>743</v>
      </c>
      <c r="BP218" s="4881" t="s">
        <v>1029</v>
      </c>
      <c r="BQ218" s="1662"/>
      <c r="BR218" s="4895" t="s">
        <v>1052</v>
      </c>
      <c r="BS218" s="4896"/>
      <c r="BT218" s="4897"/>
      <c r="BU218" s="4901" t="s">
        <v>1053</v>
      </c>
      <c r="BV218" s="4902"/>
      <c r="BW218" s="4903"/>
      <c r="BX218" s="4907" t="s">
        <v>1054</v>
      </c>
      <c r="BY218" s="1662"/>
      <c r="BZ218" s="5032" t="s">
        <v>1020</v>
      </c>
      <c r="CA218" s="5033"/>
      <c r="CB218" s="5033"/>
      <c r="CC218" s="5033"/>
      <c r="CD218" s="5033"/>
      <c r="CE218" s="5033"/>
      <c r="CF218" s="5033"/>
      <c r="CG218" s="5033"/>
      <c r="CH218" s="5033"/>
      <c r="CI218" s="5033"/>
      <c r="CJ218" s="5033"/>
      <c r="CK218" s="5033"/>
      <c r="CL218" s="5033"/>
      <c r="CM218" s="5033"/>
      <c r="CN218" s="5034"/>
      <c r="CO218" s="5035" t="s">
        <v>1021</v>
      </c>
      <c r="CP218" s="5036"/>
      <c r="CQ218" s="5036"/>
      <c r="CR218" s="5036"/>
      <c r="CS218" s="5036"/>
      <c r="CT218" s="5036"/>
      <c r="CU218" s="5036"/>
      <c r="CV218" s="5036"/>
      <c r="CW218" s="5036"/>
      <c r="CX218" s="5036"/>
      <c r="CY218" s="5036"/>
      <c r="CZ218" s="5036"/>
      <c r="DA218" s="5036"/>
      <c r="DB218" s="5036"/>
      <c r="DC218" s="5036"/>
      <c r="DD218" s="1662"/>
      <c r="DE218" s="4963" t="s">
        <v>710</v>
      </c>
      <c r="DF218" s="4964"/>
      <c r="DG218" s="4963" t="s">
        <v>711</v>
      </c>
      <c r="DH218" s="4964"/>
      <c r="DI218" s="4963" t="s">
        <v>712</v>
      </c>
      <c r="DJ218" s="4964"/>
      <c r="DK218" s="5037" t="s">
        <v>713</v>
      </c>
      <c r="DL218" s="5038"/>
      <c r="DM218" s="5037" t="s">
        <v>714</v>
      </c>
      <c r="DN218" s="5043"/>
      <c r="DO218" s="5043"/>
      <c r="DP218" s="4950" t="s">
        <v>715</v>
      </c>
      <c r="DQ218" s="4950" t="s">
        <v>716</v>
      </c>
      <c r="DR218" s="4950" t="s">
        <v>717</v>
      </c>
      <c r="DS218" s="1662"/>
      <c r="DT218" s="5040" t="s">
        <v>1037</v>
      </c>
      <c r="DU218" s="5041"/>
      <c r="DV218" s="5042"/>
      <c r="DW218" s="2907"/>
      <c r="DX218" s="5040" t="s">
        <v>996</v>
      </c>
      <c r="DY218" s="5042"/>
      <c r="DZ218" s="1671"/>
      <c r="EA218" s="1671"/>
      <c r="EB218" s="1671"/>
      <c r="EC218" s="1671"/>
      <c r="ED218" s="1671"/>
      <c r="EE218" s="1671"/>
      <c r="EF218" s="1671"/>
      <c r="EG218" s="1671"/>
      <c r="EH218" s="1671"/>
      <c r="EI218" s="1671"/>
      <c r="EJ218" s="1671"/>
      <c r="EK218" s="1671"/>
      <c r="EL218" s="1671"/>
      <c r="EM218" s="1671"/>
      <c r="EN218" s="1671"/>
      <c r="EO218" s="1671"/>
      <c r="EP218" s="1671"/>
    </row>
    <row r="219" spans="1:146" s="1710" customFormat="1" ht="24" hidden="1" customHeight="1" outlineLevel="3">
      <c r="A219" s="4988"/>
      <c r="B219" s="4989"/>
      <c r="C219" s="1654"/>
      <c r="D219" s="1672"/>
      <c r="E219" s="1672" t="s">
        <v>971</v>
      </c>
      <c r="F219" s="1672" t="s">
        <v>970</v>
      </c>
      <c r="G219" s="1673" t="s">
        <v>18</v>
      </c>
      <c r="H219" s="1673" t="s">
        <v>380</v>
      </c>
      <c r="I219" s="1674" t="s">
        <v>705</v>
      </c>
      <c r="J219" s="1731" t="s">
        <v>1006</v>
      </c>
      <c r="K219" s="1676" t="s">
        <v>1459</v>
      </c>
      <c r="L219" s="753" t="s">
        <v>1008</v>
      </c>
      <c r="M219" s="5044" t="s">
        <v>1024</v>
      </c>
      <c r="N219" s="5045"/>
      <c r="O219" s="5046"/>
      <c r="P219" s="753" t="s">
        <v>1025</v>
      </c>
      <c r="Q219" s="1655"/>
      <c r="R219" s="1672"/>
      <c r="S219" s="1672" t="s">
        <v>1010</v>
      </c>
      <c r="T219" s="1657" t="s">
        <v>1013</v>
      </c>
      <c r="U219" s="1656"/>
      <c r="V219" s="1656"/>
      <c r="W219" s="1677"/>
      <c r="X219" s="2634"/>
      <c r="Y219" s="2634"/>
      <c r="Z219" s="2634"/>
      <c r="AA219" s="2634"/>
      <c r="AB219" s="1678" t="s">
        <v>92</v>
      </c>
      <c r="AC219" s="1678" t="s">
        <v>93</v>
      </c>
      <c r="AD219" s="1678"/>
      <c r="AE219" s="1679"/>
      <c r="AF219" s="1678" t="s">
        <v>257</v>
      </c>
      <c r="AG219" s="1680" t="s">
        <v>18</v>
      </c>
      <c r="AH219" s="2682"/>
      <c r="AI219" s="2682"/>
      <c r="AJ219" s="1680" t="s">
        <v>380</v>
      </c>
      <c r="AK219" s="754" t="s">
        <v>705</v>
      </c>
      <c r="AL219" s="754" t="s">
        <v>706</v>
      </c>
      <c r="AM219" s="1681" t="s">
        <v>1011</v>
      </c>
      <c r="AN219" s="1681" t="s">
        <v>1012</v>
      </c>
      <c r="AO219" s="1655"/>
      <c r="AP219" s="1672"/>
      <c r="AQ219" s="1672"/>
      <c r="AR219" s="4942"/>
      <c r="AS219" s="4943"/>
      <c r="AT219" s="4943"/>
      <c r="AU219" s="4944"/>
      <c r="AV219" s="2602"/>
      <c r="AW219" s="5030"/>
      <c r="AX219" s="4886"/>
      <c r="AY219" s="4887"/>
      <c r="AZ219" s="4887"/>
      <c r="BA219" s="4887"/>
      <c r="BB219" s="4888"/>
      <c r="BC219" s="5011"/>
      <c r="BD219" s="5011"/>
      <c r="BE219" s="5031"/>
      <c r="BF219" s="5011"/>
      <c r="BG219" s="1655"/>
      <c r="BH219" s="4892"/>
      <c r="BI219" s="4893"/>
      <c r="BJ219" s="4894"/>
      <c r="BK219" s="4892"/>
      <c r="BL219" s="4893"/>
      <c r="BM219" s="4894"/>
      <c r="BN219" s="5030"/>
      <c r="BO219" s="5030"/>
      <c r="BP219" s="5030"/>
      <c r="BQ219" s="1655"/>
      <c r="BR219" s="4898"/>
      <c r="BS219" s="4899"/>
      <c r="BT219" s="4900"/>
      <c r="BU219" s="4904"/>
      <c r="BV219" s="4905"/>
      <c r="BW219" s="4906"/>
      <c r="BX219" s="5031"/>
      <c r="BY219" s="1655"/>
      <c r="BZ219" s="5047" t="s">
        <v>447</v>
      </c>
      <c r="CA219" s="5048"/>
      <c r="CB219" s="5048"/>
      <c r="CC219" s="5049"/>
      <c r="CD219" s="5050" t="s">
        <v>448</v>
      </c>
      <c r="CE219" s="5051"/>
      <c r="CF219" s="5051"/>
      <c r="CG219" s="5052"/>
      <c r="CH219" s="5047" t="s">
        <v>445</v>
      </c>
      <c r="CI219" s="5048"/>
      <c r="CJ219" s="5049"/>
      <c r="CK219" s="5050" t="s">
        <v>446</v>
      </c>
      <c r="CL219" s="5051"/>
      <c r="CM219" s="5052"/>
      <c r="CN219" s="809" t="s">
        <v>449</v>
      </c>
      <c r="CO219" s="5053" t="s">
        <v>452</v>
      </c>
      <c r="CP219" s="5054"/>
      <c r="CQ219" s="5054"/>
      <c r="CR219" s="5055"/>
      <c r="CS219" s="5053" t="s">
        <v>453</v>
      </c>
      <c r="CT219" s="5054"/>
      <c r="CU219" s="5054"/>
      <c r="CV219" s="5055"/>
      <c r="CW219" s="5053" t="s">
        <v>889</v>
      </c>
      <c r="CX219" s="5054"/>
      <c r="CY219" s="5055"/>
      <c r="CZ219" s="5053" t="s">
        <v>890</v>
      </c>
      <c r="DA219" s="5054"/>
      <c r="DB219" s="5055"/>
      <c r="DC219" s="1683" t="s">
        <v>454</v>
      </c>
      <c r="DD219" s="1655"/>
      <c r="DE219" s="4965"/>
      <c r="DF219" s="4966"/>
      <c r="DG219" s="4965"/>
      <c r="DH219" s="4966"/>
      <c r="DI219" s="4965"/>
      <c r="DJ219" s="4966"/>
      <c r="DK219" s="1684" t="s">
        <v>189</v>
      </c>
      <c r="DL219" s="1684" t="s">
        <v>190</v>
      </c>
      <c r="DM219" s="1732" t="s">
        <v>187</v>
      </c>
      <c r="DN219" s="1732" t="s">
        <v>719</v>
      </c>
      <c r="DO219" s="1686" t="s">
        <v>720</v>
      </c>
      <c r="DP219" s="5039"/>
      <c r="DQ219" s="5039"/>
      <c r="DR219" s="5039"/>
      <c r="DS219" s="1655"/>
      <c r="DT219" s="1687" t="s">
        <v>1032</v>
      </c>
      <c r="DU219" s="1687" t="s">
        <v>1033</v>
      </c>
      <c r="DV219" s="1687" t="s">
        <v>1034</v>
      </c>
      <c r="DW219" s="2949"/>
      <c r="DX219" s="1687" t="s">
        <v>986</v>
      </c>
      <c r="DY219" s="1687" t="s">
        <v>987</v>
      </c>
      <c r="DZ219" s="761"/>
      <c r="EA219" s="761"/>
      <c r="EB219" s="761"/>
      <c r="EC219" s="761"/>
      <c r="ED219" s="761"/>
      <c r="EE219" s="761"/>
      <c r="EF219" s="761"/>
      <c r="EG219" s="761"/>
      <c r="EH219" s="761"/>
      <c r="EI219" s="761"/>
      <c r="EJ219" s="761"/>
      <c r="EK219" s="761"/>
      <c r="EL219" s="761"/>
      <c r="EM219" s="761"/>
      <c r="EN219" s="761"/>
      <c r="EO219" s="761"/>
      <c r="EP219" s="761"/>
    </row>
    <row r="220" spans="1:146" s="761" customFormat="1" ht="12.75" hidden="1" customHeight="1" outlineLevel="3">
      <c r="A220" s="5016" t="s">
        <v>1017</v>
      </c>
      <c r="B220" s="5017"/>
      <c r="C220" s="1688"/>
      <c r="D220" s="1689"/>
      <c r="E220" s="1689" t="s">
        <v>1041</v>
      </c>
      <c r="F220" s="1689" t="s">
        <v>1042</v>
      </c>
      <c r="G220" s="1690" t="s">
        <v>1043</v>
      </c>
      <c r="H220" s="1690" t="s">
        <v>1044</v>
      </c>
      <c r="I220" s="1691" t="s">
        <v>1045</v>
      </c>
      <c r="J220" s="1733" t="s">
        <v>1041</v>
      </c>
      <c r="K220" s="1693" t="s">
        <v>1046</v>
      </c>
      <c r="L220" s="1693" t="s">
        <v>440</v>
      </c>
      <c r="M220" s="1693" t="s">
        <v>492</v>
      </c>
      <c r="N220" s="1693" t="s">
        <v>491</v>
      </c>
      <c r="O220" s="1693" t="s">
        <v>707</v>
      </c>
      <c r="P220" s="1693" t="s">
        <v>708</v>
      </c>
      <c r="Q220" s="1694"/>
      <c r="R220" s="1689"/>
      <c r="S220" s="1689" t="s">
        <v>974</v>
      </c>
      <c r="T220" s="1695" t="s">
        <v>972</v>
      </c>
      <c r="U220" s="1695" t="s">
        <v>973</v>
      </c>
      <c r="V220" s="1695" t="s">
        <v>974</v>
      </c>
      <c r="W220" s="1695" t="s">
        <v>975</v>
      </c>
      <c r="X220" s="2635"/>
      <c r="Y220" s="2635"/>
      <c r="Z220" s="2635"/>
      <c r="AA220" s="2635"/>
      <c r="AB220" s="1695" t="s">
        <v>976</v>
      </c>
      <c r="AC220" s="1695" t="s">
        <v>977</v>
      </c>
      <c r="AD220" s="1695"/>
      <c r="AE220" s="1695"/>
      <c r="AF220" s="1695" t="s">
        <v>978</v>
      </c>
      <c r="AG220" s="1690" t="s">
        <v>973</v>
      </c>
      <c r="AH220" s="2683"/>
      <c r="AI220" s="2683"/>
      <c r="AJ220" s="1690" t="s">
        <v>973</v>
      </c>
      <c r="AK220" s="1696" t="s">
        <v>977</v>
      </c>
      <c r="AL220" s="1696" t="s">
        <v>980</v>
      </c>
      <c r="AM220" s="1697" t="s">
        <v>974</v>
      </c>
      <c r="AN220" s="1698" t="s">
        <v>972</v>
      </c>
      <c r="AO220" s="1694"/>
      <c r="AP220" s="1689"/>
      <c r="AQ220" s="1689"/>
      <c r="AR220" s="1693">
        <v>75</v>
      </c>
      <c r="AS220" s="1693">
        <v>150</v>
      </c>
      <c r="AT220" s="1693" t="s">
        <v>981</v>
      </c>
      <c r="AU220" s="1693" t="s">
        <v>981</v>
      </c>
      <c r="AV220" s="2695"/>
      <c r="AW220" s="1696" t="s">
        <v>207</v>
      </c>
      <c r="AX220" s="1699">
        <v>75</v>
      </c>
      <c r="AY220" s="1699">
        <v>100</v>
      </c>
      <c r="AZ220" s="1699">
        <v>120</v>
      </c>
      <c r="BA220" s="1699">
        <v>150</v>
      </c>
      <c r="BB220" s="1699">
        <v>200</v>
      </c>
      <c r="BC220" s="1700" t="s">
        <v>1051</v>
      </c>
      <c r="BD220" s="1701" t="s">
        <v>982</v>
      </c>
      <c r="BE220" s="1702"/>
      <c r="BF220" s="1703" t="s">
        <v>983</v>
      </c>
      <c r="BG220" s="1694"/>
      <c r="BH220" s="1696">
        <v>75</v>
      </c>
      <c r="BI220" s="1696">
        <v>90</v>
      </c>
      <c r="BJ220" s="1696">
        <v>110</v>
      </c>
      <c r="BK220" s="1696">
        <v>75</v>
      </c>
      <c r="BL220" s="1696">
        <v>90</v>
      </c>
      <c r="BM220" s="1696">
        <v>110</v>
      </c>
      <c r="BN220" s="1696" t="s">
        <v>979</v>
      </c>
      <c r="BO220" s="1696" t="s">
        <v>978</v>
      </c>
      <c r="BP220" s="1696" t="s">
        <v>978</v>
      </c>
      <c r="BQ220" s="1694"/>
      <c r="BR220" s="1704" t="s">
        <v>383</v>
      </c>
      <c r="BS220" s="1704" t="s">
        <v>381</v>
      </c>
      <c r="BT220" s="1704" t="s">
        <v>384</v>
      </c>
      <c r="BU220" s="1704" t="s">
        <v>385</v>
      </c>
      <c r="BV220" s="1704" t="s">
        <v>386</v>
      </c>
      <c r="BW220" s="1704" t="s">
        <v>387</v>
      </c>
      <c r="BX220" s="1704" t="s">
        <v>388</v>
      </c>
      <c r="BY220" s="1694"/>
      <c r="BZ220" s="1705" t="s">
        <v>1039</v>
      </c>
      <c r="CA220" s="1705" t="s">
        <v>467</v>
      </c>
      <c r="CB220" s="1705" t="s">
        <v>466</v>
      </c>
      <c r="CC220" s="1705" t="s">
        <v>470</v>
      </c>
      <c r="CD220" s="1705" t="s">
        <v>468</v>
      </c>
      <c r="CE220" s="1705" t="s">
        <v>467</v>
      </c>
      <c r="CF220" s="1705" t="s">
        <v>466</v>
      </c>
      <c r="CG220" s="1705" t="s">
        <v>470</v>
      </c>
      <c r="CH220" s="1705" t="s">
        <v>468</v>
      </c>
      <c r="CI220" s="1705" t="s">
        <v>467</v>
      </c>
      <c r="CJ220" s="1705" t="s">
        <v>466</v>
      </c>
      <c r="CK220" s="1705" t="s">
        <v>468</v>
      </c>
      <c r="CL220" s="1705" t="s">
        <v>467</v>
      </c>
      <c r="CM220" s="1705" t="s">
        <v>466</v>
      </c>
      <c r="CN220" s="1706" t="s">
        <v>469</v>
      </c>
      <c r="CO220" s="1699" t="s">
        <v>476</v>
      </c>
      <c r="CP220" s="1699" t="s">
        <v>477</v>
      </c>
      <c r="CQ220" s="1699" t="s">
        <v>478</v>
      </c>
      <c r="CR220" s="1699" t="s">
        <v>479</v>
      </c>
      <c r="CS220" s="1699" t="s">
        <v>476</v>
      </c>
      <c r="CT220" s="1699" t="s">
        <v>477</v>
      </c>
      <c r="CU220" s="1699" t="s">
        <v>478</v>
      </c>
      <c r="CV220" s="1699" t="s">
        <v>480</v>
      </c>
      <c r="CW220" s="1699" t="s">
        <v>472</v>
      </c>
      <c r="CX220" s="1699" t="s">
        <v>473</v>
      </c>
      <c r="CY220" s="1699" t="s">
        <v>474</v>
      </c>
      <c r="CZ220" s="1699" t="s">
        <v>472</v>
      </c>
      <c r="DA220" s="1699" t="s">
        <v>473</v>
      </c>
      <c r="DB220" s="1699" t="s">
        <v>474</v>
      </c>
      <c r="DC220" s="1699" t="s">
        <v>475</v>
      </c>
      <c r="DD220" s="1694"/>
      <c r="DE220" s="1707" t="s">
        <v>119</v>
      </c>
      <c r="DF220" s="1707" t="s">
        <v>120</v>
      </c>
      <c r="DG220" s="1707" t="s">
        <v>119</v>
      </c>
      <c r="DH220" s="1707" t="s">
        <v>120</v>
      </c>
      <c r="DI220" s="1707" t="s">
        <v>119</v>
      </c>
      <c r="DJ220" s="1707" t="s">
        <v>120</v>
      </c>
      <c r="DK220" s="1707" t="s">
        <v>121</v>
      </c>
      <c r="DL220" s="1707" t="s">
        <v>122</v>
      </c>
      <c r="DM220" s="1734" t="s">
        <v>1035</v>
      </c>
      <c r="DN220" s="1734" t="s">
        <v>1036</v>
      </c>
      <c r="DO220" s="1734" t="s">
        <v>1035</v>
      </c>
      <c r="DP220" s="1707" t="s">
        <v>124</v>
      </c>
      <c r="DQ220" s="1707" t="s">
        <v>125</v>
      </c>
      <c r="DR220" s="1707" t="s">
        <v>126</v>
      </c>
      <c r="DS220" s="1694"/>
      <c r="DT220" s="1702" t="s">
        <v>985</v>
      </c>
      <c r="DU220" s="1702" t="s">
        <v>985</v>
      </c>
      <c r="DV220" s="1709" t="s">
        <v>984</v>
      </c>
      <c r="DW220" s="2953"/>
      <c r="DX220" s="1702" t="s">
        <v>985</v>
      </c>
      <c r="DY220" s="1702" t="s">
        <v>985</v>
      </c>
      <c r="DZ220" s="1710"/>
      <c r="EA220" s="1710"/>
      <c r="EB220" s="1710"/>
      <c r="EC220" s="1710"/>
      <c r="ED220" s="1710"/>
      <c r="EE220" s="1710"/>
      <c r="EF220" s="1710"/>
      <c r="EG220" s="1710"/>
      <c r="EH220" s="1710"/>
      <c r="EI220" s="1710"/>
      <c r="EJ220" s="1710"/>
      <c r="EK220" s="1710"/>
      <c r="EL220" s="1710"/>
      <c r="EM220" s="1710"/>
      <c r="EN220" s="1710"/>
      <c r="EO220" s="1710"/>
      <c r="EP220" s="1710"/>
    </row>
    <row r="221" spans="1:146" s="761" customFormat="1" ht="51" hidden="1" outlineLevel="3">
      <c r="A221" s="4995" t="s">
        <v>1018</v>
      </c>
      <c r="B221" s="4996"/>
      <c r="C221" s="1735"/>
      <c r="D221" s="1711"/>
      <c r="E221" s="1711"/>
      <c r="F221" s="1736"/>
      <c r="G221" s="1737"/>
      <c r="H221" s="1737"/>
      <c r="I221" s="1737"/>
      <c r="J221" s="1738"/>
      <c r="K221" s="1713"/>
      <c r="L221" s="1713"/>
      <c r="M221" s="1713"/>
      <c r="N221" s="1713"/>
      <c r="O221" s="1713"/>
      <c r="P221" s="1713"/>
      <c r="Q221" s="1714"/>
      <c r="R221" s="1715"/>
      <c r="S221" s="1715" t="s">
        <v>1059</v>
      </c>
      <c r="T221" s="1739"/>
      <c r="U221" s="1712">
        <v>1.1000000000000001</v>
      </c>
      <c r="V221" s="1715" t="s">
        <v>1058</v>
      </c>
      <c r="W221" s="1712">
        <v>1.1000000000000001</v>
      </c>
      <c r="X221" s="1712"/>
      <c r="Y221" s="1712"/>
      <c r="Z221" s="1712"/>
      <c r="AA221" s="1712"/>
      <c r="AB221" s="1712">
        <v>1.6</v>
      </c>
      <c r="AC221" s="1712">
        <f>AB221</f>
        <v>1.6</v>
      </c>
      <c r="AD221" s="1712"/>
      <c r="AE221" s="1712"/>
      <c r="AF221" s="1712">
        <v>1.2</v>
      </c>
      <c r="AG221" s="1715" t="s">
        <v>1058</v>
      </c>
      <c r="AH221" s="2690"/>
      <c r="AI221" s="2690"/>
      <c r="AJ221" s="1712">
        <v>1.05</v>
      </c>
      <c r="AK221" s="1715" t="s">
        <v>1060</v>
      </c>
      <c r="AL221" s="1715" t="s">
        <v>1061</v>
      </c>
      <c r="AM221" s="1715" t="s">
        <v>1063</v>
      </c>
      <c r="AN221" s="1715" t="s">
        <v>1062</v>
      </c>
      <c r="AO221" s="1714"/>
      <c r="AP221" s="1715"/>
      <c r="AQ221" s="1715"/>
      <c r="AR221" s="1712">
        <v>0.9</v>
      </c>
      <c r="AS221" s="1712">
        <v>1.75</v>
      </c>
      <c r="AT221" s="1712"/>
      <c r="AU221" s="1712"/>
      <c r="AV221" s="1712"/>
      <c r="AW221" s="1712">
        <v>1.45</v>
      </c>
      <c r="AX221" s="1715" t="s">
        <v>1064</v>
      </c>
      <c r="AY221" s="1716"/>
      <c r="AZ221" s="1716"/>
      <c r="BA221" s="1715" t="s">
        <v>1065</v>
      </c>
      <c r="BB221" s="1716"/>
      <c r="BC221" s="1712">
        <v>7.4999999999999997E-2</v>
      </c>
      <c r="BD221" s="1712">
        <v>0.65</v>
      </c>
      <c r="BE221" s="1715" t="s">
        <v>1066</v>
      </c>
      <c r="BF221" s="1715" t="s">
        <v>1067</v>
      </c>
      <c r="BG221" s="1714"/>
      <c r="BH221" s="1712">
        <v>0.85</v>
      </c>
      <c r="BI221" s="1712">
        <v>0.85</v>
      </c>
      <c r="BJ221" s="1712">
        <v>0.85</v>
      </c>
      <c r="BK221" s="1712">
        <v>1.05</v>
      </c>
      <c r="BL221" s="1712">
        <v>1.05</v>
      </c>
      <c r="BM221" s="1712">
        <v>1.05</v>
      </c>
      <c r="BN221" s="1715">
        <v>0.9</v>
      </c>
      <c r="BO221" s="1715">
        <v>0.9</v>
      </c>
      <c r="BP221" s="1715">
        <v>0.9</v>
      </c>
      <c r="BQ221" s="1714"/>
      <c r="BR221" s="1717"/>
      <c r="BS221" s="1712">
        <v>1.05</v>
      </c>
      <c r="BT221" s="1712">
        <v>1.05</v>
      </c>
      <c r="BU221" s="1717"/>
      <c r="BV221" s="1712">
        <v>1.05</v>
      </c>
      <c r="BW221" s="1712">
        <v>1.05</v>
      </c>
      <c r="BX221" s="1712">
        <v>2.2999999999999998</v>
      </c>
      <c r="BY221" s="1714"/>
      <c r="BZ221" s="1713"/>
      <c r="CA221" s="1713"/>
      <c r="CB221" s="1713"/>
      <c r="CC221" s="1713"/>
      <c r="CD221" s="1713"/>
      <c r="CE221" s="1713"/>
      <c r="CF221" s="1713"/>
      <c r="CG221" s="1713"/>
      <c r="CH221" s="1713"/>
      <c r="CI221" s="1713"/>
      <c r="CJ221" s="1713"/>
      <c r="CK221" s="1713"/>
      <c r="CL221" s="1713"/>
      <c r="CM221" s="1713"/>
      <c r="CN221" s="1713"/>
      <c r="CO221" s="1718">
        <v>1.45</v>
      </c>
      <c r="CP221" s="5018" t="s">
        <v>1069</v>
      </c>
      <c r="CQ221" s="5019"/>
      <c r="CR221" s="5019"/>
      <c r="CS221" s="5019"/>
      <c r="CT221" s="5019"/>
      <c r="CU221" s="5019"/>
      <c r="CV221" s="5019"/>
      <c r="CW221" s="5019"/>
      <c r="CX221" s="5019"/>
      <c r="CY221" s="5019"/>
      <c r="CZ221" s="5019"/>
      <c r="DA221" s="5019"/>
      <c r="DB221" s="5019"/>
      <c r="DC221" s="5020"/>
      <c r="DD221" s="1714"/>
      <c r="DE221" s="1715">
        <v>1.1499999999999999</v>
      </c>
      <c r="DF221" s="1715">
        <v>1.1499999999999999</v>
      </c>
      <c r="DG221" s="1715">
        <v>1.1000000000000001</v>
      </c>
      <c r="DH221" s="1715">
        <v>1.2</v>
      </c>
      <c r="DI221" s="1715">
        <v>1.05</v>
      </c>
      <c r="DJ221" s="1715">
        <v>1.1499999999999999</v>
      </c>
      <c r="DK221" s="1713"/>
      <c r="DL221" s="1715">
        <v>1.05</v>
      </c>
      <c r="DM221" s="1715">
        <v>1.45</v>
      </c>
      <c r="DN221" s="1715" t="s">
        <v>1070</v>
      </c>
      <c r="DO221" s="1715" t="s">
        <v>1070</v>
      </c>
      <c r="DP221" s="1715">
        <v>1.05</v>
      </c>
      <c r="DQ221" s="1715">
        <v>1.1499999999999999</v>
      </c>
      <c r="DR221" s="1715" t="s">
        <v>1062</v>
      </c>
      <c r="DS221" s="1714"/>
      <c r="DT221" s="1712">
        <v>0.8</v>
      </c>
      <c r="DU221" s="1712" t="s">
        <v>1152</v>
      </c>
      <c r="DV221" s="1713"/>
      <c r="DW221" s="2955"/>
      <c r="DX221" s="1712">
        <f>DT221</f>
        <v>0.8</v>
      </c>
      <c r="DY221" s="1712">
        <f>DT221</f>
        <v>0.8</v>
      </c>
    </row>
    <row r="222" spans="1:146" s="761" customFormat="1" ht="15.75" hidden="1" outlineLevel="3">
      <c r="A222" s="5096" t="s">
        <v>910</v>
      </c>
      <c r="B222" s="5097"/>
      <c r="C222" s="1745">
        <v>0.3</v>
      </c>
      <c r="D222" s="763"/>
      <c r="E222" s="763">
        <v>0</v>
      </c>
      <c r="F222" s="764">
        <v>0</v>
      </c>
      <c r="G222" s="765">
        <v>0</v>
      </c>
      <c r="H222" s="766">
        <v>0</v>
      </c>
      <c r="I222" s="781">
        <v>0</v>
      </c>
      <c r="J222" s="1175">
        <v>0</v>
      </c>
      <c r="K222" s="751">
        <v>0</v>
      </c>
      <c r="L222" s="751">
        <v>0</v>
      </c>
      <c r="M222" s="768">
        <v>13983</v>
      </c>
      <c r="N222" s="753">
        <v>0</v>
      </c>
      <c r="O222" s="753">
        <v>0</v>
      </c>
      <c r="P222" s="767">
        <v>15399</v>
      </c>
      <c r="Q222" s="762"/>
      <c r="R222" s="764"/>
      <c r="S222" s="764">
        <v>0</v>
      </c>
      <c r="T222" s="1144">
        <v>0</v>
      </c>
      <c r="U222" s="769">
        <v>0</v>
      </c>
      <c r="V222" s="769">
        <v>0</v>
      </c>
      <c r="W222" s="769">
        <v>0</v>
      </c>
      <c r="X222" s="1807"/>
      <c r="Y222" s="1807"/>
      <c r="Z222" s="1807"/>
      <c r="AA222" s="1807"/>
      <c r="AB222" s="769">
        <v>0</v>
      </c>
      <c r="AC222" s="769">
        <v>0</v>
      </c>
      <c r="AD222" s="764"/>
      <c r="AE222" s="770"/>
      <c r="AF222" s="764">
        <v>0</v>
      </c>
      <c r="AG222" s="765">
        <v>0</v>
      </c>
      <c r="AH222" s="2665"/>
      <c r="AI222" s="2665"/>
      <c r="AJ222" s="766">
        <v>0</v>
      </c>
      <c r="AK222" s="754">
        <v>0</v>
      </c>
      <c r="AL222" s="754">
        <v>0</v>
      </c>
      <c r="AM222" s="757">
        <v>0</v>
      </c>
      <c r="AN222" s="757">
        <v>0</v>
      </c>
      <c r="AO222" s="762"/>
      <c r="AP222" s="764"/>
      <c r="AQ222" s="764"/>
      <c r="AR222" s="769">
        <v>0</v>
      </c>
      <c r="AS222" s="769">
        <v>0</v>
      </c>
      <c r="AT222" s="769">
        <v>0</v>
      </c>
      <c r="AU222" s="769">
        <v>0</v>
      </c>
      <c r="AV222" s="2664"/>
      <c r="AW222" s="754">
        <v>0</v>
      </c>
      <c r="AX222" s="757">
        <v>0</v>
      </c>
      <c r="AY222" s="757">
        <v>0</v>
      </c>
      <c r="AZ222" s="757">
        <v>0</v>
      </c>
      <c r="BA222" s="757">
        <v>0</v>
      </c>
      <c r="BB222" s="757">
        <v>0</v>
      </c>
      <c r="BC222" s="769">
        <v>0</v>
      </c>
      <c r="BD222" s="769">
        <v>0</v>
      </c>
      <c r="BE222" s="759">
        <v>0</v>
      </c>
      <c r="BF222" s="767">
        <v>0</v>
      </c>
      <c r="BG222" s="762"/>
      <c r="BH222" s="771">
        <v>0</v>
      </c>
      <c r="BI222" s="771">
        <v>0</v>
      </c>
      <c r="BJ222" s="771">
        <v>0</v>
      </c>
      <c r="BK222" s="771">
        <v>0</v>
      </c>
      <c r="BL222" s="771">
        <v>0</v>
      </c>
      <c r="BM222" s="771">
        <v>0</v>
      </c>
      <c r="BN222" s="754">
        <v>0</v>
      </c>
      <c r="BO222" s="754">
        <v>0</v>
      </c>
      <c r="BP222" s="754">
        <v>0</v>
      </c>
      <c r="BQ222" s="762"/>
      <c r="BR222" s="763">
        <v>0</v>
      </c>
      <c r="BS222" s="773">
        <v>0</v>
      </c>
      <c r="BT222" s="773">
        <v>0</v>
      </c>
      <c r="BU222" s="760">
        <v>0</v>
      </c>
      <c r="BV222" s="760">
        <v>0</v>
      </c>
      <c r="BW222" s="760">
        <v>0</v>
      </c>
      <c r="BX222" s="760">
        <v>0</v>
      </c>
      <c r="BY222" s="762"/>
      <c r="BZ222" s="774">
        <v>0</v>
      </c>
      <c r="CA222" s="755">
        <v>0</v>
      </c>
      <c r="CB222" s="755">
        <v>0</v>
      </c>
      <c r="CC222" s="755">
        <v>0</v>
      </c>
      <c r="CD222" s="806">
        <v>0</v>
      </c>
      <c r="CE222" s="755">
        <v>0</v>
      </c>
      <c r="CF222" s="755">
        <v>0</v>
      </c>
      <c r="CG222" s="755">
        <v>0</v>
      </c>
      <c r="CH222" s="809">
        <v>0</v>
      </c>
      <c r="CI222" s="756">
        <v>0</v>
      </c>
      <c r="CJ222" s="756">
        <v>0</v>
      </c>
      <c r="CK222" s="806">
        <v>0</v>
      </c>
      <c r="CL222" s="755">
        <v>0</v>
      </c>
      <c r="CM222" s="755">
        <v>0</v>
      </c>
      <c r="CN222" s="756">
        <v>0</v>
      </c>
      <c r="CO222" s="757">
        <v>0</v>
      </c>
      <c r="CP222" s="757">
        <v>0</v>
      </c>
      <c r="CQ222" s="757">
        <v>0</v>
      </c>
      <c r="CR222" s="757">
        <v>0</v>
      </c>
      <c r="CS222" s="757">
        <v>0</v>
      </c>
      <c r="CT222" s="757">
        <v>0</v>
      </c>
      <c r="CU222" s="757">
        <v>0</v>
      </c>
      <c r="CV222" s="757">
        <v>0</v>
      </c>
      <c r="CW222" s="757">
        <v>0</v>
      </c>
      <c r="CX222" s="757">
        <v>0</v>
      </c>
      <c r="CY222" s="757">
        <v>0</v>
      </c>
      <c r="CZ222" s="757">
        <v>0</v>
      </c>
      <c r="DA222" s="757">
        <v>0</v>
      </c>
      <c r="DB222" s="757">
        <v>0</v>
      </c>
      <c r="DC222" s="757">
        <v>0</v>
      </c>
      <c r="DD222" s="762"/>
      <c r="DE222" s="752">
        <v>0</v>
      </c>
      <c r="DF222" s="752">
        <v>0</v>
      </c>
      <c r="DG222" s="752">
        <v>0</v>
      </c>
      <c r="DH222" s="752">
        <v>0</v>
      </c>
      <c r="DI222" s="752">
        <v>0</v>
      </c>
      <c r="DJ222" s="752">
        <v>0</v>
      </c>
      <c r="DK222" s="775">
        <v>0</v>
      </c>
      <c r="DL222" s="752">
        <v>0</v>
      </c>
      <c r="DM222" s="752">
        <v>0</v>
      </c>
      <c r="DN222" s="752">
        <v>0</v>
      </c>
      <c r="DO222" s="752">
        <v>0</v>
      </c>
      <c r="DP222" s="752">
        <v>0</v>
      </c>
      <c r="DQ222" s="752">
        <v>0</v>
      </c>
      <c r="DR222" s="752">
        <v>0</v>
      </c>
      <c r="DS222" s="776"/>
      <c r="DT222" s="759">
        <v>0</v>
      </c>
      <c r="DU222" s="760">
        <v>0</v>
      </c>
      <c r="DV222" s="760">
        <v>0</v>
      </c>
      <c r="DW222" s="2952"/>
      <c r="DX222" s="760">
        <v>0</v>
      </c>
      <c r="DY222" s="760">
        <v>0</v>
      </c>
      <c r="EA222" s="811"/>
      <c r="EB222" s="812"/>
      <c r="EC222" s="2960"/>
      <c r="ED222" s="2960"/>
      <c r="EE222" s="811"/>
      <c r="EF222" s="812"/>
      <c r="EG222" s="811"/>
      <c r="EH222" s="812"/>
      <c r="EI222" s="811"/>
      <c r="EJ222" s="812"/>
    </row>
    <row r="223" spans="1:146" s="761" customFormat="1" ht="15.75" hidden="1" customHeight="1" outlineLevel="3">
      <c r="A223" s="1719" t="s">
        <v>206</v>
      </c>
      <c r="B223" s="1720" t="s">
        <v>391</v>
      </c>
      <c r="C223" s="1745">
        <v>0.18</v>
      </c>
      <c r="D223" s="763"/>
      <c r="E223" s="763">
        <v>1463.1999999999998</v>
      </c>
      <c r="F223" s="764">
        <v>0</v>
      </c>
      <c r="G223" s="765">
        <v>1593</v>
      </c>
      <c r="H223" s="766">
        <v>0</v>
      </c>
      <c r="I223" s="781">
        <v>0</v>
      </c>
      <c r="J223" s="1175">
        <v>1463.1999999999998</v>
      </c>
      <c r="K223" s="751">
        <v>2950</v>
      </c>
      <c r="L223" s="751">
        <v>3127</v>
      </c>
      <c r="M223" s="768">
        <v>0</v>
      </c>
      <c r="N223" s="753">
        <v>0</v>
      </c>
      <c r="O223" s="753">
        <v>0</v>
      </c>
      <c r="P223" s="767">
        <v>0</v>
      </c>
      <c r="Q223" s="762"/>
      <c r="R223" s="764"/>
      <c r="S223" s="764">
        <v>0</v>
      </c>
      <c r="T223" s="1144">
        <v>790.59999999999991</v>
      </c>
      <c r="U223" s="769">
        <v>885</v>
      </c>
      <c r="V223" s="769">
        <v>885</v>
      </c>
      <c r="W223" s="769">
        <v>1003</v>
      </c>
      <c r="X223" s="1807"/>
      <c r="Y223" s="1807"/>
      <c r="Z223" s="1807"/>
      <c r="AA223" s="1807"/>
      <c r="AB223" s="769">
        <v>0</v>
      </c>
      <c r="AC223" s="769">
        <v>1416</v>
      </c>
      <c r="AD223" s="764"/>
      <c r="AE223" s="770"/>
      <c r="AF223" s="764">
        <v>0</v>
      </c>
      <c r="AG223" s="765">
        <v>885</v>
      </c>
      <c r="AH223" s="2665"/>
      <c r="AI223" s="2665"/>
      <c r="AJ223" s="766">
        <v>0</v>
      </c>
      <c r="AK223" s="754">
        <v>0</v>
      </c>
      <c r="AL223" s="754">
        <v>0</v>
      </c>
      <c r="AM223" s="757">
        <v>0</v>
      </c>
      <c r="AN223" s="757">
        <v>790.59999999999991</v>
      </c>
      <c r="AO223" s="762"/>
      <c r="AP223" s="764"/>
      <c r="AQ223" s="764"/>
      <c r="AR223" s="769">
        <v>767</v>
      </c>
      <c r="AS223" s="769">
        <v>1357</v>
      </c>
      <c r="AT223" s="769">
        <v>106.19999999999999</v>
      </c>
      <c r="AU223" s="769">
        <v>106.19999999999999</v>
      </c>
      <c r="AV223" s="2664"/>
      <c r="AW223" s="754">
        <v>0</v>
      </c>
      <c r="AX223" s="757">
        <v>767</v>
      </c>
      <c r="AY223" s="757">
        <v>1026.5999999999999</v>
      </c>
      <c r="AZ223" s="757">
        <v>1227.2</v>
      </c>
      <c r="BA223" s="757">
        <v>1357</v>
      </c>
      <c r="BB223" s="757">
        <v>1746.3999999999999</v>
      </c>
      <c r="BC223" s="769">
        <v>57.524999999999999</v>
      </c>
      <c r="BD223" s="769">
        <v>590</v>
      </c>
      <c r="BE223" s="759">
        <v>590</v>
      </c>
      <c r="BF223" s="767">
        <v>1357</v>
      </c>
      <c r="BG223" s="762"/>
      <c r="BH223" s="771">
        <v>708</v>
      </c>
      <c r="BI223" s="771">
        <v>826</v>
      </c>
      <c r="BJ223" s="771">
        <v>826</v>
      </c>
      <c r="BK223" s="771">
        <v>767</v>
      </c>
      <c r="BL223" s="771">
        <v>885</v>
      </c>
      <c r="BM223" s="771">
        <v>885</v>
      </c>
      <c r="BN223" s="754">
        <v>0</v>
      </c>
      <c r="BO223" s="754">
        <v>0</v>
      </c>
      <c r="BP223" s="754">
        <v>0</v>
      </c>
      <c r="BQ223" s="762"/>
      <c r="BR223" s="763">
        <v>1947</v>
      </c>
      <c r="BS223" s="773">
        <v>2065</v>
      </c>
      <c r="BT223" s="773">
        <v>2183</v>
      </c>
      <c r="BU223" s="760">
        <v>0</v>
      </c>
      <c r="BV223" s="760">
        <v>0</v>
      </c>
      <c r="BW223" s="760">
        <v>0</v>
      </c>
      <c r="BX223" s="760">
        <v>0</v>
      </c>
      <c r="BY223" s="762"/>
      <c r="BZ223" s="774">
        <v>590</v>
      </c>
      <c r="CA223" s="755">
        <v>649</v>
      </c>
      <c r="CB223" s="755">
        <v>708</v>
      </c>
      <c r="CC223" s="755">
        <v>767</v>
      </c>
      <c r="CD223" s="806">
        <v>649</v>
      </c>
      <c r="CE223" s="755">
        <v>708</v>
      </c>
      <c r="CF223" s="755">
        <v>767</v>
      </c>
      <c r="CG223" s="755">
        <v>826</v>
      </c>
      <c r="CH223" s="809">
        <v>0</v>
      </c>
      <c r="CI223" s="756">
        <v>0</v>
      </c>
      <c r="CJ223" s="756">
        <v>0</v>
      </c>
      <c r="CK223" s="806">
        <v>649</v>
      </c>
      <c r="CL223" s="755">
        <v>708</v>
      </c>
      <c r="CM223" s="755">
        <v>767</v>
      </c>
      <c r="CN223" s="756">
        <v>0</v>
      </c>
      <c r="CO223" s="757">
        <v>944</v>
      </c>
      <c r="CP223" s="757">
        <v>1062</v>
      </c>
      <c r="CQ223" s="757">
        <v>1121</v>
      </c>
      <c r="CR223" s="757">
        <v>1239</v>
      </c>
      <c r="CS223" s="757">
        <v>1062</v>
      </c>
      <c r="CT223" s="757">
        <v>1121</v>
      </c>
      <c r="CU223" s="757">
        <v>1239</v>
      </c>
      <c r="CV223" s="757">
        <v>1298</v>
      </c>
      <c r="CW223" s="757">
        <v>0</v>
      </c>
      <c r="CX223" s="757">
        <v>0</v>
      </c>
      <c r="CY223" s="757">
        <v>0</v>
      </c>
      <c r="CZ223" s="757">
        <v>1121</v>
      </c>
      <c r="DA223" s="757">
        <v>1239</v>
      </c>
      <c r="DB223" s="757">
        <v>1298</v>
      </c>
      <c r="DC223" s="757">
        <v>0</v>
      </c>
      <c r="DD223" s="762"/>
      <c r="DE223" s="752">
        <v>4484</v>
      </c>
      <c r="DF223" s="752">
        <v>5192</v>
      </c>
      <c r="DG223" s="752">
        <v>4956</v>
      </c>
      <c r="DH223" s="752">
        <v>5959</v>
      </c>
      <c r="DI223" s="752">
        <v>0</v>
      </c>
      <c r="DJ223" s="752">
        <v>0</v>
      </c>
      <c r="DK223" s="775">
        <v>3894</v>
      </c>
      <c r="DL223" s="752">
        <v>4130</v>
      </c>
      <c r="DM223" s="752">
        <v>0</v>
      </c>
      <c r="DN223" s="752">
        <v>0</v>
      </c>
      <c r="DO223" s="752">
        <v>0</v>
      </c>
      <c r="DP223" s="752">
        <v>1652</v>
      </c>
      <c r="DQ223" s="752">
        <v>1947</v>
      </c>
      <c r="DR223" s="752">
        <v>826</v>
      </c>
      <c r="DS223" s="776"/>
      <c r="DT223" s="759">
        <v>7788</v>
      </c>
      <c r="DU223" s="760">
        <v>0</v>
      </c>
      <c r="DV223" s="760">
        <v>0</v>
      </c>
      <c r="DW223" s="2952"/>
      <c r="DX223" s="760">
        <v>0</v>
      </c>
      <c r="DY223" s="760">
        <v>0</v>
      </c>
      <c r="EA223" s="811">
        <v>11050</v>
      </c>
      <c r="EB223" s="812">
        <v>7942.1874999999991</v>
      </c>
      <c r="EC223" s="2960"/>
      <c r="ED223" s="2960"/>
      <c r="EE223" s="811"/>
      <c r="EF223" s="812"/>
      <c r="EG223" s="811"/>
      <c r="EH223" s="812"/>
      <c r="EI223" s="811"/>
      <c r="EJ223" s="812"/>
    </row>
    <row r="224" spans="1:146" s="761" customFormat="1" ht="12.75" hidden="1" customHeight="1" outlineLevel="3">
      <c r="A224" s="5021" t="s">
        <v>1019</v>
      </c>
      <c r="B224" s="1720" t="s">
        <v>703</v>
      </c>
      <c r="C224" s="1745">
        <v>0.35</v>
      </c>
      <c r="D224" s="763"/>
      <c r="E224" s="763">
        <v>2241</v>
      </c>
      <c r="F224" s="769">
        <v>3510.0000000000005</v>
      </c>
      <c r="G224" s="765">
        <v>2362.5</v>
      </c>
      <c r="H224" s="765">
        <v>2497.5</v>
      </c>
      <c r="I224" s="781">
        <v>0</v>
      </c>
      <c r="J224" s="1175">
        <v>2241</v>
      </c>
      <c r="K224" s="751">
        <v>4522.5</v>
      </c>
      <c r="L224" s="751">
        <v>4725</v>
      </c>
      <c r="M224" s="753">
        <v>0</v>
      </c>
      <c r="N224" s="753">
        <v>0</v>
      </c>
      <c r="O224" s="753">
        <v>0</v>
      </c>
      <c r="P224" s="753">
        <v>0</v>
      </c>
      <c r="Q224" s="762"/>
      <c r="R224" s="769"/>
      <c r="S224" s="769">
        <v>1755.0000000000002</v>
      </c>
      <c r="T224" s="769">
        <v>1539</v>
      </c>
      <c r="U224" s="769">
        <v>1755.0000000000002</v>
      </c>
      <c r="V224" s="769">
        <v>1755.0000000000002</v>
      </c>
      <c r="W224" s="769">
        <v>1957.5000000000002</v>
      </c>
      <c r="X224" s="1807"/>
      <c r="Y224" s="1807"/>
      <c r="Z224" s="1807"/>
      <c r="AA224" s="1807"/>
      <c r="AB224" s="769">
        <v>2835</v>
      </c>
      <c r="AC224" s="770">
        <v>0</v>
      </c>
      <c r="AD224" s="770"/>
      <c r="AE224" s="770"/>
      <c r="AF224" s="770">
        <v>0</v>
      </c>
      <c r="AG224" s="765">
        <v>1755.0000000000002</v>
      </c>
      <c r="AH224" s="2665"/>
      <c r="AI224" s="2665"/>
      <c r="AJ224" s="765">
        <v>1890.0000000000002</v>
      </c>
      <c r="AK224" s="754">
        <v>0</v>
      </c>
      <c r="AL224" s="754">
        <v>0</v>
      </c>
      <c r="AM224" s="757">
        <v>1755.0000000000002</v>
      </c>
      <c r="AN224" s="757">
        <v>1539</v>
      </c>
      <c r="AO224" s="762"/>
      <c r="AP224" s="769"/>
      <c r="AQ224" s="769"/>
      <c r="AR224" s="769">
        <v>1485</v>
      </c>
      <c r="AS224" s="769">
        <v>2632.5</v>
      </c>
      <c r="AT224" s="769">
        <v>202.5</v>
      </c>
      <c r="AU224" s="769">
        <v>202.5</v>
      </c>
      <c r="AV224" s="2664"/>
      <c r="AW224" s="754">
        <v>0</v>
      </c>
      <c r="AX224" s="757">
        <v>1485</v>
      </c>
      <c r="AY224" s="757">
        <v>1984.5000000000002</v>
      </c>
      <c r="AZ224" s="757">
        <v>2376</v>
      </c>
      <c r="BA224" s="757">
        <v>2632.5</v>
      </c>
      <c r="BB224" s="757">
        <v>3375</v>
      </c>
      <c r="BC224" s="769">
        <v>65.8125</v>
      </c>
      <c r="BD224" s="769">
        <v>1080</v>
      </c>
      <c r="BE224" s="759">
        <v>1080</v>
      </c>
      <c r="BF224" s="767">
        <v>2632.5</v>
      </c>
      <c r="BG224" s="762"/>
      <c r="BH224" s="771">
        <v>1417.5</v>
      </c>
      <c r="BI224" s="771">
        <v>1552.5</v>
      </c>
      <c r="BJ224" s="771">
        <v>1552.5</v>
      </c>
      <c r="BK224" s="771">
        <v>1552.5</v>
      </c>
      <c r="BL224" s="771">
        <v>1687.5</v>
      </c>
      <c r="BM224" s="771">
        <v>1687.5</v>
      </c>
      <c r="BN224" s="754">
        <v>0</v>
      </c>
      <c r="BO224" s="754">
        <v>0</v>
      </c>
      <c r="BP224" s="754">
        <v>0</v>
      </c>
      <c r="BQ224" s="762"/>
      <c r="BR224" s="763">
        <v>2970</v>
      </c>
      <c r="BS224" s="773">
        <v>3172.5</v>
      </c>
      <c r="BT224" s="773">
        <v>3375</v>
      </c>
      <c r="BU224" s="773">
        <v>607.5</v>
      </c>
      <c r="BV224" s="777">
        <v>675</v>
      </c>
      <c r="BW224" s="777">
        <v>742.5</v>
      </c>
      <c r="BX224" s="777">
        <v>7762.5000000000009</v>
      </c>
      <c r="BY224" s="762"/>
      <c r="BZ224" s="774">
        <v>877.50000000000011</v>
      </c>
      <c r="CA224" s="755">
        <v>945.00000000000011</v>
      </c>
      <c r="CB224" s="755">
        <v>1012.5000000000001</v>
      </c>
      <c r="CC224" s="755">
        <v>1080</v>
      </c>
      <c r="CD224" s="806">
        <v>945.00000000000011</v>
      </c>
      <c r="CE224" s="755">
        <v>1012.5000000000001</v>
      </c>
      <c r="CF224" s="755">
        <v>1080</v>
      </c>
      <c r="CG224" s="755">
        <v>1147.5</v>
      </c>
      <c r="CH224" s="806">
        <v>1012.5000000000001</v>
      </c>
      <c r="CI224" s="755">
        <v>1080</v>
      </c>
      <c r="CJ224" s="755">
        <v>1147.5</v>
      </c>
      <c r="CK224" s="806">
        <v>1012.5000000000001</v>
      </c>
      <c r="CL224" s="755">
        <v>1080</v>
      </c>
      <c r="CM224" s="755">
        <v>1147.5</v>
      </c>
      <c r="CN224" s="756">
        <v>0</v>
      </c>
      <c r="CO224" s="757">
        <v>1239</v>
      </c>
      <c r="CP224" s="757">
        <v>1298</v>
      </c>
      <c r="CQ224" s="757">
        <v>1416</v>
      </c>
      <c r="CR224" s="757">
        <v>1475</v>
      </c>
      <c r="CS224" s="757">
        <v>1298</v>
      </c>
      <c r="CT224" s="757">
        <v>1416</v>
      </c>
      <c r="CU224" s="757">
        <v>1475</v>
      </c>
      <c r="CV224" s="757">
        <v>1593</v>
      </c>
      <c r="CW224" s="757">
        <v>1620</v>
      </c>
      <c r="CX224" s="757">
        <v>1687.5</v>
      </c>
      <c r="CY224" s="757">
        <v>1822.5000000000002</v>
      </c>
      <c r="CZ224" s="757">
        <v>1620</v>
      </c>
      <c r="DA224" s="757">
        <v>1687.5</v>
      </c>
      <c r="DB224" s="757">
        <v>1822.5000000000002</v>
      </c>
      <c r="DC224" s="758">
        <v>0</v>
      </c>
      <c r="DD224" s="762"/>
      <c r="DE224" s="752">
        <v>5546</v>
      </c>
      <c r="DF224" s="752">
        <v>6431</v>
      </c>
      <c r="DG224" s="752">
        <v>6136</v>
      </c>
      <c r="DH224" s="752">
        <v>7375</v>
      </c>
      <c r="DI224" s="752">
        <v>5841</v>
      </c>
      <c r="DJ224" s="752">
        <v>6726</v>
      </c>
      <c r="DK224" s="775">
        <v>4779</v>
      </c>
      <c r="DL224" s="752">
        <v>5074</v>
      </c>
      <c r="DM224" s="752">
        <v>8909</v>
      </c>
      <c r="DN224" s="752">
        <v>8909</v>
      </c>
      <c r="DO224" s="752">
        <v>8909</v>
      </c>
      <c r="DP224" s="752">
        <v>2655</v>
      </c>
      <c r="DQ224" s="752">
        <v>3068</v>
      </c>
      <c r="DR224" s="752">
        <v>1392.3999999999999</v>
      </c>
      <c r="DS224" s="776"/>
      <c r="DT224" s="759">
        <v>9794</v>
      </c>
      <c r="DU224" s="759">
        <v>0</v>
      </c>
      <c r="DV224" s="759">
        <v>0</v>
      </c>
      <c r="DW224" s="2670"/>
      <c r="DX224" s="760">
        <v>0</v>
      </c>
      <c r="DY224" s="759">
        <v>18172</v>
      </c>
      <c r="EA224" s="811">
        <v>13900</v>
      </c>
      <c r="EB224" s="812">
        <v>9990.625</v>
      </c>
      <c r="EC224" s="2960"/>
      <c r="ED224" s="2960"/>
      <c r="EE224" s="811"/>
      <c r="EF224" s="812"/>
      <c r="EG224" s="811"/>
      <c r="EH224" s="812"/>
      <c r="EI224" s="811">
        <v>23150</v>
      </c>
      <c r="EJ224" s="812">
        <v>15915.625000000002</v>
      </c>
    </row>
    <row r="225" spans="1:146" s="761" customFormat="1" ht="12.75" hidden="1" customHeight="1" outlineLevel="3">
      <c r="A225" s="5022"/>
      <c r="B225" s="1722" t="s">
        <v>718</v>
      </c>
      <c r="C225" s="1745">
        <v>0.35</v>
      </c>
      <c r="D225" s="763"/>
      <c r="E225" s="763">
        <v>2376</v>
      </c>
      <c r="F225" s="769">
        <v>3712.5000000000005</v>
      </c>
      <c r="G225" s="765">
        <v>2497.5</v>
      </c>
      <c r="H225" s="765">
        <v>2632.5</v>
      </c>
      <c r="I225" s="781">
        <v>0</v>
      </c>
      <c r="J225" s="1175">
        <v>2376</v>
      </c>
      <c r="K225" s="751">
        <v>4792.5</v>
      </c>
      <c r="L225" s="751">
        <v>4995</v>
      </c>
      <c r="M225" s="753">
        <v>0</v>
      </c>
      <c r="N225" s="753">
        <v>0</v>
      </c>
      <c r="O225" s="753">
        <v>0</v>
      </c>
      <c r="P225" s="753">
        <v>0</v>
      </c>
      <c r="Q225" s="762"/>
      <c r="R225" s="769"/>
      <c r="S225" s="769">
        <v>1890.0000000000002</v>
      </c>
      <c r="T225" s="769">
        <v>1674</v>
      </c>
      <c r="U225" s="769">
        <v>1890.0000000000002</v>
      </c>
      <c r="V225" s="769">
        <v>1890.0000000000002</v>
      </c>
      <c r="W225" s="769">
        <v>2092.5</v>
      </c>
      <c r="X225" s="1807"/>
      <c r="Y225" s="1807"/>
      <c r="Z225" s="1807"/>
      <c r="AA225" s="1807"/>
      <c r="AB225" s="769">
        <v>3037.5</v>
      </c>
      <c r="AC225" s="764">
        <v>0</v>
      </c>
      <c r="AD225" s="764"/>
      <c r="AE225" s="770"/>
      <c r="AF225" s="764">
        <v>0</v>
      </c>
      <c r="AG225" s="765">
        <v>1890.0000000000002</v>
      </c>
      <c r="AH225" s="2665"/>
      <c r="AI225" s="2665"/>
      <c r="AJ225" s="765">
        <v>2025.0000000000002</v>
      </c>
      <c r="AK225" s="754">
        <v>0</v>
      </c>
      <c r="AL225" s="754">
        <v>0</v>
      </c>
      <c r="AM225" s="757">
        <v>1890.0000000000002</v>
      </c>
      <c r="AN225" s="757">
        <v>1674</v>
      </c>
      <c r="AO225" s="762"/>
      <c r="AP225" s="769"/>
      <c r="AQ225" s="769"/>
      <c r="AR225" s="769">
        <v>1620</v>
      </c>
      <c r="AS225" s="769">
        <v>2835</v>
      </c>
      <c r="AT225" s="769">
        <v>216</v>
      </c>
      <c r="AU225" s="769">
        <v>216</v>
      </c>
      <c r="AV225" s="2664"/>
      <c r="AW225" s="754">
        <v>0</v>
      </c>
      <c r="AX225" s="757">
        <v>1620</v>
      </c>
      <c r="AY225" s="757">
        <v>2160</v>
      </c>
      <c r="AZ225" s="757">
        <v>2592</v>
      </c>
      <c r="BA225" s="757">
        <v>2835</v>
      </c>
      <c r="BB225" s="757">
        <v>3672.0000000000005</v>
      </c>
      <c r="BC225" s="769">
        <v>65.8125</v>
      </c>
      <c r="BD225" s="769">
        <v>1147.5</v>
      </c>
      <c r="BE225" s="759">
        <v>1147.5</v>
      </c>
      <c r="BF225" s="767">
        <v>2835</v>
      </c>
      <c r="BG225" s="762"/>
      <c r="BH225" s="771">
        <v>1485</v>
      </c>
      <c r="BI225" s="771">
        <v>1687.5</v>
      </c>
      <c r="BJ225" s="771">
        <v>1687.5</v>
      </c>
      <c r="BK225" s="771">
        <v>1620</v>
      </c>
      <c r="BL225" s="771">
        <v>1822.5000000000002</v>
      </c>
      <c r="BM225" s="771">
        <v>1822.5000000000002</v>
      </c>
      <c r="BN225" s="754">
        <v>0</v>
      </c>
      <c r="BO225" s="754">
        <v>0</v>
      </c>
      <c r="BP225" s="754">
        <v>0</v>
      </c>
      <c r="BQ225" s="762"/>
      <c r="BR225" s="763">
        <v>3037.5</v>
      </c>
      <c r="BS225" s="773">
        <v>3240</v>
      </c>
      <c r="BT225" s="773">
        <v>3442.5</v>
      </c>
      <c r="BU225" s="773">
        <v>607.5</v>
      </c>
      <c r="BV225" s="777">
        <v>675</v>
      </c>
      <c r="BW225" s="777">
        <v>742.5</v>
      </c>
      <c r="BX225" s="777">
        <v>7965.0000000000009</v>
      </c>
      <c r="BY225" s="762"/>
      <c r="BZ225" s="774">
        <v>945.00000000000011</v>
      </c>
      <c r="CA225" s="755">
        <v>1012.5000000000001</v>
      </c>
      <c r="CB225" s="755">
        <v>1080</v>
      </c>
      <c r="CC225" s="755">
        <v>1147.5</v>
      </c>
      <c r="CD225" s="806">
        <v>1012.5000000000001</v>
      </c>
      <c r="CE225" s="755">
        <v>1080</v>
      </c>
      <c r="CF225" s="755">
        <v>1147.5</v>
      </c>
      <c r="CG225" s="755">
        <v>1215</v>
      </c>
      <c r="CH225" s="806">
        <v>1080</v>
      </c>
      <c r="CI225" s="755">
        <v>1147.5</v>
      </c>
      <c r="CJ225" s="755">
        <v>1215</v>
      </c>
      <c r="CK225" s="806">
        <v>1080</v>
      </c>
      <c r="CL225" s="755">
        <v>1147.5</v>
      </c>
      <c r="CM225" s="755">
        <v>1215</v>
      </c>
      <c r="CN225" s="756">
        <v>0</v>
      </c>
      <c r="CO225" s="757">
        <v>1298</v>
      </c>
      <c r="CP225" s="757">
        <v>1416</v>
      </c>
      <c r="CQ225" s="757">
        <v>1475</v>
      </c>
      <c r="CR225" s="757">
        <v>1593</v>
      </c>
      <c r="CS225" s="757">
        <v>1416</v>
      </c>
      <c r="CT225" s="757">
        <v>1475</v>
      </c>
      <c r="CU225" s="757">
        <v>1593</v>
      </c>
      <c r="CV225" s="757">
        <v>1652</v>
      </c>
      <c r="CW225" s="757">
        <v>1687.5</v>
      </c>
      <c r="CX225" s="757">
        <v>1822.5000000000002</v>
      </c>
      <c r="CY225" s="757">
        <v>1890.0000000000002</v>
      </c>
      <c r="CZ225" s="757">
        <v>1687.5</v>
      </c>
      <c r="DA225" s="757">
        <v>1822.5000000000002</v>
      </c>
      <c r="DB225" s="757">
        <v>1890.0000000000002</v>
      </c>
      <c r="DC225" s="758">
        <v>0</v>
      </c>
      <c r="DD225" s="762"/>
      <c r="DE225" s="752">
        <v>5782</v>
      </c>
      <c r="DF225" s="752">
        <v>6667</v>
      </c>
      <c r="DG225" s="752">
        <v>6372</v>
      </c>
      <c r="DH225" s="752">
        <v>7670</v>
      </c>
      <c r="DI225" s="752">
        <v>6077</v>
      </c>
      <c r="DJ225" s="752">
        <v>7021</v>
      </c>
      <c r="DK225" s="775">
        <v>5015</v>
      </c>
      <c r="DL225" s="752">
        <v>5310</v>
      </c>
      <c r="DM225" s="752">
        <v>9263</v>
      </c>
      <c r="DN225" s="752">
        <v>9263</v>
      </c>
      <c r="DO225" s="752">
        <v>9263</v>
      </c>
      <c r="DP225" s="752">
        <v>2950</v>
      </c>
      <c r="DQ225" s="752">
        <v>3422</v>
      </c>
      <c r="DR225" s="752">
        <v>1510.3999999999999</v>
      </c>
      <c r="DS225" s="776"/>
      <c r="DT225" s="759">
        <v>10620</v>
      </c>
      <c r="DU225" s="759">
        <v>15576</v>
      </c>
      <c r="DV225" s="763">
        <v>3894</v>
      </c>
      <c r="DW225" s="2663"/>
      <c r="DX225" s="760">
        <v>0</v>
      </c>
      <c r="DY225" s="759">
        <v>19057</v>
      </c>
      <c r="EA225" s="811">
        <v>15150</v>
      </c>
      <c r="EB225" s="812">
        <v>10889.0625</v>
      </c>
      <c r="EC225" s="2960"/>
      <c r="ED225" s="2960"/>
      <c r="EE225" s="811"/>
      <c r="EF225" s="812"/>
      <c r="EG225" s="811"/>
      <c r="EH225" s="812"/>
      <c r="EI225" s="811">
        <v>24450</v>
      </c>
      <c r="EJ225" s="812">
        <v>16809.375</v>
      </c>
    </row>
    <row r="226" spans="1:146" s="761" customFormat="1" hidden="1" outlineLevel="3">
      <c r="A226" s="5023"/>
      <c r="B226" s="1722" t="s">
        <v>103</v>
      </c>
      <c r="C226" s="1745">
        <v>0.35</v>
      </c>
      <c r="D226" s="763"/>
      <c r="E226" s="763">
        <v>2511</v>
      </c>
      <c r="F226" s="769">
        <v>3915.0000000000005</v>
      </c>
      <c r="G226" s="765">
        <v>2700</v>
      </c>
      <c r="H226" s="765">
        <v>2835</v>
      </c>
      <c r="I226" s="781">
        <v>0</v>
      </c>
      <c r="J226" s="1175">
        <v>2511</v>
      </c>
      <c r="K226" s="751">
        <v>5062.5</v>
      </c>
      <c r="L226" s="751">
        <v>5332.5</v>
      </c>
      <c r="M226" s="753">
        <v>0</v>
      </c>
      <c r="N226" s="753">
        <v>0</v>
      </c>
      <c r="O226" s="753">
        <v>0</v>
      </c>
      <c r="P226" s="753">
        <v>0</v>
      </c>
      <c r="Q226" s="762"/>
      <c r="R226" s="769"/>
      <c r="S226" s="769">
        <v>2025.0000000000002</v>
      </c>
      <c r="T226" s="769">
        <v>1809.0000000000002</v>
      </c>
      <c r="U226" s="769">
        <v>2025.0000000000002</v>
      </c>
      <c r="V226" s="769">
        <v>2025.0000000000002</v>
      </c>
      <c r="W226" s="769">
        <v>2227.5</v>
      </c>
      <c r="X226" s="1807"/>
      <c r="Y226" s="1807"/>
      <c r="Z226" s="1807"/>
      <c r="AA226" s="1807"/>
      <c r="AB226" s="769">
        <v>3240</v>
      </c>
      <c r="AC226" s="764">
        <v>0</v>
      </c>
      <c r="AD226" s="764"/>
      <c r="AE226" s="770"/>
      <c r="AF226" s="764">
        <v>0</v>
      </c>
      <c r="AG226" s="765">
        <v>2025.0000000000002</v>
      </c>
      <c r="AH226" s="2665"/>
      <c r="AI226" s="2665"/>
      <c r="AJ226" s="765">
        <v>2160</v>
      </c>
      <c r="AK226" s="754">
        <v>0</v>
      </c>
      <c r="AL226" s="754">
        <v>0</v>
      </c>
      <c r="AM226" s="757">
        <v>2025.0000000000002</v>
      </c>
      <c r="AN226" s="757">
        <v>1809.0000000000002</v>
      </c>
      <c r="AO226" s="762"/>
      <c r="AP226" s="769"/>
      <c r="AQ226" s="769"/>
      <c r="AR226" s="769">
        <v>1755.0000000000002</v>
      </c>
      <c r="AS226" s="769">
        <v>3105</v>
      </c>
      <c r="AT226" s="769">
        <v>236.25000000000003</v>
      </c>
      <c r="AU226" s="769">
        <v>236.25000000000003</v>
      </c>
      <c r="AV226" s="2664"/>
      <c r="AW226" s="754">
        <v>0</v>
      </c>
      <c r="AX226" s="757">
        <v>1755.0000000000002</v>
      </c>
      <c r="AY226" s="757">
        <v>2349</v>
      </c>
      <c r="AZ226" s="757">
        <v>2808</v>
      </c>
      <c r="BA226" s="757">
        <v>3105</v>
      </c>
      <c r="BB226" s="757">
        <v>3982.5000000000005</v>
      </c>
      <c r="BC226" s="769">
        <v>65.8125</v>
      </c>
      <c r="BD226" s="769">
        <v>1282.5</v>
      </c>
      <c r="BE226" s="759">
        <v>1282.5</v>
      </c>
      <c r="BF226" s="767">
        <v>3105</v>
      </c>
      <c r="BG226" s="762"/>
      <c r="BH226" s="771">
        <v>1620</v>
      </c>
      <c r="BI226" s="771">
        <v>1822.5000000000002</v>
      </c>
      <c r="BJ226" s="771">
        <v>1822.5000000000002</v>
      </c>
      <c r="BK226" s="771">
        <v>1755.0000000000002</v>
      </c>
      <c r="BL226" s="771">
        <v>1957.5000000000002</v>
      </c>
      <c r="BM226" s="771">
        <v>1957.5000000000002</v>
      </c>
      <c r="BN226" s="754">
        <v>0</v>
      </c>
      <c r="BO226" s="754">
        <v>0</v>
      </c>
      <c r="BP226" s="754">
        <v>0</v>
      </c>
      <c r="BQ226" s="762"/>
      <c r="BR226" s="763">
        <v>3375</v>
      </c>
      <c r="BS226" s="773">
        <v>3577.5000000000005</v>
      </c>
      <c r="BT226" s="773">
        <v>3780.0000000000005</v>
      </c>
      <c r="BU226" s="773">
        <v>675</v>
      </c>
      <c r="BV226" s="777">
        <v>742.5</v>
      </c>
      <c r="BW226" s="777">
        <v>810</v>
      </c>
      <c r="BX226" s="777">
        <v>8707.5</v>
      </c>
      <c r="BY226" s="762"/>
      <c r="BZ226" s="774">
        <v>1080</v>
      </c>
      <c r="CA226" s="755">
        <v>1147.5</v>
      </c>
      <c r="CB226" s="755">
        <v>1215</v>
      </c>
      <c r="CC226" s="755">
        <v>1282.5</v>
      </c>
      <c r="CD226" s="806">
        <v>1147.5</v>
      </c>
      <c r="CE226" s="755">
        <v>1215</v>
      </c>
      <c r="CF226" s="755">
        <v>1282.5</v>
      </c>
      <c r="CG226" s="755">
        <v>1350</v>
      </c>
      <c r="CH226" s="806">
        <v>1215</v>
      </c>
      <c r="CI226" s="755">
        <v>1282.5</v>
      </c>
      <c r="CJ226" s="755">
        <v>1350</v>
      </c>
      <c r="CK226" s="806">
        <v>1215</v>
      </c>
      <c r="CL226" s="755">
        <v>1282.5</v>
      </c>
      <c r="CM226" s="755">
        <v>1350</v>
      </c>
      <c r="CN226" s="756">
        <v>0</v>
      </c>
      <c r="CO226" s="757">
        <v>1475</v>
      </c>
      <c r="CP226" s="757">
        <v>1593</v>
      </c>
      <c r="CQ226" s="757">
        <v>1652</v>
      </c>
      <c r="CR226" s="757">
        <v>1711</v>
      </c>
      <c r="CS226" s="757">
        <v>1593</v>
      </c>
      <c r="CT226" s="757">
        <v>1652</v>
      </c>
      <c r="CU226" s="757">
        <v>1711</v>
      </c>
      <c r="CV226" s="757">
        <v>1829</v>
      </c>
      <c r="CW226" s="757">
        <v>1890.0000000000002</v>
      </c>
      <c r="CX226" s="757">
        <v>1957.5000000000002</v>
      </c>
      <c r="CY226" s="757">
        <v>2092.5</v>
      </c>
      <c r="CZ226" s="757">
        <v>1890.0000000000002</v>
      </c>
      <c r="DA226" s="757">
        <v>1957.5000000000002</v>
      </c>
      <c r="DB226" s="757">
        <v>2092.5</v>
      </c>
      <c r="DC226" s="758">
        <v>0</v>
      </c>
      <c r="DD226" s="762"/>
      <c r="DE226" s="752">
        <v>6313</v>
      </c>
      <c r="DF226" s="752">
        <v>7316</v>
      </c>
      <c r="DG226" s="752">
        <v>6962</v>
      </c>
      <c r="DH226" s="752">
        <v>8378</v>
      </c>
      <c r="DI226" s="752">
        <v>6667</v>
      </c>
      <c r="DJ226" s="752">
        <v>7670</v>
      </c>
      <c r="DK226" s="775">
        <v>5487</v>
      </c>
      <c r="DL226" s="752">
        <v>5782</v>
      </c>
      <c r="DM226" s="752">
        <v>10148</v>
      </c>
      <c r="DN226" s="752">
        <v>10148</v>
      </c>
      <c r="DO226" s="752">
        <v>10148</v>
      </c>
      <c r="DP226" s="752">
        <v>3127</v>
      </c>
      <c r="DQ226" s="752">
        <v>3599</v>
      </c>
      <c r="DR226" s="752">
        <v>1640.1999999999998</v>
      </c>
      <c r="DS226" s="776"/>
      <c r="DT226" s="759">
        <v>12272</v>
      </c>
      <c r="DU226" s="759">
        <v>16756</v>
      </c>
      <c r="DV226" s="763">
        <v>4189</v>
      </c>
      <c r="DW226" s="2663"/>
      <c r="DX226" s="760">
        <v>0</v>
      </c>
      <c r="DY226" s="759">
        <v>20886</v>
      </c>
      <c r="EA226" s="811">
        <v>17500</v>
      </c>
      <c r="EB226" s="812">
        <v>12578.124999999998</v>
      </c>
      <c r="EC226" s="2960"/>
      <c r="ED226" s="2960"/>
      <c r="EE226" s="811"/>
      <c r="EF226" s="812"/>
      <c r="EG226" s="811"/>
      <c r="EH226" s="812"/>
      <c r="EI226" s="811">
        <v>26750</v>
      </c>
      <c r="EJ226" s="812">
        <v>18390.625</v>
      </c>
    </row>
    <row r="227" spans="1:146" s="1651" customFormat="1" ht="12.75" hidden="1" customHeight="1" outlineLevel="2">
      <c r="A227" s="1719" t="s">
        <v>30</v>
      </c>
      <c r="B227" s="1723" t="s">
        <v>284</v>
      </c>
      <c r="C227" s="1746">
        <v>0.18</v>
      </c>
      <c r="D227" s="763"/>
      <c r="E227" s="763">
        <v>2076.7999999999997</v>
      </c>
      <c r="F227" s="769">
        <v>3245</v>
      </c>
      <c r="G227" s="765">
        <v>2183</v>
      </c>
      <c r="H227" s="765">
        <v>2301</v>
      </c>
      <c r="I227" s="779">
        <v>2301</v>
      </c>
      <c r="J227" s="1175">
        <v>2076.7999999999997</v>
      </c>
      <c r="K227" s="751">
        <v>4189</v>
      </c>
      <c r="L227" s="751">
        <v>4366</v>
      </c>
      <c r="M227" s="753">
        <v>0</v>
      </c>
      <c r="N227" s="753">
        <v>0</v>
      </c>
      <c r="O227" s="753">
        <v>0</v>
      </c>
      <c r="P227" s="753">
        <v>0</v>
      </c>
      <c r="Q227" s="778"/>
      <c r="R227" s="769"/>
      <c r="S227" s="769">
        <v>1652</v>
      </c>
      <c r="T227" s="769">
        <v>1463.1999999999998</v>
      </c>
      <c r="U227" s="769">
        <v>1652</v>
      </c>
      <c r="V227" s="769">
        <v>1652</v>
      </c>
      <c r="W227" s="769">
        <v>1829</v>
      </c>
      <c r="X227" s="1807"/>
      <c r="Y227" s="1807"/>
      <c r="Z227" s="1807"/>
      <c r="AA227" s="1807"/>
      <c r="AB227" s="769">
        <v>2655</v>
      </c>
      <c r="AC227" s="769">
        <v>2655</v>
      </c>
      <c r="AD227" s="769"/>
      <c r="AE227" s="769"/>
      <c r="AF227" s="769">
        <v>3186</v>
      </c>
      <c r="AG227" s="765">
        <v>1652</v>
      </c>
      <c r="AH227" s="2665"/>
      <c r="AI227" s="2665"/>
      <c r="AJ227" s="765">
        <v>1770</v>
      </c>
      <c r="AK227" s="779">
        <v>2655</v>
      </c>
      <c r="AL227" s="779">
        <v>3186</v>
      </c>
      <c r="AM227" s="757">
        <v>1652</v>
      </c>
      <c r="AN227" s="757">
        <v>1463.1999999999998</v>
      </c>
      <c r="AO227" s="778"/>
      <c r="AP227" s="769"/>
      <c r="AQ227" s="769"/>
      <c r="AR227" s="769">
        <v>1345.1999999999998</v>
      </c>
      <c r="AS227" s="769">
        <v>2360</v>
      </c>
      <c r="AT227" s="769">
        <v>182.89999999999998</v>
      </c>
      <c r="AU227" s="769">
        <v>182.89999999999998</v>
      </c>
      <c r="AV227" s="2685"/>
      <c r="AW227" s="779">
        <v>531</v>
      </c>
      <c r="AX227" s="757">
        <v>1345.1999999999998</v>
      </c>
      <c r="AY227" s="757">
        <v>1793.6</v>
      </c>
      <c r="AZ227" s="757">
        <v>2159.4</v>
      </c>
      <c r="BA227" s="757">
        <v>2360</v>
      </c>
      <c r="BB227" s="757">
        <v>3056.2</v>
      </c>
      <c r="BC227" s="769">
        <v>57.524999999999999</v>
      </c>
      <c r="BD227" s="769">
        <v>1003</v>
      </c>
      <c r="BE227" s="759">
        <v>1003</v>
      </c>
      <c r="BF227" s="767">
        <v>2360</v>
      </c>
      <c r="BG227" s="778"/>
      <c r="BH227" s="771">
        <v>1298</v>
      </c>
      <c r="BI227" s="771">
        <v>1475</v>
      </c>
      <c r="BJ227" s="771">
        <v>1475</v>
      </c>
      <c r="BK227" s="771">
        <v>1416</v>
      </c>
      <c r="BL227" s="771">
        <v>1593</v>
      </c>
      <c r="BM227" s="771">
        <v>1593</v>
      </c>
      <c r="BN227" s="771">
        <v>2537</v>
      </c>
      <c r="BO227" s="771">
        <v>2773</v>
      </c>
      <c r="BP227" s="771">
        <v>3068</v>
      </c>
      <c r="BQ227" s="778"/>
      <c r="BR227" s="763">
        <v>2773</v>
      </c>
      <c r="BS227" s="773">
        <v>2950</v>
      </c>
      <c r="BT227" s="773">
        <v>3127</v>
      </c>
      <c r="BU227" s="773">
        <v>531</v>
      </c>
      <c r="BV227" s="777">
        <v>590</v>
      </c>
      <c r="BW227" s="777">
        <v>649</v>
      </c>
      <c r="BX227" s="777">
        <v>7198</v>
      </c>
      <c r="BY227" s="778"/>
      <c r="BZ227" s="774">
        <v>826</v>
      </c>
      <c r="CA227" s="755">
        <v>885</v>
      </c>
      <c r="CB227" s="755">
        <v>944</v>
      </c>
      <c r="CC227" s="755">
        <v>1003</v>
      </c>
      <c r="CD227" s="806">
        <v>885</v>
      </c>
      <c r="CE227" s="755">
        <v>944</v>
      </c>
      <c r="CF227" s="755">
        <v>1003</v>
      </c>
      <c r="CG227" s="755">
        <v>1062</v>
      </c>
      <c r="CH227" s="806">
        <v>944</v>
      </c>
      <c r="CI227" s="755">
        <v>1003</v>
      </c>
      <c r="CJ227" s="755">
        <v>1062</v>
      </c>
      <c r="CK227" s="806">
        <v>944</v>
      </c>
      <c r="CL227" s="755">
        <v>1003</v>
      </c>
      <c r="CM227" s="755">
        <v>1062</v>
      </c>
      <c r="CN227" s="755">
        <v>1239</v>
      </c>
      <c r="CO227" s="757">
        <v>1298</v>
      </c>
      <c r="CP227" s="757">
        <v>1416</v>
      </c>
      <c r="CQ227" s="757">
        <v>1475</v>
      </c>
      <c r="CR227" s="757">
        <v>1593</v>
      </c>
      <c r="CS227" s="757">
        <v>1416</v>
      </c>
      <c r="CT227" s="757">
        <v>1475</v>
      </c>
      <c r="CU227" s="757">
        <v>1593</v>
      </c>
      <c r="CV227" s="757">
        <v>1652</v>
      </c>
      <c r="CW227" s="757">
        <v>1475</v>
      </c>
      <c r="CX227" s="757">
        <v>1593</v>
      </c>
      <c r="CY227" s="757">
        <v>1652</v>
      </c>
      <c r="CZ227" s="757">
        <v>1475</v>
      </c>
      <c r="DA227" s="757">
        <v>1593</v>
      </c>
      <c r="DB227" s="757">
        <v>1652</v>
      </c>
      <c r="DC227" s="757">
        <v>1888</v>
      </c>
      <c r="DD227" s="778"/>
      <c r="DE227" s="752">
        <v>5782</v>
      </c>
      <c r="DF227" s="752">
        <v>6667</v>
      </c>
      <c r="DG227" s="752">
        <v>6372</v>
      </c>
      <c r="DH227" s="752">
        <v>7670</v>
      </c>
      <c r="DI227" s="752">
        <v>6077</v>
      </c>
      <c r="DJ227" s="752">
        <v>7021</v>
      </c>
      <c r="DK227" s="775">
        <v>5015</v>
      </c>
      <c r="DL227" s="752">
        <v>5310</v>
      </c>
      <c r="DM227" s="752">
        <v>0</v>
      </c>
      <c r="DN227" s="752">
        <v>0</v>
      </c>
      <c r="DO227" s="752">
        <v>0</v>
      </c>
      <c r="DP227" s="752">
        <v>2950</v>
      </c>
      <c r="DQ227" s="752">
        <v>3422</v>
      </c>
      <c r="DR227" s="752">
        <v>1510.3999999999999</v>
      </c>
      <c r="DS227" s="780"/>
      <c r="DT227" s="759">
        <v>8496</v>
      </c>
      <c r="DU227" s="759">
        <v>16048</v>
      </c>
      <c r="DV227" s="763">
        <v>4012</v>
      </c>
      <c r="DW227" s="2663"/>
      <c r="DX227" s="759">
        <v>15045</v>
      </c>
      <c r="DY227" s="759">
        <v>20532</v>
      </c>
      <c r="DZ227" s="761"/>
      <c r="EA227" s="811">
        <v>12100</v>
      </c>
      <c r="EB227" s="812">
        <v>8696.875</v>
      </c>
      <c r="EC227" s="2960"/>
      <c r="ED227" s="2960"/>
      <c r="EE227" s="811">
        <v>22400</v>
      </c>
      <c r="EF227" s="812">
        <v>15400.000000000002</v>
      </c>
      <c r="EG227" s="811">
        <v>30600</v>
      </c>
      <c r="EH227" s="812">
        <v>21037.5</v>
      </c>
      <c r="EI227" s="811"/>
      <c r="EJ227" s="812"/>
      <c r="EK227" s="761"/>
      <c r="EL227" s="761"/>
      <c r="EM227" s="761"/>
      <c r="EN227" s="761"/>
      <c r="EO227" s="761"/>
      <c r="EP227" s="761"/>
    </row>
    <row r="228" spans="1:146" s="1651" customFormat="1" ht="12.75" hidden="1" customHeight="1" outlineLevel="2">
      <c r="B228" s="1756" t="s">
        <v>286</v>
      </c>
      <c r="C228" s="1746">
        <v>0.1</v>
      </c>
      <c r="D228" s="763"/>
      <c r="E228" s="763">
        <v>0</v>
      </c>
      <c r="CH228" s="1725">
        <v>363.00000000000006</v>
      </c>
      <c r="CI228" s="1725">
        <v>379.50000000000006</v>
      </c>
      <c r="CJ228" s="1725">
        <v>396.00000000000006</v>
      </c>
      <c r="CK228" s="1725">
        <v>363.00000000000006</v>
      </c>
      <c r="CL228" s="1725">
        <v>379.50000000000006</v>
      </c>
      <c r="CM228" s="1725">
        <v>396.00000000000006</v>
      </c>
      <c r="CN228" s="1725">
        <v>418.00000000000006</v>
      </c>
      <c r="CW228" s="1725">
        <v>0</v>
      </c>
      <c r="CX228" s="1725">
        <v>0</v>
      </c>
      <c r="CY228" s="1725">
        <v>0</v>
      </c>
      <c r="CZ228" s="1725">
        <v>0</v>
      </c>
      <c r="DA228" s="1725">
        <v>0</v>
      </c>
      <c r="DB228" s="1725">
        <v>0</v>
      </c>
      <c r="DC228" s="1725">
        <v>0</v>
      </c>
    </row>
    <row r="229" spans="1:146" s="1651" customFormat="1" ht="12.75" hidden="1" customHeight="1" outlineLevel="2">
      <c r="B229" s="1757" t="s">
        <v>285</v>
      </c>
      <c r="C229" s="1746">
        <v>0.1</v>
      </c>
      <c r="D229" s="763"/>
      <c r="E229" s="763">
        <v>0</v>
      </c>
      <c r="CH229" s="1725">
        <v>291.5</v>
      </c>
      <c r="CI229" s="1725">
        <v>302.5</v>
      </c>
      <c r="CJ229" s="1725">
        <v>319</v>
      </c>
      <c r="CK229" s="1725">
        <v>291.5</v>
      </c>
      <c r="CL229" s="1725">
        <v>302.5</v>
      </c>
      <c r="CM229" s="1725">
        <v>319</v>
      </c>
      <c r="CN229" s="1725">
        <v>335.5</v>
      </c>
      <c r="CW229" s="1725">
        <v>0</v>
      </c>
      <c r="CX229" s="1725">
        <v>0</v>
      </c>
      <c r="CY229" s="1725">
        <v>0</v>
      </c>
      <c r="CZ229" s="1725">
        <v>0</v>
      </c>
      <c r="DA229" s="1725">
        <v>0</v>
      </c>
      <c r="DB229" s="1725">
        <v>0</v>
      </c>
      <c r="DC229" s="1725">
        <v>0</v>
      </c>
    </row>
    <row r="230" spans="1:146" s="1651" customFormat="1" hidden="1" outlineLevel="2">
      <c r="C230" s="1640"/>
    </row>
    <row r="231" spans="1:146" s="159" customFormat="1" ht="22.5" hidden="1" customHeight="1" outlineLevel="3">
      <c r="A231" s="1649" t="s">
        <v>2182</v>
      </c>
      <c r="B231" s="1650"/>
      <c r="C231" s="1729"/>
      <c r="D231" s="1652"/>
      <c r="E231" s="1652"/>
      <c r="F231" s="1652"/>
      <c r="G231" s="1651"/>
      <c r="H231" s="1651"/>
      <c r="I231" s="1651"/>
      <c r="J231" s="1651"/>
      <c r="K231" s="1651"/>
      <c r="L231" s="1651"/>
      <c r="M231" s="1651"/>
      <c r="N231" s="1651"/>
      <c r="O231" s="1651"/>
      <c r="P231" s="1651"/>
      <c r="Q231" s="1650"/>
      <c r="R231" s="1650"/>
      <c r="S231" s="1650"/>
      <c r="T231" s="1730"/>
      <c r="U231" s="1650"/>
      <c r="V231" s="1650"/>
      <c r="W231" s="1650"/>
      <c r="X231" s="1650"/>
      <c r="Y231" s="1650"/>
      <c r="Z231" s="1650"/>
      <c r="AA231" s="1650"/>
      <c r="AB231" s="1650"/>
      <c r="AC231" s="1651"/>
      <c r="AD231" s="1651"/>
      <c r="AE231" s="1651"/>
      <c r="AF231" s="1651"/>
      <c r="AG231" s="1651"/>
      <c r="AH231" s="1651"/>
      <c r="AI231" s="1651"/>
      <c r="AJ231" s="1651"/>
      <c r="AK231" s="1651"/>
      <c r="AL231" s="1651"/>
      <c r="AM231" s="1651"/>
      <c r="AN231" s="1651"/>
      <c r="AO231" s="1650"/>
      <c r="AP231" s="1650"/>
      <c r="AQ231" s="1650"/>
      <c r="AR231" s="1653"/>
      <c r="AS231" s="1651"/>
      <c r="AT231" s="1651"/>
      <c r="AU231" s="1651"/>
      <c r="AV231" s="1651"/>
      <c r="AW231" s="1651"/>
      <c r="AX231" s="1651"/>
      <c r="AY231" s="1651"/>
      <c r="AZ231" s="1651"/>
      <c r="BA231" s="1651"/>
      <c r="BB231" s="1651"/>
      <c r="BC231" s="1651"/>
      <c r="BD231" s="1651"/>
      <c r="BE231" s="1651"/>
      <c r="BF231" s="1651"/>
      <c r="BG231" s="1650"/>
      <c r="BH231" s="1651"/>
      <c r="BI231" s="1651"/>
      <c r="BJ231" s="1651"/>
      <c r="BK231" s="1651"/>
      <c r="BL231" s="1651"/>
      <c r="BM231" s="1651"/>
      <c r="BN231" s="1651"/>
      <c r="BO231" s="1651"/>
      <c r="BP231" s="1651"/>
      <c r="BQ231" s="1650"/>
      <c r="BR231" s="1651"/>
      <c r="BS231" s="1651"/>
      <c r="BT231" s="1651"/>
      <c r="BU231" s="1651"/>
      <c r="BV231" s="1651"/>
      <c r="BW231" s="1651"/>
      <c r="BX231" s="1651"/>
      <c r="BY231" s="1650"/>
      <c r="BZ231" s="1651"/>
      <c r="CA231" s="1651"/>
      <c r="CB231" s="1651"/>
      <c r="CC231" s="1651"/>
      <c r="CD231" s="1651"/>
      <c r="CE231" s="1651"/>
      <c r="CF231" s="1651"/>
      <c r="CG231" s="1651"/>
      <c r="CH231" s="1651"/>
      <c r="CI231" s="1651"/>
      <c r="CJ231" s="1651"/>
      <c r="CK231" s="1651"/>
      <c r="CL231" s="1651"/>
      <c r="CM231" s="1651"/>
      <c r="CN231" s="1651"/>
      <c r="CO231" s="1651"/>
      <c r="CP231" s="1651"/>
      <c r="CQ231" s="1651"/>
      <c r="CR231" s="1651"/>
      <c r="CS231" s="1651"/>
      <c r="CT231" s="1651"/>
      <c r="CU231" s="1651"/>
      <c r="CV231" s="1651"/>
      <c r="CW231" s="1651"/>
      <c r="CX231" s="1651"/>
      <c r="CY231" s="1651"/>
      <c r="CZ231" s="1651"/>
      <c r="DA231" s="1651"/>
      <c r="DB231" s="1651"/>
      <c r="DC231" s="1651"/>
      <c r="DD231" s="1650"/>
      <c r="DE231" s="1651"/>
      <c r="DF231" s="1651"/>
      <c r="DG231" s="1651"/>
      <c r="DH231" s="1651"/>
      <c r="DI231" s="1651"/>
      <c r="DJ231" s="1651"/>
      <c r="DK231" s="1651"/>
      <c r="DL231" s="1651"/>
      <c r="DM231" s="1651"/>
      <c r="DN231" s="1651"/>
      <c r="DO231" s="1651"/>
      <c r="DP231" s="1651"/>
      <c r="DQ231" s="1651"/>
      <c r="DR231" s="1651"/>
      <c r="DS231" s="1650"/>
      <c r="DT231" s="1651"/>
      <c r="DU231" s="1651"/>
      <c r="DV231" s="1651"/>
      <c r="DW231" s="1651"/>
      <c r="DX231" s="1651"/>
      <c r="DY231" s="1651"/>
      <c r="DZ231" s="1651"/>
      <c r="EA231" s="1651"/>
      <c r="EB231" s="1651"/>
      <c r="EC231" s="1651"/>
      <c r="ED231" s="1651"/>
      <c r="EE231" s="1651"/>
      <c r="EF231" s="1651"/>
      <c r="EG231" s="1651"/>
      <c r="EH231" s="1651"/>
      <c r="EI231" s="1651"/>
      <c r="EJ231" s="1651"/>
      <c r="EK231" s="1651"/>
      <c r="EL231" s="1651"/>
      <c r="EM231" s="1651"/>
      <c r="EN231" s="1651"/>
      <c r="EO231" s="1651"/>
      <c r="EP231" s="1651"/>
    </row>
    <row r="232" spans="1:146" s="1671" customFormat="1" ht="12.75" hidden="1" customHeight="1" outlineLevel="3">
      <c r="A232" s="5007" t="s">
        <v>1016</v>
      </c>
      <c r="B232" s="5008"/>
      <c r="C232" s="1638"/>
      <c r="D232" s="1735"/>
      <c r="E232" s="5009" t="s">
        <v>462</v>
      </c>
      <c r="F232" s="4980"/>
      <c r="G232" s="4980"/>
      <c r="H232" s="4980"/>
      <c r="I232" s="4980"/>
      <c r="J232" s="4980"/>
      <c r="K232" s="4980"/>
      <c r="L232" s="4980"/>
      <c r="M232" s="4980"/>
      <c r="N232" s="4980"/>
      <c r="O232" s="4980"/>
      <c r="P232" s="5010"/>
      <c r="Q232" s="1655"/>
      <c r="R232" s="1656"/>
      <c r="S232" s="1656"/>
      <c r="T232" s="1657" t="s">
        <v>89</v>
      </c>
      <c r="U232" s="1656"/>
      <c r="V232" s="1656"/>
      <c r="W232" s="1656"/>
      <c r="X232" s="1784"/>
      <c r="Y232" s="1784"/>
      <c r="Z232" s="1784"/>
      <c r="AA232" s="1784"/>
      <c r="AB232" s="1656"/>
      <c r="AC232" s="1656"/>
      <c r="AD232" s="1656"/>
      <c r="AE232" s="1656"/>
      <c r="AF232" s="1656"/>
      <c r="AG232" s="1656"/>
      <c r="AH232" s="1656"/>
      <c r="AI232" s="1656"/>
      <c r="AJ232" s="1656"/>
      <c r="AK232" s="1656"/>
      <c r="AL232" s="1656"/>
      <c r="AM232" s="1656"/>
      <c r="AN232" s="1656"/>
      <c r="AO232" s="1655"/>
      <c r="AP232" s="1656"/>
      <c r="AQ232" s="1656"/>
      <c r="AR232" s="5009" t="s">
        <v>1014</v>
      </c>
      <c r="AS232" s="4980"/>
      <c r="AT232" s="4980"/>
      <c r="AU232" s="4980"/>
      <c r="AV232" s="4980"/>
      <c r="AW232" s="4980"/>
      <c r="AX232" s="4980"/>
      <c r="AY232" s="4980"/>
      <c r="AZ232" s="4980"/>
      <c r="BA232" s="4980"/>
      <c r="BB232" s="5010"/>
      <c r="BC232" s="4982" t="s">
        <v>882</v>
      </c>
      <c r="BD232" s="4982" t="s">
        <v>883</v>
      </c>
      <c r="BE232" s="4907" t="s">
        <v>695</v>
      </c>
      <c r="BF232" s="4982" t="s">
        <v>1050</v>
      </c>
      <c r="BG232" s="1655"/>
      <c r="BH232" s="5056" t="s">
        <v>108</v>
      </c>
      <c r="BI232" s="5057"/>
      <c r="BJ232" s="5057"/>
      <c r="BK232" s="5057"/>
      <c r="BL232" s="5057"/>
      <c r="BM232" s="5057"/>
      <c r="BN232" s="5057"/>
      <c r="BO232" s="5057"/>
      <c r="BP232" s="5057"/>
      <c r="BQ232" s="1655"/>
      <c r="BR232" s="5058" t="s">
        <v>456</v>
      </c>
      <c r="BS232" s="5059"/>
      <c r="BT232" s="5059"/>
      <c r="BU232" s="5059"/>
      <c r="BV232" s="5059"/>
      <c r="BW232" s="5059"/>
      <c r="BX232" s="5060"/>
      <c r="BY232" s="1655"/>
      <c r="BZ232" s="5047" t="s">
        <v>1015</v>
      </c>
      <c r="CA232" s="5048"/>
      <c r="CB232" s="5048"/>
      <c r="CC232" s="5048"/>
      <c r="CD232" s="5048"/>
      <c r="CE232" s="5048"/>
      <c r="CF232" s="5048"/>
      <c r="CG232" s="5048"/>
      <c r="CH232" s="5048"/>
      <c r="CI232" s="5048"/>
      <c r="CJ232" s="5048"/>
      <c r="CK232" s="5048"/>
      <c r="CL232" s="5048"/>
      <c r="CM232" s="5048"/>
      <c r="CN232" s="5048"/>
      <c r="CO232" s="5048"/>
      <c r="CP232" s="5048"/>
      <c r="CQ232" s="5048"/>
      <c r="CR232" s="5048"/>
      <c r="CS232" s="5048"/>
      <c r="CT232" s="5048"/>
      <c r="CU232" s="5048"/>
      <c r="CV232" s="5048"/>
      <c r="CW232" s="5048"/>
      <c r="CX232" s="5048"/>
      <c r="CY232" s="5048"/>
      <c r="CZ232" s="5048"/>
      <c r="DA232" s="5048"/>
      <c r="DB232" s="5048"/>
      <c r="DC232" s="5048"/>
      <c r="DD232" s="1655"/>
      <c r="DE232" s="1658"/>
      <c r="DF232" s="1658"/>
      <c r="DG232" s="1658"/>
      <c r="DH232" s="1658"/>
      <c r="DI232" s="1658"/>
      <c r="DJ232" s="1658"/>
      <c r="DK232" s="1659" t="s">
        <v>1038</v>
      </c>
      <c r="DL232" s="1658"/>
      <c r="DM232" s="1658"/>
      <c r="DN232" s="1658"/>
      <c r="DO232" s="1658"/>
      <c r="DP232" s="1658"/>
      <c r="DQ232" s="1658"/>
      <c r="DR232" s="1660"/>
      <c r="DS232" s="1655"/>
      <c r="DT232" s="5028" t="s">
        <v>693</v>
      </c>
      <c r="DU232" s="5005"/>
      <c r="DV232" s="5005"/>
      <c r="DW232" s="5005"/>
      <c r="DX232" s="5005"/>
      <c r="DY232" s="5029"/>
      <c r="DZ232" s="159"/>
      <c r="EA232" s="159"/>
      <c r="EB232" s="159"/>
      <c r="EC232" s="159"/>
      <c r="ED232" s="159"/>
      <c r="EE232" s="159"/>
      <c r="EF232" s="159"/>
      <c r="EG232" s="159"/>
      <c r="EH232" s="159"/>
      <c r="EI232" s="159"/>
      <c r="EJ232" s="159"/>
      <c r="EK232" s="159"/>
      <c r="EL232" s="159"/>
      <c r="EM232" s="159"/>
      <c r="EN232" s="159"/>
      <c r="EO232" s="159"/>
      <c r="EP232" s="159"/>
    </row>
    <row r="233" spans="1:146" s="761" customFormat="1" ht="38.25" hidden="1" customHeight="1" outlineLevel="3">
      <c r="A233" s="4986" t="s">
        <v>725</v>
      </c>
      <c r="B233" s="4987"/>
      <c r="C233" s="1835"/>
      <c r="D233" s="1781"/>
      <c r="E233" s="4854" t="s">
        <v>1009</v>
      </c>
      <c r="F233" s="4855"/>
      <c r="G233" s="4855"/>
      <c r="H233" s="4855"/>
      <c r="I233" s="4855"/>
      <c r="J233" s="4855"/>
      <c r="K233" s="4855"/>
      <c r="L233" s="4856"/>
      <c r="M233" s="4854" t="s">
        <v>1023</v>
      </c>
      <c r="N233" s="4855"/>
      <c r="O233" s="4855"/>
      <c r="P233" s="4856"/>
      <c r="Q233" s="1662"/>
      <c r="R233" s="1663"/>
      <c r="S233" s="1663"/>
      <c r="T233" s="1664" t="s">
        <v>1026</v>
      </c>
      <c r="U233" s="1663"/>
      <c r="V233" s="1663"/>
      <c r="W233" s="1663"/>
      <c r="X233" s="1786"/>
      <c r="Y233" s="1786"/>
      <c r="Z233" s="1786"/>
      <c r="AA233" s="1786"/>
      <c r="AB233" s="1663"/>
      <c r="AC233" s="1663"/>
      <c r="AD233" s="1663"/>
      <c r="AE233" s="1663"/>
      <c r="AF233" s="1665"/>
      <c r="AG233" s="1666" t="s">
        <v>1027</v>
      </c>
      <c r="AH233" s="1667"/>
      <c r="AI233" s="1667"/>
      <c r="AJ233" s="1667"/>
      <c r="AK233" s="1667"/>
      <c r="AL233" s="1668"/>
      <c r="AM233" s="1669" t="s">
        <v>1028</v>
      </c>
      <c r="AN233" s="1670"/>
      <c r="AO233" s="1662"/>
      <c r="AP233" s="1663"/>
      <c r="AQ233" s="1663"/>
      <c r="AR233" s="4939" t="s">
        <v>1047</v>
      </c>
      <c r="AS233" s="4940"/>
      <c r="AT233" s="4940"/>
      <c r="AU233" s="4941"/>
      <c r="AV233" s="2601"/>
      <c r="AW233" s="4881" t="s">
        <v>1048</v>
      </c>
      <c r="AX233" s="4883" t="s">
        <v>1049</v>
      </c>
      <c r="AY233" s="4884"/>
      <c r="AZ233" s="4884"/>
      <c r="BA233" s="4884"/>
      <c r="BB233" s="4885"/>
      <c r="BC233" s="4983"/>
      <c r="BD233" s="4983"/>
      <c r="BE233" s="4985"/>
      <c r="BF233" s="4983"/>
      <c r="BG233" s="1662"/>
      <c r="BH233" s="4889" t="s">
        <v>709</v>
      </c>
      <c r="BI233" s="4890"/>
      <c r="BJ233" s="4891"/>
      <c r="BK233" s="4889" t="s">
        <v>1022</v>
      </c>
      <c r="BL233" s="4890"/>
      <c r="BM233" s="4891"/>
      <c r="BN233" s="4881" t="s">
        <v>1030</v>
      </c>
      <c r="BO233" s="4881" t="s">
        <v>743</v>
      </c>
      <c r="BP233" s="4881" t="s">
        <v>1029</v>
      </c>
      <c r="BQ233" s="1662"/>
      <c r="BR233" s="4895" t="s">
        <v>1052</v>
      </c>
      <c r="BS233" s="4896"/>
      <c r="BT233" s="4897"/>
      <c r="BU233" s="4901" t="s">
        <v>1053</v>
      </c>
      <c r="BV233" s="4902"/>
      <c r="BW233" s="4903"/>
      <c r="BX233" s="4907" t="s">
        <v>1054</v>
      </c>
      <c r="BY233" s="1662"/>
      <c r="BZ233" s="5032" t="s">
        <v>1020</v>
      </c>
      <c r="CA233" s="5033"/>
      <c r="CB233" s="5033"/>
      <c r="CC233" s="5033"/>
      <c r="CD233" s="5033"/>
      <c r="CE233" s="5033"/>
      <c r="CF233" s="5033"/>
      <c r="CG233" s="5033"/>
      <c r="CH233" s="5033"/>
      <c r="CI233" s="5033"/>
      <c r="CJ233" s="5033"/>
      <c r="CK233" s="5033"/>
      <c r="CL233" s="5033"/>
      <c r="CM233" s="5033"/>
      <c r="CN233" s="5034"/>
      <c r="CO233" s="5035" t="s">
        <v>1021</v>
      </c>
      <c r="CP233" s="5036"/>
      <c r="CQ233" s="5036"/>
      <c r="CR233" s="5036"/>
      <c r="CS233" s="5036"/>
      <c r="CT233" s="5036"/>
      <c r="CU233" s="5036"/>
      <c r="CV233" s="5036"/>
      <c r="CW233" s="5036"/>
      <c r="CX233" s="5036"/>
      <c r="CY233" s="5036"/>
      <c r="CZ233" s="5036"/>
      <c r="DA233" s="5036"/>
      <c r="DB233" s="5036"/>
      <c r="DC233" s="5036"/>
      <c r="DD233" s="1662"/>
      <c r="DE233" s="4963" t="s">
        <v>710</v>
      </c>
      <c r="DF233" s="4964"/>
      <c r="DG233" s="4963" t="s">
        <v>711</v>
      </c>
      <c r="DH233" s="4964"/>
      <c r="DI233" s="4963" t="s">
        <v>712</v>
      </c>
      <c r="DJ233" s="4964"/>
      <c r="DK233" s="5037" t="s">
        <v>713</v>
      </c>
      <c r="DL233" s="5038"/>
      <c r="DM233" s="5037" t="s">
        <v>714</v>
      </c>
      <c r="DN233" s="5043"/>
      <c r="DO233" s="5043"/>
      <c r="DP233" s="4950" t="s">
        <v>715</v>
      </c>
      <c r="DQ233" s="4950" t="s">
        <v>716</v>
      </c>
      <c r="DR233" s="4950" t="s">
        <v>717</v>
      </c>
      <c r="DS233" s="1662"/>
      <c r="DT233" s="5040" t="s">
        <v>1037</v>
      </c>
      <c r="DU233" s="5041"/>
      <c r="DV233" s="5042"/>
      <c r="DW233" s="2907"/>
      <c r="DX233" s="5040" t="s">
        <v>996</v>
      </c>
      <c r="DY233" s="5042"/>
      <c r="DZ233" s="1671"/>
      <c r="EA233" s="1671"/>
      <c r="EB233" s="1671"/>
      <c r="EC233" s="1671"/>
      <c r="ED233" s="1671"/>
      <c r="EE233" s="1671"/>
      <c r="EF233" s="1671"/>
      <c r="EG233" s="1671"/>
      <c r="EH233" s="1671"/>
      <c r="EI233" s="1671"/>
      <c r="EJ233" s="1671"/>
      <c r="EK233" s="1671"/>
      <c r="EL233" s="1671"/>
      <c r="EM233" s="1671"/>
      <c r="EN233" s="1671"/>
      <c r="EO233" s="1671"/>
      <c r="EP233" s="1671"/>
    </row>
    <row r="234" spans="1:146" s="1710" customFormat="1" ht="24" hidden="1" customHeight="1" outlineLevel="3">
      <c r="A234" s="4988"/>
      <c r="B234" s="4989"/>
      <c r="C234" s="1638"/>
      <c r="D234" s="1672"/>
      <c r="E234" s="1672" t="s">
        <v>971</v>
      </c>
      <c r="F234" s="1672" t="s">
        <v>970</v>
      </c>
      <c r="G234" s="1673" t="s">
        <v>18</v>
      </c>
      <c r="H234" s="1673" t="s">
        <v>380</v>
      </c>
      <c r="I234" s="1674" t="s">
        <v>705</v>
      </c>
      <c r="J234" s="1731" t="s">
        <v>1006</v>
      </c>
      <c r="K234" s="1676" t="s">
        <v>1459</v>
      </c>
      <c r="L234" s="753" t="s">
        <v>1008</v>
      </c>
      <c r="M234" s="5044" t="s">
        <v>1024</v>
      </c>
      <c r="N234" s="5045"/>
      <c r="O234" s="5046"/>
      <c r="P234" s="753" t="s">
        <v>1025</v>
      </c>
      <c r="Q234" s="1655"/>
      <c r="R234" s="1672"/>
      <c r="S234" s="1672" t="s">
        <v>1010</v>
      </c>
      <c r="T234" s="1657" t="s">
        <v>1013</v>
      </c>
      <c r="U234" s="1656"/>
      <c r="V234" s="1656"/>
      <c r="W234" s="1677"/>
      <c r="X234" s="2634"/>
      <c r="Y234" s="2634"/>
      <c r="Z234" s="2634"/>
      <c r="AA234" s="2634"/>
      <c r="AB234" s="1678" t="s">
        <v>92</v>
      </c>
      <c r="AC234" s="1678" t="s">
        <v>93</v>
      </c>
      <c r="AD234" s="1678"/>
      <c r="AE234" s="1679"/>
      <c r="AF234" s="1678" t="s">
        <v>257</v>
      </c>
      <c r="AG234" s="1680" t="s">
        <v>18</v>
      </c>
      <c r="AH234" s="2682"/>
      <c r="AI234" s="2682"/>
      <c r="AJ234" s="1680" t="s">
        <v>380</v>
      </c>
      <c r="AK234" s="754" t="s">
        <v>705</v>
      </c>
      <c r="AL234" s="754" t="s">
        <v>706</v>
      </c>
      <c r="AM234" s="1681" t="s">
        <v>1011</v>
      </c>
      <c r="AN234" s="1681" t="s">
        <v>1012</v>
      </c>
      <c r="AO234" s="1655"/>
      <c r="AP234" s="1672"/>
      <c r="AQ234" s="1672"/>
      <c r="AR234" s="4942"/>
      <c r="AS234" s="4943"/>
      <c r="AT234" s="4943"/>
      <c r="AU234" s="4944"/>
      <c r="AV234" s="2602"/>
      <c r="AW234" s="5030"/>
      <c r="AX234" s="4886"/>
      <c r="AY234" s="4887"/>
      <c r="AZ234" s="4887"/>
      <c r="BA234" s="4887"/>
      <c r="BB234" s="4888"/>
      <c r="BC234" s="5011"/>
      <c r="BD234" s="5011"/>
      <c r="BE234" s="5031"/>
      <c r="BF234" s="5011"/>
      <c r="BG234" s="1655"/>
      <c r="BH234" s="4892"/>
      <c r="BI234" s="4893"/>
      <c r="BJ234" s="4894"/>
      <c r="BK234" s="4892"/>
      <c r="BL234" s="4893"/>
      <c r="BM234" s="4894"/>
      <c r="BN234" s="5030"/>
      <c r="BO234" s="5030"/>
      <c r="BP234" s="5030"/>
      <c r="BQ234" s="1655"/>
      <c r="BR234" s="4898"/>
      <c r="BS234" s="4899"/>
      <c r="BT234" s="4900"/>
      <c r="BU234" s="4904"/>
      <c r="BV234" s="4905"/>
      <c r="BW234" s="4906"/>
      <c r="BX234" s="5031"/>
      <c r="BY234" s="1655"/>
      <c r="BZ234" s="5047" t="s">
        <v>447</v>
      </c>
      <c r="CA234" s="5048"/>
      <c r="CB234" s="5048"/>
      <c r="CC234" s="5049"/>
      <c r="CD234" s="5050" t="s">
        <v>448</v>
      </c>
      <c r="CE234" s="5051"/>
      <c r="CF234" s="5051"/>
      <c r="CG234" s="5052"/>
      <c r="CH234" s="5047" t="s">
        <v>445</v>
      </c>
      <c r="CI234" s="5048"/>
      <c r="CJ234" s="5049"/>
      <c r="CK234" s="5050" t="s">
        <v>446</v>
      </c>
      <c r="CL234" s="5051"/>
      <c r="CM234" s="5052"/>
      <c r="CN234" s="809" t="s">
        <v>449</v>
      </c>
      <c r="CO234" s="5053" t="s">
        <v>452</v>
      </c>
      <c r="CP234" s="5054"/>
      <c r="CQ234" s="5054"/>
      <c r="CR234" s="5055"/>
      <c r="CS234" s="5053" t="s">
        <v>453</v>
      </c>
      <c r="CT234" s="5054"/>
      <c r="CU234" s="5054"/>
      <c r="CV234" s="5055"/>
      <c r="CW234" s="5053" t="s">
        <v>889</v>
      </c>
      <c r="CX234" s="5054"/>
      <c r="CY234" s="5055"/>
      <c r="CZ234" s="5053" t="s">
        <v>890</v>
      </c>
      <c r="DA234" s="5054"/>
      <c r="DB234" s="5055"/>
      <c r="DC234" s="1683" t="s">
        <v>454</v>
      </c>
      <c r="DD234" s="1655"/>
      <c r="DE234" s="4965"/>
      <c r="DF234" s="4966"/>
      <c r="DG234" s="4965"/>
      <c r="DH234" s="4966"/>
      <c r="DI234" s="4965"/>
      <c r="DJ234" s="4966"/>
      <c r="DK234" s="1684" t="s">
        <v>189</v>
      </c>
      <c r="DL234" s="1684" t="s">
        <v>190</v>
      </c>
      <c r="DM234" s="1732" t="s">
        <v>187</v>
      </c>
      <c r="DN234" s="1732" t="s">
        <v>719</v>
      </c>
      <c r="DO234" s="1686" t="s">
        <v>720</v>
      </c>
      <c r="DP234" s="5039"/>
      <c r="DQ234" s="5039"/>
      <c r="DR234" s="5039"/>
      <c r="DS234" s="1655"/>
      <c r="DT234" s="1687" t="s">
        <v>1032</v>
      </c>
      <c r="DU234" s="1687" t="s">
        <v>1033</v>
      </c>
      <c r="DV234" s="1687" t="s">
        <v>1034</v>
      </c>
      <c r="DW234" s="2949"/>
      <c r="DX234" s="1687" t="s">
        <v>986</v>
      </c>
      <c r="DY234" s="1687" t="s">
        <v>987</v>
      </c>
      <c r="DZ234" s="761"/>
      <c r="EA234" s="761"/>
      <c r="EB234" s="761"/>
      <c r="EC234" s="761"/>
      <c r="ED234" s="761"/>
      <c r="EE234" s="761"/>
      <c r="EF234" s="761"/>
      <c r="EG234" s="761"/>
      <c r="EH234" s="761"/>
      <c r="EI234" s="761"/>
      <c r="EJ234" s="761"/>
      <c r="EK234" s="761"/>
      <c r="EL234" s="761"/>
      <c r="EM234" s="761"/>
      <c r="EN234" s="761"/>
      <c r="EO234" s="761"/>
      <c r="EP234" s="761"/>
    </row>
    <row r="235" spans="1:146" s="761" customFormat="1" ht="12.75" hidden="1" customHeight="1" outlineLevel="3">
      <c r="A235" s="5016" t="s">
        <v>1017</v>
      </c>
      <c r="B235" s="5017"/>
      <c r="C235" s="1836"/>
      <c r="D235" s="1689"/>
      <c r="E235" s="1689" t="s">
        <v>1041</v>
      </c>
      <c r="F235" s="1689" t="s">
        <v>1042</v>
      </c>
      <c r="G235" s="1690" t="s">
        <v>1043</v>
      </c>
      <c r="H235" s="1690" t="s">
        <v>1044</v>
      </c>
      <c r="I235" s="1691" t="s">
        <v>1045</v>
      </c>
      <c r="J235" s="1733" t="s">
        <v>1041</v>
      </c>
      <c r="K235" s="1693" t="s">
        <v>1046</v>
      </c>
      <c r="L235" s="1693" t="s">
        <v>440</v>
      </c>
      <c r="M235" s="1693" t="s">
        <v>492</v>
      </c>
      <c r="N235" s="1693" t="s">
        <v>491</v>
      </c>
      <c r="O235" s="1693" t="s">
        <v>707</v>
      </c>
      <c r="P235" s="1693" t="s">
        <v>708</v>
      </c>
      <c r="Q235" s="1694"/>
      <c r="R235" s="1689"/>
      <c r="S235" s="1689" t="s">
        <v>974</v>
      </c>
      <c r="T235" s="1695" t="s">
        <v>972</v>
      </c>
      <c r="U235" s="1695" t="s">
        <v>973</v>
      </c>
      <c r="V235" s="1695" t="s">
        <v>974</v>
      </c>
      <c r="W235" s="1695" t="s">
        <v>975</v>
      </c>
      <c r="X235" s="2635"/>
      <c r="Y235" s="2635"/>
      <c r="Z235" s="2635"/>
      <c r="AA235" s="2635"/>
      <c r="AB235" s="1695" t="s">
        <v>976</v>
      </c>
      <c r="AC235" s="1695" t="s">
        <v>977</v>
      </c>
      <c r="AD235" s="1695"/>
      <c r="AE235" s="1695"/>
      <c r="AF235" s="1695" t="s">
        <v>978</v>
      </c>
      <c r="AG235" s="1690" t="s">
        <v>973</v>
      </c>
      <c r="AH235" s="2683"/>
      <c r="AI235" s="2683"/>
      <c r="AJ235" s="1690" t="s">
        <v>973</v>
      </c>
      <c r="AK235" s="1696" t="s">
        <v>977</v>
      </c>
      <c r="AL235" s="1696" t="s">
        <v>980</v>
      </c>
      <c r="AM235" s="1697" t="s">
        <v>974</v>
      </c>
      <c r="AN235" s="1698" t="s">
        <v>972</v>
      </c>
      <c r="AO235" s="1694"/>
      <c r="AP235" s="1689"/>
      <c r="AQ235" s="1689"/>
      <c r="AR235" s="1693">
        <v>75</v>
      </c>
      <c r="AS235" s="1693">
        <v>150</v>
      </c>
      <c r="AT235" s="1693" t="s">
        <v>981</v>
      </c>
      <c r="AU235" s="1693" t="s">
        <v>981</v>
      </c>
      <c r="AV235" s="2695"/>
      <c r="AW235" s="1696" t="s">
        <v>207</v>
      </c>
      <c r="AX235" s="1699">
        <v>75</v>
      </c>
      <c r="AY235" s="1699">
        <v>100</v>
      </c>
      <c r="AZ235" s="1699">
        <v>120</v>
      </c>
      <c r="BA235" s="1699">
        <v>150</v>
      </c>
      <c r="BB235" s="1699">
        <v>200</v>
      </c>
      <c r="BC235" s="1700" t="s">
        <v>1051</v>
      </c>
      <c r="BD235" s="1701" t="s">
        <v>982</v>
      </c>
      <c r="BE235" s="1702"/>
      <c r="BF235" s="1703" t="s">
        <v>983</v>
      </c>
      <c r="BG235" s="1694"/>
      <c r="BH235" s="1696">
        <v>75</v>
      </c>
      <c r="BI235" s="1696">
        <v>90</v>
      </c>
      <c r="BJ235" s="1696">
        <v>110</v>
      </c>
      <c r="BK235" s="1696">
        <v>75</v>
      </c>
      <c r="BL235" s="1696">
        <v>90</v>
      </c>
      <c r="BM235" s="1696">
        <v>110</v>
      </c>
      <c r="BN235" s="1696" t="s">
        <v>979</v>
      </c>
      <c r="BO235" s="1696" t="s">
        <v>978</v>
      </c>
      <c r="BP235" s="1696" t="s">
        <v>978</v>
      </c>
      <c r="BQ235" s="1694"/>
      <c r="BR235" s="1704" t="s">
        <v>383</v>
      </c>
      <c r="BS235" s="1704" t="s">
        <v>381</v>
      </c>
      <c r="BT235" s="1704" t="s">
        <v>384</v>
      </c>
      <c r="BU235" s="1704" t="s">
        <v>385</v>
      </c>
      <c r="BV235" s="1704" t="s">
        <v>386</v>
      </c>
      <c r="BW235" s="1704" t="s">
        <v>387</v>
      </c>
      <c r="BX235" s="1704" t="s">
        <v>388</v>
      </c>
      <c r="BY235" s="1694"/>
      <c r="BZ235" s="1705" t="s">
        <v>1039</v>
      </c>
      <c r="CA235" s="1705" t="s">
        <v>467</v>
      </c>
      <c r="CB235" s="1705" t="s">
        <v>466</v>
      </c>
      <c r="CC235" s="1705" t="s">
        <v>470</v>
      </c>
      <c r="CD235" s="1705" t="s">
        <v>468</v>
      </c>
      <c r="CE235" s="1705" t="s">
        <v>467</v>
      </c>
      <c r="CF235" s="1705" t="s">
        <v>466</v>
      </c>
      <c r="CG235" s="1705" t="s">
        <v>470</v>
      </c>
      <c r="CH235" s="1705" t="s">
        <v>468</v>
      </c>
      <c r="CI235" s="1705" t="s">
        <v>467</v>
      </c>
      <c r="CJ235" s="1705" t="s">
        <v>466</v>
      </c>
      <c r="CK235" s="1705" t="s">
        <v>468</v>
      </c>
      <c r="CL235" s="1705" t="s">
        <v>467</v>
      </c>
      <c r="CM235" s="1705" t="s">
        <v>466</v>
      </c>
      <c r="CN235" s="1706" t="s">
        <v>469</v>
      </c>
      <c r="CO235" s="1699" t="s">
        <v>476</v>
      </c>
      <c r="CP235" s="1699" t="s">
        <v>477</v>
      </c>
      <c r="CQ235" s="1699" t="s">
        <v>478</v>
      </c>
      <c r="CR235" s="1699" t="s">
        <v>479</v>
      </c>
      <c r="CS235" s="1699" t="s">
        <v>476</v>
      </c>
      <c r="CT235" s="1699" t="s">
        <v>477</v>
      </c>
      <c r="CU235" s="1699" t="s">
        <v>478</v>
      </c>
      <c r="CV235" s="1699" t="s">
        <v>480</v>
      </c>
      <c r="CW235" s="1699" t="s">
        <v>472</v>
      </c>
      <c r="CX235" s="1699" t="s">
        <v>473</v>
      </c>
      <c r="CY235" s="1699" t="s">
        <v>474</v>
      </c>
      <c r="CZ235" s="1699" t="s">
        <v>472</v>
      </c>
      <c r="DA235" s="1699" t="s">
        <v>473</v>
      </c>
      <c r="DB235" s="1699" t="s">
        <v>474</v>
      </c>
      <c r="DC235" s="1699" t="s">
        <v>475</v>
      </c>
      <c r="DD235" s="1694"/>
      <c r="DE235" s="1707" t="s">
        <v>119</v>
      </c>
      <c r="DF235" s="1707" t="s">
        <v>120</v>
      </c>
      <c r="DG235" s="1707" t="s">
        <v>119</v>
      </c>
      <c r="DH235" s="1707" t="s">
        <v>120</v>
      </c>
      <c r="DI235" s="1707" t="s">
        <v>119</v>
      </c>
      <c r="DJ235" s="1707" t="s">
        <v>120</v>
      </c>
      <c r="DK235" s="1707" t="s">
        <v>121</v>
      </c>
      <c r="DL235" s="1707" t="s">
        <v>122</v>
      </c>
      <c r="DM235" s="1734" t="s">
        <v>1035</v>
      </c>
      <c r="DN235" s="1734" t="s">
        <v>1036</v>
      </c>
      <c r="DO235" s="1734" t="s">
        <v>1035</v>
      </c>
      <c r="DP235" s="1707" t="s">
        <v>124</v>
      </c>
      <c r="DQ235" s="1707" t="s">
        <v>125</v>
      </c>
      <c r="DR235" s="1707" t="s">
        <v>126</v>
      </c>
      <c r="DS235" s="1694"/>
      <c r="DT235" s="1702" t="s">
        <v>985</v>
      </c>
      <c r="DU235" s="1702" t="s">
        <v>985</v>
      </c>
      <c r="DV235" s="1709" t="s">
        <v>984</v>
      </c>
      <c r="DW235" s="2953"/>
      <c r="DX235" s="1702" t="s">
        <v>985</v>
      </c>
      <c r="DY235" s="1702" t="s">
        <v>985</v>
      </c>
      <c r="DZ235" s="1710"/>
      <c r="EA235" s="1710"/>
      <c r="EB235" s="1710"/>
      <c r="EC235" s="1710"/>
      <c r="ED235" s="1710"/>
      <c r="EE235" s="1710"/>
      <c r="EF235" s="1710"/>
      <c r="EG235" s="1710"/>
      <c r="EH235" s="1710"/>
      <c r="EI235" s="1710"/>
      <c r="EJ235" s="1710"/>
      <c r="EK235" s="1710"/>
      <c r="EL235" s="1710"/>
      <c r="EM235" s="1710"/>
      <c r="EN235" s="1710"/>
      <c r="EO235" s="1710"/>
      <c r="EP235" s="1710"/>
    </row>
    <row r="236" spans="1:146" s="761" customFormat="1" ht="51" hidden="1" outlineLevel="3">
      <c r="A236" s="4995" t="s">
        <v>1018</v>
      </c>
      <c r="B236" s="4996"/>
      <c r="C236" s="1177"/>
      <c r="D236" s="1711"/>
      <c r="E236" s="1711"/>
      <c r="F236" s="1736">
        <f>F242/E242</f>
        <v>1.5625</v>
      </c>
      <c r="G236" s="1737"/>
      <c r="H236" s="1737"/>
      <c r="I236" s="1737"/>
      <c r="J236" s="1738"/>
      <c r="K236" s="1713"/>
      <c r="L236" s="1713"/>
      <c r="M236" s="1713"/>
      <c r="N236" s="1713"/>
      <c r="O236" s="1713"/>
      <c r="P236" s="1713"/>
      <c r="Q236" s="1714"/>
      <c r="R236" s="1715"/>
      <c r="S236" s="1715" t="s">
        <v>1059</v>
      </c>
      <c r="T236" s="1739"/>
      <c r="U236" s="1712">
        <v>1.1000000000000001</v>
      </c>
      <c r="V236" s="1715" t="s">
        <v>1058</v>
      </c>
      <c r="W236" s="1712">
        <v>1.1000000000000001</v>
      </c>
      <c r="X236" s="1712"/>
      <c r="Y236" s="1712"/>
      <c r="Z236" s="1712"/>
      <c r="AA236" s="1712"/>
      <c r="AB236" s="1712">
        <v>1.6</v>
      </c>
      <c r="AC236" s="1712">
        <f>AB236</f>
        <v>1.6</v>
      </c>
      <c r="AD236" s="1712"/>
      <c r="AE236" s="1712"/>
      <c r="AF236" s="1712">
        <v>1.2</v>
      </c>
      <c r="AG236" s="1715" t="s">
        <v>1058</v>
      </c>
      <c r="AH236" s="2690"/>
      <c r="AI236" s="2690"/>
      <c r="AJ236" s="1712">
        <v>1.05</v>
      </c>
      <c r="AK236" s="1715" t="s">
        <v>1060</v>
      </c>
      <c r="AL236" s="1715" t="s">
        <v>1061</v>
      </c>
      <c r="AM236" s="1715" t="s">
        <v>1063</v>
      </c>
      <c r="AN236" s="1715" t="s">
        <v>1062</v>
      </c>
      <c r="AO236" s="1714"/>
      <c r="AP236" s="1715"/>
      <c r="AQ236" s="1715"/>
      <c r="AR236" s="1712">
        <v>0.9</v>
      </c>
      <c r="AS236" s="1712">
        <v>1.75</v>
      </c>
      <c r="AT236" s="1712"/>
      <c r="AU236" s="1712"/>
      <c r="AV236" s="1712"/>
      <c r="AW236" s="1712">
        <v>1.45</v>
      </c>
      <c r="AX236" s="1715" t="s">
        <v>1064</v>
      </c>
      <c r="AY236" s="1716"/>
      <c r="AZ236" s="1716"/>
      <c r="BA236" s="1715" t="s">
        <v>1065</v>
      </c>
      <c r="BB236" s="1716"/>
      <c r="BC236" s="1712">
        <v>7.4999999999999997E-2</v>
      </c>
      <c r="BD236" s="1712">
        <v>0.65</v>
      </c>
      <c r="BE236" s="1715" t="s">
        <v>1066</v>
      </c>
      <c r="BF236" s="1715" t="s">
        <v>1067</v>
      </c>
      <c r="BG236" s="1714"/>
      <c r="BH236" s="1712">
        <v>0.85</v>
      </c>
      <c r="BI236" s="1712">
        <v>0.85</v>
      </c>
      <c r="BJ236" s="1712">
        <v>0.85</v>
      </c>
      <c r="BK236" s="1712">
        <v>1.05</v>
      </c>
      <c r="BL236" s="1712">
        <v>1.05</v>
      </c>
      <c r="BM236" s="1712">
        <v>1.05</v>
      </c>
      <c r="BN236" s="1715">
        <v>0.9</v>
      </c>
      <c r="BO236" s="1715">
        <v>0.9</v>
      </c>
      <c r="BP236" s="1715">
        <v>0.9</v>
      </c>
      <c r="BQ236" s="1714"/>
      <c r="BR236" s="1717"/>
      <c r="BS236" s="1712">
        <v>1.05</v>
      </c>
      <c r="BT236" s="1712">
        <v>1.05</v>
      </c>
      <c r="BU236" s="1717"/>
      <c r="BV236" s="1712">
        <v>1.05</v>
      </c>
      <c r="BW236" s="1712">
        <v>1.05</v>
      </c>
      <c r="BX236" s="1712">
        <v>2.2999999999999998</v>
      </c>
      <c r="BY236" s="1714"/>
      <c r="BZ236" s="1713"/>
      <c r="CA236" s="1713"/>
      <c r="CB236" s="1713"/>
      <c r="CC236" s="1713"/>
      <c r="CD236" s="1713"/>
      <c r="CE236" s="1713"/>
      <c r="CF236" s="1713"/>
      <c r="CG236" s="1713"/>
      <c r="CH236" s="1713"/>
      <c r="CI236" s="1713"/>
      <c r="CJ236" s="1713"/>
      <c r="CK236" s="1713"/>
      <c r="CL236" s="1713"/>
      <c r="CM236" s="1713"/>
      <c r="CN236" s="1713"/>
      <c r="CO236" s="1718">
        <v>1.45</v>
      </c>
      <c r="CP236" s="5018" t="s">
        <v>1069</v>
      </c>
      <c r="CQ236" s="5019"/>
      <c r="CR236" s="5019"/>
      <c r="CS236" s="5019"/>
      <c r="CT236" s="5019"/>
      <c r="CU236" s="5019"/>
      <c r="CV236" s="5019"/>
      <c r="CW236" s="5019"/>
      <c r="CX236" s="5019"/>
      <c r="CY236" s="5019"/>
      <c r="CZ236" s="5019"/>
      <c r="DA236" s="5019"/>
      <c r="DB236" s="5019"/>
      <c r="DC236" s="5020"/>
      <c r="DD236" s="1714"/>
      <c r="DE236" s="1715">
        <v>1.1499999999999999</v>
      </c>
      <c r="DF236" s="1715">
        <v>1.1499999999999999</v>
      </c>
      <c r="DG236" s="1715">
        <v>1.1000000000000001</v>
      </c>
      <c r="DH236" s="1715">
        <v>1.2</v>
      </c>
      <c r="DI236" s="1715">
        <v>1.05</v>
      </c>
      <c r="DJ236" s="1715">
        <v>1.1499999999999999</v>
      </c>
      <c r="DK236" s="1713"/>
      <c r="DL236" s="1715">
        <v>1.05</v>
      </c>
      <c r="DM236" s="1715">
        <v>1.45</v>
      </c>
      <c r="DN236" s="1715" t="s">
        <v>1070</v>
      </c>
      <c r="DO236" s="1715" t="s">
        <v>1070</v>
      </c>
      <c r="DP236" s="1715">
        <v>1.05</v>
      </c>
      <c r="DQ236" s="1715">
        <v>1.1499999999999999</v>
      </c>
      <c r="DR236" s="1715" t="s">
        <v>1062</v>
      </c>
      <c r="DS236" s="1714"/>
      <c r="DT236" s="1712">
        <v>0.8</v>
      </c>
      <c r="DU236" s="1712" t="s">
        <v>1152</v>
      </c>
      <c r="DV236" s="1713"/>
      <c r="DW236" s="2955"/>
      <c r="DX236" s="1712">
        <f>DT236</f>
        <v>0.8</v>
      </c>
      <c r="DY236" s="1712">
        <f>DT236</f>
        <v>0.8</v>
      </c>
    </row>
    <row r="237" spans="1:146" s="761" customFormat="1" ht="15.75" hidden="1" customHeight="1" outlineLevel="3">
      <c r="A237" s="5096" t="s">
        <v>910</v>
      </c>
      <c r="B237" s="5097"/>
      <c r="C237" s="1745">
        <v>0.3</v>
      </c>
      <c r="D237" s="763"/>
      <c r="E237" s="763"/>
      <c r="F237" s="764"/>
      <c r="G237" s="765"/>
      <c r="H237" s="766"/>
      <c r="I237" s="781"/>
      <c r="J237" s="1175"/>
      <c r="K237" s="751"/>
      <c r="L237" s="751"/>
      <c r="M237" s="768">
        <v>11850</v>
      </c>
      <c r="N237" s="753"/>
      <c r="O237" s="753"/>
      <c r="P237" s="767">
        <v>13050</v>
      </c>
      <c r="Q237" s="762"/>
      <c r="R237" s="764"/>
      <c r="S237" s="764"/>
      <c r="T237" s="1144"/>
      <c r="U237" s="769"/>
      <c r="V237" s="769"/>
      <c r="W237" s="769"/>
      <c r="X237" s="1807"/>
      <c r="Y237" s="1807"/>
      <c r="Z237" s="1807"/>
      <c r="AA237" s="1807"/>
      <c r="AB237" s="769"/>
      <c r="AC237" s="769"/>
      <c r="AD237" s="764"/>
      <c r="AE237" s="770"/>
      <c r="AF237" s="764"/>
      <c r="AG237" s="765"/>
      <c r="AH237" s="2665"/>
      <c r="AI237" s="2665"/>
      <c r="AJ237" s="766"/>
      <c r="AK237" s="754"/>
      <c r="AL237" s="754"/>
      <c r="AM237" s="757"/>
      <c r="AN237" s="757"/>
      <c r="AO237" s="762"/>
      <c r="AP237" s="764"/>
      <c r="AQ237" s="764"/>
      <c r="AR237" s="769"/>
      <c r="AS237" s="769"/>
      <c r="AT237" s="769"/>
      <c r="AU237" s="769"/>
      <c r="AV237" s="2664"/>
      <c r="AW237" s="754"/>
      <c r="AX237" s="757"/>
      <c r="AY237" s="757"/>
      <c r="AZ237" s="757"/>
      <c r="BA237" s="757"/>
      <c r="BB237" s="757"/>
      <c r="BC237" s="769"/>
      <c r="BD237" s="769"/>
      <c r="BE237" s="759"/>
      <c r="BF237" s="767"/>
      <c r="BG237" s="762"/>
      <c r="BH237" s="771"/>
      <c r="BI237" s="771"/>
      <c r="BJ237" s="771"/>
      <c r="BK237" s="771"/>
      <c r="BL237" s="771"/>
      <c r="BM237" s="771"/>
      <c r="BN237" s="754"/>
      <c r="BO237" s="754"/>
      <c r="BP237" s="754"/>
      <c r="BQ237" s="762"/>
      <c r="BR237" s="763"/>
      <c r="BS237" s="773"/>
      <c r="BT237" s="773"/>
      <c r="BU237" s="760"/>
      <c r="BV237" s="760"/>
      <c r="BW237" s="760"/>
      <c r="BX237" s="760"/>
      <c r="BY237" s="762"/>
      <c r="BZ237" s="774"/>
      <c r="CA237" s="755"/>
      <c r="CB237" s="755"/>
      <c r="CC237" s="755"/>
      <c r="CD237" s="806"/>
      <c r="CE237" s="755"/>
      <c r="CF237" s="755"/>
      <c r="CG237" s="755"/>
      <c r="CH237" s="809"/>
      <c r="CI237" s="756"/>
      <c r="CJ237" s="756"/>
      <c r="CK237" s="806"/>
      <c r="CL237" s="755"/>
      <c r="CM237" s="755"/>
      <c r="CN237" s="756"/>
      <c r="CO237" s="757"/>
      <c r="CP237" s="757"/>
      <c r="CQ237" s="757"/>
      <c r="CR237" s="757"/>
      <c r="CS237" s="757"/>
      <c r="CT237" s="757"/>
      <c r="CU237" s="757"/>
      <c r="CV237" s="757"/>
      <c r="CW237" s="757"/>
      <c r="CX237" s="757"/>
      <c r="CY237" s="757"/>
      <c r="CZ237" s="757"/>
      <c r="DA237" s="757"/>
      <c r="DB237" s="757"/>
      <c r="DC237" s="757"/>
      <c r="DD237" s="762"/>
      <c r="DE237" s="752"/>
      <c r="DF237" s="752"/>
      <c r="DG237" s="752"/>
      <c r="DH237" s="752"/>
      <c r="DI237" s="752"/>
      <c r="DJ237" s="752"/>
      <c r="DK237" s="775"/>
      <c r="DL237" s="752"/>
      <c r="DM237" s="752"/>
      <c r="DN237" s="752"/>
      <c r="DO237" s="752"/>
      <c r="DP237" s="752"/>
      <c r="DQ237" s="752"/>
      <c r="DR237" s="752"/>
      <c r="DS237" s="776"/>
      <c r="DT237" s="759"/>
      <c r="DU237" s="760"/>
      <c r="DV237" s="760"/>
      <c r="DW237" s="2952"/>
      <c r="DX237" s="760"/>
      <c r="DY237" s="760"/>
      <c r="EA237" s="811"/>
      <c r="EB237" s="812"/>
      <c r="EC237" s="2960"/>
      <c r="ED237" s="2960"/>
      <c r="EE237" s="811"/>
      <c r="EF237" s="812"/>
      <c r="EG237" s="811"/>
      <c r="EH237" s="812"/>
      <c r="EI237" s="811"/>
      <c r="EJ237" s="812"/>
    </row>
    <row r="238" spans="1:146" s="761" customFormat="1" ht="12.75" hidden="1" customHeight="1" outlineLevel="3">
      <c r="A238" s="1719" t="s">
        <v>206</v>
      </c>
      <c r="B238" s="1720" t="s">
        <v>391</v>
      </c>
      <c r="C238" s="1745">
        <v>0.18</v>
      </c>
      <c r="D238" s="763"/>
      <c r="E238" s="763">
        <v>1240</v>
      </c>
      <c r="F238" s="764"/>
      <c r="G238" s="765">
        <v>1350</v>
      </c>
      <c r="H238" s="766"/>
      <c r="I238" s="781"/>
      <c r="J238" s="1175">
        <v>1240</v>
      </c>
      <c r="K238" s="751">
        <v>2500</v>
      </c>
      <c r="L238" s="751">
        <v>2650</v>
      </c>
      <c r="M238" s="768"/>
      <c r="N238" s="753"/>
      <c r="O238" s="753"/>
      <c r="P238" s="767"/>
      <c r="Q238" s="762"/>
      <c r="R238" s="764"/>
      <c r="S238" s="764"/>
      <c r="T238" s="1144">
        <v>670</v>
      </c>
      <c r="U238" s="769">
        <v>750</v>
      </c>
      <c r="V238" s="769">
        <v>750</v>
      </c>
      <c r="W238" s="769">
        <v>850</v>
      </c>
      <c r="X238" s="1807"/>
      <c r="Y238" s="1807"/>
      <c r="Z238" s="1807"/>
      <c r="AA238" s="1807"/>
      <c r="AB238" s="769"/>
      <c r="AC238" s="769">
        <v>1200</v>
      </c>
      <c r="AD238" s="764"/>
      <c r="AE238" s="770"/>
      <c r="AF238" s="764"/>
      <c r="AG238" s="765">
        <v>750</v>
      </c>
      <c r="AH238" s="2665"/>
      <c r="AI238" s="2665"/>
      <c r="AJ238" s="766"/>
      <c r="AK238" s="754"/>
      <c r="AL238" s="754"/>
      <c r="AM238" s="757"/>
      <c r="AN238" s="757">
        <v>670</v>
      </c>
      <c r="AO238" s="762"/>
      <c r="AP238" s="764"/>
      <c r="AQ238" s="764"/>
      <c r="AR238" s="769">
        <v>650</v>
      </c>
      <c r="AS238" s="769">
        <v>1150</v>
      </c>
      <c r="AT238" s="769">
        <v>90</v>
      </c>
      <c r="AU238" s="769">
        <v>90</v>
      </c>
      <c r="AV238" s="2664"/>
      <c r="AW238" s="754"/>
      <c r="AX238" s="757">
        <v>650</v>
      </c>
      <c r="AY238" s="757">
        <v>870</v>
      </c>
      <c r="AZ238" s="757">
        <v>1040</v>
      </c>
      <c r="BA238" s="757">
        <v>1150</v>
      </c>
      <c r="BB238" s="757">
        <v>1480</v>
      </c>
      <c r="BC238" s="769">
        <v>48.75</v>
      </c>
      <c r="BD238" s="769">
        <v>500</v>
      </c>
      <c r="BE238" s="759">
        <v>500</v>
      </c>
      <c r="BF238" s="767">
        <v>1150</v>
      </c>
      <c r="BG238" s="762"/>
      <c r="BH238" s="771">
        <v>600</v>
      </c>
      <c r="BI238" s="771">
        <v>700</v>
      </c>
      <c r="BJ238" s="771">
        <v>700</v>
      </c>
      <c r="BK238" s="771">
        <v>650</v>
      </c>
      <c r="BL238" s="771">
        <v>750</v>
      </c>
      <c r="BM238" s="771">
        <v>750</v>
      </c>
      <c r="BN238" s="754"/>
      <c r="BO238" s="754"/>
      <c r="BP238" s="754"/>
      <c r="BQ238" s="762"/>
      <c r="BR238" s="763">
        <v>1650</v>
      </c>
      <c r="BS238" s="773">
        <v>1750</v>
      </c>
      <c r="BT238" s="773">
        <v>1850</v>
      </c>
      <c r="BU238" s="760"/>
      <c r="BV238" s="760"/>
      <c r="BW238" s="760"/>
      <c r="BX238" s="760"/>
      <c r="BY238" s="762"/>
      <c r="BZ238" s="774">
        <v>500</v>
      </c>
      <c r="CA238" s="755">
        <v>550</v>
      </c>
      <c r="CB238" s="755">
        <v>600</v>
      </c>
      <c r="CC238" s="755">
        <v>650</v>
      </c>
      <c r="CD238" s="806">
        <v>550</v>
      </c>
      <c r="CE238" s="755">
        <v>600</v>
      </c>
      <c r="CF238" s="755">
        <v>650</v>
      </c>
      <c r="CG238" s="755">
        <v>700</v>
      </c>
      <c r="CH238" s="809"/>
      <c r="CI238" s="756"/>
      <c r="CJ238" s="756"/>
      <c r="CK238" s="806">
        <v>550</v>
      </c>
      <c r="CL238" s="755">
        <v>600</v>
      </c>
      <c r="CM238" s="755">
        <v>650</v>
      </c>
      <c r="CN238" s="756"/>
      <c r="CO238" s="757">
        <v>800</v>
      </c>
      <c r="CP238" s="757">
        <v>900</v>
      </c>
      <c r="CQ238" s="757">
        <v>950</v>
      </c>
      <c r="CR238" s="757">
        <v>1050</v>
      </c>
      <c r="CS238" s="757">
        <v>900</v>
      </c>
      <c r="CT238" s="757">
        <v>950</v>
      </c>
      <c r="CU238" s="757">
        <v>1050</v>
      </c>
      <c r="CV238" s="757">
        <v>1100</v>
      </c>
      <c r="CW238" s="757"/>
      <c r="CX238" s="757"/>
      <c r="CY238" s="757"/>
      <c r="CZ238" s="757">
        <v>950</v>
      </c>
      <c r="DA238" s="757">
        <v>1050</v>
      </c>
      <c r="DB238" s="757">
        <v>1100</v>
      </c>
      <c r="DC238" s="757"/>
      <c r="DD238" s="762"/>
      <c r="DE238" s="752">
        <v>3800</v>
      </c>
      <c r="DF238" s="752">
        <v>4400</v>
      </c>
      <c r="DG238" s="752">
        <v>4200</v>
      </c>
      <c r="DH238" s="752">
        <v>5050</v>
      </c>
      <c r="DI238" s="752"/>
      <c r="DJ238" s="752"/>
      <c r="DK238" s="775">
        <v>3300</v>
      </c>
      <c r="DL238" s="752">
        <v>3500</v>
      </c>
      <c r="DM238" s="752"/>
      <c r="DN238" s="752"/>
      <c r="DO238" s="752"/>
      <c r="DP238" s="752">
        <v>1400</v>
      </c>
      <c r="DQ238" s="752">
        <v>1650</v>
      </c>
      <c r="DR238" s="752">
        <v>700</v>
      </c>
      <c r="DS238" s="776"/>
      <c r="DT238" s="759">
        <v>6600</v>
      </c>
      <c r="DU238" s="760"/>
      <c r="DV238" s="760"/>
      <c r="DW238" s="2952"/>
      <c r="DX238" s="760"/>
      <c r="DY238" s="760"/>
      <c r="EA238" s="811">
        <v>11050</v>
      </c>
      <c r="EB238" s="812">
        <v>7942.1874999999991</v>
      </c>
      <c r="EC238" s="2960"/>
      <c r="ED238" s="2960"/>
      <c r="EE238" s="811"/>
      <c r="EF238" s="812"/>
      <c r="EG238" s="811"/>
      <c r="EH238" s="812"/>
      <c r="EI238" s="811"/>
      <c r="EJ238" s="812"/>
    </row>
    <row r="239" spans="1:146" s="761" customFormat="1" ht="12.75" hidden="1" customHeight="1" outlineLevel="3">
      <c r="A239" s="5021" t="s">
        <v>1019</v>
      </c>
      <c r="B239" s="1720" t="s">
        <v>703</v>
      </c>
      <c r="C239" s="1745">
        <v>0.35</v>
      </c>
      <c r="D239" s="763"/>
      <c r="E239" s="763">
        <v>1660</v>
      </c>
      <c r="F239" s="769">
        <v>2600</v>
      </c>
      <c r="G239" s="765">
        <v>1750</v>
      </c>
      <c r="H239" s="765">
        <v>1850</v>
      </c>
      <c r="I239" s="782"/>
      <c r="J239" s="1175">
        <v>1660</v>
      </c>
      <c r="K239" s="751">
        <v>3350</v>
      </c>
      <c r="L239" s="751">
        <v>3500</v>
      </c>
      <c r="M239" s="753"/>
      <c r="N239" s="753"/>
      <c r="O239" s="753"/>
      <c r="P239" s="753"/>
      <c r="Q239" s="762"/>
      <c r="R239" s="769"/>
      <c r="S239" s="769">
        <v>1300</v>
      </c>
      <c r="T239" s="769">
        <v>1140</v>
      </c>
      <c r="U239" s="769">
        <v>1300</v>
      </c>
      <c r="V239" s="769">
        <v>1300</v>
      </c>
      <c r="W239" s="769">
        <v>1450</v>
      </c>
      <c r="X239" s="1807"/>
      <c r="Y239" s="1807"/>
      <c r="Z239" s="1807"/>
      <c r="AA239" s="1807"/>
      <c r="AB239" s="769">
        <v>2100</v>
      </c>
      <c r="AC239" s="770"/>
      <c r="AD239" s="770"/>
      <c r="AE239" s="770"/>
      <c r="AF239" s="770"/>
      <c r="AG239" s="765">
        <v>1300</v>
      </c>
      <c r="AH239" s="2665"/>
      <c r="AI239" s="2665"/>
      <c r="AJ239" s="765">
        <v>1400</v>
      </c>
      <c r="AK239" s="754"/>
      <c r="AL239" s="754"/>
      <c r="AM239" s="757">
        <v>1300</v>
      </c>
      <c r="AN239" s="757">
        <v>1140</v>
      </c>
      <c r="AO239" s="762"/>
      <c r="AP239" s="769"/>
      <c r="AQ239" s="769"/>
      <c r="AR239" s="769">
        <v>1100</v>
      </c>
      <c r="AS239" s="769">
        <v>1950</v>
      </c>
      <c r="AT239" s="769">
        <v>150</v>
      </c>
      <c r="AU239" s="769">
        <v>150</v>
      </c>
      <c r="AV239" s="2664"/>
      <c r="AW239" s="754"/>
      <c r="AX239" s="757">
        <v>1100</v>
      </c>
      <c r="AY239" s="757">
        <v>1470</v>
      </c>
      <c r="AZ239" s="757">
        <v>1760</v>
      </c>
      <c r="BA239" s="757">
        <v>1950</v>
      </c>
      <c r="BB239" s="757">
        <v>2500</v>
      </c>
      <c r="BC239" s="769">
        <v>48.75</v>
      </c>
      <c r="BD239" s="769">
        <v>800</v>
      </c>
      <c r="BE239" s="759">
        <v>800</v>
      </c>
      <c r="BF239" s="767">
        <v>1950</v>
      </c>
      <c r="BG239" s="762"/>
      <c r="BH239" s="771">
        <v>1050</v>
      </c>
      <c r="BI239" s="771">
        <v>1150</v>
      </c>
      <c r="BJ239" s="771">
        <v>1150</v>
      </c>
      <c r="BK239" s="771">
        <v>1150</v>
      </c>
      <c r="BL239" s="771">
        <v>1250</v>
      </c>
      <c r="BM239" s="771">
        <v>1250</v>
      </c>
      <c r="BN239" s="754"/>
      <c r="BO239" s="754"/>
      <c r="BP239" s="754"/>
      <c r="BQ239" s="762"/>
      <c r="BR239" s="763">
        <v>2200</v>
      </c>
      <c r="BS239" s="773">
        <v>2350</v>
      </c>
      <c r="BT239" s="773">
        <v>2500</v>
      </c>
      <c r="BU239" s="773">
        <v>450</v>
      </c>
      <c r="BV239" s="777">
        <v>500</v>
      </c>
      <c r="BW239" s="777">
        <v>550</v>
      </c>
      <c r="BX239" s="777">
        <v>5750</v>
      </c>
      <c r="BY239" s="762"/>
      <c r="BZ239" s="774">
        <v>650</v>
      </c>
      <c r="CA239" s="755">
        <v>700</v>
      </c>
      <c r="CB239" s="755">
        <v>750</v>
      </c>
      <c r="CC239" s="755">
        <v>800</v>
      </c>
      <c r="CD239" s="806">
        <v>700</v>
      </c>
      <c r="CE239" s="755">
        <v>750</v>
      </c>
      <c r="CF239" s="755">
        <v>800</v>
      </c>
      <c r="CG239" s="755">
        <v>850</v>
      </c>
      <c r="CH239" s="806">
        <v>750</v>
      </c>
      <c r="CI239" s="755">
        <v>800</v>
      </c>
      <c r="CJ239" s="755">
        <v>850</v>
      </c>
      <c r="CK239" s="806">
        <v>750</v>
      </c>
      <c r="CL239" s="755">
        <v>800</v>
      </c>
      <c r="CM239" s="755">
        <v>850</v>
      </c>
      <c r="CN239" s="756"/>
      <c r="CO239" s="757">
        <v>1050</v>
      </c>
      <c r="CP239" s="757">
        <v>1100</v>
      </c>
      <c r="CQ239" s="757">
        <v>1200</v>
      </c>
      <c r="CR239" s="757">
        <v>1250</v>
      </c>
      <c r="CS239" s="757">
        <v>1100</v>
      </c>
      <c r="CT239" s="757">
        <v>1200</v>
      </c>
      <c r="CU239" s="757">
        <v>1250</v>
      </c>
      <c r="CV239" s="757">
        <v>1350</v>
      </c>
      <c r="CW239" s="757">
        <v>1200</v>
      </c>
      <c r="CX239" s="757">
        <v>1250</v>
      </c>
      <c r="CY239" s="757">
        <v>1350</v>
      </c>
      <c r="CZ239" s="757">
        <v>1200</v>
      </c>
      <c r="DA239" s="757">
        <v>1250</v>
      </c>
      <c r="DB239" s="757">
        <v>1350</v>
      </c>
      <c r="DC239" s="758"/>
      <c r="DD239" s="762"/>
      <c r="DE239" s="752">
        <v>4700</v>
      </c>
      <c r="DF239" s="752">
        <v>5450</v>
      </c>
      <c r="DG239" s="752">
        <v>5200</v>
      </c>
      <c r="DH239" s="752">
        <v>6250</v>
      </c>
      <c r="DI239" s="752">
        <v>4950</v>
      </c>
      <c r="DJ239" s="752">
        <v>5700</v>
      </c>
      <c r="DK239" s="775">
        <v>4050</v>
      </c>
      <c r="DL239" s="752">
        <v>4300</v>
      </c>
      <c r="DM239" s="752">
        <v>7550</v>
      </c>
      <c r="DN239" s="752">
        <v>7550</v>
      </c>
      <c r="DO239" s="752">
        <v>7550</v>
      </c>
      <c r="DP239" s="752">
        <v>2250</v>
      </c>
      <c r="DQ239" s="752">
        <v>2600</v>
      </c>
      <c r="DR239" s="752">
        <v>1180</v>
      </c>
      <c r="DS239" s="776"/>
      <c r="DT239" s="759">
        <v>8300</v>
      </c>
      <c r="DU239" s="759"/>
      <c r="DV239" s="759"/>
      <c r="DW239" s="2670"/>
      <c r="DX239" s="760"/>
      <c r="DY239" s="759">
        <v>15400</v>
      </c>
      <c r="EA239" s="811">
        <v>13900</v>
      </c>
      <c r="EB239" s="812">
        <v>9990.625</v>
      </c>
      <c r="EC239" s="2960"/>
      <c r="ED239" s="2960"/>
      <c r="EE239" s="811"/>
      <c r="EF239" s="812"/>
      <c r="EG239" s="811"/>
      <c r="EH239" s="812"/>
      <c r="EI239" s="811">
        <v>23150</v>
      </c>
      <c r="EJ239" s="812">
        <v>15915.625000000002</v>
      </c>
    </row>
    <row r="240" spans="1:146" s="761" customFormat="1" hidden="1" outlineLevel="3">
      <c r="A240" s="5022"/>
      <c r="B240" s="1722" t="s">
        <v>718</v>
      </c>
      <c r="C240" s="1745">
        <v>0.35</v>
      </c>
      <c r="D240" s="763"/>
      <c r="E240" s="763">
        <v>1760</v>
      </c>
      <c r="F240" s="769">
        <v>2750</v>
      </c>
      <c r="G240" s="765">
        <v>1850</v>
      </c>
      <c r="H240" s="765">
        <v>1950</v>
      </c>
      <c r="I240" s="781"/>
      <c r="J240" s="1175">
        <v>1760</v>
      </c>
      <c r="K240" s="751">
        <v>3550</v>
      </c>
      <c r="L240" s="751">
        <v>3700</v>
      </c>
      <c r="M240" s="753"/>
      <c r="N240" s="753"/>
      <c r="O240" s="753"/>
      <c r="P240" s="753"/>
      <c r="Q240" s="762"/>
      <c r="R240" s="769"/>
      <c r="S240" s="769">
        <v>1400</v>
      </c>
      <c r="T240" s="769">
        <v>1240</v>
      </c>
      <c r="U240" s="769">
        <v>1400</v>
      </c>
      <c r="V240" s="769">
        <v>1400</v>
      </c>
      <c r="W240" s="769">
        <v>1550</v>
      </c>
      <c r="X240" s="1807"/>
      <c r="Y240" s="1807"/>
      <c r="Z240" s="1807"/>
      <c r="AA240" s="1807"/>
      <c r="AB240" s="769">
        <v>2250</v>
      </c>
      <c r="AC240" s="764"/>
      <c r="AD240" s="764"/>
      <c r="AE240" s="770"/>
      <c r="AF240" s="764"/>
      <c r="AG240" s="765">
        <v>1400</v>
      </c>
      <c r="AH240" s="2665"/>
      <c r="AI240" s="2665"/>
      <c r="AJ240" s="765">
        <v>1500</v>
      </c>
      <c r="AK240" s="754"/>
      <c r="AL240" s="754"/>
      <c r="AM240" s="757">
        <v>1400</v>
      </c>
      <c r="AN240" s="757">
        <v>1240</v>
      </c>
      <c r="AO240" s="762"/>
      <c r="AP240" s="769"/>
      <c r="AQ240" s="769"/>
      <c r="AR240" s="769">
        <v>1200</v>
      </c>
      <c r="AS240" s="769">
        <v>2100</v>
      </c>
      <c r="AT240" s="769">
        <v>160</v>
      </c>
      <c r="AU240" s="769">
        <v>160</v>
      </c>
      <c r="AV240" s="2664"/>
      <c r="AW240" s="754"/>
      <c r="AX240" s="757">
        <v>1200</v>
      </c>
      <c r="AY240" s="757">
        <v>1600</v>
      </c>
      <c r="AZ240" s="757">
        <v>1920</v>
      </c>
      <c r="BA240" s="757">
        <v>2100</v>
      </c>
      <c r="BB240" s="757">
        <v>2720</v>
      </c>
      <c r="BC240" s="769">
        <v>48.75</v>
      </c>
      <c r="BD240" s="769">
        <v>850</v>
      </c>
      <c r="BE240" s="759">
        <v>850</v>
      </c>
      <c r="BF240" s="767">
        <v>2100</v>
      </c>
      <c r="BG240" s="762"/>
      <c r="BH240" s="771">
        <v>1100</v>
      </c>
      <c r="BI240" s="771">
        <v>1250</v>
      </c>
      <c r="BJ240" s="771">
        <v>1250</v>
      </c>
      <c r="BK240" s="771">
        <v>1200</v>
      </c>
      <c r="BL240" s="771">
        <v>1350</v>
      </c>
      <c r="BM240" s="771">
        <v>1350</v>
      </c>
      <c r="BN240" s="754"/>
      <c r="BO240" s="754"/>
      <c r="BP240" s="754"/>
      <c r="BQ240" s="762"/>
      <c r="BR240" s="763">
        <v>2250</v>
      </c>
      <c r="BS240" s="773">
        <v>2400</v>
      </c>
      <c r="BT240" s="773">
        <v>2550</v>
      </c>
      <c r="BU240" s="773">
        <v>450</v>
      </c>
      <c r="BV240" s="777">
        <v>500</v>
      </c>
      <c r="BW240" s="777">
        <v>550</v>
      </c>
      <c r="BX240" s="777">
        <v>5900</v>
      </c>
      <c r="BY240" s="762"/>
      <c r="BZ240" s="774">
        <v>700</v>
      </c>
      <c r="CA240" s="755">
        <v>750</v>
      </c>
      <c r="CB240" s="755">
        <v>800</v>
      </c>
      <c r="CC240" s="755">
        <v>850</v>
      </c>
      <c r="CD240" s="806">
        <v>750</v>
      </c>
      <c r="CE240" s="755">
        <v>800</v>
      </c>
      <c r="CF240" s="755">
        <v>850</v>
      </c>
      <c r="CG240" s="755">
        <v>900</v>
      </c>
      <c r="CH240" s="806">
        <v>800</v>
      </c>
      <c r="CI240" s="755">
        <v>850</v>
      </c>
      <c r="CJ240" s="755">
        <v>900</v>
      </c>
      <c r="CK240" s="806">
        <v>800</v>
      </c>
      <c r="CL240" s="755">
        <v>850</v>
      </c>
      <c r="CM240" s="755">
        <v>900</v>
      </c>
      <c r="CN240" s="756"/>
      <c r="CO240" s="757">
        <v>1100</v>
      </c>
      <c r="CP240" s="757">
        <v>1200</v>
      </c>
      <c r="CQ240" s="757">
        <v>1250</v>
      </c>
      <c r="CR240" s="757">
        <v>1350</v>
      </c>
      <c r="CS240" s="757">
        <v>1200</v>
      </c>
      <c r="CT240" s="757">
        <v>1250</v>
      </c>
      <c r="CU240" s="757">
        <v>1350</v>
      </c>
      <c r="CV240" s="757">
        <v>1400</v>
      </c>
      <c r="CW240" s="757">
        <v>1250</v>
      </c>
      <c r="CX240" s="757">
        <v>1350</v>
      </c>
      <c r="CY240" s="757">
        <v>1400</v>
      </c>
      <c r="CZ240" s="757">
        <v>1250</v>
      </c>
      <c r="DA240" s="757">
        <v>1350</v>
      </c>
      <c r="DB240" s="757">
        <v>1400</v>
      </c>
      <c r="DC240" s="758"/>
      <c r="DD240" s="762"/>
      <c r="DE240" s="752">
        <v>4900</v>
      </c>
      <c r="DF240" s="752">
        <v>5650</v>
      </c>
      <c r="DG240" s="752">
        <v>5400</v>
      </c>
      <c r="DH240" s="752">
        <v>6500</v>
      </c>
      <c r="DI240" s="752">
        <v>5150</v>
      </c>
      <c r="DJ240" s="752">
        <v>5950</v>
      </c>
      <c r="DK240" s="775">
        <v>4250</v>
      </c>
      <c r="DL240" s="752">
        <v>4500</v>
      </c>
      <c r="DM240" s="752">
        <v>7850</v>
      </c>
      <c r="DN240" s="752">
        <v>7850</v>
      </c>
      <c r="DO240" s="752">
        <v>7850</v>
      </c>
      <c r="DP240" s="752">
        <v>2500</v>
      </c>
      <c r="DQ240" s="752">
        <v>2900</v>
      </c>
      <c r="DR240" s="752">
        <v>1280</v>
      </c>
      <c r="DS240" s="776"/>
      <c r="DT240" s="759">
        <v>9000</v>
      </c>
      <c r="DU240" s="759">
        <v>13200</v>
      </c>
      <c r="DV240" s="763">
        <v>3300</v>
      </c>
      <c r="DW240" s="2663"/>
      <c r="DX240" s="760"/>
      <c r="DY240" s="759">
        <v>16150</v>
      </c>
      <c r="EA240" s="811">
        <v>15150</v>
      </c>
      <c r="EB240" s="812">
        <v>10889.0625</v>
      </c>
      <c r="EC240" s="2960"/>
      <c r="ED240" s="2960"/>
      <c r="EE240" s="811"/>
      <c r="EF240" s="812"/>
      <c r="EG240" s="811"/>
      <c r="EH240" s="812"/>
      <c r="EI240" s="811">
        <v>24450</v>
      </c>
      <c r="EJ240" s="812">
        <v>16809.375</v>
      </c>
    </row>
    <row r="241" spans="1:146" s="1651" customFormat="1" ht="12.75" hidden="1" customHeight="1" outlineLevel="2">
      <c r="A241" s="5023"/>
      <c r="B241" s="1722" t="s">
        <v>103</v>
      </c>
      <c r="C241" s="1745">
        <v>0.35</v>
      </c>
      <c r="D241" s="763"/>
      <c r="E241" s="763">
        <v>1860</v>
      </c>
      <c r="F241" s="769">
        <v>2900</v>
      </c>
      <c r="G241" s="765">
        <v>2000</v>
      </c>
      <c r="H241" s="765">
        <v>2100</v>
      </c>
      <c r="I241" s="781"/>
      <c r="J241" s="1175">
        <v>1860</v>
      </c>
      <c r="K241" s="751">
        <v>3750</v>
      </c>
      <c r="L241" s="751">
        <v>3950</v>
      </c>
      <c r="M241" s="753"/>
      <c r="N241" s="753"/>
      <c r="O241" s="753"/>
      <c r="P241" s="753"/>
      <c r="Q241" s="762"/>
      <c r="R241" s="769"/>
      <c r="S241" s="769">
        <v>1500</v>
      </c>
      <c r="T241" s="769">
        <v>1340</v>
      </c>
      <c r="U241" s="769">
        <v>1500</v>
      </c>
      <c r="V241" s="769">
        <v>1500</v>
      </c>
      <c r="W241" s="769">
        <v>1650</v>
      </c>
      <c r="X241" s="1807"/>
      <c r="Y241" s="1807"/>
      <c r="Z241" s="1807"/>
      <c r="AA241" s="1807"/>
      <c r="AB241" s="769">
        <v>2400</v>
      </c>
      <c r="AC241" s="764"/>
      <c r="AD241" s="764"/>
      <c r="AE241" s="770"/>
      <c r="AF241" s="764"/>
      <c r="AG241" s="765">
        <v>1500</v>
      </c>
      <c r="AH241" s="2665"/>
      <c r="AI241" s="2665"/>
      <c r="AJ241" s="765">
        <v>1600</v>
      </c>
      <c r="AK241" s="754"/>
      <c r="AL241" s="754"/>
      <c r="AM241" s="757">
        <v>1500</v>
      </c>
      <c r="AN241" s="757">
        <v>1340</v>
      </c>
      <c r="AO241" s="762"/>
      <c r="AP241" s="769"/>
      <c r="AQ241" s="769"/>
      <c r="AR241" s="769">
        <v>1300</v>
      </c>
      <c r="AS241" s="769">
        <v>2300</v>
      </c>
      <c r="AT241" s="769">
        <v>175</v>
      </c>
      <c r="AU241" s="769">
        <v>175</v>
      </c>
      <c r="AV241" s="2664"/>
      <c r="AW241" s="754"/>
      <c r="AX241" s="757">
        <v>1300</v>
      </c>
      <c r="AY241" s="757">
        <v>1740</v>
      </c>
      <c r="AZ241" s="757">
        <v>2080</v>
      </c>
      <c r="BA241" s="757">
        <v>2300</v>
      </c>
      <c r="BB241" s="757">
        <v>2950</v>
      </c>
      <c r="BC241" s="769">
        <v>48.75</v>
      </c>
      <c r="BD241" s="769">
        <v>950</v>
      </c>
      <c r="BE241" s="759">
        <v>950</v>
      </c>
      <c r="BF241" s="767">
        <v>2300</v>
      </c>
      <c r="BG241" s="762"/>
      <c r="BH241" s="771">
        <v>1200</v>
      </c>
      <c r="BI241" s="771">
        <v>1350</v>
      </c>
      <c r="BJ241" s="771">
        <v>1350</v>
      </c>
      <c r="BK241" s="771">
        <v>1300</v>
      </c>
      <c r="BL241" s="771">
        <v>1450</v>
      </c>
      <c r="BM241" s="771">
        <v>1450</v>
      </c>
      <c r="BN241" s="754"/>
      <c r="BO241" s="754"/>
      <c r="BP241" s="754"/>
      <c r="BQ241" s="762"/>
      <c r="BR241" s="763">
        <v>2500</v>
      </c>
      <c r="BS241" s="773">
        <v>2650</v>
      </c>
      <c r="BT241" s="773">
        <v>2800</v>
      </c>
      <c r="BU241" s="773">
        <v>500</v>
      </c>
      <c r="BV241" s="777">
        <v>550</v>
      </c>
      <c r="BW241" s="777">
        <v>600</v>
      </c>
      <c r="BX241" s="777">
        <v>6450</v>
      </c>
      <c r="BY241" s="762"/>
      <c r="BZ241" s="774">
        <v>800</v>
      </c>
      <c r="CA241" s="755">
        <v>850</v>
      </c>
      <c r="CB241" s="755">
        <v>900</v>
      </c>
      <c r="CC241" s="755">
        <v>950</v>
      </c>
      <c r="CD241" s="806">
        <v>850</v>
      </c>
      <c r="CE241" s="755">
        <v>900</v>
      </c>
      <c r="CF241" s="755">
        <v>950</v>
      </c>
      <c r="CG241" s="755">
        <v>1000</v>
      </c>
      <c r="CH241" s="806">
        <v>900</v>
      </c>
      <c r="CI241" s="755">
        <v>950</v>
      </c>
      <c r="CJ241" s="755">
        <v>1000</v>
      </c>
      <c r="CK241" s="806">
        <v>900</v>
      </c>
      <c r="CL241" s="755">
        <v>950</v>
      </c>
      <c r="CM241" s="755">
        <v>1000</v>
      </c>
      <c r="CN241" s="756"/>
      <c r="CO241" s="757">
        <v>1250</v>
      </c>
      <c r="CP241" s="757">
        <v>1350</v>
      </c>
      <c r="CQ241" s="757">
        <v>1400</v>
      </c>
      <c r="CR241" s="757">
        <v>1450</v>
      </c>
      <c r="CS241" s="757">
        <v>1350</v>
      </c>
      <c r="CT241" s="757">
        <v>1400</v>
      </c>
      <c r="CU241" s="757">
        <v>1450</v>
      </c>
      <c r="CV241" s="757">
        <v>1550</v>
      </c>
      <c r="CW241" s="757">
        <v>1400</v>
      </c>
      <c r="CX241" s="757">
        <v>1450</v>
      </c>
      <c r="CY241" s="757">
        <v>1550</v>
      </c>
      <c r="CZ241" s="757">
        <v>1400</v>
      </c>
      <c r="DA241" s="757">
        <v>1450</v>
      </c>
      <c r="DB241" s="757">
        <v>1550</v>
      </c>
      <c r="DC241" s="758"/>
      <c r="DD241" s="762"/>
      <c r="DE241" s="752">
        <v>5350</v>
      </c>
      <c r="DF241" s="752">
        <v>6200</v>
      </c>
      <c r="DG241" s="752">
        <v>5900</v>
      </c>
      <c r="DH241" s="752">
        <v>7100</v>
      </c>
      <c r="DI241" s="752">
        <v>5650</v>
      </c>
      <c r="DJ241" s="752">
        <v>6500</v>
      </c>
      <c r="DK241" s="775">
        <v>4650</v>
      </c>
      <c r="DL241" s="752">
        <v>4900</v>
      </c>
      <c r="DM241" s="752">
        <v>8600</v>
      </c>
      <c r="DN241" s="752">
        <v>8600</v>
      </c>
      <c r="DO241" s="752">
        <v>8600</v>
      </c>
      <c r="DP241" s="752">
        <v>2650</v>
      </c>
      <c r="DQ241" s="752">
        <v>3050</v>
      </c>
      <c r="DR241" s="752">
        <v>1390</v>
      </c>
      <c r="DS241" s="776"/>
      <c r="DT241" s="759">
        <v>10400</v>
      </c>
      <c r="DU241" s="759">
        <v>14200</v>
      </c>
      <c r="DV241" s="763">
        <v>3550</v>
      </c>
      <c r="DW241" s="2663"/>
      <c r="DX241" s="760"/>
      <c r="DY241" s="759">
        <v>17700</v>
      </c>
      <c r="DZ241" s="761"/>
      <c r="EA241" s="811">
        <v>17500</v>
      </c>
      <c r="EB241" s="812">
        <v>12578.124999999998</v>
      </c>
      <c r="EC241" s="2960"/>
      <c r="ED241" s="2960"/>
      <c r="EE241" s="811"/>
      <c r="EF241" s="812"/>
      <c r="EG241" s="811"/>
      <c r="EH241" s="812"/>
      <c r="EI241" s="811">
        <v>26750</v>
      </c>
      <c r="EJ241" s="812">
        <v>18390.625</v>
      </c>
      <c r="EK241" s="761"/>
      <c r="EL241" s="761"/>
      <c r="EM241" s="761"/>
      <c r="EN241" s="761"/>
      <c r="EO241" s="761"/>
      <c r="EP241" s="761"/>
    </row>
    <row r="242" spans="1:146" s="1651" customFormat="1" ht="12.75" hidden="1" customHeight="1" outlineLevel="2">
      <c r="A242" s="1719" t="s">
        <v>30</v>
      </c>
      <c r="B242" s="1723" t="s">
        <v>284</v>
      </c>
      <c r="C242" s="1746">
        <v>0.18</v>
      </c>
      <c r="D242" s="763"/>
      <c r="E242" s="763">
        <v>1760</v>
      </c>
      <c r="F242" s="769">
        <v>2750</v>
      </c>
      <c r="G242" s="765">
        <v>1850</v>
      </c>
      <c r="H242" s="765">
        <v>1950</v>
      </c>
      <c r="I242" s="779">
        <v>1950</v>
      </c>
      <c r="J242" s="1175">
        <v>1760</v>
      </c>
      <c r="K242" s="751">
        <v>3550</v>
      </c>
      <c r="L242" s="751">
        <v>3700</v>
      </c>
      <c r="M242" s="753"/>
      <c r="N242" s="753"/>
      <c r="O242" s="753"/>
      <c r="P242" s="753"/>
      <c r="Q242" s="778"/>
      <c r="R242" s="769"/>
      <c r="S242" s="769">
        <v>1400</v>
      </c>
      <c r="T242" s="769">
        <v>1240</v>
      </c>
      <c r="U242" s="769">
        <v>1400</v>
      </c>
      <c r="V242" s="769">
        <v>1400</v>
      </c>
      <c r="W242" s="769">
        <v>1550</v>
      </c>
      <c r="X242" s="1807"/>
      <c r="Y242" s="1807"/>
      <c r="Z242" s="1807"/>
      <c r="AA242" s="1807"/>
      <c r="AB242" s="769">
        <v>2250</v>
      </c>
      <c r="AC242" s="769">
        <v>2250</v>
      </c>
      <c r="AD242" s="769"/>
      <c r="AE242" s="769"/>
      <c r="AF242" s="769">
        <v>2700</v>
      </c>
      <c r="AG242" s="765">
        <v>1400</v>
      </c>
      <c r="AH242" s="2665"/>
      <c r="AI242" s="2665"/>
      <c r="AJ242" s="765">
        <v>1500</v>
      </c>
      <c r="AK242" s="779">
        <v>2250</v>
      </c>
      <c r="AL242" s="779">
        <v>2700</v>
      </c>
      <c r="AM242" s="757">
        <v>1400</v>
      </c>
      <c r="AN242" s="757">
        <v>1240</v>
      </c>
      <c r="AO242" s="778"/>
      <c r="AP242" s="769"/>
      <c r="AQ242" s="769"/>
      <c r="AR242" s="769">
        <v>1140</v>
      </c>
      <c r="AS242" s="769">
        <v>2000</v>
      </c>
      <c r="AT242" s="769">
        <v>155</v>
      </c>
      <c r="AU242" s="769">
        <v>155</v>
      </c>
      <c r="AV242" s="2685"/>
      <c r="AW242" s="779">
        <v>450</v>
      </c>
      <c r="AX242" s="757">
        <v>1140</v>
      </c>
      <c r="AY242" s="757">
        <v>1520</v>
      </c>
      <c r="AZ242" s="757">
        <v>1830</v>
      </c>
      <c r="BA242" s="757">
        <v>2000</v>
      </c>
      <c r="BB242" s="757">
        <v>2590</v>
      </c>
      <c r="BC242" s="769">
        <v>48.75</v>
      </c>
      <c r="BD242" s="769">
        <v>850</v>
      </c>
      <c r="BE242" s="759">
        <v>850</v>
      </c>
      <c r="BF242" s="767">
        <v>2000</v>
      </c>
      <c r="BG242" s="778"/>
      <c r="BH242" s="771">
        <v>1100</v>
      </c>
      <c r="BI242" s="771">
        <v>1250</v>
      </c>
      <c r="BJ242" s="771">
        <v>1250</v>
      </c>
      <c r="BK242" s="771">
        <v>1200</v>
      </c>
      <c r="BL242" s="771">
        <v>1350</v>
      </c>
      <c r="BM242" s="771">
        <v>1350</v>
      </c>
      <c r="BN242" s="771">
        <v>2150</v>
      </c>
      <c r="BO242" s="771">
        <v>2350</v>
      </c>
      <c r="BP242" s="771">
        <v>2600</v>
      </c>
      <c r="BQ242" s="778"/>
      <c r="BR242" s="763">
        <v>2350</v>
      </c>
      <c r="BS242" s="773">
        <v>2500</v>
      </c>
      <c r="BT242" s="773">
        <v>2650</v>
      </c>
      <c r="BU242" s="773">
        <v>450</v>
      </c>
      <c r="BV242" s="777">
        <v>500</v>
      </c>
      <c r="BW242" s="777">
        <v>550</v>
      </c>
      <c r="BX242" s="777">
        <v>6100</v>
      </c>
      <c r="BY242" s="778"/>
      <c r="BZ242" s="774">
        <v>700</v>
      </c>
      <c r="CA242" s="755">
        <v>750</v>
      </c>
      <c r="CB242" s="755">
        <v>800</v>
      </c>
      <c r="CC242" s="755">
        <v>850</v>
      </c>
      <c r="CD242" s="806">
        <v>750</v>
      </c>
      <c r="CE242" s="755">
        <v>800</v>
      </c>
      <c r="CF242" s="755">
        <v>850</v>
      </c>
      <c r="CG242" s="755">
        <v>900</v>
      </c>
      <c r="CH242" s="806">
        <v>800</v>
      </c>
      <c r="CI242" s="755">
        <v>850</v>
      </c>
      <c r="CJ242" s="755">
        <v>900</v>
      </c>
      <c r="CK242" s="806">
        <v>800</v>
      </c>
      <c r="CL242" s="755">
        <v>850</v>
      </c>
      <c r="CM242" s="755">
        <v>900</v>
      </c>
      <c r="CN242" s="755">
        <v>1050</v>
      </c>
      <c r="CO242" s="757">
        <v>1100</v>
      </c>
      <c r="CP242" s="757">
        <v>1200</v>
      </c>
      <c r="CQ242" s="757">
        <v>1250</v>
      </c>
      <c r="CR242" s="757">
        <v>1350</v>
      </c>
      <c r="CS242" s="757">
        <v>1200</v>
      </c>
      <c r="CT242" s="757">
        <v>1250</v>
      </c>
      <c r="CU242" s="757">
        <v>1350</v>
      </c>
      <c r="CV242" s="757">
        <v>1400</v>
      </c>
      <c r="CW242" s="757">
        <v>1250</v>
      </c>
      <c r="CX242" s="757">
        <v>1350</v>
      </c>
      <c r="CY242" s="757">
        <v>1400</v>
      </c>
      <c r="CZ242" s="757">
        <v>1250</v>
      </c>
      <c r="DA242" s="757">
        <v>1350</v>
      </c>
      <c r="DB242" s="757">
        <v>1400</v>
      </c>
      <c r="DC242" s="757">
        <v>1600</v>
      </c>
      <c r="DD242" s="778"/>
      <c r="DE242" s="752">
        <v>4900</v>
      </c>
      <c r="DF242" s="752">
        <v>5650</v>
      </c>
      <c r="DG242" s="752">
        <v>5400</v>
      </c>
      <c r="DH242" s="752">
        <v>6500</v>
      </c>
      <c r="DI242" s="752">
        <v>5150</v>
      </c>
      <c r="DJ242" s="752">
        <v>5950</v>
      </c>
      <c r="DK242" s="775">
        <v>4250</v>
      </c>
      <c r="DL242" s="752">
        <v>4500</v>
      </c>
      <c r="DM242" s="752"/>
      <c r="DN242" s="752"/>
      <c r="DO242" s="752"/>
      <c r="DP242" s="752">
        <v>2500</v>
      </c>
      <c r="DQ242" s="752">
        <v>2900</v>
      </c>
      <c r="DR242" s="752">
        <v>1280</v>
      </c>
      <c r="DS242" s="780"/>
      <c r="DT242" s="759">
        <v>7200</v>
      </c>
      <c r="DU242" s="759">
        <v>13600</v>
      </c>
      <c r="DV242" s="763">
        <v>3400</v>
      </c>
      <c r="DW242" s="2663"/>
      <c r="DX242" s="759">
        <v>12750</v>
      </c>
      <c r="DY242" s="759">
        <v>17400</v>
      </c>
      <c r="DZ242" s="761"/>
      <c r="EA242" s="811">
        <v>12100</v>
      </c>
      <c r="EB242" s="812">
        <v>8696.875</v>
      </c>
      <c r="EC242" s="2960"/>
      <c r="ED242" s="2960"/>
      <c r="EE242" s="811">
        <v>22400</v>
      </c>
      <c r="EF242" s="812">
        <v>15400.000000000002</v>
      </c>
      <c r="EG242" s="811">
        <v>30600</v>
      </c>
      <c r="EH242" s="812">
        <v>21037.5</v>
      </c>
      <c r="EI242" s="811"/>
      <c r="EJ242" s="812"/>
      <c r="EK242" s="761"/>
      <c r="EL242" s="761"/>
      <c r="EM242" s="761"/>
      <c r="EN242" s="761"/>
      <c r="EO242" s="761"/>
      <c r="EP242" s="761"/>
    </row>
    <row r="243" spans="1:146" s="761" customFormat="1" ht="21" hidden="1" customHeight="1" outlineLevel="3">
      <c r="A243" s="1651"/>
      <c r="B243" s="5012" t="s">
        <v>286</v>
      </c>
      <c r="C243" s="5013"/>
      <c r="D243" s="1651"/>
      <c r="E243" s="1651"/>
      <c r="F243" s="1651"/>
      <c r="G243" s="1651"/>
      <c r="H243" s="1651"/>
      <c r="I243" s="1651"/>
      <c r="J243" s="1651"/>
      <c r="K243" s="1651"/>
      <c r="L243" s="1651"/>
      <c r="M243" s="1651"/>
      <c r="N243" s="1651"/>
      <c r="O243" s="1651"/>
      <c r="P243" s="1651"/>
      <c r="Q243" s="1651"/>
      <c r="R243" s="1651"/>
      <c r="S243" s="1651"/>
      <c r="T243" s="1651"/>
      <c r="U243" s="1651"/>
      <c r="V243" s="1651"/>
      <c r="W243" s="1651"/>
      <c r="X243" s="1651"/>
      <c r="Y243" s="1651"/>
      <c r="Z243" s="1651"/>
      <c r="AA243" s="1651"/>
      <c r="AB243" s="1651"/>
      <c r="AC243" s="1651"/>
      <c r="AD243" s="1651"/>
      <c r="AE243" s="1651"/>
      <c r="AF243" s="1651"/>
      <c r="AG243" s="1651"/>
      <c r="AH243" s="1651"/>
      <c r="AI243" s="1651"/>
      <c r="AJ243" s="1651"/>
      <c r="AK243" s="1651"/>
      <c r="AL243" s="1651"/>
      <c r="AM243" s="1651"/>
      <c r="AN243" s="1651"/>
      <c r="AO243" s="1651"/>
      <c r="AP243" s="1651"/>
      <c r="AQ243" s="1651"/>
      <c r="AR243" s="1651"/>
      <c r="AS243" s="1651"/>
      <c r="AT243" s="1651"/>
      <c r="AU243" s="1651"/>
      <c r="AV243" s="1651"/>
      <c r="AW243" s="1651"/>
      <c r="AX243" s="1651"/>
      <c r="AY243" s="1651"/>
      <c r="AZ243" s="1651"/>
      <c r="BA243" s="1651"/>
      <c r="BB243" s="1651"/>
      <c r="BC243" s="1651"/>
      <c r="BD243" s="1651"/>
      <c r="BE243" s="1651"/>
      <c r="BF243" s="1651"/>
      <c r="BG243" s="1651"/>
      <c r="BH243" s="1651"/>
      <c r="BI243" s="1651"/>
      <c r="BJ243" s="1651"/>
      <c r="BK243" s="1651"/>
      <c r="BL243" s="1651"/>
      <c r="BM243" s="1651"/>
      <c r="BN243" s="1651"/>
      <c r="BO243" s="1651"/>
      <c r="BP243" s="1651"/>
      <c r="BQ243" s="1651"/>
      <c r="BR243" s="1651"/>
      <c r="BS243" s="1651"/>
      <c r="BT243" s="1651"/>
      <c r="BU243" s="1651"/>
      <c r="BV243" s="1651"/>
      <c r="BW243" s="1651"/>
      <c r="BX243" s="1651"/>
      <c r="BY243" s="1651"/>
      <c r="BZ243" s="1651"/>
      <c r="CA243" s="1651"/>
      <c r="CB243" s="1651"/>
      <c r="CC243" s="1651"/>
      <c r="CD243" s="1651"/>
      <c r="CE243" s="1651"/>
      <c r="CF243" s="1651"/>
      <c r="CG243" s="1651"/>
      <c r="CH243" s="1725">
        <v>330</v>
      </c>
      <c r="CI243" s="1725">
        <v>345</v>
      </c>
      <c r="CJ243" s="1725">
        <v>360</v>
      </c>
      <c r="CK243" s="1725">
        <v>330</v>
      </c>
      <c r="CL243" s="1725">
        <v>345</v>
      </c>
      <c r="CM243" s="1725">
        <v>360</v>
      </c>
      <c r="CN243" s="1725">
        <v>380</v>
      </c>
      <c r="CO243" s="1651"/>
      <c r="CP243" s="1651"/>
      <c r="CQ243" s="1651"/>
      <c r="CR243" s="1651"/>
      <c r="CS243" s="1651"/>
      <c r="CT243" s="1651"/>
      <c r="CU243" s="1651"/>
      <c r="CV243" s="1651"/>
      <c r="CW243" s="1725">
        <v>0</v>
      </c>
      <c r="CX243" s="1725">
        <v>0</v>
      </c>
      <c r="CY243" s="1725">
        <v>0</v>
      </c>
      <c r="CZ243" s="1725">
        <v>0</v>
      </c>
      <c r="DA243" s="1725">
        <v>0</v>
      </c>
      <c r="DB243" s="1725">
        <v>0</v>
      </c>
      <c r="DC243" s="1725">
        <v>0</v>
      </c>
      <c r="DD243" s="1651"/>
      <c r="DE243" s="1651"/>
      <c r="DF243" s="1651"/>
      <c r="DG243" s="1651"/>
      <c r="DH243" s="1651"/>
      <c r="DI243" s="1651">
        <v>0</v>
      </c>
      <c r="DJ243" s="1651">
        <v>0</v>
      </c>
      <c r="DK243" s="1651"/>
      <c r="DL243" s="1651"/>
      <c r="DM243" s="1651"/>
      <c r="DN243" s="1651">
        <v>0</v>
      </c>
      <c r="DO243" s="1651"/>
      <c r="DP243" s="1651"/>
      <c r="DQ243" s="1651"/>
      <c r="DR243" s="1651"/>
      <c r="DS243" s="1651"/>
      <c r="DT243" s="1651"/>
      <c r="DU243" s="1651"/>
      <c r="DV243" s="1651"/>
      <c r="DW243" s="1651"/>
      <c r="DX243" s="1651"/>
      <c r="DY243" s="1651"/>
      <c r="DZ243" s="1651"/>
      <c r="EA243" s="1651"/>
      <c r="EB243" s="1651"/>
      <c r="EC243" s="1651"/>
      <c r="ED243" s="1651"/>
      <c r="EE243" s="1651"/>
      <c r="EF243" s="1651"/>
      <c r="EG243" s="1651"/>
      <c r="EH243" s="1651"/>
      <c r="EI243" s="1651"/>
      <c r="EJ243" s="1651"/>
      <c r="EK243" s="1651"/>
      <c r="EL243" s="1651"/>
      <c r="EM243" s="1651"/>
      <c r="EN243" s="1651"/>
      <c r="EO243" s="1651"/>
      <c r="EP243" s="1651"/>
    </row>
    <row r="244" spans="1:146" s="1651" customFormat="1" hidden="1" outlineLevel="2">
      <c r="B244" s="5014" t="s">
        <v>285</v>
      </c>
      <c r="C244" s="5015"/>
      <c r="CH244" s="1725">
        <v>265</v>
      </c>
      <c r="CI244" s="1725">
        <v>275</v>
      </c>
      <c r="CJ244" s="1725">
        <v>290</v>
      </c>
      <c r="CK244" s="1725">
        <v>265</v>
      </c>
      <c r="CL244" s="1725">
        <v>275</v>
      </c>
      <c r="CM244" s="1725">
        <v>290</v>
      </c>
      <c r="CN244" s="1725">
        <v>305</v>
      </c>
      <c r="CW244" s="1725">
        <v>0</v>
      </c>
      <c r="CX244" s="1725">
        <v>0</v>
      </c>
      <c r="CY244" s="1725">
        <v>0</v>
      </c>
      <c r="CZ244" s="1725">
        <v>0</v>
      </c>
      <c r="DA244" s="1725">
        <v>0</v>
      </c>
      <c r="DB244" s="1725">
        <v>0</v>
      </c>
      <c r="DC244" s="1725">
        <v>0</v>
      </c>
    </row>
    <row r="245" spans="1:146" s="159" customFormat="1" ht="22.5" hidden="1" customHeight="1" outlineLevel="3">
      <c r="A245" s="1651"/>
      <c r="B245" s="1741"/>
      <c r="C245" s="1741"/>
      <c r="D245" s="1651"/>
      <c r="E245" s="1651"/>
      <c r="F245" s="1651"/>
      <c r="G245" s="1651"/>
      <c r="H245" s="1651"/>
      <c r="I245" s="1651"/>
      <c r="J245" s="1651"/>
      <c r="K245" s="1651"/>
      <c r="L245" s="1651"/>
      <c r="M245" s="1651"/>
      <c r="N245" s="1651"/>
      <c r="O245" s="1651"/>
      <c r="P245" s="1651"/>
      <c r="Q245" s="1651"/>
      <c r="R245" s="1651"/>
      <c r="S245" s="1651"/>
      <c r="T245" s="1651"/>
      <c r="U245" s="1651"/>
      <c r="V245" s="1651"/>
      <c r="W245" s="1651"/>
      <c r="X245" s="1651"/>
      <c r="Y245" s="1651"/>
      <c r="Z245" s="1651"/>
      <c r="AA245" s="1651"/>
      <c r="AB245" s="1651"/>
      <c r="AC245" s="1651"/>
      <c r="AD245" s="1651"/>
      <c r="AE245" s="1651"/>
      <c r="AF245" s="1651"/>
      <c r="AG245" s="1651"/>
      <c r="AH245" s="1651"/>
      <c r="AI245" s="1651"/>
      <c r="AJ245" s="1651"/>
      <c r="AK245" s="1651"/>
      <c r="AL245" s="1651"/>
      <c r="AM245" s="1651"/>
      <c r="AN245" s="1651"/>
      <c r="AO245" s="1651"/>
      <c r="AP245" s="1651"/>
      <c r="AQ245" s="1651"/>
      <c r="AR245" s="1651"/>
      <c r="AS245" s="1651"/>
      <c r="AT245" s="1651"/>
      <c r="AU245" s="1651"/>
      <c r="AV245" s="1651"/>
      <c r="AW245" s="1651"/>
      <c r="AX245" s="1651"/>
      <c r="AY245" s="1651"/>
      <c r="AZ245" s="1651"/>
      <c r="BA245" s="1651"/>
      <c r="BB245" s="1651"/>
      <c r="BC245" s="1651"/>
      <c r="BD245" s="1651"/>
      <c r="BE245" s="1651"/>
      <c r="BF245" s="1651"/>
      <c r="BG245" s="1651"/>
      <c r="BH245" s="1651"/>
      <c r="BI245" s="1651"/>
      <c r="BJ245" s="1651"/>
      <c r="BK245" s="1651"/>
      <c r="BL245" s="1651"/>
      <c r="BM245" s="1651"/>
      <c r="BN245" s="1651"/>
      <c r="BO245" s="1651"/>
      <c r="BP245" s="1651"/>
      <c r="BQ245" s="1651"/>
      <c r="BR245" s="1651"/>
      <c r="BS245" s="1651"/>
      <c r="BT245" s="1651"/>
      <c r="BU245" s="1651"/>
      <c r="BV245" s="1651"/>
      <c r="BW245" s="1651"/>
      <c r="BX245" s="1651"/>
      <c r="BY245" s="1651"/>
      <c r="BZ245" s="1651"/>
      <c r="CA245" s="1651"/>
      <c r="CB245" s="1651"/>
      <c r="CC245" s="1651"/>
      <c r="CD245" s="1651"/>
      <c r="CE245" s="1651"/>
      <c r="CF245" s="1651"/>
      <c r="CG245" s="1651"/>
      <c r="CH245" s="1742"/>
      <c r="CI245" s="1742"/>
      <c r="CJ245" s="1742"/>
      <c r="CK245" s="1742"/>
      <c r="CL245" s="1742"/>
      <c r="CM245" s="1742"/>
      <c r="CN245" s="1742"/>
      <c r="CO245" s="1651"/>
      <c r="CP245" s="1651"/>
      <c r="CQ245" s="1651"/>
      <c r="CR245" s="1651"/>
      <c r="CS245" s="1651"/>
      <c r="CT245" s="1651"/>
      <c r="CU245" s="1651"/>
      <c r="CV245" s="1651"/>
      <c r="CW245" s="1742"/>
      <c r="CX245" s="1742"/>
      <c r="CY245" s="1742"/>
      <c r="CZ245" s="1742"/>
      <c r="DA245" s="1742"/>
      <c r="DB245" s="1742"/>
      <c r="DC245" s="1742"/>
      <c r="DD245" s="1651"/>
      <c r="DE245" s="1651"/>
      <c r="DF245" s="1651"/>
      <c r="DG245" s="1651"/>
      <c r="DH245" s="1651"/>
      <c r="DI245" s="1651"/>
      <c r="DJ245" s="1651"/>
      <c r="DK245" s="1651"/>
      <c r="DL245" s="1651"/>
      <c r="DM245" s="1651"/>
      <c r="DN245" s="1651"/>
      <c r="DO245" s="1651"/>
      <c r="DP245" s="1651"/>
      <c r="DQ245" s="1651"/>
      <c r="DR245" s="1651"/>
      <c r="DS245" s="1651"/>
      <c r="DT245" s="1651"/>
      <c r="DU245" s="1651"/>
      <c r="DV245" s="1651"/>
      <c r="DW245" s="1651"/>
      <c r="DX245" s="1651"/>
      <c r="DY245" s="1651"/>
      <c r="DZ245" s="1651"/>
      <c r="EA245" s="1651"/>
      <c r="EB245" s="1651"/>
      <c r="EC245" s="1651"/>
      <c r="ED245" s="1651"/>
      <c r="EE245" s="1651"/>
      <c r="EF245" s="1651"/>
      <c r="EG245" s="1651"/>
      <c r="EH245" s="1651"/>
      <c r="EI245" s="1651"/>
      <c r="EJ245" s="1651"/>
      <c r="EK245" s="1651"/>
      <c r="EL245" s="1651"/>
      <c r="EM245" s="1651"/>
      <c r="EN245" s="1651"/>
      <c r="EO245" s="1651"/>
      <c r="EP245" s="1651"/>
    </row>
    <row r="246" spans="1:146" s="1671" customFormat="1" ht="12.75" hidden="1" customHeight="1" outlineLevel="3">
      <c r="A246" s="1649" t="s">
        <v>1466</v>
      </c>
      <c r="B246" s="1650"/>
      <c r="C246" s="1729"/>
      <c r="D246" s="1652"/>
      <c r="E246" s="1652"/>
      <c r="F246" s="1652"/>
      <c r="G246" s="1651"/>
      <c r="H246" s="1651"/>
      <c r="I246" s="1651"/>
      <c r="J246" s="1651"/>
      <c r="K246" s="1651"/>
      <c r="L246" s="1651"/>
      <c r="M246" s="1651"/>
      <c r="N246" s="1651"/>
      <c r="O246" s="1651"/>
      <c r="P246" s="1651"/>
      <c r="Q246" s="1650"/>
      <c r="R246" s="1650"/>
      <c r="S246" s="1650"/>
      <c r="T246" s="1730"/>
      <c r="U246" s="1650"/>
      <c r="V246" s="1650"/>
      <c r="W246" s="1650"/>
      <c r="X246" s="1650"/>
      <c r="Y246" s="1650"/>
      <c r="Z246" s="1650"/>
      <c r="AA246" s="1650"/>
      <c r="AB246" s="1650"/>
      <c r="AC246" s="1651"/>
      <c r="AD246" s="1651"/>
      <c r="AE246" s="1651"/>
      <c r="AF246" s="1651"/>
      <c r="AG246" s="1651"/>
      <c r="AH246" s="1651"/>
      <c r="AI246" s="1651"/>
      <c r="AJ246" s="1651"/>
      <c r="AK246" s="1651"/>
      <c r="AL246" s="1651"/>
      <c r="AM246" s="1651"/>
      <c r="AN246" s="1651"/>
      <c r="AO246" s="1650"/>
      <c r="AP246" s="1650"/>
      <c r="AQ246" s="1650"/>
      <c r="AR246" s="1653"/>
      <c r="AS246" s="1651"/>
      <c r="AT246" s="1651"/>
      <c r="AU246" s="1651"/>
      <c r="AV246" s="1651"/>
      <c r="AW246" s="1651"/>
      <c r="AX246" s="1651"/>
      <c r="AY246" s="1651"/>
      <c r="AZ246" s="1651"/>
      <c r="BA246" s="1651"/>
      <c r="BB246" s="1651"/>
      <c r="BC246" s="1651"/>
      <c r="BD246" s="1651"/>
      <c r="BE246" s="1651"/>
      <c r="BF246" s="1651"/>
      <c r="BG246" s="1650"/>
      <c r="BH246" s="1651"/>
      <c r="BI246" s="1651"/>
      <c r="BJ246" s="1651"/>
      <c r="BK246" s="1651"/>
      <c r="BL246" s="1651"/>
      <c r="BM246" s="1651"/>
      <c r="BN246" s="1651"/>
      <c r="BO246" s="1651"/>
      <c r="BP246" s="1651"/>
      <c r="BQ246" s="1650"/>
      <c r="BR246" s="1651"/>
      <c r="BS246" s="1651"/>
      <c r="BT246" s="1651"/>
      <c r="BU246" s="1651"/>
      <c r="BV246" s="1651"/>
      <c r="BW246" s="1651"/>
      <c r="BX246" s="1651"/>
      <c r="BY246" s="1650"/>
      <c r="BZ246" s="1651"/>
      <c r="CA246" s="1651"/>
      <c r="CB246" s="1651"/>
      <c r="CC246" s="1651"/>
      <c r="CD246" s="1651"/>
      <c r="CE246" s="1651"/>
      <c r="CF246" s="1651"/>
      <c r="CG246" s="1651"/>
      <c r="CH246" s="1651"/>
      <c r="CI246" s="1651"/>
      <c r="CJ246" s="1651"/>
      <c r="CK246" s="1651"/>
      <c r="CL246" s="1651"/>
      <c r="CM246" s="1651"/>
      <c r="CN246" s="1651"/>
      <c r="CO246" s="1651"/>
      <c r="CP246" s="1651"/>
      <c r="CQ246" s="1651"/>
      <c r="CR246" s="1651"/>
      <c r="CS246" s="1651"/>
      <c r="CT246" s="1651"/>
      <c r="CU246" s="1651"/>
      <c r="CV246" s="1651"/>
      <c r="CW246" s="1651"/>
      <c r="CX246" s="1651"/>
      <c r="CY246" s="1651"/>
      <c r="CZ246" s="1651"/>
      <c r="DA246" s="1651"/>
      <c r="DB246" s="1651"/>
      <c r="DC246" s="1651"/>
      <c r="DD246" s="1650"/>
      <c r="DE246" s="1651"/>
      <c r="DF246" s="1651"/>
      <c r="DG246" s="1651"/>
      <c r="DH246" s="1651"/>
      <c r="DI246" s="1651"/>
      <c r="DJ246" s="1651"/>
      <c r="DK246" s="1651"/>
      <c r="DL246" s="1651"/>
      <c r="DM246" s="1651"/>
      <c r="DN246" s="1651"/>
      <c r="DO246" s="1651"/>
      <c r="DP246" s="1651"/>
      <c r="DQ246" s="1651"/>
      <c r="DR246" s="1651"/>
      <c r="DS246" s="1650"/>
      <c r="DT246" s="1651"/>
      <c r="DU246" s="1651"/>
      <c r="DV246" s="1651"/>
      <c r="DW246" s="1651"/>
      <c r="DX246" s="1651"/>
      <c r="DY246" s="1651"/>
      <c r="DZ246" s="1651"/>
      <c r="EA246" s="1651"/>
      <c r="EB246" s="1651"/>
      <c r="EC246" s="1651"/>
      <c r="ED246" s="1651"/>
      <c r="EE246" s="1651"/>
      <c r="EF246" s="1651"/>
      <c r="EG246" s="1651"/>
      <c r="EH246" s="1651"/>
      <c r="EI246" s="1651"/>
      <c r="EJ246" s="1651"/>
      <c r="EK246" s="1651"/>
      <c r="EL246" s="1651"/>
      <c r="EM246" s="1651"/>
      <c r="EN246" s="1651"/>
      <c r="EO246" s="1651"/>
      <c r="EP246" s="1651"/>
    </row>
    <row r="247" spans="1:146" s="761" customFormat="1" ht="38.25" hidden="1" customHeight="1" outlineLevel="3">
      <c r="A247" s="5007" t="s">
        <v>1016</v>
      </c>
      <c r="B247" s="5008"/>
      <c r="C247" s="1654"/>
      <c r="D247" s="1735"/>
      <c r="E247" s="5009" t="s">
        <v>462</v>
      </c>
      <c r="F247" s="4980"/>
      <c r="G247" s="4980"/>
      <c r="H247" s="4980"/>
      <c r="I247" s="4980"/>
      <c r="J247" s="4980"/>
      <c r="K247" s="4980"/>
      <c r="L247" s="4980"/>
      <c r="M247" s="4980"/>
      <c r="N247" s="4980"/>
      <c r="O247" s="4980"/>
      <c r="P247" s="5010"/>
      <c r="Q247" s="1655"/>
      <c r="R247" s="1656"/>
      <c r="S247" s="1656"/>
      <c r="T247" s="1657" t="s">
        <v>89</v>
      </c>
      <c r="U247" s="1656"/>
      <c r="V247" s="1656"/>
      <c r="W247" s="1656"/>
      <c r="X247" s="1784"/>
      <c r="Y247" s="1784"/>
      <c r="Z247" s="1784"/>
      <c r="AA247" s="1784"/>
      <c r="AB247" s="1656"/>
      <c r="AC247" s="1656"/>
      <c r="AD247" s="1656"/>
      <c r="AE247" s="1656"/>
      <c r="AF247" s="1656"/>
      <c r="AG247" s="1656"/>
      <c r="AH247" s="1656"/>
      <c r="AI247" s="1656"/>
      <c r="AJ247" s="1656"/>
      <c r="AK247" s="1656"/>
      <c r="AL247" s="1656"/>
      <c r="AM247" s="1656"/>
      <c r="AN247" s="1656"/>
      <c r="AO247" s="1655"/>
      <c r="AP247" s="1656"/>
      <c r="AQ247" s="1656"/>
      <c r="AR247" s="5009" t="s">
        <v>1014</v>
      </c>
      <c r="AS247" s="4980"/>
      <c r="AT247" s="4980"/>
      <c r="AU247" s="4980"/>
      <c r="AV247" s="4980"/>
      <c r="AW247" s="4980"/>
      <c r="AX247" s="4980"/>
      <c r="AY247" s="4980"/>
      <c r="AZ247" s="4980"/>
      <c r="BA247" s="4980"/>
      <c r="BB247" s="5010"/>
      <c r="BC247" s="4982" t="s">
        <v>882</v>
      </c>
      <c r="BD247" s="4982" t="s">
        <v>883</v>
      </c>
      <c r="BE247" s="4907" t="s">
        <v>695</v>
      </c>
      <c r="BF247" s="4982" t="s">
        <v>1050</v>
      </c>
      <c r="BG247" s="1655"/>
      <c r="BH247" s="5056" t="s">
        <v>108</v>
      </c>
      <c r="BI247" s="5057"/>
      <c r="BJ247" s="5057"/>
      <c r="BK247" s="5057"/>
      <c r="BL247" s="5057"/>
      <c r="BM247" s="5057"/>
      <c r="BN247" s="5057"/>
      <c r="BO247" s="5057"/>
      <c r="BP247" s="5057"/>
      <c r="BQ247" s="1655"/>
      <c r="BR247" s="5058" t="s">
        <v>456</v>
      </c>
      <c r="BS247" s="5059"/>
      <c r="BT247" s="5059"/>
      <c r="BU247" s="5059"/>
      <c r="BV247" s="5059"/>
      <c r="BW247" s="5059"/>
      <c r="BX247" s="5060"/>
      <c r="BY247" s="1655"/>
      <c r="BZ247" s="5047" t="s">
        <v>1015</v>
      </c>
      <c r="CA247" s="5048"/>
      <c r="CB247" s="5048"/>
      <c r="CC247" s="5048"/>
      <c r="CD247" s="5048"/>
      <c r="CE247" s="5048"/>
      <c r="CF247" s="5048"/>
      <c r="CG247" s="5048"/>
      <c r="CH247" s="5048"/>
      <c r="CI247" s="5048"/>
      <c r="CJ247" s="5048"/>
      <c r="CK247" s="5048"/>
      <c r="CL247" s="5048"/>
      <c r="CM247" s="5048"/>
      <c r="CN247" s="5048"/>
      <c r="CO247" s="5048"/>
      <c r="CP247" s="5048"/>
      <c r="CQ247" s="5048"/>
      <c r="CR247" s="5048"/>
      <c r="CS247" s="5048"/>
      <c r="CT247" s="5048"/>
      <c r="CU247" s="5048"/>
      <c r="CV247" s="5048"/>
      <c r="CW247" s="5048"/>
      <c r="CX247" s="5048"/>
      <c r="CY247" s="5048"/>
      <c r="CZ247" s="5048"/>
      <c r="DA247" s="5048"/>
      <c r="DB247" s="5048"/>
      <c r="DC247" s="5048"/>
      <c r="DD247" s="1655"/>
      <c r="DE247" s="1658"/>
      <c r="DF247" s="1658"/>
      <c r="DG247" s="1658"/>
      <c r="DH247" s="1658"/>
      <c r="DI247" s="1658"/>
      <c r="DJ247" s="1658"/>
      <c r="DK247" s="1659" t="s">
        <v>1038</v>
      </c>
      <c r="DL247" s="1658"/>
      <c r="DM247" s="1658"/>
      <c r="DN247" s="1658"/>
      <c r="DO247" s="1658"/>
      <c r="DP247" s="1658"/>
      <c r="DQ247" s="1658"/>
      <c r="DR247" s="1660"/>
      <c r="DS247" s="1655"/>
      <c r="DT247" s="5028" t="s">
        <v>693</v>
      </c>
      <c r="DU247" s="5005"/>
      <c r="DV247" s="5005"/>
      <c r="DW247" s="5005"/>
      <c r="DX247" s="5005"/>
      <c r="DY247" s="5029"/>
      <c r="DZ247" s="159"/>
      <c r="EA247" s="159"/>
      <c r="EB247" s="159"/>
      <c r="EC247" s="159"/>
      <c r="ED247" s="159"/>
      <c r="EE247" s="159"/>
      <c r="EF247" s="159"/>
      <c r="EG247" s="159"/>
      <c r="EH247" s="159"/>
      <c r="EI247" s="159"/>
      <c r="EJ247" s="159"/>
      <c r="EK247" s="159"/>
      <c r="EL247" s="159"/>
      <c r="EM247" s="159"/>
      <c r="EN247" s="159"/>
      <c r="EO247" s="159"/>
      <c r="EP247" s="159"/>
    </row>
    <row r="248" spans="1:146" s="1710" customFormat="1" ht="24" hidden="1" customHeight="1" outlineLevel="3">
      <c r="A248" s="4986" t="s">
        <v>725</v>
      </c>
      <c r="B248" s="4987"/>
      <c r="C248" s="1661"/>
      <c r="D248" s="1781"/>
      <c r="E248" s="4854" t="s">
        <v>1009</v>
      </c>
      <c r="F248" s="4855"/>
      <c r="G248" s="4855"/>
      <c r="H248" s="4855"/>
      <c r="I248" s="4855"/>
      <c r="J248" s="4855"/>
      <c r="K248" s="4855"/>
      <c r="L248" s="4856"/>
      <c r="M248" s="4854" t="s">
        <v>1023</v>
      </c>
      <c r="N248" s="4855"/>
      <c r="O248" s="4855"/>
      <c r="P248" s="4856"/>
      <c r="Q248" s="1662"/>
      <c r="R248" s="1663"/>
      <c r="S248" s="1663"/>
      <c r="T248" s="1664" t="s">
        <v>1026</v>
      </c>
      <c r="U248" s="1663"/>
      <c r="V248" s="1663"/>
      <c r="W248" s="1663"/>
      <c r="X248" s="1786"/>
      <c r="Y248" s="1786"/>
      <c r="Z248" s="1786"/>
      <c r="AA248" s="1786"/>
      <c r="AB248" s="1663"/>
      <c r="AC248" s="1663"/>
      <c r="AD248" s="1663"/>
      <c r="AE248" s="1663"/>
      <c r="AF248" s="1665"/>
      <c r="AG248" s="1666" t="s">
        <v>1027</v>
      </c>
      <c r="AH248" s="1667"/>
      <c r="AI248" s="1667"/>
      <c r="AJ248" s="1667"/>
      <c r="AK248" s="1667"/>
      <c r="AL248" s="1668"/>
      <c r="AM248" s="1669" t="s">
        <v>1028</v>
      </c>
      <c r="AN248" s="1670"/>
      <c r="AO248" s="1662"/>
      <c r="AP248" s="1663"/>
      <c r="AQ248" s="1663"/>
      <c r="AR248" s="4939" t="s">
        <v>1047</v>
      </c>
      <c r="AS248" s="4940"/>
      <c r="AT248" s="4940"/>
      <c r="AU248" s="4941"/>
      <c r="AV248" s="2601"/>
      <c r="AW248" s="4881" t="s">
        <v>1048</v>
      </c>
      <c r="AX248" s="4883" t="s">
        <v>1049</v>
      </c>
      <c r="AY248" s="4884"/>
      <c r="AZ248" s="4884"/>
      <c r="BA248" s="4884"/>
      <c r="BB248" s="4885"/>
      <c r="BC248" s="4983"/>
      <c r="BD248" s="4983"/>
      <c r="BE248" s="4985"/>
      <c r="BF248" s="4983"/>
      <c r="BG248" s="1662"/>
      <c r="BH248" s="4889" t="s">
        <v>709</v>
      </c>
      <c r="BI248" s="4890"/>
      <c r="BJ248" s="4891"/>
      <c r="BK248" s="4889" t="s">
        <v>1022</v>
      </c>
      <c r="BL248" s="4890"/>
      <c r="BM248" s="4891"/>
      <c r="BN248" s="4881" t="s">
        <v>1030</v>
      </c>
      <c r="BO248" s="4881" t="s">
        <v>743</v>
      </c>
      <c r="BP248" s="4881" t="s">
        <v>1029</v>
      </c>
      <c r="BQ248" s="1662"/>
      <c r="BR248" s="4895" t="s">
        <v>1052</v>
      </c>
      <c r="BS248" s="4896"/>
      <c r="BT248" s="4897"/>
      <c r="BU248" s="4901" t="s">
        <v>1053</v>
      </c>
      <c r="BV248" s="4902"/>
      <c r="BW248" s="4903"/>
      <c r="BX248" s="4907" t="s">
        <v>1054</v>
      </c>
      <c r="BY248" s="1662"/>
      <c r="BZ248" s="5032" t="s">
        <v>1020</v>
      </c>
      <c r="CA248" s="5033"/>
      <c r="CB248" s="5033"/>
      <c r="CC248" s="5033"/>
      <c r="CD248" s="5033"/>
      <c r="CE248" s="5033"/>
      <c r="CF248" s="5033"/>
      <c r="CG248" s="5033"/>
      <c r="CH248" s="5033"/>
      <c r="CI248" s="5033"/>
      <c r="CJ248" s="5033"/>
      <c r="CK248" s="5033"/>
      <c r="CL248" s="5033"/>
      <c r="CM248" s="5033"/>
      <c r="CN248" s="5034"/>
      <c r="CO248" s="5035" t="s">
        <v>1021</v>
      </c>
      <c r="CP248" s="5036"/>
      <c r="CQ248" s="5036"/>
      <c r="CR248" s="5036"/>
      <c r="CS248" s="5036"/>
      <c r="CT248" s="5036"/>
      <c r="CU248" s="5036"/>
      <c r="CV248" s="5036"/>
      <c r="CW248" s="5036"/>
      <c r="CX248" s="5036"/>
      <c r="CY248" s="5036"/>
      <c r="CZ248" s="5036"/>
      <c r="DA248" s="5036"/>
      <c r="DB248" s="5036"/>
      <c r="DC248" s="5036"/>
      <c r="DD248" s="1662"/>
      <c r="DE248" s="4963" t="s">
        <v>710</v>
      </c>
      <c r="DF248" s="4964"/>
      <c r="DG248" s="4963" t="s">
        <v>711</v>
      </c>
      <c r="DH248" s="4964"/>
      <c r="DI248" s="4963" t="s">
        <v>712</v>
      </c>
      <c r="DJ248" s="4964"/>
      <c r="DK248" s="5037" t="s">
        <v>713</v>
      </c>
      <c r="DL248" s="5038"/>
      <c r="DM248" s="5037" t="s">
        <v>714</v>
      </c>
      <c r="DN248" s="5043"/>
      <c r="DO248" s="5043"/>
      <c r="DP248" s="4950" t="s">
        <v>715</v>
      </c>
      <c r="DQ248" s="4950" t="s">
        <v>716</v>
      </c>
      <c r="DR248" s="4950" t="s">
        <v>717</v>
      </c>
      <c r="DS248" s="1662"/>
      <c r="DT248" s="5040" t="s">
        <v>1037</v>
      </c>
      <c r="DU248" s="5041"/>
      <c r="DV248" s="5042"/>
      <c r="DW248" s="2907"/>
      <c r="DX248" s="5040" t="s">
        <v>996</v>
      </c>
      <c r="DY248" s="5042"/>
      <c r="DZ248" s="1671"/>
      <c r="EA248" s="1671"/>
      <c r="EB248" s="1671"/>
      <c r="EC248" s="1671"/>
      <c r="ED248" s="1671"/>
      <c r="EE248" s="1671"/>
      <c r="EF248" s="1671"/>
      <c r="EG248" s="1671"/>
      <c r="EH248" s="1671"/>
      <c r="EI248" s="1671"/>
      <c r="EJ248" s="1671"/>
      <c r="EK248" s="1671"/>
      <c r="EL248" s="1671"/>
      <c r="EM248" s="1671"/>
      <c r="EN248" s="1671"/>
      <c r="EO248" s="1671"/>
      <c r="EP248" s="1671"/>
    </row>
    <row r="249" spans="1:146" s="761" customFormat="1" ht="12.75" hidden="1" customHeight="1" outlineLevel="3">
      <c r="A249" s="4988"/>
      <c r="B249" s="4989"/>
      <c r="C249" s="1654"/>
      <c r="D249" s="1672"/>
      <c r="E249" s="1672" t="s">
        <v>971</v>
      </c>
      <c r="F249" s="1672" t="s">
        <v>970</v>
      </c>
      <c r="G249" s="1673" t="s">
        <v>18</v>
      </c>
      <c r="H249" s="1673" t="s">
        <v>380</v>
      </c>
      <c r="I249" s="1674" t="s">
        <v>705</v>
      </c>
      <c r="J249" s="1731" t="s">
        <v>1006</v>
      </c>
      <c r="K249" s="1676" t="s">
        <v>1459</v>
      </c>
      <c r="L249" s="753" t="s">
        <v>1008</v>
      </c>
      <c r="M249" s="5044" t="s">
        <v>1024</v>
      </c>
      <c r="N249" s="5045"/>
      <c r="O249" s="5046"/>
      <c r="P249" s="753" t="s">
        <v>1025</v>
      </c>
      <c r="Q249" s="1655"/>
      <c r="R249" s="1672"/>
      <c r="S249" s="1672" t="s">
        <v>1010</v>
      </c>
      <c r="T249" s="1657" t="s">
        <v>1013</v>
      </c>
      <c r="U249" s="1656"/>
      <c r="V249" s="1656"/>
      <c r="W249" s="1677"/>
      <c r="X249" s="2634"/>
      <c r="Y249" s="2634"/>
      <c r="Z249" s="2634"/>
      <c r="AA249" s="2634"/>
      <c r="AB249" s="1678" t="s">
        <v>92</v>
      </c>
      <c r="AC249" s="1678" t="s">
        <v>93</v>
      </c>
      <c r="AD249" s="1678"/>
      <c r="AE249" s="1679"/>
      <c r="AF249" s="1678" t="s">
        <v>257</v>
      </c>
      <c r="AG249" s="1680" t="s">
        <v>18</v>
      </c>
      <c r="AH249" s="2682"/>
      <c r="AI249" s="2682"/>
      <c r="AJ249" s="1680" t="s">
        <v>380</v>
      </c>
      <c r="AK249" s="754" t="s">
        <v>705</v>
      </c>
      <c r="AL249" s="754" t="s">
        <v>706</v>
      </c>
      <c r="AM249" s="1681" t="s">
        <v>1011</v>
      </c>
      <c r="AN249" s="1681" t="s">
        <v>1012</v>
      </c>
      <c r="AO249" s="1655"/>
      <c r="AP249" s="1672"/>
      <c r="AQ249" s="1672"/>
      <c r="AR249" s="4942"/>
      <c r="AS249" s="4943"/>
      <c r="AT249" s="4943"/>
      <c r="AU249" s="4944"/>
      <c r="AV249" s="2602"/>
      <c r="AW249" s="5030"/>
      <c r="AX249" s="4886"/>
      <c r="AY249" s="4887"/>
      <c r="AZ249" s="4887"/>
      <c r="BA249" s="4887"/>
      <c r="BB249" s="4888"/>
      <c r="BC249" s="5011"/>
      <c r="BD249" s="5011"/>
      <c r="BE249" s="5031"/>
      <c r="BF249" s="5011"/>
      <c r="BG249" s="1655"/>
      <c r="BH249" s="4892"/>
      <c r="BI249" s="4893"/>
      <c r="BJ249" s="4894"/>
      <c r="BK249" s="4892"/>
      <c r="BL249" s="4893"/>
      <c r="BM249" s="4894"/>
      <c r="BN249" s="5030"/>
      <c r="BO249" s="5030"/>
      <c r="BP249" s="5030"/>
      <c r="BQ249" s="1655"/>
      <c r="BR249" s="4898"/>
      <c r="BS249" s="4899"/>
      <c r="BT249" s="4900"/>
      <c r="BU249" s="4904"/>
      <c r="BV249" s="4905"/>
      <c r="BW249" s="4906"/>
      <c r="BX249" s="5031"/>
      <c r="BY249" s="1655"/>
      <c r="BZ249" s="5047" t="s">
        <v>447</v>
      </c>
      <c r="CA249" s="5048"/>
      <c r="CB249" s="5048"/>
      <c r="CC249" s="5049"/>
      <c r="CD249" s="5050" t="s">
        <v>448</v>
      </c>
      <c r="CE249" s="5051"/>
      <c r="CF249" s="5051"/>
      <c r="CG249" s="5052"/>
      <c r="CH249" s="5047" t="s">
        <v>445</v>
      </c>
      <c r="CI249" s="5048"/>
      <c r="CJ249" s="5049"/>
      <c r="CK249" s="5050" t="s">
        <v>446</v>
      </c>
      <c r="CL249" s="5051"/>
      <c r="CM249" s="5052"/>
      <c r="CN249" s="809" t="s">
        <v>449</v>
      </c>
      <c r="CO249" s="5053" t="s">
        <v>452</v>
      </c>
      <c r="CP249" s="5054"/>
      <c r="CQ249" s="5054"/>
      <c r="CR249" s="5055"/>
      <c r="CS249" s="5053" t="s">
        <v>453</v>
      </c>
      <c r="CT249" s="5054"/>
      <c r="CU249" s="5054"/>
      <c r="CV249" s="5055"/>
      <c r="CW249" s="5053" t="s">
        <v>889</v>
      </c>
      <c r="CX249" s="5054"/>
      <c r="CY249" s="5055"/>
      <c r="CZ249" s="5053" t="s">
        <v>890</v>
      </c>
      <c r="DA249" s="5054"/>
      <c r="DB249" s="5055"/>
      <c r="DC249" s="1683" t="s">
        <v>454</v>
      </c>
      <c r="DD249" s="1655"/>
      <c r="DE249" s="4965"/>
      <c r="DF249" s="4966"/>
      <c r="DG249" s="4965"/>
      <c r="DH249" s="4966"/>
      <c r="DI249" s="4965"/>
      <c r="DJ249" s="4966"/>
      <c r="DK249" s="1684" t="s">
        <v>189</v>
      </c>
      <c r="DL249" s="1684" t="s">
        <v>190</v>
      </c>
      <c r="DM249" s="1732" t="s">
        <v>187</v>
      </c>
      <c r="DN249" s="1732" t="s">
        <v>719</v>
      </c>
      <c r="DO249" s="1686" t="s">
        <v>720</v>
      </c>
      <c r="DP249" s="5039"/>
      <c r="DQ249" s="5039"/>
      <c r="DR249" s="5039"/>
      <c r="DS249" s="1655"/>
      <c r="DT249" s="1687" t="s">
        <v>1032</v>
      </c>
      <c r="DU249" s="1687" t="s">
        <v>1033</v>
      </c>
      <c r="DV249" s="1687" t="s">
        <v>1034</v>
      </c>
      <c r="DW249" s="2949"/>
      <c r="DX249" s="1687" t="s">
        <v>986</v>
      </c>
      <c r="DY249" s="1687" t="s">
        <v>987</v>
      </c>
    </row>
    <row r="250" spans="1:146" s="761" customFormat="1" ht="48" hidden="1" outlineLevel="3">
      <c r="A250" s="5016" t="s">
        <v>1017</v>
      </c>
      <c r="B250" s="5017"/>
      <c r="C250" s="1688"/>
      <c r="D250" s="1689"/>
      <c r="E250" s="1689" t="s">
        <v>1041</v>
      </c>
      <c r="F250" s="1689" t="s">
        <v>1042</v>
      </c>
      <c r="G250" s="1690" t="s">
        <v>1043</v>
      </c>
      <c r="H250" s="1690" t="s">
        <v>1044</v>
      </c>
      <c r="I250" s="1691" t="s">
        <v>1045</v>
      </c>
      <c r="J250" s="1733" t="s">
        <v>1041</v>
      </c>
      <c r="K250" s="1693" t="s">
        <v>1046</v>
      </c>
      <c r="L250" s="1693" t="s">
        <v>440</v>
      </c>
      <c r="M250" s="1693" t="s">
        <v>492</v>
      </c>
      <c r="N250" s="1693" t="s">
        <v>491</v>
      </c>
      <c r="O250" s="1693" t="s">
        <v>707</v>
      </c>
      <c r="P250" s="1693" t="s">
        <v>708</v>
      </c>
      <c r="Q250" s="1694"/>
      <c r="R250" s="1689"/>
      <c r="S250" s="1689" t="s">
        <v>974</v>
      </c>
      <c r="T250" s="1695" t="s">
        <v>972</v>
      </c>
      <c r="U250" s="1695" t="s">
        <v>973</v>
      </c>
      <c r="V250" s="1695" t="s">
        <v>974</v>
      </c>
      <c r="W250" s="1695" t="s">
        <v>975</v>
      </c>
      <c r="X250" s="2635"/>
      <c r="Y250" s="2635"/>
      <c r="Z250" s="2635"/>
      <c r="AA250" s="2635"/>
      <c r="AB250" s="1695" t="s">
        <v>976</v>
      </c>
      <c r="AC250" s="1695" t="s">
        <v>977</v>
      </c>
      <c r="AD250" s="1695"/>
      <c r="AE250" s="1695"/>
      <c r="AF250" s="1695" t="s">
        <v>978</v>
      </c>
      <c r="AG250" s="1690" t="s">
        <v>973</v>
      </c>
      <c r="AH250" s="2683"/>
      <c r="AI250" s="2683"/>
      <c r="AJ250" s="1690" t="s">
        <v>973</v>
      </c>
      <c r="AK250" s="1696" t="s">
        <v>977</v>
      </c>
      <c r="AL250" s="1696" t="s">
        <v>980</v>
      </c>
      <c r="AM250" s="1697" t="s">
        <v>974</v>
      </c>
      <c r="AN250" s="1698" t="s">
        <v>972</v>
      </c>
      <c r="AO250" s="1694"/>
      <c r="AP250" s="1689"/>
      <c r="AQ250" s="1689"/>
      <c r="AR250" s="1693">
        <v>75</v>
      </c>
      <c r="AS250" s="1693">
        <v>150</v>
      </c>
      <c r="AT250" s="1693" t="s">
        <v>981</v>
      </c>
      <c r="AU250" s="1693" t="s">
        <v>981</v>
      </c>
      <c r="AV250" s="2695"/>
      <c r="AW250" s="1696" t="s">
        <v>207</v>
      </c>
      <c r="AX250" s="1699">
        <v>75</v>
      </c>
      <c r="AY250" s="1699">
        <v>100</v>
      </c>
      <c r="AZ250" s="1699">
        <v>120</v>
      </c>
      <c r="BA250" s="1699">
        <v>150</v>
      </c>
      <c r="BB250" s="1699">
        <v>200</v>
      </c>
      <c r="BC250" s="1700" t="s">
        <v>1051</v>
      </c>
      <c r="BD250" s="1701" t="s">
        <v>982</v>
      </c>
      <c r="BE250" s="1702"/>
      <c r="BF250" s="1703" t="s">
        <v>983</v>
      </c>
      <c r="BG250" s="1694"/>
      <c r="BH250" s="1696">
        <v>75</v>
      </c>
      <c r="BI250" s="1696">
        <v>90</v>
      </c>
      <c r="BJ250" s="1696">
        <v>110</v>
      </c>
      <c r="BK250" s="1696">
        <v>75</v>
      </c>
      <c r="BL250" s="1696">
        <v>90</v>
      </c>
      <c r="BM250" s="1696">
        <v>110</v>
      </c>
      <c r="BN250" s="1696" t="s">
        <v>979</v>
      </c>
      <c r="BO250" s="1696" t="s">
        <v>978</v>
      </c>
      <c r="BP250" s="1696" t="s">
        <v>978</v>
      </c>
      <c r="BQ250" s="1694"/>
      <c r="BR250" s="1704" t="s">
        <v>383</v>
      </c>
      <c r="BS250" s="1704" t="s">
        <v>381</v>
      </c>
      <c r="BT250" s="1704" t="s">
        <v>384</v>
      </c>
      <c r="BU250" s="1704" t="s">
        <v>385</v>
      </c>
      <c r="BV250" s="1704" t="s">
        <v>386</v>
      </c>
      <c r="BW250" s="1704" t="s">
        <v>387</v>
      </c>
      <c r="BX250" s="1704" t="s">
        <v>388</v>
      </c>
      <c r="BY250" s="1694"/>
      <c r="BZ250" s="1705" t="s">
        <v>1039</v>
      </c>
      <c r="CA250" s="1705" t="s">
        <v>467</v>
      </c>
      <c r="CB250" s="1705" t="s">
        <v>466</v>
      </c>
      <c r="CC250" s="1705" t="s">
        <v>470</v>
      </c>
      <c r="CD250" s="1705" t="s">
        <v>468</v>
      </c>
      <c r="CE250" s="1705" t="s">
        <v>467</v>
      </c>
      <c r="CF250" s="1705" t="s">
        <v>466</v>
      </c>
      <c r="CG250" s="1705" t="s">
        <v>470</v>
      </c>
      <c r="CH250" s="1705" t="s">
        <v>468</v>
      </c>
      <c r="CI250" s="1705" t="s">
        <v>467</v>
      </c>
      <c r="CJ250" s="1705" t="s">
        <v>466</v>
      </c>
      <c r="CK250" s="1705" t="s">
        <v>468</v>
      </c>
      <c r="CL250" s="1705" t="s">
        <v>467</v>
      </c>
      <c r="CM250" s="1705" t="s">
        <v>466</v>
      </c>
      <c r="CN250" s="1706" t="s">
        <v>469</v>
      </c>
      <c r="CO250" s="1699" t="s">
        <v>476</v>
      </c>
      <c r="CP250" s="1699" t="s">
        <v>477</v>
      </c>
      <c r="CQ250" s="1699" t="s">
        <v>478</v>
      </c>
      <c r="CR250" s="1699" t="s">
        <v>479</v>
      </c>
      <c r="CS250" s="1699" t="s">
        <v>476</v>
      </c>
      <c r="CT250" s="1699" t="s">
        <v>477</v>
      </c>
      <c r="CU250" s="1699" t="s">
        <v>478</v>
      </c>
      <c r="CV250" s="1699" t="s">
        <v>480</v>
      </c>
      <c r="CW250" s="1699" t="s">
        <v>472</v>
      </c>
      <c r="CX250" s="1699" t="s">
        <v>473</v>
      </c>
      <c r="CY250" s="1699" t="s">
        <v>474</v>
      </c>
      <c r="CZ250" s="1699" t="s">
        <v>472</v>
      </c>
      <c r="DA250" s="1699" t="s">
        <v>473</v>
      </c>
      <c r="DB250" s="1699" t="s">
        <v>474</v>
      </c>
      <c r="DC250" s="1699" t="s">
        <v>475</v>
      </c>
      <c r="DD250" s="1694"/>
      <c r="DE250" s="1707" t="s">
        <v>119</v>
      </c>
      <c r="DF250" s="1707" t="s">
        <v>120</v>
      </c>
      <c r="DG250" s="1707" t="s">
        <v>119</v>
      </c>
      <c r="DH250" s="1707" t="s">
        <v>120</v>
      </c>
      <c r="DI250" s="1707" t="s">
        <v>119</v>
      </c>
      <c r="DJ250" s="1707" t="s">
        <v>120</v>
      </c>
      <c r="DK250" s="1707" t="s">
        <v>121</v>
      </c>
      <c r="DL250" s="1707" t="s">
        <v>122</v>
      </c>
      <c r="DM250" s="1734" t="s">
        <v>1035</v>
      </c>
      <c r="DN250" s="1734" t="s">
        <v>1036</v>
      </c>
      <c r="DO250" s="1734" t="s">
        <v>1035</v>
      </c>
      <c r="DP250" s="1707" t="s">
        <v>124</v>
      </c>
      <c r="DQ250" s="1707" t="s">
        <v>125</v>
      </c>
      <c r="DR250" s="1707" t="s">
        <v>126</v>
      </c>
      <c r="DS250" s="1694"/>
      <c r="DT250" s="1702" t="s">
        <v>985</v>
      </c>
      <c r="DU250" s="1702" t="s">
        <v>985</v>
      </c>
      <c r="DV250" s="1709" t="s">
        <v>984</v>
      </c>
      <c r="DW250" s="2953"/>
      <c r="DX250" s="1702" t="s">
        <v>985</v>
      </c>
      <c r="DY250" s="1702" t="s">
        <v>985</v>
      </c>
      <c r="DZ250" s="1710"/>
      <c r="EA250" s="1710"/>
      <c r="EB250" s="1710"/>
      <c r="EC250" s="1710"/>
      <c r="ED250" s="1710"/>
      <c r="EE250" s="1710"/>
      <c r="EF250" s="1710"/>
      <c r="EG250" s="1710"/>
      <c r="EH250" s="1710"/>
      <c r="EI250" s="1710"/>
      <c r="EJ250" s="1710"/>
      <c r="EK250" s="1710"/>
      <c r="EL250" s="1710"/>
      <c r="EM250" s="1710"/>
      <c r="EN250" s="1710"/>
      <c r="EO250" s="1710"/>
      <c r="EP250" s="1710"/>
    </row>
    <row r="251" spans="1:146" s="761" customFormat="1" ht="15.75" hidden="1" customHeight="1" outlineLevel="3">
      <c r="A251" s="4995" t="s">
        <v>1018</v>
      </c>
      <c r="B251" s="4996"/>
      <c r="C251" s="1735"/>
      <c r="D251" s="1711"/>
      <c r="E251" s="1711"/>
      <c r="F251" s="1736">
        <f>F256/E256</f>
        <v>1.5588235294117647</v>
      </c>
      <c r="G251" s="1737"/>
      <c r="H251" s="1737"/>
      <c r="I251" s="1737"/>
      <c r="J251" s="1738"/>
      <c r="K251" s="1713"/>
      <c r="L251" s="1713"/>
      <c r="M251" s="1713"/>
      <c r="N251" s="1713"/>
      <c r="O251" s="1713"/>
      <c r="P251" s="1713"/>
      <c r="Q251" s="1714"/>
      <c r="R251" s="1715"/>
      <c r="S251" s="1715" t="s">
        <v>1059</v>
      </c>
      <c r="T251" s="1739"/>
      <c r="U251" s="1712">
        <v>1.1000000000000001</v>
      </c>
      <c r="V251" s="1715" t="s">
        <v>1058</v>
      </c>
      <c r="W251" s="1712">
        <v>1.1000000000000001</v>
      </c>
      <c r="X251" s="1712"/>
      <c r="Y251" s="1712"/>
      <c r="Z251" s="1712"/>
      <c r="AA251" s="1712"/>
      <c r="AB251" s="1712">
        <v>1.6</v>
      </c>
      <c r="AC251" s="1712">
        <f>AB251</f>
        <v>1.6</v>
      </c>
      <c r="AD251" s="1712"/>
      <c r="AE251" s="1712"/>
      <c r="AF251" s="1712">
        <v>1.2</v>
      </c>
      <c r="AG251" s="1715" t="s">
        <v>1058</v>
      </c>
      <c r="AH251" s="2690"/>
      <c r="AI251" s="2690"/>
      <c r="AJ251" s="1712">
        <v>1.05</v>
      </c>
      <c r="AK251" s="1715" t="s">
        <v>1060</v>
      </c>
      <c r="AL251" s="1715" t="s">
        <v>1061</v>
      </c>
      <c r="AM251" s="1715" t="s">
        <v>1063</v>
      </c>
      <c r="AN251" s="1715" t="s">
        <v>1062</v>
      </c>
      <c r="AO251" s="1714"/>
      <c r="AP251" s="1715"/>
      <c r="AQ251" s="1715"/>
      <c r="AR251" s="1712">
        <v>0.9</v>
      </c>
      <c r="AS251" s="1712">
        <v>1.75</v>
      </c>
      <c r="AT251" s="1712"/>
      <c r="AU251" s="1712"/>
      <c r="AV251" s="1712"/>
      <c r="AW251" s="1712">
        <v>1.45</v>
      </c>
      <c r="AX251" s="1715" t="s">
        <v>1064</v>
      </c>
      <c r="AY251" s="1716"/>
      <c r="AZ251" s="1716"/>
      <c r="BA251" s="1715" t="s">
        <v>1065</v>
      </c>
      <c r="BB251" s="1716"/>
      <c r="BC251" s="1712">
        <v>7.4999999999999997E-2</v>
      </c>
      <c r="BD251" s="1712">
        <v>0.65</v>
      </c>
      <c r="BE251" s="1715" t="s">
        <v>1066</v>
      </c>
      <c r="BF251" s="1715" t="s">
        <v>1067</v>
      </c>
      <c r="BG251" s="1714"/>
      <c r="BH251" s="1712">
        <v>0.85</v>
      </c>
      <c r="BI251" s="1712">
        <v>0.85</v>
      </c>
      <c r="BJ251" s="1712">
        <v>0.85</v>
      </c>
      <c r="BK251" s="1712">
        <v>1.05</v>
      </c>
      <c r="BL251" s="1712">
        <v>1.05</v>
      </c>
      <c r="BM251" s="1712">
        <v>1.05</v>
      </c>
      <c r="BN251" s="1715">
        <v>0.9</v>
      </c>
      <c r="BO251" s="1715">
        <v>0.9</v>
      </c>
      <c r="BP251" s="1715">
        <v>0.9</v>
      </c>
      <c r="BQ251" s="1714"/>
      <c r="BR251" s="1717"/>
      <c r="BS251" s="1712">
        <v>1.05</v>
      </c>
      <c r="BT251" s="1712">
        <v>1.05</v>
      </c>
      <c r="BU251" s="1717"/>
      <c r="BV251" s="1712">
        <v>1.05</v>
      </c>
      <c r="BW251" s="1712">
        <v>1.05</v>
      </c>
      <c r="BX251" s="1712">
        <v>2.2999999999999998</v>
      </c>
      <c r="BY251" s="1714"/>
      <c r="BZ251" s="1713"/>
      <c r="CA251" s="1713"/>
      <c r="CB251" s="1713"/>
      <c r="CC251" s="1713"/>
      <c r="CD251" s="1713"/>
      <c r="CE251" s="1713"/>
      <c r="CF251" s="1713"/>
      <c r="CG251" s="1713"/>
      <c r="CH251" s="1713"/>
      <c r="CI251" s="1713"/>
      <c r="CJ251" s="1713"/>
      <c r="CK251" s="1713"/>
      <c r="CL251" s="1713"/>
      <c r="CM251" s="1713"/>
      <c r="CN251" s="1713"/>
      <c r="CO251" s="1718">
        <v>1.45</v>
      </c>
      <c r="CP251" s="5018" t="s">
        <v>1069</v>
      </c>
      <c r="CQ251" s="5019"/>
      <c r="CR251" s="5019"/>
      <c r="CS251" s="5019"/>
      <c r="CT251" s="5019"/>
      <c r="CU251" s="5019"/>
      <c r="CV251" s="5019"/>
      <c r="CW251" s="5019"/>
      <c r="CX251" s="5019"/>
      <c r="CY251" s="5019"/>
      <c r="CZ251" s="5019"/>
      <c r="DA251" s="5019"/>
      <c r="DB251" s="5019"/>
      <c r="DC251" s="5020"/>
      <c r="DD251" s="1714"/>
      <c r="DE251" s="1715">
        <v>1.1499999999999999</v>
      </c>
      <c r="DF251" s="1715">
        <v>1.1499999999999999</v>
      </c>
      <c r="DG251" s="1715">
        <v>1.1000000000000001</v>
      </c>
      <c r="DH251" s="1715">
        <v>1.2</v>
      </c>
      <c r="DI251" s="1715">
        <v>1.05</v>
      </c>
      <c r="DJ251" s="1715">
        <v>1.1499999999999999</v>
      </c>
      <c r="DK251" s="1713"/>
      <c r="DL251" s="1715">
        <v>1.05</v>
      </c>
      <c r="DM251" s="1715">
        <v>1.45</v>
      </c>
      <c r="DN251" s="1715" t="s">
        <v>1070</v>
      </c>
      <c r="DO251" s="1715" t="s">
        <v>1070</v>
      </c>
      <c r="DP251" s="1715">
        <v>1.05</v>
      </c>
      <c r="DQ251" s="1715">
        <v>1.1499999999999999</v>
      </c>
      <c r="DR251" s="1715" t="s">
        <v>1062</v>
      </c>
      <c r="DS251" s="1714"/>
      <c r="DT251" s="1712">
        <v>0.8</v>
      </c>
      <c r="DU251" s="1712" t="s">
        <v>1152</v>
      </c>
      <c r="DV251" s="1713"/>
      <c r="DW251" s="2955"/>
      <c r="DX251" s="1712">
        <f>DT251</f>
        <v>0.8</v>
      </c>
      <c r="DY251" s="1712">
        <f>DT251</f>
        <v>0.8</v>
      </c>
    </row>
    <row r="252" spans="1:146" s="761" customFormat="1" ht="12.75" hidden="1" customHeight="1" outlineLevel="3">
      <c r="A252" s="1719" t="s">
        <v>206</v>
      </c>
      <c r="B252" s="1720" t="s">
        <v>391</v>
      </c>
      <c r="C252" s="1721"/>
      <c r="D252" s="763"/>
      <c r="E252" s="763">
        <v>1200</v>
      </c>
      <c r="F252" s="764"/>
      <c r="G252" s="765">
        <v>1300</v>
      </c>
      <c r="H252" s="766"/>
      <c r="I252" s="781"/>
      <c r="J252" s="1175">
        <v>1200</v>
      </c>
      <c r="K252" s="751">
        <v>2400</v>
      </c>
      <c r="L252" s="751">
        <v>2550</v>
      </c>
      <c r="M252" s="768">
        <v>11500</v>
      </c>
      <c r="N252" s="753"/>
      <c r="O252" s="753"/>
      <c r="P252" s="767">
        <v>12650</v>
      </c>
      <c r="Q252" s="762"/>
      <c r="R252" s="764"/>
      <c r="S252" s="764"/>
      <c r="T252" s="1144">
        <v>650</v>
      </c>
      <c r="U252" s="769">
        <v>750</v>
      </c>
      <c r="V252" s="769">
        <v>750</v>
      </c>
      <c r="W252" s="769">
        <v>850</v>
      </c>
      <c r="X252" s="1807"/>
      <c r="Y252" s="1807"/>
      <c r="Z252" s="1807"/>
      <c r="AA252" s="1807"/>
      <c r="AB252" s="769"/>
      <c r="AC252" s="769">
        <v>1200</v>
      </c>
      <c r="AD252" s="764"/>
      <c r="AE252" s="770"/>
      <c r="AF252" s="764"/>
      <c r="AG252" s="765">
        <v>750</v>
      </c>
      <c r="AH252" s="2665"/>
      <c r="AI252" s="2665"/>
      <c r="AJ252" s="766"/>
      <c r="AK252" s="754"/>
      <c r="AL252" s="754"/>
      <c r="AM252" s="757"/>
      <c r="AN252" s="757">
        <v>650</v>
      </c>
      <c r="AO252" s="762"/>
      <c r="AP252" s="764"/>
      <c r="AQ252" s="764"/>
      <c r="AR252" s="769">
        <v>600</v>
      </c>
      <c r="AS252" s="769">
        <v>1050</v>
      </c>
      <c r="AT252" s="769">
        <v>80</v>
      </c>
      <c r="AU252" s="769">
        <v>80</v>
      </c>
      <c r="AV252" s="2664"/>
      <c r="AW252" s="754"/>
      <c r="AX252" s="757">
        <v>600</v>
      </c>
      <c r="AY252" s="757">
        <v>800</v>
      </c>
      <c r="AZ252" s="757">
        <v>960</v>
      </c>
      <c r="BA252" s="757">
        <v>1050</v>
      </c>
      <c r="BB252" s="757">
        <v>1360</v>
      </c>
      <c r="BC252" s="769">
        <v>45</v>
      </c>
      <c r="BD252" s="769">
        <v>450</v>
      </c>
      <c r="BE252" s="759">
        <v>450</v>
      </c>
      <c r="BF252" s="767">
        <v>1050</v>
      </c>
      <c r="BG252" s="762"/>
      <c r="BH252" s="771">
        <v>600</v>
      </c>
      <c r="BI252" s="771">
        <v>650</v>
      </c>
      <c r="BJ252" s="771">
        <v>650</v>
      </c>
      <c r="BK252" s="771">
        <v>650</v>
      </c>
      <c r="BL252" s="771">
        <v>700</v>
      </c>
      <c r="BM252" s="771">
        <v>700</v>
      </c>
      <c r="BN252" s="754"/>
      <c r="BO252" s="754"/>
      <c r="BP252" s="754"/>
      <c r="BQ252" s="762"/>
      <c r="BR252" s="763">
        <v>1600</v>
      </c>
      <c r="BS252" s="773">
        <v>1700</v>
      </c>
      <c r="BT252" s="773">
        <v>1800</v>
      </c>
      <c r="BU252" s="760"/>
      <c r="BV252" s="760"/>
      <c r="BW252" s="760"/>
      <c r="BX252" s="760"/>
      <c r="BY252" s="762"/>
      <c r="BZ252" s="774">
        <v>450</v>
      </c>
      <c r="CA252" s="755">
        <v>500</v>
      </c>
      <c r="CB252" s="755">
        <v>550</v>
      </c>
      <c r="CC252" s="755">
        <v>600</v>
      </c>
      <c r="CD252" s="806">
        <v>500</v>
      </c>
      <c r="CE252" s="755">
        <v>550</v>
      </c>
      <c r="CF252" s="755">
        <v>600</v>
      </c>
      <c r="CG252" s="755">
        <v>650</v>
      </c>
      <c r="CH252" s="809"/>
      <c r="CI252" s="756"/>
      <c r="CJ252" s="756"/>
      <c r="CK252" s="806">
        <v>500</v>
      </c>
      <c r="CL252" s="755">
        <v>550</v>
      </c>
      <c r="CM252" s="755">
        <v>600</v>
      </c>
      <c r="CN252" s="756"/>
      <c r="CO252" s="757">
        <v>700</v>
      </c>
      <c r="CP252" s="757">
        <v>750</v>
      </c>
      <c r="CQ252" s="757">
        <v>800</v>
      </c>
      <c r="CR252" s="757">
        <v>900</v>
      </c>
      <c r="CS252" s="757">
        <v>750</v>
      </c>
      <c r="CT252" s="757">
        <v>800</v>
      </c>
      <c r="CU252" s="757">
        <v>900</v>
      </c>
      <c r="CV252" s="757">
        <v>950</v>
      </c>
      <c r="CW252" s="757"/>
      <c r="CX252" s="757"/>
      <c r="CY252" s="757"/>
      <c r="CZ252" s="757">
        <v>750</v>
      </c>
      <c r="DA252" s="757">
        <v>800</v>
      </c>
      <c r="DB252" s="757">
        <v>900</v>
      </c>
      <c r="DC252" s="757"/>
      <c r="DD252" s="762"/>
      <c r="DE252" s="752">
        <v>3700</v>
      </c>
      <c r="DF252" s="752">
        <v>4300</v>
      </c>
      <c r="DG252" s="752">
        <v>4100</v>
      </c>
      <c r="DH252" s="752">
        <v>4950</v>
      </c>
      <c r="DI252" s="752"/>
      <c r="DJ252" s="752"/>
      <c r="DK252" s="775">
        <v>3200</v>
      </c>
      <c r="DL252" s="752">
        <v>3400</v>
      </c>
      <c r="DM252" s="752"/>
      <c r="DN252" s="752"/>
      <c r="DO252" s="752"/>
      <c r="DP252" s="752">
        <v>1300</v>
      </c>
      <c r="DQ252" s="752">
        <v>1500</v>
      </c>
      <c r="DR252" s="752">
        <v>650</v>
      </c>
      <c r="DS252" s="776"/>
      <c r="DT252" s="759">
        <v>6400</v>
      </c>
      <c r="DU252" s="760"/>
      <c r="DV252" s="760"/>
      <c r="DW252" s="2952"/>
      <c r="DX252" s="760"/>
      <c r="DY252" s="760"/>
      <c r="EA252" s="811">
        <v>11050</v>
      </c>
      <c r="EB252" s="812">
        <v>7942.1874999999991</v>
      </c>
      <c r="EC252" s="2960"/>
      <c r="ED252" s="2960"/>
      <c r="EE252" s="811"/>
      <c r="EF252" s="812"/>
      <c r="EG252" s="811"/>
      <c r="EH252" s="812"/>
      <c r="EI252" s="811"/>
      <c r="EJ252" s="812"/>
    </row>
    <row r="253" spans="1:146" s="761" customFormat="1" ht="12.75" hidden="1" customHeight="1" outlineLevel="3">
      <c r="A253" s="5021" t="s">
        <v>1019</v>
      </c>
      <c r="B253" s="1720" t="s">
        <v>703</v>
      </c>
      <c r="C253" s="1721">
        <v>0.90322580645161288</v>
      </c>
      <c r="D253" s="763"/>
      <c r="E253" s="763">
        <v>1600</v>
      </c>
      <c r="F253" s="769">
        <v>2500</v>
      </c>
      <c r="G253" s="765">
        <v>1700</v>
      </c>
      <c r="H253" s="765">
        <v>1800</v>
      </c>
      <c r="I253" s="782"/>
      <c r="J253" s="1175">
        <v>1600</v>
      </c>
      <c r="K253" s="751">
        <v>3200</v>
      </c>
      <c r="L253" s="751">
        <v>3400</v>
      </c>
      <c r="M253" s="753"/>
      <c r="N253" s="753"/>
      <c r="O253" s="753"/>
      <c r="P253" s="753"/>
      <c r="Q253" s="762"/>
      <c r="R253" s="769"/>
      <c r="S253" s="769">
        <v>1250</v>
      </c>
      <c r="T253" s="769">
        <v>1100</v>
      </c>
      <c r="U253" s="769">
        <v>1250</v>
      </c>
      <c r="V253" s="769">
        <v>1250</v>
      </c>
      <c r="W253" s="769">
        <v>1400</v>
      </c>
      <c r="X253" s="1807"/>
      <c r="Y253" s="1807"/>
      <c r="Z253" s="1807"/>
      <c r="AA253" s="1807"/>
      <c r="AB253" s="769">
        <v>2000</v>
      </c>
      <c r="AC253" s="770"/>
      <c r="AD253" s="770"/>
      <c r="AE253" s="770"/>
      <c r="AF253" s="770"/>
      <c r="AG253" s="765">
        <v>1250</v>
      </c>
      <c r="AH253" s="2665"/>
      <c r="AI253" s="2665"/>
      <c r="AJ253" s="765">
        <v>1350</v>
      </c>
      <c r="AK253" s="754"/>
      <c r="AL253" s="754"/>
      <c r="AM253" s="757">
        <v>1250</v>
      </c>
      <c r="AN253" s="757">
        <v>1100</v>
      </c>
      <c r="AO253" s="762"/>
      <c r="AP253" s="769"/>
      <c r="AQ253" s="769"/>
      <c r="AR253" s="769">
        <v>1000</v>
      </c>
      <c r="AS253" s="769">
        <v>1750</v>
      </c>
      <c r="AT253" s="769">
        <v>135</v>
      </c>
      <c r="AU253" s="769">
        <v>135</v>
      </c>
      <c r="AV253" s="2664"/>
      <c r="AW253" s="754"/>
      <c r="AX253" s="757">
        <v>1000</v>
      </c>
      <c r="AY253" s="757">
        <v>1340</v>
      </c>
      <c r="AZ253" s="757">
        <v>1600</v>
      </c>
      <c r="BA253" s="757">
        <v>1750</v>
      </c>
      <c r="BB253" s="757">
        <v>2270</v>
      </c>
      <c r="BC253" s="769">
        <v>45</v>
      </c>
      <c r="BD253" s="769">
        <v>750</v>
      </c>
      <c r="BE253" s="759">
        <v>750</v>
      </c>
      <c r="BF253" s="767">
        <v>1750</v>
      </c>
      <c r="BG253" s="762"/>
      <c r="BH253" s="771">
        <v>950</v>
      </c>
      <c r="BI253" s="771">
        <v>1100</v>
      </c>
      <c r="BJ253" s="771">
        <v>1100</v>
      </c>
      <c r="BK253" s="771">
        <v>1000</v>
      </c>
      <c r="BL253" s="771">
        <v>1200</v>
      </c>
      <c r="BM253" s="771">
        <v>1200</v>
      </c>
      <c r="BN253" s="754"/>
      <c r="BO253" s="754"/>
      <c r="BP253" s="754"/>
      <c r="BQ253" s="762"/>
      <c r="BR253" s="763">
        <v>2100</v>
      </c>
      <c r="BS253" s="773">
        <v>2250</v>
      </c>
      <c r="BT253" s="773">
        <v>2400</v>
      </c>
      <c r="BU253" s="773">
        <v>400</v>
      </c>
      <c r="BV253" s="777">
        <v>450</v>
      </c>
      <c r="BW253" s="777">
        <v>500</v>
      </c>
      <c r="BX253" s="777">
        <v>5550</v>
      </c>
      <c r="BY253" s="762"/>
      <c r="BZ253" s="774">
        <v>600</v>
      </c>
      <c r="CA253" s="755">
        <v>650</v>
      </c>
      <c r="CB253" s="755">
        <v>700</v>
      </c>
      <c r="CC253" s="755">
        <v>750</v>
      </c>
      <c r="CD253" s="806">
        <v>650</v>
      </c>
      <c r="CE253" s="755">
        <v>700</v>
      </c>
      <c r="CF253" s="755">
        <v>750</v>
      </c>
      <c r="CG253" s="755">
        <v>800</v>
      </c>
      <c r="CH253" s="806">
        <v>700</v>
      </c>
      <c r="CI253" s="755">
        <v>750</v>
      </c>
      <c r="CJ253" s="755">
        <v>800</v>
      </c>
      <c r="CK253" s="806">
        <v>700</v>
      </c>
      <c r="CL253" s="755">
        <v>750</v>
      </c>
      <c r="CM253" s="755">
        <v>800</v>
      </c>
      <c r="CN253" s="756"/>
      <c r="CO253" s="757">
        <v>900</v>
      </c>
      <c r="CP253" s="757">
        <v>950</v>
      </c>
      <c r="CQ253" s="757">
        <v>1050</v>
      </c>
      <c r="CR253" s="757">
        <v>1100</v>
      </c>
      <c r="CS253" s="757">
        <v>950</v>
      </c>
      <c r="CT253" s="757">
        <v>1050</v>
      </c>
      <c r="CU253" s="757">
        <v>1100</v>
      </c>
      <c r="CV253" s="757">
        <v>1200</v>
      </c>
      <c r="CW253" s="757">
        <v>1050</v>
      </c>
      <c r="CX253" s="757">
        <v>1100</v>
      </c>
      <c r="CY253" s="757">
        <v>1200</v>
      </c>
      <c r="CZ253" s="757">
        <v>1050</v>
      </c>
      <c r="DA253" s="757">
        <v>1100</v>
      </c>
      <c r="DB253" s="757">
        <v>1200</v>
      </c>
      <c r="DC253" s="758"/>
      <c r="DD253" s="762"/>
      <c r="DE253" s="752">
        <v>4500</v>
      </c>
      <c r="DF253" s="752">
        <v>5200</v>
      </c>
      <c r="DG253" s="752">
        <v>4950</v>
      </c>
      <c r="DH253" s="752">
        <v>5950</v>
      </c>
      <c r="DI253" s="752">
        <v>4750</v>
      </c>
      <c r="DJ253" s="752">
        <v>5500</v>
      </c>
      <c r="DK253" s="775">
        <v>3900</v>
      </c>
      <c r="DL253" s="752">
        <v>4100</v>
      </c>
      <c r="DM253" s="752">
        <v>7200</v>
      </c>
      <c r="DN253" s="752">
        <v>7200</v>
      </c>
      <c r="DO253" s="752">
        <v>7200</v>
      </c>
      <c r="DP253" s="752">
        <v>2100</v>
      </c>
      <c r="DQ253" s="752">
        <v>2450</v>
      </c>
      <c r="DR253" s="752">
        <v>1100</v>
      </c>
      <c r="DS253" s="776"/>
      <c r="DT253" s="759">
        <v>8000</v>
      </c>
      <c r="DU253" s="759"/>
      <c r="DV253" s="759"/>
      <c r="DW253" s="2670"/>
      <c r="DX253" s="760"/>
      <c r="DY253" s="759">
        <v>12750</v>
      </c>
      <c r="EA253" s="811">
        <v>13900</v>
      </c>
      <c r="EB253" s="812">
        <v>9990.625</v>
      </c>
      <c r="EC253" s="2960"/>
      <c r="ED253" s="2960"/>
      <c r="EE253" s="811"/>
      <c r="EF253" s="812"/>
      <c r="EG253" s="811"/>
      <c r="EH253" s="812"/>
      <c r="EI253" s="811">
        <v>23150</v>
      </c>
      <c r="EJ253" s="812">
        <v>15915.625000000002</v>
      </c>
    </row>
    <row r="254" spans="1:146" s="761" customFormat="1" hidden="1" outlineLevel="3">
      <c r="A254" s="5022"/>
      <c r="B254" s="1722" t="s">
        <v>718</v>
      </c>
      <c r="C254" s="1721">
        <v>1.0714285714285714</v>
      </c>
      <c r="D254" s="763"/>
      <c r="E254" s="763">
        <v>1700</v>
      </c>
      <c r="F254" s="769">
        <v>2650</v>
      </c>
      <c r="G254" s="765">
        <v>1800</v>
      </c>
      <c r="H254" s="765">
        <v>1900</v>
      </c>
      <c r="I254" s="781"/>
      <c r="J254" s="1175">
        <v>1700</v>
      </c>
      <c r="K254" s="751">
        <v>3400</v>
      </c>
      <c r="L254" s="751">
        <v>3600</v>
      </c>
      <c r="M254" s="753"/>
      <c r="N254" s="753"/>
      <c r="O254" s="753"/>
      <c r="P254" s="753"/>
      <c r="Q254" s="762"/>
      <c r="R254" s="769"/>
      <c r="S254" s="769">
        <v>1350</v>
      </c>
      <c r="T254" s="769">
        <v>1200</v>
      </c>
      <c r="U254" s="769">
        <v>1350</v>
      </c>
      <c r="V254" s="769">
        <v>1350</v>
      </c>
      <c r="W254" s="769">
        <v>1500</v>
      </c>
      <c r="X254" s="1807"/>
      <c r="Y254" s="1807"/>
      <c r="Z254" s="1807"/>
      <c r="AA254" s="1807"/>
      <c r="AB254" s="769">
        <v>2200</v>
      </c>
      <c r="AC254" s="764"/>
      <c r="AD254" s="764"/>
      <c r="AE254" s="770"/>
      <c r="AF254" s="764"/>
      <c r="AG254" s="765">
        <v>1350</v>
      </c>
      <c r="AH254" s="2665"/>
      <c r="AI254" s="2665"/>
      <c r="AJ254" s="765">
        <v>1450</v>
      </c>
      <c r="AK254" s="754"/>
      <c r="AL254" s="754"/>
      <c r="AM254" s="757">
        <v>1350</v>
      </c>
      <c r="AN254" s="757">
        <v>1200</v>
      </c>
      <c r="AO254" s="762"/>
      <c r="AP254" s="769"/>
      <c r="AQ254" s="769"/>
      <c r="AR254" s="769">
        <v>1100</v>
      </c>
      <c r="AS254" s="769">
        <v>1950</v>
      </c>
      <c r="AT254" s="769">
        <v>150</v>
      </c>
      <c r="AU254" s="769">
        <v>150</v>
      </c>
      <c r="AV254" s="2664"/>
      <c r="AW254" s="754"/>
      <c r="AX254" s="757">
        <v>1100</v>
      </c>
      <c r="AY254" s="757">
        <v>1470</v>
      </c>
      <c r="AZ254" s="757">
        <v>1760</v>
      </c>
      <c r="BA254" s="757">
        <v>1950</v>
      </c>
      <c r="BB254" s="757">
        <v>2500</v>
      </c>
      <c r="BC254" s="769">
        <v>45</v>
      </c>
      <c r="BD254" s="769">
        <v>800</v>
      </c>
      <c r="BE254" s="759">
        <v>800</v>
      </c>
      <c r="BF254" s="767">
        <v>1950</v>
      </c>
      <c r="BG254" s="762"/>
      <c r="BH254" s="771">
        <v>1050</v>
      </c>
      <c r="BI254" s="771">
        <v>1150</v>
      </c>
      <c r="BJ254" s="771">
        <v>1150</v>
      </c>
      <c r="BK254" s="771">
        <v>1150</v>
      </c>
      <c r="BL254" s="771">
        <v>1250</v>
      </c>
      <c r="BM254" s="771">
        <v>1250</v>
      </c>
      <c r="BN254" s="754"/>
      <c r="BO254" s="754"/>
      <c r="BP254" s="754"/>
      <c r="BQ254" s="762"/>
      <c r="BR254" s="763">
        <v>2150</v>
      </c>
      <c r="BS254" s="773">
        <v>2300</v>
      </c>
      <c r="BT254" s="773">
        <v>2450</v>
      </c>
      <c r="BU254" s="773">
        <v>450</v>
      </c>
      <c r="BV254" s="777">
        <v>500</v>
      </c>
      <c r="BW254" s="777">
        <v>550</v>
      </c>
      <c r="BX254" s="777">
        <v>5650</v>
      </c>
      <c r="BY254" s="762"/>
      <c r="BZ254" s="774">
        <v>650</v>
      </c>
      <c r="CA254" s="755">
        <v>700</v>
      </c>
      <c r="CB254" s="755">
        <v>750</v>
      </c>
      <c r="CC254" s="755">
        <v>800</v>
      </c>
      <c r="CD254" s="806">
        <v>700</v>
      </c>
      <c r="CE254" s="755">
        <v>750</v>
      </c>
      <c r="CF254" s="755">
        <v>800</v>
      </c>
      <c r="CG254" s="755">
        <v>850</v>
      </c>
      <c r="CH254" s="806">
        <v>750</v>
      </c>
      <c r="CI254" s="755">
        <v>800</v>
      </c>
      <c r="CJ254" s="755">
        <v>850</v>
      </c>
      <c r="CK254" s="806">
        <v>750</v>
      </c>
      <c r="CL254" s="755">
        <v>800</v>
      </c>
      <c r="CM254" s="755">
        <v>850</v>
      </c>
      <c r="CN254" s="756"/>
      <c r="CO254" s="757">
        <v>950</v>
      </c>
      <c r="CP254" s="757">
        <v>1050</v>
      </c>
      <c r="CQ254" s="757">
        <v>1100</v>
      </c>
      <c r="CR254" s="757">
        <v>1200</v>
      </c>
      <c r="CS254" s="757">
        <v>1050</v>
      </c>
      <c r="CT254" s="757">
        <v>1100</v>
      </c>
      <c r="CU254" s="757">
        <v>1200</v>
      </c>
      <c r="CV254" s="757">
        <v>1250</v>
      </c>
      <c r="CW254" s="757">
        <v>1100</v>
      </c>
      <c r="CX254" s="757">
        <v>1200</v>
      </c>
      <c r="CY254" s="757">
        <v>1250</v>
      </c>
      <c r="CZ254" s="757">
        <v>1100</v>
      </c>
      <c r="DA254" s="757">
        <v>1200</v>
      </c>
      <c r="DB254" s="757">
        <v>1250</v>
      </c>
      <c r="DC254" s="758"/>
      <c r="DD254" s="762"/>
      <c r="DE254" s="752">
        <v>4750</v>
      </c>
      <c r="DF254" s="752">
        <v>5500</v>
      </c>
      <c r="DG254" s="752">
        <v>5250</v>
      </c>
      <c r="DH254" s="752">
        <v>6300</v>
      </c>
      <c r="DI254" s="752">
        <v>5000</v>
      </c>
      <c r="DJ254" s="752">
        <v>5750</v>
      </c>
      <c r="DK254" s="775">
        <v>4100</v>
      </c>
      <c r="DL254" s="752">
        <v>4350</v>
      </c>
      <c r="DM254" s="752">
        <v>7650</v>
      </c>
      <c r="DN254" s="752">
        <v>7650</v>
      </c>
      <c r="DO254" s="752">
        <v>7650</v>
      </c>
      <c r="DP254" s="752">
        <v>2350</v>
      </c>
      <c r="DQ254" s="752">
        <v>2750</v>
      </c>
      <c r="DR254" s="752">
        <v>1200</v>
      </c>
      <c r="DS254" s="776"/>
      <c r="DT254" s="759">
        <v>8750</v>
      </c>
      <c r="DU254" s="759">
        <v>12800</v>
      </c>
      <c r="DV254" s="763">
        <v>3200</v>
      </c>
      <c r="DW254" s="2663"/>
      <c r="DX254" s="760"/>
      <c r="DY254" s="759">
        <v>13450</v>
      </c>
      <c r="EA254" s="811">
        <v>15150</v>
      </c>
      <c r="EB254" s="812">
        <v>10889.0625</v>
      </c>
      <c r="EC254" s="2960"/>
      <c r="ED254" s="2960"/>
      <c r="EE254" s="811"/>
      <c r="EF254" s="812"/>
      <c r="EG254" s="811"/>
      <c r="EH254" s="812"/>
      <c r="EI254" s="811">
        <v>24450</v>
      </c>
      <c r="EJ254" s="812">
        <v>16809.375</v>
      </c>
    </row>
    <row r="255" spans="1:146" s="1651" customFormat="1" ht="12.75" hidden="1" customHeight="1" outlineLevel="2">
      <c r="A255" s="5023"/>
      <c r="B255" s="1722" t="s">
        <v>103</v>
      </c>
      <c r="C255" s="1721">
        <v>1.1000000000000001</v>
      </c>
      <c r="D255" s="763"/>
      <c r="E255" s="763">
        <v>1800</v>
      </c>
      <c r="F255" s="769">
        <v>2800</v>
      </c>
      <c r="G255" s="765">
        <v>1900</v>
      </c>
      <c r="H255" s="765">
        <v>2000</v>
      </c>
      <c r="I255" s="781"/>
      <c r="J255" s="1175">
        <v>1800</v>
      </c>
      <c r="K255" s="751">
        <v>3600</v>
      </c>
      <c r="L255" s="751">
        <v>3800</v>
      </c>
      <c r="M255" s="753"/>
      <c r="N255" s="753"/>
      <c r="O255" s="753"/>
      <c r="P255" s="753"/>
      <c r="Q255" s="762"/>
      <c r="R255" s="769"/>
      <c r="S255" s="769">
        <v>1450</v>
      </c>
      <c r="T255" s="769">
        <v>1300</v>
      </c>
      <c r="U255" s="769">
        <v>1450</v>
      </c>
      <c r="V255" s="769">
        <v>1450</v>
      </c>
      <c r="W255" s="769">
        <v>1600</v>
      </c>
      <c r="X255" s="1807"/>
      <c r="Y255" s="1807"/>
      <c r="Z255" s="1807"/>
      <c r="AA255" s="1807"/>
      <c r="AB255" s="769">
        <v>2350</v>
      </c>
      <c r="AC255" s="764"/>
      <c r="AD255" s="764"/>
      <c r="AE255" s="770"/>
      <c r="AF255" s="764"/>
      <c r="AG255" s="765">
        <v>1450</v>
      </c>
      <c r="AH255" s="2665"/>
      <c r="AI255" s="2665"/>
      <c r="AJ255" s="765">
        <v>1550</v>
      </c>
      <c r="AK255" s="754"/>
      <c r="AL255" s="754"/>
      <c r="AM255" s="757">
        <v>1450</v>
      </c>
      <c r="AN255" s="757">
        <v>1300</v>
      </c>
      <c r="AO255" s="762"/>
      <c r="AP255" s="769"/>
      <c r="AQ255" s="769"/>
      <c r="AR255" s="769">
        <v>1200</v>
      </c>
      <c r="AS255" s="769">
        <v>2100</v>
      </c>
      <c r="AT255" s="769">
        <v>160</v>
      </c>
      <c r="AU255" s="769">
        <v>160</v>
      </c>
      <c r="AV255" s="2664"/>
      <c r="AW255" s="754"/>
      <c r="AX255" s="757">
        <v>1200</v>
      </c>
      <c r="AY255" s="757">
        <v>1600</v>
      </c>
      <c r="AZ255" s="757">
        <v>1920</v>
      </c>
      <c r="BA255" s="757">
        <v>2100</v>
      </c>
      <c r="BB255" s="757">
        <v>2720</v>
      </c>
      <c r="BC255" s="769">
        <v>45</v>
      </c>
      <c r="BD255" s="769">
        <v>850</v>
      </c>
      <c r="BE255" s="759">
        <v>850</v>
      </c>
      <c r="BF255" s="767">
        <v>2100</v>
      </c>
      <c r="BG255" s="762"/>
      <c r="BH255" s="771">
        <v>1150</v>
      </c>
      <c r="BI255" s="771">
        <v>1250</v>
      </c>
      <c r="BJ255" s="771">
        <v>1250</v>
      </c>
      <c r="BK255" s="771">
        <v>1250</v>
      </c>
      <c r="BL255" s="771">
        <v>1350</v>
      </c>
      <c r="BM255" s="771">
        <v>1350</v>
      </c>
      <c r="BN255" s="754"/>
      <c r="BO255" s="754"/>
      <c r="BP255" s="754"/>
      <c r="BQ255" s="762"/>
      <c r="BR255" s="763">
        <v>2400</v>
      </c>
      <c r="BS255" s="773">
        <v>2550</v>
      </c>
      <c r="BT255" s="773">
        <v>2700</v>
      </c>
      <c r="BU255" s="773">
        <v>450</v>
      </c>
      <c r="BV255" s="777">
        <v>500</v>
      </c>
      <c r="BW255" s="777">
        <v>550</v>
      </c>
      <c r="BX255" s="777">
        <v>6250</v>
      </c>
      <c r="BY255" s="762"/>
      <c r="BZ255" s="774">
        <v>750</v>
      </c>
      <c r="CA255" s="755">
        <v>800</v>
      </c>
      <c r="CB255" s="755">
        <v>850</v>
      </c>
      <c r="CC255" s="755">
        <v>900</v>
      </c>
      <c r="CD255" s="806">
        <v>800</v>
      </c>
      <c r="CE255" s="755">
        <v>850</v>
      </c>
      <c r="CF255" s="755">
        <v>900</v>
      </c>
      <c r="CG255" s="755">
        <v>950</v>
      </c>
      <c r="CH255" s="806">
        <v>850</v>
      </c>
      <c r="CI255" s="755">
        <v>900</v>
      </c>
      <c r="CJ255" s="755">
        <v>950</v>
      </c>
      <c r="CK255" s="806">
        <v>850</v>
      </c>
      <c r="CL255" s="755">
        <v>900</v>
      </c>
      <c r="CM255" s="755">
        <v>950</v>
      </c>
      <c r="CN255" s="756"/>
      <c r="CO255" s="757">
        <v>1100</v>
      </c>
      <c r="CP255" s="757">
        <v>1200</v>
      </c>
      <c r="CQ255" s="757">
        <v>1250</v>
      </c>
      <c r="CR255" s="757">
        <v>1350</v>
      </c>
      <c r="CS255" s="757">
        <v>1200</v>
      </c>
      <c r="CT255" s="757">
        <v>1250</v>
      </c>
      <c r="CU255" s="757">
        <v>1350</v>
      </c>
      <c r="CV255" s="757">
        <v>1400</v>
      </c>
      <c r="CW255" s="757">
        <v>1250</v>
      </c>
      <c r="CX255" s="757">
        <v>1350</v>
      </c>
      <c r="CY255" s="757">
        <v>1400</v>
      </c>
      <c r="CZ255" s="757">
        <v>1250</v>
      </c>
      <c r="DA255" s="757">
        <v>1350</v>
      </c>
      <c r="DB255" s="757">
        <v>1400</v>
      </c>
      <c r="DC255" s="758"/>
      <c r="DD255" s="762"/>
      <c r="DE255" s="752">
        <v>5200</v>
      </c>
      <c r="DF255" s="752">
        <v>6000</v>
      </c>
      <c r="DG255" s="752">
        <v>5750</v>
      </c>
      <c r="DH255" s="752">
        <v>6900</v>
      </c>
      <c r="DI255" s="752">
        <v>5500</v>
      </c>
      <c r="DJ255" s="752">
        <v>6350</v>
      </c>
      <c r="DK255" s="775">
        <v>4500</v>
      </c>
      <c r="DL255" s="752">
        <v>4750</v>
      </c>
      <c r="DM255" s="752">
        <v>8350</v>
      </c>
      <c r="DN255" s="752">
        <v>8350</v>
      </c>
      <c r="DO255" s="752">
        <v>8350</v>
      </c>
      <c r="DP255" s="752">
        <v>2500</v>
      </c>
      <c r="DQ255" s="752">
        <v>2900</v>
      </c>
      <c r="DR255" s="752">
        <v>1300</v>
      </c>
      <c r="DS255" s="776"/>
      <c r="DT255" s="759">
        <v>10100</v>
      </c>
      <c r="DU255" s="759">
        <v>13600</v>
      </c>
      <c r="DV255" s="763">
        <v>3400</v>
      </c>
      <c r="DW255" s="2663"/>
      <c r="DX255" s="760"/>
      <c r="DY255" s="759">
        <v>14750</v>
      </c>
      <c r="DZ255" s="761"/>
      <c r="EA255" s="811">
        <v>17500</v>
      </c>
      <c r="EB255" s="812">
        <v>12578.124999999998</v>
      </c>
      <c r="EC255" s="2960"/>
      <c r="ED255" s="2960"/>
      <c r="EE255" s="811"/>
      <c r="EF255" s="812"/>
      <c r="EG255" s="811"/>
      <c r="EH255" s="812"/>
      <c r="EI255" s="811">
        <v>26750</v>
      </c>
      <c r="EJ255" s="812">
        <v>18390.625</v>
      </c>
      <c r="EK255" s="761"/>
      <c r="EL255" s="761"/>
      <c r="EM255" s="761"/>
      <c r="EN255" s="761"/>
      <c r="EO255" s="761"/>
      <c r="EP255" s="761"/>
    </row>
    <row r="256" spans="1:146" s="1651" customFormat="1" ht="12.75" hidden="1" customHeight="1" outlineLevel="2">
      <c r="A256" s="1719" t="s">
        <v>30</v>
      </c>
      <c r="B256" s="1723" t="s">
        <v>284</v>
      </c>
      <c r="C256" s="1724">
        <v>1.631578947368421</v>
      </c>
      <c r="D256" s="763"/>
      <c r="E256" s="763">
        <v>1700</v>
      </c>
      <c r="F256" s="769">
        <v>2650</v>
      </c>
      <c r="G256" s="765">
        <v>1800</v>
      </c>
      <c r="H256" s="765">
        <v>1900</v>
      </c>
      <c r="I256" s="779">
        <v>1900</v>
      </c>
      <c r="J256" s="1175">
        <v>1700</v>
      </c>
      <c r="K256" s="751">
        <v>3400</v>
      </c>
      <c r="L256" s="751">
        <v>3600</v>
      </c>
      <c r="M256" s="753"/>
      <c r="N256" s="753"/>
      <c r="O256" s="753"/>
      <c r="P256" s="753"/>
      <c r="Q256" s="778"/>
      <c r="R256" s="769"/>
      <c r="S256" s="769">
        <v>1350</v>
      </c>
      <c r="T256" s="769">
        <v>1200</v>
      </c>
      <c r="U256" s="769">
        <v>1350</v>
      </c>
      <c r="V256" s="769">
        <v>1350</v>
      </c>
      <c r="W256" s="769">
        <v>1500</v>
      </c>
      <c r="X256" s="1807"/>
      <c r="Y256" s="1807"/>
      <c r="Z256" s="1807"/>
      <c r="AA256" s="1807"/>
      <c r="AB256" s="769"/>
      <c r="AC256" s="769">
        <v>2200</v>
      </c>
      <c r="AD256" s="769"/>
      <c r="AE256" s="769"/>
      <c r="AF256" s="769">
        <v>2650</v>
      </c>
      <c r="AG256" s="765">
        <v>1350</v>
      </c>
      <c r="AH256" s="2665"/>
      <c r="AI256" s="2665"/>
      <c r="AJ256" s="765">
        <v>1450</v>
      </c>
      <c r="AK256" s="779">
        <v>2200</v>
      </c>
      <c r="AL256" s="779">
        <v>2650</v>
      </c>
      <c r="AM256" s="757">
        <v>1350</v>
      </c>
      <c r="AN256" s="757">
        <v>1200</v>
      </c>
      <c r="AO256" s="778"/>
      <c r="AP256" s="769"/>
      <c r="AQ256" s="769"/>
      <c r="AR256" s="769">
        <v>1100</v>
      </c>
      <c r="AS256" s="769">
        <v>1950</v>
      </c>
      <c r="AT256" s="769">
        <v>150</v>
      </c>
      <c r="AU256" s="769">
        <v>150</v>
      </c>
      <c r="AV256" s="2685"/>
      <c r="AW256" s="779">
        <v>435</v>
      </c>
      <c r="AX256" s="757">
        <v>1100</v>
      </c>
      <c r="AY256" s="757">
        <v>1470</v>
      </c>
      <c r="AZ256" s="757">
        <v>1760</v>
      </c>
      <c r="BA256" s="757">
        <v>1950</v>
      </c>
      <c r="BB256" s="757">
        <v>2500</v>
      </c>
      <c r="BC256" s="769">
        <v>45</v>
      </c>
      <c r="BD256" s="769">
        <v>800</v>
      </c>
      <c r="BE256" s="759">
        <v>800</v>
      </c>
      <c r="BF256" s="767">
        <v>1950</v>
      </c>
      <c r="BG256" s="778"/>
      <c r="BH256" s="771">
        <v>1050</v>
      </c>
      <c r="BI256" s="771">
        <v>1150</v>
      </c>
      <c r="BJ256" s="771">
        <v>1150</v>
      </c>
      <c r="BK256" s="771">
        <v>1150</v>
      </c>
      <c r="BL256" s="771">
        <v>1250</v>
      </c>
      <c r="BM256" s="771">
        <v>1250</v>
      </c>
      <c r="BN256" s="771">
        <v>2000</v>
      </c>
      <c r="BO256" s="771">
        <v>2250</v>
      </c>
      <c r="BP256" s="771">
        <v>2400</v>
      </c>
      <c r="BQ256" s="778"/>
      <c r="BR256" s="763">
        <v>2250</v>
      </c>
      <c r="BS256" s="773">
        <v>2400</v>
      </c>
      <c r="BT256" s="773">
        <v>2550</v>
      </c>
      <c r="BU256" s="773">
        <v>450</v>
      </c>
      <c r="BV256" s="777">
        <v>500</v>
      </c>
      <c r="BW256" s="777">
        <v>550</v>
      </c>
      <c r="BX256" s="777">
        <v>5900</v>
      </c>
      <c r="BY256" s="778"/>
      <c r="BZ256" s="774">
        <v>650</v>
      </c>
      <c r="CA256" s="755">
        <v>700</v>
      </c>
      <c r="CB256" s="755">
        <v>750</v>
      </c>
      <c r="CC256" s="755">
        <v>800</v>
      </c>
      <c r="CD256" s="806">
        <v>700</v>
      </c>
      <c r="CE256" s="755">
        <v>750</v>
      </c>
      <c r="CF256" s="755">
        <v>800</v>
      </c>
      <c r="CG256" s="755">
        <v>850</v>
      </c>
      <c r="CH256" s="806">
        <v>750</v>
      </c>
      <c r="CI256" s="755">
        <v>800</v>
      </c>
      <c r="CJ256" s="755">
        <v>850</v>
      </c>
      <c r="CK256" s="806">
        <v>750</v>
      </c>
      <c r="CL256" s="755">
        <v>800</v>
      </c>
      <c r="CM256" s="755">
        <v>850</v>
      </c>
      <c r="CN256" s="755">
        <v>1000</v>
      </c>
      <c r="CO256" s="757">
        <v>950</v>
      </c>
      <c r="CP256" s="757">
        <v>1050</v>
      </c>
      <c r="CQ256" s="757">
        <v>1100</v>
      </c>
      <c r="CR256" s="757">
        <v>1200</v>
      </c>
      <c r="CS256" s="757">
        <v>1050</v>
      </c>
      <c r="CT256" s="757">
        <v>1100</v>
      </c>
      <c r="CU256" s="757">
        <v>1200</v>
      </c>
      <c r="CV256" s="757">
        <v>1250</v>
      </c>
      <c r="CW256" s="757">
        <v>1100</v>
      </c>
      <c r="CX256" s="757">
        <v>1200</v>
      </c>
      <c r="CY256" s="757">
        <v>1250</v>
      </c>
      <c r="CZ256" s="757">
        <v>1100</v>
      </c>
      <c r="DA256" s="757">
        <v>1200</v>
      </c>
      <c r="DB256" s="757">
        <v>1250</v>
      </c>
      <c r="DC256" s="757">
        <v>1450</v>
      </c>
      <c r="DD256" s="778"/>
      <c r="DE256" s="752">
        <v>4750</v>
      </c>
      <c r="DF256" s="752">
        <v>5500</v>
      </c>
      <c r="DG256" s="752">
        <v>5250</v>
      </c>
      <c r="DH256" s="752">
        <v>6300</v>
      </c>
      <c r="DI256" s="752">
        <v>5000</v>
      </c>
      <c r="DJ256" s="752">
        <v>5750</v>
      </c>
      <c r="DK256" s="775">
        <v>4100</v>
      </c>
      <c r="DL256" s="752">
        <v>4350</v>
      </c>
      <c r="DM256" s="752"/>
      <c r="DN256" s="752"/>
      <c r="DO256" s="752"/>
      <c r="DP256" s="752">
        <v>2350</v>
      </c>
      <c r="DQ256" s="752">
        <v>2750</v>
      </c>
      <c r="DR256" s="752">
        <v>1200</v>
      </c>
      <c r="DS256" s="780"/>
      <c r="DT256" s="759">
        <v>7000</v>
      </c>
      <c r="DU256" s="759">
        <v>13200</v>
      </c>
      <c r="DV256" s="763">
        <v>3300</v>
      </c>
      <c r="DW256" s="2663"/>
      <c r="DX256" s="759">
        <v>12350</v>
      </c>
      <c r="DY256" s="759">
        <v>16850</v>
      </c>
      <c r="DZ256" s="761"/>
      <c r="EA256" s="811">
        <v>12100</v>
      </c>
      <c r="EB256" s="812">
        <v>8696.875</v>
      </c>
      <c r="EC256" s="2960"/>
      <c r="ED256" s="2960"/>
      <c r="EE256" s="811">
        <v>22400</v>
      </c>
      <c r="EF256" s="812">
        <v>15400.000000000002</v>
      </c>
      <c r="EG256" s="811">
        <v>30600</v>
      </c>
      <c r="EH256" s="812">
        <v>21037.5</v>
      </c>
      <c r="EI256" s="811"/>
      <c r="EJ256" s="812"/>
      <c r="EK256" s="761"/>
      <c r="EL256" s="761"/>
      <c r="EM256" s="761"/>
      <c r="EN256" s="761"/>
      <c r="EO256" s="761"/>
      <c r="EP256" s="761"/>
    </row>
    <row r="257" spans="1:146" s="1651" customFormat="1" ht="12.75" hidden="1" customHeight="1" outlineLevel="2">
      <c r="B257" s="5012" t="s">
        <v>286</v>
      </c>
      <c r="C257" s="5013"/>
      <c r="CH257" s="1725">
        <v>330</v>
      </c>
      <c r="CI257" s="1725">
        <v>345</v>
      </c>
      <c r="CJ257" s="1725">
        <v>360</v>
      </c>
      <c r="CK257" s="1725">
        <v>330</v>
      </c>
      <c r="CL257" s="1725">
        <v>345</v>
      </c>
      <c r="CM257" s="1725">
        <v>360</v>
      </c>
      <c r="CN257" s="1725">
        <v>380</v>
      </c>
      <c r="CW257" s="1725">
        <v>0</v>
      </c>
      <c r="CX257" s="1725">
        <v>0</v>
      </c>
      <c r="CY257" s="1725">
        <v>0</v>
      </c>
      <c r="CZ257" s="1725">
        <v>0</v>
      </c>
      <c r="DA257" s="1725">
        <v>0</v>
      </c>
      <c r="DB257" s="1725">
        <v>0</v>
      </c>
      <c r="DC257" s="1725">
        <v>0</v>
      </c>
      <c r="DI257" s="1651">
        <v>0</v>
      </c>
      <c r="DJ257" s="1651">
        <v>0</v>
      </c>
      <c r="DN257" s="1651">
        <v>0</v>
      </c>
    </row>
    <row r="258" spans="1:146" s="1651" customFormat="1" ht="15" hidden="1" customHeight="1" outlineLevel="2">
      <c r="B258" s="5014" t="s">
        <v>285</v>
      </c>
      <c r="C258" s="5015"/>
      <c r="CH258" s="1725">
        <v>265</v>
      </c>
      <c r="CI258" s="1725">
        <v>275</v>
      </c>
      <c r="CJ258" s="1725">
        <v>290</v>
      </c>
      <c r="CK258" s="1725">
        <v>265</v>
      </c>
      <c r="CL258" s="1725">
        <v>275</v>
      </c>
      <c r="CM258" s="1725">
        <v>290</v>
      </c>
      <c r="CN258" s="1725">
        <v>305</v>
      </c>
      <c r="CW258" s="1725">
        <v>0</v>
      </c>
      <c r="CX258" s="1725">
        <v>0</v>
      </c>
      <c r="CY258" s="1725">
        <v>0</v>
      </c>
      <c r="CZ258" s="1725">
        <v>0</v>
      </c>
      <c r="DA258" s="1725">
        <v>0</v>
      </c>
      <c r="DB258" s="1725">
        <v>0</v>
      </c>
      <c r="DC258" s="1725">
        <v>0</v>
      </c>
    </row>
    <row r="259" spans="1:146" s="159" customFormat="1" ht="22.5" hidden="1" customHeight="1" outlineLevel="3">
      <c r="A259" s="1726"/>
      <c r="B259" s="1727"/>
      <c r="C259" s="1728"/>
      <c r="D259" s="246"/>
      <c r="E259" s="246"/>
      <c r="F259" s="246"/>
      <c r="G259" s="761"/>
      <c r="H259" s="761"/>
      <c r="I259" s="761"/>
      <c r="J259" s="761"/>
      <c r="K259" s="761"/>
      <c r="L259" s="761"/>
      <c r="M259" s="761"/>
      <c r="N259" s="761"/>
      <c r="O259" s="761"/>
      <c r="P259" s="761"/>
      <c r="Q259" s="1727"/>
      <c r="R259" s="246"/>
      <c r="S259" s="246"/>
      <c r="T259" s="246"/>
      <c r="U259" s="246"/>
      <c r="V259" s="246"/>
      <c r="W259" s="246"/>
      <c r="X259" s="246"/>
      <c r="Y259" s="246"/>
      <c r="Z259" s="246"/>
      <c r="AA259" s="246"/>
      <c r="AB259" s="246"/>
      <c r="AC259" s="246"/>
      <c r="AD259" s="246"/>
      <c r="AE259" s="246"/>
      <c r="AF259" s="246"/>
      <c r="AG259" s="761"/>
      <c r="AH259" s="761"/>
      <c r="AI259" s="761"/>
      <c r="AJ259" s="761"/>
      <c r="AK259" s="761"/>
      <c r="AL259" s="761"/>
      <c r="AM259" s="761"/>
      <c r="AN259" s="761"/>
      <c r="AO259" s="1727"/>
      <c r="AP259" s="246"/>
      <c r="AQ259" s="246"/>
      <c r="AR259" s="246"/>
      <c r="AS259" s="246"/>
      <c r="AT259" s="246"/>
      <c r="AU259" s="246"/>
      <c r="AV259" s="246"/>
      <c r="AW259" s="761"/>
      <c r="AX259" s="761"/>
      <c r="AY259" s="761"/>
      <c r="AZ259" s="761"/>
      <c r="BA259" s="761"/>
      <c r="BB259" s="761"/>
      <c r="BC259" s="246"/>
      <c r="BD259" s="246"/>
      <c r="BE259" s="761"/>
      <c r="BF259" s="761"/>
      <c r="BG259" s="1727"/>
      <c r="BH259" s="761"/>
      <c r="BI259" s="761"/>
      <c r="BJ259" s="761"/>
      <c r="BK259" s="761"/>
      <c r="BL259" s="761"/>
      <c r="BM259" s="761"/>
      <c r="BN259" s="761"/>
      <c r="BO259" s="761"/>
      <c r="BP259" s="761"/>
      <c r="BQ259" s="1727"/>
      <c r="BR259" s="761"/>
      <c r="BS259" s="761"/>
      <c r="BT259" s="761"/>
      <c r="BU259" s="761"/>
      <c r="BV259" s="761"/>
      <c r="BW259" s="761"/>
      <c r="BX259" s="761"/>
      <c r="BY259" s="1727"/>
      <c r="BZ259" s="761"/>
      <c r="CA259" s="761"/>
      <c r="CB259" s="761"/>
      <c r="CC259" s="761"/>
      <c r="CD259" s="761"/>
      <c r="CE259" s="761"/>
      <c r="CF259" s="761"/>
      <c r="CG259" s="761"/>
      <c r="CH259" s="761"/>
      <c r="CI259" s="761"/>
      <c r="CJ259" s="761"/>
      <c r="CK259" s="761"/>
      <c r="CL259" s="761"/>
      <c r="CM259" s="761"/>
      <c r="CN259" s="761"/>
      <c r="CO259" s="761"/>
      <c r="CP259" s="761"/>
      <c r="CQ259" s="761"/>
      <c r="CR259" s="761"/>
      <c r="CS259" s="761"/>
      <c r="CT259" s="761"/>
      <c r="CU259" s="761"/>
      <c r="CV259" s="761"/>
      <c r="CW259" s="761"/>
      <c r="CX259" s="761"/>
      <c r="CY259" s="761"/>
      <c r="CZ259" s="761"/>
      <c r="DA259" s="761"/>
      <c r="DB259" s="761"/>
      <c r="DC259" s="761"/>
      <c r="DD259" s="1727"/>
      <c r="DE259" s="761"/>
      <c r="DF259" s="761"/>
      <c r="DG259" s="761"/>
      <c r="DH259" s="761"/>
      <c r="DI259" s="761"/>
      <c r="DJ259" s="761"/>
      <c r="DK259" s="761"/>
      <c r="DL259" s="761"/>
      <c r="DM259" s="761"/>
      <c r="DN259" s="761"/>
      <c r="DO259" s="761"/>
      <c r="DP259" s="761"/>
      <c r="DQ259" s="761"/>
      <c r="DR259" s="761"/>
      <c r="DS259" s="1727"/>
      <c r="DT259" s="1643"/>
      <c r="DU259" s="761"/>
      <c r="DV259" s="761"/>
      <c r="DW259" s="761"/>
      <c r="DX259" s="761"/>
      <c r="DY259" s="761"/>
      <c r="DZ259" s="761"/>
      <c r="EA259" s="761"/>
      <c r="EB259" s="761"/>
      <c r="EC259" s="761"/>
      <c r="ED259" s="761"/>
      <c r="EE259" s="761"/>
      <c r="EF259" s="761"/>
      <c r="EG259" s="761"/>
      <c r="EH259" s="761"/>
      <c r="EI259" s="761"/>
      <c r="EJ259" s="761"/>
      <c r="EK259" s="761"/>
      <c r="EL259" s="761"/>
      <c r="EM259" s="761"/>
      <c r="EN259" s="761"/>
      <c r="EO259" s="761"/>
      <c r="EP259" s="761"/>
    </row>
    <row r="260" spans="1:146" s="1671" customFormat="1" ht="12.75" hidden="1" customHeight="1" outlineLevel="3">
      <c r="A260" s="1649" t="s">
        <v>1460</v>
      </c>
      <c r="B260" s="1650"/>
      <c r="C260" s="1729"/>
      <c r="D260" s="1652"/>
      <c r="E260" s="1652"/>
      <c r="F260" s="1652"/>
      <c r="G260" s="1651"/>
      <c r="H260" s="1651"/>
      <c r="I260" s="1651"/>
      <c r="J260" s="1651"/>
      <c r="K260" s="1651"/>
      <c r="L260" s="1651"/>
      <c r="M260" s="1651"/>
      <c r="N260" s="1651"/>
      <c r="O260" s="1651"/>
      <c r="P260" s="1651"/>
      <c r="Q260" s="1650"/>
      <c r="R260" s="1650"/>
      <c r="S260" s="1650"/>
      <c r="T260" s="1730"/>
      <c r="U260" s="1650"/>
      <c r="V260" s="1650"/>
      <c r="W260" s="1650"/>
      <c r="X260" s="1650"/>
      <c r="Y260" s="1650"/>
      <c r="Z260" s="1650"/>
      <c r="AA260" s="1650"/>
      <c r="AB260" s="1650"/>
      <c r="AC260" s="1651"/>
      <c r="AD260" s="1651"/>
      <c r="AE260" s="1651"/>
      <c r="AF260" s="1651"/>
      <c r="AG260" s="1651"/>
      <c r="AH260" s="1651"/>
      <c r="AI260" s="1651"/>
      <c r="AJ260" s="1651"/>
      <c r="AK260" s="1651"/>
      <c r="AL260" s="1651"/>
      <c r="AM260" s="1651"/>
      <c r="AN260" s="1651"/>
      <c r="AO260" s="1650"/>
      <c r="AP260" s="1650"/>
      <c r="AQ260" s="1650"/>
      <c r="AR260" s="1653"/>
      <c r="AS260" s="1651"/>
      <c r="AT260" s="1651"/>
      <c r="AU260" s="1651"/>
      <c r="AV260" s="1651"/>
      <c r="AW260" s="1651"/>
      <c r="AX260" s="1651"/>
      <c r="AY260" s="1651"/>
      <c r="AZ260" s="1651"/>
      <c r="BA260" s="1651"/>
      <c r="BB260" s="1651"/>
      <c r="BC260" s="1651"/>
      <c r="BD260" s="1651"/>
      <c r="BE260" s="1651"/>
      <c r="BF260" s="1651"/>
      <c r="BG260" s="1650"/>
      <c r="BH260" s="1651"/>
      <c r="BI260" s="1651"/>
      <c r="BJ260" s="1651"/>
      <c r="BK260" s="1651"/>
      <c r="BL260" s="1651"/>
      <c r="BM260" s="1651"/>
      <c r="BN260" s="1651"/>
      <c r="BO260" s="1651"/>
      <c r="BP260" s="1651"/>
      <c r="BQ260" s="1650"/>
      <c r="BR260" s="1651"/>
      <c r="BS260" s="1651"/>
      <c r="BT260" s="1651"/>
      <c r="BU260" s="1651"/>
      <c r="BV260" s="1651"/>
      <c r="BW260" s="1651"/>
      <c r="BX260" s="1651"/>
      <c r="BY260" s="1650"/>
      <c r="BZ260" s="1651"/>
      <c r="CA260" s="1651"/>
      <c r="CB260" s="1651"/>
      <c r="CC260" s="1651"/>
      <c r="CD260" s="1651"/>
      <c r="CE260" s="1651"/>
      <c r="CF260" s="1651"/>
      <c r="CG260" s="1651"/>
      <c r="CH260" s="1651"/>
      <c r="CI260" s="1651"/>
      <c r="CJ260" s="1651"/>
      <c r="CK260" s="1651"/>
      <c r="CL260" s="1651"/>
      <c r="CM260" s="1651"/>
      <c r="CN260" s="1651"/>
      <c r="CO260" s="1651"/>
      <c r="CP260" s="1651"/>
      <c r="CQ260" s="1651"/>
      <c r="CR260" s="1651"/>
      <c r="CS260" s="1651"/>
      <c r="CT260" s="1651"/>
      <c r="CU260" s="1651"/>
      <c r="CV260" s="1651"/>
      <c r="CW260" s="1651"/>
      <c r="CX260" s="1651"/>
      <c r="CY260" s="1651"/>
      <c r="CZ260" s="1651"/>
      <c r="DA260" s="1651"/>
      <c r="DB260" s="1651"/>
      <c r="DC260" s="1651"/>
      <c r="DD260" s="1650"/>
      <c r="DE260" s="1651"/>
      <c r="DF260" s="1651"/>
      <c r="DG260" s="1651"/>
      <c r="DH260" s="1651"/>
      <c r="DI260" s="1651"/>
      <c r="DJ260" s="1651"/>
      <c r="DK260" s="1651"/>
      <c r="DL260" s="1651"/>
      <c r="DM260" s="1651"/>
      <c r="DN260" s="1651"/>
      <c r="DO260" s="1651"/>
      <c r="DP260" s="1651"/>
      <c r="DQ260" s="1651"/>
      <c r="DR260" s="1651"/>
      <c r="DS260" s="1650"/>
      <c r="DT260" s="1651"/>
      <c r="DU260" s="1651"/>
      <c r="DV260" s="1651"/>
      <c r="DW260" s="1651"/>
      <c r="DX260" s="1651"/>
      <c r="DY260" s="1651"/>
      <c r="DZ260" s="1651"/>
      <c r="EA260" s="1651"/>
      <c r="EB260" s="1651"/>
      <c r="EC260" s="1651"/>
      <c r="ED260" s="1651"/>
      <c r="EE260" s="1651"/>
      <c r="EF260" s="1651"/>
      <c r="EG260" s="1651"/>
      <c r="EH260" s="1651"/>
      <c r="EI260" s="1651"/>
      <c r="EJ260" s="1651"/>
      <c r="EK260" s="1651"/>
      <c r="EL260" s="1651"/>
      <c r="EM260" s="1651"/>
      <c r="EN260" s="1651"/>
      <c r="EO260" s="1651"/>
      <c r="EP260" s="1651"/>
    </row>
    <row r="261" spans="1:146" s="761" customFormat="1" ht="38.25" hidden="1" customHeight="1" outlineLevel="3">
      <c r="A261" s="5007" t="s">
        <v>1016</v>
      </c>
      <c r="B261" s="5008"/>
      <c r="C261" s="1654"/>
      <c r="D261" s="1735"/>
      <c r="E261" s="5009" t="s">
        <v>462</v>
      </c>
      <c r="F261" s="4980"/>
      <c r="G261" s="4980"/>
      <c r="H261" s="4980"/>
      <c r="I261" s="4980"/>
      <c r="J261" s="4980"/>
      <c r="K261" s="4980"/>
      <c r="L261" s="4980"/>
      <c r="M261" s="4980"/>
      <c r="N261" s="4980"/>
      <c r="O261" s="4980"/>
      <c r="P261" s="5010"/>
      <c r="Q261" s="1655"/>
      <c r="R261" s="1656"/>
      <c r="S261" s="1656"/>
      <c r="T261" s="1657" t="s">
        <v>89</v>
      </c>
      <c r="U261" s="1656"/>
      <c r="V261" s="1656"/>
      <c r="W261" s="1656"/>
      <c r="X261" s="1784"/>
      <c r="Y261" s="1784"/>
      <c r="Z261" s="1784"/>
      <c r="AA261" s="1784"/>
      <c r="AB261" s="1656"/>
      <c r="AC261" s="1656"/>
      <c r="AD261" s="1656"/>
      <c r="AE261" s="1656"/>
      <c r="AF261" s="1656"/>
      <c r="AG261" s="1656"/>
      <c r="AH261" s="1656"/>
      <c r="AI261" s="1656"/>
      <c r="AJ261" s="1656"/>
      <c r="AK261" s="1656"/>
      <c r="AL261" s="1656"/>
      <c r="AM261" s="1656"/>
      <c r="AN261" s="1656"/>
      <c r="AO261" s="1655"/>
      <c r="AP261" s="1656"/>
      <c r="AQ261" s="1656"/>
      <c r="AR261" s="5009" t="s">
        <v>1014</v>
      </c>
      <c r="AS261" s="4980"/>
      <c r="AT261" s="4980"/>
      <c r="AU261" s="4980"/>
      <c r="AV261" s="4980"/>
      <c r="AW261" s="4980"/>
      <c r="AX261" s="4980"/>
      <c r="AY261" s="4980"/>
      <c r="AZ261" s="4980"/>
      <c r="BA261" s="4980"/>
      <c r="BB261" s="5010"/>
      <c r="BC261" s="4982" t="s">
        <v>882</v>
      </c>
      <c r="BD261" s="4982" t="s">
        <v>883</v>
      </c>
      <c r="BE261" s="4907" t="s">
        <v>695</v>
      </c>
      <c r="BF261" s="4982" t="s">
        <v>1050</v>
      </c>
      <c r="BG261" s="1655"/>
      <c r="BH261" s="5056" t="s">
        <v>108</v>
      </c>
      <c r="BI261" s="5057"/>
      <c r="BJ261" s="5057"/>
      <c r="BK261" s="5057"/>
      <c r="BL261" s="5057"/>
      <c r="BM261" s="5057"/>
      <c r="BN261" s="5057"/>
      <c r="BO261" s="5057"/>
      <c r="BP261" s="5057"/>
      <c r="BQ261" s="1655"/>
      <c r="BR261" s="5058" t="s">
        <v>456</v>
      </c>
      <c r="BS261" s="5059"/>
      <c r="BT261" s="5059"/>
      <c r="BU261" s="5059"/>
      <c r="BV261" s="5059"/>
      <c r="BW261" s="5059"/>
      <c r="BX261" s="5060"/>
      <c r="BY261" s="1655"/>
      <c r="BZ261" s="5047" t="s">
        <v>1015</v>
      </c>
      <c r="CA261" s="5048"/>
      <c r="CB261" s="5048"/>
      <c r="CC261" s="5048"/>
      <c r="CD261" s="5048"/>
      <c r="CE261" s="5048"/>
      <c r="CF261" s="5048"/>
      <c r="CG261" s="5048"/>
      <c r="CH261" s="5048"/>
      <c r="CI261" s="5048"/>
      <c r="CJ261" s="5048"/>
      <c r="CK261" s="5048"/>
      <c r="CL261" s="5048"/>
      <c r="CM261" s="5048"/>
      <c r="CN261" s="5048"/>
      <c r="CO261" s="5048"/>
      <c r="CP261" s="5048"/>
      <c r="CQ261" s="5048"/>
      <c r="CR261" s="5048"/>
      <c r="CS261" s="5048"/>
      <c r="CT261" s="5048"/>
      <c r="CU261" s="5048"/>
      <c r="CV261" s="5048"/>
      <c r="CW261" s="5048"/>
      <c r="CX261" s="5048"/>
      <c r="CY261" s="5048"/>
      <c r="CZ261" s="5048"/>
      <c r="DA261" s="5048"/>
      <c r="DB261" s="5048"/>
      <c r="DC261" s="5048"/>
      <c r="DD261" s="1655"/>
      <c r="DE261" s="1658"/>
      <c r="DF261" s="1658"/>
      <c r="DG261" s="1658"/>
      <c r="DH261" s="1658"/>
      <c r="DI261" s="1658"/>
      <c r="DJ261" s="1658"/>
      <c r="DK261" s="1659" t="s">
        <v>1038</v>
      </c>
      <c r="DL261" s="1658"/>
      <c r="DM261" s="1658"/>
      <c r="DN261" s="1658"/>
      <c r="DO261" s="1658"/>
      <c r="DP261" s="1658"/>
      <c r="DQ261" s="1658"/>
      <c r="DR261" s="1660"/>
      <c r="DS261" s="1655"/>
      <c r="DT261" s="5028" t="s">
        <v>693</v>
      </c>
      <c r="DU261" s="5005"/>
      <c r="DV261" s="5005"/>
      <c r="DW261" s="5005"/>
      <c r="DX261" s="5005"/>
      <c r="DY261" s="5029"/>
      <c r="DZ261" s="159"/>
      <c r="EA261" s="159"/>
      <c r="EB261" s="159"/>
      <c r="EC261" s="159"/>
      <c r="ED261" s="159"/>
      <c r="EE261" s="159"/>
      <c r="EF261" s="159"/>
      <c r="EG261" s="159"/>
      <c r="EH261" s="159"/>
      <c r="EI261" s="159"/>
      <c r="EJ261" s="159"/>
      <c r="EK261" s="159"/>
      <c r="EL261" s="159"/>
      <c r="EM261" s="159"/>
      <c r="EN261" s="159"/>
      <c r="EO261" s="159"/>
      <c r="EP261" s="159"/>
    </row>
    <row r="262" spans="1:146" s="1710" customFormat="1" ht="24" hidden="1" customHeight="1" outlineLevel="3">
      <c r="A262" s="4986" t="s">
        <v>725</v>
      </c>
      <c r="B262" s="4987"/>
      <c r="C262" s="1661"/>
      <c r="D262" s="1781"/>
      <c r="E262" s="4854" t="s">
        <v>1009</v>
      </c>
      <c r="F262" s="4855"/>
      <c r="G262" s="4855"/>
      <c r="H262" s="4855"/>
      <c r="I262" s="4855"/>
      <c r="J262" s="4855"/>
      <c r="K262" s="4855"/>
      <c r="L262" s="4856"/>
      <c r="M262" s="4854" t="s">
        <v>1023</v>
      </c>
      <c r="N262" s="4855"/>
      <c r="O262" s="4855"/>
      <c r="P262" s="4856"/>
      <c r="Q262" s="1662"/>
      <c r="R262" s="1663"/>
      <c r="S262" s="1663"/>
      <c r="T262" s="1664" t="s">
        <v>1026</v>
      </c>
      <c r="U262" s="1663"/>
      <c r="V262" s="1663"/>
      <c r="W262" s="1663"/>
      <c r="X262" s="1786"/>
      <c r="Y262" s="1786"/>
      <c r="Z262" s="1786"/>
      <c r="AA262" s="1786"/>
      <c r="AB262" s="1663"/>
      <c r="AC262" s="1663"/>
      <c r="AD262" s="1663"/>
      <c r="AE262" s="1663"/>
      <c r="AF262" s="1665"/>
      <c r="AG262" s="1666" t="s">
        <v>1027</v>
      </c>
      <c r="AH262" s="1667"/>
      <c r="AI262" s="1667"/>
      <c r="AJ262" s="1667"/>
      <c r="AK262" s="1667"/>
      <c r="AL262" s="1668"/>
      <c r="AM262" s="1669" t="s">
        <v>1028</v>
      </c>
      <c r="AN262" s="1670"/>
      <c r="AO262" s="1662"/>
      <c r="AP262" s="1663"/>
      <c r="AQ262" s="1663"/>
      <c r="AR262" s="4939" t="s">
        <v>1047</v>
      </c>
      <c r="AS262" s="4940"/>
      <c r="AT262" s="4940"/>
      <c r="AU262" s="4941"/>
      <c r="AV262" s="2601"/>
      <c r="AW262" s="4881" t="s">
        <v>1048</v>
      </c>
      <c r="AX262" s="4883" t="s">
        <v>1049</v>
      </c>
      <c r="AY262" s="4884"/>
      <c r="AZ262" s="4884"/>
      <c r="BA262" s="4884"/>
      <c r="BB262" s="4885"/>
      <c r="BC262" s="4983"/>
      <c r="BD262" s="4983"/>
      <c r="BE262" s="4985"/>
      <c r="BF262" s="4983"/>
      <c r="BG262" s="1662"/>
      <c r="BH262" s="4889" t="s">
        <v>709</v>
      </c>
      <c r="BI262" s="4890"/>
      <c r="BJ262" s="4891"/>
      <c r="BK262" s="4889" t="s">
        <v>1022</v>
      </c>
      <c r="BL262" s="4890"/>
      <c r="BM262" s="4891"/>
      <c r="BN262" s="4881" t="s">
        <v>1030</v>
      </c>
      <c r="BO262" s="4881" t="s">
        <v>743</v>
      </c>
      <c r="BP262" s="4881" t="s">
        <v>1029</v>
      </c>
      <c r="BQ262" s="1662"/>
      <c r="BR262" s="4895" t="s">
        <v>1052</v>
      </c>
      <c r="BS262" s="4896"/>
      <c r="BT262" s="4897"/>
      <c r="BU262" s="4901" t="s">
        <v>1053</v>
      </c>
      <c r="BV262" s="4902"/>
      <c r="BW262" s="4903"/>
      <c r="BX262" s="4907" t="s">
        <v>1054</v>
      </c>
      <c r="BY262" s="1662"/>
      <c r="BZ262" s="5032" t="s">
        <v>1020</v>
      </c>
      <c r="CA262" s="5033"/>
      <c r="CB262" s="5033"/>
      <c r="CC262" s="5033"/>
      <c r="CD262" s="5033"/>
      <c r="CE262" s="5033"/>
      <c r="CF262" s="5033"/>
      <c r="CG262" s="5033"/>
      <c r="CH262" s="5033"/>
      <c r="CI262" s="5033"/>
      <c r="CJ262" s="5033"/>
      <c r="CK262" s="5033"/>
      <c r="CL262" s="5033"/>
      <c r="CM262" s="5033"/>
      <c r="CN262" s="5034"/>
      <c r="CO262" s="5035" t="s">
        <v>1021</v>
      </c>
      <c r="CP262" s="5036"/>
      <c r="CQ262" s="5036"/>
      <c r="CR262" s="5036"/>
      <c r="CS262" s="5036"/>
      <c r="CT262" s="5036"/>
      <c r="CU262" s="5036"/>
      <c r="CV262" s="5036"/>
      <c r="CW262" s="5036"/>
      <c r="CX262" s="5036"/>
      <c r="CY262" s="5036"/>
      <c r="CZ262" s="5036"/>
      <c r="DA262" s="5036"/>
      <c r="DB262" s="5036"/>
      <c r="DC262" s="5036"/>
      <c r="DD262" s="1662"/>
      <c r="DE262" s="4963" t="s">
        <v>710</v>
      </c>
      <c r="DF262" s="4964"/>
      <c r="DG262" s="4963" t="s">
        <v>711</v>
      </c>
      <c r="DH262" s="4964"/>
      <c r="DI262" s="4963" t="s">
        <v>712</v>
      </c>
      <c r="DJ262" s="4964"/>
      <c r="DK262" s="5037" t="s">
        <v>713</v>
      </c>
      <c r="DL262" s="5038"/>
      <c r="DM262" s="5037" t="s">
        <v>714</v>
      </c>
      <c r="DN262" s="5043"/>
      <c r="DO262" s="5043"/>
      <c r="DP262" s="4950" t="s">
        <v>715</v>
      </c>
      <c r="DQ262" s="4950" t="s">
        <v>716</v>
      </c>
      <c r="DR262" s="4950" t="s">
        <v>717</v>
      </c>
      <c r="DS262" s="1662"/>
      <c r="DT262" s="5040" t="s">
        <v>1037</v>
      </c>
      <c r="DU262" s="5041"/>
      <c r="DV262" s="5042"/>
      <c r="DW262" s="2907"/>
      <c r="DX262" s="5040" t="s">
        <v>996</v>
      </c>
      <c r="DY262" s="5042"/>
      <c r="DZ262" s="1671"/>
      <c r="EA262" s="1671"/>
      <c r="EB262" s="1671"/>
      <c r="EC262" s="1671"/>
      <c r="ED262" s="1671"/>
      <c r="EE262" s="1671"/>
      <c r="EF262" s="1671"/>
      <c r="EG262" s="1671"/>
      <c r="EH262" s="1671"/>
      <c r="EI262" s="1671"/>
      <c r="EJ262" s="1671"/>
      <c r="EK262" s="1671"/>
      <c r="EL262" s="1671"/>
      <c r="EM262" s="1671"/>
      <c r="EN262" s="1671"/>
      <c r="EO262" s="1671"/>
      <c r="EP262" s="1671"/>
    </row>
    <row r="263" spans="1:146" s="761" customFormat="1" ht="12.75" hidden="1" customHeight="1" outlineLevel="3">
      <c r="A263" s="4988"/>
      <c r="B263" s="4989"/>
      <c r="C263" s="1654"/>
      <c r="D263" s="1672"/>
      <c r="E263" s="1672" t="s">
        <v>971</v>
      </c>
      <c r="F263" s="1672" t="s">
        <v>970</v>
      </c>
      <c r="G263" s="1673" t="s">
        <v>18</v>
      </c>
      <c r="H263" s="1673" t="s">
        <v>380</v>
      </c>
      <c r="I263" s="1674" t="s">
        <v>705</v>
      </c>
      <c r="J263" s="1731" t="s">
        <v>1006</v>
      </c>
      <c r="K263" s="1676" t="s">
        <v>1459</v>
      </c>
      <c r="L263" s="753" t="s">
        <v>1008</v>
      </c>
      <c r="M263" s="5044" t="s">
        <v>1024</v>
      </c>
      <c r="N263" s="5045"/>
      <c r="O263" s="5046"/>
      <c r="P263" s="753" t="s">
        <v>1025</v>
      </c>
      <c r="Q263" s="1655"/>
      <c r="R263" s="1672"/>
      <c r="S263" s="1672" t="s">
        <v>1010</v>
      </c>
      <c r="T263" s="1657" t="s">
        <v>1013</v>
      </c>
      <c r="U263" s="1656"/>
      <c r="V263" s="1656"/>
      <c r="W263" s="1677"/>
      <c r="X263" s="2634"/>
      <c r="Y263" s="2634"/>
      <c r="Z263" s="2634"/>
      <c r="AA263" s="2634"/>
      <c r="AB263" s="1678" t="s">
        <v>92</v>
      </c>
      <c r="AC263" s="1678" t="s">
        <v>93</v>
      </c>
      <c r="AD263" s="1678"/>
      <c r="AE263" s="1679"/>
      <c r="AF263" s="1678" t="s">
        <v>257</v>
      </c>
      <c r="AG263" s="1680" t="s">
        <v>18</v>
      </c>
      <c r="AH263" s="2682"/>
      <c r="AI263" s="2682"/>
      <c r="AJ263" s="1680" t="s">
        <v>380</v>
      </c>
      <c r="AK263" s="754" t="s">
        <v>705</v>
      </c>
      <c r="AL263" s="754" t="s">
        <v>706</v>
      </c>
      <c r="AM263" s="1681" t="s">
        <v>1011</v>
      </c>
      <c r="AN263" s="1681" t="s">
        <v>1012</v>
      </c>
      <c r="AO263" s="1655"/>
      <c r="AP263" s="1672"/>
      <c r="AQ263" s="1672"/>
      <c r="AR263" s="4942"/>
      <c r="AS263" s="4943"/>
      <c r="AT263" s="4943"/>
      <c r="AU263" s="4944"/>
      <c r="AV263" s="2602"/>
      <c r="AW263" s="5030"/>
      <c r="AX263" s="4886"/>
      <c r="AY263" s="4887"/>
      <c r="AZ263" s="4887"/>
      <c r="BA263" s="4887"/>
      <c r="BB263" s="4888"/>
      <c r="BC263" s="5011"/>
      <c r="BD263" s="5011"/>
      <c r="BE263" s="5031"/>
      <c r="BF263" s="5011"/>
      <c r="BG263" s="1655"/>
      <c r="BH263" s="4892"/>
      <c r="BI263" s="4893"/>
      <c r="BJ263" s="4894"/>
      <c r="BK263" s="4892"/>
      <c r="BL263" s="4893"/>
      <c r="BM263" s="4894"/>
      <c r="BN263" s="5030"/>
      <c r="BO263" s="5030"/>
      <c r="BP263" s="5030"/>
      <c r="BQ263" s="1655"/>
      <c r="BR263" s="4898"/>
      <c r="BS263" s="4899"/>
      <c r="BT263" s="4900"/>
      <c r="BU263" s="4904"/>
      <c r="BV263" s="4905"/>
      <c r="BW263" s="4906"/>
      <c r="BX263" s="5031"/>
      <c r="BY263" s="1655"/>
      <c r="BZ263" s="5047" t="s">
        <v>447</v>
      </c>
      <c r="CA263" s="5048"/>
      <c r="CB263" s="5048"/>
      <c r="CC263" s="5049"/>
      <c r="CD263" s="5050" t="s">
        <v>448</v>
      </c>
      <c r="CE263" s="5051"/>
      <c r="CF263" s="5051"/>
      <c r="CG263" s="5052"/>
      <c r="CH263" s="5047" t="s">
        <v>445</v>
      </c>
      <c r="CI263" s="5048"/>
      <c r="CJ263" s="5049"/>
      <c r="CK263" s="5050" t="s">
        <v>446</v>
      </c>
      <c r="CL263" s="5051"/>
      <c r="CM263" s="5052"/>
      <c r="CN263" s="809" t="s">
        <v>449</v>
      </c>
      <c r="CO263" s="5053" t="s">
        <v>452</v>
      </c>
      <c r="CP263" s="5054"/>
      <c r="CQ263" s="5054"/>
      <c r="CR263" s="5055"/>
      <c r="CS263" s="5053" t="s">
        <v>453</v>
      </c>
      <c r="CT263" s="5054"/>
      <c r="CU263" s="5054"/>
      <c r="CV263" s="5055"/>
      <c r="CW263" s="5053" t="s">
        <v>889</v>
      </c>
      <c r="CX263" s="5054"/>
      <c r="CY263" s="5055"/>
      <c r="CZ263" s="5053" t="s">
        <v>890</v>
      </c>
      <c r="DA263" s="5054"/>
      <c r="DB263" s="5055"/>
      <c r="DC263" s="1683" t="s">
        <v>454</v>
      </c>
      <c r="DD263" s="1655"/>
      <c r="DE263" s="4965"/>
      <c r="DF263" s="4966"/>
      <c r="DG263" s="4965"/>
      <c r="DH263" s="4966"/>
      <c r="DI263" s="4965"/>
      <c r="DJ263" s="4966"/>
      <c r="DK263" s="1684" t="s">
        <v>189</v>
      </c>
      <c r="DL263" s="1684" t="s">
        <v>190</v>
      </c>
      <c r="DM263" s="1732" t="s">
        <v>187</v>
      </c>
      <c r="DN263" s="1732" t="s">
        <v>719</v>
      </c>
      <c r="DO263" s="1686" t="s">
        <v>720</v>
      </c>
      <c r="DP263" s="5039"/>
      <c r="DQ263" s="5039"/>
      <c r="DR263" s="5039"/>
      <c r="DS263" s="1655"/>
      <c r="DT263" s="1687" t="s">
        <v>1032</v>
      </c>
      <c r="DU263" s="1687" t="s">
        <v>1033</v>
      </c>
      <c r="DV263" s="1687" t="s">
        <v>1034</v>
      </c>
      <c r="DW263" s="2949"/>
      <c r="DX263" s="1687" t="s">
        <v>986</v>
      </c>
      <c r="DY263" s="1687" t="s">
        <v>987</v>
      </c>
    </row>
    <row r="264" spans="1:146" s="761" customFormat="1" ht="15.75" hidden="1" customHeight="1" outlineLevel="3">
      <c r="A264" s="5016" t="s">
        <v>1017</v>
      </c>
      <c r="B264" s="5017"/>
      <c r="C264" s="1688"/>
      <c r="D264" s="1689"/>
      <c r="E264" s="1689" t="s">
        <v>1041</v>
      </c>
      <c r="F264" s="1689" t="s">
        <v>1042</v>
      </c>
      <c r="G264" s="1690" t="s">
        <v>1043</v>
      </c>
      <c r="H264" s="1690" t="s">
        <v>1044</v>
      </c>
      <c r="I264" s="1691" t="s">
        <v>1045</v>
      </c>
      <c r="J264" s="1733" t="s">
        <v>1041</v>
      </c>
      <c r="K264" s="1693" t="s">
        <v>1046</v>
      </c>
      <c r="L264" s="1693" t="s">
        <v>440</v>
      </c>
      <c r="M264" s="1693" t="s">
        <v>492</v>
      </c>
      <c r="N264" s="1693" t="s">
        <v>491</v>
      </c>
      <c r="O264" s="1693" t="s">
        <v>707</v>
      </c>
      <c r="P264" s="1693" t="s">
        <v>708</v>
      </c>
      <c r="Q264" s="1694"/>
      <c r="R264" s="1689"/>
      <c r="S264" s="1689" t="s">
        <v>974</v>
      </c>
      <c r="T264" s="1695" t="s">
        <v>972</v>
      </c>
      <c r="U264" s="1695" t="s">
        <v>973</v>
      </c>
      <c r="V264" s="1695" t="s">
        <v>974</v>
      </c>
      <c r="W264" s="1695" t="s">
        <v>975</v>
      </c>
      <c r="X264" s="2635"/>
      <c r="Y264" s="2635"/>
      <c r="Z264" s="2635"/>
      <c r="AA264" s="2635"/>
      <c r="AB264" s="1695" t="s">
        <v>976</v>
      </c>
      <c r="AC264" s="1695" t="s">
        <v>977</v>
      </c>
      <c r="AD264" s="1695"/>
      <c r="AE264" s="1695"/>
      <c r="AF264" s="1695" t="s">
        <v>978</v>
      </c>
      <c r="AG264" s="1690" t="s">
        <v>973</v>
      </c>
      <c r="AH264" s="2683"/>
      <c r="AI264" s="2683"/>
      <c r="AJ264" s="1690" t="s">
        <v>973</v>
      </c>
      <c r="AK264" s="1696" t="s">
        <v>977</v>
      </c>
      <c r="AL264" s="1696" t="s">
        <v>980</v>
      </c>
      <c r="AM264" s="1697" t="s">
        <v>974</v>
      </c>
      <c r="AN264" s="1698" t="s">
        <v>972</v>
      </c>
      <c r="AO264" s="1694"/>
      <c r="AP264" s="1689"/>
      <c r="AQ264" s="1689"/>
      <c r="AR264" s="1693">
        <v>75</v>
      </c>
      <c r="AS264" s="1693">
        <v>150</v>
      </c>
      <c r="AT264" s="1693" t="s">
        <v>981</v>
      </c>
      <c r="AU264" s="1693" t="s">
        <v>981</v>
      </c>
      <c r="AV264" s="2695"/>
      <c r="AW264" s="1696" t="s">
        <v>207</v>
      </c>
      <c r="AX264" s="1699">
        <v>75</v>
      </c>
      <c r="AY264" s="1699">
        <v>100</v>
      </c>
      <c r="AZ264" s="1699">
        <v>120</v>
      </c>
      <c r="BA264" s="1699">
        <v>150</v>
      </c>
      <c r="BB264" s="1699">
        <v>200</v>
      </c>
      <c r="BC264" s="1700" t="s">
        <v>1051</v>
      </c>
      <c r="BD264" s="1701" t="s">
        <v>982</v>
      </c>
      <c r="BE264" s="1702"/>
      <c r="BF264" s="1703" t="s">
        <v>983</v>
      </c>
      <c r="BG264" s="1694"/>
      <c r="BH264" s="1696">
        <v>75</v>
      </c>
      <c r="BI264" s="1696">
        <v>90</v>
      </c>
      <c r="BJ264" s="1696">
        <v>110</v>
      </c>
      <c r="BK264" s="1696">
        <v>75</v>
      </c>
      <c r="BL264" s="1696">
        <v>90</v>
      </c>
      <c r="BM264" s="1696">
        <v>110</v>
      </c>
      <c r="BN264" s="1696" t="s">
        <v>979</v>
      </c>
      <c r="BO264" s="1696" t="s">
        <v>978</v>
      </c>
      <c r="BP264" s="1696" t="s">
        <v>978</v>
      </c>
      <c r="BQ264" s="1694"/>
      <c r="BR264" s="1704" t="s">
        <v>383</v>
      </c>
      <c r="BS264" s="1704" t="s">
        <v>381</v>
      </c>
      <c r="BT264" s="1704" t="s">
        <v>384</v>
      </c>
      <c r="BU264" s="1704" t="s">
        <v>385</v>
      </c>
      <c r="BV264" s="1704" t="s">
        <v>386</v>
      </c>
      <c r="BW264" s="1704" t="s">
        <v>387</v>
      </c>
      <c r="BX264" s="1704" t="s">
        <v>388</v>
      </c>
      <c r="BY264" s="1694"/>
      <c r="BZ264" s="1705" t="s">
        <v>1039</v>
      </c>
      <c r="CA264" s="1705" t="s">
        <v>467</v>
      </c>
      <c r="CB264" s="1705" t="s">
        <v>466</v>
      </c>
      <c r="CC264" s="1705" t="s">
        <v>470</v>
      </c>
      <c r="CD264" s="1705" t="s">
        <v>468</v>
      </c>
      <c r="CE264" s="1705" t="s">
        <v>467</v>
      </c>
      <c r="CF264" s="1705" t="s">
        <v>466</v>
      </c>
      <c r="CG264" s="1705" t="s">
        <v>470</v>
      </c>
      <c r="CH264" s="1705" t="s">
        <v>468</v>
      </c>
      <c r="CI264" s="1705" t="s">
        <v>467</v>
      </c>
      <c r="CJ264" s="1705" t="s">
        <v>466</v>
      </c>
      <c r="CK264" s="1705" t="s">
        <v>468</v>
      </c>
      <c r="CL264" s="1705" t="s">
        <v>467</v>
      </c>
      <c r="CM264" s="1705" t="s">
        <v>466</v>
      </c>
      <c r="CN264" s="1706" t="s">
        <v>469</v>
      </c>
      <c r="CO264" s="1699" t="s">
        <v>476</v>
      </c>
      <c r="CP264" s="1699" t="s">
        <v>477</v>
      </c>
      <c r="CQ264" s="1699" t="s">
        <v>478</v>
      </c>
      <c r="CR264" s="1699" t="s">
        <v>479</v>
      </c>
      <c r="CS264" s="1699" t="s">
        <v>476</v>
      </c>
      <c r="CT264" s="1699" t="s">
        <v>477</v>
      </c>
      <c r="CU264" s="1699" t="s">
        <v>478</v>
      </c>
      <c r="CV264" s="1699" t="s">
        <v>480</v>
      </c>
      <c r="CW264" s="1699" t="s">
        <v>472</v>
      </c>
      <c r="CX264" s="1699" t="s">
        <v>473</v>
      </c>
      <c r="CY264" s="1699" t="s">
        <v>474</v>
      </c>
      <c r="CZ264" s="1699" t="s">
        <v>472</v>
      </c>
      <c r="DA264" s="1699" t="s">
        <v>473</v>
      </c>
      <c r="DB264" s="1699" t="s">
        <v>474</v>
      </c>
      <c r="DC264" s="1699" t="s">
        <v>475</v>
      </c>
      <c r="DD264" s="1694"/>
      <c r="DE264" s="1707" t="s">
        <v>119</v>
      </c>
      <c r="DF264" s="1707" t="s">
        <v>120</v>
      </c>
      <c r="DG264" s="1707" t="s">
        <v>119</v>
      </c>
      <c r="DH264" s="1707" t="s">
        <v>120</v>
      </c>
      <c r="DI264" s="1707" t="s">
        <v>119</v>
      </c>
      <c r="DJ264" s="1707" t="s">
        <v>120</v>
      </c>
      <c r="DK264" s="1707" t="s">
        <v>121</v>
      </c>
      <c r="DL264" s="1707" t="s">
        <v>122</v>
      </c>
      <c r="DM264" s="1734" t="s">
        <v>1035</v>
      </c>
      <c r="DN264" s="1734" t="s">
        <v>1036</v>
      </c>
      <c r="DO264" s="1734" t="s">
        <v>1035</v>
      </c>
      <c r="DP264" s="1707" t="s">
        <v>124</v>
      </c>
      <c r="DQ264" s="1707" t="s">
        <v>125</v>
      </c>
      <c r="DR264" s="1707" t="s">
        <v>126</v>
      </c>
      <c r="DS264" s="1694"/>
      <c r="DT264" s="1702" t="s">
        <v>985</v>
      </c>
      <c r="DU264" s="1702" t="s">
        <v>985</v>
      </c>
      <c r="DV264" s="1709" t="s">
        <v>984</v>
      </c>
      <c r="DW264" s="2953"/>
      <c r="DX264" s="1702" t="s">
        <v>985</v>
      </c>
      <c r="DY264" s="1702" t="s">
        <v>985</v>
      </c>
      <c r="DZ264" s="1710"/>
      <c r="EA264" s="1710"/>
      <c r="EB264" s="1710"/>
      <c r="EC264" s="1710"/>
      <c r="ED264" s="1710"/>
      <c r="EE264" s="1710"/>
      <c r="EF264" s="1710"/>
      <c r="EG264" s="1710"/>
      <c r="EH264" s="1710"/>
      <c r="EI264" s="1710"/>
      <c r="EJ264" s="1710"/>
      <c r="EK264" s="1710"/>
      <c r="EL264" s="1710"/>
      <c r="EM264" s="1710"/>
      <c r="EN264" s="1710"/>
      <c r="EO264" s="1710"/>
      <c r="EP264" s="1710"/>
    </row>
    <row r="265" spans="1:146" s="761" customFormat="1" ht="15.75" hidden="1" customHeight="1" outlineLevel="3">
      <c r="A265" s="4995" t="s">
        <v>1018</v>
      </c>
      <c r="B265" s="4996"/>
      <c r="C265" s="1735"/>
      <c r="D265" s="1711"/>
      <c r="E265" s="1711"/>
      <c r="F265" s="1736">
        <f>F270/E270</f>
        <v>1.5757575757575757</v>
      </c>
      <c r="G265" s="1737"/>
      <c r="H265" s="1737"/>
      <c r="I265" s="1737"/>
      <c r="J265" s="1738"/>
      <c r="K265" s="1713"/>
      <c r="L265" s="1713"/>
      <c r="M265" s="1713"/>
      <c r="N265" s="1713"/>
      <c r="O265" s="1713"/>
      <c r="P265" s="1713"/>
      <c r="Q265" s="1714"/>
      <c r="R265" s="1715"/>
      <c r="S265" s="1715" t="s">
        <v>1059</v>
      </c>
      <c r="T265" s="1739"/>
      <c r="U265" s="1712">
        <v>1.1000000000000001</v>
      </c>
      <c r="V265" s="1715" t="s">
        <v>1058</v>
      </c>
      <c r="W265" s="1712">
        <v>1.1000000000000001</v>
      </c>
      <c r="X265" s="1712"/>
      <c r="Y265" s="1712"/>
      <c r="Z265" s="1712"/>
      <c r="AA265" s="1712"/>
      <c r="AB265" s="1712">
        <v>1.6</v>
      </c>
      <c r="AC265" s="1712">
        <f>AB265</f>
        <v>1.6</v>
      </c>
      <c r="AD265" s="1712"/>
      <c r="AE265" s="1712"/>
      <c r="AF265" s="1712">
        <v>1.2</v>
      </c>
      <c r="AG265" s="1715" t="s">
        <v>1058</v>
      </c>
      <c r="AH265" s="2690"/>
      <c r="AI265" s="2690"/>
      <c r="AJ265" s="1712">
        <v>1.05</v>
      </c>
      <c r="AK265" s="1715" t="s">
        <v>1060</v>
      </c>
      <c r="AL265" s="1715" t="s">
        <v>1061</v>
      </c>
      <c r="AM265" s="1715" t="s">
        <v>1063</v>
      </c>
      <c r="AN265" s="1715" t="s">
        <v>1062</v>
      </c>
      <c r="AO265" s="1714"/>
      <c r="AP265" s="1715"/>
      <c r="AQ265" s="1715"/>
      <c r="AR265" s="1712">
        <v>0.9</v>
      </c>
      <c r="AS265" s="1712">
        <v>1.75</v>
      </c>
      <c r="AT265" s="1712"/>
      <c r="AU265" s="1712"/>
      <c r="AV265" s="1712"/>
      <c r="AW265" s="1712">
        <v>1.45</v>
      </c>
      <c r="AX265" s="1715" t="s">
        <v>1064</v>
      </c>
      <c r="AY265" s="1716"/>
      <c r="AZ265" s="1716"/>
      <c r="BA265" s="1715" t="s">
        <v>1065</v>
      </c>
      <c r="BB265" s="1716"/>
      <c r="BC265" s="1712">
        <v>7.4999999999999997E-2</v>
      </c>
      <c r="BD265" s="1712">
        <v>0.65</v>
      </c>
      <c r="BE265" s="1715" t="s">
        <v>1066</v>
      </c>
      <c r="BF265" s="1715" t="s">
        <v>1067</v>
      </c>
      <c r="BG265" s="1714"/>
      <c r="BH265" s="1712">
        <v>0.85</v>
      </c>
      <c r="BI265" s="1712">
        <v>0.85</v>
      </c>
      <c r="BJ265" s="1712">
        <v>0.85</v>
      </c>
      <c r="BK265" s="1712">
        <v>1.05</v>
      </c>
      <c r="BL265" s="1712">
        <v>1.05</v>
      </c>
      <c r="BM265" s="1712">
        <v>1.05</v>
      </c>
      <c r="BN265" s="1715">
        <v>0.9</v>
      </c>
      <c r="BO265" s="1715">
        <v>0.9</v>
      </c>
      <c r="BP265" s="1715">
        <v>0.9</v>
      </c>
      <c r="BQ265" s="1714"/>
      <c r="BR265" s="1717"/>
      <c r="BS265" s="1712">
        <v>1.05</v>
      </c>
      <c r="BT265" s="1712">
        <v>1.05</v>
      </c>
      <c r="BU265" s="1717"/>
      <c r="BV265" s="1712">
        <v>1.05</v>
      </c>
      <c r="BW265" s="1712">
        <v>1.05</v>
      </c>
      <c r="BX265" s="1712">
        <v>2.2999999999999998</v>
      </c>
      <c r="BY265" s="1714"/>
      <c r="BZ265" s="1713"/>
      <c r="CA265" s="1713"/>
      <c r="CB265" s="1713"/>
      <c r="CC265" s="1713"/>
      <c r="CD265" s="1713"/>
      <c r="CE265" s="1713"/>
      <c r="CF265" s="1713"/>
      <c r="CG265" s="1713"/>
      <c r="CH265" s="1713"/>
      <c r="CI265" s="1713"/>
      <c r="CJ265" s="1713"/>
      <c r="CK265" s="1713"/>
      <c r="CL265" s="1713"/>
      <c r="CM265" s="1713"/>
      <c r="CN265" s="1713"/>
      <c r="CO265" s="1718">
        <v>1.45</v>
      </c>
      <c r="CP265" s="5018" t="s">
        <v>1069</v>
      </c>
      <c r="CQ265" s="5019"/>
      <c r="CR265" s="5019"/>
      <c r="CS265" s="5019"/>
      <c r="CT265" s="5019"/>
      <c r="CU265" s="5019"/>
      <c r="CV265" s="5019"/>
      <c r="CW265" s="5019"/>
      <c r="CX265" s="5019"/>
      <c r="CY265" s="5019"/>
      <c r="CZ265" s="5019"/>
      <c r="DA265" s="5019"/>
      <c r="DB265" s="5019"/>
      <c r="DC265" s="5020"/>
      <c r="DD265" s="1714"/>
      <c r="DE265" s="1715">
        <v>1.1499999999999999</v>
      </c>
      <c r="DF265" s="1715">
        <v>1.1499999999999999</v>
      </c>
      <c r="DG265" s="1715">
        <v>1.1000000000000001</v>
      </c>
      <c r="DH265" s="1715">
        <v>1.2</v>
      </c>
      <c r="DI265" s="1715">
        <v>1.05</v>
      </c>
      <c r="DJ265" s="1715">
        <v>1.1499999999999999</v>
      </c>
      <c r="DK265" s="1713"/>
      <c r="DL265" s="1715">
        <v>1.05</v>
      </c>
      <c r="DM265" s="1715">
        <v>1.45</v>
      </c>
      <c r="DN265" s="1715" t="s">
        <v>1070</v>
      </c>
      <c r="DO265" s="1715" t="s">
        <v>1070</v>
      </c>
      <c r="DP265" s="1715">
        <v>1.05</v>
      </c>
      <c r="DQ265" s="1715">
        <v>1.1499999999999999</v>
      </c>
      <c r="DR265" s="1715" t="s">
        <v>1062</v>
      </c>
      <c r="DS265" s="1714"/>
      <c r="DT265" s="1712">
        <v>0.8</v>
      </c>
      <c r="DU265" s="1712" t="s">
        <v>1152</v>
      </c>
      <c r="DV265" s="1713"/>
      <c r="DW265" s="2955"/>
      <c r="DX265" s="1712">
        <f>DT265</f>
        <v>0.8</v>
      </c>
      <c r="DY265" s="1712">
        <f>DT265</f>
        <v>0.8</v>
      </c>
    </row>
    <row r="266" spans="1:146" s="761" customFormat="1" ht="12.75" hidden="1" customHeight="1" outlineLevel="3">
      <c r="A266" s="1719" t="s">
        <v>206</v>
      </c>
      <c r="B266" s="1720" t="s">
        <v>391</v>
      </c>
      <c r="C266" s="1721"/>
      <c r="D266" s="763"/>
      <c r="E266" s="763">
        <v>1150</v>
      </c>
      <c r="F266" s="764"/>
      <c r="G266" s="765">
        <v>1300</v>
      </c>
      <c r="H266" s="766"/>
      <c r="I266" s="781"/>
      <c r="J266" s="1175">
        <f>E266</f>
        <v>1150</v>
      </c>
      <c r="K266" s="751">
        <v>2300</v>
      </c>
      <c r="L266" s="751">
        <v>2450</v>
      </c>
      <c r="M266" s="768">
        <v>11500</v>
      </c>
      <c r="N266" s="753"/>
      <c r="O266" s="753"/>
      <c r="P266" s="767">
        <v>12650</v>
      </c>
      <c r="Q266" s="762"/>
      <c r="R266" s="764"/>
      <c r="S266" s="764"/>
      <c r="T266" s="1144">
        <v>650</v>
      </c>
      <c r="U266" s="769">
        <f>CEILING(T266*$U$190, 50)</f>
        <v>750</v>
      </c>
      <c r="V266" s="769">
        <f>U266</f>
        <v>750</v>
      </c>
      <c r="W266" s="769">
        <f>CEILING(U266*$W$28, 50)</f>
        <v>850</v>
      </c>
      <c r="X266" s="1807"/>
      <c r="Y266" s="1807"/>
      <c r="Z266" s="1807"/>
      <c r="AA266" s="1807"/>
      <c r="AB266" s="769"/>
      <c r="AC266" s="769" t="e">
        <f>CEILING(U266*$AC$28, 50)</f>
        <v>#VALUE!</v>
      </c>
      <c r="AD266" s="764"/>
      <c r="AE266" s="770"/>
      <c r="AF266" s="764"/>
      <c r="AG266" s="765">
        <f>U266</f>
        <v>750</v>
      </c>
      <c r="AH266" s="2665"/>
      <c r="AI266" s="2665"/>
      <c r="AJ266" s="766"/>
      <c r="AK266" s="754"/>
      <c r="AL266" s="754"/>
      <c r="AM266" s="757"/>
      <c r="AN266" s="757">
        <f>T266</f>
        <v>650</v>
      </c>
      <c r="AO266" s="762"/>
      <c r="AP266" s="764"/>
      <c r="AQ266" s="764"/>
      <c r="AR266" s="769" t="e">
        <f>CEILING(T266*$AR$28, 50)</f>
        <v>#VALUE!</v>
      </c>
      <c r="AS266" s="769" t="e">
        <f>CEILING(AR266*$AS$28, 50)</f>
        <v>#VALUE!</v>
      </c>
      <c r="AT266" s="769">
        <f t="shared" ref="AT266:AU270" si="202">CEILING(AQ266/75*10, 5)</f>
        <v>0</v>
      </c>
      <c r="AU266" s="769" t="e">
        <f t="shared" si="202"/>
        <v>#VALUE!</v>
      </c>
      <c r="AV266" s="2664"/>
      <c r="AW266" s="754"/>
      <c r="AX266" s="757" t="e">
        <f>AR266</f>
        <v>#VALUE!</v>
      </c>
      <c r="AY266" s="757" t="e">
        <f>CEILING(AX266/75*100, 10)</f>
        <v>#VALUE!</v>
      </c>
      <c r="AZ266" s="757" t="e">
        <f>CEILING(AX266/75*120, 10)</f>
        <v>#VALUE!</v>
      </c>
      <c r="BA266" s="757" t="e">
        <f>AS266</f>
        <v>#VALUE!</v>
      </c>
      <c r="BB266" s="757" t="e">
        <f>CEILING(AX266/75*200*0.85, 10)</f>
        <v>#VALUE!</v>
      </c>
      <c r="BC266" s="769">
        <v>45</v>
      </c>
      <c r="BD266" s="769">
        <v>450</v>
      </c>
      <c r="BE266" s="759">
        <v>450</v>
      </c>
      <c r="BF266" s="767">
        <v>1050</v>
      </c>
      <c r="BG266" s="762"/>
      <c r="BH266" s="771">
        <v>600</v>
      </c>
      <c r="BI266" s="771">
        <v>650</v>
      </c>
      <c r="BJ266" s="771">
        <v>650</v>
      </c>
      <c r="BK266" s="771">
        <v>650</v>
      </c>
      <c r="BL266" s="771">
        <v>700</v>
      </c>
      <c r="BM266" s="771">
        <v>700</v>
      </c>
      <c r="BN266" s="754"/>
      <c r="BO266" s="754"/>
      <c r="BP266" s="754"/>
      <c r="BQ266" s="762"/>
      <c r="BR266" s="763">
        <v>1600</v>
      </c>
      <c r="BS266" s="773">
        <f>CEILING(BR266*$BS$28, 50)</f>
        <v>2000</v>
      </c>
      <c r="BT266" s="773">
        <f>CEILING(BS266*$BT$28, 50)</f>
        <v>2500</v>
      </c>
      <c r="BU266" s="760"/>
      <c r="BV266" s="760"/>
      <c r="BW266" s="760"/>
      <c r="BX266" s="760"/>
      <c r="BY266" s="762"/>
      <c r="BZ266" s="774">
        <v>450</v>
      </c>
      <c r="CA266" s="755">
        <v>500</v>
      </c>
      <c r="CB266" s="755">
        <v>550</v>
      </c>
      <c r="CC266" s="755">
        <v>600</v>
      </c>
      <c r="CD266" s="806">
        <v>500</v>
      </c>
      <c r="CE266" s="755">
        <v>550</v>
      </c>
      <c r="CF266" s="755">
        <v>600</v>
      </c>
      <c r="CG266" s="755">
        <v>650</v>
      </c>
      <c r="CH266" s="809"/>
      <c r="CI266" s="756"/>
      <c r="CJ266" s="756"/>
      <c r="CK266" s="806">
        <v>500</v>
      </c>
      <c r="CL266" s="755">
        <v>550</v>
      </c>
      <c r="CM266" s="755">
        <v>600</v>
      </c>
      <c r="CN266" s="756"/>
      <c r="CO266" s="757">
        <f t="shared" ref="CO266:CV270" si="203">CEILING(BZ266*$CO$28, 50)</f>
        <v>650</v>
      </c>
      <c r="CP266" s="757">
        <f t="shared" si="203"/>
        <v>700</v>
      </c>
      <c r="CQ266" s="757">
        <f t="shared" si="203"/>
        <v>750</v>
      </c>
      <c r="CR266" s="757">
        <f t="shared" si="203"/>
        <v>850</v>
      </c>
      <c r="CS266" s="757">
        <f t="shared" si="203"/>
        <v>700</v>
      </c>
      <c r="CT266" s="757">
        <f t="shared" si="203"/>
        <v>750</v>
      </c>
      <c r="CU266" s="757">
        <f t="shared" si="203"/>
        <v>850</v>
      </c>
      <c r="CV266" s="757">
        <f t="shared" si="203"/>
        <v>900</v>
      </c>
      <c r="CW266" s="757"/>
      <c r="CX266" s="757"/>
      <c r="CY266" s="757"/>
      <c r="CZ266" s="757">
        <f t="shared" ref="CZ266:DB270" si="204">CEILING(CK266*$CO$28, 50)</f>
        <v>700</v>
      </c>
      <c r="DA266" s="757">
        <f t="shared" si="204"/>
        <v>750</v>
      </c>
      <c r="DB266" s="757">
        <f t="shared" si="204"/>
        <v>850</v>
      </c>
      <c r="DC266" s="757"/>
      <c r="DD266" s="762"/>
      <c r="DE266" s="752">
        <f>CEILING(DK266*$DE$28, 50)</f>
        <v>4650</v>
      </c>
      <c r="DF266" s="752">
        <f>CEILING(DE266*$DF$28, 50)</f>
        <v>5600</v>
      </c>
      <c r="DG266" s="752">
        <f>CEILING(DE266*$DG$28, 50)</f>
        <v>5850</v>
      </c>
      <c r="DH266" s="752">
        <f>CEILING(DG266*$DH$28, 50)</f>
        <v>7050</v>
      </c>
      <c r="DI266" s="752"/>
      <c r="DJ266" s="752"/>
      <c r="DK266" s="775">
        <v>3200</v>
      </c>
      <c r="DL266" s="752">
        <f>CEILING(DK266*$DL$28, 50)</f>
        <v>3200</v>
      </c>
      <c r="DM266" s="752"/>
      <c r="DN266" s="752"/>
      <c r="DO266" s="752"/>
      <c r="DP266" s="752" t="e">
        <f>CEILING(AC266*$DP$28, 50)</f>
        <v>#VALUE!</v>
      </c>
      <c r="DQ266" s="752" t="e">
        <f>CEILING(DP266*$DQ$28, 50)</f>
        <v>#VALUE!</v>
      </c>
      <c r="DR266" s="752">
        <f>T266</f>
        <v>650</v>
      </c>
      <c r="DS266" s="776"/>
      <c r="DT266" s="759">
        <f>CEILING(EB266*$DT$28, 50)</f>
        <v>5750</v>
      </c>
      <c r="DU266" s="760"/>
      <c r="DV266" s="760"/>
      <c r="DW266" s="2952"/>
      <c r="DX266" s="760"/>
      <c r="DY266" s="760"/>
      <c r="EA266" s="811">
        <v>10000</v>
      </c>
      <c r="EB266" s="812">
        <v>7187.4999999999991</v>
      </c>
      <c r="EC266" s="2960"/>
      <c r="ED266" s="2960"/>
      <c r="EE266" s="811"/>
      <c r="EF266" s="812"/>
      <c r="EG266" s="811"/>
      <c r="EH266" s="812"/>
      <c r="EI266" s="811"/>
      <c r="EJ266" s="812"/>
    </row>
    <row r="267" spans="1:146" s="761" customFormat="1" ht="12.75" hidden="1" customHeight="1" outlineLevel="3">
      <c r="A267" s="5021" t="s">
        <v>1019</v>
      </c>
      <c r="B267" s="1720" t="s">
        <v>703</v>
      </c>
      <c r="C267" s="1721">
        <v>0.90322580645161288</v>
      </c>
      <c r="D267" s="763"/>
      <c r="E267" s="763">
        <v>1550</v>
      </c>
      <c r="F267" s="769">
        <v>2450</v>
      </c>
      <c r="G267" s="765">
        <v>1750</v>
      </c>
      <c r="H267" s="765">
        <v>1850</v>
      </c>
      <c r="I267" s="782"/>
      <c r="J267" s="1175">
        <f>E267</f>
        <v>1550</v>
      </c>
      <c r="K267" s="751">
        <v>3100</v>
      </c>
      <c r="L267" s="751">
        <v>3300</v>
      </c>
      <c r="M267" s="753"/>
      <c r="N267" s="753"/>
      <c r="O267" s="753"/>
      <c r="P267" s="753"/>
      <c r="Q267" s="762"/>
      <c r="R267" s="769"/>
      <c r="S267" s="769" t="e">
        <f>#REF!</f>
        <v>#REF!</v>
      </c>
      <c r="T267" s="769">
        <v>1100</v>
      </c>
      <c r="U267" s="769">
        <f>CEILING(T267*$U$190, 50)</f>
        <v>1250</v>
      </c>
      <c r="V267" s="769">
        <f>U267</f>
        <v>1250</v>
      </c>
      <c r="W267" s="769">
        <f>CEILING(U267*$W$28, 50)</f>
        <v>1350</v>
      </c>
      <c r="X267" s="1807"/>
      <c r="Y267" s="1807"/>
      <c r="Z267" s="1807"/>
      <c r="AA267" s="1807"/>
      <c r="AB267" s="769">
        <f>CEILING(U267*$AB$28, 50)</f>
        <v>1500</v>
      </c>
      <c r="AC267" s="770"/>
      <c r="AD267" s="770"/>
      <c r="AE267" s="770"/>
      <c r="AF267" s="770"/>
      <c r="AG267" s="765">
        <f>U267</f>
        <v>1250</v>
      </c>
      <c r="AH267" s="2665"/>
      <c r="AI267" s="2665"/>
      <c r="AJ267" s="765">
        <f>CEILING(AG267*$AJ$28, 50)</f>
        <v>1250</v>
      </c>
      <c r="AK267" s="754"/>
      <c r="AL267" s="754"/>
      <c r="AM267" s="757" t="e">
        <f>#REF!</f>
        <v>#REF!</v>
      </c>
      <c r="AN267" s="757">
        <f>T267</f>
        <v>1100</v>
      </c>
      <c r="AO267" s="762"/>
      <c r="AP267" s="769"/>
      <c r="AQ267" s="769"/>
      <c r="AR267" s="769" t="e">
        <f>CEILING(T267*$AR$28, 50)</f>
        <v>#VALUE!</v>
      </c>
      <c r="AS267" s="769" t="e">
        <f>CEILING(AR267*$AS$28, 50)</f>
        <v>#VALUE!</v>
      </c>
      <c r="AT267" s="769">
        <f t="shared" si="202"/>
        <v>0</v>
      </c>
      <c r="AU267" s="769" t="e">
        <f t="shared" si="202"/>
        <v>#VALUE!</v>
      </c>
      <c r="AV267" s="2664"/>
      <c r="AW267" s="754"/>
      <c r="AX267" s="757" t="e">
        <f>AR267</f>
        <v>#VALUE!</v>
      </c>
      <c r="AY267" s="757" t="e">
        <f>CEILING(AX267/75*100, 10)</f>
        <v>#VALUE!</v>
      </c>
      <c r="AZ267" s="757" t="e">
        <f>CEILING(AX267/75*120, 10)</f>
        <v>#VALUE!</v>
      </c>
      <c r="BA267" s="757" t="e">
        <f>AS267</f>
        <v>#VALUE!</v>
      </c>
      <c r="BB267" s="757" t="e">
        <f>CEILING(AX267/75*200*0.85, 10)</f>
        <v>#VALUE!</v>
      </c>
      <c r="BC267" s="769">
        <v>45</v>
      </c>
      <c r="BD267" s="769">
        <v>750</v>
      </c>
      <c r="BE267" s="759">
        <v>750</v>
      </c>
      <c r="BF267" s="767">
        <v>1750</v>
      </c>
      <c r="BG267" s="762"/>
      <c r="BH267" s="771">
        <v>950</v>
      </c>
      <c r="BI267" s="771">
        <v>1100</v>
      </c>
      <c r="BJ267" s="771">
        <v>1100</v>
      </c>
      <c r="BK267" s="771">
        <v>1000</v>
      </c>
      <c r="BL267" s="771">
        <v>1200</v>
      </c>
      <c r="BM267" s="771">
        <v>1200</v>
      </c>
      <c r="BN267" s="754"/>
      <c r="BO267" s="754"/>
      <c r="BP267" s="754"/>
      <c r="BQ267" s="762"/>
      <c r="BR267" s="763">
        <v>2100</v>
      </c>
      <c r="BS267" s="773">
        <f>CEILING(BR267*$BS$28, 50)</f>
        <v>2650</v>
      </c>
      <c r="BT267" s="773">
        <f>CEILING(BS267*$BT$28, 50)</f>
        <v>3350</v>
      </c>
      <c r="BU267" s="773" t="e">
        <f>CEILING(AU267*2.8, 50)</f>
        <v>#VALUE!</v>
      </c>
      <c r="BV267" s="777" t="e">
        <f>CEILING(BU267*$BV$28, 50)</f>
        <v>#VALUE!</v>
      </c>
      <c r="BW267" s="777" t="e">
        <f>CEILING(BV267*$BW$28, 50)</f>
        <v>#VALUE!</v>
      </c>
      <c r="BX267" s="777">
        <f>CEILING(BT267*$BX$28, 50)</f>
        <v>6050</v>
      </c>
      <c r="BY267" s="762"/>
      <c r="BZ267" s="774">
        <v>600</v>
      </c>
      <c r="CA267" s="755">
        <v>650</v>
      </c>
      <c r="CB267" s="755">
        <v>700</v>
      </c>
      <c r="CC267" s="755">
        <v>750</v>
      </c>
      <c r="CD267" s="806">
        <v>650</v>
      </c>
      <c r="CE267" s="755">
        <v>700</v>
      </c>
      <c r="CF267" s="755">
        <v>750</v>
      </c>
      <c r="CG267" s="755">
        <v>800</v>
      </c>
      <c r="CH267" s="806">
        <v>700</v>
      </c>
      <c r="CI267" s="755">
        <v>750</v>
      </c>
      <c r="CJ267" s="755">
        <v>800</v>
      </c>
      <c r="CK267" s="806">
        <v>700</v>
      </c>
      <c r="CL267" s="755">
        <v>750</v>
      </c>
      <c r="CM267" s="755">
        <v>800</v>
      </c>
      <c r="CN267" s="756"/>
      <c r="CO267" s="757">
        <f t="shared" si="203"/>
        <v>850</v>
      </c>
      <c r="CP267" s="757">
        <f t="shared" si="203"/>
        <v>900</v>
      </c>
      <c r="CQ267" s="757">
        <f t="shared" si="203"/>
        <v>950</v>
      </c>
      <c r="CR267" s="757">
        <f t="shared" si="203"/>
        <v>1050</v>
      </c>
      <c r="CS267" s="757">
        <f t="shared" si="203"/>
        <v>900</v>
      </c>
      <c r="CT267" s="757">
        <f t="shared" si="203"/>
        <v>950</v>
      </c>
      <c r="CU267" s="757">
        <f t="shared" si="203"/>
        <v>1050</v>
      </c>
      <c r="CV267" s="757">
        <f t="shared" si="203"/>
        <v>1100</v>
      </c>
      <c r="CW267" s="757">
        <f t="shared" ref="CW267:CY270" si="205">CEILING(CH267*$CO$28, 50)</f>
        <v>950</v>
      </c>
      <c r="CX267" s="757">
        <f t="shared" si="205"/>
        <v>1050</v>
      </c>
      <c r="CY267" s="757">
        <f t="shared" si="205"/>
        <v>1100</v>
      </c>
      <c r="CZ267" s="757">
        <f t="shared" si="204"/>
        <v>950</v>
      </c>
      <c r="DA267" s="757">
        <f t="shared" si="204"/>
        <v>1050</v>
      </c>
      <c r="DB267" s="757">
        <f t="shared" si="204"/>
        <v>1100</v>
      </c>
      <c r="DC267" s="758"/>
      <c r="DD267" s="762"/>
      <c r="DE267" s="752">
        <f>CEILING(DK267*$DE$28, 50)</f>
        <v>5700</v>
      </c>
      <c r="DF267" s="752">
        <f>CEILING(DE267*$DF$28, 50)</f>
        <v>6850</v>
      </c>
      <c r="DG267" s="752">
        <f>CEILING(DE267*$DG$28, 50)</f>
        <v>7150</v>
      </c>
      <c r="DH267" s="752">
        <f>CEILING(DG267*$DH$28, 50)</f>
        <v>8600</v>
      </c>
      <c r="DI267" s="752">
        <f>CEILING(DE267*$DI$28, 50)</f>
        <v>7450</v>
      </c>
      <c r="DJ267" s="752">
        <f>CEILING(DI267*$DJ$28, 50)</f>
        <v>8950</v>
      </c>
      <c r="DK267" s="775">
        <v>3900</v>
      </c>
      <c r="DL267" s="752">
        <f>CEILING(DK267*$DL$28, 50)</f>
        <v>3900</v>
      </c>
      <c r="DM267" s="752">
        <f>CEILING(DG267*$DM$28, 50)</f>
        <v>15750</v>
      </c>
      <c r="DN267" s="752">
        <f>DM267</f>
        <v>15750</v>
      </c>
      <c r="DO267" s="752">
        <f>DM267</f>
        <v>15750</v>
      </c>
      <c r="DP267" s="752">
        <f>CEILING(AB267*$DP$28, 50)</f>
        <v>1500</v>
      </c>
      <c r="DQ267" s="752">
        <f>CEILING(DP267*$DQ$28, 50)</f>
        <v>1800</v>
      </c>
      <c r="DR267" s="752">
        <f>T267</f>
        <v>1100</v>
      </c>
      <c r="DS267" s="776"/>
      <c r="DT267" s="759">
        <f>CEILING(EB267*$DT$28, 50)</f>
        <v>8150</v>
      </c>
      <c r="DU267" s="759"/>
      <c r="DV267" s="759"/>
      <c r="DW267" s="2670"/>
      <c r="DX267" s="760"/>
      <c r="DY267" s="759">
        <f>CEILING(EJ267*$DY$28, 50)</f>
        <v>12950</v>
      </c>
      <c r="EA267" s="811">
        <v>14100</v>
      </c>
      <c r="EB267" s="812">
        <v>10134.375</v>
      </c>
      <c r="EC267" s="2960"/>
      <c r="ED267" s="2960"/>
      <c r="EE267" s="811"/>
      <c r="EF267" s="812"/>
      <c r="EG267" s="811"/>
      <c r="EH267" s="812"/>
      <c r="EI267" s="811">
        <v>23500</v>
      </c>
      <c r="EJ267" s="812">
        <v>16156.250000000002</v>
      </c>
    </row>
    <row r="268" spans="1:146" s="761" customFormat="1" ht="15.75" hidden="1" customHeight="1" outlineLevel="3">
      <c r="A268" s="5022"/>
      <c r="B268" s="1722" t="s">
        <v>718</v>
      </c>
      <c r="C268" s="1721">
        <v>1.0714285714285714</v>
      </c>
      <c r="D268" s="763"/>
      <c r="E268" s="763">
        <v>1600</v>
      </c>
      <c r="F268" s="769">
        <v>2500</v>
      </c>
      <c r="G268" s="765">
        <v>1800</v>
      </c>
      <c r="H268" s="765">
        <v>1900</v>
      </c>
      <c r="I268" s="781"/>
      <c r="J268" s="1175">
        <f>E268</f>
        <v>1600</v>
      </c>
      <c r="K268" s="751">
        <v>3200</v>
      </c>
      <c r="L268" s="751">
        <v>3400</v>
      </c>
      <c r="M268" s="753"/>
      <c r="N268" s="753"/>
      <c r="O268" s="753"/>
      <c r="P268" s="753"/>
      <c r="Q268" s="762"/>
      <c r="R268" s="769"/>
      <c r="S268" s="769" t="e">
        <f>#REF!</f>
        <v>#REF!</v>
      </c>
      <c r="T268" s="769">
        <v>1100</v>
      </c>
      <c r="U268" s="769">
        <f>CEILING(T268*$U$190, 50)</f>
        <v>1250</v>
      </c>
      <c r="V268" s="769">
        <f>U268</f>
        <v>1250</v>
      </c>
      <c r="W268" s="769">
        <f>CEILING(U268*$W$28, 50)</f>
        <v>1350</v>
      </c>
      <c r="X268" s="1807"/>
      <c r="Y268" s="1807"/>
      <c r="Z268" s="1807"/>
      <c r="AA268" s="1807"/>
      <c r="AB268" s="769">
        <f>CEILING(U268*$AB$28, 50)</f>
        <v>1500</v>
      </c>
      <c r="AC268" s="764"/>
      <c r="AD268" s="764"/>
      <c r="AE268" s="770"/>
      <c r="AF268" s="764"/>
      <c r="AG268" s="765">
        <f>U268</f>
        <v>1250</v>
      </c>
      <c r="AH268" s="2665"/>
      <c r="AI268" s="2665"/>
      <c r="AJ268" s="765">
        <f>CEILING(AG268*$AJ$28, 50)</f>
        <v>1250</v>
      </c>
      <c r="AK268" s="754"/>
      <c r="AL268" s="754"/>
      <c r="AM268" s="757" t="e">
        <f>#REF!</f>
        <v>#REF!</v>
      </c>
      <c r="AN268" s="757">
        <f>T268</f>
        <v>1100</v>
      </c>
      <c r="AO268" s="762"/>
      <c r="AP268" s="769"/>
      <c r="AQ268" s="769"/>
      <c r="AR268" s="769" t="e">
        <f>CEILING(T268*$AR$28, 50)</f>
        <v>#VALUE!</v>
      </c>
      <c r="AS268" s="769" t="e">
        <f>CEILING(AR268*$AS$28, 50)</f>
        <v>#VALUE!</v>
      </c>
      <c r="AT268" s="769">
        <f t="shared" si="202"/>
        <v>0</v>
      </c>
      <c r="AU268" s="769" t="e">
        <f t="shared" si="202"/>
        <v>#VALUE!</v>
      </c>
      <c r="AV268" s="2664"/>
      <c r="AW268" s="754"/>
      <c r="AX268" s="757" t="e">
        <f>AR268</f>
        <v>#VALUE!</v>
      </c>
      <c r="AY268" s="757" t="e">
        <f>CEILING(AX268/75*100, 10)</f>
        <v>#VALUE!</v>
      </c>
      <c r="AZ268" s="757" t="e">
        <f>CEILING(AX268/75*120, 10)</f>
        <v>#VALUE!</v>
      </c>
      <c r="BA268" s="757" t="e">
        <f>AS268</f>
        <v>#VALUE!</v>
      </c>
      <c r="BB268" s="757" t="e">
        <f>CEILING(AX268/75*200*0.85, 10)</f>
        <v>#VALUE!</v>
      </c>
      <c r="BC268" s="769">
        <v>45</v>
      </c>
      <c r="BD268" s="769">
        <v>800</v>
      </c>
      <c r="BE268" s="759">
        <v>800</v>
      </c>
      <c r="BF268" s="767">
        <v>1950</v>
      </c>
      <c r="BG268" s="762"/>
      <c r="BH268" s="771">
        <v>1050</v>
      </c>
      <c r="BI268" s="771">
        <v>1150</v>
      </c>
      <c r="BJ268" s="771">
        <v>1150</v>
      </c>
      <c r="BK268" s="771">
        <v>1150</v>
      </c>
      <c r="BL268" s="771">
        <v>1250</v>
      </c>
      <c r="BM268" s="771">
        <v>1250</v>
      </c>
      <c r="BN268" s="754"/>
      <c r="BO268" s="754"/>
      <c r="BP268" s="754"/>
      <c r="BQ268" s="762"/>
      <c r="BR268" s="763">
        <v>2150</v>
      </c>
      <c r="BS268" s="773">
        <f>CEILING(BR268*$BS$28, 50)</f>
        <v>2700</v>
      </c>
      <c r="BT268" s="773">
        <f>CEILING(BS268*$BT$28, 50)</f>
        <v>3400</v>
      </c>
      <c r="BU268" s="773">
        <v>450</v>
      </c>
      <c r="BV268" s="777">
        <f>CEILING(BU268*$BV$28, 50)</f>
        <v>150</v>
      </c>
      <c r="BW268" s="777">
        <f>CEILING(BV268*$BW$28, 50)</f>
        <v>50</v>
      </c>
      <c r="BX268" s="777">
        <f>CEILING(BT268*$BX$28, 50)</f>
        <v>6150</v>
      </c>
      <c r="BY268" s="762"/>
      <c r="BZ268" s="774">
        <v>650</v>
      </c>
      <c r="CA268" s="755">
        <v>700</v>
      </c>
      <c r="CB268" s="755">
        <v>750</v>
      </c>
      <c r="CC268" s="755">
        <v>800</v>
      </c>
      <c r="CD268" s="806">
        <v>700</v>
      </c>
      <c r="CE268" s="755">
        <v>750</v>
      </c>
      <c r="CF268" s="755">
        <v>800</v>
      </c>
      <c r="CG268" s="755">
        <v>850</v>
      </c>
      <c r="CH268" s="806">
        <v>750</v>
      </c>
      <c r="CI268" s="755">
        <v>800</v>
      </c>
      <c r="CJ268" s="755">
        <v>850</v>
      </c>
      <c r="CK268" s="806">
        <v>750</v>
      </c>
      <c r="CL268" s="755">
        <v>800</v>
      </c>
      <c r="CM268" s="755">
        <v>850</v>
      </c>
      <c r="CN268" s="756"/>
      <c r="CO268" s="757">
        <f t="shared" si="203"/>
        <v>900</v>
      </c>
      <c r="CP268" s="757">
        <f t="shared" si="203"/>
        <v>950</v>
      </c>
      <c r="CQ268" s="757">
        <f t="shared" si="203"/>
        <v>1050</v>
      </c>
      <c r="CR268" s="757">
        <f t="shared" si="203"/>
        <v>1100</v>
      </c>
      <c r="CS268" s="757">
        <f t="shared" si="203"/>
        <v>950</v>
      </c>
      <c r="CT268" s="757">
        <f t="shared" si="203"/>
        <v>1050</v>
      </c>
      <c r="CU268" s="757">
        <f t="shared" si="203"/>
        <v>1100</v>
      </c>
      <c r="CV268" s="757">
        <f t="shared" si="203"/>
        <v>1150</v>
      </c>
      <c r="CW268" s="757">
        <f t="shared" si="205"/>
        <v>1050</v>
      </c>
      <c r="CX268" s="757">
        <f t="shared" si="205"/>
        <v>1100</v>
      </c>
      <c r="CY268" s="757">
        <f t="shared" si="205"/>
        <v>1150</v>
      </c>
      <c r="CZ268" s="757">
        <f t="shared" si="204"/>
        <v>1050</v>
      </c>
      <c r="DA268" s="757">
        <f t="shared" si="204"/>
        <v>1100</v>
      </c>
      <c r="DB268" s="757">
        <f t="shared" si="204"/>
        <v>1150</v>
      </c>
      <c r="DC268" s="758"/>
      <c r="DD268" s="762"/>
      <c r="DE268" s="752">
        <f>CEILING(DK268*$DE$28, 50)</f>
        <v>5950</v>
      </c>
      <c r="DF268" s="752">
        <f>CEILING(DE268*$DF$28, 50)</f>
        <v>7150</v>
      </c>
      <c r="DG268" s="752">
        <f>CEILING(DE268*$DG$28, 50)</f>
        <v>7450</v>
      </c>
      <c r="DH268" s="752">
        <f>CEILING(DG268*$DH$28, 50)</f>
        <v>8950</v>
      </c>
      <c r="DI268" s="752">
        <f>CEILING(DE268*$DI$28, 50)</f>
        <v>7750</v>
      </c>
      <c r="DJ268" s="752">
        <f>CEILING(DI268*$DJ$28, 50)</f>
        <v>9300</v>
      </c>
      <c r="DK268" s="775">
        <v>4100</v>
      </c>
      <c r="DL268" s="752">
        <f>CEILING(DK268*$DL$28, 50)</f>
        <v>4100</v>
      </c>
      <c r="DM268" s="752">
        <f>CEILING(DG268*$DM$28, 50)</f>
        <v>16400</v>
      </c>
      <c r="DN268" s="752">
        <f>DM268</f>
        <v>16400</v>
      </c>
      <c r="DO268" s="752">
        <f>DM268</f>
        <v>16400</v>
      </c>
      <c r="DP268" s="752">
        <f>CEILING(AB268*$DP$28, 50)</f>
        <v>1500</v>
      </c>
      <c r="DQ268" s="752">
        <f>CEILING(DP268*$DQ$28, 50)</f>
        <v>1800</v>
      </c>
      <c r="DR268" s="752">
        <f>T268</f>
        <v>1100</v>
      </c>
      <c r="DS268" s="776"/>
      <c r="DT268" s="759">
        <f>CEILING(EB268*$DT$28, 50)</f>
        <v>8350</v>
      </c>
      <c r="DU268" s="759">
        <f>DV268*5*0.8</f>
        <v>12800</v>
      </c>
      <c r="DV268" s="763">
        <v>3200</v>
      </c>
      <c r="DW268" s="2663"/>
      <c r="DX268" s="760"/>
      <c r="DY268" s="759">
        <f>CEILING(EJ268*$DY$28, 50)</f>
        <v>13200</v>
      </c>
      <c r="EA268" s="811">
        <v>14500</v>
      </c>
      <c r="EB268" s="812">
        <v>10421.875</v>
      </c>
      <c r="EC268" s="2960"/>
      <c r="ED268" s="2960"/>
      <c r="EE268" s="811"/>
      <c r="EF268" s="812"/>
      <c r="EG268" s="811"/>
      <c r="EH268" s="812"/>
      <c r="EI268" s="811">
        <v>24000</v>
      </c>
      <c r="EJ268" s="812">
        <v>16500</v>
      </c>
    </row>
    <row r="269" spans="1:146" s="1651" customFormat="1" ht="12.75" hidden="1" customHeight="1" outlineLevel="2">
      <c r="A269" s="5023"/>
      <c r="B269" s="1722" t="s">
        <v>103</v>
      </c>
      <c r="C269" s="1721">
        <v>1.1000000000000001</v>
      </c>
      <c r="D269" s="763"/>
      <c r="E269" s="763">
        <v>1800</v>
      </c>
      <c r="F269" s="769">
        <v>2800</v>
      </c>
      <c r="G269" s="765">
        <v>2000</v>
      </c>
      <c r="H269" s="765">
        <v>2100</v>
      </c>
      <c r="I269" s="781"/>
      <c r="J269" s="1175">
        <f>E269</f>
        <v>1800</v>
      </c>
      <c r="K269" s="751">
        <v>3600</v>
      </c>
      <c r="L269" s="751">
        <v>3800</v>
      </c>
      <c r="M269" s="753"/>
      <c r="N269" s="753"/>
      <c r="O269" s="753"/>
      <c r="P269" s="753"/>
      <c r="Q269" s="762"/>
      <c r="R269" s="769"/>
      <c r="S269" s="769" t="e">
        <f>#REF!</f>
        <v>#REF!</v>
      </c>
      <c r="T269" s="769">
        <v>1300</v>
      </c>
      <c r="U269" s="769">
        <f>CEILING(T269*$U$190, 50)</f>
        <v>1450</v>
      </c>
      <c r="V269" s="769">
        <f>U269</f>
        <v>1450</v>
      </c>
      <c r="W269" s="769">
        <f>CEILING(U269*$W$28, 50)</f>
        <v>1600</v>
      </c>
      <c r="X269" s="1807"/>
      <c r="Y269" s="1807"/>
      <c r="Z269" s="1807"/>
      <c r="AA269" s="1807"/>
      <c r="AB269" s="769">
        <f>CEILING(U269*$AB$28, 50)</f>
        <v>1750</v>
      </c>
      <c r="AC269" s="764"/>
      <c r="AD269" s="764"/>
      <c r="AE269" s="770"/>
      <c r="AF269" s="764"/>
      <c r="AG269" s="765">
        <f>U269</f>
        <v>1450</v>
      </c>
      <c r="AH269" s="2665"/>
      <c r="AI269" s="2665"/>
      <c r="AJ269" s="765">
        <f>CEILING(AG269*$AJ$28, 50)</f>
        <v>1450</v>
      </c>
      <c r="AK269" s="754"/>
      <c r="AL269" s="754"/>
      <c r="AM269" s="757" t="e">
        <f>#REF!</f>
        <v>#REF!</v>
      </c>
      <c r="AN269" s="757">
        <f>T269</f>
        <v>1300</v>
      </c>
      <c r="AO269" s="762"/>
      <c r="AP269" s="769"/>
      <c r="AQ269" s="769"/>
      <c r="AR269" s="769" t="e">
        <f>CEILING(T269*$AR$28, 50)</f>
        <v>#VALUE!</v>
      </c>
      <c r="AS269" s="769" t="e">
        <f>CEILING(AR269*$AS$28, 50)</f>
        <v>#VALUE!</v>
      </c>
      <c r="AT269" s="769">
        <f t="shared" si="202"/>
        <v>0</v>
      </c>
      <c r="AU269" s="769" t="e">
        <f t="shared" si="202"/>
        <v>#VALUE!</v>
      </c>
      <c r="AV269" s="2664"/>
      <c r="AW269" s="754"/>
      <c r="AX269" s="757" t="e">
        <f>AR269</f>
        <v>#VALUE!</v>
      </c>
      <c r="AY269" s="757" t="e">
        <f>CEILING(AX269/75*100, 10)</f>
        <v>#VALUE!</v>
      </c>
      <c r="AZ269" s="757" t="e">
        <f>CEILING(AX269/75*120, 10)</f>
        <v>#VALUE!</v>
      </c>
      <c r="BA269" s="757" t="e">
        <f>AS269</f>
        <v>#VALUE!</v>
      </c>
      <c r="BB269" s="757" t="e">
        <f>CEILING(AX269/75*200*0.85, 10)</f>
        <v>#VALUE!</v>
      </c>
      <c r="BC269" s="769">
        <v>45</v>
      </c>
      <c r="BD269" s="769">
        <v>850</v>
      </c>
      <c r="BE269" s="759">
        <v>850</v>
      </c>
      <c r="BF269" s="767">
        <v>2100</v>
      </c>
      <c r="BG269" s="762"/>
      <c r="BH269" s="771">
        <v>1150</v>
      </c>
      <c r="BI269" s="771">
        <v>1250</v>
      </c>
      <c r="BJ269" s="771">
        <v>1250</v>
      </c>
      <c r="BK269" s="771">
        <v>1250</v>
      </c>
      <c r="BL269" s="771">
        <v>1350</v>
      </c>
      <c r="BM269" s="771">
        <v>1350</v>
      </c>
      <c r="BN269" s="754"/>
      <c r="BO269" s="754"/>
      <c r="BP269" s="754"/>
      <c r="BQ269" s="762"/>
      <c r="BR269" s="763">
        <v>2400</v>
      </c>
      <c r="BS269" s="773">
        <f>CEILING(BR269*$BS$28, 50)</f>
        <v>3000</v>
      </c>
      <c r="BT269" s="773">
        <f>CEILING(BS269*$BT$28, 50)</f>
        <v>3750</v>
      </c>
      <c r="BU269" s="773" t="e">
        <f>CEILING(AU269*2.8, 50)</f>
        <v>#VALUE!</v>
      </c>
      <c r="BV269" s="777" t="e">
        <f>CEILING(BU269*$BV$28, 50)</f>
        <v>#VALUE!</v>
      </c>
      <c r="BW269" s="777" t="e">
        <f>CEILING(BV269*$BW$28, 50)</f>
        <v>#VALUE!</v>
      </c>
      <c r="BX269" s="777">
        <f>CEILING(BT269*$BX$28, 50)</f>
        <v>6750</v>
      </c>
      <c r="BY269" s="762"/>
      <c r="BZ269" s="774">
        <v>750</v>
      </c>
      <c r="CA269" s="755">
        <v>800</v>
      </c>
      <c r="CB269" s="755">
        <v>850</v>
      </c>
      <c r="CC269" s="755">
        <v>900</v>
      </c>
      <c r="CD269" s="806">
        <v>800</v>
      </c>
      <c r="CE269" s="755">
        <v>850</v>
      </c>
      <c r="CF269" s="755">
        <v>900</v>
      </c>
      <c r="CG269" s="755">
        <v>950</v>
      </c>
      <c r="CH269" s="806">
        <v>850</v>
      </c>
      <c r="CI269" s="755">
        <v>900</v>
      </c>
      <c r="CJ269" s="755">
        <v>950</v>
      </c>
      <c r="CK269" s="806">
        <v>850</v>
      </c>
      <c r="CL269" s="755">
        <v>900</v>
      </c>
      <c r="CM269" s="755">
        <v>950</v>
      </c>
      <c r="CN269" s="756"/>
      <c r="CO269" s="757">
        <f t="shared" si="203"/>
        <v>1050</v>
      </c>
      <c r="CP269" s="757">
        <f t="shared" si="203"/>
        <v>1100</v>
      </c>
      <c r="CQ269" s="757">
        <f t="shared" si="203"/>
        <v>1150</v>
      </c>
      <c r="CR269" s="757">
        <f t="shared" si="203"/>
        <v>1250</v>
      </c>
      <c r="CS269" s="757">
        <f t="shared" si="203"/>
        <v>1100</v>
      </c>
      <c r="CT269" s="757">
        <f t="shared" si="203"/>
        <v>1150</v>
      </c>
      <c r="CU269" s="757">
        <f t="shared" si="203"/>
        <v>1250</v>
      </c>
      <c r="CV269" s="757">
        <f t="shared" si="203"/>
        <v>1300</v>
      </c>
      <c r="CW269" s="757">
        <f t="shared" si="205"/>
        <v>1150</v>
      </c>
      <c r="CX269" s="757">
        <f t="shared" si="205"/>
        <v>1250</v>
      </c>
      <c r="CY269" s="757">
        <f t="shared" si="205"/>
        <v>1300</v>
      </c>
      <c r="CZ269" s="757">
        <f t="shared" si="204"/>
        <v>1150</v>
      </c>
      <c r="DA269" s="757">
        <f t="shared" si="204"/>
        <v>1250</v>
      </c>
      <c r="DB269" s="757">
        <f t="shared" si="204"/>
        <v>1300</v>
      </c>
      <c r="DC269" s="758"/>
      <c r="DD269" s="762"/>
      <c r="DE269" s="752">
        <f>CEILING(DK269*$DE$28, 50)</f>
        <v>6550</v>
      </c>
      <c r="DF269" s="752">
        <f>CEILING(DE269*$DF$28, 50)</f>
        <v>7900</v>
      </c>
      <c r="DG269" s="752">
        <f>CEILING(DE269*$DG$28, 50)</f>
        <v>8200</v>
      </c>
      <c r="DH269" s="752">
        <f>CEILING(DG269*$DH$28, 50)</f>
        <v>9850</v>
      </c>
      <c r="DI269" s="752">
        <f>CEILING(DE269*$DI$28, 50)</f>
        <v>8550</v>
      </c>
      <c r="DJ269" s="752">
        <f>CEILING(DI269*$DJ$28, 50)</f>
        <v>10300</v>
      </c>
      <c r="DK269" s="775">
        <v>4500</v>
      </c>
      <c r="DL269" s="752">
        <f>CEILING(DK269*$DL$28, 50)</f>
        <v>4500</v>
      </c>
      <c r="DM269" s="752">
        <f>CEILING(DG269*$DM$28, 50)</f>
        <v>18050</v>
      </c>
      <c r="DN269" s="752">
        <f>DM269</f>
        <v>18050</v>
      </c>
      <c r="DO269" s="752">
        <f>DM269</f>
        <v>18050</v>
      </c>
      <c r="DP269" s="752">
        <f>CEILING(AB269*$DP$28, 50)</f>
        <v>1750</v>
      </c>
      <c r="DQ269" s="752">
        <f>CEILING(DP269*$DQ$28, 50)</f>
        <v>2100</v>
      </c>
      <c r="DR269" s="752">
        <f>T269</f>
        <v>1300</v>
      </c>
      <c r="DS269" s="776"/>
      <c r="DT269" s="759">
        <f>CEILING(EB269*$DT$28, 50)</f>
        <v>9650</v>
      </c>
      <c r="DU269" s="759">
        <f>DV269*5*0.8</f>
        <v>13600</v>
      </c>
      <c r="DV269" s="763">
        <v>3400</v>
      </c>
      <c r="DW269" s="2663"/>
      <c r="DX269" s="760"/>
      <c r="DY269" s="759">
        <f>CEILING(EJ269*$DY$28, 50)</f>
        <v>14300</v>
      </c>
      <c r="DZ269" s="761"/>
      <c r="EA269" s="811">
        <v>16700</v>
      </c>
      <c r="EB269" s="812">
        <v>12003.124999999998</v>
      </c>
      <c r="EC269" s="2960"/>
      <c r="ED269" s="2960"/>
      <c r="EE269" s="811"/>
      <c r="EF269" s="812"/>
      <c r="EG269" s="811"/>
      <c r="EH269" s="812"/>
      <c r="EI269" s="811">
        <v>26000</v>
      </c>
      <c r="EJ269" s="812">
        <v>17875</v>
      </c>
      <c r="EK269" s="761"/>
      <c r="EL269" s="761"/>
      <c r="EM269" s="761"/>
      <c r="EN269" s="761"/>
      <c r="EO269" s="761"/>
      <c r="EP269" s="761"/>
    </row>
    <row r="270" spans="1:146" s="1651" customFormat="1" ht="12.75" hidden="1" customHeight="1" outlineLevel="2">
      <c r="A270" s="1719" t="s">
        <v>30</v>
      </c>
      <c r="B270" s="1723" t="s">
        <v>284</v>
      </c>
      <c r="C270" s="1724">
        <v>1.631578947368421</v>
      </c>
      <c r="D270" s="763"/>
      <c r="E270" s="763">
        <v>1650</v>
      </c>
      <c r="F270" s="769">
        <v>2600</v>
      </c>
      <c r="G270" s="765">
        <v>1850</v>
      </c>
      <c r="H270" s="765">
        <v>1950</v>
      </c>
      <c r="I270" s="779">
        <v>1850</v>
      </c>
      <c r="J270" s="1175">
        <f>E270</f>
        <v>1650</v>
      </c>
      <c r="K270" s="751">
        <v>3300</v>
      </c>
      <c r="L270" s="751">
        <v>3500</v>
      </c>
      <c r="M270" s="753"/>
      <c r="N270" s="753"/>
      <c r="O270" s="753"/>
      <c r="P270" s="753"/>
      <c r="Q270" s="778"/>
      <c r="R270" s="769"/>
      <c r="S270" s="769" t="e">
        <f>#REF!</f>
        <v>#REF!</v>
      </c>
      <c r="T270" s="769">
        <v>1200</v>
      </c>
      <c r="U270" s="769">
        <f>CEILING(T270*$U$190, 50)</f>
        <v>1350</v>
      </c>
      <c r="V270" s="769">
        <f>U270</f>
        <v>1350</v>
      </c>
      <c r="W270" s="769">
        <f>CEILING(U270*$W$28, 50)</f>
        <v>1500</v>
      </c>
      <c r="X270" s="1807"/>
      <c r="Y270" s="1807"/>
      <c r="Z270" s="1807"/>
      <c r="AA270" s="1807"/>
      <c r="AB270" s="769"/>
      <c r="AC270" s="769" t="e">
        <f>CEILING(U270*$AC$28, 50)</f>
        <v>#VALUE!</v>
      </c>
      <c r="AD270" s="769"/>
      <c r="AE270" s="769"/>
      <c r="AF270" s="769">
        <f>CEILING(AD270*AF265, 50)</f>
        <v>0</v>
      </c>
      <c r="AG270" s="765">
        <f>U270</f>
        <v>1350</v>
      </c>
      <c r="AH270" s="2665"/>
      <c r="AI270" s="2665"/>
      <c r="AJ270" s="765">
        <f>CEILING(AG270*$AJ$28, 50)</f>
        <v>1350</v>
      </c>
      <c r="AK270" s="779" t="e">
        <f>AC270</f>
        <v>#VALUE!</v>
      </c>
      <c r="AL270" s="779">
        <f>AF270</f>
        <v>0</v>
      </c>
      <c r="AM270" s="757" t="e">
        <f>#REF!</f>
        <v>#REF!</v>
      </c>
      <c r="AN270" s="757">
        <f>T270</f>
        <v>1200</v>
      </c>
      <c r="AO270" s="778"/>
      <c r="AP270" s="769"/>
      <c r="AQ270" s="769"/>
      <c r="AR270" s="769" t="e">
        <f>CEILING(T270*$AR$28, 50)</f>
        <v>#VALUE!</v>
      </c>
      <c r="AS270" s="769" t="e">
        <f>CEILING(AR270*$AS$28, 50)</f>
        <v>#VALUE!</v>
      </c>
      <c r="AT270" s="769">
        <f t="shared" si="202"/>
        <v>0</v>
      </c>
      <c r="AU270" s="769" t="e">
        <f t="shared" si="202"/>
        <v>#VALUE!</v>
      </c>
      <c r="AV270" s="2685"/>
      <c r="AW270" s="779" t="e">
        <f>CEILING(AU270*2*AW265, 5)</f>
        <v>#VALUE!</v>
      </c>
      <c r="AX270" s="757" t="e">
        <f>AR270</f>
        <v>#VALUE!</v>
      </c>
      <c r="AY270" s="757" t="e">
        <f>CEILING(AX270/75*100, 10)</f>
        <v>#VALUE!</v>
      </c>
      <c r="AZ270" s="757" t="e">
        <f>CEILING(AX270/75*120, 10)</f>
        <v>#VALUE!</v>
      </c>
      <c r="BA270" s="757" t="e">
        <f>AS270</f>
        <v>#VALUE!</v>
      </c>
      <c r="BB270" s="757" t="e">
        <f>CEILING(AX270/75*200*0.85, 10)</f>
        <v>#VALUE!</v>
      </c>
      <c r="BC270" s="769">
        <v>45</v>
      </c>
      <c r="BD270" s="769">
        <v>800</v>
      </c>
      <c r="BE270" s="759">
        <v>800</v>
      </c>
      <c r="BF270" s="767">
        <v>1950</v>
      </c>
      <c r="BG270" s="778"/>
      <c r="BH270" s="771">
        <v>1050</v>
      </c>
      <c r="BI270" s="771">
        <v>1150</v>
      </c>
      <c r="BJ270" s="771">
        <v>1150</v>
      </c>
      <c r="BK270" s="771">
        <v>1150</v>
      </c>
      <c r="BL270" s="771">
        <v>1250</v>
      </c>
      <c r="BM270" s="771">
        <v>1250</v>
      </c>
      <c r="BN270" s="771">
        <v>2000</v>
      </c>
      <c r="BO270" s="771">
        <v>2250</v>
      </c>
      <c r="BP270" s="771">
        <v>2400</v>
      </c>
      <c r="BQ270" s="778"/>
      <c r="BR270" s="763">
        <v>2250</v>
      </c>
      <c r="BS270" s="773">
        <f>CEILING(BR270*$BS$28, 50)</f>
        <v>2850</v>
      </c>
      <c r="BT270" s="773">
        <f>CEILING(BS270*$BT$28, 50)</f>
        <v>3600</v>
      </c>
      <c r="BU270" s="773" t="e">
        <f>CEILING(AU270*2.8, 50)</f>
        <v>#VALUE!</v>
      </c>
      <c r="BV270" s="777" t="e">
        <f>CEILING(BU270*$BV$28, 50)</f>
        <v>#VALUE!</v>
      </c>
      <c r="BW270" s="777" t="e">
        <f>CEILING(BV270*$BW$28, 50)</f>
        <v>#VALUE!</v>
      </c>
      <c r="BX270" s="777">
        <f>CEILING(BT270*$BX$28, 50)</f>
        <v>6500</v>
      </c>
      <c r="BY270" s="778"/>
      <c r="BZ270" s="774">
        <v>650</v>
      </c>
      <c r="CA270" s="755">
        <v>700</v>
      </c>
      <c r="CB270" s="755">
        <v>750</v>
      </c>
      <c r="CC270" s="755">
        <v>800</v>
      </c>
      <c r="CD270" s="806">
        <v>700</v>
      </c>
      <c r="CE270" s="755">
        <v>750</v>
      </c>
      <c r="CF270" s="755">
        <v>800</v>
      </c>
      <c r="CG270" s="755">
        <v>850</v>
      </c>
      <c r="CH270" s="806">
        <v>750</v>
      </c>
      <c r="CI270" s="755">
        <v>800</v>
      </c>
      <c r="CJ270" s="755">
        <v>850</v>
      </c>
      <c r="CK270" s="806">
        <v>750</v>
      </c>
      <c r="CL270" s="755">
        <v>800</v>
      </c>
      <c r="CM270" s="755">
        <v>850</v>
      </c>
      <c r="CN270" s="755">
        <v>1000</v>
      </c>
      <c r="CO270" s="757">
        <f t="shared" si="203"/>
        <v>900</v>
      </c>
      <c r="CP270" s="757">
        <f t="shared" si="203"/>
        <v>950</v>
      </c>
      <c r="CQ270" s="757">
        <f t="shared" si="203"/>
        <v>1050</v>
      </c>
      <c r="CR270" s="757">
        <f t="shared" si="203"/>
        <v>1100</v>
      </c>
      <c r="CS270" s="757">
        <f t="shared" si="203"/>
        <v>950</v>
      </c>
      <c r="CT270" s="757">
        <f t="shared" si="203"/>
        <v>1050</v>
      </c>
      <c r="CU270" s="757">
        <f t="shared" si="203"/>
        <v>1100</v>
      </c>
      <c r="CV270" s="757">
        <f t="shared" si="203"/>
        <v>1150</v>
      </c>
      <c r="CW270" s="757">
        <f t="shared" si="205"/>
        <v>1050</v>
      </c>
      <c r="CX270" s="757">
        <f t="shared" si="205"/>
        <v>1100</v>
      </c>
      <c r="CY270" s="757">
        <f t="shared" si="205"/>
        <v>1150</v>
      </c>
      <c r="CZ270" s="757">
        <f t="shared" si="204"/>
        <v>1050</v>
      </c>
      <c r="DA270" s="757">
        <f t="shared" si="204"/>
        <v>1100</v>
      </c>
      <c r="DB270" s="757">
        <f t="shared" si="204"/>
        <v>1150</v>
      </c>
      <c r="DC270" s="757">
        <f>CEILING(CN270*$CO$28, 50)</f>
        <v>1350</v>
      </c>
      <c r="DD270" s="778"/>
      <c r="DE270" s="752">
        <f>CEILING(DK270*$DE$28, 50)</f>
        <v>5700</v>
      </c>
      <c r="DF270" s="752">
        <f>CEILING(DE270*$DF$28, 50)</f>
        <v>6850</v>
      </c>
      <c r="DG270" s="752">
        <f>CEILING(DE270*$DG$28, 50)</f>
        <v>7150</v>
      </c>
      <c r="DH270" s="752">
        <f>CEILING(DG270*$DH$28, 50)</f>
        <v>8600</v>
      </c>
      <c r="DI270" s="752">
        <f>CEILING(DE270*$DI$28, 50)</f>
        <v>7450</v>
      </c>
      <c r="DJ270" s="752">
        <f>CEILING(DI270*$DJ$28, 50)</f>
        <v>8950</v>
      </c>
      <c r="DK270" s="775">
        <v>3900</v>
      </c>
      <c r="DL270" s="752">
        <f>CEILING(DK270*$DL$28, 50)</f>
        <v>3900</v>
      </c>
      <c r="DM270" s="752"/>
      <c r="DN270" s="752"/>
      <c r="DO270" s="752"/>
      <c r="DP270" s="752" t="e">
        <f>CEILING(AC270*$DP$28, 50)</f>
        <v>#VALUE!</v>
      </c>
      <c r="DQ270" s="752" t="e">
        <f>CEILING(DP270*$DQ$28, 50)</f>
        <v>#VALUE!</v>
      </c>
      <c r="DR270" s="752">
        <f>T270</f>
        <v>1200</v>
      </c>
      <c r="DS270" s="780"/>
      <c r="DT270" s="759">
        <f>CEILING(EB270*$DT$28, 50)</f>
        <v>7200</v>
      </c>
      <c r="DU270" s="759">
        <f>DV270*5*0.8</f>
        <v>13200</v>
      </c>
      <c r="DV270" s="763">
        <v>3300</v>
      </c>
      <c r="DW270" s="2663"/>
      <c r="DX270" s="759">
        <f>CEILING(EF270*$DX$28, 50)</f>
        <v>11550</v>
      </c>
      <c r="DY270" s="759">
        <f>CEILING(EH270*$DY$28, 50)</f>
        <v>17550</v>
      </c>
      <c r="DZ270" s="761"/>
      <c r="EA270" s="811">
        <v>12500</v>
      </c>
      <c r="EB270" s="812">
        <v>8984.375</v>
      </c>
      <c r="EC270" s="2960"/>
      <c r="ED270" s="2960"/>
      <c r="EE270" s="811">
        <v>21000</v>
      </c>
      <c r="EF270" s="812">
        <v>14437.500000000002</v>
      </c>
      <c r="EG270" s="811">
        <v>31900</v>
      </c>
      <c r="EH270" s="812">
        <v>21931.25</v>
      </c>
      <c r="EI270" s="811"/>
      <c r="EJ270" s="812"/>
      <c r="EK270" s="761"/>
      <c r="EL270" s="761"/>
      <c r="EM270" s="761"/>
      <c r="EN270" s="761"/>
      <c r="EO270" s="761"/>
      <c r="EP270" s="761"/>
    </row>
    <row r="271" spans="1:146" s="1651" customFormat="1" hidden="1" outlineLevel="1">
      <c r="B271" s="5012" t="s">
        <v>286</v>
      </c>
      <c r="C271" s="5013"/>
      <c r="CH271" s="1725">
        <v>330</v>
      </c>
      <c r="CI271" s="1725">
        <v>345</v>
      </c>
      <c r="CJ271" s="1725">
        <v>360</v>
      </c>
      <c r="CK271" s="1725">
        <v>330</v>
      </c>
      <c r="CL271" s="1725">
        <v>345</v>
      </c>
      <c r="CM271" s="1725">
        <v>360</v>
      </c>
      <c r="CN271" s="1725">
        <v>380</v>
      </c>
      <c r="CW271" s="1725">
        <f>CW286</f>
        <v>265</v>
      </c>
      <c r="CX271" s="1725">
        <f t="shared" ref="CX271:DC271" si="206">CX286</f>
        <v>275</v>
      </c>
      <c r="CY271" s="1725">
        <f t="shared" si="206"/>
        <v>290</v>
      </c>
      <c r="CZ271" s="1725">
        <f t="shared" si="206"/>
        <v>265</v>
      </c>
      <c r="DA271" s="1725">
        <f t="shared" si="206"/>
        <v>275</v>
      </c>
      <c r="DB271" s="1725">
        <f t="shared" si="206"/>
        <v>290</v>
      </c>
      <c r="DC271" s="1725">
        <f t="shared" si="206"/>
        <v>305</v>
      </c>
      <c r="DI271" s="1651">
        <v>1600</v>
      </c>
      <c r="DJ271" s="1651">
        <v>1600</v>
      </c>
      <c r="DN271" s="1651">
        <v>1600</v>
      </c>
    </row>
    <row r="272" spans="1:146" s="1651" customFormat="1" hidden="1" outlineLevel="1">
      <c r="B272" s="5014" t="s">
        <v>285</v>
      </c>
      <c r="C272" s="5015"/>
      <c r="CH272" s="1725">
        <v>265</v>
      </c>
      <c r="CI272" s="1725">
        <v>275</v>
      </c>
      <c r="CJ272" s="1725">
        <v>290</v>
      </c>
      <c r="CK272" s="1725">
        <v>265</v>
      </c>
      <c r="CL272" s="1725">
        <v>275</v>
      </c>
      <c r="CM272" s="1725">
        <v>290</v>
      </c>
      <c r="CN272" s="1725">
        <v>305</v>
      </c>
      <c r="CW272" s="1725">
        <f>CW287</f>
        <v>0</v>
      </c>
      <c r="CX272" s="1725">
        <f t="shared" ref="CX272:DC272" si="207">CX287</f>
        <v>0</v>
      </c>
      <c r="CY272" s="1725">
        <f t="shared" si="207"/>
        <v>0</v>
      </c>
      <c r="CZ272" s="1725">
        <f t="shared" si="207"/>
        <v>0</v>
      </c>
      <c r="DA272" s="1725">
        <f t="shared" si="207"/>
        <v>0</v>
      </c>
      <c r="DB272" s="1725">
        <f t="shared" si="207"/>
        <v>0</v>
      </c>
      <c r="DC272" s="1725">
        <f t="shared" si="207"/>
        <v>0</v>
      </c>
    </row>
    <row r="273" spans="1:146" s="1651" customFormat="1" hidden="1" outlineLevel="1">
      <c r="B273" s="1741"/>
      <c r="C273" s="1741"/>
      <c r="CH273" s="1742"/>
      <c r="CI273" s="1742"/>
      <c r="CJ273" s="1742"/>
      <c r="CK273" s="1742"/>
      <c r="CL273" s="1742"/>
      <c r="CM273" s="1742"/>
      <c r="CN273" s="1742"/>
      <c r="CW273" s="1742"/>
      <c r="CX273" s="1742"/>
      <c r="CY273" s="1742"/>
      <c r="CZ273" s="1742"/>
      <c r="DA273" s="1742"/>
      <c r="DB273" s="1742"/>
      <c r="DC273" s="1742"/>
    </row>
    <row r="274" spans="1:146" s="1651" customFormat="1" ht="15" hidden="1" outlineLevel="2">
      <c r="A274" s="1649" t="s">
        <v>1382</v>
      </c>
      <c r="B274" s="1650"/>
      <c r="C274" s="1729"/>
      <c r="D274" s="1652"/>
      <c r="E274" s="1652"/>
      <c r="F274" s="1652"/>
      <c r="Q274" s="1650"/>
      <c r="R274" s="1650"/>
      <c r="S274" s="1650"/>
      <c r="T274" s="1730"/>
      <c r="U274" s="1650"/>
      <c r="V274" s="1650"/>
      <c r="W274" s="1650"/>
      <c r="X274" s="1650"/>
      <c r="Y274" s="1650"/>
      <c r="Z274" s="1650"/>
      <c r="AA274" s="1650"/>
      <c r="AB274" s="1650"/>
      <c r="AO274" s="1650"/>
      <c r="AP274" s="1650"/>
      <c r="AQ274" s="1650"/>
      <c r="AR274" s="1653"/>
      <c r="BG274" s="1650"/>
      <c r="BQ274" s="1650"/>
      <c r="BY274" s="1650"/>
      <c r="DD274" s="1650"/>
      <c r="DS274" s="1650"/>
    </row>
    <row r="275" spans="1:146" s="1651" customFormat="1" hidden="1" outlineLevel="2">
      <c r="A275" s="4938" t="s">
        <v>1016</v>
      </c>
      <c r="B275" s="4938"/>
      <c r="C275" s="1654"/>
      <c r="D275" s="1654"/>
      <c r="E275" s="4914" t="s">
        <v>462</v>
      </c>
      <c r="F275" s="4914"/>
      <c r="G275" s="4914"/>
      <c r="H275" s="4914"/>
      <c r="I275" s="4914"/>
      <c r="J275" s="4914"/>
      <c r="K275" s="4914"/>
      <c r="L275" s="4914"/>
      <c r="M275" s="4914"/>
      <c r="N275" s="4914"/>
      <c r="O275" s="4914"/>
      <c r="P275" s="4914"/>
      <c r="Q275" s="1655"/>
      <c r="R275" s="1656"/>
      <c r="S275" s="1656"/>
      <c r="T275" s="1657" t="s">
        <v>89</v>
      </c>
      <c r="U275" s="1656"/>
      <c r="V275" s="1656"/>
      <c r="W275" s="1656"/>
      <c r="X275" s="1784"/>
      <c r="Y275" s="1784"/>
      <c r="Z275" s="1784"/>
      <c r="AA275" s="1784"/>
      <c r="AB275" s="1656"/>
      <c r="AC275" s="1656"/>
      <c r="AD275" s="1656"/>
      <c r="AE275" s="1656"/>
      <c r="AF275" s="1656"/>
      <c r="AG275" s="1656"/>
      <c r="AH275" s="1656"/>
      <c r="AI275" s="1656"/>
      <c r="AJ275" s="1656"/>
      <c r="AK275" s="1656"/>
      <c r="AL275" s="1656"/>
      <c r="AM275" s="1656"/>
      <c r="AN275" s="1656"/>
      <c r="AO275" s="1655"/>
      <c r="AP275" s="1656"/>
      <c r="AQ275" s="1656"/>
      <c r="AR275" s="4914" t="s">
        <v>1014</v>
      </c>
      <c r="AS275" s="4914"/>
      <c r="AT275" s="4915"/>
      <c r="AU275" s="4914"/>
      <c r="AV275" s="4915"/>
      <c r="AW275" s="4914"/>
      <c r="AX275" s="4914"/>
      <c r="AY275" s="4914"/>
      <c r="AZ275" s="4914"/>
      <c r="BA275" s="4914"/>
      <c r="BB275" s="4914"/>
      <c r="BC275" s="4867" t="s">
        <v>882</v>
      </c>
      <c r="BD275" s="4867" t="s">
        <v>883</v>
      </c>
      <c r="BE275" s="4907" t="s">
        <v>695</v>
      </c>
      <c r="BF275" s="4867" t="s">
        <v>1050</v>
      </c>
      <c r="BG275" s="1655"/>
      <c r="BH275" s="4873" t="s">
        <v>108</v>
      </c>
      <c r="BI275" s="4874"/>
      <c r="BJ275" s="4874"/>
      <c r="BK275" s="4874"/>
      <c r="BL275" s="4874"/>
      <c r="BM275" s="4874"/>
      <c r="BN275" s="4874"/>
      <c r="BO275" s="4874"/>
      <c r="BP275" s="4874"/>
      <c r="BQ275" s="1655"/>
      <c r="BR275" s="4875" t="s">
        <v>456</v>
      </c>
      <c r="BS275" s="4875"/>
      <c r="BT275" s="4875"/>
      <c r="BU275" s="4875"/>
      <c r="BV275" s="4875"/>
      <c r="BW275" s="4875"/>
      <c r="BX275" s="4875"/>
      <c r="BY275" s="1655"/>
      <c r="BZ275" s="4857" t="s">
        <v>1015</v>
      </c>
      <c r="CA275" s="4858"/>
      <c r="CB275" s="4858"/>
      <c r="CC275" s="4858"/>
      <c r="CD275" s="4858"/>
      <c r="CE275" s="4858"/>
      <c r="CF275" s="4858"/>
      <c r="CG275" s="4858"/>
      <c r="CH275" s="4858"/>
      <c r="CI275" s="4858"/>
      <c r="CJ275" s="4858"/>
      <c r="CK275" s="4858"/>
      <c r="CL275" s="4858"/>
      <c r="CM275" s="4858"/>
      <c r="CN275" s="4858"/>
      <c r="CO275" s="4858"/>
      <c r="CP275" s="4858"/>
      <c r="CQ275" s="4858"/>
      <c r="CR275" s="4858"/>
      <c r="CS275" s="4858"/>
      <c r="CT275" s="4858"/>
      <c r="CU275" s="4858"/>
      <c r="CV275" s="4858"/>
      <c r="CW275" s="4858"/>
      <c r="CX275" s="4858"/>
      <c r="CY275" s="4858"/>
      <c r="CZ275" s="4858"/>
      <c r="DA275" s="4858"/>
      <c r="DB275" s="4858"/>
      <c r="DC275" s="4858"/>
      <c r="DD275" s="1655"/>
      <c r="DE275" s="1658"/>
      <c r="DF275" s="1658"/>
      <c r="DG275" s="1658"/>
      <c r="DH275" s="1658"/>
      <c r="DI275" s="1658"/>
      <c r="DJ275" s="1658"/>
      <c r="DK275" s="1659" t="s">
        <v>1038</v>
      </c>
      <c r="DL275" s="1658"/>
      <c r="DM275" s="1658"/>
      <c r="DN275" s="1658"/>
      <c r="DO275" s="1658"/>
      <c r="DP275" s="1658"/>
      <c r="DQ275" s="1658"/>
      <c r="DR275" s="1660"/>
      <c r="DS275" s="1655"/>
      <c r="DT275" s="4876" t="s">
        <v>693</v>
      </c>
      <c r="DU275" s="4876"/>
      <c r="DV275" s="4876"/>
      <c r="DW275" s="4877"/>
      <c r="DX275" s="4876"/>
      <c r="DY275" s="4876"/>
      <c r="DZ275" s="159"/>
      <c r="EA275" s="159"/>
      <c r="EB275" s="159"/>
      <c r="EC275" s="159"/>
      <c r="ED275" s="159"/>
      <c r="EE275" s="159"/>
      <c r="EF275" s="159"/>
      <c r="EG275" s="159"/>
      <c r="EH275" s="159"/>
      <c r="EI275" s="159"/>
      <c r="EJ275" s="159"/>
      <c r="EK275" s="159"/>
      <c r="EL275" s="159"/>
      <c r="EM275" s="159"/>
      <c r="EN275" s="159"/>
      <c r="EO275" s="159"/>
      <c r="EP275" s="159"/>
    </row>
    <row r="276" spans="1:146" s="1651" customFormat="1" ht="25.5" hidden="1" outlineLevel="2">
      <c r="A276" s="4938" t="s">
        <v>725</v>
      </c>
      <c r="B276" s="4938"/>
      <c r="C276" s="1661"/>
      <c r="D276" s="1661"/>
      <c r="E276" s="4867" t="s">
        <v>1009</v>
      </c>
      <c r="F276" s="4867"/>
      <c r="G276" s="4867"/>
      <c r="H276" s="4867"/>
      <c r="I276" s="4867"/>
      <c r="J276" s="4867"/>
      <c r="K276" s="4867"/>
      <c r="L276" s="4867"/>
      <c r="M276" s="5024" t="s">
        <v>1023</v>
      </c>
      <c r="N276" s="5025"/>
      <c r="O276" s="5025"/>
      <c r="P276" s="5026"/>
      <c r="Q276" s="1662"/>
      <c r="R276" s="1663"/>
      <c r="S276" s="1663"/>
      <c r="T276" s="1664" t="s">
        <v>1026</v>
      </c>
      <c r="U276" s="1663"/>
      <c r="V276" s="1663"/>
      <c r="W276" s="1663"/>
      <c r="X276" s="1786"/>
      <c r="Y276" s="1786"/>
      <c r="Z276" s="1786"/>
      <c r="AA276" s="1786"/>
      <c r="AB276" s="1663"/>
      <c r="AC276" s="1663"/>
      <c r="AD276" s="1663"/>
      <c r="AE276" s="1663"/>
      <c r="AF276" s="1665"/>
      <c r="AG276" s="1666" t="s">
        <v>1027</v>
      </c>
      <c r="AH276" s="1667"/>
      <c r="AI276" s="1667"/>
      <c r="AJ276" s="1667"/>
      <c r="AK276" s="1667"/>
      <c r="AL276" s="1668"/>
      <c r="AM276" s="1669" t="s">
        <v>1028</v>
      </c>
      <c r="AN276" s="1670"/>
      <c r="AO276" s="1662"/>
      <c r="AP276" s="1663"/>
      <c r="AQ276" s="1663"/>
      <c r="AR276" s="4939" t="s">
        <v>1047</v>
      </c>
      <c r="AS276" s="4940"/>
      <c r="AT276" s="4940"/>
      <c r="AU276" s="4941"/>
      <c r="AV276" s="2601"/>
      <c r="AW276" s="4881" t="s">
        <v>1048</v>
      </c>
      <c r="AX276" s="4883" t="s">
        <v>1049</v>
      </c>
      <c r="AY276" s="4884"/>
      <c r="AZ276" s="4884"/>
      <c r="BA276" s="4884"/>
      <c r="BB276" s="4885"/>
      <c r="BC276" s="4867"/>
      <c r="BD276" s="4867"/>
      <c r="BE276" s="4985"/>
      <c r="BF276" s="4867"/>
      <c r="BG276" s="1662"/>
      <c r="BH276" s="4889" t="s">
        <v>709</v>
      </c>
      <c r="BI276" s="4890"/>
      <c r="BJ276" s="4891"/>
      <c r="BK276" s="4889" t="s">
        <v>1022</v>
      </c>
      <c r="BL276" s="4890"/>
      <c r="BM276" s="4891"/>
      <c r="BN276" s="4881" t="s">
        <v>1030</v>
      </c>
      <c r="BO276" s="4881" t="s">
        <v>743</v>
      </c>
      <c r="BP276" s="4881" t="s">
        <v>1029</v>
      </c>
      <c r="BQ276" s="1662"/>
      <c r="BR276" s="4895" t="s">
        <v>1052</v>
      </c>
      <c r="BS276" s="4896"/>
      <c r="BT276" s="4897"/>
      <c r="BU276" s="4901" t="s">
        <v>1053</v>
      </c>
      <c r="BV276" s="4902"/>
      <c r="BW276" s="4903"/>
      <c r="BX276" s="4907" t="s">
        <v>1054</v>
      </c>
      <c r="BY276" s="1662"/>
      <c r="BZ276" s="4909" t="s">
        <v>1020</v>
      </c>
      <c r="CA276" s="4910"/>
      <c r="CB276" s="4910"/>
      <c r="CC276" s="4910"/>
      <c r="CD276" s="4910"/>
      <c r="CE276" s="4910"/>
      <c r="CF276" s="4910"/>
      <c r="CG276" s="4910"/>
      <c r="CH276" s="4910"/>
      <c r="CI276" s="4910"/>
      <c r="CJ276" s="4910"/>
      <c r="CK276" s="4910"/>
      <c r="CL276" s="4910"/>
      <c r="CM276" s="4910"/>
      <c r="CN276" s="4911"/>
      <c r="CO276" s="4912" t="s">
        <v>1021</v>
      </c>
      <c r="CP276" s="4913"/>
      <c r="CQ276" s="4913"/>
      <c r="CR276" s="4913"/>
      <c r="CS276" s="4913"/>
      <c r="CT276" s="4913"/>
      <c r="CU276" s="4913"/>
      <c r="CV276" s="4913"/>
      <c r="CW276" s="4913"/>
      <c r="CX276" s="4913"/>
      <c r="CY276" s="4913"/>
      <c r="CZ276" s="4913"/>
      <c r="DA276" s="4913"/>
      <c r="DB276" s="4913"/>
      <c r="DC276" s="4913"/>
      <c r="DD276" s="1662"/>
      <c r="DE276" s="4850" t="s">
        <v>710</v>
      </c>
      <c r="DF276" s="4850"/>
      <c r="DG276" s="4850" t="s">
        <v>711</v>
      </c>
      <c r="DH276" s="4850"/>
      <c r="DI276" s="4850" t="s">
        <v>712</v>
      </c>
      <c r="DJ276" s="4850"/>
      <c r="DK276" s="4850" t="s">
        <v>713</v>
      </c>
      <c r="DL276" s="4850"/>
      <c r="DM276" s="4850" t="s">
        <v>714</v>
      </c>
      <c r="DN276" s="4850"/>
      <c r="DO276" s="4850"/>
      <c r="DP276" s="4850" t="s">
        <v>715</v>
      </c>
      <c r="DQ276" s="4850" t="s">
        <v>716</v>
      </c>
      <c r="DR276" s="4850" t="s">
        <v>717</v>
      </c>
      <c r="DS276" s="1662"/>
      <c r="DT276" s="4851" t="s">
        <v>1037</v>
      </c>
      <c r="DU276" s="4851"/>
      <c r="DV276" s="4851"/>
      <c r="DW276" s="2948"/>
      <c r="DX276" s="4851" t="s">
        <v>996</v>
      </c>
      <c r="DY276" s="4851"/>
      <c r="DZ276" s="1671"/>
      <c r="EA276" s="1671"/>
      <c r="EB276" s="1671"/>
      <c r="EC276" s="1671"/>
      <c r="ED276" s="1671"/>
      <c r="EE276" s="1671"/>
      <c r="EF276" s="1671"/>
      <c r="EG276" s="1671"/>
      <c r="EH276" s="1671"/>
      <c r="EI276" s="1671"/>
      <c r="EJ276" s="1671"/>
      <c r="EK276" s="1671"/>
      <c r="EL276" s="1671"/>
      <c r="EM276" s="1671"/>
      <c r="EN276" s="1671"/>
      <c r="EO276" s="1671"/>
      <c r="EP276" s="1671"/>
    </row>
    <row r="277" spans="1:146" s="1651" customFormat="1" ht="38.25" hidden="1" outlineLevel="2">
      <c r="A277" s="4938"/>
      <c r="B277" s="4938"/>
      <c r="C277" s="1654"/>
      <c r="D277" s="1672"/>
      <c r="E277" s="1672" t="s">
        <v>971</v>
      </c>
      <c r="F277" s="1672" t="s">
        <v>970</v>
      </c>
      <c r="G277" s="1673" t="s">
        <v>18</v>
      </c>
      <c r="H277" s="1673" t="s">
        <v>380</v>
      </c>
      <c r="I277" s="1674" t="s">
        <v>705</v>
      </c>
      <c r="J277" s="1675" t="s">
        <v>1006</v>
      </c>
      <c r="K277" s="753" t="s">
        <v>1007</v>
      </c>
      <c r="L277" s="753" t="s">
        <v>1008</v>
      </c>
      <c r="M277" s="4916" t="s">
        <v>1024</v>
      </c>
      <c r="N277" s="4917"/>
      <c r="O277" s="4918"/>
      <c r="P277" s="753" t="s">
        <v>1025</v>
      </c>
      <c r="Q277" s="1655"/>
      <c r="R277" s="1672"/>
      <c r="S277" s="1672" t="s">
        <v>1010</v>
      </c>
      <c r="T277" s="1657" t="s">
        <v>1013</v>
      </c>
      <c r="U277" s="1656"/>
      <c r="V277" s="1656"/>
      <c r="W277" s="1677"/>
      <c r="X277" s="2634"/>
      <c r="Y277" s="2634"/>
      <c r="Z277" s="2634"/>
      <c r="AA277" s="2634"/>
      <c r="AB277" s="1678" t="s">
        <v>92</v>
      </c>
      <c r="AC277" s="1678" t="s">
        <v>93</v>
      </c>
      <c r="AD277" s="1678"/>
      <c r="AE277" s="1679"/>
      <c r="AF277" s="1678" t="s">
        <v>257</v>
      </c>
      <c r="AG277" s="1680" t="s">
        <v>18</v>
      </c>
      <c r="AH277" s="2682"/>
      <c r="AI277" s="2682"/>
      <c r="AJ277" s="1680" t="s">
        <v>380</v>
      </c>
      <c r="AK277" s="754" t="s">
        <v>705</v>
      </c>
      <c r="AL277" s="754" t="s">
        <v>706</v>
      </c>
      <c r="AM277" s="1681" t="s">
        <v>1011</v>
      </c>
      <c r="AN277" s="1681" t="s">
        <v>1012</v>
      </c>
      <c r="AO277" s="1655"/>
      <c r="AP277" s="1672"/>
      <c r="AQ277" s="1672"/>
      <c r="AR277" s="4942"/>
      <c r="AS277" s="4943"/>
      <c r="AT277" s="4943"/>
      <c r="AU277" s="4944"/>
      <c r="AV277" s="2602"/>
      <c r="AW277" s="4882"/>
      <c r="AX277" s="4886"/>
      <c r="AY277" s="4887"/>
      <c r="AZ277" s="4887"/>
      <c r="BA277" s="4887"/>
      <c r="BB277" s="4888"/>
      <c r="BC277" s="4867"/>
      <c r="BD277" s="4867"/>
      <c r="BE277" s="4908"/>
      <c r="BF277" s="4867"/>
      <c r="BG277" s="1655"/>
      <c r="BH277" s="4892"/>
      <c r="BI277" s="4893"/>
      <c r="BJ277" s="4894"/>
      <c r="BK277" s="4892"/>
      <c r="BL277" s="4893"/>
      <c r="BM277" s="4894"/>
      <c r="BN277" s="4882"/>
      <c r="BO277" s="4882"/>
      <c r="BP277" s="4882"/>
      <c r="BQ277" s="1655"/>
      <c r="BR277" s="4898"/>
      <c r="BS277" s="4899"/>
      <c r="BT277" s="4900"/>
      <c r="BU277" s="4904"/>
      <c r="BV277" s="4905"/>
      <c r="BW277" s="4906"/>
      <c r="BX277" s="4908"/>
      <c r="BY277" s="1655"/>
      <c r="BZ277" s="4857" t="s">
        <v>447</v>
      </c>
      <c r="CA277" s="4858"/>
      <c r="CB277" s="4858"/>
      <c r="CC277" s="4859"/>
      <c r="CD277" s="4860" t="s">
        <v>448</v>
      </c>
      <c r="CE277" s="4861"/>
      <c r="CF277" s="4861"/>
      <c r="CG277" s="4862"/>
      <c r="CH277" s="4857" t="s">
        <v>445</v>
      </c>
      <c r="CI277" s="4858"/>
      <c r="CJ277" s="4859"/>
      <c r="CK277" s="4860" t="s">
        <v>446</v>
      </c>
      <c r="CL277" s="4861"/>
      <c r="CM277" s="4862"/>
      <c r="CN277" s="809" t="s">
        <v>449</v>
      </c>
      <c r="CO277" s="4863" t="s">
        <v>452</v>
      </c>
      <c r="CP277" s="4864"/>
      <c r="CQ277" s="4864"/>
      <c r="CR277" s="4865"/>
      <c r="CS277" s="4863" t="s">
        <v>453</v>
      </c>
      <c r="CT277" s="4864"/>
      <c r="CU277" s="4864"/>
      <c r="CV277" s="4865"/>
      <c r="CW277" s="4852" t="s">
        <v>889</v>
      </c>
      <c r="CX277" s="4853"/>
      <c r="CY277" s="4853"/>
      <c r="CZ277" s="4852" t="s">
        <v>890</v>
      </c>
      <c r="DA277" s="4853"/>
      <c r="DB277" s="4853"/>
      <c r="DC277" s="1683" t="s">
        <v>454</v>
      </c>
      <c r="DD277" s="1655"/>
      <c r="DE277" s="4850"/>
      <c r="DF277" s="4850"/>
      <c r="DG277" s="4850"/>
      <c r="DH277" s="4850"/>
      <c r="DI277" s="4850"/>
      <c r="DJ277" s="4850"/>
      <c r="DK277" s="1684" t="s">
        <v>189</v>
      </c>
      <c r="DL277" s="1684" t="s">
        <v>190</v>
      </c>
      <c r="DM277" s="1685" t="s">
        <v>187</v>
      </c>
      <c r="DN277" s="1685" t="s">
        <v>719</v>
      </c>
      <c r="DO277" s="1686" t="s">
        <v>720</v>
      </c>
      <c r="DP277" s="4850"/>
      <c r="DQ277" s="4850"/>
      <c r="DR277" s="4850"/>
      <c r="DS277" s="1655"/>
      <c r="DT277" s="1687" t="s">
        <v>1032</v>
      </c>
      <c r="DU277" s="1687" t="s">
        <v>1033</v>
      </c>
      <c r="DV277" s="1687" t="s">
        <v>1034</v>
      </c>
      <c r="DW277" s="2949"/>
      <c r="DX277" s="1687" t="s">
        <v>986</v>
      </c>
      <c r="DY277" s="1687" t="s">
        <v>987</v>
      </c>
      <c r="DZ277" s="761"/>
      <c r="EA277" s="761"/>
      <c r="EB277" s="761"/>
      <c r="EC277" s="761"/>
      <c r="ED277" s="761"/>
      <c r="EE277" s="761"/>
      <c r="EF277" s="761"/>
      <c r="EG277" s="761"/>
      <c r="EH277" s="761"/>
      <c r="EI277" s="761"/>
      <c r="EJ277" s="761"/>
      <c r="EK277" s="761"/>
      <c r="EL277" s="761"/>
      <c r="EM277" s="761"/>
      <c r="EN277" s="761"/>
      <c r="EO277" s="761"/>
      <c r="EP277" s="761"/>
    </row>
    <row r="278" spans="1:146" s="1651" customFormat="1" ht="48" hidden="1" outlineLevel="2">
      <c r="A278" s="4929" t="s">
        <v>1017</v>
      </c>
      <c r="B278" s="4929"/>
      <c r="C278" s="1688"/>
      <c r="D278" s="1689"/>
      <c r="E278" s="1689" t="s">
        <v>1041</v>
      </c>
      <c r="F278" s="1689" t="s">
        <v>1042</v>
      </c>
      <c r="G278" s="1690" t="s">
        <v>1043</v>
      </c>
      <c r="H278" s="1690" t="s">
        <v>1044</v>
      </c>
      <c r="I278" s="1691" t="s">
        <v>1045</v>
      </c>
      <c r="J278" s="1692" t="s">
        <v>1041</v>
      </c>
      <c r="K278" s="1693" t="s">
        <v>1046</v>
      </c>
      <c r="L278" s="1693" t="s">
        <v>440</v>
      </c>
      <c r="M278" s="1693" t="s">
        <v>492</v>
      </c>
      <c r="N278" s="1693" t="s">
        <v>491</v>
      </c>
      <c r="O278" s="1693" t="s">
        <v>707</v>
      </c>
      <c r="P278" s="1693" t="s">
        <v>708</v>
      </c>
      <c r="Q278" s="1694"/>
      <c r="R278" s="1689"/>
      <c r="S278" s="1689" t="s">
        <v>974</v>
      </c>
      <c r="T278" s="1695" t="s">
        <v>972</v>
      </c>
      <c r="U278" s="1695" t="s">
        <v>973</v>
      </c>
      <c r="V278" s="1695" t="s">
        <v>974</v>
      </c>
      <c r="W278" s="1695" t="s">
        <v>975</v>
      </c>
      <c r="X278" s="2635"/>
      <c r="Y278" s="2635"/>
      <c r="Z278" s="2635"/>
      <c r="AA278" s="2635"/>
      <c r="AB278" s="1695" t="s">
        <v>976</v>
      </c>
      <c r="AC278" s="1695" t="s">
        <v>977</v>
      </c>
      <c r="AD278" s="1695"/>
      <c r="AE278" s="1695"/>
      <c r="AF278" s="1695" t="s">
        <v>978</v>
      </c>
      <c r="AG278" s="1690" t="s">
        <v>973</v>
      </c>
      <c r="AH278" s="2683"/>
      <c r="AI278" s="2683"/>
      <c r="AJ278" s="1690" t="s">
        <v>973</v>
      </c>
      <c r="AK278" s="1696" t="s">
        <v>977</v>
      </c>
      <c r="AL278" s="1696" t="s">
        <v>980</v>
      </c>
      <c r="AM278" s="1697" t="s">
        <v>974</v>
      </c>
      <c r="AN278" s="1698" t="s">
        <v>972</v>
      </c>
      <c r="AO278" s="1694"/>
      <c r="AP278" s="1689"/>
      <c r="AQ278" s="1689"/>
      <c r="AR278" s="1693">
        <v>75</v>
      </c>
      <c r="AS278" s="1693">
        <v>150</v>
      </c>
      <c r="AT278" s="1693" t="s">
        <v>981</v>
      </c>
      <c r="AU278" s="1693" t="s">
        <v>981</v>
      </c>
      <c r="AV278" s="2695"/>
      <c r="AW278" s="1696" t="s">
        <v>207</v>
      </c>
      <c r="AX278" s="1699">
        <v>75</v>
      </c>
      <c r="AY278" s="1699">
        <v>100</v>
      </c>
      <c r="AZ278" s="1699">
        <v>120</v>
      </c>
      <c r="BA278" s="1699">
        <v>150</v>
      </c>
      <c r="BB278" s="1699">
        <v>200</v>
      </c>
      <c r="BC278" s="1700" t="s">
        <v>1051</v>
      </c>
      <c r="BD278" s="1701" t="s">
        <v>982</v>
      </c>
      <c r="BE278" s="1702"/>
      <c r="BF278" s="1703" t="s">
        <v>983</v>
      </c>
      <c r="BG278" s="1694"/>
      <c r="BH278" s="1696">
        <v>75</v>
      </c>
      <c r="BI278" s="1696">
        <v>90</v>
      </c>
      <c r="BJ278" s="1696">
        <v>110</v>
      </c>
      <c r="BK278" s="1696">
        <v>75</v>
      </c>
      <c r="BL278" s="1696">
        <v>90</v>
      </c>
      <c r="BM278" s="1696">
        <v>110</v>
      </c>
      <c r="BN278" s="1696" t="s">
        <v>979</v>
      </c>
      <c r="BO278" s="1696" t="s">
        <v>978</v>
      </c>
      <c r="BP278" s="1696" t="s">
        <v>978</v>
      </c>
      <c r="BQ278" s="1694"/>
      <c r="BR278" s="1704" t="s">
        <v>383</v>
      </c>
      <c r="BS278" s="1704" t="s">
        <v>381</v>
      </c>
      <c r="BT278" s="1704" t="s">
        <v>384</v>
      </c>
      <c r="BU278" s="1704" t="s">
        <v>385</v>
      </c>
      <c r="BV278" s="1704" t="s">
        <v>386</v>
      </c>
      <c r="BW278" s="1704" t="s">
        <v>387</v>
      </c>
      <c r="BX278" s="1704" t="s">
        <v>388</v>
      </c>
      <c r="BY278" s="1694"/>
      <c r="BZ278" s="1705" t="s">
        <v>1039</v>
      </c>
      <c r="CA278" s="1705" t="s">
        <v>467</v>
      </c>
      <c r="CB278" s="1705" t="s">
        <v>466</v>
      </c>
      <c r="CC278" s="1705" t="s">
        <v>470</v>
      </c>
      <c r="CD278" s="1705" t="s">
        <v>468</v>
      </c>
      <c r="CE278" s="1705" t="s">
        <v>467</v>
      </c>
      <c r="CF278" s="1705" t="s">
        <v>466</v>
      </c>
      <c r="CG278" s="1705" t="s">
        <v>470</v>
      </c>
      <c r="CH278" s="1705" t="s">
        <v>468</v>
      </c>
      <c r="CI278" s="1705" t="s">
        <v>467</v>
      </c>
      <c r="CJ278" s="1705" t="s">
        <v>466</v>
      </c>
      <c r="CK278" s="1705" t="s">
        <v>468</v>
      </c>
      <c r="CL278" s="1705" t="s">
        <v>467</v>
      </c>
      <c r="CM278" s="1705" t="s">
        <v>466</v>
      </c>
      <c r="CN278" s="1706" t="s">
        <v>469</v>
      </c>
      <c r="CO278" s="1699" t="s">
        <v>476</v>
      </c>
      <c r="CP278" s="1699" t="s">
        <v>477</v>
      </c>
      <c r="CQ278" s="1699" t="s">
        <v>478</v>
      </c>
      <c r="CR278" s="1699" t="s">
        <v>479</v>
      </c>
      <c r="CS278" s="1699" t="s">
        <v>476</v>
      </c>
      <c r="CT278" s="1699" t="s">
        <v>477</v>
      </c>
      <c r="CU278" s="1699" t="s">
        <v>478</v>
      </c>
      <c r="CV278" s="1699" t="s">
        <v>480</v>
      </c>
      <c r="CW278" s="1699" t="s">
        <v>472</v>
      </c>
      <c r="CX278" s="1699" t="s">
        <v>473</v>
      </c>
      <c r="CY278" s="1699" t="s">
        <v>474</v>
      </c>
      <c r="CZ278" s="1699" t="s">
        <v>472</v>
      </c>
      <c r="DA278" s="1699" t="s">
        <v>473</v>
      </c>
      <c r="DB278" s="1699" t="s">
        <v>474</v>
      </c>
      <c r="DC278" s="1699" t="s">
        <v>475</v>
      </c>
      <c r="DD278" s="1694"/>
      <c r="DE278" s="1707" t="s">
        <v>119</v>
      </c>
      <c r="DF278" s="1707" t="s">
        <v>120</v>
      </c>
      <c r="DG278" s="1707" t="s">
        <v>119</v>
      </c>
      <c r="DH278" s="1707" t="s">
        <v>120</v>
      </c>
      <c r="DI278" s="1707" t="s">
        <v>119</v>
      </c>
      <c r="DJ278" s="1707" t="s">
        <v>120</v>
      </c>
      <c r="DK278" s="1707" t="s">
        <v>121</v>
      </c>
      <c r="DL278" s="1707" t="s">
        <v>122</v>
      </c>
      <c r="DM278" s="1708" t="s">
        <v>1035</v>
      </c>
      <c r="DN278" s="1708" t="s">
        <v>1036</v>
      </c>
      <c r="DO278" s="1708" t="s">
        <v>1035</v>
      </c>
      <c r="DP278" s="1707" t="s">
        <v>124</v>
      </c>
      <c r="DQ278" s="1707" t="s">
        <v>125</v>
      </c>
      <c r="DR278" s="1707" t="s">
        <v>126</v>
      </c>
      <c r="DS278" s="1694"/>
      <c r="DT278" s="1702" t="s">
        <v>985</v>
      </c>
      <c r="DU278" s="1702" t="s">
        <v>985</v>
      </c>
      <c r="DV278" s="1709" t="s">
        <v>984</v>
      </c>
      <c r="DW278" s="2953"/>
      <c r="DX278" s="1702" t="s">
        <v>985</v>
      </c>
      <c r="DY278" s="1702" t="s">
        <v>985</v>
      </c>
      <c r="DZ278" s="1710"/>
      <c r="EA278" s="1710"/>
      <c r="EB278" s="1710"/>
      <c r="EC278" s="1710"/>
      <c r="ED278" s="1710"/>
      <c r="EE278" s="1710"/>
      <c r="EF278" s="1710"/>
      <c r="EG278" s="1710"/>
      <c r="EH278" s="1710"/>
      <c r="EI278" s="1710"/>
      <c r="EJ278" s="1710"/>
      <c r="EK278" s="1710"/>
      <c r="EL278" s="1710"/>
      <c r="EM278" s="1710"/>
      <c r="EN278" s="1710"/>
      <c r="EO278" s="1710"/>
      <c r="EP278" s="1710"/>
    </row>
    <row r="279" spans="1:146" s="1651" customFormat="1" hidden="1" outlineLevel="2">
      <c r="A279" s="4930" t="s">
        <v>1018</v>
      </c>
      <c r="B279" s="4931"/>
      <c r="C279" s="1735"/>
      <c r="D279" s="1711"/>
      <c r="E279" s="1711"/>
      <c r="F279" s="1736">
        <f>F284/E284</f>
        <v>1.5806451612903225</v>
      </c>
      <c r="G279" s="1737"/>
      <c r="H279" s="1737"/>
      <c r="I279" s="1737"/>
      <c r="J279" s="1738"/>
      <c r="K279" s="1713"/>
      <c r="L279" s="1713"/>
      <c r="M279" s="1713"/>
      <c r="N279" s="1713"/>
      <c r="O279" s="1713"/>
      <c r="P279" s="1713"/>
      <c r="Q279" s="1714"/>
      <c r="R279" s="1739"/>
      <c r="S279" s="1739"/>
      <c r="T279" s="1739"/>
      <c r="U279" s="1739"/>
      <c r="V279" s="1739"/>
      <c r="W279" s="1739"/>
      <c r="X279" s="1753"/>
      <c r="Y279" s="1753"/>
      <c r="Z279" s="1753"/>
      <c r="AA279" s="1753"/>
      <c r="AB279" s="1739"/>
      <c r="AC279" s="1739"/>
      <c r="AD279" s="1739"/>
      <c r="AE279" s="1739"/>
      <c r="AF279" s="1739"/>
      <c r="AG279" s="1740"/>
      <c r="AH279" s="2687"/>
      <c r="AI279" s="2687"/>
      <c r="AJ279" s="1740"/>
      <c r="AK279" s="1713"/>
      <c r="AL279" s="1713"/>
      <c r="AM279" s="1715"/>
      <c r="AN279" s="1716"/>
      <c r="AO279" s="1714"/>
      <c r="AP279" s="1739"/>
      <c r="AQ279" s="1739"/>
      <c r="AR279" s="1717"/>
      <c r="AS279" s="1717"/>
      <c r="AT279" s="1717"/>
      <c r="AU279" s="1717"/>
      <c r="AV279" s="2697"/>
      <c r="AW279" s="1713"/>
      <c r="AX279" s="1716"/>
      <c r="AY279" s="1716"/>
      <c r="AZ279" s="1716"/>
      <c r="BA279" s="1716"/>
      <c r="BB279" s="1716"/>
      <c r="BC279" s="1739"/>
      <c r="BD279" s="1739"/>
      <c r="BE279" s="1713"/>
      <c r="BF279" s="1713"/>
      <c r="BG279" s="1714"/>
      <c r="BH279" s="1713"/>
      <c r="BI279" s="1713"/>
      <c r="BJ279" s="1713"/>
      <c r="BK279" s="1717"/>
      <c r="BL279" s="1713"/>
      <c r="BM279" s="1713"/>
      <c r="BN279" s="1713"/>
      <c r="BO279" s="1713"/>
      <c r="BP279" s="1713"/>
      <c r="BQ279" s="1714"/>
      <c r="BR279" s="1717"/>
      <c r="BS279" s="1717"/>
      <c r="BT279" s="1717"/>
      <c r="BU279" s="1717"/>
      <c r="BV279" s="1717"/>
      <c r="BW279" s="1717"/>
      <c r="BX279" s="1717"/>
      <c r="BY279" s="1714"/>
      <c r="BZ279" s="1713"/>
      <c r="CA279" s="1713"/>
      <c r="CB279" s="1713"/>
      <c r="CC279" s="1713"/>
      <c r="CD279" s="1713"/>
      <c r="CE279" s="1713"/>
      <c r="CF279" s="1713"/>
      <c r="CG279" s="1713"/>
      <c r="CH279" s="1713"/>
      <c r="CI279" s="1713"/>
      <c r="CJ279" s="1713"/>
      <c r="CK279" s="1713"/>
      <c r="CL279" s="1713"/>
      <c r="CM279" s="1713"/>
      <c r="CN279" s="1713"/>
      <c r="CO279" s="1713"/>
      <c r="CP279" s="1713"/>
      <c r="CQ279" s="1713"/>
      <c r="CR279" s="1713"/>
      <c r="CS279" s="1713"/>
      <c r="CT279" s="1713"/>
      <c r="CU279" s="1713"/>
      <c r="CV279" s="1713"/>
      <c r="CW279" s="1713"/>
      <c r="CX279" s="1713"/>
      <c r="CY279" s="1713"/>
      <c r="CZ279" s="1713"/>
      <c r="DA279" s="1713"/>
      <c r="DB279" s="1713"/>
      <c r="DC279" s="1713"/>
      <c r="DD279" s="1714"/>
      <c r="DE279" s="1713"/>
      <c r="DF279" s="1713"/>
      <c r="DG279" s="1713"/>
      <c r="DH279" s="1713"/>
      <c r="DI279" s="1713"/>
      <c r="DJ279" s="1713"/>
      <c r="DK279" s="1713"/>
      <c r="DL279" s="1713"/>
      <c r="DM279" s="1713"/>
      <c r="DN279" s="1713"/>
      <c r="DO279" s="1713"/>
      <c r="DP279" s="1713"/>
      <c r="DQ279" s="1713"/>
      <c r="DR279" s="1713"/>
      <c r="DS279" s="1714"/>
      <c r="DT279" s="1713"/>
      <c r="DU279" s="1713"/>
      <c r="DV279" s="1713"/>
      <c r="DW279" s="2727"/>
      <c r="DX279" s="1713"/>
      <c r="DY279" s="1713"/>
      <c r="DZ279" s="761"/>
      <c r="EA279" s="761"/>
      <c r="EB279" s="761"/>
      <c r="EC279" s="761"/>
      <c r="ED279" s="761"/>
      <c r="EE279" s="761"/>
      <c r="EF279" s="761"/>
      <c r="EG279" s="761"/>
      <c r="EH279" s="761"/>
      <c r="EI279" s="761"/>
      <c r="EJ279" s="761"/>
      <c r="EK279" s="761"/>
      <c r="EL279" s="761"/>
      <c r="EM279" s="761"/>
      <c r="EN279" s="761"/>
      <c r="EO279" s="761"/>
      <c r="EP279" s="761"/>
    </row>
    <row r="280" spans="1:146" s="1651" customFormat="1" ht="15.75" hidden="1" outlineLevel="2">
      <c r="A280" s="1719" t="s">
        <v>206</v>
      </c>
      <c r="B280" s="1720" t="s">
        <v>391</v>
      </c>
      <c r="C280" s="1721"/>
      <c r="D280" s="763"/>
      <c r="E280" s="763">
        <v>1050</v>
      </c>
      <c r="F280" s="764"/>
      <c r="G280" s="765">
        <v>1155</v>
      </c>
      <c r="H280" s="766"/>
      <c r="I280" s="781"/>
      <c r="J280" s="1174">
        <v>1045</v>
      </c>
      <c r="K280" s="751">
        <v>2090</v>
      </c>
      <c r="L280" s="751">
        <v>1870</v>
      </c>
      <c r="M280" s="768">
        <v>12750</v>
      </c>
      <c r="N280" s="753"/>
      <c r="O280" s="753"/>
      <c r="P280" s="767">
        <v>0</v>
      </c>
      <c r="Q280" s="762"/>
      <c r="R280" s="764"/>
      <c r="S280" s="764"/>
      <c r="T280" s="1144">
        <v>610</v>
      </c>
      <c r="U280" s="769">
        <v>715</v>
      </c>
      <c r="V280" s="769">
        <v>715</v>
      </c>
      <c r="W280" s="769">
        <v>825</v>
      </c>
      <c r="X280" s="1807"/>
      <c r="Y280" s="1807"/>
      <c r="Z280" s="1807"/>
      <c r="AA280" s="1807"/>
      <c r="AB280" s="769"/>
      <c r="AC280" s="769">
        <v>1155</v>
      </c>
      <c r="AD280" s="764"/>
      <c r="AE280" s="770"/>
      <c r="AF280" s="764"/>
      <c r="AG280" s="765">
        <v>715</v>
      </c>
      <c r="AH280" s="2665"/>
      <c r="AI280" s="2665"/>
      <c r="AJ280" s="766"/>
      <c r="AK280" s="754"/>
      <c r="AL280" s="754"/>
      <c r="AM280" s="757"/>
      <c r="AN280" s="757">
        <v>605</v>
      </c>
      <c r="AO280" s="762"/>
      <c r="AP280" s="764"/>
      <c r="AQ280" s="764"/>
      <c r="AR280" s="769">
        <v>550</v>
      </c>
      <c r="AS280" s="769">
        <v>990</v>
      </c>
      <c r="AT280" s="769">
        <v>77</v>
      </c>
      <c r="AU280" s="769">
        <v>77</v>
      </c>
      <c r="AV280" s="2664"/>
      <c r="AW280" s="754"/>
      <c r="AX280" s="757">
        <v>550</v>
      </c>
      <c r="AY280" s="757">
        <v>737</v>
      </c>
      <c r="AZ280" s="757">
        <v>880</v>
      </c>
      <c r="BA280" s="757">
        <v>990</v>
      </c>
      <c r="BB280" s="757">
        <v>1255</v>
      </c>
      <c r="BC280" s="769">
        <v>38</v>
      </c>
      <c r="BD280" s="769">
        <v>440</v>
      </c>
      <c r="BE280" s="759">
        <v>440</v>
      </c>
      <c r="BF280" s="767">
        <v>990</v>
      </c>
      <c r="BG280" s="762"/>
      <c r="BH280" s="771">
        <v>550</v>
      </c>
      <c r="BI280" s="771">
        <v>660</v>
      </c>
      <c r="BJ280" s="771">
        <v>660</v>
      </c>
      <c r="BK280" s="771">
        <v>605</v>
      </c>
      <c r="BL280" s="771">
        <v>715</v>
      </c>
      <c r="BM280" s="771">
        <v>715</v>
      </c>
      <c r="BN280" s="754"/>
      <c r="BO280" s="754"/>
      <c r="BP280" s="754"/>
      <c r="BQ280" s="762"/>
      <c r="BR280" s="772">
        <v>1375</v>
      </c>
      <c r="BS280" s="773">
        <v>1485</v>
      </c>
      <c r="BT280" s="773">
        <v>1595</v>
      </c>
      <c r="BU280" s="760"/>
      <c r="BV280" s="760"/>
      <c r="BW280" s="760"/>
      <c r="BX280" s="760"/>
      <c r="BY280" s="762"/>
      <c r="BZ280" s="774">
        <v>385</v>
      </c>
      <c r="CA280" s="755">
        <v>440</v>
      </c>
      <c r="CB280" s="755">
        <v>495</v>
      </c>
      <c r="CC280" s="755">
        <v>550</v>
      </c>
      <c r="CD280" s="806">
        <v>440</v>
      </c>
      <c r="CE280" s="755">
        <v>495</v>
      </c>
      <c r="CF280" s="755">
        <v>550</v>
      </c>
      <c r="CG280" s="755">
        <v>550</v>
      </c>
      <c r="CH280" s="809"/>
      <c r="CI280" s="756"/>
      <c r="CJ280" s="756"/>
      <c r="CK280" s="806">
        <v>440</v>
      </c>
      <c r="CL280" s="755">
        <v>495</v>
      </c>
      <c r="CM280" s="755">
        <v>550</v>
      </c>
      <c r="CN280" s="756"/>
      <c r="CO280" s="757">
        <v>605</v>
      </c>
      <c r="CP280" s="757">
        <v>660</v>
      </c>
      <c r="CQ280" s="757">
        <v>770</v>
      </c>
      <c r="CR280" s="757">
        <v>825</v>
      </c>
      <c r="CS280" s="757">
        <v>660</v>
      </c>
      <c r="CT280" s="757">
        <v>770</v>
      </c>
      <c r="CU280" s="757">
        <v>825</v>
      </c>
      <c r="CV280" s="757">
        <v>880</v>
      </c>
      <c r="CW280" s="757"/>
      <c r="CX280" s="757"/>
      <c r="CY280" s="757"/>
      <c r="CZ280" s="757">
        <v>660</v>
      </c>
      <c r="DA280" s="757">
        <v>770</v>
      </c>
      <c r="DB280" s="757">
        <v>825</v>
      </c>
      <c r="DC280" s="757"/>
      <c r="DD280" s="762"/>
      <c r="DE280" s="752">
        <v>3245</v>
      </c>
      <c r="DF280" s="752">
        <v>3740</v>
      </c>
      <c r="DG280" s="752">
        <v>3575</v>
      </c>
      <c r="DH280" s="752">
        <v>4290</v>
      </c>
      <c r="DI280" s="752"/>
      <c r="DJ280" s="752"/>
      <c r="DK280" s="775">
        <v>2805</v>
      </c>
      <c r="DL280" s="752">
        <v>2970</v>
      </c>
      <c r="DM280" s="752"/>
      <c r="DN280" s="752"/>
      <c r="DO280" s="752"/>
      <c r="DP280" s="752">
        <v>1265</v>
      </c>
      <c r="DQ280" s="752">
        <v>1485</v>
      </c>
      <c r="DR280" s="752">
        <v>605</v>
      </c>
      <c r="DS280" s="776"/>
      <c r="DT280" s="759">
        <v>5450</v>
      </c>
      <c r="DU280" s="760"/>
      <c r="DV280" s="760"/>
      <c r="DW280" s="2952"/>
      <c r="DX280" s="760"/>
      <c r="DY280" s="760"/>
      <c r="DZ280" s="761"/>
      <c r="EA280" s="811">
        <v>10890</v>
      </c>
      <c r="EB280" s="812">
        <v>6806.25</v>
      </c>
      <c r="EC280" s="2960"/>
      <c r="ED280" s="2960"/>
      <c r="EE280" s="811"/>
      <c r="EF280" s="812"/>
      <c r="EG280" s="811"/>
      <c r="EH280" s="812"/>
      <c r="EI280" s="811"/>
      <c r="EJ280" s="812"/>
      <c r="EK280" s="761"/>
      <c r="EL280" s="761"/>
      <c r="EM280" s="761"/>
      <c r="EN280" s="761"/>
      <c r="EO280" s="761"/>
      <c r="EP280" s="761"/>
    </row>
    <row r="281" spans="1:146" s="1651" customFormat="1" hidden="1" outlineLevel="2">
      <c r="A281" s="5021" t="s">
        <v>1019</v>
      </c>
      <c r="B281" s="1720" t="s">
        <v>703</v>
      </c>
      <c r="C281" s="1721">
        <v>0.90322580645161288</v>
      </c>
      <c r="D281" s="763"/>
      <c r="E281" s="763">
        <v>1400</v>
      </c>
      <c r="F281" s="769">
        <v>2200</v>
      </c>
      <c r="G281" s="765">
        <v>1550</v>
      </c>
      <c r="H281" s="765">
        <v>1650</v>
      </c>
      <c r="I281" s="782"/>
      <c r="J281" s="1174">
        <v>1400</v>
      </c>
      <c r="K281" s="751">
        <v>2800</v>
      </c>
      <c r="L281" s="751">
        <v>2450</v>
      </c>
      <c r="M281" s="753"/>
      <c r="N281" s="753"/>
      <c r="O281" s="753"/>
      <c r="P281" s="753"/>
      <c r="Q281" s="762"/>
      <c r="R281" s="769"/>
      <c r="S281" s="769">
        <v>1100</v>
      </c>
      <c r="T281" s="769">
        <v>1000</v>
      </c>
      <c r="U281" s="769">
        <v>1100</v>
      </c>
      <c r="V281" s="769">
        <v>1100</v>
      </c>
      <c r="W281" s="769">
        <v>1250</v>
      </c>
      <c r="X281" s="1807"/>
      <c r="Y281" s="1807"/>
      <c r="Z281" s="1807"/>
      <c r="AA281" s="1807"/>
      <c r="AB281" s="769">
        <v>1800</v>
      </c>
      <c r="AC281" s="770"/>
      <c r="AD281" s="770"/>
      <c r="AE281" s="770"/>
      <c r="AF281" s="770"/>
      <c r="AG281" s="765">
        <v>1100</v>
      </c>
      <c r="AH281" s="2665"/>
      <c r="AI281" s="2665"/>
      <c r="AJ281" s="765">
        <v>1200</v>
      </c>
      <c r="AK281" s="754"/>
      <c r="AL281" s="754"/>
      <c r="AM281" s="757">
        <v>1100</v>
      </c>
      <c r="AN281" s="757">
        <v>1000</v>
      </c>
      <c r="AO281" s="762"/>
      <c r="AP281" s="769"/>
      <c r="AQ281" s="769"/>
      <c r="AR281" s="769">
        <v>900</v>
      </c>
      <c r="AS281" s="769">
        <v>1600</v>
      </c>
      <c r="AT281" s="769">
        <v>120</v>
      </c>
      <c r="AU281" s="769">
        <v>120</v>
      </c>
      <c r="AV281" s="2664"/>
      <c r="AW281" s="754"/>
      <c r="AX281" s="757">
        <v>900</v>
      </c>
      <c r="AY281" s="757">
        <v>1200</v>
      </c>
      <c r="AZ281" s="757">
        <v>1440</v>
      </c>
      <c r="BA281" s="757">
        <v>1600</v>
      </c>
      <c r="BB281" s="757">
        <v>2040</v>
      </c>
      <c r="BC281" s="769">
        <v>37.5</v>
      </c>
      <c r="BD281" s="769">
        <v>650</v>
      </c>
      <c r="BE281" s="759">
        <v>650</v>
      </c>
      <c r="BF281" s="767">
        <v>1600</v>
      </c>
      <c r="BG281" s="762"/>
      <c r="BH281" s="771">
        <v>850</v>
      </c>
      <c r="BI281" s="771">
        <v>950</v>
      </c>
      <c r="BJ281" s="771">
        <v>950</v>
      </c>
      <c r="BK281" s="771">
        <v>900</v>
      </c>
      <c r="BL281" s="771">
        <v>1000</v>
      </c>
      <c r="BM281" s="771">
        <v>1000</v>
      </c>
      <c r="BN281" s="754"/>
      <c r="BO281" s="754"/>
      <c r="BP281" s="754"/>
      <c r="BQ281" s="762"/>
      <c r="BR281" s="772">
        <v>1750</v>
      </c>
      <c r="BS281" s="773">
        <v>1850</v>
      </c>
      <c r="BT281" s="773">
        <v>1950</v>
      </c>
      <c r="BU281" s="773">
        <v>350</v>
      </c>
      <c r="BV281" s="777">
        <v>400</v>
      </c>
      <c r="BW281" s="777">
        <v>450</v>
      </c>
      <c r="BX281" s="777">
        <v>4500</v>
      </c>
      <c r="BY281" s="762"/>
      <c r="BZ281" s="774">
        <v>550</v>
      </c>
      <c r="CA281" s="755">
        <v>600</v>
      </c>
      <c r="CB281" s="755">
        <v>650</v>
      </c>
      <c r="CC281" s="755">
        <v>700</v>
      </c>
      <c r="CD281" s="806">
        <v>600</v>
      </c>
      <c r="CE281" s="755">
        <v>650</v>
      </c>
      <c r="CF281" s="755">
        <v>700</v>
      </c>
      <c r="CG281" s="755">
        <v>750</v>
      </c>
      <c r="CH281" s="806">
        <v>650</v>
      </c>
      <c r="CI281" s="755">
        <v>700</v>
      </c>
      <c r="CJ281" s="755">
        <v>750</v>
      </c>
      <c r="CK281" s="806">
        <v>650</v>
      </c>
      <c r="CL281" s="755">
        <v>700</v>
      </c>
      <c r="CM281" s="755">
        <v>750</v>
      </c>
      <c r="CN281" s="756"/>
      <c r="CO281" s="757">
        <v>800</v>
      </c>
      <c r="CP281" s="757">
        <v>900</v>
      </c>
      <c r="CQ281" s="757">
        <v>950</v>
      </c>
      <c r="CR281" s="757">
        <v>1050</v>
      </c>
      <c r="CS281" s="757">
        <v>900</v>
      </c>
      <c r="CT281" s="757">
        <v>950</v>
      </c>
      <c r="CU281" s="757">
        <v>1050</v>
      </c>
      <c r="CV281" s="757">
        <v>1100</v>
      </c>
      <c r="CW281" s="757">
        <v>950</v>
      </c>
      <c r="CX281" s="757">
        <v>1050</v>
      </c>
      <c r="CY281" s="757">
        <v>1100</v>
      </c>
      <c r="CZ281" s="757">
        <v>950</v>
      </c>
      <c r="DA281" s="757">
        <v>1050</v>
      </c>
      <c r="DB281" s="757">
        <v>1100</v>
      </c>
      <c r="DC281" s="758"/>
      <c r="DD281" s="762"/>
      <c r="DE281" s="752">
        <v>3900</v>
      </c>
      <c r="DF281" s="752">
        <v>4500</v>
      </c>
      <c r="DG281" s="752">
        <v>4300</v>
      </c>
      <c r="DH281" s="752">
        <v>5200</v>
      </c>
      <c r="DI281" s="752">
        <v>4100</v>
      </c>
      <c r="DJ281" s="752">
        <v>4750</v>
      </c>
      <c r="DK281" s="775">
        <v>3350</v>
      </c>
      <c r="DL281" s="752">
        <v>3550</v>
      </c>
      <c r="DM281" s="752">
        <v>6250</v>
      </c>
      <c r="DN281" s="752">
        <v>6250</v>
      </c>
      <c r="DO281" s="752">
        <v>6250</v>
      </c>
      <c r="DP281" s="752">
        <v>1900</v>
      </c>
      <c r="DQ281" s="752">
        <v>2200</v>
      </c>
      <c r="DR281" s="752">
        <v>1000</v>
      </c>
      <c r="DS281" s="776"/>
      <c r="DT281" s="759">
        <v>6950</v>
      </c>
      <c r="DU281" s="759"/>
      <c r="DV281" s="759"/>
      <c r="DW281" s="2670"/>
      <c r="DX281" s="760"/>
      <c r="DY281" s="759">
        <v>11000</v>
      </c>
      <c r="DZ281" s="761"/>
      <c r="EA281" s="811">
        <v>13900</v>
      </c>
      <c r="EB281" s="812">
        <v>8687.5</v>
      </c>
      <c r="EC281" s="2960"/>
      <c r="ED281" s="2960"/>
      <c r="EE281" s="811"/>
      <c r="EF281" s="812"/>
      <c r="EG281" s="811"/>
      <c r="EH281" s="812"/>
      <c r="EI281" s="811">
        <v>21950</v>
      </c>
      <c r="EJ281" s="812">
        <v>13718.75</v>
      </c>
      <c r="EK281" s="761"/>
      <c r="EL281" s="761"/>
      <c r="EM281" s="761"/>
      <c r="EN281" s="761"/>
      <c r="EO281" s="761"/>
      <c r="EP281" s="761"/>
    </row>
    <row r="282" spans="1:146" s="1651" customFormat="1" hidden="1" outlineLevel="2">
      <c r="A282" s="5022"/>
      <c r="B282" s="1722" t="s">
        <v>718</v>
      </c>
      <c r="C282" s="1721">
        <v>1.0714285714285714</v>
      </c>
      <c r="D282" s="763"/>
      <c r="E282" s="763">
        <v>1500</v>
      </c>
      <c r="F282" s="769">
        <v>2350</v>
      </c>
      <c r="G282" s="765">
        <v>1650</v>
      </c>
      <c r="H282" s="765">
        <v>1750</v>
      </c>
      <c r="I282" s="781"/>
      <c r="J282" s="1174">
        <v>1500</v>
      </c>
      <c r="K282" s="751">
        <v>3000</v>
      </c>
      <c r="L282" s="751">
        <v>2650</v>
      </c>
      <c r="M282" s="753"/>
      <c r="N282" s="753"/>
      <c r="O282" s="753"/>
      <c r="P282" s="753"/>
      <c r="Q282" s="762"/>
      <c r="R282" s="769"/>
      <c r="S282" s="769">
        <v>1200</v>
      </c>
      <c r="T282" s="769">
        <v>1050</v>
      </c>
      <c r="U282" s="769">
        <v>1200</v>
      </c>
      <c r="V282" s="769">
        <v>1200</v>
      </c>
      <c r="W282" s="769">
        <v>1350</v>
      </c>
      <c r="X282" s="1807"/>
      <c r="Y282" s="1807"/>
      <c r="Z282" s="1807"/>
      <c r="AA282" s="1807"/>
      <c r="AB282" s="769">
        <v>1950</v>
      </c>
      <c r="AC282" s="764"/>
      <c r="AD282" s="764"/>
      <c r="AE282" s="770"/>
      <c r="AF282" s="764"/>
      <c r="AG282" s="765">
        <v>1200</v>
      </c>
      <c r="AH282" s="2665"/>
      <c r="AI282" s="2665"/>
      <c r="AJ282" s="765">
        <v>1300</v>
      </c>
      <c r="AK282" s="754"/>
      <c r="AL282" s="754"/>
      <c r="AM282" s="757">
        <v>1200</v>
      </c>
      <c r="AN282" s="757">
        <v>1050</v>
      </c>
      <c r="AO282" s="762"/>
      <c r="AP282" s="769"/>
      <c r="AQ282" s="769"/>
      <c r="AR282" s="769">
        <v>950</v>
      </c>
      <c r="AS282" s="769">
        <v>1700</v>
      </c>
      <c r="AT282" s="769">
        <v>130</v>
      </c>
      <c r="AU282" s="769">
        <v>130</v>
      </c>
      <c r="AV282" s="2664"/>
      <c r="AW282" s="754"/>
      <c r="AX282" s="757">
        <v>950</v>
      </c>
      <c r="AY282" s="757">
        <v>1270</v>
      </c>
      <c r="AZ282" s="757">
        <v>1520</v>
      </c>
      <c r="BA282" s="757">
        <v>1700</v>
      </c>
      <c r="BB282" s="757">
        <v>2160</v>
      </c>
      <c r="BC282" s="769">
        <v>37.5</v>
      </c>
      <c r="BD282" s="769">
        <v>700</v>
      </c>
      <c r="BE282" s="759">
        <v>700</v>
      </c>
      <c r="BF282" s="767">
        <v>1700</v>
      </c>
      <c r="BG282" s="762"/>
      <c r="BH282" s="771">
        <v>900</v>
      </c>
      <c r="BI282" s="771">
        <v>1050</v>
      </c>
      <c r="BJ282" s="771">
        <v>1050</v>
      </c>
      <c r="BK282" s="771">
        <v>950</v>
      </c>
      <c r="BL282" s="771">
        <v>1150</v>
      </c>
      <c r="BM282" s="771">
        <v>1150</v>
      </c>
      <c r="BN282" s="754"/>
      <c r="BO282" s="754"/>
      <c r="BP282" s="754"/>
      <c r="BQ282" s="762"/>
      <c r="BR282" s="772">
        <v>1850</v>
      </c>
      <c r="BS282" s="773">
        <v>1950</v>
      </c>
      <c r="BT282" s="773">
        <v>2050</v>
      </c>
      <c r="BU282" s="773">
        <v>400</v>
      </c>
      <c r="BV282" s="777">
        <v>450</v>
      </c>
      <c r="BW282" s="777">
        <v>500</v>
      </c>
      <c r="BX282" s="777">
        <v>4750</v>
      </c>
      <c r="BY282" s="762"/>
      <c r="BZ282" s="774">
        <v>600</v>
      </c>
      <c r="CA282" s="755">
        <v>650</v>
      </c>
      <c r="CB282" s="755">
        <v>700</v>
      </c>
      <c r="CC282" s="755">
        <v>750</v>
      </c>
      <c r="CD282" s="806">
        <v>650</v>
      </c>
      <c r="CE282" s="755">
        <v>700</v>
      </c>
      <c r="CF282" s="755">
        <v>750</v>
      </c>
      <c r="CG282" s="755">
        <v>800</v>
      </c>
      <c r="CH282" s="806">
        <v>700</v>
      </c>
      <c r="CI282" s="755">
        <v>750</v>
      </c>
      <c r="CJ282" s="755">
        <v>800</v>
      </c>
      <c r="CK282" s="806">
        <v>700</v>
      </c>
      <c r="CL282" s="755">
        <v>750</v>
      </c>
      <c r="CM282" s="755">
        <v>800</v>
      </c>
      <c r="CN282" s="756"/>
      <c r="CO282" s="757">
        <v>900</v>
      </c>
      <c r="CP282" s="757">
        <v>950</v>
      </c>
      <c r="CQ282" s="757">
        <v>1050</v>
      </c>
      <c r="CR282" s="757">
        <v>1100</v>
      </c>
      <c r="CS282" s="757">
        <v>950</v>
      </c>
      <c r="CT282" s="757">
        <v>1050</v>
      </c>
      <c r="CU282" s="757">
        <v>1100</v>
      </c>
      <c r="CV282" s="757">
        <v>1200</v>
      </c>
      <c r="CW282" s="757">
        <v>1050</v>
      </c>
      <c r="CX282" s="757">
        <v>1100</v>
      </c>
      <c r="CY282" s="757">
        <v>1200</v>
      </c>
      <c r="CZ282" s="757">
        <v>1050</v>
      </c>
      <c r="DA282" s="757">
        <v>1100</v>
      </c>
      <c r="DB282" s="757">
        <v>1200</v>
      </c>
      <c r="DC282" s="758"/>
      <c r="DD282" s="762"/>
      <c r="DE282" s="752">
        <v>4100</v>
      </c>
      <c r="DF282" s="752">
        <v>4750</v>
      </c>
      <c r="DG282" s="752">
        <v>4550</v>
      </c>
      <c r="DH282" s="752">
        <v>5500</v>
      </c>
      <c r="DI282" s="752">
        <v>4350</v>
      </c>
      <c r="DJ282" s="752">
        <v>5050</v>
      </c>
      <c r="DK282" s="775">
        <v>3550</v>
      </c>
      <c r="DL282" s="752">
        <v>3750</v>
      </c>
      <c r="DM282" s="752">
        <v>6600</v>
      </c>
      <c r="DN282" s="752">
        <v>6600</v>
      </c>
      <c r="DO282" s="752">
        <v>6600</v>
      </c>
      <c r="DP282" s="752">
        <v>2050</v>
      </c>
      <c r="DQ282" s="752">
        <v>2400</v>
      </c>
      <c r="DR282" s="752">
        <v>1050</v>
      </c>
      <c r="DS282" s="776"/>
      <c r="DT282" s="759">
        <v>7250</v>
      </c>
      <c r="DU282" s="759">
        <v>11000</v>
      </c>
      <c r="DV282" s="810">
        <v>2750</v>
      </c>
      <c r="DW282" s="2956"/>
      <c r="DX282" s="760"/>
      <c r="DY282" s="759">
        <v>11200</v>
      </c>
      <c r="DZ282" s="761"/>
      <c r="EA282" s="811">
        <v>14500</v>
      </c>
      <c r="EB282" s="812">
        <v>9062.5</v>
      </c>
      <c r="EC282" s="2960"/>
      <c r="ED282" s="2960"/>
      <c r="EE282" s="811"/>
      <c r="EF282" s="812"/>
      <c r="EG282" s="811"/>
      <c r="EH282" s="812"/>
      <c r="EI282" s="811">
        <v>22400</v>
      </c>
      <c r="EJ282" s="812">
        <v>14000</v>
      </c>
      <c r="EK282" s="761"/>
      <c r="EL282" s="761"/>
      <c r="EM282" s="761"/>
      <c r="EN282" s="761"/>
      <c r="EO282" s="761"/>
      <c r="EP282" s="761"/>
    </row>
    <row r="283" spans="1:146" s="1651" customFormat="1" hidden="1" outlineLevel="2">
      <c r="A283" s="5027"/>
      <c r="B283" s="1722" t="s">
        <v>103</v>
      </c>
      <c r="C283" s="1721">
        <v>1.1000000000000001</v>
      </c>
      <c r="D283" s="763"/>
      <c r="E283" s="763">
        <v>1650</v>
      </c>
      <c r="F283" s="769">
        <v>2600</v>
      </c>
      <c r="G283" s="765">
        <v>1850</v>
      </c>
      <c r="H283" s="765">
        <v>1950</v>
      </c>
      <c r="I283" s="781"/>
      <c r="J283" s="1174">
        <v>1650</v>
      </c>
      <c r="K283" s="751">
        <v>3300</v>
      </c>
      <c r="L283" s="751">
        <v>2900</v>
      </c>
      <c r="M283" s="753"/>
      <c r="N283" s="753"/>
      <c r="O283" s="753"/>
      <c r="P283" s="753"/>
      <c r="Q283" s="762"/>
      <c r="R283" s="769"/>
      <c r="S283" s="769">
        <v>1350</v>
      </c>
      <c r="T283" s="769">
        <v>1200</v>
      </c>
      <c r="U283" s="769">
        <v>1350</v>
      </c>
      <c r="V283" s="769">
        <v>1350</v>
      </c>
      <c r="W283" s="769">
        <v>1500</v>
      </c>
      <c r="X283" s="1807"/>
      <c r="Y283" s="1807"/>
      <c r="Z283" s="1807"/>
      <c r="AA283" s="1807"/>
      <c r="AB283" s="769">
        <v>2200</v>
      </c>
      <c r="AC283" s="764"/>
      <c r="AD283" s="764"/>
      <c r="AE283" s="770"/>
      <c r="AF283" s="764"/>
      <c r="AG283" s="765">
        <v>1350</v>
      </c>
      <c r="AH283" s="2665"/>
      <c r="AI283" s="2665"/>
      <c r="AJ283" s="765">
        <v>1450</v>
      </c>
      <c r="AK283" s="754"/>
      <c r="AL283" s="754"/>
      <c r="AM283" s="757">
        <v>1350</v>
      </c>
      <c r="AN283" s="757">
        <v>1200</v>
      </c>
      <c r="AO283" s="762"/>
      <c r="AP283" s="769"/>
      <c r="AQ283" s="769"/>
      <c r="AR283" s="769">
        <v>1100</v>
      </c>
      <c r="AS283" s="769">
        <v>1950</v>
      </c>
      <c r="AT283" s="769">
        <v>150</v>
      </c>
      <c r="AU283" s="769">
        <v>150</v>
      </c>
      <c r="AV283" s="2664"/>
      <c r="AW283" s="754"/>
      <c r="AX283" s="757">
        <v>1100</v>
      </c>
      <c r="AY283" s="757">
        <v>1470</v>
      </c>
      <c r="AZ283" s="757">
        <v>1760</v>
      </c>
      <c r="BA283" s="757">
        <v>1950</v>
      </c>
      <c r="BB283" s="757">
        <v>2500</v>
      </c>
      <c r="BC283" s="769">
        <v>37.5</v>
      </c>
      <c r="BD283" s="769">
        <v>800</v>
      </c>
      <c r="BE283" s="759">
        <v>800</v>
      </c>
      <c r="BF283" s="767">
        <v>1950</v>
      </c>
      <c r="BG283" s="762"/>
      <c r="BH283" s="771">
        <v>1050</v>
      </c>
      <c r="BI283" s="771">
        <v>1150</v>
      </c>
      <c r="BJ283" s="771">
        <v>1150</v>
      </c>
      <c r="BK283" s="771">
        <v>1150</v>
      </c>
      <c r="BL283" s="771">
        <v>1250</v>
      </c>
      <c r="BM283" s="771">
        <v>1250</v>
      </c>
      <c r="BN283" s="754"/>
      <c r="BO283" s="754"/>
      <c r="BP283" s="754"/>
      <c r="BQ283" s="762"/>
      <c r="BR283" s="772">
        <v>2050</v>
      </c>
      <c r="BS283" s="773">
        <v>2200</v>
      </c>
      <c r="BT283" s="773">
        <v>2350</v>
      </c>
      <c r="BU283" s="773">
        <v>450</v>
      </c>
      <c r="BV283" s="777">
        <v>500</v>
      </c>
      <c r="BW283" s="777">
        <v>550</v>
      </c>
      <c r="BX283" s="777">
        <v>5450</v>
      </c>
      <c r="BY283" s="762"/>
      <c r="BZ283" s="774">
        <v>650</v>
      </c>
      <c r="CA283" s="755">
        <v>700</v>
      </c>
      <c r="CB283" s="755">
        <v>750</v>
      </c>
      <c r="CC283" s="755">
        <v>800</v>
      </c>
      <c r="CD283" s="806">
        <v>700</v>
      </c>
      <c r="CE283" s="755">
        <v>750</v>
      </c>
      <c r="CF283" s="755">
        <v>800</v>
      </c>
      <c r="CG283" s="755">
        <v>850</v>
      </c>
      <c r="CH283" s="806">
        <v>750</v>
      </c>
      <c r="CI283" s="755">
        <v>800</v>
      </c>
      <c r="CJ283" s="755">
        <v>850</v>
      </c>
      <c r="CK283" s="806">
        <v>750</v>
      </c>
      <c r="CL283" s="755">
        <v>800</v>
      </c>
      <c r="CM283" s="755">
        <v>850</v>
      </c>
      <c r="CN283" s="756"/>
      <c r="CO283" s="757">
        <v>950</v>
      </c>
      <c r="CP283" s="757">
        <v>1050</v>
      </c>
      <c r="CQ283" s="757">
        <v>1100</v>
      </c>
      <c r="CR283" s="757">
        <v>1200</v>
      </c>
      <c r="CS283" s="757">
        <v>1050</v>
      </c>
      <c r="CT283" s="757">
        <v>1100</v>
      </c>
      <c r="CU283" s="757">
        <v>1200</v>
      </c>
      <c r="CV283" s="757">
        <v>1250</v>
      </c>
      <c r="CW283" s="757">
        <v>1100</v>
      </c>
      <c r="CX283" s="757">
        <v>1200</v>
      </c>
      <c r="CY283" s="757">
        <v>1250</v>
      </c>
      <c r="CZ283" s="757">
        <v>1100</v>
      </c>
      <c r="DA283" s="757">
        <v>1200</v>
      </c>
      <c r="DB283" s="757">
        <v>1250</v>
      </c>
      <c r="DC283" s="758"/>
      <c r="DD283" s="762"/>
      <c r="DE283" s="752">
        <v>4450</v>
      </c>
      <c r="DF283" s="752">
        <v>5150</v>
      </c>
      <c r="DG283" s="752">
        <v>4900</v>
      </c>
      <c r="DH283" s="752">
        <v>5900</v>
      </c>
      <c r="DI283" s="752">
        <v>4700</v>
      </c>
      <c r="DJ283" s="752">
        <v>5450</v>
      </c>
      <c r="DK283" s="775">
        <v>3850</v>
      </c>
      <c r="DL283" s="752">
        <v>4050</v>
      </c>
      <c r="DM283" s="752">
        <v>7150</v>
      </c>
      <c r="DN283" s="752">
        <v>7150</v>
      </c>
      <c r="DO283" s="752">
        <v>7150</v>
      </c>
      <c r="DP283" s="752">
        <v>2350</v>
      </c>
      <c r="DQ283" s="752">
        <v>2750</v>
      </c>
      <c r="DR283" s="752">
        <v>1200</v>
      </c>
      <c r="DS283" s="776"/>
      <c r="DT283" s="759">
        <v>8250</v>
      </c>
      <c r="DU283" s="759">
        <v>11800</v>
      </c>
      <c r="DV283" s="810">
        <v>2950</v>
      </c>
      <c r="DW283" s="2956"/>
      <c r="DX283" s="760"/>
      <c r="DY283" s="759">
        <v>12100</v>
      </c>
      <c r="DZ283" s="761"/>
      <c r="EA283" s="811">
        <v>16500</v>
      </c>
      <c r="EB283" s="812">
        <v>10312.5</v>
      </c>
      <c r="EC283" s="2960"/>
      <c r="ED283" s="2960"/>
      <c r="EE283" s="811"/>
      <c r="EF283" s="812"/>
      <c r="EG283" s="811"/>
      <c r="EH283" s="812"/>
      <c r="EI283" s="811">
        <v>24200</v>
      </c>
      <c r="EJ283" s="812">
        <v>15125</v>
      </c>
      <c r="EK283" s="761"/>
      <c r="EL283" s="761"/>
      <c r="EM283" s="761"/>
      <c r="EN283" s="761"/>
      <c r="EO283" s="761"/>
      <c r="EP283" s="761"/>
    </row>
    <row r="284" spans="1:146" s="1651" customFormat="1" ht="15.75" hidden="1" outlineLevel="2">
      <c r="A284" s="1719" t="s">
        <v>30</v>
      </c>
      <c r="B284" s="1723" t="s">
        <v>284</v>
      </c>
      <c r="C284" s="1724">
        <v>1.631578947368421</v>
      </c>
      <c r="D284" s="763"/>
      <c r="E284" s="763">
        <v>1550</v>
      </c>
      <c r="F284" s="769">
        <v>2450</v>
      </c>
      <c r="G284" s="765">
        <v>1750</v>
      </c>
      <c r="H284" s="765">
        <v>1850</v>
      </c>
      <c r="I284" s="779">
        <v>1750</v>
      </c>
      <c r="J284" s="1174">
        <v>1550</v>
      </c>
      <c r="K284" s="751">
        <v>3100</v>
      </c>
      <c r="L284" s="751">
        <v>2750</v>
      </c>
      <c r="M284" s="753"/>
      <c r="N284" s="753"/>
      <c r="O284" s="753"/>
      <c r="P284" s="753"/>
      <c r="Q284" s="778"/>
      <c r="R284" s="769"/>
      <c r="S284" s="769">
        <v>1250</v>
      </c>
      <c r="T284" s="769">
        <v>1100</v>
      </c>
      <c r="U284" s="769">
        <v>1250</v>
      </c>
      <c r="V284" s="769">
        <v>1250</v>
      </c>
      <c r="W284" s="769">
        <v>1400</v>
      </c>
      <c r="X284" s="1807"/>
      <c r="Y284" s="1807"/>
      <c r="Z284" s="1807"/>
      <c r="AA284" s="1807"/>
      <c r="AB284" s="769"/>
      <c r="AC284" s="769">
        <v>2000</v>
      </c>
      <c r="AD284" s="769"/>
      <c r="AE284" s="769"/>
      <c r="AF284" s="769">
        <v>0</v>
      </c>
      <c r="AG284" s="765">
        <v>1250</v>
      </c>
      <c r="AH284" s="2665"/>
      <c r="AI284" s="2665"/>
      <c r="AJ284" s="765">
        <v>1350</v>
      </c>
      <c r="AK284" s="779">
        <v>2000</v>
      </c>
      <c r="AL284" s="779">
        <v>0</v>
      </c>
      <c r="AM284" s="757">
        <v>1250</v>
      </c>
      <c r="AN284" s="757">
        <v>1100</v>
      </c>
      <c r="AO284" s="778"/>
      <c r="AP284" s="769"/>
      <c r="AQ284" s="769"/>
      <c r="AR284" s="769">
        <v>1000</v>
      </c>
      <c r="AS284" s="769">
        <v>1750</v>
      </c>
      <c r="AT284" s="769">
        <v>135</v>
      </c>
      <c r="AU284" s="769">
        <v>135</v>
      </c>
      <c r="AV284" s="2685"/>
      <c r="AW284" s="779">
        <v>0</v>
      </c>
      <c r="AX284" s="757">
        <v>1000</v>
      </c>
      <c r="AY284" s="757">
        <v>1340</v>
      </c>
      <c r="AZ284" s="757">
        <v>1600</v>
      </c>
      <c r="BA284" s="757">
        <v>1750</v>
      </c>
      <c r="BB284" s="757">
        <v>2270</v>
      </c>
      <c r="BC284" s="769">
        <v>37.5</v>
      </c>
      <c r="BD284" s="769">
        <v>750</v>
      </c>
      <c r="BE284" s="759">
        <v>750</v>
      </c>
      <c r="BF284" s="767">
        <v>1750</v>
      </c>
      <c r="BG284" s="778"/>
      <c r="BH284" s="771">
        <v>950</v>
      </c>
      <c r="BI284" s="771">
        <v>1100</v>
      </c>
      <c r="BJ284" s="771">
        <v>1100</v>
      </c>
      <c r="BK284" s="771">
        <v>1000</v>
      </c>
      <c r="BL284" s="771">
        <v>1200</v>
      </c>
      <c r="BM284" s="771">
        <v>1200</v>
      </c>
      <c r="BN284" s="771">
        <v>0</v>
      </c>
      <c r="BO284" s="771">
        <v>0</v>
      </c>
      <c r="BP284" s="771">
        <v>0</v>
      </c>
      <c r="BQ284" s="778"/>
      <c r="BR284" s="772">
        <v>1950</v>
      </c>
      <c r="BS284" s="773">
        <v>2050</v>
      </c>
      <c r="BT284" s="773">
        <v>2200</v>
      </c>
      <c r="BU284" s="773">
        <v>400</v>
      </c>
      <c r="BV284" s="777">
        <v>450</v>
      </c>
      <c r="BW284" s="777">
        <v>500</v>
      </c>
      <c r="BX284" s="777">
        <v>5100</v>
      </c>
      <c r="BY284" s="778"/>
      <c r="BZ284" s="774">
        <v>600</v>
      </c>
      <c r="CA284" s="755">
        <v>650</v>
      </c>
      <c r="CB284" s="755">
        <v>700</v>
      </c>
      <c r="CC284" s="755">
        <v>750</v>
      </c>
      <c r="CD284" s="806">
        <v>650</v>
      </c>
      <c r="CE284" s="755">
        <v>700</v>
      </c>
      <c r="CF284" s="755">
        <v>750</v>
      </c>
      <c r="CG284" s="755">
        <v>800</v>
      </c>
      <c r="CH284" s="806">
        <v>700</v>
      </c>
      <c r="CI284" s="755">
        <v>750</v>
      </c>
      <c r="CJ284" s="755">
        <v>800</v>
      </c>
      <c r="CK284" s="806">
        <v>700</v>
      </c>
      <c r="CL284" s="755">
        <v>750</v>
      </c>
      <c r="CM284" s="755">
        <v>800</v>
      </c>
      <c r="CN284" s="755">
        <v>0</v>
      </c>
      <c r="CO284" s="757">
        <v>900</v>
      </c>
      <c r="CP284" s="757">
        <v>950</v>
      </c>
      <c r="CQ284" s="757">
        <v>1050</v>
      </c>
      <c r="CR284" s="757">
        <v>1100</v>
      </c>
      <c r="CS284" s="757">
        <v>950</v>
      </c>
      <c r="CT284" s="757">
        <v>1050</v>
      </c>
      <c r="CU284" s="757">
        <v>1100</v>
      </c>
      <c r="CV284" s="757">
        <v>1200</v>
      </c>
      <c r="CW284" s="757">
        <v>1050</v>
      </c>
      <c r="CX284" s="757">
        <v>1100</v>
      </c>
      <c r="CY284" s="757">
        <v>1200</v>
      </c>
      <c r="CZ284" s="757">
        <v>1050</v>
      </c>
      <c r="DA284" s="757">
        <v>1100</v>
      </c>
      <c r="DB284" s="757">
        <v>1200</v>
      </c>
      <c r="DC284" s="757">
        <v>0</v>
      </c>
      <c r="DD284" s="778"/>
      <c r="DE284" s="752">
        <v>4100</v>
      </c>
      <c r="DF284" s="752">
        <v>4750</v>
      </c>
      <c r="DG284" s="752">
        <v>4550</v>
      </c>
      <c r="DH284" s="752">
        <v>5500</v>
      </c>
      <c r="DI284" s="752">
        <v>4350</v>
      </c>
      <c r="DJ284" s="752">
        <v>5050</v>
      </c>
      <c r="DK284" s="775">
        <v>3550</v>
      </c>
      <c r="DL284" s="752">
        <v>3750</v>
      </c>
      <c r="DM284" s="752"/>
      <c r="DN284" s="752"/>
      <c r="DO284" s="752"/>
      <c r="DP284" s="752">
        <v>2100</v>
      </c>
      <c r="DQ284" s="752">
        <v>2450</v>
      </c>
      <c r="DR284" s="752">
        <v>1100</v>
      </c>
      <c r="DS284" s="780"/>
      <c r="DT284" s="759">
        <v>6750</v>
      </c>
      <c r="DU284" s="759">
        <v>11000</v>
      </c>
      <c r="DV284" s="810">
        <v>2750</v>
      </c>
      <c r="DW284" s="2956"/>
      <c r="DX284" s="759">
        <v>9950</v>
      </c>
      <c r="DY284" s="759">
        <v>15300</v>
      </c>
      <c r="DZ284" s="761"/>
      <c r="EA284" s="811">
        <v>13500</v>
      </c>
      <c r="EB284" s="812">
        <v>8437.5</v>
      </c>
      <c r="EC284" s="2960"/>
      <c r="ED284" s="2960"/>
      <c r="EE284" s="811">
        <v>19900</v>
      </c>
      <c r="EF284" s="812">
        <v>12437.5</v>
      </c>
      <c r="EG284" s="811">
        <v>30600</v>
      </c>
      <c r="EH284" s="812">
        <v>19125</v>
      </c>
      <c r="EI284" s="811"/>
      <c r="EJ284" s="812"/>
      <c r="EK284" s="761"/>
      <c r="EL284" s="761"/>
      <c r="EM284" s="761"/>
      <c r="EN284" s="761"/>
      <c r="EO284" s="761"/>
      <c r="EP284" s="761"/>
    </row>
    <row r="285" spans="1:146" s="1651" customFormat="1" hidden="1" outlineLevel="2">
      <c r="B285" s="4935" t="s">
        <v>286</v>
      </c>
      <c r="C285" s="4936"/>
      <c r="CH285" s="1725">
        <v>330</v>
      </c>
      <c r="CI285" s="1725">
        <v>345</v>
      </c>
      <c r="CJ285" s="1725">
        <v>360</v>
      </c>
      <c r="CK285" s="1725">
        <v>330</v>
      </c>
      <c r="CL285" s="1725">
        <v>345</v>
      </c>
      <c r="CM285" s="1725">
        <v>360</v>
      </c>
      <c r="CN285" s="1725">
        <v>380</v>
      </c>
      <c r="CW285" s="1725">
        <v>330</v>
      </c>
      <c r="CX285" s="1725">
        <v>345</v>
      </c>
      <c r="CY285" s="1725">
        <v>360</v>
      </c>
      <c r="CZ285" s="1725">
        <v>330</v>
      </c>
      <c r="DA285" s="1725">
        <v>345</v>
      </c>
      <c r="DB285" s="1725">
        <v>360</v>
      </c>
      <c r="DC285" s="1725">
        <v>380</v>
      </c>
    </row>
    <row r="286" spans="1:146" s="1651" customFormat="1" hidden="1" outlineLevel="2">
      <c r="B286" s="4952" t="s">
        <v>285</v>
      </c>
      <c r="C286" s="4953"/>
      <c r="CH286" s="1725">
        <v>265</v>
      </c>
      <c r="CI286" s="1725">
        <v>275</v>
      </c>
      <c r="CJ286" s="1725">
        <v>290</v>
      </c>
      <c r="CK286" s="1725">
        <v>265</v>
      </c>
      <c r="CL286" s="1725">
        <v>275</v>
      </c>
      <c r="CM286" s="1725">
        <v>290</v>
      </c>
      <c r="CN286" s="1725">
        <v>305</v>
      </c>
      <c r="CW286" s="1725">
        <v>265</v>
      </c>
      <c r="CX286" s="1725">
        <v>275</v>
      </c>
      <c r="CY286" s="1725">
        <v>290</v>
      </c>
      <c r="CZ286" s="1725">
        <v>265</v>
      </c>
      <c r="DA286" s="1725">
        <v>275</v>
      </c>
      <c r="DB286" s="1725">
        <v>290</v>
      </c>
      <c r="DC286" s="1725">
        <v>305</v>
      </c>
    </row>
    <row r="287" spans="1:146" s="1651" customFormat="1" hidden="1" outlineLevel="2">
      <c r="C287" s="1640"/>
    </row>
    <row r="288" spans="1:146" s="1651" customFormat="1" hidden="1" outlineLevel="1">
      <c r="C288" s="1640"/>
    </row>
    <row r="289" spans="3:6" s="1651" customFormat="1" hidden="1" outlineLevel="1">
      <c r="C289" s="1640"/>
    </row>
    <row r="290" spans="3:6" s="1651" customFormat="1" ht="13.5" hidden="1" outlineLevel="1" thickBot="1">
      <c r="C290" s="1640"/>
    </row>
    <row r="291" spans="3:6" s="1651" customFormat="1" ht="30.75" hidden="1" outlineLevel="1" thickBot="1">
      <c r="C291" s="1640"/>
      <c r="E291" s="2190" t="s">
        <v>3070</v>
      </c>
      <c r="F291" s="1651">
        <v>2000</v>
      </c>
    </row>
    <row r="292" spans="3:6" s="1651" customFormat="1" ht="30.75" hidden="1" collapsed="1" thickBot="1">
      <c r="C292" s="1640"/>
      <c r="E292" s="2190" t="s">
        <v>3071</v>
      </c>
      <c r="F292" s="1651">
        <v>2000</v>
      </c>
    </row>
    <row r="293" spans="3:6" s="1651" customFormat="1" ht="30.75" hidden="1" thickBot="1">
      <c r="C293" s="1640"/>
      <c r="E293" s="2190" t="s">
        <v>3072</v>
      </c>
      <c r="F293" s="1651">
        <v>2200</v>
      </c>
    </row>
    <row r="294" spans="3:6" s="1651" customFormat="1" ht="105" hidden="1">
      <c r="C294" s="1640"/>
      <c r="E294" s="3506" t="s">
        <v>3073</v>
      </c>
      <c r="F294" s="1651">
        <v>4100</v>
      </c>
    </row>
    <row r="295" spans="3:6" s="1651" customFormat="1" ht="120" hidden="1">
      <c r="C295" s="1640"/>
      <c r="E295" s="3506" t="s">
        <v>3074</v>
      </c>
      <c r="F295" s="1651">
        <v>3450</v>
      </c>
    </row>
    <row r="296" spans="3:6" s="1651" customFormat="1" ht="75" hidden="1">
      <c r="C296" s="1640"/>
      <c r="E296" s="3506" t="s">
        <v>3075</v>
      </c>
      <c r="F296" s="1651">
        <v>3850</v>
      </c>
    </row>
    <row r="297" spans="3:6" s="1651" customFormat="1" ht="15.75" hidden="1" thickBot="1">
      <c r="C297" s="1640"/>
      <c r="E297" s="3507"/>
      <c r="F297" s="1651">
        <v>0</v>
      </c>
    </row>
    <row r="298" spans="3:6" s="1651" customFormat="1" ht="60.75" hidden="1" thickBot="1">
      <c r="C298" s="1640"/>
      <c r="E298" s="2190" t="s">
        <v>3076</v>
      </c>
      <c r="F298" s="1651">
        <v>1050</v>
      </c>
    </row>
    <row r="299" spans="3:6" s="1651" customFormat="1" ht="45.75" hidden="1" thickBot="1">
      <c r="C299" s="1640"/>
      <c r="E299" s="2190" t="s">
        <v>3077</v>
      </c>
      <c r="F299" s="1651">
        <v>1250</v>
      </c>
    </row>
    <row r="300" spans="3:6" s="1651" customFormat="1" ht="45.75" hidden="1" thickBot="1">
      <c r="C300" s="1640"/>
      <c r="E300" s="2190" t="s">
        <v>3078</v>
      </c>
      <c r="F300" s="1651">
        <v>1250</v>
      </c>
    </row>
    <row r="301" spans="3:6" s="1651" customFormat="1" ht="45.75" hidden="1" thickBot="1">
      <c r="C301" s="1640"/>
      <c r="E301" s="2190" t="s">
        <v>3079</v>
      </c>
      <c r="F301" s="1651">
        <v>1350</v>
      </c>
    </row>
    <row r="302" spans="3:6" s="1651" customFormat="1" ht="45.75" hidden="1" thickBot="1">
      <c r="C302" s="1640"/>
      <c r="E302" s="2190" t="s">
        <v>3080</v>
      </c>
      <c r="F302" s="1651">
        <v>1750</v>
      </c>
    </row>
    <row r="303" spans="3:6" s="1651" customFormat="1" ht="45.75" hidden="1" thickBot="1">
      <c r="C303" s="1640"/>
      <c r="E303" s="2190" t="s">
        <v>3081</v>
      </c>
      <c r="F303" s="1651">
        <v>1150</v>
      </c>
    </row>
    <row r="304" spans="3:6" s="1651" customFormat="1" ht="45.75" hidden="1" thickBot="1">
      <c r="C304" s="1640"/>
      <c r="E304" s="2190" t="s">
        <v>3082</v>
      </c>
      <c r="F304" s="1651">
        <v>1850</v>
      </c>
    </row>
    <row r="305" spans="3:6" s="1651" customFormat="1" ht="45.75" hidden="1" thickBot="1">
      <c r="C305" s="1640"/>
      <c r="E305" s="2190" t="s">
        <v>3083</v>
      </c>
      <c r="F305" s="1651">
        <v>2950</v>
      </c>
    </row>
    <row r="306" spans="3:6" s="1651" customFormat="1" ht="120.75" hidden="1" thickBot="1">
      <c r="C306" s="1640"/>
      <c r="E306" s="2190" t="s">
        <v>3084</v>
      </c>
      <c r="F306" s="1651">
        <v>1750</v>
      </c>
    </row>
    <row r="307" spans="3:6" s="1651" customFormat="1" ht="60.75" hidden="1" thickBot="1">
      <c r="C307" s="1640"/>
      <c r="E307" s="2190" t="s">
        <v>3085</v>
      </c>
      <c r="F307" s="1651">
        <v>650</v>
      </c>
    </row>
    <row r="308" spans="3:6" s="1651" customFormat="1" ht="15.75" hidden="1" thickBot="1">
      <c r="C308" s="1640"/>
      <c r="E308" s="3507"/>
      <c r="F308" s="1651">
        <v>0</v>
      </c>
    </row>
    <row r="309" spans="3:6" s="1651" customFormat="1" ht="60.75" hidden="1" thickBot="1">
      <c r="C309" s="1640"/>
      <c r="E309" s="3508" t="s">
        <v>3086</v>
      </c>
      <c r="F309" s="1651">
        <v>1450</v>
      </c>
    </row>
    <row r="310" spans="3:6" s="1651" customFormat="1" ht="60.75" hidden="1" thickBot="1">
      <c r="C310" s="1640"/>
      <c r="E310" s="3508" t="s">
        <v>3087</v>
      </c>
      <c r="F310" s="1651">
        <v>1750</v>
      </c>
    </row>
    <row r="311" spans="3:6" s="1651" customFormat="1" ht="60.75" hidden="1" thickBot="1">
      <c r="C311" s="1640"/>
      <c r="E311" s="2190" t="s">
        <v>3088</v>
      </c>
    </row>
    <row r="312" spans="3:6" s="1651" customFormat="1" ht="60.75" hidden="1" thickBot="1">
      <c r="C312" s="1640"/>
      <c r="E312" s="2190" t="s">
        <v>3089</v>
      </c>
      <c r="F312" s="1651">
        <v>1950</v>
      </c>
    </row>
    <row r="313" spans="3:6" s="1651" customFormat="1" ht="60.75" hidden="1" thickBot="1">
      <c r="C313" s="1640"/>
      <c r="E313" s="2190" t="s">
        <v>3090</v>
      </c>
      <c r="F313" s="1651">
        <v>2350</v>
      </c>
    </row>
    <row r="314" spans="3:6" s="1651" customFormat="1" ht="60.75" hidden="1" thickBot="1">
      <c r="C314" s="1640"/>
      <c r="E314" s="2190" t="s">
        <v>3091</v>
      </c>
      <c r="F314" s="1651">
        <v>2550</v>
      </c>
    </row>
    <row r="315" spans="3:6" s="1651" customFormat="1" ht="60.75" hidden="1" thickBot="1">
      <c r="C315" s="1640"/>
      <c r="E315" s="3508" t="s">
        <v>3092</v>
      </c>
      <c r="F315" s="1651">
        <v>2950</v>
      </c>
    </row>
    <row r="316" spans="3:6" s="1651" customFormat="1" ht="75.75" hidden="1" thickBot="1">
      <c r="C316" s="1640"/>
      <c r="E316" s="2190" t="s">
        <v>3093</v>
      </c>
      <c r="F316" s="1651">
        <v>3350</v>
      </c>
    </row>
    <row r="317" spans="3:6" s="1651" customFormat="1" ht="15.75" hidden="1" thickBot="1">
      <c r="C317" s="1640"/>
      <c r="E317" s="2190"/>
      <c r="F317" s="1651">
        <v>0</v>
      </c>
    </row>
    <row r="318" spans="3:6" s="1651" customFormat="1" ht="15.75" hidden="1" thickBot="1">
      <c r="C318" s="1640"/>
      <c r="E318" s="3507"/>
      <c r="F318" s="1651">
        <v>0</v>
      </c>
    </row>
    <row r="319" spans="3:6" s="1651" customFormat="1" ht="75" hidden="1">
      <c r="C319" s="1640"/>
      <c r="E319" s="3506" t="s">
        <v>3094</v>
      </c>
      <c r="F319" s="1651">
        <v>2800</v>
      </c>
    </row>
    <row r="320" spans="3:6" s="1651" customFormat="1" ht="75" hidden="1">
      <c r="C320" s="1640"/>
      <c r="E320" s="3506" t="s">
        <v>3095</v>
      </c>
      <c r="F320" s="1651">
        <v>3350</v>
      </c>
    </row>
    <row r="321" spans="3:6" s="1651" customFormat="1" ht="60" hidden="1">
      <c r="C321" s="1640"/>
      <c r="E321" s="3506" t="s">
        <v>3096</v>
      </c>
      <c r="F321" s="1651">
        <v>3650</v>
      </c>
    </row>
    <row r="322" spans="3:6" s="1651" customFormat="1" ht="60" hidden="1">
      <c r="C322" s="1640"/>
      <c r="E322" s="3506" t="s">
        <v>3097</v>
      </c>
      <c r="F322" s="1651">
        <v>4450</v>
      </c>
    </row>
    <row r="323" spans="3:6" s="1651" customFormat="1" ht="60" hidden="1">
      <c r="C323" s="1640"/>
      <c r="E323" s="3506" t="s">
        <v>3098</v>
      </c>
      <c r="F323" s="1651">
        <v>4350</v>
      </c>
    </row>
    <row r="324" spans="3:6" s="1651" customFormat="1" ht="60" hidden="1">
      <c r="C324" s="1640"/>
      <c r="E324" s="3506" t="s">
        <v>3099</v>
      </c>
      <c r="F324" s="1651">
        <v>4450</v>
      </c>
    </row>
    <row r="325" spans="3:6" s="1651" customFormat="1" ht="60" hidden="1">
      <c r="C325" s="1640"/>
      <c r="E325" s="3506" t="s">
        <v>3100</v>
      </c>
      <c r="F325" s="1651">
        <v>8250</v>
      </c>
    </row>
    <row r="326" spans="3:6" s="1651" customFormat="1" ht="75" hidden="1">
      <c r="C326" s="1640"/>
      <c r="E326" s="3506" t="s">
        <v>3101</v>
      </c>
      <c r="F326" s="1651">
        <v>9950</v>
      </c>
    </row>
    <row r="327" spans="3:6" s="1651" customFormat="1" ht="60" hidden="1">
      <c r="C327" s="1640"/>
      <c r="E327" s="3506" t="s">
        <v>3102</v>
      </c>
      <c r="F327" s="1651">
        <v>1950</v>
      </c>
    </row>
    <row r="328" spans="3:6" s="1651" customFormat="1" ht="75" hidden="1">
      <c r="C328" s="1640"/>
      <c r="E328" s="3506" t="s">
        <v>3103</v>
      </c>
      <c r="F328" s="1651">
        <v>8300</v>
      </c>
    </row>
    <row r="329" spans="3:6" s="1651" customFormat="1" ht="75" hidden="1">
      <c r="C329" s="1640"/>
      <c r="E329" s="3506" t="s">
        <v>3104</v>
      </c>
      <c r="F329" s="1651">
        <v>3600</v>
      </c>
    </row>
    <row r="330" spans="3:6" s="1651" customFormat="1" ht="60" hidden="1">
      <c r="C330" s="1640"/>
      <c r="E330" s="3506" t="s">
        <v>3105</v>
      </c>
      <c r="F330" s="1651">
        <v>2400</v>
      </c>
    </row>
    <row r="331" spans="3:6" s="1651" customFormat="1" ht="75" hidden="1">
      <c r="C331" s="1640"/>
      <c r="E331" s="3506" t="s">
        <v>3106</v>
      </c>
      <c r="F331" s="1651">
        <v>9050</v>
      </c>
    </row>
    <row r="332" spans="3:6" s="1651" customFormat="1" ht="75" hidden="1">
      <c r="C332" s="1640"/>
      <c r="E332" s="3506" t="s">
        <v>3107</v>
      </c>
      <c r="F332" s="1651">
        <v>4350</v>
      </c>
    </row>
    <row r="333" spans="3:6" s="1651" customFormat="1" ht="60" hidden="1">
      <c r="C333" s="1640"/>
      <c r="E333" s="3506" t="s">
        <v>3105</v>
      </c>
      <c r="F333" s="1651">
        <v>2400</v>
      </c>
    </row>
    <row r="334" spans="3:6" s="1651" customFormat="1" ht="135" hidden="1">
      <c r="C334" s="1640"/>
      <c r="E334" s="3506" t="s">
        <v>3108</v>
      </c>
      <c r="F334" s="1651">
        <v>950</v>
      </c>
    </row>
    <row r="335" spans="3:6" s="1651" customFormat="1" ht="15.75" hidden="1" thickBot="1">
      <c r="C335" s="1640"/>
      <c r="E335" s="3507"/>
      <c r="F335" s="1651">
        <v>0</v>
      </c>
    </row>
    <row r="336" spans="3:6" s="1651" customFormat="1" ht="60" hidden="1">
      <c r="C336" s="1640"/>
      <c r="E336" s="3506" t="s">
        <v>3109</v>
      </c>
      <c r="F336" s="1651">
        <v>900</v>
      </c>
    </row>
    <row r="337" spans="3:6" s="1651" customFormat="1" ht="60" hidden="1">
      <c r="C337" s="1640"/>
      <c r="E337" s="3506" t="s">
        <v>3110</v>
      </c>
      <c r="F337" s="1651">
        <v>950</v>
      </c>
    </row>
    <row r="338" spans="3:6" s="1651" customFormat="1" ht="45" hidden="1">
      <c r="C338" s="1640"/>
      <c r="E338" s="3506" t="s">
        <v>3111</v>
      </c>
      <c r="F338" s="1651">
        <v>1000</v>
      </c>
    </row>
    <row r="339" spans="3:6" s="1651" customFormat="1" ht="60" hidden="1">
      <c r="C339" s="1640"/>
      <c r="E339" s="3506" t="s">
        <v>3112</v>
      </c>
      <c r="F339" s="1651">
        <v>1050</v>
      </c>
    </row>
    <row r="340" spans="3:6" s="1651" customFormat="1" ht="60" hidden="1">
      <c r="C340" s="1640"/>
      <c r="E340" s="3506" t="s">
        <v>3113</v>
      </c>
      <c r="F340" s="1651">
        <v>950</v>
      </c>
    </row>
    <row r="341" spans="3:6" s="1651" customFormat="1" ht="60" hidden="1">
      <c r="C341" s="1640"/>
      <c r="E341" s="3506" t="s">
        <v>3114</v>
      </c>
      <c r="F341" s="1651">
        <v>1000</v>
      </c>
    </row>
    <row r="342" spans="3:6" s="1651" customFormat="1" ht="45" hidden="1">
      <c r="C342" s="1640"/>
      <c r="E342" s="3506" t="s">
        <v>3115</v>
      </c>
      <c r="F342" s="1651">
        <v>1050</v>
      </c>
    </row>
    <row r="343" spans="3:6" s="1651" customFormat="1" ht="60" hidden="1">
      <c r="C343" s="1640"/>
      <c r="E343" s="3506" t="s">
        <v>3116</v>
      </c>
      <c r="F343" s="1651">
        <v>1100</v>
      </c>
    </row>
    <row r="344" spans="3:6" s="1651" customFormat="1" ht="75" hidden="1">
      <c r="C344" s="1640"/>
      <c r="E344" s="3506" t="s">
        <v>3117</v>
      </c>
      <c r="F344" s="1651">
        <v>1000</v>
      </c>
    </row>
    <row r="345" spans="3:6" s="1651" customFormat="1" ht="75" hidden="1">
      <c r="C345" s="1640"/>
      <c r="E345" s="3506" t="s">
        <v>3118</v>
      </c>
      <c r="F345" s="1651">
        <v>1050</v>
      </c>
    </row>
    <row r="346" spans="3:6" s="1651" customFormat="1" ht="60" hidden="1">
      <c r="C346" s="1640"/>
      <c r="E346" s="3506" t="s">
        <v>3119</v>
      </c>
      <c r="F346" s="1651">
        <v>1100</v>
      </c>
    </row>
    <row r="347" spans="3:6" s="1651" customFormat="1" ht="60" hidden="1">
      <c r="C347" s="1640"/>
      <c r="E347" s="3506" t="s">
        <v>3120</v>
      </c>
      <c r="F347" s="1651">
        <v>1300</v>
      </c>
    </row>
    <row r="348" spans="3:6" s="1651" customFormat="1" ht="15.75" hidden="1" thickBot="1">
      <c r="C348" s="1640"/>
      <c r="E348" s="3507"/>
      <c r="F348" s="1651">
        <v>0</v>
      </c>
    </row>
    <row r="349" spans="3:6" s="1651" customFormat="1" ht="75" hidden="1">
      <c r="C349" s="1640"/>
      <c r="E349" s="3506" t="s">
        <v>3121</v>
      </c>
      <c r="F349" s="1651">
        <v>1200</v>
      </c>
    </row>
    <row r="350" spans="3:6" s="1651" customFormat="1" ht="75" hidden="1">
      <c r="C350" s="1640"/>
      <c r="E350" s="3506" t="s">
        <v>3122</v>
      </c>
      <c r="F350" s="1651">
        <v>1300</v>
      </c>
    </row>
    <row r="351" spans="3:6" s="1651" customFormat="1" ht="75" hidden="1">
      <c r="C351" s="1640"/>
      <c r="E351" s="3506" t="s">
        <v>3123</v>
      </c>
      <c r="F351" s="1651">
        <v>1350</v>
      </c>
    </row>
    <row r="352" spans="3:6" s="1651" customFormat="1" ht="75" hidden="1">
      <c r="C352" s="1640"/>
      <c r="E352" s="3506" t="s">
        <v>3124</v>
      </c>
      <c r="F352" s="1651">
        <v>1400</v>
      </c>
    </row>
    <row r="353" spans="3:6" s="1651" customFormat="1" ht="75" hidden="1">
      <c r="C353" s="1640"/>
      <c r="E353" s="3506" t="s">
        <v>3125</v>
      </c>
      <c r="F353" s="1651">
        <v>1300</v>
      </c>
    </row>
    <row r="354" spans="3:6" s="1651" customFormat="1" ht="75" hidden="1">
      <c r="C354" s="1640"/>
      <c r="E354" s="3506" t="s">
        <v>3126</v>
      </c>
      <c r="F354" s="1651">
        <v>1350</v>
      </c>
    </row>
    <row r="355" spans="3:6" s="1651" customFormat="1" ht="75" hidden="1">
      <c r="C355" s="1640"/>
      <c r="E355" s="3506" t="s">
        <v>3127</v>
      </c>
      <c r="F355" s="1651">
        <v>1400</v>
      </c>
    </row>
    <row r="356" spans="3:6" s="1651" customFormat="1" ht="75" hidden="1">
      <c r="C356" s="1640"/>
      <c r="E356" s="3506" t="s">
        <v>3128</v>
      </c>
      <c r="F356" s="1651">
        <v>1500</v>
      </c>
    </row>
    <row r="357" spans="3:6" s="1651" customFormat="1" ht="90" hidden="1">
      <c r="C357" s="1640"/>
      <c r="E357" s="3506" t="s">
        <v>3129</v>
      </c>
      <c r="F357" s="1651">
        <v>1350</v>
      </c>
    </row>
    <row r="358" spans="3:6" s="1651" customFormat="1" ht="90" hidden="1">
      <c r="C358" s="1640"/>
      <c r="E358" s="3506" t="s">
        <v>3130</v>
      </c>
      <c r="F358" s="1651">
        <v>1400</v>
      </c>
    </row>
    <row r="359" spans="3:6" s="1651" customFormat="1" ht="90" hidden="1">
      <c r="C359" s="1640"/>
      <c r="E359" s="3506" t="s">
        <v>3131</v>
      </c>
      <c r="F359" s="1651">
        <v>1500</v>
      </c>
    </row>
    <row r="360" spans="3:6" s="1651" customFormat="1" ht="60" hidden="1">
      <c r="C360" s="1640"/>
      <c r="E360" s="3506" t="s">
        <v>3132</v>
      </c>
      <c r="F360" s="1651">
        <v>1750</v>
      </c>
    </row>
    <row r="361" spans="3:6" s="1651" customFormat="1" ht="15.75" hidden="1" thickBot="1">
      <c r="C361" s="1640"/>
      <c r="E361" s="3507"/>
      <c r="F361" s="1651">
        <v>0</v>
      </c>
    </row>
    <row r="362" spans="3:6" s="1651" customFormat="1" ht="60.75" hidden="1" thickBot="1">
      <c r="C362" s="1640"/>
      <c r="E362" s="2190" t="s">
        <v>3133</v>
      </c>
      <c r="F362" s="1651">
        <v>900</v>
      </c>
    </row>
    <row r="363" spans="3:6" s="1651" customFormat="1" ht="45.75" hidden="1" thickBot="1">
      <c r="C363" s="1640"/>
      <c r="E363" s="2190" t="s">
        <v>3134</v>
      </c>
      <c r="F363" s="1651">
        <v>1500</v>
      </c>
    </row>
    <row r="364" spans="3:6" s="1651" customFormat="1" ht="45.75" hidden="1" thickBot="1">
      <c r="C364" s="1640"/>
      <c r="E364" s="2190" t="s">
        <v>3135</v>
      </c>
      <c r="F364" s="1651">
        <v>2950</v>
      </c>
    </row>
    <row r="365" spans="3:6" s="1651" customFormat="1" ht="45.75" hidden="1" thickBot="1">
      <c r="C365" s="1640"/>
      <c r="E365" s="2190" t="s">
        <v>3136</v>
      </c>
      <c r="F365" s="1651">
        <v>3950</v>
      </c>
    </row>
    <row r="366" spans="3:6" s="1651" customFormat="1" ht="45.75" hidden="1" thickBot="1">
      <c r="C366" s="1640"/>
      <c r="E366" s="2190" t="s">
        <v>3137</v>
      </c>
      <c r="F366" s="1651">
        <v>4950</v>
      </c>
    </row>
    <row r="367" spans="3:6" s="1651" customFormat="1" ht="45.75" hidden="1" thickBot="1">
      <c r="C367" s="1640"/>
      <c r="E367" s="2190" t="s">
        <v>3138</v>
      </c>
      <c r="F367" s="1651">
        <v>8950</v>
      </c>
    </row>
    <row r="368" spans="3:6" s="1651" customFormat="1" ht="45.75" hidden="1" thickBot="1">
      <c r="C368" s="1640"/>
      <c r="E368" s="2190" t="s">
        <v>3139</v>
      </c>
      <c r="F368" s="1651">
        <v>1750</v>
      </c>
    </row>
    <row r="369" spans="1:146" s="1651" customFormat="1" ht="15.75" hidden="1" thickBot="1">
      <c r="C369" s="1640"/>
      <c r="E369" s="3507"/>
      <c r="F369" s="1651">
        <v>0</v>
      </c>
    </row>
    <row r="370" spans="1:146" s="1651" customFormat="1" ht="45.75" hidden="1" thickBot="1">
      <c r="C370" s="1640"/>
      <c r="E370" s="2190" t="s">
        <v>3140</v>
      </c>
      <c r="F370" s="1651">
        <v>950</v>
      </c>
    </row>
    <row r="371" spans="1:146" s="1651" customFormat="1" ht="45.75" hidden="1" thickBot="1">
      <c r="C371" s="1640"/>
      <c r="E371" s="2190" t="s">
        <v>3141</v>
      </c>
      <c r="F371" s="1651">
        <v>1200</v>
      </c>
    </row>
    <row r="372" spans="1:146" s="1651" customFormat="1" ht="45.75" hidden="1" thickBot="1">
      <c r="C372" s="1640"/>
      <c r="E372" s="2190" t="s">
        <v>3142</v>
      </c>
      <c r="F372" s="1651">
        <v>1300</v>
      </c>
    </row>
    <row r="373" spans="1:146" s="1651" customFormat="1" ht="60.75" hidden="1" thickBot="1">
      <c r="C373" s="1640"/>
      <c r="E373" s="2190" t="s">
        <v>3143</v>
      </c>
      <c r="F373" s="1651">
        <v>1000</v>
      </c>
    </row>
    <row r="374" spans="1:146" s="1651" customFormat="1" ht="60.75" hidden="1" thickBot="1">
      <c r="C374" s="1640"/>
      <c r="E374" s="2190" t="s">
        <v>3144</v>
      </c>
      <c r="F374" s="1651">
        <v>1300</v>
      </c>
    </row>
    <row r="375" spans="1:146" s="1651" customFormat="1" ht="60.75" hidden="1" thickBot="1">
      <c r="C375" s="1640"/>
      <c r="E375" s="2190" t="s">
        <v>3145</v>
      </c>
      <c r="F375" s="1651">
        <v>1400</v>
      </c>
    </row>
    <row r="376" spans="1:146" s="1651" customFormat="1" ht="60.75" hidden="1" thickBot="1">
      <c r="C376" s="1640"/>
      <c r="E376" s="2190" t="s">
        <v>3146</v>
      </c>
      <c r="F376" s="1651">
        <v>1750</v>
      </c>
    </row>
    <row r="377" spans="1:146" s="1651" customFormat="1" ht="60.75" hidden="1" thickBot="1">
      <c r="C377" s="1640"/>
      <c r="E377" s="2190" t="s">
        <v>3147</v>
      </c>
      <c r="F377" s="1651">
        <v>1900</v>
      </c>
    </row>
    <row r="378" spans="1:146" s="1651" customFormat="1" ht="60.75" hidden="1" thickBot="1">
      <c r="C378" s="1640"/>
      <c r="E378" s="2190" t="s">
        <v>3148</v>
      </c>
      <c r="F378" s="1651">
        <v>2250</v>
      </c>
    </row>
    <row r="379" spans="1:146" s="1651" customFormat="1" ht="60.75" hidden="1" thickBot="1">
      <c r="C379" s="1640"/>
      <c r="E379" s="3509" t="s">
        <v>3149</v>
      </c>
      <c r="F379" s="1651">
        <v>1250</v>
      </c>
    </row>
    <row r="380" spans="1:146" ht="15.75" hidden="1" thickBot="1">
      <c r="A380" s="1651"/>
      <c r="B380" s="1651"/>
      <c r="C380" s="1640"/>
      <c r="D380" s="1651"/>
      <c r="E380" s="3507"/>
      <c r="F380" s="1651">
        <v>0</v>
      </c>
      <c r="G380" s="1651"/>
      <c r="H380" s="1651"/>
      <c r="I380" s="1651"/>
      <c r="J380" s="1651"/>
      <c r="K380" s="1651"/>
      <c r="L380" s="1651"/>
      <c r="M380" s="1651"/>
      <c r="N380" s="1651"/>
      <c r="O380" s="1651"/>
      <c r="P380" s="1651"/>
      <c r="Q380" s="1651"/>
      <c r="R380" s="1651"/>
      <c r="S380" s="1651"/>
      <c r="T380" s="1651"/>
      <c r="U380" s="1651"/>
      <c r="V380" s="1651"/>
      <c r="W380" s="1651"/>
      <c r="X380" s="1651"/>
      <c r="Y380" s="1651"/>
      <c r="Z380" s="1651"/>
      <c r="AA380" s="1651"/>
      <c r="AB380" s="1651"/>
      <c r="AC380" s="1651"/>
      <c r="AD380" s="1651"/>
      <c r="AE380" s="1651"/>
      <c r="AF380" s="1651"/>
      <c r="AG380" s="1651"/>
      <c r="AH380" s="1651"/>
      <c r="AI380" s="1651"/>
      <c r="AJ380" s="1651"/>
      <c r="AK380" s="1651"/>
      <c r="AL380" s="1651"/>
      <c r="AM380" s="1651"/>
      <c r="AN380" s="1651"/>
      <c r="AO380" s="1651"/>
      <c r="AP380" s="1651"/>
      <c r="AQ380" s="1651"/>
      <c r="AR380" s="1651"/>
      <c r="AS380" s="1651"/>
      <c r="AT380" s="1651"/>
      <c r="AU380" s="1651"/>
      <c r="AV380" s="1651"/>
      <c r="AW380" s="1651"/>
      <c r="AX380" s="1651"/>
      <c r="AY380" s="1651"/>
      <c r="AZ380" s="1651"/>
      <c r="BA380" s="1651"/>
      <c r="BB380" s="1651"/>
      <c r="BC380" s="1651"/>
      <c r="BD380" s="1651"/>
      <c r="BE380" s="1651"/>
      <c r="BF380" s="1651"/>
      <c r="BG380" s="1651"/>
      <c r="BH380" s="1651"/>
      <c r="BI380" s="1651"/>
      <c r="BJ380" s="1651"/>
      <c r="BK380" s="1651"/>
      <c r="BL380" s="1651"/>
      <c r="BM380" s="1651"/>
      <c r="BN380" s="1651"/>
      <c r="BO380" s="1651"/>
      <c r="BP380" s="1651"/>
      <c r="BQ380" s="1651"/>
      <c r="BR380" s="1651"/>
      <c r="BS380" s="1651"/>
      <c r="BT380" s="1651"/>
      <c r="BU380" s="1651"/>
      <c r="BV380" s="1651"/>
      <c r="BW380" s="1651"/>
      <c r="BX380" s="1651"/>
      <c r="BY380" s="1651"/>
      <c r="BZ380" s="1651"/>
      <c r="CA380" s="1651"/>
      <c r="CB380" s="1651"/>
      <c r="CC380" s="1651"/>
      <c r="CD380" s="1651"/>
      <c r="CE380" s="1651"/>
      <c r="CF380" s="1651"/>
      <c r="CG380" s="1651"/>
      <c r="CH380" s="1651"/>
      <c r="CI380" s="1651"/>
      <c r="CJ380" s="1651"/>
      <c r="CK380" s="1651"/>
      <c r="CL380" s="1651"/>
      <c r="CM380" s="1651"/>
      <c r="CN380" s="1651"/>
      <c r="CO380" s="1651"/>
      <c r="CP380" s="1651"/>
      <c r="CQ380" s="1651"/>
      <c r="CR380" s="1651"/>
      <c r="CS380" s="1651"/>
      <c r="CT380" s="1651"/>
      <c r="CU380" s="1651"/>
      <c r="CV380" s="1651"/>
      <c r="CW380" s="1651"/>
      <c r="CX380" s="1651"/>
      <c r="CY380" s="1651"/>
      <c r="CZ380" s="1651"/>
      <c r="DA380" s="1651"/>
      <c r="DB380" s="1651"/>
      <c r="DC380" s="1651"/>
      <c r="DD380" s="1651"/>
      <c r="DE380" s="1651"/>
      <c r="DF380" s="1651"/>
      <c r="DG380" s="1651"/>
      <c r="DH380" s="1651"/>
      <c r="DI380" s="1651"/>
      <c r="DJ380" s="1651"/>
      <c r="DK380" s="1651"/>
      <c r="DL380" s="1651"/>
      <c r="DM380" s="1651"/>
      <c r="DN380" s="1651"/>
      <c r="DO380" s="1651"/>
      <c r="DP380" s="1651"/>
      <c r="DQ380" s="1651"/>
      <c r="DR380" s="1651"/>
      <c r="DS380" s="1651"/>
      <c r="DT380" s="1651"/>
      <c r="DU380" s="1651"/>
      <c r="DV380" s="1651"/>
      <c r="DW380" s="1651"/>
      <c r="DX380" s="1651"/>
      <c r="DY380" s="1651"/>
      <c r="DZ380" s="1651"/>
      <c r="EA380" s="1651"/>
      <c r="EB380" s="1651"/>
      <c r="EC380" s="1651"/>
      <c r="ED380" s="1651"/>
      <c r="EE380" s="1651"/>
      <c r="EF380" s="1651"/>
      <c r="EG380" s="1651"/>
      <c r="EH380" s="1651"/>
      <c r="EI380" s="1651"/>
      <c r="EJ380" s="1651"/>
      <c r="EK380" s="1651"/>
      <c r="EL380" s="1651"/>
      <c r="EM380" s="1651"/>
      <c r="EN380" s="1651"/>
      <c r="EO380" s="1651"/>
      <c r="EP380" s="1651"/>
    </row>
    <row r="381" spans="1:146" ht="75.75" hidden="1" thickBot="1">
      <c r="A381" s="1651"/>
      <c r="B381" s="1651"/>
      <c r="C381" s="1640"/>
      <c r="D381" s="1651"/>
      <c r="E381" s="2190" t="s">
        <v>3150</v>
      </c>
      <c r="F381" s="1651">
        <v>1900</v>
      </c>
      <c r="G381" s="1651"/>
      <c r="H381" s="1651"/>
      <c r="I381" s="1651"/>
      <c r="J381" s="1651"/>
      <c r="K381" s="1651"/>
      <c r="L381" s="1651"/>
      <c r="M381" s="1651"/>
      <c r="N381" s="1651"/>
      <c r="O381" s="1651"/>
      <c r="P381" s="1651"/>
      <c r="Q381" s="1651"/>
      <c r="R381" s="1651"/>
      <c r="S381" s="1651"/>
      <c r="T381" s="1651"/>
      <c r="U381" s="1651"/>
      <c r="V381" s="1651"/>
      <c r="W381" s="1651"/>
      <c r="X381" s="1651"/>
      <c r="Y381" s="1651"/>
      <c r="Z381" s="1651"/>
      <c r="AA381" s="1651"/>
      <c r="AB381" s="1651"/>
      <c r="AC381" s="1651"/>
      <c r="AD381" s="1651"/>
      <c r="AE381" s="1651"/>
      <c r="AF381" s="1651"/>
      <c r="AG381" s="1651"/>
      <c r="AH381" s="1651"/>
      <c r="AI381" s="1651"/>
      <c r="AJ381" s="1651"/>
      <c r="AK381" s="1651"/>
      <c r="AL381" s="1651"/>
      <c r="AM381" s="1651"/>
      <c r="AN381" s="1651"/>
      <c r="AO381" s="1651"/>
      <c r="AP381" s="1651"/>
      <c r="AQ381" s="1651"/>
      <c r="AR381" s="1651"/>
      <c r="AS381" s="1651"/>
      <c r="AT381" s="1651"/>
      <c r="AU381" s="1651"/>
      <c r="AV381" s="1651"/>
      <c r="AW381" s="1651"/>
      <c r="AX381" s="1651"/>
      <c r="AY381" s="1651"/>
      <c r="AZ381" s="1651"/>
      <c r="BA381" s="1651"/>
      <c r="BB381" s="1651"/>
      <c r="BC381" s="1651"/>
      <c r="BD381" s="1651"/>
      <c r="BE381" s="1651"/>
      <c r="BF381" s="1651"/>
      <c r="BG381" s="1651"/>
      <c r="BH381" s="1651"/>
      <c r="BI381" s="1651"/>
      <c r="BJ381" s="1651"/>
      <c r="BK381" s="1651"/>
      <c r="BL381" s="1651"/>
      <c r="BM381" s="1651"/>
      <c r="BN381" s="1651"/>
      <c r="BO381" s="1651"/>
      <c r="BP381" s="1651"/>
      <c r="BQ381" s="1651"/>
      <c r="BR381" s="1651"/>
      <c r="BS381" s="1651"/>
      <c r="BT381" s="1651"/>
      <c r="BU381" s="1651"/>
      <c r="BV381" s="1651"/>
      <c r="BW381" s="1651"/>
      <c r="BX381" s="1651"/>
      <c r="BY381" s="1651"/>
      <c r="BZ381" s="1651"/>
      <c r="CA381" s="1651"/>
      <c r="CB381" s="1651"/>
      <c r="CC381" s="1651"/>
      <c r="CD381" s="1651"/>
      <c r="CE381" s="1651"/>
      <c r="CF381" s="1651"/>
      <c r="CG381" s="1651"/>
      <c r="CH381" s="1651"/>
      <c r="CI381" s="1651"/>
      <c r="CJ381" s="1651"/>
      <c r="CK381" s="1651"/>
      <c r="CL381" s="1651"/>
      <c r="CM381" s="1651"/>
      <c r="CN381" s="1651"/>
      <c r="CO381" s="1651"/>
      <c r="CP381" s="1651"/>
      <c r="CQ381" s="1651"/>
      <c r="CR381" s="1651"/>
      <c r="CS381" s="1651"/>
      <c r="CT381" s="1651"/>
      <c r="CU381" s="1651"/>
      <c r="CV381" s="1651"/>
      <c r="CW381" s="1651"/>
      <c r="CX381" s="1651"/>
      <c r="CY381" s="1651"/>
      <c r="CZ381" s="1651"/>
      <c r="DA381" s="1651"/>
      <c r="DB381" s="1651"/>
      <c r="DC381" s="1651"/>
      <c r="DD381" s="1651"/>
      <c r="DE381" s="1651"/>
      <c r="DF381" s="1651"/>
      <c r="DG381" s="1651"/>
      <c r="DH381" s="1651"/>
      <c r="DI381" s="1651"/>
      <c r="DJ381" s="1651"/>
      <c r="DK381" s="1651"/>
      <c r="DL381" s="1651"/>
      <c r="DM381" s="1651"/>
      <c r="DN381" s="1651"/>
      <c r="DO381" s="1651"/>
      <c r="DP381" s="1651"/>
      <c r="DQ381" s="1651"/>
      <c r="DR381" s="1651"/>
      <c r="DS381" s="1651"/>
      <c r="DT381" s="1651"/>
      <c r="DU381" s="1651"/>
      <c r="DV381" s="1651"/>
      <c r="DW381" s="1651"/>
      <c r="DX381" s="1651"/>
      <c r="DY381" s="1651"/>
      <c r="DZ381" s="1651"/>
      <c r="EA381" s="1651"/>
      <c r="EB381" s="1651"/>
      <c r="EC381" s="1651"/>
      <c r="ED381" s="1651"/>
      <c r="EE381" s="1651"/>
      <c r="EF381" s="1651"/>
      <c r="EG381" s="1651"/>
      <c r="EH381" s="1651"/>
      <c r="EI381" s="1651"/>
      <c r="EJ381" s="1651"/>
      <c r="EK381" s="1651"/>
      <c r="EL381" s="1651"/>
      <c r="EM381" s="1651"/>
      <c r="EN381" s="1651"/>
      <c r="EO381" s="1651"/>
      <c r="EP381" s="1651"/>
    </row>
    <row r="382" spans="1:146" ht="75.75" hidden="1" thickBot="1">
      <c r="A382" s="1651"/>
      <c r="B382" s="1651"/>
      <c r="C382" s="1640"/>
      <c r="D382" s="1651"/>
      <c r="E382" s="2190" t="s">
        <v>3151</v>
      </c>
      <c r="F382" s="1651">
        <v>2150</v>
      </c>
      <c r="G382" s="1651"/>
      <c r="H382" s="1651"/>
      <c r="I382" s="1651"/>
      <c r="J382" s="1651"/>
      <c r="K382" s="1651"/>
      <c r="L382" s="1651"/>
      <c r="M382" s="1651"/>
      <c r="N382" s="1651"/>
      <c r="O382" s="1651"/>
      <c r="P382" s="1651"/>
      <c r="Q382" s="1651"/>
      <c r="R382" s="1651"/>
      <c r="S382" s="1651"/>
      <c r="T382" s="1651"/>
      <c r="U382" s="1651"/>
      <c r="V382" s="1651"/>
      <c r="W382" s="1651"/>
      <c r="X382" s="1651"/>
      <c r="Y382" s="1651"/>
      <c r="Z382" s="1651"/>
      <c r="AA382" s="1651"/>
      <c r="AB382" s="1651"/>
      <c r="AC382" s="1651"/>
      <c r="AD382" s="1651"/>
      <c r="AE382" s="1651"/>
      <c r="AF382" s="1651"/>
      <c r="AG382" s="1651"/>
      <c r="AH382" s="1651"/>
      <c r="AI382" s="1651"/>
      <c r="AJ382" s="1651"/>
      <c r="AK382" s="1651"/>
      <c r="AL382" s="1651"/>
      <c r="AM382" s="1651"/>
      <c r="AN382" s="1651"/>
      <c r="AO382" s="1651"/>
      <c r="AP382" s="1651"/>
      <c r="AQ382" s="1651"/>
      <c r="AR382" s="1651"/>
      <c r="AS382" s="1651"/>
      <c r="AT382" s="1651"/>
      <c r="AU382" s="1651"/>
      <c r="AV382" s="1651"/>
      <c r="AW382" s="1651"/>
      <c r="AX382" s="1651"/>
      <c r="AY382" s="1651"/>
      <c r="AZ382" s="1651"/>
      <c r="BA382" s="1651"/>
      <c r="BB382" s="1651"/>
      <c r="BC382" s="1651"/>
      <c r="BD382" s="1651"/>
      <c r="BE382" s="1651"/>
      <c r="BF382" s="1651"/>
      <c r="BG382" s="1651"/>
      <c r="BH382" s="1651"/>
      <c r="BI382" s="1651"/>
      <c r="BJ382" s="1651"/>
      <c r="BK382" s="1651"/>
      <c r="BL382" s="1651"/>
      <c r="BM382" s="1651"/>
      <c r="BN382" s="1651"/>
      <c r="BO382" s="1651"/>
      <c r="BP382" s="1651"/>
      <c r="BQ382" s="1651"/>
      <c r="BR382" s="1651"/>
      <c r="BS382" s="1651"/>
      <c r="BT382" s="1651"/>
      <c r="BU382" s="1651"/>
      <c r="BV382" s="1651"/>
      <c r="BW382" s="1651"/>
      <c r="BX382" s="1651"/>
      <c r="BY382" s="1651"/>
      <c r="BZ382" s="1651"/>
      <c r="CA382" s="1651"/>
      <c r="CB382" s="1651"/>
      <c r="CC382" s="1651"/>
      <c r="CD382" s="1651"/>
      <c r="CE382" s="1651"/>
      <c r="CF382" s="1651"/>
      <c r="CG382" s="1651"/>
      <c r="CH382" s="1651"/>
      <c r="CI382" s="1651"/>
      <c r="CJ382" s="1651"/>
      <c r="CK382" s="1651"/>
      <c r="CL382" s="1651"/>
      <c r="CM382" s="1651"/>
      <c r="CN382" s="1651"/>
      <c r="CO382" s="1651"/>
      <c r="CP382" s="1651"/>
      <c r="CQ382" s="1651"/>
      <c r="CR382" s="1651"/>
      <c r="CS382" s="1651"/>
      <c r="CT382" s="1651"/>
      <c r="CU382" s="1651"/>
      <c r="CV382" s="1651"/>
      <c r="CW382" s="1651"/>
      <c r="CX382" s="1651"/>
      <c r="CY382" s="1651"/>
      <c r="CZ382" s="1651"/>
      <c r="DA382" s="1651"/>
      <c r="DB382" s="1651"/>
      <c r="DC382" s="1651"/>
      <c r="DD382" s="1651"/>
      <c r="DE382" s="1651"/>
      <c r="DF382" s="1651"/>
      <c r="DG382" s="1651"/>
      <c r="DH382" s="1651"/>
      <c r="DI382" s="1651"/>
      <c r="DJ382" s="1651"/>
      <c r="DK382" s="1651"/>
      <c r="DL382" s="1651"/>
      <c r="DM382" s="1651"/>
      <c r="DN382" s="1651"/>
      <c r="DO382" s="1651"/>
      <c r="DP382" s="1651"/>
      <c r="DQ382" s="1651"/>
      <c r="DR382" s="1651"/>
      <c r="DS382" s="1651"/>
      <c r="DT382" s="1651"/>
      <c r="DU382" s="1651"/>
      <c r="DV382" s="1651"/>
      <c r="DW382" s="1651"/>
      <c r="DX382" s="1651"/>
      <c r="DY382" s="1651"/>
      <c r="DZ382" s="1651"/>
      <c r="EA382" s="1651"/>
      <c r="EB382" s="1651"/>
      <c r="EC382" s="1651"/>
      <c r="ED382" s="1651"/>
      <c r="EE382" s="1651"/>
      <c r="EF382" s="1651"/>
      <c r="EG382" s="1651"/>
      <c r="EH382" s="1651"/>
      <c r="EI382" s="1651"/>
      <c r="EJ382" s="1651"/>
      <c r="EK382" s="1651"/>
      <c r="EL382" s="1651"/>
      <c r="EM382" s="1651"/>
      <c r="EN382" s="1651"/>
      <c r="EO382" s="1651"/>
      <c r="EP382" s="1651"/>
    </row>
    <row r="383" spans="1:146" ht="75.75" hidden="1" thickBot="1">
      <c r="A383" s="1651"/>
      <c r="B383" s="1651"/>
      <c r="C383" s="1640"/>
      <c r="D383" s="1651"/>
      <c r="E383" s="2190" t="s">
        <v>3152</v>
      </c>
      <c r="F383" s="1651">
        <v>3150</v>
      </c>
      <c r="G383" s="1651"/>
      <c r="H383" s="1651"/>
      <c r="I383" s="1651"/>
      <c r="J383" s="1651"/>
      <c r="K383" s="1651"/>
      <c r="L383" s="1651"/>
      <c r="M383" s="1651"/>
      <c r="N383" s="1651"/>
      <c r="O383" s="1651"/>
      <c r="P383" s="1651"/>
      <c r="Q383" s="1651"/>
      <c r="R383" s="1651"/>
      <c r="S383" s="1651"/>
      <c r="T383" s="1651"/>
      <c r="U383" s="1651"/>
      <c r="V383" s="1651"/>
      <c r="W383" s="1651"/>
      <c r="X383" s="1651"/>
      <c r="Y383" s="1651"/>
      <c r="Z383" s="1651"/>
      <c r="AA383" s="1651"/>
      <c r="AB383" s="1651"/>
      <c r="AC383" s="1651"/>
      <c r="AD383" s="1651"/>
      <c r="AE383" s="1651"/>
      <c r="AF383" s="1651"/>
      <c r="AG383" s="1651"/>
      <c r="AH383" s="1651"/>
      <c r="AI383" s="1651"/>
      <c r="AJ383" s="1651"/>
      <c r="AK383" s="1651"/>
      <c r="AL383" s="1651"/>
      <c r="AM383" s="1651"/>
      <c r="AN383" s="1651"/>
      <c r="AO383" s="1651"/>
      <c r="AP383" s="1651"/>
      <c r="AQ383" s="1651"/>
      <c r="AR383" s="1651"/>
      <c r="AS383" s="1651"/>
      <c r="AT383" s="1651"/>
      <c r="AU383" s="1651"/>
      <c r="AV383" s="1651"/>
      <c r="AW383" s="1651"/>
      <c r="AX383" s="1651"/>
      <c r="AY383" s="1651"/>
      <c r="AZ383" s="1651"/>
      <c r="BA383" s="1651"/>
      <c r="BB383" s="1651"/>
      <c r="BC383" s="1651"/>
      <c r="BD383" s="1651"/>
      <c r="BE383" s="1651"/>
      <c r="BF383" s="1651"/>
      <c r="BG383" s="1651"/>
      <c r="BH383" s="1651"/>
      <c r="BI383" s="1651"/>
      <c r="BJ383" s="1651"/>
      <c r="BK383" s="1651"/>
      <c r="BL383" s="1651"/>
      <c r="BM383" s="1651"/>
      <c r="BN383" s="1651"/>
      <c r="BO383" s="1651"/>
      <c r="BP383" s="1651"/>
      <c r="BQ383" s="1651"/>
      <c r="BR383" s="1651"/>
      <c r="BS383" s="1651"/>
      <c r="BT383" s="1651"/>
      <c r="BU383" s="1651"/>
      <c r="BV383" s="1651"/>
      <c r="BW383" s="1651"/>
      <c r="BX383" s="1651"/>
      <c r="BY383" s="1651"/>
      <c r="BZ383" s="1651"/>
      <c r="CA383" s="1651"/>
      <c r="CB383" s="1651"/>
      <c r="CC383" s="1651"/>
      <c r="CD383" s="1651"/>
      <c r="CE383" s="1651"/>
      <c r="CF383" s="1651"/>
      <c r="CG383" s="1651"/>
      <c r="CH383" s="1651"/>
      <c r="CI383" s="1651"/>
      <c r="CJ383" s="1651"/>
      <c r="CK383" s="1651"/>
      <c r="CL383" s="1651"/>
      <c r="CM383" s="1651"/>
      <c r="CN383" s="1651"/>
      <c r="CO383" s="1651"/>
      <c r="CP383" s="1651"/>
      <c r="CQ383" s="1651"/>
      <c r="CR383" s="1651"/>
      <c r="CS383" s="1651"/>
      <c r="CT383" s="1651"/>
      <c r="CU383" s="1651"/>
      <c r="CV383" s="1651"/>
      <c r="CW383" s="1651"/>
      <c r="CX383" s="1651"/>
      <c r="CY383" s="1651"/>
      <c r="CZ383" s="1651"/>
      <c r="DA383" s="1651"/>
      <c r="DB383" s="1651"/>
      <c r="DC383" s="1651"/>
      <c r="DD383" s="1651"/>
      <c r="DE383" s="1651"/>
      <c r="DF383" s="1651"/>
      <c r="DG383" s="1651"/>
      <c r="DH383" s="1651"/>
      <c r="DI383" s="1651"/>
      <c r="DJ383" s="1651"/>
      <c r="DK383" s="1651"/>
      <c r="DL383" s="1651"/>
      <c r="DM383" s="1651"/>
      <c r="DN383" s="1651"/>
      <c r="DO383" s="1651"/>
      <c r="DP383" s="1651"/>
      <c r="DQ383" s="1651"/>
      <c r="DR383" s="1651"/>
      <c r="DS383" s="1651"/>
      <c r="DT383" s="1651"/>
      <c r="DU383" s="1651"/>
      <c r="DV383" s="1651"/>
      <c r="DW383" s="1651"/>
      <c r="DX383" s="1651"/>
      <c r="DY383" s="1651"/>
      <c r="DZ383" s="1651"/>
      <c r="EA383" s="1651"/>
      <c r="EB383" s="1651"/>
      <c r="EC383" s="1651"/>
      <c r="ED383" s="1651"/>
      <c r="EE383" s="1651"/>
      <c r="EF383" s="1651"/>
      <c r="EG383" s="1651"/>
      <c r="EH383" s="1651"/>
      <c r="EI383" s="1651"/>
      <c r="EJ383" s="1651"/>
      <c r="EK383" s="1651"/>
      <c r="EL383" s="1651"/>
      <c r="EM383" s="1651"/>
      <c r="EN383" s="1651"/>
      <c r="EO383" s="1651"/>
      <c r="EP383" s="1651"/>
    </row>
    <row r="384" spans="1:146" ht="60.75" hidden="1" thickBot="1">
      <c r="A384" s="1651"/>
      <c r="B384" s="1651"/>
      <c r="C384" s="1640"/>
      <c r="D384" s="1651"/>
      <c r="E384" s="2190" t="s">
        <v>3153</v>
      </c>
      <c r="F384" s="1651">
        <v>700</v>
      </c>
      <c r="G384" s="1651"/>
      <c r="H384" s="1651"/>
      <c r="I384" s="1651"/>
      <c r="J384" s="1651"/>
      <c r="K384" s="1651"/>
      <c r="L384" s="1651"/>
      <c r="M384" s="1651"/>
      <c r="N384" s="1651"/>
      <c r="O384" s="1651"/>
      <c r="P384" s="1651"/>
      <c r="Q384" s="1651"/>
      <c r="R384" s="1651"/>
      <c r="S384" s="1651"/>
      <c r="T384" s="1651"/>
      <c r="U384" s="1651"/>
      <c r="V384" s="1651"/>
      <c r="W384" s="1651"/>
      <c r="X384" s="1651"/>
      <c r="Y384" s="1651"/>
      <c r="Z384" s="1651"/>
      <c r="AA384" s="1651"/>
      <c r="AB384" s="1651"/>
      <c r="AC384" s="1651"/>
      <c r="AD384" s="1651"/>
      <c r="AE384" s="1651"/>
      <c r="AF384" s="1651"/>
      <c r="AG384" s="1651"/>
      <c r="AH384" s="1651"/>
      <c r="AI384" s="1651"/>
      <c r="AJ384" s="1651"/>
      <c r="AK384" s="1651"/>
      <c r="AL384" s="1651"/>
      <c r="AM384" s="1651"/>
      <c r="AN384" s="1651"/>
      <c r="AO384" s="1651"/>
      <c r="AP384" s="1651"/>
      <c r="AQ384" s="1651"/>
      <c r="AR384" s="1651"/>
      <c r="AS384" s="1651"/>
      <c r="AT384" s="1651"/>
      <c r="AU384" s="1651"/>
      <c r="AV384" s="1651"/>
      <c r="AW384" s="1651"/>
      <c r="AX384" s="1651"/>
      <c r="AY384" s="1651"/>
      <c r="AZ384" s="1651"/>
      <c r="BA384" s="1651"/>
      <c r="BB384" s="1651"/>
      <c r="BC384" s="1651"/>
      <c r="BD384" s="1651"/>
      <c r="BE384" s="1651"/>
      <c r="BF384" s="1651"/>
      <c r="BG384" s="1651"/>
      <c r="BH384" s="1651"/>
      <c r="BI384" s="1651"/>
      <c r="BJ384" s="1651"/>
      <c r="BK384" s="1651"/>
      <c r="BL384" s="1651"/>
      <c r="BM384" s="1651"/>
      <c r="BN384" s="1651"/>
      <c r="BO384" s="1651"/>
      <c r="BP384" s="1651"/>
      <c r="BQ384" s="1651"/>
      <c r="BR384" s="1651"/>
      <c r="BS384" s="1651"/>
      <c r="BT384" s="1651"/>
      <c r="BU384" s="1651"/>
      <c r="BV384" s="1651"/>
      <c r="BW384" s="1651"/>
      <c r="BX384" s="1651"/>
      <c r="BY384" s="1651"/>
      <c r="BZ384" s="1651"/>
      <c r="CA384" s="1651"/>
      <c r="CB384" s="1651"/>
      <c r="CC384" s="1651"/>
      <c r="CD384" s="1651"/>
      <c r="CE384" s="1651"/>
      <c r="CF384" s="1651"/>
      <c r="CG384" s="1651"/>
      <c r="CH384" s="1651"/>
      <c r="CI384" s="1651"/>
      <c r="CJ384" s="1651"/>
      <c r="CK384" s="1651"/>
      <c r="CL384" s="1651"/>
      <c r="CM384" s="1651"/>
      <c r="CN384" s="1651"/>
      <c r="CO384" s="1651"/>
      <c r="CP384" s="1651"/>
      <c r="CQ384" s="1651"/>
      <c r="CR384" s="1651"/>
      <c r="CS384" s="1651"/>
      <c r="CT384" s="1651"/>
      <c r="CU384" s="1651"/>
      <c r="CV384" s="1651"/>
      <c r="CW384" s="1651"/>
      <c r="CX384" s="1651"/>
      <c r="CY384" s="1651"/>
      <c r="CZ384" s="1651"/>
      <c r="DA384" s="1651"/>
      <c r="DB384" s="1651"/>
      <c r="DC384" s="1651"/>
      <c r="DD384" s="1651"/>
      <c r="DE384" s="1651"/>
      <c r="DF384" s="1651"/>
      <c r="DG384" s="1651"/>
      <c r="DH384" s="1651"/>
      <c r="DI384" s="1651"/>
      <c r="DJ384" s="1651"/>
      <c r="DK384" s="1651"/>
      <c r="DL384" s="1651"/>
      <c r="DM384" s="1651"/>
      <c r="DN384" s="1651"/>
      <c r="DO384" s="1651"/>
      <c r="DP384" s="1651"/>
      <c r="DQ384" s="1651"/>
      <c r="DR384" s="1651"/>
      <c r="DS384" s="1651"/>
      <c r="DT384" s="1651"/>
      <c r="DU384" s="1651"/>
      <c r="DV384" s="1651"/>
      <c r="DW384" s="1651"/>
      <c r="DX384" s="1651"/>
      <c r="DY384" s="1651"/>
      <c r="DZ384" s="1651"/>
      <c r="EA384" s="1651"/>
      <c r="EB384" s="1651"/>
      <c r="EC384" s="1651"/>
      <c r="ED384" s="1651"/>
      <c r="EE384" s="1651"/>
      <c r="EF384" s="1651"/>
      <c r="EG384" s="1651"/>
      <c r="EH384" s="1651"/>
      <c r="EI384" s="1651"/>
      <c r="EJ384" s="1651"/>
      <c r="EK384" s="1651"/>
      <c r="EL384" s="1651"/>
      <c r="EM384" s="1651"/>
      <c r="EN384" s="1651"/>
      <c r="EO384" s="1651"/>
      <c r="EP384" s="1651"/>
    </row>
    <row r="385" spans="1:146" ht="60.75" hidden="1" thickBot="1">
      <c r="A385" s="1651"/>
      <c r="B385" s="1651"/>
      <c r="C385" s="1640"/>
      <c r="D385" s="1651"/>
      <c r="E385" s="2190" t="s">
        <v>3154</v>
      </c>
      <c r="F385" s="1651">
        <v>850</v>
      </c>
      <c r="G385" s="1651"/>
      <c r="H385" s="1651"/>
      <c r="I385" s="1651"/>
      <c r="J385" s="1651"/>
      <c r="K385" s="1651"/>
      <c r="L385" s="1651"/>
      <c r="M385" s="1651"/>
      <c r="N385" s="1651"/>
      <c r="O385" s="1651"/>
      <c r="P385" s="1651"/>
      <c r="Q385" s="1651"/>
      <c r="R385" s="1651"/>
      <c r="S385" s="1651"/>
      <c r="T385" s="1651"/>
      <c r="U385" s="1651"/>
      <c r="V385" s="1651"/>
      <c r="W385" s="1651"/>
      <c r="X385" s="1651"/>
      <c r="Y385" s="1651"/>
      <c r="Z385" s="1651"/>
      <c r="AA385" s="1651"/>
      <c r="AB385" s="1651"/>
      <c r="AC385" s="1651"/>
      <c r="AD385" s="1651"/>
      <c r="AE385" s="1651"/>
      <c r="AF385" s="1651"/>
      <c r="AG385" s="1651"/>
      <c r="AH385" s="1651"/>
      <c r="AI385" s="1651"/>
      <c r="AJ385" s="1651"/>
      <c r="AK385" s="1651"/>
      <c r="AL385" s="1651"/>
      <c r="AM385" s="1651"/>
      <c r="AN385" s="1651"/>
      <c r="AO385" s="1651"/>
      <c r="AP385" s="1651"/>
      <c r="AQ385" s="1651"/>
      <c r="AR385" s="1651"/>
      <c r="AS385" s="1651"/>
      <c r="AT385" s="1651"/>
      <c r="AU385" s="1651"/>
      <c r="AV385" s="1651"/>
      <c r="AW385" s="1651"/>
      <c r="AX385" s="1651"/>
      <c r="AY385" s="1651"/>
      <c r="AZ385" s="1651"/>
      <c r="BA385" s="1651"/>
      <c r="BB385" s="1651"/>
      <c r="BC385" s="1651"/>
      <c r="BD385" s="1651"/>
      <c r="BE385" s="1651"/>
      <c r="BF385" s="1651"/>
      <c r="BG385" s="1651"/>
      <c r="BH385" s="1651"/>
      <c r="BI385" s="1651"/>
      <c r="BJ385" s="1651"/>
      <c r="BK385" s="1651"/>
      <c r="BL385" s="1651"/>
      <c r="BM385" s="1651"/>
      <c r="BN385" s="1651"/>
      <c r="BO385" s="1651"/>
      <c r="BP385" s="1651"/>
      <c r="BQ385" s="1651"/>
      <c r="BR385" s="1651"/>
      <c r="BS385" s="1651"/>
      <c r="BT385" s="1651"/>
      <c r="BU385" s="1651"/>
      <c r="BV385" s="1651"/>
      <c r="BW385" s="1651"/>
      <c r="BX385" s="1651"/>
      <c r="BY385" s="1651"/>
      <c r="BZ385" s="1651"/>
      <c r="CA385" s="1651"/>
      <c r="CB385" s="1651"/>
      <c r="CC385" s="1651"/>
      <c r="CD385" s="1651"/>
      <c r="CE385" s="1651"/>
      <c r="CF385" s="1651"/>
      <c r="CG385" s="1651"/>
      <c r="CH385" s="1651"/>
      <c r="CI385" s="1651"/>
      <c r="CJ385" s="1651"/>
      <c r="CK385" s="1651"/>
      <c r="CL385" s="1651"/>
      <c r="CM385" s="1651"/>
      <c r="CN385" s="1651"/>
      <c r="CO385" s="1651"/>
      <c r="CP385" s="1651"/>
      <c r="CQ385" s="1651"/>
      <c r="CR385" s="1651"/>
      <c r="CS385" s="1651"/>
      <c r="CT385" s="1651"/>
      <c r="CU385" s="1651"/>
      <c r="CV385" s="1651"/>
      <c r="CW385" s="1651"/>
      <c r="CX385" s="1651"/>
      <c r="CY385" s="1651"/>
      <c r="CZ385" s="1651"/>
      <c r="DA385" s="1651"/>
      <c r="DB385" s="1651"/>
      <c r="DC385" s="1651"/>
      <c r="DD385" s="1651"/>
      <c r="DE385" s="1651"/>
      <c r="DF385" s="1651"/>
      <c r="DG385" s="1651"/>
      <c r="DH385" s="1651"/>
      <c r="DI385" s="1651"/>
      <c r="DJ385" s="1651"/>
      <c r="DK385" s="1651"/>
      <c r="DL385" s="1651"/>
      <c r="DM385" s="1651"/>
      <c r="DN385" s="1651"/>
      <c r="DO385" s="1651"/>
      <c r="DP385" s="1651"/>
      <c r="DQ385" s="1651"/>
      <c r="DR385" s="1651"/>
      <c r="DS385" s="1651"/>
      <c r="DT385" s="1651"/>
      <c r="DU385" s="1651"/>
      <c r="DV385" s="1651"/>
      <c r="DW385" s="1651"/>
      <c r="DX385" s="1651"/>
      <c r="DY385" s="1651"/>
      <c r="DZ385" s="1651"/>
      <c r="EA385" s="1651"/>
      <c r="EB385" s="1651"/>
      <c r="EC385" s="1651"/>
      <c r="ED385" s="1651"/>
      <c r="EE385" s="1651"/>
      <c r="EF385" s="1651"/>
      <c r="EG385" s="1651"/>
      <c r="EH385" s="1651"/>
      <c r="EI385" s="1651"/>
      <c r="EJ385" s="1651"/>
      <c r="EK385" s="1651"/>
      <c r="EL385" s="1651"/>
      <c r="EM385" s="1651"/>
      <c r="EN385" s="1651"/>
      <c r="EO385" s="1651"/>
      <c r="EP385" s="1651"/>
    </row>
    <row r="386" spans="1:146" ht="45.75" hidden="1" thickBot="1">
      <c r="A386" s="1651"/>
      <c r="B386" s="1651"/>
      <c r="C386" s="1640"/>
      <c r="D386" s="1651"/>
      <c r="E386" s="2190" t="s">
        <v>3155</v>
      </c>
      <c r="F386" s="1651">
        <v>1050</v>
      </c>
      <c r="G386" s="1651"/>
      <c r="H386" s="1651"/>
      <c r="I386" s="1651"/>
      <c r="J386" s="1651"/>
      <c r="K386" s="1651"/>
      <c r="L386" s="1651"/>
      <c r="M386" s="1651"/>
      <c r="N386" s="1651"/>
      <c r="O386" s="1651"/>
      <c r="P386" s="1651"/>
      <c r="Q386" s="1651"/>
      <c r="R386" s="1651"/>
      <c r="S386" s="1651"/>
      <c r="T386" s="1651"/>
      <c r="U386" s="1651"/>
      <c r="V386" s="1651"/>
      <c r="W386" s="1651"/>
      <c r="X386" s="1651"/>
      <c r="Y386" s="1651"/>
      <c r="Z386" s="1651"/>
      <c r="AA386" s="1651"/>
      <c r="AB386" s="1651"/>
      <c r="AC386" s="1651"/>
      <c r="AD386" s="1651"/>
      <c r="AE386" s="1651"/>
      <c r="AF386" s="1651"/>
      <c r="AG386" s="1651"/>
      <c r="AH386" s="1651"/>
      <c r="AI386" s="1651"/>
      <c r="AJ386" s="1651"/>
      <c r="AK386" s="1651"/>
      <c r="AL386" s="1651"/>
      <c r="AM386" s="1651"/>
      <c r="AN386" s="1651"/>
      <c r="AO386" s="1651"/>
      <c r="AP386" s="1651"/>
      <c r="AQ386" s="1651"/>
      <c r="AR386" s="1651"/>
      <c r="AS386" s="1651"/>
      <c r="AT386" s="1651"/>
      <c r="AU386" s="1651"/>
      <c r="AV386" s="1651"/>
      <c r="AW386" s="1651"/>
      <c r="AX386" s="1651"/>
      <c r="AY386" s="1651"/>
      <c r="AZ386" s="1651"/>
      <c r="BA386" s="1651"/>
      <c r="BB386" s="1651"/>
      <c r="BC386" s="1651"/>
      <c r="BD386" s="1651"/>
      <c r="BE386" s="1651"/>
      <c r="BF386" s="1651"/>
      <c r="BG386" s="1651"/>
      <c r="BH386" s="1651"/>
      <c r="BI386" s="1651"/>
      <c r="BJ386" s="1651"/>
      <c r="BK386" s="1651"/>
      <c r="BL386" s="1651"/>
      <c r="BM386" s="1651"/>
      <c r="BN386" s="1651"/>
      <c r="BO386" s="1651"/>
      <c r="BP386" s="1651"/>
      <c r="BQ386" s="1651"/>
      <c r="BR386" s="1651"/>
      <c r="BS386" s="1651"/>
      <c r="BT386" s="1651"/>
      <c r="BU386" s="1651"/>
      <c r="BV386" s="1651"/>
      <c r="BW386" s="1651"/>
      <c r="BX386" s="1651"/>
      <c r="BY386" s="1651"/>
      <c r="BZ386" s="1651"/>
      <c r="CA386" s="1651"/>
      <c r="CB386" s="1651"/>
      <c r="CC386" s="1651"/>
      <c r="CD386" s="1651"/>
      <c r="CE386" s="1651"/>
      <c r="CF386" s="1651"/>
      <c r="CG386" s="1651"/>
      <c r="CH386" s="1651"/>
      <c r="CI386" s="1651"/>
      <c r="CJ386" s="1651"/>
      <c r="CK386" s="1651"/>
      <c r="CL386" s="1651"/>
      <c r="CM386" s="1651"/>
      <c r="CN386" s="1651"/>
      <c r="CO386" s="1651"/>
      <c r="CP386" s="1651"/>
      <c r="CQ386" s="1651"/>
      <c r="CR386" s="1651"/>
      <c r="CS386" s="1651"/>
      <c r="CT386" s="1651"/>
      <c r="CU386" s="1651"/>
      <c r="CV386" s="1651"/>
      <c r="CW386" s="1651"/>
      <c r="CX386" s="1651"/>
      <c r="CY386" s="1651"/>
      <c r="CZ386" s="1651"/>
      <c r="DA386" s="1651"/>
      <c r="DB386" s="1651"/>
      <c r="DC386" s="1651"/>
      <c r="DD386" s="1651"/>
      <c r="DE386" s="1651"/>
      <c r="DF386" s="1651"/>
      <c r="DG386" s="1651"/>
      <c r="DH386" s="1651"/>
      <c r="DI386" s="1651"/>
      <c r="DJ386" s="1651"/>
      <c r="DK386" s="1651"/>
      <c r="DL386" s="1651"/>
      <c r="DM386" s="1651"/>
      <c r="DN386" s="1651"/>
      <c r="DO386" s="1651"/>
      <c r="DP386" s="1651"/>
      <c r="DQ386" s="1651"/>
      <c r="DR386" s="1651"/>
      <c r="DS386" s="1651"/>
      <c r="DT386" s="1651"/>
      <c r="DU386" s="1651"/>
      <c r="DV386" s="1651"/>
      <c r="DW386" s="1651"/>
      <c r="DX386" s="1651"/>
      <c r="DY386" s="1651"/>
      <c r="DZ386" s="1651"/>
      <c r="EA386" s="1651"/>
      <c r="EB386" s="1651"/>
      <c r="EC386" s="1651"/>
      <c r="ED386" s="1651"/>
      <c r="EE386" s="1651"/>
      <c r="EF386" s="1651"/>
      <c r="EG386" s="1651"/>
      <c r="EH386" s="1651"/>
      <c r="EI386" s="1651"/>
      <c r="EJ386" s="1651"/>
      <c r="EK386" s="1651"/>
      <c r="EL386" s="1651"/>
      <c r="EM386" s="1651"/>
      <c r="EN386" s="1651"/>
      <c r="EO386" s="1651"/>
      <c r="EP386" s="1651"/>
    </row>
    <row r="387" spans="1:146" ht="75.75" hidden="1" thickBot="1">
      <c r="A387" s="1651"/>
      <c r="B387" s="1651"/>
      <c r="C387" s="1640"/>
      <c r="D387" s="1651"/>
      <c r="E387" s="2190" t="s">
        <v>3156</v>
      </c>
      <c r="F387" s="1651">
        <v>4800</v>
      </c>
      <c r="G387" s="1651"/>
      <c r="H387" s="1651"/>
      <c r="I387" s="1651"/>
      <c r="J387" s="1651"/>
      <c r="K387" s="1651"/>
      <c r="L387" s="1651"/>
      <c r="M387" s="1651"/>
      <c r="N387" s="1651"/>
      <c r="O387" s="1651"/>
      <c r="P387" s="1651"/>
      <c r="Q387" s="1651"/>
      <c r="R387" s="1651"/>
      <c r="S387" s="1651"/>
      <c r="T387" s="1651"/>
      <c r="U387" s="1651"/>
      <c r="V387" s="1651"/>
      <c r="W387" s="1651"/>
      <c r="X387" s="1651"/>
      <c r="Y387" s="1651"/>
      <c r="Z387" s="1651"/>
      <c r="AA387" s="1651"/>
      <c r="AB387" s="1651"/>
      <c r="AC387" s="1651"/>
      <c r="AD387" s="1651"/>
      <c r="AE387" s="1651"/>
      <c r="AF387" s="1651"/>
      <c r="AG387" s="1651"/>
      <c r="AH387" s="1651"/>
      <c r="AI387" s="1651"/>
      <c r="AJ387" s="1651"/>
      <c r="AK387" s="1651"/>
      <c r="AL387" s="1651"/>
      <c r="AM387" s="1651"/>
      <c r="AN387" s="1651"/>
      <c r="AO387" s="1651"/>
      <c r="AP387" s="1651"/>
      <c r="AQ387" s="1651"/>
      <c r="AR387" s="1651"/>
      <c r="AS387" s="1651"/>
      <c r="AT387" s="1651"/>
      <c r="AU387" s="1651"/>
      <c r="AV387" s="1651"/>
      <c r="AW387" s="1651"/>
      <c r="AX387" s="1651"/>
      <c r="AY387" s="1651"/>
      <c r="AZ387" s="1651"/>
      <c r="BA387" s="1651"/>
      <c r="BB387" s="1651"/>
      <c r="BC387" s="1651"/>
      <c r="BD387" s="1651"/>
      <c r="BE387" s="1651"/>
      <c r="BF387" s="1651"/>
      <c r="BG387" s="1651"/>
      <c r="BH387" s="1651"/>
      <c r="BI387" s="1651"/>
      <c r="BJ387" s="1651"/>
      <c r="BK387" s="1651"/>
      <c r="BL387" s="1651"/>
      <c r="BM387" s="1651"/>
      <c r="BN387" s="1651"/>
      <c r="BO387" s="1651"/>
      <c r="BP387" s="1651"/>
      <c r="BQ387" s="1651"/>
      <c r="BR387" s="1651"/>
      <c r="BS387" s="1651"/>
      <c r="BT387" s="1651"/>
      <c r="BU387" s="1651"/>
      <c r="BV387" s="1651"/>
      <c r="BW387" s="1651"/>
      <c r="BX387" s="1651"/>
      <c r="BY387" s="1651"/>
      <c r="BZ387" s="1651"/>
      <c r="CA387" s="1651"/>
      <c r="CB387" s="1651"/>
      <c r="CC387" s="1651"/>
      <c r="CD387" s="1651"/>
      <c r="CE387" s="1651"/>
      <c r="CF387" s="1651"/>
      <c r="CG387" s="1651"/>
      <c r="CH387" s="1651"/>
      <c r="CI387" s="1651"/>
      <c r="CJ387" s="1651"/>
      <c r="CK387" s="1651"/>
      <c r="CL387" s="1651"/>
      <c r="CM387" s="1651"/>
      <c r="CN387" s="1651"/>
      <c r="CO387" s="1651"/>
      <c r="CP387" s="1651"/>
      <c r="CQ387" s="1651"/>
      <c r="CR387" s="1651"/>
      <c r="CS387" s="1651"/>
      <c r="CT387" s="1651"/>
      <c r="CU387" s="1651"/>
      <c r="CV387" s="1651"/>
      <c r="CW387" s="1651"/>
      <c r="CX387" s="1651"/>
      <c r="CY387" s="1651"/>
      <c r="CZ387" s="1651"/>
      <c r="DA387" s="1651"/>
      <c r="DB387" s="1651"/>
      <c r="DC387" s="1651"/>
      <c r="DD387" s="1651"/>
      <c r="DE387" s="1651"/>
      <c r="DF387" s="1651"/>
      <c r="DG387" s="1651"/>
      <c r="DH387" s="1651"/>
      <c r="DI387" s="1651"/>
      <c r="DJ387" s="1651"/>
      <c r="DK387" s="1651"/>
      <c r="DL387" s="1651"/>
      <c r="DM387" s="1651"/>
      <c r="DN387" s="1651"/>
      <c r="DO387" s="1651"/>
      <c r="DP387" s="1651"/>
      <c r="DQ387" s="1651"/>
      <c r="DR387" s="1651"/>
      <c r="DS387" s="1651"/>
      <c r="DT387" s="1651"/>
      <c r="DU387" s="1651"/>
      <c r="DV387" s="1651"/>
      <c r="DW387" s="1651"/>
      <c r="DX387" s="1651"/>
      <c r="DY387" s="1651"/>
      <c r="DZ387" s="1651"/>
      <c r="EA387" s="1651"/>
      <c r="EB387" s="1651"/>
      <c r="EC387" s="1651"/>
      <c r="ED387" s="1651"/>
      <c r="EE387" s="1651"/>
      <c r="EF387" s="1651"/>
      <c r="EG387" s="1651"/>
      <c r="EH387" s="1651"/>
      <c r="EI387" s="1651"/>
      <c r="EJ387" s="1651"/>
      <c r="EK387" s="1651"/>
      <c r="EL387" s="1651"/>
      <c r="EM387" s="1651"/>
      <c r="EN387" s="1651"/>
      <c r="EO387" s="1651"/>
      <c r="EP387" s="1651"/>
    </row>
    <row r="388" spans="1:146" ht="15.75" hidden="1" thickBot="1">
      <c r="A388" s="1651"/>
      <c r="B388" s="1651"/>
      <c r="C388" s="1640"/>
      <c r="D388" s="1651"/>
      <c r="E388" s="3507"/>
      <c r="F388" s="1651">
        <v>0</v>
      </c>
      <c r="G388" s="1651"/>
      <c r="H388" s="1651"/>
      <c r="I388" s="1651"/>
      <c r="J388" s="1651"/>
      <c r="K388" s="1651"/>
      <c r="L388" s="1651"/>
      <c r="M388" s="1651"/>
      <c r="N388" s="1651"/>
      <c r="O388" s="1651"/>
      <c r="P388" s="1651"/>
      <c r="Q388" s="1651"/>
      <c r="R388" s="1651"/>
      <c r="S388" s="1651"/>
      <c r="T388" s="1651"/>
      <c r="U388" s="1651"/>
      <c r="V388" s="1651"/>
      <c r="W388" s="1651"/>
      <c r="X388" s="1651"/>
      <c r="Y388" s="1651"/>
      <c r="Z388" s="1651"/>
      <c r="AA388" s="1651"/>
      <c r="AB388" s="1651"/>
      <c r="AC388" s="1651"/>
      <c r="AD388" s="1651"/>
      <c r="AE388" s="1651"/>
      <c r="AF388" s="1651"/>
      <c r="AG388" s="1651"/>
      <c r="AH388" s="1651"/>
      <c r="AI388" s="1651"/>
      <c r="AJ388" s="1651"/>
      <c r="AK388" s="1651"/>
      <c r="AL388" s="1651"/>
      <c r="AM388" s="1651"/>
      <c r="AN388" s="1651"/>
      <c r="AO388" s="1651"/>
      <c r="AP388" s="1651"/>
      <c r="AQ388" s="1651"/>
      <c r="AR388" s="1651"/>
      <c r="AS388" s="1651"/>
      <c r="AT388" s="1651"/>
      <c r="AU388" s="1651"/>
      <c r="AV388" s="1651"/>
      <c r="AW388" s="1651"/>
      <c r="AX388" s="1651"/>
      <c r="AY388" s="1651"/>
      <c r="AZ388" s="1651"/>
      <c r="BA388" s="1651"/>
      <c r="BB388" s="1651"/>
      <c r="BC388" s="1651"/>
      <c r="BD388" s="1651"/>
      <c r="BE388" s="1651"/>
      <c r="BF388" s="1651"/>
      <c r="BG388" s="1651"/>
      <c r="BH388" s="1651"/>
      <c r="BI388" s="1651"/>
      <c r="BJ388" s="1651"/>
      <c r="BK388" s="1651"/>
      <c r="BL388" s="1651"/>
      <c r="BM388" s="1651"/>
      <c r="BN388" s="1651"/>
      <c r="BO388" s="1651"/>
      <c r="BP388" s="1651"/>
      <c r="BQ388" s="1651"/>
      <c r="BR388" s="1651"/>
      <c r="BS388" s="1651"/>
      <c r="BT388" s="1651"/>
      <c r="BU388" s="1651"/>
      <c r="BV388" s="1651"/>
      <c r="BW388" s="1651"/>
      <c r="BX388" s="1651"/>
      <c r="BY388" s="1651"/>
      <c r="BZ388" s="1651"/>
      <c r="CA388" s="1651"/>
      <c r="CB388" s="1651"/>
      <c r="CC388" s="1651"/>
      <c r="CD388" s="1651"/>
      <c r="CE388" s="1651"/>
      <c r="CF388" s="1651"/>
      <c r="CG388" s="1651"/>
      <c r="CH388" s="1651"/>
      <c r="CI388" s="1651"/>
      <c r="CJ388" s="1651"/>
      <c r="CK388" s="1651"/>
      <c r="CL388" s="1651"/>
      <c r="CM388" s="1651"/>
      <c r="CN388" s="1651"/>
      <c r="CO388" s="1651"/>
      <c r="CP388" s="1651"/>
      <c r="CQ388" s="1651"/>
      <c r="CR388" s="1651"/>
      <c r="CS388" s="1651"/>
      <c r="CT388" s="1651"/>
      <c r="CU388" s="1651"/>
      <c r="CV388" s="1651"/>
      <c r="CW388" s="1651"/>
      <c r="CX388" s="1651"/>
      <c r="CY388" s="1651"/>
      <c r="CZ388" s="1651"/>
      <c r="DA388" s="1651"/>
      <c r="DB388" s="1651"/>
      <c r="DC388" s="1651"/>
      <c r="DD388" s="1651"/>
      <c r="DE388" s="1651"/>
      <c r="DF388" s="1651"/>
      <c r="DG388" s="1651"/>
      <c r="DH388" s="1651"/>
      <c r="DI388" s="1651"/>
      <c r="DJ388" s="1651"/>
      <c r="DK388" s="1651"/>
      <c r="DL388" s="1651"/>
      <c r="DM388" s="1651"/>
      <c r="DN388" s="1651"/>
      <c r="DO388" s="1651"/>
      <c r="DP388" s="1651"/>
      <c r="DQ388" s="1651"/>
      <c r="DR388" s="1651"/>
      <c r="DS388" s="1651"/>
      <c r="DT388" s="1651"/>
      <c r="DU388" s="1651"/>
      <c r="DV388" s="1651"/>
      <c r="DW388" s="1651"/>
      <c r="DX388" s="1651"/>
      <c r="DY388" s="1651"/>
      <c r="DZ388" s="1651"/>
      <c r="EA388" s="1651"/>
      <c r="EB388" s="1651"/>
      <c r="EC388" s="1651"/>
      <c r="ED388" s="1651"/>
      <c r="EE388" s="1651"/>
      <c r="EF388" s="1651"/>
      <c r="EG388" s="1651"/>
      <c r="EH388" s="1651"/>
      <c r="EI388" s="1651"/>
      <c r="EJ388" s="1651"/>
      <c r="EK388" s="1651"/>
      <c r="EL388" s="1651"/>
      <c r="EM388" s="1651"/>
      <c r="EN388" s="1651"/>
      <c r="EO388" s="1651"/>
      <c r="EP388" s="1651"/>
    </row>
    <row r="389" spans="1:146" ht="60.75" hidden="1" thickBot="1">
      <c r="A389" s="1651"/>
      <c r="B389" s="1651"/>
      <c r="C389" s="1640"/>
      <c r="D389" s="1651"/>
      <c r="E389" s="2190" t="s">
        <v>3157</v>
      </c>
      <c r="F389" s="1651">
        <v>50</v>
      </c>
      <c r="G389" s="1651"/>
      <c r="H389" s="1651"/>
      <c r="I389" s="1651"/>
      <c r="J389" s="1651"/>
      <c r="K389" s="1651"/>
      <c r="L389" s="1651"/>
      <c r="M389" s="1651"/>
      <c r="N389" s="1651"/>
      <c r="O389" s="1651"/>
      <c r="P389" s="1651"/>
      <c r="Q389" s="1651"/>
      <c r="R389" s="1651"/>
      <c r="S389" s="1651"/>
      <c r="T389" s="1651"/>
      <c r="U389" s="1651"/>
      <c r="V389" s="1651"/>
      <c r="W389" s="1651"/>
      <c r="X389" s="1651"/>
      <c r="Y389" s="1651"/>
      <c r="Z389" s="1651"/>
      <c r="AA389" s="1651"/>
      <c r="AB389" s="1651"/>
      <c r="AC389" s="1651"/>
      <c r="AD389" s="1651"/>
      <c r="AE389" s="1651"/>
      <c r="AF389" s="1651"/>
      <c r="AG389" s="1651"/>
      <c r="AH389" s="1651"/>
      <c r="AI389" s="1651"/>
      <c r="AJ389" s="1651"/>
      <c r="AK389" s="1651"/>
      <c r="AL389" s="1651"/>
      <c r="AM389" s="1651"/>
      <c r="AN389" s="1651"/>
      <c r="AO389" s="1651"/>
      <c r="AP389" s="1651"/>
      <c r="AQ389" s="1651"/>
      <c r="AR389" s="1651"/>
      <c r="AS389" s="1651"/>
      <c r="AT389" s="1651"/>
      <c r="AU389" s="1651"/>
      <c r="AV389" s="1651"/>
      <c r="AW389" s="1651"/>
      <c r="AX389" s="1651"/>
      <c r="AY389" s="1651"/>
      <c r="AZ389" s="1651"/>
      <c r="BA389" s="1651"/>
      <c r="BB389" s="1651"/>
      <c r="BC389" s="1651"/>
      <c r="BD389" s="1651"/>
      <c r="BE389" s="1651"/>
      <c r="BF389" s="1651"/>
      <c r="BG389" s="1651"/>
      <c r="BH389" s="1651"/>
      <c r="BI389" s="1651"/>
      <c r="BJ389" s="1651"/>
      <c r="BK389" s="1651"/>
      <c r="BL389" s="1651"/>
      <c r="BM389" s="1651"/>
      <c r="BN389" s="1651"/>
      <c r="BO389" s="1651"/>
      <c r="BP389" s="1651"/>
      <c r="BQ389" s="1651"/>
      <c r="BR389" s="1651"/>
      <c r="BS389" s="1651"/>
      <c r="BT389" s="1651"/>
      <c r="BU389" s="1651"/>
      <c r="BV389" s="1651"/>
      <c r="BW389" s="1651"/>
      <c r="BX389" s="1651"/>
      <c r="BY389" s="1651"/>
      <c r="BZ389" s="1651"/>
      <c r="CA389" s="1651"/>
      <c r="CB389" s="1651"/>
      <c r="CC389" s="1651"/>
      <c r="CD389" s="1651"/>
      <c r="CE389" s="1651"/>
      <c r="CF389" s="1651"/>
      <c r="CG389" s="1651"/>
      <c r="CH389" s="1651"/>
      <c r="CI389" s="1651"/>
      <c r="CJ389" s="1651"/>
      <c r="CK389" s="1651"/>
      <c r="CL389" s="1651"/>
      <c r="CM389" s="1651"/>
      <c r="CN389" s="1651"/>
      <c r="CO389" s="1651"/>
      <c r="CP389" s="1651"/>
      <c r="CQ389" s="1651"/>
      <c r="CR389" s="1651"/>
      <c r="CS389" s="1651"/>
      <c r="CT389" s="1651"/>
      <c r="CU389" s="1651"/>
      <c r="CV389" s="1651"/>
      <c r="CW389" s="1651"/>
      <c r="CX389" s="1651"/>
      <c r="CY389" s="1651"/>
      <c r="CZ389" s="1651"/>
      <c r="DA389" s="1651"/>
      <c r="DB389" s="1651"/>
      <c r="DC389" s="1651"/>
      <c r="DD389" s="1651"/>
      <c r="DE389" s="1651"/>
      <c r="DF389" s="1651"/>
      <c r="DG389" s="1651"/>
      <c r="DH389" s="1651"/>
      <c r="DI389" s="1651"/>
      <c r="DJ389" s="1651"/>
      <c r="DK389" s="1651"/>
      <c r="DL389" s="1651"/>
      <c r="DM389" s="1651"/>
      <c r="DN389" s="1651"/>
      <c r="DO389" s="1651"/>
      <c r="DP389" s="1651"/>
      <c r="DQ389" s="1651"/>
      <c r="DR389" s="1651"/>
      <c r="DS389" s="1651"/>
      <c r="DT389" s="1651"/>
      <c r="DU389" s="1651"/>
      <c r="DV389" s="1651"/>
      <c r="DW389" s="1651"/>
      <c r="DX389" s="1651"/>
      <c r="DY389" s="1651"/>
      <c r="DZ389" s="1651"/>
      <c r="EA389" s="1651"/>
      <c r="EB389" s="1651"/>
      <c r="EC389" s="1651"/>
      <c r="ED389" s="1651"/>
      <c r="EE389" s="1651"/>
      <c r="EF389" s="1651"/>
      <c r="EG389" s="1651"/>
      <c r="EH389" s="1651"/>
      <c r="EI389" s="1651"/>
      <c r="EJ389" s="1651"/>
      <c r="EK389" s="1651"/>
      <c r="EL389" s="1651"/>
      <c r="EM389" s="1651"/>
      <c r="EN389" s="1651"/>
      <c r="EO389" s="1651"/>
      <c r="EP389" s="1651"/>
    </row>
    <row r="390" spans="1:146" ht="90.75" hidden="1" thickBot="1">
      <c r="A390" s="1651"/>
      <c r="B390" s="1651"/>
      <c r="C390" s="1640"/>
      <c r="D390" s="1651"/>
      <c r="E390" s="2190" t="s">
        <v>3158</v>
      </c>
      <c r="F390" s="1651">
        <v>1700</v>
      </c>
      <c r="G390" s="1651"/>
      <c r="H390" s="1651"/>
      <c r="I390" s="1651"/>
      <c r="J390" s="1651"/>
      <c r="K390" s="1651"/>
      <c r="L390" s="1651"/>
      <c r="M390" s="1651"/>
      <c r="N390" s="1651"/>
      <c r="O390" s="1651"/>
      <c r="P390" s="1651"/>
      <c r="Q390" s="1651"/>
      <c r="R390" s="1651"/>
      <c r="S390" s="1651"/>
      <c r="T390" s="1651"/>
      <c r="U390" s="1651"/>
      <c r="V390" s="1651"/>
      <c r="W390" s="1651"/>
      <c r="X390" s="1651"/>
      <c r="Y390" s="1651"/>
      <c r="Z390" s="1651"/>
      <c r="AA390" s="1651"/>
      <c r="AB390" s="1651"/>
      <c r="AC390" s="1651"/>
      <c r="AD390" s="1651"/>
      <c r="AE390" s="1651"/>
      <c r="AF390" s="1651"/>
      <c r="AG390" s="1651"/>
      <c r="AH390" s="1651"/>
      <c r="AI390" s="1651"/>
      <c r="AJ390" s="1651"/>
      <c r="AK390" s="1651"/>
      <c r="AL390" s="1651"/>
      <c r="AM390" s="1651"/>
      <c r="AN390" s="1651"/>
      <c r="AO390" s="1651"/>
      <c r="AP390" s="1651"/>
      <c r="AQ390" s="1651"/>
      <c r="AR390" s="1651"/>
      <c r="AS390" s="1651"/>
      <c r="AT390" s="1651"/>
      <c r="AU390" s="1651"/>
      <c r="AV390" s="1651"/>
      <c r="AW390" s="1651"/>
      <c r="AX390" s="1651"/>
      <c r="AY390" s="1651"/>
      <c r="AZ390" s="1651"/>
      <c r="BA390" s="1651"/>
      <c r="BB390" s="1651"/>
      <c r="BC390" s="1651"/>
      <c r="BD390" s="1651"/>
      <c r="BE390" s="1651"/>
      <c r="BF390" s="1651"/>
      <c r="BG390" s="1651"/>
      <c r="BH390" s="1651"/>
      <c r="BI390" s="1651"/>
      <c r="BJ390" s="1651"/>
      <c r="BK390" s="1651"/>
      <c r="BL390" s="1651"/>
      <c r="BM390" s="1651"/>
      <c r="BN390" s="1651"/>
      <c r="BO390" s="1651"/>
      <c r="BP390" s="1651"/>
      <c r="BQ390" s="1651"/>
      <c r="BR390" s="1651"/>
      <c r="BS390" s="1651"/>
      <c r="BT390" s="1651"/>
      <c r="BU390" s="1651"/>
      <c r="BV390" s="1651"/>
      <c r="BW390" s="1651"/>
      <c r="BX390" s="1651"/>
      <c r="BY390" s="1651"/>
      <c r="BZ390" s="1651"/>
      <c r="CA390" s="1651"/>
      <c r="CB390" s="1651"/>
      <c r="CC390" s="1651"/>
      <c r="CD390" s="1651"/>
      <c r="CE390" s="1651"/>
      <c r="CF390" s="1651"/>
      <c r="CG390" s="1651"/>
      <c r="CH390" s="1651"/>
      <c r="CI390" s="1651"/>
      <c r="CJ390" s="1651"/>
      <c r="CK390" s="1651"/>
      <c r="CL390" s="1651"/>
      <c r="CM390" s="1651"/>
      <c r="CN390" s="1651"/>
      <c r="CO390" s="1651"/>
      <c r="CP390" s="1651"/>
      <c r="CQ390" s="1651"/>
      <c r="CR390" s="1651"/>
      <c r="CS390" s="1651"/>
      <c r="CT390" s="1651"/>
      <c r="CU390" s="1651"/>
      <c r="CV390" s="1651"/>
      <c r="CW390" s="1651"/>
      <c r="CX390" s="1651"/>
      <c r="CY390" s="1651"/>
      <c r="CZ390" s="1651"/>
      <c r="DA390" s="1651"/>
      <c r="DB390" s="1651"/>
      <c r="DC390" s="1651"/>
      <c r="DD390" s="1651"/>
      <c r="DE390" s="1651"/>
      <c r="DF390" s="1651"/>
      <c r="DG390" s="1651"/>
      <c r="DH390" s="1651"/>
      <c r="DI390" s="1651"/>
      <c r="DJ390" s="1651"/>
      <c r="DK390" s="1651"/>
      <c r="DL390" s="1651"/>
      <c r="DM390" s="1651"/>
      <c r="DN390" s="1651"/>
      <c r="DO390" s="1651"/>
      <c r="DP390" s="1651"/>
      <c r="DQ390" s="1651"/>
      <c r="DR390" s="1651"/>
      <c r="DS390" s="1651"/>
      <c r="DT390" s="1651"/>
      <c r="DU390" s="1651"/>
      <c r="DV390" s="1651"/>
      <c r="DW390" s="1651"/>
      <c r="DX390" s="1651"/>
      <c r="DY390" s="1651"/>
      <c r="DZ390" s="1651"/>
      <c r="EA390" s="1651"/>
      <c r="EB390" s="1651"/>
      <c r="EC390" s="1651"/>
      <c r="ED390" s="1651"/>
      <c r="EE390" s="1651"/>
      <c r="EF390" s="1651"/>
      <c r="EG390" s="1651"/>
      <c r="EH390" s="1651"/>
      <c r="EI390" s="1651"/>
      <c r="EJ390" s="1651"/>
      <c r="EK390" s="1651"/>
      <c r="EL390" s="1651"/>
      <c r="EM390" s="1651"/>
      <c r="EN390" s="1651"/>
      <c r="EO390" s="1651"/>
      <c r="EP390" s="1651"/>
    </row>
    <row r="391" spans="1:146">
      <c r="A391" s="1651"/>
      <c r="B391" s="1651"/>
      <c r="C391" s="1640"/>
      <c r="D391" s="1651"/>
      <c r="E391" s="3670">
        <f>E42/E103-1</f>
        <v>0.17500000000000004</v>
      </c>
      <c r="F391" s="3670">
        <f>F42/F103-1</f>
        <v>0.18181818181818188</v>
      </c>
      <c r="G391" s="3670">
        <f>G42/G103-1</f>
        <v>0.1707317073170731</v>
      </c>
      <c r="H391" s="3670">
        <f>H42/H103-1</f>
        <v>0.15942028985507251</v>
      </c>
      <c r="I391" s="3670">
        <f>I42/I103-1</f>
        <v>0.16883116883116878</v>
      </c>
      <c r="J391" s="3670"/>
      <c r="K391" s="3670">
        <f t="shared" ref="K391:T391" si="208">K42/K103-1</f>
        <v>0.23809523809523814</v>
      </c>
      <c r="L391" s="3670">
        <f t="shared" si="208"/>
        <v>0.19999999999999996</v>
      </c>
      <c r="M391" s="3670">
        <f t="shared" si="208"/>
        <v>0.19999999999999996</v>
      </c>
      <c r="N391" s="3670">
        <f t="shared" si="208"/>
        <v>0.22222222222222232</v>
      </c>
      <c r="O391" s="3670">
        <f t="shared" si="208"/>
        <v>0.17142857142857149</v>
      </c>
      <c r="P391" s="3670">
        <f t="shared" si="208"/>
        <v>0.21739130434782616</v>
      </c>
      <c r="Q391" s="3670">
        <f t="shared" si="208"/>
        <v>0.18918918918918926</v>
      </c>
      <c r="R391" s="3670">
        <f t="shared" si="208"/>
        <v>0.16949152542372881</v>
      </c>
      <c r="S391" s="3670">
        <f t="shared" si="208"/>
        <v>0.17142857142857149</v>
      </c>
      <c r="T391" s="3670">
        <f t="shared" si="208"/>
        <v>0.18461538461538463</v>
      </c>
      <c r="U391" s="3670"/>
      <c r="V391" s="3670">
        <f>V42/V103-1</f>
        <v>0.17241379310344818</v>
      </c>
      <c r="W391" s="3670">
        <f>W42/W103-1</f>
        <v>0.17142857142857149</v>
      </c>
      <c r="X391" s="3670" t="e">
        <f>#REF!/X104-1</f>
        <v>#REF!</v>
      </c>
      <c r="Y391" s="3670">
        <f>Y42/Y103-1</f>
        <v>0.17948717948717952</v>
      </c>
      <c r="Z391" s="3670">
        <f>Z42/Z103-1</f>
        <v>0.17021276595744683</v>
      </c>
      <c r="AA391" s="3670">
        <f>AA42/AA103-1</f>
        <v>0.15686274509803932</v>
      </c>
      <c r="AB391" s="3670">
        <f>AB42/AB103-1</f>
        <v>0.16949152542372881</v>
      </c>
      <c r="AC391" s="3670">
        <f>AC42/AC103-1</f>
        <v>0.16417910447761197</v>
      </c>
      <c r="AD391" s="3670"/>
      <c r="AE391" s="3670"/>
      <c r="AF391" s="3670">
        <f t="shared" ref="AF391:BH391" si="209">AF42/AF103-1</f>
        <v>0.1785714285714286</v>
      </c>
      <c r="AG391" s="3670">
        <f t="shared" si="209"/>
        <v>0.16417910447761197</v>
      </c>
      <c r="AH391" s="3670">
        <f t="shared" si="209"/>
        <v>0.17808219178082196</v>
      </c>
      <c r="AI391" s="3670">
        <f t="shared" si="209"/>
        <v>0.15730337078651679</v>
      </c>
      <c r="AJ391" s="3670">
        <f t="shared" si="209"/>
        <v>0.16091954022988508</v>
      </c>
      <c r="AK391" s="3670">
        <f t="shared" si="209"/>
        <v>0.15730337078651679</v>
      </c>
      <c r="AL391" s="3670">
        <f t="shared" si="209"/>
        <v>0.15757575757575748</v>
      </c>
      <c r="AM391" s="3670">
        <f t="shared" si="209"/>
        <v>0.15075376884422109</v>
      </c>
      <c r="AN391" s="3670">
        <f t="shared" si="209"/>
        <v>0.17948717948717952</v>
      </c>
      <c r="AO391" s="3670">
        <f t="shared" si="209"/>
        <v>0.15662650602409633</v>
      </c>
      <c r="AP391" s="3670">
        <f t="shared" si="209"/>
        <v>0.16666666666666674</v>
      </c>
      <c r="AQ391" s="3670">
        <f t="shared" si="209"/>
        <v>0.16666666666666674</v>
      </c>
      <c r="AR391" s="3670">
        <f t="shared" si="209"/>
        <v>0.15469613259668513</v>
      </c>
      <c r="AS391" s="3670">
        <f t="shared" si="209"/>
        <v>0.16091954022988508</v>
      </c>
      <c r="AT391" s="3670">
        <f t="shared" si="209"/>
        <v>0.16666666666666674</v>
      </c>
      <c r="AU391" s="3670">
        <f t="shared" si="209"/>
        <v>0.16842105263157903</v>
      </c>
      <c r="AV391" s="3670" t="e">
        <f t="shared" si="209"/>
        <v>#VALUE!</v>
      </c>
      <c r="AW391" s="3670">
        <f t="shared" si="209"/>
        <v>0.16666666666666674</v>
      </c>
      <c r="AX391" s="3670">
        <f t="shared" si="209"/>
        <v>0.16842105263157903</v>
      </c>
      <c r="AY391" s="3670">
        <f t="shared" si="209"/>
        <v>0.15999999999999992</v>
      </c>
      <c r="AZ391" s="3670">
        <f t="shared" si="209"/>
        <v>0.19999999999999996</v>
      </c>
      <c r="BA391" s="3670">
        <f t="shared" si="209"/>
        <v>0.16842105263157903</v>
      </c>
      <c r="BB391" s="3670">
        <f t="shared" si="209"/>
        <v>0.15999999999999992</v>
      </c>
      <c r="BC391" s="3670">
        <f t="shared" si="209"/>
        <v>0.19999999999999996</v>
      </c>
      <c r="BD391" s="3670">
        <f t="shared" si="209"/>
        <v>0.19999999999999996</v>
      </c>
      <c r="BE391" s="3670">
        <f t="shared" si="209"/>
        <v>0.15999999999999992</v>
      </c>
      <c r="BF391" s="3670">
        <f t="shared" si="209"/>
        <v>0.19999999999999996</v>
      </c>
      <c r="BG391" s="3670">
        <f t="shared" si="209"/>
        <v>0.19999999999999996</v>
      </c>
      <c r="BH391" s="3670">
        <f t="shared" si="209"/>
        <v>0.17692307692307696</v>
      </c>
      <c r="BI391" s="3670"/>
      <c r="BJ391" s="3670">
        <f t="shared" ref="BJ391:BU391" si="210">BJ42/BJ103-1</f>
        <v>0.20833333333333326</v>
      </c>
      <c r="BK391" s="3670">
        <f t="shared" si="210"/>
        <v>0.19230769230769229</v>
      </c>
      <c r="BL391" s="3670">
        <f t="shared" si="210"/>
        <v>0.18518518518518512</v>
      </c>
      <c r="BM391" s="3670">
        <f t="shared" si="210"/>
        <v>0.1785714285714286</v>
      </c>
      <c r="BN391" s="3670">
        <f t="shared" si="210"/>
        <v>0.19230769230769229</v>
      </c>
      <c r="BO391" s="3670">
        <f t="shared" si="210"/>
        <v>0.18518518518518512</v>
      </c>
      <c r="BP391" s="3670">
        <f t="shared" si="210"/>
        <v>0.1785714285714286</v>
      </c>
      <c r="BQ391" s="3670">
        <f t="shared" si="210"/>
        <v>0.16666666666666674</v>
      </c>
      <c r="BR391" s="3670">
        <f t="shared" si="210"/>
        <v>0.18518518518518512</v>
      </c>
      <c r="BS391" s="3670">
        <f t="shared" si="210"/>
        <v>0.1785714285714286</v>
      </c>
      <c r="BT391" s="3670">
        <f t="shared" si="210"/>
        <v>0.16666666666666674</v>
      </c>
      <c r="BU391" s="3670">
        <f t="shared" si="210"/>
        <v>0.17142857142857149</v>
      </c>
      <c r="BV391" s="3670"/>
      <c r="BW391" s="3670">
        <f t="shared" ref="BW391:CC391" si="211">BW42/BW103-1</f>
        <v>0.23809523809523814</v>
      </c>
      <c r="BX391" s="3670">
        <f t="shared" si="211"/>
        <v>0.17142857142857149</v>
      </c>
      <c r="BY391" s="3670">
        <f t="shared" si="211"/>
        <v>0.17460317460317465</v>
      </c>
      <c r="BZ391" s="3670">
        <f t="shared" si="211"/>
        <v>0.16666666666666674</v>
      </c>
      <c r="CA391" s="3670">
        <f t="shared" si="211"/>
        <v>0.161904761904762</v>
      </c>
      <c r="CB391" s="3670">
        <f t="shared" si="211"/>
        <v>0.15343915343915349</v>
      </c>
      <c r="CC391" s="3670">
        <f t="shared" si="211"/>
        <v>0.17142857142857149</v>
      </c>
      <c r="CD391" s="3670"/>
      <c r="CE391" s="3670">
        <f t="shared" ref="CE391:CN391" si="212">CE42/CE103-1</f>
        <v>0.15789473684210531</v>
      </c>
      <c r="CF391" s="3670">
        <f t="shared" si="212"/>
        <v>0.20833333333333326</v>
      </c>
      <c r="CG391" s="3670">
        <f t="shared" si="212"/>
        <v>0.19230769230769229</v>
      </c>
      <c r="CH391" s="3670">
        <f t="shared" si="212"/>
        <v>0.14999999999999991</v>
      </c>
      <c r="CI391" s="3670">
        <f t="shared" si="212"/>
        <v>0.19230769230769229</v>
      </c>
      <c r="CJ391" s="3670">
        <f t="shared" si="212"/>
        <v>0.1785714285714286</v>
      </c>
      <c r="CK391" s="3670">
        <f t="shared" si="212"/>
        <v>0.17142857142857149</v>
      </c>
      <c r="CL391" s="3670">
        <f t="shared" si="212"/>
        <v>0.18421052631578938</v>
      </c>
      <c r="CM391" s="3670">
        <f t="shared" si="212"/>
        <v>0.17777777777777781</v>
      </c>
      <c r="CN391" s="3670">
        <f t="shared" si="212"/>
        <v>0.19999999999999996</v>
      </c>
      <c r="CO391" s="3670"/>
      <c r="CP391" s="3670">
        <f t="shared" ref="CP391:CV391" si="213">CP42/CP103-1</f>
        <v>0.18421052631578938</v>
      </c>
      <c r="CQ391" s="3670">
        <f t="shared" si="213"/>
        <v>0.18604651162790709</v>
      </c>
      <c r="CR391" s="3670">
        <f t="shared" si="213"/>
        <v>0.17460317460317465</v>
      </c>
      <c r="CS391" s="3670">
        <f t="shared" si="213"/>
        <v>0.21428571428571419</v>
      </c>
      <c r="CT391" s="3670">
        <f t="shared" si="213"/>
        <v>0.17647058823529416</v>
      </c>
      <c r="CU391" s="3670">
        <f t="shared" si="213"/>
        <v>0.23809523809523814</v>
      </c>
      <c r="CV391" s="3670">
        <f t="shared" si="213"/>
        <v>0.16666666666666674</v>
      </c>
      <c r="CW391" s="3670"/>
      <c r="CX391" s="3670">
        <f>CX42/CX103-1</f>
        <v>2</v>
      </c>
      <c r="CY391" s="3670">
        <f>CY42/CY103-1</f>
        <v>0.11764705882352944</v>
      </c>
      <c r="CZ391" s="1651"/>
      <c r="DA391" s="1651"/>
      <c r="DB391" s="1651"/>
      <c r="DC391" s="1651"/>
      <c r="DD391" s="1651"/>
      <c r="DE391" s="1651"/>
      <c r="DF391" s="1651"/>
      <c r="DG391" s="1651"/>
      <c r="DH391" s="1651"/>
      <c r="DI391" s="1651"/>
      <c r="DJ391" s="1651"/>
      <c r="DK391" s="1651"/>
      <c r="DL391" s="1651"/>
      <c r="DM391" s="1651"/>
      <c r="DN391" s="1651"/>
      <c r="DO391" s="1651"/>
      <c r="DP391" s="1651"/>
      <c r="DQ391" s="1651"/>
      <c r="DR391" s="1651"/>
      <c r="DS391" s="1651"/>
      <c r="DT391" s="1651"/>
      <c r="DU391" s="1651"/>
      <c r="DV391" s="1651"/>
      <c r="DW391" s="1651"/>
      <c r="DX391" s="1651"/>
      <c r="DY391" s="1651"/>
      <c r="DZ391" s="1651"/>
      <c r="EA391" s="1651"/>
      <c r="EB391" s="1651"/>
      <c r="EC391" s="1651"/>
      <c r="ED391" s="1651"/>
      <c r="EE391" s="1651"/>
      <c r="EF391" s="1651"/>
      <c r="EG391" s="1651"/>
      <c r="EH391" s="1651"/>
      <c r="EI391" s="1651"/>
      <c r="EJ391" s="1651"/>
      <c r="EK391" s="1651"/>
      <c r="EL391" s="1651"/>
      <c r="EM391" s="1651"/>
      <c r="EN391" s="1651"/>
      <c r="EO391" s="1651"/>
      <c r="EP391" s="1651"/>
    </row>
    <row r="392" spans="1:146">
      <c r="A392" s="1651"/>
      <c r="B392" s="1651"/>
      <c r="C392" s="1640"/>
      <c r="D392" s="1651"/>
      <c r="E392" s="1651"/>
      <c r="F392" s="1651"/>
      <c r="G392" s="1651"/>
      <c r="H392" s="1651"/>
      <c r="I392" s="1651"/>
      <c r="J392" s="1651"/>
      <c r="K392" s="1651"/>
      <c r="L392" s="1651"/>
      <c r="M392" s="1651"/>
      <c r="N392" s="1651"/>
      <c r="O392" s="1651"/>
      <c r="P392" s="1651"/>
      <c r="Q392" s="1651"/>
      <c r="R392" s="1651"/>
      <c r="S392" s="1651"/>
      <c r="T392" s="1651"/>
      <c r="U392" s="1651"/>
      <c r="V392" s="1651"/>
      <c r="W392" s="1651"/>
      <c r="X392" s="1651"/>
      <c r="Y392" s="1651"/>
      <c r="Z392" s="1651"/>
      <c r="AA392" s="1651"/>
      <c r="AB392" s="1651"/>
      <c r="AC392" s="1651"/>
      <c r="AD392" s="1651"/>
      <c r="AE392" s="1651"/>
      <c r="AF392" s="1651"/>
      <c r="AG392" s="1651"/>
      <c r="AH392" s="1651"/>
      <c r="AI392" s="1651"/>
      <c r="AJ392" s="1651"/>
      <c r="AK392" s="1651"/>
      <c r="AL392" s="1651"/>
      <c r="AM392" s="1651"/>
      <c r="AN392" s="1651"/>
      <c r="AO392" s="1651"/>
      <c r="AP392" s="1651"/>
      <c r="AQ392" s="1651"/>
      <c r="AR392" s="1651"/>
      <c r="AS392" s="1651"/>
      <c r="AT392" s="1651"/>
      <c r="AU392" s="1651"/>
      <c r="AV392" s="1651"/>
      <c r="AW392" s="1651"/>
      <c r="AX392" s="1651"/>
      <c r="AY392" s="1651"/>
      <c r="AZ392" s="1651"/>
      <c r="BA392" s="1651"/>
      <c r="BB392" s="1651"/>
      <c r="BC392" s="1651"/>
      <c r="BD392" s="1651"/>
      <c r="BE392" s="1651"/>
      <c r="BF392" s="1651"/>
      <c r="BG392" s="1651"/>
      <c r="BH392" s="1651"/>
      <c r="BI392" s="1651"/>
      <c r="BJ392" s="1651"/>
      <c r="BK392" s="1651"/>
      <c r="BL392" s="1651"/>
      <c r="BM392" s="1651"/>
      <c r="BN392" s="1651"/>
      <c r="BO392" s="1651"/>
      <c r="BP392" s="1651"/>
      <c r="BQ392" s="1651"/>
      <c r="BR392" s="1651"/>
      <c r="BS392" s="1651"/>
      <c r="BT392" s="1651"/>
      <c r="BU392" s="1651"/>
      <c r="BV392" s="1651"/>
      <c r="BW392" s="1651"/>
      <c r="BX392" s="1651"/>
      <c r="BY392" s="1651"/>
      <c r="BZ392" s="1651"/>
      <c r="CA392" s="1651"/>
      <c r="CB392" s="1651"/>
      <c r="CC392" s="1651"/>
      <c r="CD392" s="1651"/>
      <c r="CE392" s="1651"/>
      <c r="CF392" s="1651"/>
      <c r="CG392" s="1651"/>
      <c r="CH392" s="1651"/>
      <c r="CI392" s="1651"/>
      <c r="CJ392" s="1651"/>
      <c r="CK392" s="1651"/>
      <c r="CL392" s="1651"/>
      <c r="CM392" s="1651"/>
      <c r="CN392" s="1651"/>
      <c r="CO392" s="1651"/>
      <c r="CP392" s="1651"/>
      <c r="CQ392" s="1651"/>
      <c r="CR392" s="1651"/>
      <c r="CS392" s="1651"/>
      <c r="CT392" s="1651"/>
      <c r="CU392" s="1651"/>
      <c r="CV392" s="1651"/>
      <c r="CW392" s="1651"/>
      <c r="CX392" s="1651"/>
      <c r="CY392" s="1651"/>
      <c r="CZ392" s="1651"/>
      <c r="DA392" s="1651"/>
      <c r="DB392" s="1651"/>
      <c r="DC392" s="1651"/>
      <c r="DD392" s="1651"/>
      <c r="DE392" s="1651"/>
      <c r="DF392" s="1651"/>
      <c r="DG392" s="1651"/>
      <c r="DH392" s="1651"/>
      <c r="DI392" s="1651"/>
      <c r="DJ392" s="1651"/>
      <c r="DK392" s="1651"/>
      <c r="DL392" s="1651"/>
      <c r="DM392" s="1651"/>
      <c r="DN392" s="1651"/>
      <c r="DO392" s="1651"/>
      <c r="DP392" s="1651"/>
      <c r="DQ392" s="1651"/>
      <c r="DR392" s="1651"/>
      <c r="DS392" s="1651"/>
      <c r="DT392" s="1651"/>
      <c r="DU392" s="1651"/>
      <c r="DV392" s="1651"/>
      <c r="DW392" s="1651"/>
      <c r="DX392" s="1651"/>
      <c r="DY392" s="1651"/>
      <c r="DZ392" s="1651"/>
      <c r="EA392" s="1651"/>
      <c r="EB392" s="1651"/>
      <c r="EC392" s="1651"/>
      <c r="ED392" s="1651"/>
      <c r="EE392" s="1651"/>
      <c r="EF392" s="1651"/>
      <c r="EG392" s="1651"/>
      <c r="EH392" s="1651"/>
      <c r="EI392" s="1651"/>
      <c r="EJ392" s="1651"/>
      <c r="EK392" s="1651"/>
      <c r="EL392" s="1651"/>
      <c r="EM392" s="1651"/>
      <c r="EN392" s="1651"/>
      <c r="EO392" s="1651"/>
      <c r="EP392" s="1651"/>
    </row>
    <row r="393" spans="1:146">
      <c r="A393" s="1651"/>
      <c r="B393" s="1651"/>
      <c r="C393" s="1640"/>
      <c r="D393" s="1651"/>
      <c r="E393" s="1651"/>
      <c r="F393" s="1651"/>
      <c r="G393" s="1651"/>
      <c r="H393" s="1651"/>
      <c r="I393" s="1651"/>
      <c r="J393" s="1651"/>
      <c r="K393" s="1651"/>
      <c r="L393" s="1651"/>
      <c r="M393" s="1651"/>
      <c r="N393" s="1651"/>
      <c r="O393" s="1651"/>
      <c r="P393" s="1651"/>
      <c r="Q393" s="1651"/>
      <c r="R393" s="1651"/>
      <c r="S393" s="1651"/>
      <c r="T393" s="1651"/>
      <c r="U393" s="1651"/>
      <c r="V393" s="1651"/>
      <c r="W393" s="1651"/>
      <c r="X393" s="1651"/>
      <c r="Y393" s="1651"/>
      <c r="Z393" s="1651"/>
      <c r="AA393" s="1651"/>
      <c r="AB393" s="1651"/>
      <c r="AC393" s="1651"/>
      <c r="AD393" s="1651"/>
      <c r="AE393" s="1651"/>
      <c r="AF393" s="1651"/>
      <c r="AG393" s="1651"/>
      <c r="AH393" s="1651"/>
      <c r="AI393" s="1651"/>
      <c r="AJ393" s="1651"/>
      <c r="AK393" s="1651"/>
      <c r="AL393" s="1651"/>
      <c r="AM393" s="1651"/>
      <c r="AN393" s="1651"/>
      <c r="AO393" s="1651"/>
      <c r="AP393" s="1651"/>
      <c r="AQ393" s="1651"/>
      <c r="AR393" s="1651"/>
      <c r="AS393" s="1651"/>
      <c r="AT393" s="1651"/>
      <c r="AU393" s="1651"/>
      <c r="AV393" s="1651"/>
      <c r="AW393" s="1651"/>
      <c r="AX393" s="1651"/>
      <c r="AY393" s="1651"/>
      <c r="AZ393" s="1651"/>
      <c r="BA393" s="1651"/>
      <c r="BB393" s="1651"/>
      <c r="BC393" s="1651"/>
      <c r="BD393" s="1651"/>
      <c r="BE393" s="1651"/>
      <c r="BF393" s="1651"/>
      <c r="BG393" s="1651"/>
      <c r="BH393" s="1651"/>
      <c r="BI393" s="1651"/>
      <c r="BJ393" s="1651"/>
      <c r="BK393" s="1651"/>
      <c r="BL393" s="1651"/>
      <c r="BM393" s="1651"/>
      <c r="BN393" s="1651"/>
      <c r="BO393" s="1651"/>
      <c r="BP393" s="1651"/>
      <c r="BQ393" s="1651"/>
      <c r="BR393" s="1651"/>
      <c r="BS393" s="1651"/>
      <c r="BT393" s="1651"/>
      <c r="BU393" s="1651"/>
      <c r="BV393" s="1651"/>
      <c r="BW393" s="1651"/>
      <c r="BX393" s="1651"/>
      <c r="BY393" s="1651"/>
      <c r="BZ393" s="1651"/>
      <c r="CA393" s="1651"/>
      <c r="CB393" s="1651"/>
      <c r="CC393" s="1651"/>
      <c r="CD393" s="1651"/>
      <c r="CE393" s="1651"/>
      <c r="CF393" s="1651"/>
      <c r="CG393" s="1651"/>
      <c r="CH393" s="1651"/>
      <c r="CI393" s="1651"/>
      <c r="CJ393" s="1651"/>
      <c r="CK393" s="1651"/>
      <c r="CL393" s="1651"/>
      <c r="CM393" s="1651"/>
      <c r="CN393" s="1651"/>
      <c r="CO393" s="1651"/>
      <c r="CP393" s="1651"/>
      <c r="CQ393" s="1651"/>
      <c r="CR393" s="1651"/>
      <c r="CS393" s="1651"/>
      <c r="CT393" s="1651"/>
      <c r="CU393" s="1651"/>
      <c r="CV393" s="1651"/>
      <c r="CW393" s="1651"/>
      <c r="CX393" s="1651"/>
      <c r="CY393" s="1651"/>
      <c r="CZ393" s="1651"/>
      <c r="DA393" s="1651"/>
      <c r="DB393" s="1651"/>
      <c r="DC393" s="1651"/>
      <c r="DD393" s="1651"/>
      <c r="DE393" s="1651"/>
      <c r="DF393" s="1651"/>
      <c r="DG393" s="1651"/>
      <c r="DH393" s="1651"/>
      <c r="DI393" s="1651"/>
      <c r="DJ393" s="1651"/>
      <c r="DK393" s="1651"/>
      <c r="DL393" s="1651"/>
      <c r="DM393" s="1651"/>
      <c r="DN393" s="1651"/>
      <c r="DO393" s="1651"/>
      <c r="DP393" s="1651"/>
      <c r="DQ393" s="1651"/>
      <c r="DR393" s="1651"/>
      <c r="DS393" s="1651"/>
      <c r="DT393" s="1651"/>
      <c r="DU393" s="1651"/>
      <c r="DV393" s="1651"/>
      <c r="DW393" s="1651"/>
      <c r="DX393" s="1651"/>
      <c r="DY393" s="1651"/>
      <c r="DZ393" s="1651"/>
      <c r="EA393" s="1651"/>
      <c r="EB393" s="1651"/>
      <c r="EC393" s="1651"/>
      <c r="ED393" s="1651"/>
      <c r="EE393" s="1651"/>
      <c r="EF393" s="1651"/>
      <c r="EG393" s="1651"/>
      <c r="EH393" s="1651"/>
      <c r="EI393" s="1651"/>
      <c r="EJ393" s="1651"/>
      <c r="EK393" s="1651"/>
      <c r="EL393" s="1651"/>
      <c r="EM393" s="1651"/>
      <c r="EN393" s="1651"/>
      <c r="EO393" s="1651"/>
      <c r="EP393" s="1651"/>
    </row>
    <row r="394" spans="1:146">
      <c r="A394" s="1651"/>
      <c r="B394" s="1651"/>
      <c r="C394" s="1640"/>
      <c r="D394" s="1651"/>
      <c r="E394" s="1651"/>
      <c r="F394" s="1651"/>
      <c r="G394" s="1651"/>
      <c r="H394" s="1651"/>
      <c r="I394" s="1651"/>
      <c r="J394" s="1651"/>
      <c r="K394" s="1651"/>
      <c r="L394" s="1651"/>
      <c r="M394" s="1651"/>
      <c r="N394" s="1651"/>
      <c r="O394" s="1651"/>
      <c r="P394" s="1651"/>
      <c r="Q394" s="1651"/>
      <c r="R394" s="1651"/>
      <c r="S394" s="1651"/>
      <c r="T394" s="1651"/>
      <c r="U394" s="1651"/>
      <c r="V394" s="1651"/>
      <c r="W394" s="1651"/>
      <c r="X394" s="1651"/>
      <c r="Y394" s="1651"/>
      <c r="Z394" s="1651"/>
      <c r="AA394" s="1651"/>
      <c r="AB394" s="1651"/>
      <c r="AC394" s="1651"/>
      <c r="AD394" s="1651"/>
      <c r="AE394" s="1651"/>
      <c r="AF394" s="1651"/>
      <c r="AG394" s="1651"/>
      <c r="AH394" s="1651"/>
      <c r="AI394" s="1651"/>
      <c r="AJ394" s="1651"/>
      <c r="AK394" s="1651"/>
      <c r="AL394" s="1651"/>
      <c r="AM394" s="1651"/>
      <c r="AN394" s="1651"/>
      <c r="AO394" s="1651"/>
      <c r="AP394" s="1651"/>
      <c r="AQ394" s="1651"/>
      <c r="AR394" s="1651"/>
      <c r="AS394" s="1651"/>
      <c r="AT394" s="1651"/>
      <c r="AU394" s="1651"/>
      <c r="AV394" s="1651"/>
      <c r="AW394" s="1651"/>
      <c r="AX394" s="1651"/>
      <c r="AY394" s="1651"/>
      <c r="AZ394" s="1651"/>
      <c r="BA394" s="1651"/>
      <c r="BB394" s="1651"/>
      <c r="BC394" s="1651"/>
      <c r="BD394" s="1651"/>
      <c r="BE394" s="1651"/>
      <c r="BF394" s="1651"/>
      <c r="BG394" s="1651"/>
      <c r="BH394" s="1651"/>
      <c r="BI394" s="1651"/>
      <c r="BJ394" s="1651"/>
      <c r="BK394" s="1651"/>
      <c r="BL394" s="1651"/>
      <c r="BM394" s="1651"/>
      <c r="BN394" s="1651"/>
      <c r="BO394" s="1651"/>
      <c r="BP394" s="1651"/>
      <c r="BQ394" s="1651"/>
      <c r="BR394" s="1651"/>
      <c r="BS394" s="1651"/>
      <c r="BT394" s="1651"/>
      <c r="BU394" s="1651"/>
      <c r="BV394" s="1651"/>
      <c r="BW394" s="1651"/>
      <c r="BX394" s="1651"/>
      <c r="BY394" s="1651"/>
      <c r="BZ394" s="1651"/>
      <c r="CA394" s="1651"/>
      <c r="CB394" s="1651"/>
      <c r="CC394" s="1651"/>
      <c r="CD394" s="1651"/>
      <c r="CE394" s="1651"/>
      <c r="CF394" s="1651"/>
      <c r="CG394" s="1651"/>
      <c r="CH394" s="1651"/>
      <c r="CI394" s="1651"/>
      <c r="CJ394" s="1651"/>
      <c r="CK394" s="1651"/>
      <c r="CL394" s="1651"/>
      <c r="CM394" s="1651"/>
      <c r="CN394" s="1651"/>
      <c r="CO394" s="1651"/>
      <c r="CP394" s="1651"/>
      <c r="CQ394" s="1651"/>
      <c r="CR394" s="1651"/>
      <c r="CS394" s="1651"/>
      <c r="CT394" s="1651"/>
      <c r="CU394" s="1651"/>
      <c r="CV394" s="1651"/>
      <c r="CW394" s="1651"/>
      <c r="CX394" s="1651"/>
      <c r="CY394" s="1651"/>
      <c r="CZ394" s="1651"/>
      <c r="DA394" s="1651"/>
      <c r="DB394" s="1651"/>
      <c r="DC394" s="1651"/>
      <c r="DD394" s="1651"/>
      <c r="DE394" s="1651"/>
      <c r="DF394" s="1651"/>
      <c r="DG394" s="1651"/>
      <c r="DH394" s="1651"/>
      <c r="DI394" s="1651"/>
      <c r="DJ394" s="1651"/>
      <c r="DK394" s="1651"/>
      <c r="DL394" s="1651"/>
      <c r="DM394" s="1651"/>
      <c r="DN394" s="1651"/>
      <c r="DO394" s="1651"/>
      <c r="DP394" s="1651"/>
      <c r="DQ394" s="1651"/>
      <c r="DR394" s="1651"/>
      <c r="DS394" s="1651"/>
      <c r="DT394" s="1651"/>
      <c r="DU394" s="1651"/>
      <c r="DV394" s="1651"/>
      <c r="DW394" s="1651"/>
      <c r="DX394" s="1651"/>
      <c r="DY394" s="1651"/>
      <c r="DZ394" s="1651"/>
      <c r="EA394" s="1651"/>
      <c r="EB394" s="1651"/>
      <c r="EC394" s="1651"/>
      <c r="ED394" s="1651"/>
      <c r="EE394" s="1651"/>
      <c r="EF394" s="1651"/>
      <c r="EG394" s="1651"/>
      <c r="EH394" s="1651"/>
      <c r="EI394" s="1651"/>
      <c r="EJ394" s="1651"/>
      <c r="EK394" s="1651"/>
      <c r="EL394" s="1651"/>
      <c r="EM394" s="1651"/>
      <c r="EN394" s="1651"/>
      <c r="EO394" s="1651"/>
      <c r="EP394" s="1651"/>
    </row>
    <row r="395" spans="1:146">
      <c r="B395" s="1651"/>
      <c r="C395" s="1640"/>
      <c r="D395" s="1651"/>
      <c r="E395" s="1651"/>
      <c r="F395" s="1651"/>
      <c r="G395" s="1651"/>
      <c r="H395" s="1651"/>
      <c r="I395" s="1651"/>
      <c r="J395" s="1651"/>
      <c r="K395" s="1651"/>
      <c r="L395" s="1651"/>
      <c r="M395" s="1651"/>
      <c r="N395" s="1651"/>
      <c r="O395" s="1651"/>
      <c r="P395" s="1651"/>
      <c r="Q395" s="1651"/>
      <c r="R395" s="1651"/>
      <c r="S395" s="1651"/>
      <c r="T395" s="1651"/>
      <c r="U395" s="1651"/>
      <c r="V395" s="1651"/>
      <c r="W395" s="1651"/>
      <c r="X395" s="1651"/>
      <c r="Y395" s="1651"/>
      <c r="Z395" s="1651"/>
      <c r="AA395" s="1651"/>
      <c r="AB395" s="1651"/>
      <c r="AC395" s="1651"/>
      <c r="AD395" s="1651"/>
      <c r="AE395" s="1651"/>
      <c r="AF395" s="1651"/>
      <c r="AG395" s="1651"/>
      <c r="AH395" s="1651"/>
      <c r="AI395" s="1651"/>
      <c r="AJ395" s="1651"/>
      <c r="AK395" s="1651"/>
      <c r="AL395" s="1651"/>
      <c r="AM395" s="1651"/>
      <c r="AN395" s="1651"/>
      <c r="AO395" s="1651"/>
      <c r="AP395" s="1651"/>
      <c r="AQ395" s="1651"/>
      <c r="AR395" s="1651"/>
      <c r="AS395" s="1651"/>
      <c r="AT395" s="1651"/>
      <c r="AU395" s="1651"/>
      <c r="AV395" s="1651"/>
      <c r="AW395" s="1651"/>
      <c r="AX395" s="1651"/>
      <c r="AY395" s="1651"/>
      <c r="AZ395" s="1651"/>
      <c r="BA395" s="1651"/>
      <c r="BB395" s="1651"/>
      <c r="BC395" s="1651"/>
      <c r="BD395" s="1651"/>
      <c r="BE395" s="1651"/>
      <c r="BF395" s="1651"/>
      <c r="BG395" s="1651"/>
      <c r="BH395" s="1651"/>
      <c r="BI395" s="1651"/>
      <c r="BJ395" s="1651"/>
      <c r="BK395" s="1651"/>
      <c r="BL395" s="1651"/>
      <c r="BM395" s="1651"/>
      <c r="BN395" s="1651"/>
      <c r="BO395" s="1651"/>
      <c r="BP395" s="1651"/>
      <c r="BQ395" s="1651"/>
      <c r="BR395" s="1651"/>
      <c r="BS395" s="1651"/>
      <c r="BT395" s="1651"/>
      <c r="BU395" s="1651"/>
      <c r="BV395" s="1651"/>
      <c r="BW395" s="1651"/>
      <c r="BX395" s="1651"/>
      <c r="BY395" s="1651"/>
      <c r="BZ395" s="1651"/>
      <c r="CA395" s="1651"/>
      <c r="CB395" s="1651"/>
      <c r="CC395" s="1651"/>
      <c r="CD395" s="1651"/>
      <c r="CE395" s="1651"/>
      <c r="CF395" s="1651"/>
      <c r="CG395" s="1651"/>
      <c r="CH395" s="1651"/>
      <c r="CI395" s="1651"/>
      <c r="CJ395" s="1651"/>
      <c r="CK395" s="1651"/>
      <c r="CL395" s="1651"/>
      <c r="CM395" s="1651"/>
      <c r="CN395" s="1651"/>
      <c r="CO395" s="1651"/>
      <c r="CP395" s="1651"/>
      <c r="CQ395" s="1651"/>
      <c r="CR395" s="1651"/>
      <c r="CS395" s="1651"/>
      <c r="CT395" s="1651"/>
      <c r="CU395" s="1651"/>
      <c r="CV395" s="1651"/>
      <c r="CW395" s="1651"/>
      <c r="CX395" s="1651"/>
      <c r="CY395" s="1651"/>
      <c r="CZ395" s="1651"/>
      <c r="DA395" s="1651"/>
      <c r="DB395" s="1651"/>
      <c r="DC395" s="1651"/>
      <c r="DD395" s="1651"/>
      <c r="DE395" s="1651"/>
      <c r="DF395" s="1651"/>
      <c r="DG395" s="1651"/>
      <c r="DH395" s="1651"/>
      <c r="DI395" s="1651"/>
      <c r="DJ395" s="1651"/>
      <c r="DK395" s="1651"/>
      <c r="DL395" s="1651"/>
      <c r="DM395" s="1651"/>
      <c r="DN395" s="1651"/>
      <c r="DO395" s="1651"/>
      <c r="DP395" s="1651"/>
      <c r="DQ395" s="1651"/>
      <c r="DR395" s="1651"/>
      <c r="DS395" s="1651"/>
      <c r="DT395" s="1651"/>
      <c r="DU395" s="1651"/>
      <c r="DV395" s="1651"/>
      <c r="DW395" s="1651"/>
      <c r="DX395" s="1651"/>
      <c r="DY395" s="1651"/>
      <c r="DZ395" s="1651"/>
      <c r="EA395" s="1651"/>
      <c r="EB395" s="1651"/>
      <c r="EC395" s="1651"/>
      <c r="ED395" s="1651"/>
      <c r="EE395" s="1651"/>
      <c r="EF395" s="1651"/>
      <c r="EG395" s="1651"/>
      <c r="EH395" s="1651"/>
      <c r="EI395" s="1651"/>
      <c r="EJ395" s="1651"/>
      <c r="EK395" s="1651"/>
      <c r="EL395" s="1651"/>
      <c r="EM395" s="1651"/>
      <c r="EN395" s="1651"/>
      <c r="EO395" s="1651"/>
      <c r="EP395" s="1651"/>
    </row>
  </sheetData>
  <sheetProtection password="E910" sheet="1" objects="1" scenarios="1" formatCells="0" formatColumns="0" formatRows="0" insertColumns="0" insertRows="0" insertHyperlinks="0" deleteColumns="0" deleteRows="0" sort="0" autoFilter="0" pivotTables="0"/>
  <mergeCells count="807">
    <mergeCell ref="A34:A36"/>
    <mergeCell ref="EE90:EF90"/>
    <mergeCell ref="EG90:EH90"/>
    <mergeCell ref="EI90:EJ90"/>
    <mergeCell ref="EK90:EM90"/>
    <mergeCell ref="CP91:DC91"/>
    <mergeCell ref="DI88:DJ89"/>
    <mergeCell ref="DK88:DL88"/>
    <mergeCell ref="DM88:DO88"/>
    <mergeCell ref="DP88:DP89"/>
    <mergeCell ref="DQ88:DQ89"/>
    <mergeCell ref="DR88:DR89"/>
    <mergeCell ref="DT88:DV88"/>
    <mergeCell ref="DX88:DY88"/>
    <mergeCell ref="CZ89:DB89"/>
    <mergeCell ref="BZ89:CC89"/>
    <mergeCell ref="CD89:CG89"/>
    <mergeCell ref="CH89:CJ89"/>
    <mergeCell ref="CK89:CM89"/>
    <mergeCell ref="CO89:CR89"/>
    <mergeCell ref="CS89:CV89"/>
    <mergeCell ref="CW89:CY89"/>
    <mergeCell ref="EA90:EB90"/>
    <mergeCell ref="EC90:ED90"/>
    <mergeCell ref="M88:P88"/>
    <mergeCell ref="AR88:AU88"/>
    <mergeCell ref="AW88:AW89"/>
    <mergeCell ref="AX88:BB89"/>
    <mergeCell ref="BH88:BJ89"/>
    <mergeCell ref="BK88:BM89"/>
    <mergeCell ref="BN88:BN89"/>
    <mergeCell ref="BO88:BO89"/>
    <mergeCell ref="BP88:BP89"/>
    <mergeCell ref="M89:O89"/>
    <mergeCell ref="AR89:AT89"/>
    <mergeCell ref="EA73:EB73"/>
    <mergeCell ref="EC73:ED73"/>
    <mergeCell ref="EE73:EF73"/>
    <mergeCell ref="EG73:EH73"/>
    <mergeCell ref="EI73:EJ73"/>
    <mergeCell ref="EK73:EM73"/>
    <mergeCell ref="CP74:DC74"/>
    <mergeCell ref="AR87:BB87"/>
    <mergeCell ref="BC87:BC89"/>
    <mergeCell ref="BD87:BD89"/>
    <mergeCell ref="BE87:BE89"/>
    <mergeCell ref="BF87:BF89"/>
    <mergeCell ref="BG87:BG89"/>
    <mergeCell ref="BH87:BP87"/>
    <mergeCell ref="BR87:BX87"/>
    <mergeCell ref="BZ87:DC87"/>
    <mergeCell ref="DT87:DY87"/>
    <mergeCell ref="BR88:BT89"/>
    <mergeCell ref="BU88:BW89"/>
    <mergeCell ref="BX88:BX89"/>
    <mergeCell ref="BZ88:CN88"/>
    <mergeCell ref="CO88:DC88"/>
    <mergeCell ref="DE88:DF89"/>
    <mergeCell ref="DG88:DH89"/>
    <mergeCell ref="DX71:DY71"/>
    <mergeCell ref="M72:O72"/>
    <mergeCell ref="AR72:AT72"/>
    <mergeCell ref="BZ72:CC72"/>
    <mergeCell ref="CD72:CG72"/>
    <mergeCell ref="CH72:CJ72"/>
    <mergeCell ref="CK72:CM72"/>
    <mergeCell ref="CO72:CR72"/>
    <mergeCell ref="CS72:CV72"/>
    <mergeCell ref="CW72:CY72"/>
    <mergeCell ref="CZ72:DB72"/>
    <mergeCell ref="DT70:DY70"/>
    <mergeCell ref="M71:P71"/>
    <mergeCell ref="AR71:AU71"/>
    <mergeCell ref="AW71:AW72"/>
    <mergeCell ref="AX71:BB72"/>
    <mergeCell ref="BH71:BJ72"/>
    <mergeCell ref="BK71:BM72"/>
    <mergeCell ref="BN71:BN72"/>
    <mergeCell ref="BO71:BO72"/>
    <mergeCell ref="BP71:BP72"/>
    <mergeCell ref="BR71:BT72"/>
    <mergeCell ref="BU71:BW72"/>
    <mergeCell ref="BX71:BX72"/>
    <mergeCell ref="BZ71:CN71"/>
    <mergeCell ref="CO71:DC71"/>
    <mergeCell ref="DE71:DF72"/>
    <mergeCell ref="DG71:DH72"/>
    <mergeCell ref="DI71:DJ72"/>
    <mergeCell ref="DK71:DL71"/>
    <mergeCell ref="DM71:DO71"/>
    <mergeCell ref="DP71:DP72"/>
    <mergeCell ref="DQ71:DQ72"/>
    <mergeCell ref="DR71:DR72"/>
    <mergeCell ref="DT71:DV71"/>
    <mergeCell ref="AR70:BB70"/>
    <mergeCell ref="BC70:BC72"/>
    <mergeCell ref="BD70:BD72"/>
    <mergeCell ref="BE70:BE72"/>
    <mergeCell ref="BF70:BF72"/>
    <mergeCell ref="BG70:BG72"/>
    <mergeCell ref="BH70:BP70"/>
    <mergeCell ref="BR70:BX70"/>
    <mergeCell ref="BZ70:DC70"/>
    <mergeCell ref="EA113:EB113"/>
    <mergeCell ref="EC113:ED113"/>
    <mergeCell ref="EE113:EF113"/>
    <mergeCell ref="EG113:EH113"/>
    <mergeCell ref="EI113:EJ113"/>
    <mergeCell ref="EK113:EM113"/>
    <mergeCell ref="A114:B114"/>
    <mergeCell ref="CP114:DC114"/>
    <mergeCell ref="A135:B135"/>
    <mergeCell ref="EI126:EJ126"/>
    <mergeCell ref="EK126:EM126"/>
    <mergeCell ref="A127:A128"/>
    <mergeCell ref="A129:A130"/>
    <mergeCell ref="A132:A133"/>
    <mergeCell ref="A115:A116"/>
    <mergeCell ref="A117:A118"/>
    <mergeCell ref="A120:A121"/>
    <mergeCell ref="A123:B123"/>
    <mergeCell ref="A124:B124"/>
    <mergeCell ref="EA126:EB126"/>
    <mergeCell ref="EC126:ED126"/>
    <mergeCell ref="EE126:EF126"/>
    <mergeCell ref="EG126:EH126"/>
    <mergeCell ref="A113:B113"/>
    <mergeCell ref="DT111:DV111"/>
    <mergeCell ref="DX111:DY111"/>
    <mergeCell ref="M112:O112"/>
    <mergeCell ref="AR112:AT112"/>
    <mergeCell ref="BZ112:CC112"/>
    <mergeCell ref="CD112:CG112"/>
    <mergeCell ref="CH112:CJ112"/>
    <mergeCell ref="CK112:CM112"/>
    <mergeCell ref="CO112:CR112"/>
    <mergeCell ref="CS112:CV112"/>
    <mergeCell ref="CW112:CY112"/>
    <mergeCell ref="CZ112:DB112"/>
    <mergeCell ref="A111:B112"/>
    <mergeCell ref="M111:P111"/>
    <mergeCell ref="AR111:AU111"/>
    <mergeCell ref="AW111:AW112"/>
    <mergeCell ref="AX111:BB112"/>
    <mergeCell ref="BH111:BJ112"/>
    <mergeCell ref="BK111:BM112"/>
    <mergeCell ref="BN111:BN112"/>
    <mergeCell ref="BO111:BO112"/>
    <mergeCell ref="EE153:EF153"/>
    <mergeCell ref="EG153:EH153"/>
    <mergeCell ref="EK27:EM27"/>
    <mergeCell ref="A31:A32"/>
    <mergeCell ref="EI153:EJ153"/>
    <mergeCell ref="A154:B154"/>
    <mergeCell ref="CP154:DC154"/>
    <mergeCell ref="A155:A156"/>
    <mergeCell ref="DT151:DV151"/>
    <mergeCell ref="DX151:DY151"/>
    <mergeCell ref="M152:O152"/>
    <mergeCell ref="AR152:AT152"/>
    <mergeCell ref="BZ152:CC152"/>
    <mergeCell ref="CD152:CG152"/>
    <mergeCell ref="CH152:CJ152"/>
    <mergeCell ref="CK152:CM152"/>
    <mergeCell ref="CO152:CR152"/>
    <mergeCell ref="CS152:CV152"/>
    <mergeCell ref="A110:B110"/>
    <mergeCell ref="AR110:BB110"/>
    <mergeCell ref="BC110:BC112"/>
    <mergeCell ref="BD110:BD112"/>
    <mergeCell ref="BE110:BE112"/>
    <mergeCell ref="DT110:DY110"/>
    <mergeCell ref="BD150:BD152"/>
    <mergeCell ref="BE150:BE152"/>
    <mergeCell ref="CW169:CY169"/>
    <mergeCell ref="CZ169:DB169"/>
    <mergeCell ref="BP168:BP169"/>
    <mergeCell ref="BR168:BT169"/>
    <mergeCell ref="BU168:BW169"/>
    <mergeCell ref="BX168:BX169"/>
    <mergeCell ref="BZ168:CN168"/>
    <mergeCell ref="CO168:DC168"/>
    <mergeCell ref="BH167:BP167"/>
    <mergeCell ref="BD165:BD169"/>
    <mergeCell ref="BE165:BE169"/>
    <mergeCell ref="BF165:BF169"/>
    <mergeCell ref="BK168:BM169"/>
    <mergeCell ref="BR151:BT152"/>
    <mergeCell ref="BU151:BW152"/>
    <mergeCell ref="BX151:BX152"/>
    <mergeCell ref="BZ151:CN151"/>
    <mergeCell ref="CO151:DC151"/>
    <mergeCell ref="BZ167:DC167"/>
    <mergeCell ref="CH169:CJ169"/>
    <mergeCell ref="CK169:CM169"/>
    <mergeCell ref="CO169:CR169"/>
    <mergeCell ref="BC150:BC152"/>
    <mergeCell ref="A158:A160"/>
    <mergeCell ref="A162:B162"/>
    <mergeCell ref="A207:B207"/>
    <mergeCell ref="A191:A192"/>
    <mergeCell ref="A11:A12"/>
    <mergeCell ref="C20:C21"/>
    <mergeCell ref="C4:C5"/>
    <mergeCell ref="DR218:DR219"/>
    <mergeCell ref="BN8:BN9"/>
    <mergeCell ref="BO8:BO9"/>
    <mergeCell ref="BP8:BP9"/>
    <mergeCell ref="BR8:BT9"/>
    <mergeCell ref="BU8:BW9"/>
    <mergeCell ref="BX8:BX9"/>
    <mergeCell ref="BZ8:CN8"/>
    <mergeCell ref="CO8:DC8"/>
    <mergeCell ref="DE8:DF9"/>
    <mergeCell ref="DG8:DH9"/>
    <mergeCell ref="DI8:DJ9"/>
    <mergeCell ref="DK8:DL8"/>
    <mergeCell ref="DM8:DO8"/>
    <mergeCell ref="DP8:DP9"/>
    <mergeCell ref="DQ8:DQ9"/>
    <mergeCell ref="DT218:DV218"/>
    <mergeCell ref="DT217:DY217"/>
    <mergeCell ref="A218:B219"/>
    <mergeCell ref="E218:L218"/>
    <mergeCell ref="DE218:DF219"/>
    <mergeCell ref="DG218:DH219"/>
    <mergeCell ref="DI218:DJ219"/>
    <mergeCell ref="DK218:DL218"/>
    <mergeCell ref="DM218:DO218"/>
    <mergeCell ref="DP218:DP219"/>
    <mergeCell ref="DQ218:DQ219"/>
    <mergeCell ref="BR218:BT219"/>
    <mergeCell ref="BU218:BW219"/>
    <mergeCell ref="BX218:BX219"/>
    <mergeCell ref="BZ218:CN218"/>
    <mergeCell ref="CO218:DC218"/>
    <mergeCell ref="DT7:DY7"/>
    <mergeCell ref="AW8:AW9"/>
    <mergeCell ref="AX8:BB9"/>
    <mergeCell ref="BH8:BJ9"/>
    <mergeCell ref="BK8:BM9"/>
    <mergeCell ref="DX218:DY218"/>
    <mergeCell ref="M219:O219"/>
    <mergeCell ref="BZ219:CC219"/>
    <mergeCell ref="CD219:CG219"/>
    <mergeCell ref="CH219:CJ219"/>
    <mergeCell ref="CK219:CM219"/>
    <mergeCell ref="CO219:CR219"/>
    <mergeCell ref="CS219:CV219"/>
    <mergeCell ref="CW219:CY219"/>
    <mergeCell ref="CZ219:DB219"/>
    <mergeCell ref="M218:P218"/>
    <mergeCell ref="AR218:AU219"/>
    <mergeCell ref="AW218:AW219"/>
    <mergeCell ref="AX218:BB219"/>
    <mergeCell ref="BH218:BJ219"/>
    <mergeCell ref="BK218:BM219"/>
    <mergeCell ref="BN218:BN219"/>
    <mergeCell ref="BO218:BO219"/>
    <mergeCell ref="BP218:BP219"/>
    <mergeCell ref="A235:B235"/>
    <mergeCell ref="A236:B236"/>
    <mergeCell ref="CP236:DC236"/>
    <mergeCell ref="A239:A241"/>
    <mergeCell ref="B243:C243"/>
    <mergeCell ref="B244:C244"/>
    <mergeCell ref="A237:B237"/>
    <mergeCell ref="A217:B217"/>
    <mergeCell ref="E217:P217"/>
    <mergeCell ref="AR217:BB217"/>
    <mergeCell ref="BC217:BC219"/>
    <mergeCell ref="BD217:BD219"/>
    <mergeCell ref="BE217:BE219"/>
    <mergeCell ref="BF217:BF219"/>
    <mergeCell ref="BH217:BP217"/>
    <mergeCell ref="BR217:BX217"/>
    <mergeCell ref="BZ217:DC217"/>
    <mergeCell ref="A220:B220"/>
    <mergeCell ref="A221:B221"/>
    <mergeCell ref="CP221:DC221"/>
    <mergeCell ref="A222:B222"/>
    <mergeCell ref="A224:A226"/>
    <mergeCell ref="BH232:BP232"/>
    <mergeCell ref="BR232:BX232"/>
    <mergeCell ref="DR233:DR234"/>
    <mergeCell ref="DT233:DV233"/>
    <mergeCell ref="DX233:DY233"/>
    <mergeCell ref="M234:O234"/>
    <mergeCell ref="BZ234:CC234"/>
    <mergeCell ref="CD234:CG234"/>
    <mergeCell ref="CH234:CJ234"/>
    <mergeCell ref="CK234:CM234"/>
    <mergeCell ref="CO234:CR234"/>
    <mergeCell ref="CS234:CV234"/>
    <mergeCell ref="CW234:CY234"/>
    <mergeCell ref="CZ234:DB234"/>
    <mergeCell ref="DT232:DY232"/>
    <mergeCell ref="A233:B234"/>
    <mergeCell ref="E233:L233"/>
    <mergeCell ref="M233:P233"/>
    <mergeCell ref="AR233:AU234"/>
    <mergeCell ref="AW233:AW234"/>
    <mergeCell ref="AX233:BB234"/>
    <mergeCell ref="BH233:BJ234"/>
    <mergeCell ref="BK233:BM234"/>
    <mergeCell ref="BN233:BN234"/>
    <mergeCell ref="BO233:BO234"/>
    <mergeCell ref="BP233:BP234"/>
    <mergeCell ref="BR233:BT234"/>
    <mergeCell ref="BU233:BW234"/>
    <mergeCell ref="BX233:BX234"/>
    <mergeCell ref="BZ233:CN233"/>
    <mergeCell ref="CO233:DC233"/>
    <mergeCell ref="DE233:DF234"/>
    <mergeCell ref="DG233:DH234"/>
    <mergeCell ref="DI233:DJ234"/>
    <mergeCell ref="DK233:DL233"/>
    <mergeCell ref="DM233:DO233"/>
    <mergeCell ref="DP233:DP234"/>
    <mergeCell ref="DQ233:DQ234"/>
    <mergeCell ref="EA10:EB10"/>
    <mergeCell ref="EE10:EF10"/>
    <mergeCell ref="EG10:EH10"/>
    <mergeCell ref="EI10:EJ10"/>
    <mergeCell ref="CP11:DC11"/>
    <mergeCell ref="A14:A16"/>
    <mergeCell ref="B18:C18"/>
    <mergeCell ref="B19:C19"/>
    <mergeCell ref="DR8:DR9"/>
    <mergeCell ref="DT8:DV8"/>
    <mergeCell ref="DX8:DY8"/>
    <mergeCell ref="M9:O9"/>
    <mergeCell ref="BZ9:CC9"/>
    <mergeCell ref="CD9:CG9"/>
    <mergeCell ref="CH9:CJ9"/>
    <mergeCell ref="CK9:CM9"/>
    <mergeCell ref="CO9:CR9"/>
    <mergeCell ref="CS9:CV9"/>
    <mergeCell ref="CW9:CY9"/>
    <mergeCell ref="CZ9:DB9"/>
    <mergeCell ref="A8:B9"/>
    <mergeCell ref="M8:P8"/>
    <mergeCell ref="BG7:BG9"/>
    <mergeCell ref="AR8:AU8"/>
    <mergeCell ref="A251:B251"/>
    <mergeCell ref="CP251:DC251"/>
    <mergeCell ref="BF7:BF9"/>
    <mergeCell ref="BH7:BP7"/>
    <mergeCell ref="BR7:BX7"/>
    <mergeCell ref="BZ7:DC7"/>
    <mergeCell ref="BF232:BF234"/>
    <mergeCell ref="DQ248:DQ249"/>
    <mergeCell ref="BZ247:DC247"/>
    <mergeCell ref="BH186:BP186"/>
    <mergeCell ref="BH187:BJ188"/>
    <mergeCell ref="BK187:BM188"/>
    <mergeCell ref="BN187:BN188"/>
    <mergeCell ref="BP187:BP188"/>
    <mergeCell ref="BO187:BO188"/>
    <mergeCell ref="DE187:DF188"/>
    <mergeCell ref="BH203:BJ204"/>
    <mergeCell ref="BZ248:CN248"/>
    <mergeCell ref="CO248:DC248"/>
    <mergeCell ref="DE248:DF249"/>
    <mergeCell ref="DG248:DH249"/>
    <mergeCell ref="DI248:DJ249"/>
    <mergeCell ref="DK248:DL248"/>
    <mergeCell ref="BZ232:DC232"/>
    <mergeCell ref="A253:A255"/>
    <mergeCell ref="B257:C257"/>
    <mergeCell ref="B258:C258"/>
    <mergeCell ref="A7:B7"/>
    <mergeCell ref="AR7:BB7"/>
    <mergeCell ref="BC7:BC9"/>
    <mergeCell ref="BD7:BD9"/>
    <mergeCell ref="BE7:BE9"/>
    <mergeCell ref="A10:B10"/>
    <mergeCell ref="A232:B232"/>
    <mergeCell ref="E232:P232"/>
    <mergeCell ref="AR232:BB232"/>
    <mergeCell ref="BC232:BC234"/>
    <mergeCell ref="BD232:BD234"/>
    <mergeCell ref="BE232:BE234"/>
    <mergeCell ref="E247:P247"/>
    <mergeCell ref="AR247:BB247"/>
    <mergeCell ref="M25:P25"/>
    <mergeCell ref="A209:A211"/>
    <mergeCell ref="A205:B205"/>
    <mergeCell ref="A194:A196"/>
    <mergeCell ref="A206:B206"/>
    <mergeCell ref="A250:B250"/>
    <mergeCell ref="AR25:AU25"/>
    <mergeCell ref="DR248:DR249"/>
    <mergeCell ref="DT248:DV248"/>
    <mergeCell ref="DX248:DY248"/>
    <mergeCell ref="M249:O249"/>
    <mergeCell ref="BZ249:CC249"/>
    <mergeCell ref="CD249:CG249"/>
    <mergeCell ref="CH249:CJ249"/>
    <mergeCell ref="CK249:CM249"/>
    <mergeCell ref="CO249:CR249"/>
    <mergeCell ref="CS249:CV249"/>
    <mergeCell ref="CW249:CY249"/>
    <mergeCell ref="CZ249:DB249"/>
    <mergeCell ref="BC247:BC249"/>
    <mergeCell ref="BD247:BD249"/>
    <mergeCell ref="BE247:BE249"/>
    <mergeCell ref="BF247:BF249"/>
    <mergeCell ref="BH247:BP247"/>
    <mergeCell ref="BR247:BX247"/>
    <mergeCell ref="DT247:DY247"/>
    <mergeCell ref="BO248:BO249"/>
    <mergeCell ref="BP248:BP249"/>
    <mergeCell ref="BR248:BT249"/>
    <mergeCell ref="BU248:BW249"/>
    <mergeCell ref="BX248:BX249"/>
    <mergeCell ref="DM248:DO248"/>
    <mergeCell ref="DP248:DP249"/>
    <mergeCell ref="A247:B247"/>
    <mergeCell ref="A248:B249"/>
    <mergeCell ref="E248:L248"/>
    <mergeCell ref="M248:P248"/>
    <mergeCell ref="AR248:AU249"/>
    <mergeCell ref="AW248:AW249"/>
    <mergeCell ref="AX248:BB249"/>
    <mergeCell ref="BH248:BJ249"/>
    <mergeCell ref="BK248:BM249"/>
    <mergeCell ref="BN248:BN249"/>
    <mergeCell ref="DM262:DO262"/>
    <mergeCell ref="DP262:DP263"/>
    <mergeCell ref="DQ262:DQ263"/>
    <mergeCell ref="M263:O263"/>
    <mergeCell ref="BZ263:CC263"/>
    <mergeCell ref="CD263:CG263"/>
    <mergeCell ref="CH263:CJ263"/>
    <mergeCell ref="CK263:CM263"/>
    <mergeCell ref="CO263:CR263"/>
    <mergeCell ref="CS263:CV263"/>
    <mergeCell ref="CW263:CY263"/>
    <mergeCell ref="CZ263:DB263"/>
    <mergeCell ref="BE261:BE263"/>
    <mergeCell ref="BF261:BF263"/>
    <mergeCell ref="BH261:BP261"/>
    <mergeCell ref="BR261:BX261"/>
    <mergeCell ref="BZ261:DC261"/>
    <mergeCell ref="DT261:DY261"/>
    <mergeCell ref="A262:B263"/>
    <mergeCell ref="E262:L262"/>
    <mergeCell ref="M262:P262"/>
    <mergeCell ref="AR262:AU263"/>
    <mergeCell ref="AW262:AW263"/>
    <mergeCell ref="AX262:BB263"/>
    <mergeCell ref="BH262:BJ263"/>
    <mergeCell ref="BK262:BM263"/>
    <mergeCell ref="BN262:BN263"/>
    <mergeCell ref="BO262:BO263"/>
    <mergeCell ref="BP262:BP263"/>
    <mergeCell ref="BR262:BT263"/>
    <mergeCell ref="BU262:BW263"/>
    <mergeCell ref="BX262:BX263"/>
    <mergeCell ref="BZ262:CN262"/>
    <mergeCell ref="CO262:DC262"/>
    <mergeCell ref="DK262:DL262"/>
    <mergeCell ref="DE262:DF263"/>
    <mergeCell ref="DI262:DJ263"/>
    <mergeCell ref="DG262:DH263"/>
    <mergeCell ref="DR262:DR263"/>
    <mergeCell ref="DT262:DV262"/>
    <mergeCell ref="DX262:DY262"/>
    <mergeCell ref="B285:C285"/>
    <mergeCell ref="B286:C286"/>
    <mergeCell ref="CP190:DC190"/>
    <mergeCell ref="A278:B278"/>
    <mergeCell ref="A279:B279"/>
    <mergeCell ref="A281:A283"/>
    <mergeCell ref="DI276:DJ277"/>
    <mergeCell ref="DG276:DH277"/>
    <mergeCell ref="DM276:DO276"/>
    <mergeCell ref="BR275:BX275"/>
    <mergeCell ref="BZ275:DC275"/>
    <mergeCell ref="AR275:BB275"/>
    <mergeCell ref="A276:B277"/>
    <mergeCell ref="E276:L276"/>
    <mergeCell ref="AR276:AU277"/>
    <mergeCell ref="A275:B275"/>
    <mergeCell ref="B213:C213"/>
    <mergeCell ref="B214:C214"/>
    <mergeCell ref="BZ276:CN276"/>
    <mergeCell ref="BC202:BC204"/>
    <mergeCell ref="BD202:BD204"/>
    <mergeCell ref="A203:B204"/>
    <mergeCell ref="BH276:BJ277"/>
    <mergeCell ref="BK276:BM277"/>
    <mergeCell ref="DP276:DP277"/>
    <mergeCell ref="DQ276:DQ277"/>
    <mergeCell ref="DR276:DR277"/>
    <mergeCell ref="DT276:DV276"/>
    <mergeCell ref="DX276:DY276"/>
    <mergeCell ref="M277:O277"/>
    <mergeCell ref="BZ277:CC277"/>
    <mergeCell ref="CD277:CG277"/>
    <mergeCell ref="CH277:CJ277"/>
    <mergeCell ref="CK277:CM277"/>
    <mergeCell ref="CO277:CR277"/>
    <mergeCell ref="CS277:CV277"/>
    <mergeCell ref="CW277:CY277"/>
    <mergeCell ref="CZ277:DB277"/>
    <mergeCell ref="BC275:BC277"/>
    <mergeCell ref="BD275:BD277"/>
    <mergeCell ref="BE275:BE277"/>
    <mergeCell ref="BF275:BF277"/>
    <mergeCell ref="BH275:BP275"/>
    <mergeCell ref="DT275:DY275"/>
    <mergeCell ref="M276:P276"/>
    <mergeCell ref="DK276:DL276"/>
    <mergeCell ref="DE276:DF277"/>
    <mergeCell ref="E275:P275"/>
    <mergeCell ref="BN276:BN277"/>
    <mergeCell ref="CO276:DC276"/>
    <mergeCell ref="A261:B261"/>
    <mergeCell ref="E261:P261"/>
    <mergeCell ref="AR261:BB261"/>
    <mergeCell ref="BC261:BC263"/>
    <mergeCell ref="BD261:BD263"/>
    <mergeCell ref="AW276:AW277"/>
    <mergeCell ref="AX276:BB277"/>
    <mergeCell ref="BO276:BO277"/>
    <mergeCell ref="BP276:BP277"/>
    <mergeCell ref="BR276:BT277"/>
    <mergeCell ref="BU276:BW277"/>
    <mergeCell ref="BX276:BX277"/>
    <mergeCell ref="B271:C271"/>
    <mergeCell ref="B272:C272"/>
    <mergeCell ref="A264:B264"/>
    <mergeCell ref="A265:B265"/>
    <mergeCell ref="CP265:DC265"/>
    <mergeCell ref="A267:A269"/>
    <mergeCell ref="BF150:BF152"/>
    <mergeCell ref="BH150:BP150"/>
    <mergeCell ref="BF110:BF112"/>
    <mergeCell ref="BG110:BG112"/>
    <mergeCell ref="BH110:BP110"/>
    <mergeCell ref="BR110:BX110"/>
    <mergeCell ref="BZ110:DC110"/>
    <mergeCell ref="CD26:CG26"/>
    <mergeCell ref="BX25:BX26"/>
    <mergeCell ref="BZ25:CN25"/>
    <mergeCell ref="BP25:BP26"/>
    <mergeCell ref="BO25:BO26"/>
    <mergeCell ref="BR150:BX150"/>
    <mergeCell ref="BZ150:DC150"/>
    <mergeCell ref="BP151:BP152"/>
    <mergeCell ref="BH151:BJ152"/>
    <mergeCell ref="BK151:BM152"/>
    <mergeCell ref="BN151:BN152"/>
    <mergeCell ref="BO151:BO152"/>
    <mergeCell ref="BP111:BP112"/>
    <mergeCell ref="BR111:BT112"/>
    <mergeCell ref="BU111:BW112"/>
    <mergeCell ref="BX111:BX112"/>
    <mergeCell ref="BZ111:CN111"/>
    <mergeCell ref="AR26:AT26"/>
    <mergeCell ref="BG24:BG26"/>
    <mergeCell ref="A24:B24"/>
    <mergeCell ref="A25:B26"/>
    <mergeCell ref="BU25:BW26"/>
    <mergeCell ref="BC24:BC26"/>
    <mergeCell ref="BH24:BP24"/>
    <mergeCell ref="BH25:BJ26"/>
    <mergeCell ref="BK25:BM26"/>
    <mergeCell ref="BE24:BE26"/>
    <mergeCell ref="BD24:BD26"/>
    <mergeCell ref="AW25:AW26"/>
    <mergeCell ref="AX25:BB26"/>
    <mergeCell ref="BN25:BN26"/>
    <mergeCell ref="M26:O26"/>
    <mergeCell ref="BZ24:DC24"/>
    <mergeCell ref="A27:B27"/>
    <mergeCell ref="A28:B28"/>
    <mergeCell ref="AR24:BB24"/>
    <mergeCell ref="BF24:BF26"/>
    <mergeCell ref="BF186:BF188"/>
    <mergeCell ref="DT25:DV25"/>
    <mergeCell ref="DX25:DY25"/>
    <mergeCell ref="DT24:DY24"/>
    <mergeCell ref="BR186:BX186"/>
    <mergeCell ref="BZ186:DC186"/>
    <mergeCell ref="DE25:DF26"/>
    <mergeCell ref="DG25:DH26"/>
    <mergeCell ref="DI25:DJ26"/>
    <mergeCell ref="DP25:DP26"/>
    <mergeCell ref="DQ25:DQ26"/>
    <mergeCell ref="DR25:DR26"/>
    <mergeCell ref="DT186:DY186"/>
    <mergeCell ref="CH26:CJ26"/>
    <mergeCell ref="BZ26:CC26"/>
    <mergeCell ref="CK26:CM26"/>
    <mergeCell ref="CW26:CY26"/>
    <mergeCell ref="CZ26:DB26"/>
    <mergeCell ref="CZ188:DB188"/>
    <mergeCell ref="M204:O204"/>
    <mergeCell ref="A202:B202"/>
    <mergeCell ref="A186:B186"/>
    <mergeCell ref="AR186:BB186"/>
    <mergeCell ref="BC186:BC188"/>
    <mergeCell ref="BD186:BD188"/>
    <mergeCell ref="BE186:BE188"/>
    <mergeCell ref="A187:B188"/>
    <mergeCell ref="M187:P187"/>
    <mergeCell ref="A189:B189"/>
    <mergeCell ref="AR187:AU188"/>
    <mergeCell ref="AR202:BB202"/>
    <mergeCell ref="BE202:BE204"/>
    <mergeCell ref="M203:P203"/>
    <mergeCell ref="AR203:AU204"/>
    <mergeCell ref="AW203:AW204"/>
    <mergeCell ref="AX203:BB204"/>
    <mergeCell ref="M188:O188"/>
    <mergeCell ref="A190:B190"/>
    <mergeCell ref="AW187:AW188"/>
    <mergeCell ref="AX187:BB188"/>
    <mergeCell ref="BF202:BF204"/>
    <mergeCell ref="CS188:CV188"/>
    <mergeCell ref="CW188:CY188"/>
    <mergeCell ref="BZ204:CC204"/>
    <mergeCell ref="BH202:BP202"/>
    <mergeCell ref="BR203:BT204"/>
    <mergeCell ref="BU203:BW204"/>
    <mergeCell ref="CD188:CG188"/>
    <mergeCell ref="CH188:CJ188"/>
    <mergeCell ref="CD204:CG204"/>
    <mergeCell ref="BR187:BT188"/>
    <mergeCell ref="BZ188:CC188"/>
    <mergeCell ref="CO188:CR188"/>
    <mergeCell ref="BP203:BP204"/>
    <mergeCell ref="BO203:BO204"/>
    <mergeCell ref="BK203:BM204"/>
    <mergeCell ref="BN203:BN204"/>
    <mergeCell ref="DQ203:DQ204"/>
    <mergeCell ref="CK188:CM188"/>
    <mergeCell ref="DR151:DR152"/>
    <mergeCell ref="DR203:DR204"/>
    <mergeCell ref="DP187:DP188"/>
    <mergeCell ref="DG187:DH188"/>
    <mergeCell ref="DI187:DJ188"/>
    <mergeCell ref="DK187:DL187"/>
    <mergeCell ref="DQ187:DQ188"/>
    <mergeCell ref="DM187:DO187"/>
    <mergeCell ref="DE168:DF169"/>
    <mergeCell ref="DG168:DH169"/>
    <mergeCell ref="DI168:DJ169"/>
    <mergeCell ref="DK168:DL168"/>
    <mergeCell ref="DM168:DO168"/>
    <mergeCell ref="DE151:DF152"/>
    <mergeCell ref="DG151:DH152"/>
    <mergeCell ref="DI151:DJ152"/>
    <mergeCell ref="DK151:DL151"/>
    <mergeCell ref="DM151:DO151"/>
    <mergeCell ref="DP151:DP152"/>
    <mergeCell ref="CS169:CV169"/>
    <mergeCell ref="B181:C181"/>
    <mergeCell ref="BX187:BX188"/>
    <mergeCell ref="CS26:CV26"/>
    <mergeCell ref="DT187:DV187"/>
    <mergeCell ref="DX187:DY187"/>
    <mergeCell ref="DT203:DV203"/>
    <mergeCell ref="DX203:DY203"/>
    <mergeCell ref="BX203:BX204"/>
    <mergeCell ref="BZ203:CN203"/>
    <mergeCell ref="CO203:DC203"/>
    <mergeCell ref="CH204:CJ204"/>
    <mergeCell ref="CK204:CM204"/>
    <mergeCell ref="CO204:CR204"/>
    <mergeCell ref="CS204:CV204"/>
    <mergeCell ref="CW204:CY204"/>
    <mergeCell ref="CZ204:DB204"/>
    <mergeCell ref="DM203:DO203"/>
    <mergeCell ref="DE203:DF204"/>
    <mergeCell ref="DI203:DJ204"/>
    <mergeCell ref="DG203:DH204"/>
    <mergeCell ref="BU187:BW188"/>
    <mergeCell ref="CO187:DC187"/>
    <mergeCell ref="DK203:DL203"/>
    <mergeCell ref="DP203:DP204"/>
    <mergeCell ref="EA27:EB27"/>
    <mergeCell ref="DT168:DV168"/>
    <mergeCell ref="DQ151:DQ152"/>
    <mergeCell ref="DX168:DY168"/>
    <mergeCell ref="BZ169:CC169"/>
    <mergeCell ref="CD169:CG169"/>
    <mergeCell ref="BR25:BT26"/>
    <mergeCell ref="DT202:DY202"/>
    <mergeCell ref="DR187:DR188"/>
    <mergeCell ref="BR202:BX202"/>
    <mergeCell ref="BZ202:DC202"/>
    <mergeCell ref="CO25:DC25"/>
    <mergeCell ref="DT150:DY150"/>
    <mergeCell ref="DT167:DY167"/>
    <mergeCell ref="EA153:EB153"/>
    <mergeCell ref="CO111:DC111"/>
    <mergeCell ref="DE111:DF112"/>
    <mergeCell ref="DG111:DH112"/>
    <mergeCell ref="DI111:DJ112"/>
    <mergeCell ref="DK111:DL111"/>
    <mergeCell ref="DM111:DO111"/>
    <mergeCell ref="DP111:DP112"/>
    <mergeCell ref="DQ111:DQ112"/>
    <mergeCell ref="DR111:DR112"/>
    <mergeCell ref="AX168:BB169"/>
    <mergeCell ref="A38:B38"/>
    <mergeCell ref="A170:B170"/>
    <mergeCell ref="A171:B171"/>
    <mergeCell ref="A176:A178"/>
    <mergeCell ref="B180:C180"/>
    <mergeCell ref="A39:B39"/>
    <mergeCell ref="A168:B169"/>
    <mergeCell ref="M168:P168"/>
    <mergeCell ref="AR168:AU169"/>
    <mergeCell ref="A173:A174"/>
    <mergeCell ref="A150:B150"/>
    <mergeCell ref="AR150:BB150"/>
    <mergeCell ref="A153:B153"/>
    <mergeCell ref="A163:B163"/>
    <mergeCell ref="C164:C165"/>
    <mergeCell ref="A151:B152"/>
    <mergeCell ref="M151:P151"/>
    <mergeCell ref="AR151:AU151"/>
    <mergeCell ref="AW151:AW152"/>
    <mergeCell ref="AX151:BB152"/>
    <mergeCell ref="A167:B167"/>
    <mergeCell ref="AR167:BB167"/>
    <mergeCell ref="M169:O169"/>
    <mergeCell ref="AR9:AT9"/>
    <mergeCell ref="EC10:ED10"/>
    <mergeCell ref="EK10:EM10"/>
    <mergeCell ref="EE27:EF27"/>
    <mergeCell ref="BZ187:CN187"/>
    <mergeCell ref="DP168:DP169"/>
    <mergeCell ref="DQ168:DQ169"/>
    <mergeCell ref="DR168:DR169"/>
    <mergeCell ref="EG27:EH27"/>
    <mergeCell ref="EI27:EJ27"/>
    <mergeCell ref="DM25:DO25"/>
    <mergeCell ref="CO26:CR26"/>
    <mergeCell ref="DK25:DL25"/>
    <mergeCell ref="CP28:DC28"/>
    <mergeCell ref="BN168:BN169"/>
    <mergeCell ref="BO168:BO169"/>
    <mergeCell ref="BH168:BJ169"/>
    <mergeCell ref="CW152:CY152"/>
    <mergeCell ref="CZ152:DB152"/>
    <mergeCell ref="BR167:BX167"/>
    <mergeCell ref="BR24:BX24"/>
    <mergeCell ref="EC27:ED27"/>
    <mergeCell ref="BC165:BC169"/>
    <mergeCell ref="AW168:AW169"/>
    <mergeCell ref="DT47:DY47"/>
    <mergeCell ref="M48:P48"/>
    <mergeCell ref="AR48:AU48"/>
    <mergeCell ref="AW48:AW49"/>
    <mergeCell ref="AX48:BB49"/>
    <mergeCell ref="BH48:BJ49"/>
    <mergeCell ref="BK48:BM49"/>
    <mergeCell ref="BN48:BN49"/>
    <mergeCell ref="BO48:BO49"/>
    <mergeCell ref="BP48:BP49"/>
    <mergeCell ref="BR48:BT49"/>
    <mergeCell ref="BU48:BW49"/>
    <mergeCell ref="BX48:BX49"/>
    <mergeCell ref="BZ48:CN48"/>
    <mergeCell ref="CO48:DC48"/>
    <mergeCell ref="DE48:DF49"/>
    <mergeCell ref="DG48:DH49"/>
    <mergeCell ref="DI48:DJ49"/>
    <mergeCell ref="DK48:DL48"/>
    <mergeCell ref="DM48:DO48"/>
    <mergeCell ref="DP48:DP49"/>
    <mergeCell ref="DQ48:DQ49"/>
    <mergeCell ref="AR47:BB47"/>
    <mergeCell ref="M49:O49"/>
    <mergeCell ref="AR49:AT49"/>
    <mergeCell ref="BZ49:CC49"/>
    <mergeCell ref="CD49:CG49"/>
    <mergeCell ref="CH49:CJ49"/>
    <mergeCell ref="CK49:CM49"/>
    <mergeCell ref="CO49:CR49"/>
    <mergeCell ref="CS49:CV49"/>
    <mergeCell ref="CW49:CY49"/>
    <mergeCell ref="BC47:BC49"/>
    <mergeCell ref="BD47:BD49"/>
    <mergeCell ref="BE47:BE49"/>
    <mergeCell ref="BF47:BF49"/>
    <mergeCell ref="BG47:BG49"/>
    <mergeCell ref="BH47:BP47"/>
    <mergeCell ref="BR47:BX47"/>
    <mergeCell ref="BZ47:DC47"/>
    <mergeCell ref="EA50:EB50"/>
    <mergeCell ref="EC50:ED50"/>
    <mergeCell ref="EE50:EF50"/>
    <mergeCell ref="EG50:EH50"/>
    <mergeCell ref="EI50:EJ50"/>
    <mergeCell ref="EK50:EM50"/>
    <mergeCell ref="CP51:DC51"/>
    <mergeCell ref="DR48:DR49"/>
    <mergeCell ref="DT48:DV48"/>
    <mergeCell ref="DX48:DY48"/>
    <mergeCell ref="CZ49:DB49"/>
  </mergeCells>
  <conditionalFormatting sqref="M207 P207 D171:P174 D208:DY212 D175:DY179">
    <cfRule type="cellIs" dxfId="121" priority="101" operator="lessThan">
      <formula>0</formula>
    </cfRule>
  </conditionalFormatting>
  <conditionalFormatting sqref="M207 P207 D171:P174 EQ192:XFD196 A208:EP212 EQ159:XFD163 A175:EP179">
    <cfRule type="cellIs" dxfId="120" priority="100" operator="greaterThan">
      <formula>0.1</formula>
    </cfRule>
  </conditionalFormatting>
  <printOptions horizontalCentered="1"/>
  <pageMargins left="0.23622047244094491" right="0.23622047244094491" top="0.59055118110236227" bottom="0.31496062992125984" header="0.59055118110236227" footer="0.31496062992125984"/>
  <pageSetup paperSize="9" scale="54" firstPageNumber="31" orientation="landscape" useFirstPageNumber="1" r:id="rId1"/>
  <headerFooter>
    <oddHeader>&amp;L&amp;G&amp;R&amp;14ПРАЙС-ЛИСТ от 10.12.2020 &amp;11розничная цена в рублях РФ (без НДС)</oddHeader>
    <oddFooter>&amp;L&amp;P&amp;R&amp;24ПОГОНАЖ</oddFooter>
  </headerFooter>
  <legacy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rgb="FF92D050"/>
  </sheetPr>
  <dimension ref="A1:AB42"/>
  <sheetViews>
    <sheetView view="pageBreakPreview" zoomScaleNormal="100" zoomScaleSheetLayoutView="100" zoomScalePageLayoutView="90" workbookViewId="0">
      <pane ySplit="1" topLeftCell="A2" activePane="bottomLeft" state="frozen"/>
      <selection pane="bottomLeft" activeCell="B1" sqref="B1"/>
    </sheetView>
  </sheetViews>
  <sheetFormatPr defaultColWidth="8.85546875" defaultRowHeight="12.75"/>
  <cols>
    <col min="1" max="1" width="5.7109375" style="81" customWidth="1"/>
    <col min="2" max="2" width="8" style="81" customWidth="1"/>
    <col min="3" max="3" width="9.7109375" style="81" customWidth="1"/>
    <col min="4" max="4" width="14.42578125" style="81" customWidth="1"/>
    <col min="5" max="5" width="46.140625" style="81" customWidth="1"/>
    <col min="6" max="6" width="5.7109375" style="81" hidden="1" customWidth="1"/>
    <col min="7" max="8" width="34.7109375" style="85" customWidth="1"/>
    <col min="9" max="28" width="8.85546875" style="85"/>
    <col min="29" max="16384" width="8.85546875" style="81"/>
  </cols>
  <sheetData>
    <row r="1" spans="1:28" ht="18" customHeight="1">
      <c r="A1" s="15"/>
      <c r="B1" s="2285" t="s">
        <v>490</v>
      </c>
      <c r="C1" s="2285"/>
      <c r="D1" s="2285"/>
      <c r="E1" s="3708"/>
      <c r="F1" s="3708"/>
    </row>
    <row r="2" spans="1:28" ht="15">
      <c r="A2" s="15"/>
      <c r="B2" s="2285"/>
      <c r="C2" s="2285"/>
      <c r="D2" s="2285"/>
      <c r="E2" s="3708"/>
      <c r="F2" s="3708"/>
      <c r="H2" s="3904">
        <v>5000</v>
      </c>
    </row>
    <row r="3" spans="1:28" s="82" customFormat="1" ht="15">
      <c r="A3" s="85"/>
      <c r="B3" s="4302" t="s">
        <v>3272</v>
      </c>
      <c r="C3" s="4302"/>
      <c r="D3" s="4302"/>
      <c r="E3" s="4302"/>
      <c r="F3" s="589"/>
      <c r="G3" s="5146" t="s">
        <v>3302</v>
      </c>
      <c r="H3" s="5146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</row>
    <row r="4" spans="1:28" s="83" customFormat="1" ht="30" customHeight="1">
      <c r="A4" s="422"/>
      <c r="B4" s="4302"/>
      <c r="C4" s="4302"/>
      <c r="D4" s="4302"/>
      <c r="E4" s="4302"/>
      <c r="F4" s="102"/>
      <c r="G4" s="3749" t="s">
        <v>3306</v>
      </c>
      <c r="H4" s="3749" t="s">
        <v>3421</v>
      </c>
      <c r="I4" s="422"/>
      <c r="J4" s="422"/>
      <c r="K4" s="422"/>
      <c r="L4" s="422"/>
      <c r="M4" s="422"/>
      <c r="N4" s="422"/>
      <c r="O4" s="422"/>
      <c r="P4" s="422"/>
      <c r="Q4" s="422"/>
      <c r="R4" s="422"/>
      <c r="S4" s="422"/>
      <c r="T4" s="422"/>
      <c r="U4" s="422"/>
      <c r="V4" s="422"/>
      <c r="W4" s="422"/>
    </row>
    <row r="5" spans="1:28" s="84" customFormat="1" ht="15" hidden="1" customHeight="1">
      <c r="A5" s="2487"/>
      <c r="B5" s="4302"/>
      <c r="C5" s="4302"/>
      <c r="D5" s="4302"/>
      <c r="E5" s="4302"/>
      <c r="F5" s="102"/>
      <c r="G5" s="1267">
        <v>0.35</v>
      </c>
      <c r="H5" s="1267">
        <v>1.35</v>
      </c>
      <c r="I5" s="423"/>
      <c r="J5" s="423"/>
      <c r="K5" s="423"/>
      <c r="L5" s="423"/>
      <c r="M5" s="423"/>
      <c r="N5" s="423"/>
      <c r="O5" s="423"/>
      <c r="P5" s="423"/>
      <c r="Q5" s="423"/>
      <c r="R5" s="423"/>
      <c r="S5" s="423"/>
      <c r="T5" s="423"/>
      <c r="U5" s="423"/>
      <c r="V5" s="423"/>
      <c r="W5" s="423"/>
    </row>
    <row r="6" spans="1:28" s="84" customFormat="1" ht="15">
      <c r="A6" s="2487"/>
      <c r="B6" s="4302"/>
      <c r="C6" s="4302"/>
      <c r="D6" s="4302"/>
      <c r="E6" s="4302"/>
      <c r="F6" s="102"/>
      <c r="G6" s="3750" t="s">
        <v>3321</v>
      </c>
      <c r="H6" s="3750" t="s">
        <v>3321</v>
      </c>
      <c r="I6" s="423"/>
      <c r="J6" s="423"/>
      <c r="K6" s="423"/>
      <c r="L6" s="423"/>
      <c r="M6" s="423"/>
      <c r="N6" s="423"/>
      <c r="O6" s="423"/>
      <c r="P6" s="423"/>
      <c r="Q6" s="423"/>
      <c r="R6" s="423"/>
      <c r="S6" s="423"/>
      <c r="T6" s="423"/>
      <c r="U6" s="423"/>
      <c r="V6" s="423"/>
      <c r="W6" s="423"/>
    </row>
    <row r="7" spans="1:28" ht="27.75" customHeight="1">
      <c r="A7" s="2487"/>
      <c r="B7" s="5154" t="s">
        <v>3281</v>
      </c>
      <c r="C7" s="5155"/>
      <c r="D7" s="5148" t="s">
        <v>3325</v>
      </c>
      <c r="E7" s="5149"/>
      <c r="F7" s="3718"/>
      <c r="G7" s="3751">
        <f>CEILING('Полотна база'!BC51*(1+скидки_наценки!$B$28)*скидки_наценки!$D$19*скидки_наценки!$F$19/скидки_наценки!$B$4, 50)</f>
        <v>21850</v>
      </c>
      <c r="H7" s="3751">
        <f t="shared" ref="H7:H15" si="0">G7+$H$2</f>
        <v>26850</v>
      </c>
      <c r="J7" s="3903"/>
      <c r="X7" s="81"/>
      <c r="Y7" s="81"/>
      <c r="Z7" s="81"/>
      <c r="AA7" s="81"/>
      <c r="AB7" s="81"/>
    </row>
    <row r="8" spans="1:28" s="84" customFormat="1" ht="27.75" customHeight="1">
      <c r="A8" s="2487"/>
      <c r="B8" s="5156"/>
      <c r="C8" s="5157"/>
      <c r="D8" s="5150" t="s">
        <v>3258</v>
      </c>
      <c r="E8" s="5151"/>
      <c r="F8" s="3849">
        <v>0.1</v>
      </c>
      <c r="G8" s="3850">
        <f t="shared" ref="G8:G15" si="1">CEILING($G$7*(1+F8), 100)</f>
        <v>24100</v>
      </c>
      <c r="H8" s="3850">
        <f t="shared" si="0"/>
        <v>29100</v>
      </c>
      <c r="I8" s="423"/>
      <c r="J8" s="423"/>
      <c r="K8" s="423"/>
      <c r="L8" s="423"/>
      <c r="M8" s="423"/>
      <c r="N8" s="423"/>
      <c r="O8" s="423"/>
      <c r="P8" s="423"/>
      <c r="Q8" s="423"/>
      <c r="R8" s="423"/>
      <c r="S8" s="423"/>
      <c r="T8" s="423"/>
      <c r="U8" s="423"/>
      <c r="V8" s="423"/>
      <c r="W8" s="423"/>
    </row>
    <row r="9" spans="1:28" s="84" customFormat="1" ht="27.75" customHeight="1">
      <c r="A9" s="2487"/>
      <c r="B9" s="5156"/>
      <c r="C9" s="5157"/>
      <c r="D9" s="5132" t="s">
        <v>3277</v>
      </c>
      <c r="E9" s="5152"/>
      <c r="F9" s="3719">
        <v>0.25</v>
      </c>
      <c r="G9" s="3752">
        <f t="shared" si="1"/>
        <v>27400</v>
      </c>
      <c r="H9" s="3752">
        <f t="shared" si="0"/>
        <v>32400</v>
      </c>
      <c r="I9" s="423"/>
      <c r="J9" s="423"/>
      <c r="K9" s="423"/>
      <c r="L9" s="423"/>
      <c r="M9" s="423"/>
      <c r="N9" s="423"/>
      <c r="O9" s="423"/>
      <c r="P9" s="423"/>
      <c r="Q9" s="423"/>
      <c r="R9" s="423"/>
      <c r="S9" s="423"/>
      <c r="T9" s="423"/>
      <c r="U9" s="423"/>
      <c r="V9" s="423"/>
      <c r="W9" s="423"/>
    </row>
    <row r="10" spans="1:28" ht="27.75" customHeight="1">
      <c r="A10" s="88"/>
      <c r="B10" s="5156"/>
      <c r="C10" s="5157"/>
      <c r="D10" s="5150" t="s">
        <v>3293</v>
      </c>
      <c r="E10" s="5153"/>
      <c r="F10" s="3849">
        <v>0.3</v>
      </c>
      <c r="G10" s="3850">
        <f t="shared" si="1"/>
        <v>28500</v>
      </c>
      <c r="H10" s="3850">
        <f t="shared" si="0"/>
        <v>33500</v>
      </c>
      <c r="X10" s="81"/>
      <c r="Y10" s="81"/>
      <c r="Z10" s="81"/>
      <c r="AA10" s="81"/>
      <c r="AB10" s="81"/>
    </row>
    <row r="11" spans="1:28" ht="27.75" customHeight="1">
      <c r="A11" s="88"/>
      <c r="B11" s="5156"/>
      <c r="C11" s="5157"/>
      <c r="D11" s="5132" t="s">
        <v>3376</v>
      </c>
      <c r="E11" s="5152"/>
      <c r="F11" s="3719">
        <v>0.4</v>
      </c>
      <c r="G11" s="3752">
        <f t="shared" si="1"/>
        <v>30600</v>
      </c>
      <c r="H11" s="3752">
        <f t="shared" si="0"/>
        <v>35600</v>
      </c>
      <c r="X11" s="81"/>
      <c r="Y11" s="81"/>
      <c r="Z11" s="81"/>
      <c r="AA11" s="81"/>
      <c r="AB11" s="81"/>
    </row>
    <row r="12" spans="1:28" ht="27.75" customHeight="1">
      <c r="B12" s="5156"/>
      <c r="C12" s="5157"/>
      <c r="D12" s="5134" t="s">
        <v>3324</v>
      </c>
      <c r="E12" s="5147"/>
      <c r="F12" s="3717">
        <v>0.45</v>
      </c>
      <c r="G12" s="3851">
        <f>CEILING($G$7*(1+F12), 100)</f>
        <v>31700</v>
      </c>
      <c r="H12" s="3851">
        <f t="shared" si="0"/>
        <v>36700</v>
      </c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</row>
    <row r="13" spans="1:28" ht="24" hidden="1" customHeight="1">
      <c r="A13" s="88"/>
      <c r="B13" s="5156"/>
      <c r="C13" s="5157"/>
      <c r="D13" s="5141" t="s">
        <v>3323</v>
      </c>
      <c r="E13" s="5142"/>
      <c r="F13" s="3717">
        <v>0.45</v>
      </c>
      <c r="G13" s="2933">
        <f t="shared" si="1"/>
        <v>31700</v>
      </c>
      <c r="H13" s="2933">
        <f t="shared" si="0"/>
        <v>36700</v>
      </c>
      <c r="J13" s="3731"/>
      <c r="X13" s="81"/>
      <c r="Y13" s="81"/>
      <c r="Z13" s="81"/>
      <c r="AA13" s="81"/>
      <c r="AB13" s="81"/>
    </row>
    <row r="14" spans="1:28" ht="24" customHeight="1">
      <c r="A14" s="88"/>
      <c r="B14" s="5158"/>
      <c r="C14" s="5159"/>
      <c r="D14" s="5160" t="s">
        <v>3503</v>
      </c>
      <c r="E14" s="5161"/>
      <c r="F14" s="4031">
        <v>0.45</v>
      </c>
      <c r="G14" s="3909">
        <f>CEILING($G$7*(1+F14), 100)</f>
        <v>31700</v>
      </c>
      <c r="H14" s="3909"/>
      <c r="J14" s="88"/>
      <c r="X14" s="81"/>
      <c r="Y14" s="81"/>
      <c r="Z14" s="81"/>
      <c r="AA14" s="81"/>
      <c r="AB14" s="81"/>
    </row>
    <row r="15" spans="1:28" ht="30" customHeight="1">
      <c r="A15" s="88"/>
      <c r="B15" s="5141" t="s">
        <v>3281</v>
      </c>
      <c r="C15" s="5142"/>
      <c r="D15" s="5141" t="s">
        <v>3285</v>
      </c>
      <c r="E15" s="5142"/>
      <c r="F15" s="3713">
        <v>1.1000000000000001</v>
      </c>
      <c r="G15" s="2933">
        <f t="shared" si="1"/>
        <v>45900</v>
      </c>
      <c r="H15" s="2933">
        <f t="shared" si="0"/>
        <v>50900</v>
      </c>
      <c r="X15" s="81"/>
      <c r="Y15" s="81"/>
      <c r="Z15" s="81"/>
      <c r="AA15" s="81"/>
      <c r="AB15" s="81"/>
    </row>
    <row r="16" spans="1:28" s="85" customFormat="1">
      <c r="A16" s="88"/>
      <c r="B16" s="3740" t="s">
        <v>127</v>
      </c>
      <c r="C16" s="3740"/>
      <c r="D16" s="3740"/>
      <c r="E16" s="459"/>
      <c r="F16" s="459"/>
      <c r="G16" s="458"/>
    </row>
    <row r="17" spans="1:12" s="85" customFormat="1">
      <c r="A17" s="88"/>
      <c r="B17" s="3741" t="s">
        <v>3275</v>
      </c>
      <c r="C17" s="3741"/>
      <c r="D17" s="3741"/>
      <c r="E17" s="459"/>
      <c r="F17" s="459"/>
      <c r="G17" s="458"/>
    </row>
    <row r="18" spans="1:12" s="85" customFormat="1" hidden="1">
      <c r="A18" s="88"/>
      <c r="B18" s="3741" t="s">
        <v>3322</v>
      </c>
      <c r="C18" s="3741"/>
      <c r="D18" s="3741"/>
      <c r="E18" s="459"/>
      <c r="F18" s="459"/>
      <c r="G18" s="458"/>
    </row>
    <row r="19" spans="1:12" s="85" customFormat="1">
      <c r="A19" s="88"/>
      <c r="B19" s="3741" t="s">
        <v>3377</v>
      </c>
      <c r="C19" s="3741"/>
      <c r="D19" s="3741"/>
      <c r="E19" s="459"/>
      <c r="F19" s="459"/>
      <c r="G19" s="458"/>
    </row>
    <row r="20" spans="1:12" s="85" customFormat="1">
      <c r="A20" s="88"/>
      <c r="B20" s="3741"/>
      <c r="C20" s="3741"/>
      <c r="D20" s="3741"/>
      <c r="E20" s="459"/>
      <c r="F20" s="459"/>
      <c r="G20" s="458"/>
    </row>
    <row r="21" spans="1:12" s="85" customFormat="1">
      <c r="A21" s="88"/>
      <c r="B21" s="3741"/>
      <c r="C21" s="3741"/>
      <c r="D21" s="3741"/>
      <c r="E21" s="459"/>
      <c r="F21" s="459"/>
      <c r="G21" s="458"/>
    </row>
    <row r="22" spans="1:12" s="85" customFormat="1" ht="15.75">
      <c r="A22" s="88"/>
      <c r="B22" s="3742" t="s">
        <v>3307</v>
      </c>
      <c r="C22" s="3714"/>
      <c r="D22" s="3714"/>
      <c r="E22" s="3712"/>
      <c r="F22" s="3713"/>
      <c r="G22" s="1972"/>
      <c r="L22" s="3739"/>
    </row>
    <row r="23" spans="1:12" s="85" customFormat="1" ht="15">
      <c r="A23" s="88"/>
      <c r="B23" s="5139" t="s">
        <v>27</v>
      </c>
      <c r="C23" s="5140"/>
      <c r="D23" s="3743" t="s">
        <v>3329</v>
      </c>
      <c r="E23" s="3732" t="s">
        <v>3320</v>
      </c>
      <c r="F23" s="3730"/>
      <c r="G23" s="3734" t="s">
        <v>3522</v>
      </c>
      <c r="H23" s="3733"/>
      <c r="L23" s="88"/>
    </row>
    <row r="24" spans="1:12" s="85" customFormat="1" ht="15.75">
      <c r="A24" s="88"/>
      <c r="B24" s="5137" t="s">
        <v>3310</v>
      </c>
      <c r="C24" s="5138"/>
      <c r="D24" s="3707"/>
      <c r="E24" s="3727"/>
      <c r="F24" s="3728"/>
      <c r="G24" s="3729"/>
      <c r="L24" s="3748"/>
    </row>
    <row r="25" spans="1:12" s="85" customFormat="1" ht="30" customHeight="1">
      <c r="A25" s="88"/>
      <c r="B25" s="5141" t="s">
        <v>3308</v>
      </c>
      <c r="C25" s="5142"/>
      <c r="D25" s="3744" t="s">
        <v>3326</v>
      </c>
      <c r="E25" s="3735" t="s">
        <v>439</v>
      </c>
      <c r="F25" s="3715"/>
      <c r="G25" s="3726" t="s">
        <v>3319</v>
      </c>
      <c r="L25" s="3723"/>
    </row>
    <row r="26" spans="1:12" s="85" customFormat="1" ht="30" customHeight="1">
      <c r="A26" s="88"/>
      <c r="B26" s="5137" t="s">
        <v>3517</v>
      </c>
      <c r="C26" s="5138"/>
      <c r="D26" s="5138"/>
      <c r="E26" s="5138"/>
      <c r="F26" s="5138"/>
      <c r="G26" s="5145"/>
      <c r="L26" s="88"/>
    </row>
    <row r="27" spans="1:12" s="85" customFormat="1" ht="37.5" customHeight="1">
      <c r="A27" s="88"/>
      <c r="B27" s="5141" t="s">
        <v>3521</v>
      </c>
      <c r="C27" s="5142"/>
      <c r="D27" s="4041" t="s">
        <v>3518</v>
      </c>
      <c r="E27" s="3735" t="s">
        <v>439</v>
      </c>
      <c r="F27" s="3715"/>
      <c r="G27" s="4042">
        <f>G28/2</f>
        <v>800</v>
      </c>
      <c r="L27" s="88"/>
    </row>
    <row r="28" spans="1:12" s="85" customFormat="1" ht="37.5" customHeight="1">
      <c r="A28" s="88"/>
      <c r="B28" s="5141" t="s">
        <v>3521</v>
      </c>
      <c r="C28" s="5142"/>
      <c r="D28" s="4041" t="s">
        <v>3519</v>
      </c>
      <c r="E28" s="3735" t="s">
        <v>439</v>
      </c>
      <c r="F28" s="3715"/>
      <c r="G28" s="4042">
        <f>CEILING('Декоры база'!N11/2*(1+скидки_наценки!$B$30)*скидки_наценки!$D$13*скидки_наценки!$F$13/скидки_наценки!$B$4, 50)</f>
        <v>1600</v>
      </c>
      <c r="L28" s="88"/>
    </row>
    <row r="29" spans="1:12" s="85" customFormat="1" ht="37.5" customHeight="1">
      <c r="A29" s="88"/>
      <c r="B29" s="5141" t="s">
        <v>3521</v>
      </c>
      <c r="C29" s="5142"/>
      <c r="D29" s="4041" t="s">
        <v>3520</v>
      </c>
      <c r="E29" s="3735" t="s">
        <v>439</v>
      </c>
      <c r="F29" s="3715"/>
      <c r="G29" s="4042">
        <f>G28*1.5</f>
        <v>2400</v>
      </c>
      <c r="L29" s="88"/>
    </row>
    <row r="30" spans="1:12" s="85" customFormat="1" ht="15.75" customHeight="1">
      <c r="A30" s="88"/>
      <c r="B30" s="4331" t="s">
        <v>3311</v>
      </c>
      <c r="C30" s="4332"/>
      <c r="D30" s="4332"/>
      <c r="E30" s="4332"/>
      <c r="F30" s="4332"/>
      <c r="G30" s="5136"/>
    </row>
    <row r="31" spans="1:12" s="85" customFormat="1" ht="35.25" customHeight="1">
      <c r="A31" s="88"/>
      <c r="B31" s="5143" t="s">
        <v>3313</v>
      </c>
      <c r="C31" s="5144"/>
      <c r="D31" s="3745" t="s">
        <v>3327</v>
      </c>
      <c r="E31" s="3722" t="s">
        <v>3317</v>
      </c>
      <c r="F31" s="3720"/>
      <c r="G31" s="3736" t="s">
        <v>3316</v>
      </c>
    </row>
    <row r="32" spans="1:12" s="85" customFormat="1" ht="32.25" customHeight="1">
      <c r="A32" s="88"/>
      <c r="B32" s="5132" t="s">
        <v>3309</v>
      </c>
      <c r="C32" s="5133"/>
      <c r="D32" s="3746" t="s">
        <v>3326</v>
      </c>
      <c r="E32" s="3724" t="s">
        <v>3332</v>
      </c>
      <c r="F32" s="3725"/>
      <c r="G32" s="3737" t="s">
        <v>3315</v>
      </c>
    </row>
    <row r="33" spans="1:28" s="85" customFormat="1" ht="32.25" customHeight="1">
      <c r="A33" s="88"/>
      <c r="B33" s="5134" t="s">
        <v>3312</v>
      </c>
      <c r="C33" s="5135"/>
      <c r="D33" s="3747" t="s">
        <v>3328</v>
      </c>
      <c r="E33" s="3721" t="s">
        <v>3318</v>
      </c>
      <c r="F33" s="3716"/>
      <c r="G33" s="3738" t="s">
        <v>3314</v>
      </c>
    </row>
    <row r="34" spans="1:28" s="85" customFormat="1" ht="15.75">
      <c r="A34" s="88"/>
      <c r="B34" s="3712"/>
      <c r="C34" s="3712"/>
      <c r="D34" s="3712"/>
      <c r="E34" s="3712"/>
      <c r="F34" s="3713"/>
      <c r="G34" s="1972"/>
    </row>
    <row r="35" spans="1:28" ht="15" customHeight="1">
      <c r="A35" s="85"/>
      <c r="B35" s="3742" t="s">
        <v>2869</v>
      </c>
      <c r="C35" s="3714"/>
      <c r="D35" s="3714"/>
      <c r="E35" s="85"/>
      <c r="F35" s="85"/>
      <c r="X35" s="81"/>
      <c r="Y35" s="81"/>
      <c r="Z35" s="81"/>
      <c r="AA35" s="81"/>
      <c r="AB35" s="81"/>
    </row>
    <row r="36" spans="1:28" ht="18" customHeight="1">
      <c r="A36" s="85"/>
      <c r="B36" s="85"/>
      <c r="C36" s="85"/>
      <c r="D36" s="85"/>
      <c r="E36" s="85"/>
      <c r="F36" s="85"/>
      <c r="X36" s="81"/>
      <c r="Y36" s="81"/>
      <c r="Z36" s="81"/>
      <c r="AA36" s="81"/>
      <c r="AB36" s="81"/>
    </row>
    <row r="37" spans="1:28">
      <c r="A37" s="85"/>
      <c r="B37" s="85"/>
      <c r="C37" s="85"/>
      <c r="D37" s="85"/>
      <c r="E37" s="85"/>
      <c r="F37" s="85"/>
      <c r="X37" s="81"/>
      <c r="Y37" s="81"/>
      <c r="Z37" s="81"/>
      <c r="AA37" s="81"/>
      <c r="AB37" s="81"/>
    </row>
    <row r="38" spans="1:28">
      <c r="A38" s="85"/>
      <c r="B38" s="85"/>
      <c r="C38" s="85"/>
      <c r="D38" s="85"/>
      <c r="E38" s="85"/>
      <c r="F38" s="85"/>
      <c r="X38" s="81"/>
      <c r="Y38" s="81"/>
      <c r="Z38" s="81"/>
      <c r="AA38" s="81"/>
      <c r="AB38" s="81"/>
    </row>
    <row r="39" spans="1:28">
      <c r="A39" s="85"/>
      <c r="B39" s="85"/>
      <c r="C39" s="85"/>
      <c r="D39" s="85"/>
      <c r="E39" s="85"/>
      <c r="F39" s="85"/>
      <c r="X39" s="81"/>
      <c r="Y39" s="81"/>
      <c r="Z39" s="81"/>
      <c r="AA39" s="81"/>
      <c r="AB39" s="81"/>
    </row>
    <row r="40" spans="1:28" ht="18" customHeight="1">
      <c r="A40" s="85"/>
      <c r="B40" s="85"/>
      <c r="C40" s="85"/>
      <c r="D40" s="85"/>
      <c r="E40" s="85"/>
      <c r="F40" s="85"/>
      <c r="X40" s="81"/>
      <c r="Y40" s="81"/>
      <c r="Z40" s="81"/>
      <c r="AA40" s="81"/>
      <c r="AB40" s="81"/>
    </row>
    <row r="41" spans="1:28" s="85" customFormat="1" ht="21.75" customHeight="1"/>
    <row r="42" spans="1:28" ht="15.75">
      <c r="B42" s="521"/>
      <c r="C42" s="521"/>
      <c r="D42" s="521"/>
    </row>
  </sheetData>
  <mergeCells count="24">
    <mergeCell ref="G3:H3"/>
    <mergeCell ref="B3:E6"/>
    <mergeCell ref="D12:E12"/>
    <mergeCell ref="D13:E13"/>
    <mergeCell ref="D15:E15"/>
    <mergeCell ref="D7:E7"/>
    <mergeCell ref="D8:E8"/>
    <mergeCell ref="D9:E9"/>
    <mergeCell ref="D10:E10"/>
    <mergeCell ref="D11:E11"/>
    <mergeCell ref="B15:C15"/>
    <mergeCell ref="B7:C14"/>
    <mergeCell ref="D14:E14"/>
    <mergeCell ref="B32:C32"/>
    <mergeCell ref="B33:C33"/>
    <mergeCell ref="B30:G30"/>
    <mergeCell ref="B24:C24"/>
    <mergeCell ref="B23:C23"/>
    <mergeCell ref="B25:C25"/>
    <mergeCell ref="B31:C31"/>
    <mergeCell ref="B27:C27"/>
    <mergeCell ref="B26:G26"/>
    <mergeCell ref="B28:C28"/>
    <mergeCell ref="B29:C29"/>
  </mergeCells>
  <conditionalFormatting sqref="G34 G24 G22 G7:H15">
    <cfRule type="cellIs" dxfId="119" priority="11" operator="equal">
      <formula>0</formula>
    </cfRule>
  </conditionalFormatting>
  <conditionalFormatting sqref="G4:H4">
    <cfRule type="cellIs" dxfId="118" priority="8" operator="equal">
      <formula>0</formula>
    </cfRule>
  </conditionalFormatting>
  <hyperlinks>
    <hyperlink ref="B1" location="Содержание!A1" display="Вернуться в содержание"/>
    <hyperlink ref="G25" location="Алюм.погонаж!A1" display="Аллюминиевый погонаж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72" firstPageNumber="48" orientation="landscape" useFirstPageNumber="1" r:id="rId1"/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rgb="FF92D050"/>
  </sheetPr>
  <dimension ref="A1:O174"/>
  <sheetViews>
    <sheetView view="pageBreakPreview" zoomScale="80" zoomScaleNormal="55" zoomScaleSheetLayoutView="80" zoomScalePageLayoutView="70" workbookViewId="0">
      <pane xSplit="4" ySplit="4" topLeftCell="E17" activePane="bottomRight" state="frozen"/>
      <selection pane="topRight" activeCell="E1" sqref="E1"/>
      <selection pane="bottomLeft" activeCell="A5" sqref="A5"/>
      <selection pane="bottomRight" activeCell="B1" sqref="B1"/>
    </sheetView>
  </sheetViews>
  <sheetFormatPr defaultColWidth="9.140625" defaultRowHeight="12.75"/>
  <cols>
    <col min="1" max="2" width="18.7109375" style="81" customWidth="1"/>
    <col min="3" max="3" width="18.42578125" style="81" customWidth="1"/>
    <col min="4" max="4" width="13.85546875" style="81" hidden="1" customWidth="1"/>
    <col min="5" max="5" width="18.7109375" style="81" customWidth="1"/>
    <col min="6" max="6" width="19.140625" style="81" bestFit="1" customWidth="1"/>
    <col min="7" max="7" width="19.140625" style="81" customWidth="1"/>
    <col min="8" max="8" width="21.28515625" style="81" bestFit="1" customWidth="1"/>
    <col min="9" max="9" width="14.140625" style="81" hidden="1" customWidth="1"/>
    <col min="10" max="10" width="9.140625" style="81"/>
    <col min="11" max="11" width="13.5703125" style="81" customWidth="1"/>
    <col min="12" max="12" width="13.42578125" style="81" customWidth="1"/>
    <col min="13" max="13" width="14" style="81" customWidth="1"/>
    <col min="14" max="15" width="11.28515625" style="81" bestFit="1" customWidth="1"/>
    <col min="16" max="16384" width="9.140625" style="81"/>
  </cols>
  <sheetData>
    <row r="1" spans="1:14" s="2290" customFormat="1" ht="15.95" customHeight="1">
      <c r="A1" s="2288"/>
      <c r="B1" s="2279" t="s">
        <v>490</v>
      </c>
      <c r="C1" s="2280"/>
      <c r="D1" s="2280"/>
      <c r="E1" s="2289"/>
      <c r="F1" s="2289"/>
      <c r="G1" s="2289"/>
    </row>
    <row r="3" spans="1:14" s="11" customFormat="1" ht="17.25" customHeight="1" thickBot="1">
      <c r="A3" s="5175" t="s">
        <v>1486</v>
      </c>
      <c r="B3" s="5175"/>
      <c r="C3" s="5175"/>
      <c r="D3" s="2310"/>
      <c r="E3" s="349"/>
      <c r="F3" s="349"/>
      <c r="G3" s="349"/>
      <c r="H3" s="3355"/>
      <c r="I3" s="170"/>
    </row>
    <row r="4" spans="1:14" s="11" customFormat="1" ht="35.25" customHeight="1" thickBot="1">
      <c r="A4" s="5184" t="s">
        <v>41</v>
      </c>
      <c r="B4" s="5184"/>
      <c r="C4" s="5184"/>
      <c r="D4" s="5179" t="s">
        <v>2389</v>
      </c>
      <c r="E4" s="5174" t="s">
        <v>2846</v>
      </c>
      <c r="F4" s="5174"/>
      <c r="G4" s="5174"/>
      <c r="H4" s="5174"/>
      <c r="I4" s="5174"/>
      <c r="J4" s="359"/>
      <c r="K4" s="359"/>
      <c r="L4" s="359"/>
      <c r="M4" s="359"/>
    </row>
    <row r="5" spans="1:14" s="157" customFormat="1" ht="32.25" customHeight="1">
      <c r="A5" s="5184"/>
      <c r="B5" s="5184"/>
      <c r="C5" s="5184"/>
      <c r="D5" s="5180"/>
      <c r="E5" s="3214" t="s">
        <v>184</v>
      </c>
      <c r="F5" s="3214" t="s">
        <v>439</v>
      </c>
      <c r="G5" s="3214" t="s">
        <v>3418</v>
      </c>
      <c r="H5" s="3214" t="s">
        <v>2395</v>
      </c>
      <c r="I5" s="3214" t="s">
        <v>2858</v>
      </c>
      <c r="J5" s="2964"/>
      <c r="K5" s="2964"/>
      <c r="L5" s="2964"/>
      <c r="M5" s="2964"/>
      <c r="N5" s="398"/>
    </row>
    <row r="6" spans="1:14" s="11" customFormat="1" ht="33" customHeight="1">
      <c r="A6" s="5176">
        <v>2000</v>
      </c>
      <c r="B6" s="5177"/>
      <c r="C6" s="5178"/>
      <c r="D6" s="2309"/>
      <c r="E6" s="2869">
        <f>CEILING('Погонаж база'!O29*(1+скидки_наценки!$B$31)*скидки_наценки!$D$19*скидки_наценки!$F$19/скидки_наценки!$B$4, 50)</f>
        <v>12500</v>
      </c>
      <c r="F6" s="2869">
        <f>CEILING(E6*$F$21, 100)</f>
        <v>13800</v>
      </c>
      <c r="G6" s="2869">
        <f>CEILING(E6*$G$21, 100)</f>
        <v>15000</v>
      </c>
      <c r="H6" s="2869">
        <f>CEILING(E6*$H$21, 100)</f>
        <v>18200</v>
      </c>
      <c r="I6" s="2869">
        <f>CEILING(H6*$I$21, 100)</f>
        <v>21900</v>
      </c>
      <c r="J6" s="3211"/>
      <c r="K6" s="2966"/>
      <c r="L6" s="2966"/>
      <c r="M6" s="2966"/>
      <c r="N6" s="1077"/>
    </row>
    <row r="7" spans="1:14" s="11" customFormat="1" ht="33" customHeight="1">
      <c r="A7" s="5181">
        <v>2100</v>
      </c>
      <c r="B7" s="5182"/>
      <c r="C7" s="5183"/>
      <c r="D7" s="2312"/>
      <c r="E7" s="2870">
        <f>CEILING($E$6*(1+D7), 100)</f>
        <v>12500</v>
      </c>
      <c r="F7" s="2870">
        <f>CEILING(E7*$F$21, 100)</f>
        <v>13800</v>
      </c>
      <c r="G7" s="2870">
        <f t="shared" ref="G7:G15" si="0">CEILING(E7*$G$21, 100)</f>
        <v>15000</v>
      </c>
      <c r="H7" s="2870">
        <f t="shared" ref="H7:H16" si="1">CEILING(E7*$H$21, 100)</f>
        <v>18200</v>
      </c>
      <c r="I7" s="2870">
        <f t="shared" ref="I7:I16" si="2">CEILING(H7*$I$21, 100)</f>
        <v>21900</v>
      </c>
      <c r="J7" s="2965"/>
      <c r="K7" s="2966"/>
      <c r="L7" s="2966"/>
      <c r="M7" s="2966"/>
      <c r="N7" s="1077"/>
    </row>
    <row r="8" spans="1:14" s="11" customFormat="1" ht="33" customHeight="1">
      <c r="A8" s="5176">
        <v>2200</v>
      </c>
      <c r="B8" s="5177"/>
      <c r="C8" s="5178"/>
      <c r="D8" s="2313">
        <v>0.15</v>
      </c>
      <c r="E8" s="2869">
        <f>CEILING($E$6*(1+D8), 50)</f>
        <v>14400</v>
      </c>
      <c r="F8" s="2869">
        <f t="shared" ref="F8:F16" si="3">CEILING(E8*$F$21, 100)</f>
        <v>15900</v>
      </c>
      <c r="G8" s="2869">
        <f t="shared" si="0"/>
        <v>17300</v>
      </c>
      <c r="H8" s="2869">
        <f t="shared" si="1"/>
        <v>20900</v>
      </c>
      <c r="I8" s="2869">
        <f t="shared" si="2"/>
        <v>25100</v>
      </c>
      <c r="J8" s="2967"/>
      <c r="K8" s="2968"/>
      <c r="L8" s="2968"/>
      <c r="M8" s="2968"/>
      <c r="N8" s="1077"/>
    </row>
    <row r="9" spans="1:14" s="11" customFormat="1" ht="33" customHeight="1">
      <c r="A9" s="5181">
        <v>2300</v>
      </c>
      <c r="B9" s="5182"/>
      <c r="C9" s="5183"/>
      <c r="D9" s="2312">
        <v>0.15</v>
      </c>
      <c r="E9" s="2870">
        <f t="shared" ref="E9:E16" si="4">CEILING($E$6*(1+D9), 100)</f>
        <v>14400</v>
      </c>
      <c r="F9" s="2870">
        <f t="shared" si="3"/>
        <v>15900</v>
      </c>
      <c r="G9" s="2870">
        <f t="shared" si="0"/>
        <v>17300</v>
      </c>
      <c r="H9" s="2870">
        <f>CEILING(E9*$H$21, 100)</f>
        <v>20900</v>
      </c>
      <c r="I9" s="2870">
        <f>CEILING(H9*$I$21, 100)</f>
        <v>25100</v>
      </c>
      <c r="J9" s="2967"/>
      <c r="K9" s="2968"/>
      <c r="L9" s="2968"/>
      <c r="M9" s="2968"/>
      <c r="N9" s="1077"/>
    </row>
    <row r="10" spans="1:14" s="11" customFormat="1" ht="33" customHeight="1">
      <c r="A10" s="5176">
        <v>2400</v>
      </c>
      <c r="B10" s="5177"/>
      <c r="C10" s="5178"/>
      <c r="D10" s="2313">
        <v>0.35</v>
      </c>
      <c r="E10" s="2869">
        <f t="shared" si="4"/>
        <v>16900</v>
      </c>
      <c r="F10" s="2869">
        <f t="shared" si="3"/>
        <v>18600</v>
      </c>
      <c r="G10" s="2869">
        <f t="shared" si="0"/>
        <v>20300</v>
      </c>
      <c r="H10" s="2869">
        <f t="shared" si="1"/>
        <v>24600</v>
      </c>
      <c r="I10" s="2869">
        <f t="shared" si="2"/>
        <v>29600</v>
      </c>
      <c r="J10" s="2969"/>
      <c r="K10" s="2970"/>
      <c r="L10" s="2970"/>
      <c r="M10" s="2970"/>
      <c r="N10" s="1077"/>
    </row>
    <row r="11" spans="1:14" s="11" customFormat="1" ht="33" customHeight="1">
      <c r="A11" s="5181">
        <v>2500</v>
      </c>
      <c r="B11" s="5182"/>
      <c r="C11" s="5183"/>
      <c r="D11" s="2312">
        <v>0.35</v>
      </c>
      <c r="E11" s="2870">
        <f t="shared" si="4"/>
        <v>16900</v>
      </c>
      <c r="F11" s="2870">
        <f t="shared" si="3"/>
        <v>18600</v>
      </c>
      <c r="G11" s="2870">
        <f t="shared" si="0"/>
        <v>20300</v>
      </c>
      <c r="H11" s="2870">
        <f>CEILING(E11*$H$21, 100)</f>
        <v>24600</v>
      </c>
      <c r="I11" s="2870">
        <f t="shared" si="2"/>
        <v>29600</v>
      </c>
      <c r="J11" s="2969"/>
      <c r="K11" s="2970"/>
      <c r="L11" s="2970"/>
      <c r="M11" s="2970"/>
      <c r="N11" s="1077"/>
    </row>
    <row r="12" spans="1:14" s="11" customFormat="1" ht="33" customHeight="1">
      <c r="A12" s="5176">
        <v>2600</v>
      </c>
      <c r="B12" s="5177"/>
      <c r="C12" s="5178"/>
      <c r="D12" s="2313">
        <v>0.5</v>
      </c>
      <c r="E12" s="2869">
        <f t="shared" si="4"/>
        <v>18800</v>
      </c>
      <c r="F12" s="2869">
        <f t="shared" si="3"/>
        <v>20700</v>
      </c>
      <c r="G12" s="2869">
        <f t="shared" si="0"/>
        <v>22600</v>
      </c>
      <c r="H12" s="2869">
        <f t="shared" si="1"/>
        <v>27300</v>
      </c>
      <c r="I12" s="2869">
        <f t="shared" si="2"/>
        <v>32800</v>
      </c>
      <c r="J12" s="442"/>
      <c r="K12" s="2971"/>
      <c r="L12" s="2971"/>
      <c r="M12" s="2971"/>
      <c r="N12" s="1077"/>
    </row>
    <row r="13" spans="1:14" s="11" customFormat="1" ht="33" customHeight="1">
      <c r="A13" s="5181">
        <v>2700</v>
      </c>
      <c r="B13" s="5182"/>
      <c r="C13" s="5183"/>
      <c r="D13" s="2312">
        <v>0.5</v>
      </c>
      <c r="E13" s="2870">
        <f t="shared" si="4"/>
        <v>18800</v>
      </c>
      <c r="F13" s="2870">
        <f t="shared" si="3"/>
        <v>20700</v>
      </c>
      <c r="G13" s="2870">
        <f t="shared" si="0"/>
        <v>22600</v>
      </c>
      <c r="H13" s="2870">
        <f t="shared" si="1"/>
        <v>27300</v>
      </c>
      <c r="I13" s="2870">
        <f>CEILING(H13*$I$21, 100)</f>
        <v>32800</v>
      </c>
      <c r="J13" s="442"/>
      <c r="K13" s="2971"/>
      <c r="L13" s="2971"/>
      <c r="M13" s="2971"/>
      <c r="N13" s="1077"/>
    </row>
    <row r="14" spans="1:14" s="11" customFormat="1" ht="33" customHeight="1">
      <c r="A14" s="5176">
        <v>2800</v>
      </c>
      <c r="B14" s="5177"/>
      <c r="C14" s="5178"/>
      <c r="D14" s="2313">
        <v>0.7</v>
      </c>
      <c r="E14" s="2869">
        <f t="shared" si="4"/>
        <v>21300</v>
      </c>
      <c r="F14" s="2869">
        <f t="shared" si="3"/>
        <v>23500</v>
      </c>
      <c r="G14" s="2869">
        <f t="shared" si="0"/>
        <v>25600</v>
      </c>
      <c r="H14" s="2869">
        <f t="shared" si="1"/>
        <v>30900</v>
      </c>
      <c r="I14" s="2869">
        <f t="shared" si="2"/>
        <v>37100</v>
      </c>
      <c r="J14" s="2965"/>
      <c r="K14" s="2966"/>
      <c r="L14" s="2966"/>
      <c r="M14" s="2966"/>
      <c r="N14" s="1077"/>
    </row>
    <row r="15" spans="1:14" s="11" customFormat="1" ht="33" customHeight="1">
      <c r="A15" s="5181">
        <v>2900</v>
      </c>
      <c r="B15" s="5182"/>
      <c r="C15" s="5183"/>
      <c r="D15" s="2312">
        <v>0.7</v>
      </c>
      <c r="E15" s="2870">
        <f t="shared" si="4"/>
        <v>21300</v>
      </c>
      <c r="F15" s="2870">
        <f t="shared" si="3"/>
        <v>23500</v>
      </c>
      <c r="G15" s="2870">
        <f t="shared" si="0"/>
        <v>25600</v>
      </c>
      <c r="H15" s="2870">
        <f t="shared" si="1"/>
        <v>30900</v>
      </c>
      <c r="I15" s="2870">
        <f t="shared" si="2"/>
        <v>37100</v>
      </c>
      <c r="J15" s="2965"/>
      <c r="K15" s="2966"/>
      <c r="L15" s="2966"/>
      <c r="M15" s="2966"/>
      <c r="N15" s="1077"/>
    </row>
    <row r="16" spans="1:14" s="11" customFormat="1" ht="33" customHeight="1">
      <c r="A16" s="5176">
        <v>3000</v>
      </c>
      <c r="B16" s="5177"/>
      <c r="C16" s="5178"/>
      <c r="D16" s="2313">
        <v>1</v>
      </c>
      <c r="E16" s="2869">
        <f t="shared" si="4"/>
        <v>25000</v>
      </c>
      <c r="F16" s="2869">
        <f t="shared" si="3"/>
        <v>27500</v>
      </c>
      <c r="G16" s="2869">
        <f>CEILING(E16*$G$21, 100)</f>
        <v>30000</v>
      </c>
      <c r="H16" s="2869">
        <f t="shared" si="1"/>
        <v>36300</v>
      </c>
      <c r="I16" s="2869">
        <f t="shared" si="2"/>
        <v>43600</v>
      </c>
      <c r="J16" s="442"/>
      <c r="K16" s="2971"/>
      <c r="L16" s="2971"/>
      <c r="M16" s="2971"/>
      <c r="N16" s="1077"/>
    </row>
    <row r="17" spans="1:15" s="113" customFormat="1" ht="8.25" customHeight="1">
      <c r="A17" s="203"/>
      <c r="B17" s="255"/>
      <c r="C17" s="256"/>
      <c r="D17" s="256"/>
      <c r="E17" s="203"/>
      <c r="F17" s="203"/>
      <c r="G17" s="203"/>
    </row>
    <row r="18" spans="1:15" s="172" customFormat="1" ht="15">
      <c r="A18" s="350" t="s">
        <v>1328</v>
      </c>
      <c r="B18" s="171"/>
      <c r="C18" s="171"/>
    </row>
    <row r="19" spans="1:15" s="113" customFormat="1" ht="15" customHeight="1">
      <c r="A19" s="257" t="s">
        <v>2396</v>
      </c>
      <c r="B19" s="116"/>
      <c r="C19" s="116"/>
      <c r="D19" s="116"/>
      <c r="E19" s="116"/>
    </row>
    <row r="20" spans="1:15" s="11" customFormat="1" ht="17.25" customHeight="1">
      <c r="A20" s="153"/>
      <c r="B20" s="257"/>
      <c r="C20" s="153"/>
      <c r="D20" s="153"/>
      <c r="E20" s="153"/>
      <c r="F20" s="153"/>
      <c r="G20" s="153"/>
      <c r="H20" s="70"/>
    </row>
    <row r="21" spans="1:15" s="11" customFormat="1" ht="17.25" customHeight="1">
      <c r="A21" s="3212" t="s">
        <v>2742</v>
      </c>
      <c r="E21" s="3356"/>
      <c r="F21" s="3213">
        <v>1.1000000000000001</v>
      </c>
      <c r="G21" s="3213">
        <v>1.2</v>
      </c>
      <c r="H21" s="3213">
        <v>1.45</v>
      </c>
      <c r="I21" s="3213">
        <v>1.2</v>
      </c>
      <c r="J21" s="113"/>
      <c r="K21" s="113"/>
      <c r="L21" s="113"/>
      <c r="M21" s="113"/>
      <c r="N21" s="113"/>
      <c r="O21" s="113"/>
    </row>
    <row r="22" spans="1:15" s="11" customFormat="1" ht="17.25" customHeight="1">
      <c r="A22" s="5170" t="s">
        <v>2388</v>
      </c>
      <c r="B22" s="5170"/>
      <c r="C22" s="5170"/>
      <c r="D22" s="3217"/>
      <c r="E22" s="5168" t="s">
        <v>2741</v>
      </c>
      <c r="F22" s="5168"/>
      <c r="G22" s="5168"/>
      <c r="H22" s="5168"/>
      <c r="I22" s="5168"/>
    </row>
    <row r="23" spans="1:15" s="79" customFormat="1" ht="30" customHeight="1">
      <c r="A23" s="5170"/>
      <c r="B23" s="5170"/>
      <c r="C23" s="5170"/>
      <c r="D23" s="3218"/>
      <c r="E23" s="2868" t="s">
        <v>184</v>
      </c>
      <c r="F23" s="2868" t="s">
        <v>439</v>
      </c>
      <c r="G23" s="3214" t="s">
        <v>3418</v>
      </c>
      <c r="H23" s="2868" t="s">
        <v>1373</v>
      </c>
      <c r="I23" s="2868" t="s">
        <v>2857</v>
      </c>
      <c r="J23" s="11"/>
      <c r="K23" s="113"/>
      <c r="L23" s="113"/>
      <c r="M23" s="113"/>
      <c r="N23" s="113"/>
      <c r="O23" s="113"/>
    </row>
    <row r="24" spans="1:15" s="79" customFormat="1" ht="27.95" customHeight="1">
      <c r="A24" s="5162" t="s">
        <v>459</v>
      </c>
      <c r="B24" s="5163"/>
      <c r="C24" s="5164"/>
      <c r="E24" s="3216">
        <f>CEILING('Декоры база'!M11*(1+скидки_наценки!$B$31)*скидки_наценки!$D$13*скидки_наценки!$F$13/скидки_наценки!$B$4, 50)</f>
        <v>2850</v>
      </c>
      <c r="F24" s="3216">
        <f>CEILING(E24*F21, 50)</f>
        <v>3150</v>
      </c>
      <c r="G24" s="3216">
        <f>CEILING(E24*$G$21, 50)</f>
        <v>3450</v>
      </c>
      <c r="H24" s="3216">
        <f>CEILING(E24*H21, 50)</f>
        <v>4150</v>
      </c>
      <c r="I24" s="3216">
        <f>CEILING(H24*I21, 50)</f>
        <v>5000</v>
      </c>
      <c r="J24" s="11"/>
      <c r="K24" s="11"/>
      <c r="L24" s="11"/>
      <c r="M24" s="11"/>
      <c r="N24" s="11"/>
      <c r="O24" s="11"/>
    </row>
    <row r="25" spans="1:15" s="79" customFormat="1" ht="27.95" customHeight="1">
      <c r="A25" s="5165" t="s">
        <v>2732</v>
      </c>
      <c r="B25" s="5166"/>
      <c r="C25" s="5167"/>
      <c r="E25" s="2870">
        <f>CEILING(E24/2*2.7, 50)</f>
        <v>3850</v>
      </c>
      <c r="F25" s="2870">
        <f>CEILING(E25*F21, 50)</f>
        <v>4250</v>
      </c>
      <c r="G25" s="2870">
        <f>CEILING(E25*$G$21, 50)</f>
        <v>4650</v>
      </c>
      <c r="H25" s="2870">
        <f>CEILING(E25*H21, 50)</f>
        <v>5600</v>
      </c>
      <c r="I25" s="2870">
        <f>CEILING(H25*I21, 50)</f>
        <v>6750</v>
      </c>
      <c r="J25" s="11"/>
      <c r="K25" s="113"/>
      <c r="L25" s="113"/>
      <c r="M25" s="113"/>
      <c r="N25" s="113"/>
      <c r="O25" s="113"/>
    </row>
    <row r="26" spans="1:15" s="79" customFormat="1" ht="27.95" customHeight="1">
      <c r="A26" s="5171" t="s">
        <v>458</v>
      </c>
      <c r="B26" s="5172"/>
      <c r="C26" s="5173"/>
      <c r="E26" s="2869">
        <f>CEILING(E24/2*3.5, 50)</f>
        <v>5000</v>
      </c>
      <c r="F26" s="2869">
        <f>CEILING(E26*F21, 50)</f>
        <v>5500</v>
      </c>
      <c r="G26" s="2869">
        <f>CEILING(E26*$G$21, 50)</f>
        <v>6000</v>
      </c>
      <c r="H26" s="2869">
        <f>CEILING(E26*H21, 50)</f>
        <v>7250</v>
      </c>
      <c r="I26" s="2869">
        <f>CEILING(H26*I21, 50)</f>
        <v>8700</v>
      </c>
      <c r="J26" s="11"/>
      <c r="K26" s="11"/>
      <c r="L26" s="11"/>
      <c r="M26" s="11"/>
      <c r="N26" s="11"/>
      <c r="O26" s="11"/>
    </row>
    <row r="27" spans="1:15" s="79" customFormat="1" ht="18.75" customHeight="1">
      <c r="A27" s="79" t="s">
        <v>2743</v>
      </c>
      <c r="C27" s="2605"/>
      <c r="H27" s="2605"/>
      <c r="J27" s="11"/>
    </row>
    <row r="28" spans="1:15" s="11" customFormat="1" ht="29.25" customHeight="1">
      <c r="A28" s="3215" t="s">
        <v>2390</v>
      </c>
      <c r="E28" s="3215"/>
      <c r="F28" s="3219">
        <f>F21</f>
        <v>1.1000000000000001</v>
      </c>
      <c r="G28" s="3219"/>
      <c r="H28" s="3219">
        <f>H21</f>
        <v>1.45</v>
      </c>
      <c r="I28" s="3219">
        <f>I21</f>
        <v>1.2</v>
      </c>
    </row>
    <row r="29" spans="1:15" s="11" customFormat="1" ht="27" customHeight="1">
      <c r="A29" s="5170" t="s">
        <v>2388</v>
      </c>
      <c r="B29" s="5170"/>
      <c r="C29" s="5170"/>
      <c r="D29" s="3218"/>
      <c r="E29" s="2868" t="s">
        <v>184</v>
      </c>
      <c r="F29" s="3841" t="s">
        <v>439</v>
      </c>
      <c r="G29" s="2868" t="s">
        <v>3418</v>
      </c>
      <c r="H29" s="3841" t="s">
        <v>1373</v>
      </c>
      <c r="I29" s="2868" t="s">
        <v>2857</v>
      </c>
    </row>
    <row r="30" spans="1:15" s="79" customFormat="1" ht="27.95" customHeight="1">
      <c r="A30" s="5162" t="s">
        <v>2391</v>
      </c>
      <c r="B30" s="5163"/>
      <c r="C30" s="5164"/>
      <c r="E30" s="3216">
        <f>CEILING('Декоры база'!E24*(1+скидки_наценки!$B$31)*скидки_наценки!$D$13*скидки_наценки!$F$13/скидки_наценки!$B$4, 50)</f>
        <v>1050</v>
      </c>
      <c r="F30" s="3216">
        <f>CEILING(E30*F28, 50)</f>
        <v>1200</v>
      </c>
      <c r="G30" s="3624">
        <f>CEILING(F30*G21, 50)</f>
        <v>1450</v>
      </c>
      <c r="H30" s="3216">
        <f>CEILING(E30*H28, 50)</f>
        <v>1550</v>
      </c>
      <c r="I30" s="3216">
        <f>CEILING(H30*I28, 50)</f>
        <v>1900</v>
      </c>
      <c r="J30" s="11"/>
      <c r="K30" s="11"/>
      <c r="L30" s="11"/>
    </row>
    <row r="31" spans="1:15" s="79" customFormat="1" ht="27.95" customHeight="1">
      <c r="A31" s="5165" t="s">
        <v>2392</v>
      </c>
      <c r="B31" s="5166"/>
      <c r="C31" s="5167"/>
      <c r="E31" s="2870">
        <f>E30*2</f>
        <v>2100</v>
      </c>
      <c r="F31" s="2870">
        <f>F30*2</f>
        <v>2400</v>
      </c>
      <c r="G31" s="2870">
        <f>CEILING(F31*G21, 50)</f>
        <v>2900</v>
      </c>
      <c r="H31" s="2870">
        <f>H30*2</f>
        <v>3100</v>
      </c>
      <c r="I31" s="2870">
        <f>I30*2</f>
        <v>3800</v>
      </c>
      <c r="J31" s="11"/>
      <c r="K31" s="11"/>
      <c r="L31" s="11"/>
    </row>
    <row r="32" spans="1:15" s="79" customFormat="1" ht="10.5" customHeight="1">
      <c r="A32" s="3618"/>
      <c r="B32" s="3618"/>
      <c r="C32" s="3618"/>
      <c r="E32" s="3618"/>
      <c r="F32" s="3618"/>
      <c r="G32" s="3618"/>
      <c r="H32" s="3618"/>
      <c r="I32" s="3619"/>
      <c r="J32" s="11"/>
      <c r="K32" s="11"/>
      <c r="L32" s="11"/>
    </row>
    <row r="33" spans="1:12" s="79" customFormat="1" ht="18" customHeight="1">
      <c r="A33" s="3215" t="s">
        <v>3223</v>
      </c>
      <c r="B33" s="3618"/>
      <c r="C33" s="3618"/>
      <c r="E33" s="3618"/>
      <c r="F33" s="3618"/>
      <c r="G33" s="3618"/>
      <c r="H33" s="3618"/>
      <c r="I33" s="3619"/>
      <c r="J33" s="11"/>
      <c r="K33" s="11"/>
      <c r="L33" s="11"/>
    </row>
    <row r="34" spans="1:12" s="79" customFormat="1" ht="27.95" customHeight="1">
      <c r="A34" s="5170" t="s">
        <v>3238</v>
      </c>
      <c r="B34" s="5170"/>
      <c r="C34" s="5170"/>
      <c r="D34" s="3218"/>
      <c r="E34" s="2868" t="s">
        <v>184</v>
      </c>
      <c r="F34" s="2868" t="s">
        <v>439</v>
      </c>
      <c r="G34" s="2868" t="s">
        <v>3418</v>
      </c>
      <c r="H34" s="2868" t="s">
        <v>1373</v>
      </c>
      <c r="I34" s="3619"/>
      <c r="J34" s="11"/>
      <c r="K34" s="11"/>
      <c r="L34" s="11"/>
    </row>
    <row r="35" spans="1:12" s="79" customFormat="1" ht="27.95" customHeight="1">
      <c r="A35" s="5162" t="s">
        <v>2392</v>
      </c>
      <c r="B35" s="5163"/>
      <c r="C35" s="5164"/>
      <c r="E35" s="3624" t="s">
        <v>4</v>
      </c>
      <c r="F35" s="3216">
        <f>CEILING('Декоры база'!K29*(1+скидки_наценки!$B$31)*скидки_наценки!$D$13*скидки_наценки!$F$13/скидки_наценки!$B$4, 50)</f>
        <v>1100</v>
      </c>
      <c r="G35" s="3624">
        <f>CEILING(F35*H21, 50)</f>
        <v>1600</v>
      </c>
      <c r="H35" s="3624" t="s">
        <v>4</v>
      </c>
      <c r="I35" s="3619"/>
      <c r="J35" s="11"/>
      <c r="K35" s="11"/>
      <c r="L35" s="11"/>
    </row>
    <row r="36" spans="1:12" s="79" customFormat="1" ht="27.95" customHeight="1">
      <c r="A36" s="5165" t="s">
        <v>3229</v>
      </c>
      <c r="B36" s="5166"/>
      <c r="C36" s="5167"/>
      <c r="D36" s="3622"/>
      <c r="E36" s="3623" t="s">
        <v>4</v>
      </c>
      <c r="F36" s="2870">
        <f>CEILING('Декоры база'!K30*(1+скидки_наценки!$B$31)*скидки_наценки!$D$13*скидки_наценки!$F$13/скидки_наценки!$B$4, 50)</f>
        <v>1650</v>
      </c>
      <c r="G36" s="2870">
        <f>CEILING(F36*H21, 50)</f>
        <v>2400</v>
      </c>
      <c r="H36" s="3623" t="s">
        <v>4</v>
      </c>
      <c r="I36" s="3619"/>
      <c r="J36" s="11"/>
      <c r="K36" s="11"/>
      <c r="L36" s="11"/>
    </row>
    <row r="37" spans="1:12" s="79" customFormat="1" ht="9" customHeight="1">
      <c r="A37" s="3618"/>
      <c r="B37" s="3618"/>
      <c r="C37" s="3618"/>
      <c r="E37" s="3618"/>
      <c r="F37" s="3618"/>
      <c r="G37" s="3618"/>
      <c r="H37" s="3618"/>
      <c r="I37" s="3619"/>
      <c r="J37" s="11"/>
      <c r="K37" s="11"/>
      <c r="L37" s="11"/>
    </row>
    <row r="38" spans="1:12" s="113" customFormat="1" ht="26.25" customHeight="1">
      <c r="A38" s="5169" t="s">
        <v>2499</v>
      </c>
      <c r="B38" s="5169"/>
      <c r="C38" s="5169"/>
      <c r="D38" s="5169"/>
      <c r="E38" s="5169"/>
      <c r="F38" s="5169"/>
      <c r="G38" s="5169"/>
      <c r="H38" s="5169"/>
      <c r="J38" s="11"/>
    </row>
    <row r="39" spans="1:12" s="79" customFormat="1" ht="15">
      <c r="A39" s="257" t="s">
        <v>2397</v>
      </c>
      <c r="J39" s="11"/>
    </row>
    <row r="40" spans="1:12" s="79" customFormat="1"/>
    <row r="41" spans="1:12" s="79" customFormat="1"/>
    <row r="42" spans="1:12" s="79" customFormat="1"/>
    <row r="43" spans="1:12" s="79" customFormat="1"/>
    <row r="44" spans="1:12" s="79" customFormat="1"/>
    <row r="45" spans="1:12" s="79" customFormat="1"/>
    <row r="46" spans="1:12" s="79" customFormat="1"/>
    <row r="47" spans="1:12" s="79" customFormat="1"/>
    <row r="48" spans="1:12" s="79" customFormat="1"/>
    <row r="49" s="79" customFormat="1"/>
    <row r="50" s="79" customFormat="1"/>
    <row r="51" s="79" customFormat="1"/>
    <row r="52" s="79" customFormat="1"/>
    <row r="53" s="79" customFormat="1"/>
    <row r="54" s="79" customFormat="1"/>
    <row r="55" s="79" customFormat="1"/>
    <row r="56" s="79" customFormat="1"/>
    <row r="57" s="79" customFormat="1"/>
    <row r="58" s="79" customFormat="1"/>
    <row r="59" s="79" customFormat="1"/>
    <row r="60" s="79" customFormat="1"/>
    <row r="61" s="79" customFormat="1"/>
    <row r="62" s="79" customFormat="1"/>
    <row r="63" s="79" customFormat="1"/>
    <row r="64" s="79" customFormat="1"/>
    <row r="65" s="79" customFormat="1"/>
    <row r="66" s="79" customFormat="1"/>
    <row r="67" s="79" customFormat="1"/>
    <row r="68" s="79" customFormat="1"/>
    <row r="69" s="79" customFormat="1"/>
    <row r="70" s="79" customFormat="1"/>
    <row r="71" s="79" customFormat="1"/>
    <row r="72" s="79" customFormat="1"/>
    <row r="73" s="79" customFormat="1"/>
    <row r="74" s="79" customFormat="1"/>
    <row r="75" s="79" customFormat="1"/>
    <row r="76" s="79" customFormat="1"/>
    <row r="77" s="79" customFormat="1"/>
    <row r="78" s="79" customFormat="1"/>
    <row r="79" s="79" customFormat="1"/>
    <row r="80" s="79" customFormat="1"/>
    <row r="81" s="79" customFormat="1"/>
    <row r="82" s="79" customFormat="1"/>
    <row r="83" s="79" customFormat="1"/>
    <row r="84" s="79" customFormat="1"/>
    <row r="85" s="79" customFormat="1"/>
    <row r="86" s="79" customFormat="1"/>
    <row r="87" s="79" customFormat="1"/>
    <row r="88" s="79" customFormat="1"/>
    <row r="89" s="79" customFormat="1"/>
    <row r="90" s="79" customFormat="1"/>
    <row r="91" s="79" customFormat="1"/>
    <row r="92" s="79" customFormat="1"/>
    <row r="93" s="79" customFormat="1"/>
    <row r="94" s="79" customFormat="1"/>
    <row r="95" s="79" customFormat="1"/>
    <row r="96" s="79" customFormat="1"/>
    <row r="97" s="79" customFormat="1"/>
    <row r="98" s="79" customFormat="1"/>
    <row r="99" s="79" customFormat="1"/>
    <row r="100" s="79" customFormat="1"/>
    <row r="101" s="79" customFormat="1"/>
    <row r="102" s="79" customFormat="1"/>
    <row r="103" s="79" customFormat="1"/>
    <row r="104" s="79" customFormat="1"/>
    <row r="105" s="79" customFormat="1"/>
    <row r="106" s="79" customFormat="1"/>
    <row r="107" s="79" customFormat="1"/>
    <row r="108" s="79" customFormat="1"/>
    <row r="109" s="79" customFormat="1"/>
    <row r="110" s="79" customFormat="1"/>
    <row r="111" s="79" customFormat="1"/>
    <row r="112" s="79" customFormat="1"/>
    <row r="113" s="79" customFormat="1"/>
    <row r="114" s="79" customFormat="1"/>
    <row r="115" s="79" customFormat="1"/>
    <row r="116" s="79" customFormat="1"/>
    <row r="117" s="79" customFormat="1"/>
    <row r="118" s="79" customFormat="1"/>
    <row r="119" s="79" customFormat="1"/>
    <row r="120" s="79" customFormat="1"/>
    <row r="121" s="79" customFormat="1"/>
    <row r="122" s="79" customFormat="1"/>
    <row r="123" s="79" customFormat="1"/>
    <row r="124" s="79" customFormat="1"/>
    <row r="125" s="79" customFormat="1"/>
    <row r="126" s="79" customFormat="1"/>
    <row r="127" s="79" customFormat="1"/>
    <row r="128" s="79" customFormat="1"/>
    <row r="129" s="79" customFormat="1"/>
    <row r="130" s="79" customFormat="1"/>
    <row r="131" s="79" customFormat="1"/>
    <row r="132" s="79" customFormat="1"/>
    <row r="133" s="79" customFormat="1"/>
    <row r="134" s="79" customFormat="1"/>
    <row r="135" s="79" customFormat="1"/>
    <row r="136" s="79" customFormat="1"/>
    <row r="137" s="79" customFormat="1"/>
    <row r="138" s="79" customFormat="1"/>
    <row r="139" s="79" customFormat="1"/>
    <row r="140" s="79" customFormat="1"/>
    <row r="141" s="79" customFormat="1"/>
    <row r="142" s="79" customFormat="1"/>
    <row r="143" s="79" customFormat="1"/>
    <row r="144" s="79" customFormat="1"/>
    <row r="145" s="79" customFormat="1"/>
    <row r="146" s="79" customFormat="1"/>
    <row r="147" s="79" customFormat="1"/>
    <row r="148" s="79" customFormat="1"/>
    <row r="149" s="79" customFormat="1"/>
    <row r="150" s="79" customFormat="1"/>
    <row r="151" s="79" customFormat="1"/>
    <row r="152" s="79" customFormat="1"/>
    <row r="153" s="79" customFormat="1"/>
    <row r="154" s="79" customFormat="1"/>
    <row r="155" s="79" customFormat="1"/>
    <row r="156" s="79" customFormat="1"/>
    <row r="157" s="79" customFormat="1"/>
    <row r="158" s="79" customFormat="1"/>
    <row r="159" s="79" customFormat="1"/>
    <row r="160" s="79" customFormat="1"/>
    <row r="161" spans="1:1" s="79" customFormat="1"/>
    <row r="162" spans="1:1" s="79" customFormat="1"/>
    <row r="163" spans="1:1" s="79" customFormat="1"/>
    <row r="164" spans="1:1" s="79" customFormat="1"/>
    <row r="165" spans="1:1" s="79" customFormat="1"/>
    <row r="166" spans="1:1" s="79" customFormat="1"/>
    <row r="167" spans="1:1" s="79" customFormat="1"/>
    <row r="168" spans="1:1" s="79" customFormat="1"/>
    <row r="169" spans="1:1" s="79" customFormat="1"/>
    <row r="170" spans="1:1" s="79" customFormat="1"/>
    <row r="171" spans="1:1" s="79" customFormat="1"/>
    <row r="172" spans="1:1" s="79" customFormat="1"/>
    <row r="173" spans="1:1" s="79" customFormat="1"/>
    <row r="174" spans="1:1" s="79" customFormat="1">
      <c r="A174" s="81"/>
    </row>
  </sheetData>
  <mergeCells count="27">
    <mergeCell ref="E4:I4"/>
    <mergeCell ref="A3:C3"/>
    <mergeCell ref="A16:C16"/>
    <mergeCell ref="D4:D5"/>
    <mergeCell ref="A9:C9"/>
    <mergeCell ref="A4:C5"/>
    <mergeCell ref="A7:C7"/>
    <mergeCell ref="A8:C8"/>
    <mergeCell ref="A6:C6"/>
    <mergeCell ref="A15:C15"/>
    <mergeCell ref="A10:C10"/>
    <mergeCell ref="A11:C11"/>
    <mergeCell ref="A14:C14"/>
    <mergeCell ref="A12:C12"/>
    <mergeCell ref="A13:C13"/>
    <mergeCell ref="A35:C35"/>
    <mergeCell ref="A36:C36"/>
    <mergeCell ref="A31:C31"/>
    <mergeCell ref="E22:I22"/>
    <mergeCell ref="A38:H38"/>
    <mergeCell ref="A29:C29"/>
    <mergeCell ref="A30:C30"/>
    <mergeCell ref="A34:C34"/>
    <mergeCell ref="A22:C23"/>
    <mergeCell ref="A24:C24"/>
    <mergeCell ref="A25:C25"/>
    <mergeCell ref="A26:C26"/>
  </mergeCells>
  <conditionalFormatting sqref="E17:G17 D19:E19">
    <cfRule type="cellIs" dxfId="117" priority="5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3.937007874015748E-2" right="0.23622047244094491" top="0.59055118110236227" bottom="0.31496062992125984" header="0.59055118110236227" footer="0.31496062992125984"/>
  <pageSetup paperSize="9" scale="57" firstPageNumber="39" orientation="landscape" useFirstPageNumber="1" r:id="rId1"/>
  <headerFooter>
    <oddFooter>&amp;L&amp;P&amp;R&amp;22&amp;G</oddFooter>
  </headerFooter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47">
    <tabColor rgb="FF92D050"/>
  </sheetPr>
  <dimension ref="A1:AR56"/>
  <sheetViews>
    <sheetView view="pageBreakPreview" topLeftCell="A14" zoomScale="86" zoomScaleNormal="85" zoomScaleSheetLayoutView="86" zoomScalePageLayoutView="85" workbookViewId="0">
      <selection activeCell="S25" sqref="S25"/>
    </sheetView>
  </sheetViews>
  <sheetFormatPr defaultColWidth="8.85546875" defaultRowHeight="15"/>
  <cols>
    <col min="1" max="1" width="4.7109375" style="589" customWidth="1"/>
    <col min="2" max="5" width="11.7109375" style="589" customWidth="1"/>
    <col min="6" max="6" width="11.7109375" style="2" customWidth="1"/>
    <col min="7" max="14" width="20.7109375" style="589" customWidth="1"/>
    <col min="15" max="16384" width="8.85546875" style="589"/>
  </cols>
  <sheetData>
    <row r="1" spans="1:44" hidden="1">
      <c r="G1" s="362"/>
      <c r="H1" s="362" t="str">
        <f>IFERROR(MATCH(H$10,#REF!,0)-2,"")</f>
        <v/>
      </c>
      <c r="I1" s="362"/>
      <c r="J1" s="362" t="str">
        <f>IFERROR(MATCH(J$10,#REF!,0)-2,"")</f>
        <v/>
      </c>
      <c r="K1" s="362" t="str">
        <f>IFERROR(MATCH(K$10,#REF!,0)-2,"")</f>
        <v/>
      </c>
      <c r="L1" s="362"/>
      <c r="M1" s="362"/>
      <c r="N1" s="362" t="str">
        <f>IFERROR(MATCH(N$10,#REF!,0)-2,"")</f>
        <v/>
      </c>
    </row>
    <row r="2" spans="1:44" ht="18" customHeight="1">
      <c r="A2" s="1018"/>
      <c r="B2" s="26"/>
      <c r="C2" s="26"/>
      <c r="D2" s="26"/>
      <c r="E2" s="26"/>
      <c r="F2" s="4"/>
      <c r="G2" s="26"/>
      <c r="H2" s="26"/>
      <c r="I2" s="26"/>
      <c r="J2" s="26"/>
      <c r="K2" s="26"/>
      <c r="L2" s="26"/>
      <c r="M2" s="26"/>
      <c r="N2" s="1181">
        <f>Содержание!$C$1</f>
        <v>0</v>
      </c>
      <c r="Q2" s="614"/>
      <c r="R2" s="614"/>
      <c r="S2" s="614"/>
      <c r="T2" s="614"/>
      <c r="U2" s="614"/>
      <c r="V2" s="614"/>
      <c r="W2" s="614"/>
      <c r="X2" s="614"/>
      <c r="Y2" s="614"/>
      <c r="Z2" s="614"/>
      <c r="AA2" s="614"/>
      <c r="AB2" s="614"/>
      <c r="AC2" s="614"/>
      <c r="AD2" s="614"/>
      <c r="AE2" s="614"/>
      <c r="AF2" s="614"/>
      <c r="AG2" s="614"/>
      <c r="AH2" s="614"/>
      <c r="AI2" s="614"/>
      <c r="AJ2" s="614"/>
      <c r="AK2" s="614"/>
      <c r="AL2" s="614"/>
      <c r="AM2" s="614"/>
      <c r="AN2" s="614"/>
      <c r="AO2" s="614"/>
      <c r="AP2" s="614"/>
      <c r="AQ2" s="614"/>
      <c r="AR2" s="614"/>
    </row>
    <row r="3" spans="1:44" ht="18" customHeight="1">
      <c r="A3" s="1018"/>
      <c r="B3" s="26"/>
      <c r="C3" s="26"/>
      <c r="D3" s="26"/>
      <c r="E3" s="26"/>
      <c r="F3" s="4"/>
      <c r="G3" s="147"/>
      <c r="H3" s="147"/>
      <c r="I3" s="147"/>
      <c r="J3" s="272"/>
      <c r="K3" s="147"/>
      <c r="L3" s="147"/>
      <c r="M3" s="147"/>
      <c r="N3" s="272"/>
      <c r="Q3" s="614"/>
      <c r="R3" s="614"/>
      <c r="S3" s="614"/>
      <c r="T3" s="614"/>
      <c r="U3" s="614"/>
      <c r="V3" s="614"/>
      <c r="W3" s="614"/>
      <c r="X3" s="614"/>
      <c r="Y3" s="614"/>
      <c r="Z3" s="614"/>
      <c r="AA3" s="614"/>
      <c r="AB3" s="614"/>
      <c r="AC3" s="614"/>
      <c r="AD3" s="614"/>
      <c r="AE3" s="614"/>
      <c r="AF3" s="614"/>
      <c r="AG3" s="614"/>
      <c r="AH3" s="614"/>
      <c r="AI3" s="614"/>
      <c r="AJ3" s="614"/>
      <c r="AK3" s="614"/>
      <c r="AL3" s="614"/>
      <c r="AM3" s="614"/>
      <c r="AN3" s="614"/>
      <c r="AO3" s="614"/>
      <c r="AP3" s="614"/>
      <c r="AQ3" s="614"/>
      <c r="AR3" s="614"/>
    </row>
    <row r="4" spans="1:44" ht="18" customHeight="1">
      <c r="A4" s="5"/>
      <c r="B4" s="1018"/>
      <c r="C4" s="1018"/>
      <c r="D4" s="1018"/>
      <c r="E4" s="1018"/>
      <c r="F4" s="6"/>
      <c r="G4" s="1018"/>
      <c r="H4" s="1018"/>
      <c r="I4" s="1018"/>
      <c r="J4" s="1018"/>
      <c r="K4" s="1018"/>
      <c r="L4" s="1018"/>
      <c r="M4" s="1018"/>
      <c r="N4" s="1018"/>
      <c r="Q4" s="614"/>
      <c r="R4" s="614"/>
      <c r="S4" s="614"/>
      <c r="T4" s="614"/>
      <c r="U4" s="614"/>
      <c r="V4" s="614"/>
      <c r="W4" s="614"/>
      <c r="X4" s="614"/>
      <c r="Y4" s="614"/>
      <c r="Z4" s="614"/>
      <c r="AA4" s="614"/>
      <c r="AB4" s="614"/>
      <c r="AC4" s="614"/>
      <c r="AD4" s="614"/>
      <c r="AE4" s="614"/>
      <c r="AF4" s="614"/>
      <c r="AG4" s="614"/>
      <c r="AH4" s="614"/>
      <c r="AI4" s="614"/>
      <c r="AJ4" s="614"/>
      <c r="AK4" s="614"/>
      <c r="AL4" s="614"/>
      <c r="AM4" s="614"/>
      <c r="AN4" s="614"/>
      <c r="AO4" s="614"/>
      <c r="AP4" s="614"/>
      <c r="AQ4" s="614"/>
      <c r="AR4" s="614"/>
    </row>
    <row r="5" spans="1:44" ht="18" customHeight="1">
      <c r="A5" s="1018"/>
      <c r="B5" s="26"/>
      <c r="C5" s="26"/>
      <c r="D5" s="26"/>
      <c r="E5" s="26"/>
      <c r="F5" s="473"/>
      <c r="G5" s="471"/>
      <c r="H5" s="471"/>
      <c r="I5" s="471"/>
      <c r="J5" s="471"/>
      <c r="K5" s="471"/>
      <c r="L5" s="471"/>
      <c r="M5" s="471"/>
      <c r="N5" s="471"/>
      <c r="Q5" s="614"/>
      <c r="R5" s="614"/>
      <c r="S5" s="614"/>
      <c r="T5" s="614"/>
      <c r="U5" s="614"/>
      <c r="V5" s="614"/>
      <c r="W5" s="614"/>
      <c r="X5" s="614"/>
      <c r="Y5" s="614"/>
      <c r="Z5" s="614"/>
      <c r="AA5" s="614"/>
      <c r="AB5" s="614"/>
      <c r="AC5" s="614"/>
      <c r="AD5" s="614"/>
      <c r="AE5" s="614"/>
      <c r="AF5" s="614"/>
      <c r="AG5" s="614"/>
      <c r="AH5" s="614"/>
      <c r="AI5" s="614"/>
      <c r="AJ5" s="614"/>
      <c r="AK5" s="614"/>
      <c r="AL5" s="614"/>
      <c r="AM5" s="614"/>
      <c r="AN5" s="614"/>
      <c r="AO5" s="614"/>
      <c r="AP5" s="614"/>
      <c r="AQ5" s="614"/>
      <c r="AR5" s="614"/>
    </row>
    <row r="6" spans="1:44" ht="18" customHeight="1">
      <c r="A6" s="1018"/>
      <c r="B6" s="472" t="s">
        <v>490</v>
      </c>
      <c r="C6" s="26"/>
      <c r="D6" s="26"/>
      <c r="E6" s="26"/>
      <c r="F6" s="473"/>
      <c r="G6" s="471"/>
      <c r="H6" s="471"/>
      <c r="I6" s="471"/>
      <c r="J6" s="471"/>
      <c r="K6" s="471"/>
      <c r="L6" s="471"/>
      <c r="M6" s="471"/>
      <c r="N6" s="471"/>
      <c r="Q6" s="614"/>
      <c r="R6" s="614"/>
      <c r="S6" s="614"/>
      <c r="T6" s="614"/>
      <c r="U6" s="614"/>
      <c r="V6" s="614"/>
      <c r="W6" s="614"/>
      <c r="X6" s="614"/>
      <c r="Y6" s="614"/>
      <c r="Z6" s="614"/>
      <c r="AA6" s="614"/>
      <c r="AB6" s="614"/>
      <c r="AC6" s="614"/>
      <c r="AD6" s="614"/>
      <c r="AE6" s="614"/>
      <c r="AF6" s="614"/>
      <c r="AG6" s="614"/>
      <c r="AH6" s="614"/>
      <c r="AI6" s="614"/>
      <c r="AJ6" s="614"/>
      <c r="AK6" s="614"/>
      <c r="AL6" s="614"/>
      <c r="AM6" s="614"/>
      <c r="AN6" s="614"/>
      <c r="AO6" s="614"/>
      <c r="AP6" s="614"/>
      <c r="AQ6" s="614"/>
      <c r="AR6" s="614"/>
    </row>
    <row r="7" spans="1:44">
      <c r="A7" s="5"/>
      <c r="B7" s="1018"/>
      <c r="C7" s="1018"/>
      <c r="D7" s="1018"/>
      <c r="E7" s="1018"/>
      <c r="F7" s="515"/>
      <c r="G7" s="15"/>
      <c r="H7" s="15"/>
      <c r="I7" s="15"/>
      <c r="J7" s="15"/>
      <c r="K7" s="15"/>
      <c r="L7" s="15"/>
      <c r="M7" s="15"/>
      <c r="N7" s="15"/>
      <c r="Q7" s="614"/>
      <c r="R7" s="614"/>
      <c r="S7" s="614"/>
      <c r="T7" s="614"/>
      <c r="U7" s="614"/>
      <c r="V7" s="614"/>
      <c r="W7" s="614"/>
      <c r="X7" s="614"/>
      <c r="Y7" s="614"/>
      <c r="Z7" s="614"/>
      <c r="AA7" s="614"/>
      <c r="AB7" s="614"/>
      <c r="AC7" s="614"/>
      <c r="AD7" s="614"/>
      <c r="AE7" s="614"/>
      <c r="AF7" s="614"/>
      <c r="AG7" s="614"/>
      <c r="AH7" s="614"/>
      <c r="AI7" s="614"/>
      <c r="AJ7" s="614"/>
      <c r="AK7" s="614"/>
      <c r="AL7" s="614"/>
      <c r="AM7" s="614"/>
      <c r="AN7" s="614"/>
      <c r="AO7" s="614"/>
      <c r="AP7" s="614"/>
      <c r="AQ7" s="614"/>
      <c r="AR7" s="614"/>
    </row>
    <row r="8" spans="1:44" ht="79.900000000000006" customHeight="1">
      <c r="A8" s="7"/>
      <c r="B8" s="4326" t="s">
        <v>309</v>
      </c>
      <c r="C8" s="4327"/>
      <c r="D8" s="4327"/>
      <c r="E8" s="4328"/>
      <c r="F8" s="8"/>
      <c r="G8" s="7"/>
      <c r="H8" s="7"/>
      <c r="I8" s="7"/>
      <c r="J8" s="7"/>
      <c r="K8" s="7"/>
      <c r="L8" s="7"/>
      <c r="M8" s="7"/>
      <c r="N8" s="7"/>
      <c r="Q8" s="614"/>
      <c r="R8" s="614"/>
      <c r="S8" s="614"/>
      <c r="T8" s="614"/>
      <c r="U8" s="614"/>
      <c r="V8" s="614"/>
      <c r="W8" s="614"/>
      <c r="X8" s="614"/>
      <c r="Y8" s="614"/>
      <c r="Z8" s="614"/>
      <c r="AA8" s="614"/>
      <c r="AB8" s="614"/>
      <c r="AC8" s="614"/>
      <c r="AD8" s="614"/>
      <c r="AE8" s="614"/>
      <c r="AF8" s="614"/>
      <c r="AG8" s="614"/>
      <c r="AH8" s="614"/>
      <c r="AI8" s="614"/>
      <c r="AJ8" s="614"/>
      <c r="AK8" s="614"/>
      <c r="AL8" s="614"/>
      <c r="AM8" s="614"/>
      <c r="AN8" s="614"/>
      <c r="AO8" s="614"/>
      <c r="AP8" s="614"/>
      <c r="AQ8" s="614"/>
      <c r="AR8" s="614"/>
    </row>
    <row r="9" spans="1:44">
      <c r="A9" s="1018"/>
      <c r="B9" s="19" t="s">
        <v>59</v>
      </c>
      <c r="C9" s="1018"/>
      <c r="D9" s="1018"/>
      <c r="E9" s="1018"/>
      <c r="F9" s="6"/>
      <c r="G9" s="1018"/>
      <c r="H9" s="1018"/>
      <c r="I9" s="1018"/>
      <c r="J9" s="1018"/>
      <c r="K9" s="1018"/>
      <c r="L9" s="1018"/>
      <c r="M9" s="1018"/>
      <c r="N9" s="1018"/>
      <c r="Q9" s="614"/>
      <c r="R9" s="614"/>
      <c r="S9" s="614"/>
      <c r="T9" s="614"/>
      <c r="U9" s="614"/>
      <c r="V9" s="614"/>
      <c r="W9" s="614"/>
      <c r="X9" s="614"/>
      <c r="Y9" s="614"/>
      <c r="Z9" s="614"/>
      <c r="AA9" s="614"/>
      <c r="AB9" s="614"/>
      <c r="AC9" s="614"/>
      <c r="AD9" s="614"/>
      <c r="AE9" s="614"/>
      <c r="AF9" s="614"/>
      <c r="AG9" s="614"/>
      <c r="AH9" s="614"/>
      <c r="AI9" s="614"/>
      <c r="AJ9" s="614"/>
      <c r="AK9" s="614"/>
      <c r="AL9" s="614"/>
      <c r="AM9" s="614"/>
      <c r="AN9" s="614"/>
      <c r="AO9" s="614"/>
      <c r="AP9" s="614"/>
      <c r="AQ9" s="614"/>
      <c r="AR9" s="614"/>
    </row>
    <row r="10" spans="1:44" ht="15" customHeight="1">
      <c r="A10" s="4823" t="s">
        <v>2</v>
      </c>
      <c r="B10" s="4823"/>
      <c r="C10" s="4823"/>
      <c r="D10" s="4696" t="s">
        <v>42</v>
      </c>
      <c r="E10" s="4696" t="s">
        <v>41</v>
      </c>
      <c r="F10" s="4696" t="s">
        <v>37</v>
      </c>
      <c r="G10" s="103" t="s">
        <v>1343</v>
      </c>
      <c r="H10" s="103" t="s">
        <v>1344</v>
      </c>
      <c r="I10" s="103" t="s">
        <v>1345</v>
      </c>
      <c r="J10" s="103" t="s">
        <v>1346</v>
      </c>
      <c r="K10" s="103" t="s">
        <v>1347</v>
      </c>
      <c r="L10" s="103" t="s">
        <v>1348</v>
      </c>
      <c r="M10" s="103" t="s">
        <v>1349</v>
      </c>
      <c r="N10" s="103" t="s">
        <v>1350</v>
      </c>
      <c r="Q10" s="614"/>
      <c r="R10" s="614"/>
      <c r="S10" s="614"/>
      <c r="T10" s="614"/>
      <c r="U10" s="614"/>
      <c r="V10" s="614"/>
      <c r="W10" s="614"/>
      <c r="X10" s="614"/>
      <c r="Y10" s="614"/>
      <c r="Z10" s="614"/>
      <c r="AA10" s="614"/>
      <c r="AB10" s="614"/>
      <c r="AC10" s="614"/>
      <c r="AD10" s="614"/>
      <c r="AE10" s="614"/>
      <c r="AF10" s="614"/>
      <c r="AG10" s="614"/>
      <c r="AH10" s="614"/>
      <c r="AI10" s="614"/>
      <c r="AJ10" s="614"/>
      <c r="AK10" s="614"/>
      <c r="AL10" s="614"/>
      <c r="AM10" s="614"/>
      <c r="AN10" s="614"/>
      <c r="AO10" s="614"/>
      <c r="AP10" s="614"/>
      <c r="AQ10" s="614"/>
      <c r="AR10" s="614"/>
    </row>
    <row r="11" spans="1:44" ht="15" customHeight="1">
      <c r="A11" s="4823"/>
      <c r="B11" s="4823"/>
      <c r="C11" s="4823"/>
      <c r="D11" s="4698"/>
      <c r="E11" s="4698"/>
      <c r="F11" s="4698"/>
      <c r="G11" s="1021" t="s">
        <v>1354</v>
      </c>
      <c r="H11" s="59" t="s">
        <v>1386</v>
      </c>
      <c r="I11" s="59" t="s">
        <v>1386</v>
      </c>
      <c r="J11" s="59" t="s">
        <v>1386</v>
      </c>
      <c r="K11" s="1021" t="s">
        <v>1354</v>
      </c>
      <c r="L11" s="1021" t="s">
        <v>1354</v>
      </c>
      <c r="M11" s="1021" t="s">
        <v>1351</v>
      </c>
      <c r="N11" s="1021" t="s">
        <v>1351</v>
      </c>
      <c r="Q11" s="614"/>
      <c r="R11" s="614"/>
      <c r="S11" s="614"/>
      <c r="T11" s="614"/>
      <c r="U11" s="614"/>
      <c r="V11" s="614"/>
      <c r="W11" s="614"/>
      <c r="X11" s="614"/>
      <c r="Y11" s="614"/>
      <c r="Z11" s="614"/>
      <c r="AA11" s="614"/>
      <c r="AB11" s="614"/>
      <c r="AC11" s="614"/>
      <c r="AD11" s="614"/>
      <c r="AE11" s="614"/>
      <c r="AF11" s="614"/>
      <c r="AG11" s="614"/>
      <c r="AH11" s="614"/>
      <c r="AI11" s="614"/>
      <c r="AJ11" s="614"/>
      <c r="AK11" s="614"/>
      <c r="AL11" s="614"/>
      <c r="AM11" s="614"/>
      <c r="AN11" s="614"/>
      <c r="AO11" s="614"/>
      <c r="AP11" s="614"/>
      <c r="AQ11" s="614"/>
      <c r="AR11" s="614"/>
    </row>
    <row r="12" spans="1:44" ht="24" customHeight="1">
      <c r="A12" s="4230" t="s">
        <v>186</v>
      </c>
      <c r="B12" s="4209" t="s">
        <v>391</v>
      </c>
      <c r="C12" s="5185"/>
      <c r="D12" s="4203" t="s">
        <v>35</v>
      </c>
      <c r="E12" s="4203" t="s">
        <v>34</v>
      </c>
      <c r="F12" s="1017" t="s">
        <v>0</v>
      </c>
      <c r="G12" s="1036" t="e">
        <f>CEILING('Полотна база'!#REF!*(1+скидки_наценки!$B$28)*скидки_наценки!$D$11*скидки_наценки!$F$11/скидки_наценки!$B$4, 50)</f>
        <v>#REF!</v>
      </c>
      <c r="H12" s="1036" t="s">
        <v>4</v>
      </c>
      <c r="I12" s="1036" t="e">
        <f>G12</f>
        <v>#REF!</v>
      </c>
      <c r="J12" s="1036" t="s">
        <v>4</v>
      </c>
      <c r="K12" s="1036" t="e">
        <f>G12</f>
        <v>#REF!</v>
      </c>
      <c r="L12" s="1036" t="s">
        <v>4</v>
      </c>
      <c r="M12" s="1036" t="e">
        <f>G12</f>
        <v>#REF!</v>
      </c>
      <c r="N12" s="1036" t="s">
        <v>4</v>
      </c>
      <c r="Q12" s="614"/>
      <c r="R12" s="614"/>
      <c r="S12" s="614"/>
      <c r="T12" s="614"/>
      <c r="U12" s="614"/>
      <c r="V12" s="614"/>
      <c r="W12" s="614"/>
      <c r="X12" s="614"/>
      <c r="Y12" s="614"/>
      <c r="Z12" s="614"/>
      <c r="AA12" s="614"/>
      <c r="AB12" s="614"/>
      <c r="AC12" s="614"/>
      <c r="AD12" s="614"/>
      <c r="AE12" s="614"/>
      <c r="AF12" s="614"/>
      <c r="AG12" s="614"/>
      <c r="AH12" s="614"/>
      <c r="AI12" s="614"/>
      <c r="AJ12" s="614"/>
      <c r="AK12" s="614"/>
      <c r="AL12" s="614"/>
      <c r="AM12" s="614"/>
      <c r="AN12" s="614"/>
      <c r="AO12" s="614"/>
      <c r="AP12" s="614"/>
      <c r="AQ12" s="614"/>
      <c r="AR12" s="614"/>
    </row>
    <row r="13" spans="1:44" s="1018" customFormat="1" ht="15" customHeight="1">
      <c r="A13" s="4231"/>
      <c r="B13" s="5186" t="s">
        <v>393</v>
      </c>
      <c r="C13" s="5187"/>
      <c r="D13" s="4204"/>
      <c r="E13" s="4204"/>
      <c r="F13" s="307" t="s">
        <v>306</v>
      </c>
      <c r="G13" s="1037" t="e">
        <f>IF(G12=0,0,(Погонаж!$C$11*2.5+Погонаж!$E$11*5))</f>
        <v>#REF!</v>
      </c>
      <c r="H13" s="1037" t="s">
        <v>4</v>
      </c>
      <c r="I13" s="1037" t="e">
        <f>IF(I12=0,0,(Погонаж!$C$11*2.5+Погонаж!$E$11*5))</f>
        <v>#REF!</v>
      </c>
      <c r="J13" s="1037" t="s">
        <v>4</v>
      </c>
      <c r="K13" s="1037" t="e">
        <f>IF(K12=0,0,(Погонаж!$C$11*2.5+Погонаж!$E$11*5))</f>
        <v>#REF!</v>
      </c>
      <c r="L13" s="1037" t="s">
        <v>4</v>
      </c>
      <c r="M13" s="1037" t="e">
        <f>IF(M12=0,0,(Погонаж!$C$11*2.5+Погонаж!$E$11*5))</f>
        <v>#REF!</v>
      </c>
      <c r="N13" s="1037" t="s">
        <v>4</v>
      </c>
      <c r="Q13" s="614"/>
      <c r="R13" s="614"/>
      <c r="S13" s="614"/>
      <c r="T13" s="614"/>
      <c r="U13" s="614"/>
      <c r="V13" s="614"/>
      <c r="W13" s="614"/>
      <c r="X13" s="614"/>
      <c r="Y13" s="614"/>
      <c r="Z13" s="614"/>
      <c r="AA13" s="614"/>
      <c r="AB13" s="614"/>
      <c r="AC13" s="614"/>
      <c r="AD13" s="614"/>
      <c r="AE13" s="614"/>
      <c r="AF13" s="614"/>
      <c r="AG13" s="614"/>
      <c r="AH13" s="614"/>
      <c r="AI13" s="614"/>
      <c r="AJ13" s="614"/>
      <c r="AK13" s="614"/>
      <c r="AL13" s="614"/>
      <c r="AM13" s="614"/>
      <c r="AN13" s="614"/>
      <c r="AO13" s="614"/>
      <c r="AP13" s="614"/>
      <c r="AQ13" s="614"/>
      <c r="AR13" s="614"/>
    </row>
    <row r="14" spans="1:44" s="1018" customFormat="1" ht="24" customHeight="1">
      <c r="A14" s="4708"/>
      <c r="B14" s="5188"/>
      <c r="C14" s="5189"/>
      <c r="D14" s="4205"/>
      <c r="E14" s="4205"/>
      <c r="F14" s="30" t="s">
        <v>1</v>
      </c>
      <c r="G14" s="1038" t="e">
        <f>G12+G13</f>
        <v>#REF!</v>
      </c>
      <c r="H14" s="1100" t="s">
        <v>4</v>
      </c>
      <c r="I14" s="1038" t="e">
        <f>I12+I13</f>
        <v>#REF!</v>
      </c>
      <c r="J14" s="1100" t="s">
        <v>4</v>
      </c>
      <c r="K14" s="1038" t="e">
        <f>K12+K13</f>
        <v>#REF!</v>
      </c>
      <c r="L14" s="1100" t="s">
        <v>4</v>
      </c>
      <c r="M14" s="1038" t="e">
        <f>M12+M13</f>
        <v>#REF!</v>
      </c>
      <c r="N14" s="1100" t="s">
        <v>4</v>
      </c>
      <c r="Q14" s="614"/>
      <c r="R14" s="614"/>
      <c r="S14" s="614"/>
      <c r="T14" s="614"/>
      <c r="U14" s="614"/>
      <c r="V14" s="614"/>
      <c r="W14" s="614"/>
      <c r="X14" s="614"/>
      <c r="Y14" s="614"/>
      <c r="Z14" s="614"/>
      <c r="AA14" s="614"/>
      <c r="AB14" s="614"/>
      <c r="AC14" s="614"/>
      <c r="AD14" s="614"/>
      <c r="AE14" s="614"/>
      <c r="AF14" s="614"/>
      <c r="AG14" s="614"/>
      <c r="AH14" s="614"/>
      <c r="AI14" s="614"/>
      <c r="AJ14" s="614"/>
      <c r="AK14" s="614"/>
      <c r="AL14" s="614"/>
      <c r="AM14" s="614"/>
      <c r="AN14" s="614"/>
      <c r="AO14" s="614"/>
      <c r="AP14" s="614"/>
      <c r="AQ14" s="614"/>
      <c r="AR14" s="614"/>
    </row>
    <row r="15" spans="1:44" s="9" customFormat="1" ht="24" customHeight="1">
      <c r="A15" s="5190" t="s">
        <v>26</v>
      </c>
      <c r="B15" s="4585" t="s">
        <v>703</v>
      </c>
      <c r="C15" s="5191"/>
      <c r="D15" s="4213" t="s">
        <v>35</v>
      </c>
      <c r="E15" s="4213" t="s">
        <v>34</v>
      </c>
      <c r="F15" s="182" t="s">
        <v>0</v>
      </c>
      <c r="G15" s="1082" t="s">
        <v>4</v>
      </c>
      <c r="H15" s="378" t="e">
        <f>CEILING('Полотна база'!#REF!*(1+скидки_наценки!$B$29)*скидки_наценки!$D$13*скидки_наценки!$F$13/скидки_наценки!$B$4, 50)</f>
        <v>#REF!</v>
      </c>
      <c r="I15" s="1082" t="s">
        <v>4</v>
      </c>
      <c r="J15" s="378" t="e">
        <f>H15</f>
        <v>#REF!</v>
      </c>
      <c r="K15" s="1082" t="s">
        <v>4</v>
      </c>
      <c r="L15" s="378" t="e">
        <f>H15</f>
        <v>#REF!</v>
      </c>
      <c r="M15" s="1082" t="s">
        <v>4</v>
      </c>
      <c r="N15" s="378" t="e">
        <f>H15</f>
        <v>#REF!</v>
      </c>
      <c r="Q15" s="614"/>
      <c r="R15" s="614"/>
      <c r="S15" s="614"/>
      <c r="T15" s="614"/>
      <c r="U15" s="614"/>
      <c r="V15" s="614"/>
      <c r="W15" s="614"/>
      <c r="X15" s="614"/>
      <c r="Y15" s="614"/>
      <c r="Z15" s="614"/>
      <c r="AA15" s="614"/>
      <c r="AB15" s="614"/>
      <c r="AC15" s="614"/>
      <c r="AD15" s="614"/>
      <c r="AE15" s="614"/>
      <c r="AF15" s="614"/>
      <c r="AG15" s="614"/>
      <c r="AH15" s="614"/>
      <c r="AI15" s="614"/>
      <c r="AJ15" s="614"/>
      <c r="AK15" s="614"/>
      <c r="AL15" s="614"/>
      <c r="AM15" s="614"/>
      <c r="AN15" s="614"/>
      <c r="AO15" s="614"/>
      <c r="AP15" s="614"/>
      <c r="AQ15" s="614"/>
      <c r="AR15" s="614"/>
    </row>
    <row r="16" spans="1:44" s="9" customFormat="1" ht="15" customHeight="1">
      <c r="A16" s="5190"/>
      <c r="B16" s="5192"/>
      <c r="C16" s="5193"/>
      <c r="D16" s="4214"/>
      <c r="E16" s="4214"/>
      <c r="F16" s="183" t="s">
        <v>306</v>
      </c>
      <c r="G16" s="374" t="s">
        <v>4</v>
      </c>
      <c r="H16" s="374" t="e">
        <f>IF(H15=0,0,(Погонаж!$C$14*2.5+Погонаж!$E$14*5))</f>
        <v>#REF!</v>
      </c>
      <c r="I16" s="374" t="s">
        <v>4</v>
      </c>
      <c r="J16" s="374" t="e">
        <f>IF(J15=0,0,(Погонаж!$C$14*2.5+Погонаж!$E$14*5))</f>
        <v>#REF!</v>
      </c>
      <c r="K16" s="374" t="s">
        <v>4</v>
      </c>
      <c r="L16" s="374" t="e">
        <f>IF(L15=0,0,(Погонаж!$C$14*2.5+Погонаж!$E$14*5))</f>
        <v>#REF!</v>
      </c>
      <c r="M16" s="374" t="s">
        <v>4</v>
      </c>
      <c r="N16" s="374" t="e">
        <f>IF(N15=0,0,(Погонаж!$C$14*2.5+Погонаж!$E$14*5))</f>
        <v>#REF!</v>
      </c>
      <c r="Q16" s="614"/>
      <c r="R16" s="614"/>
      <c r="S16" s="614"/>
      <c r="T16" s="614"/>
      <c r="U16" s="614"/>
      <c r="V16" s="614"/>
      <c r="W16" s="614"/>
      <c r="X16" s="614"/>
      <c r="Y16" s="614"/>
      <c r="Z16" s="614"/>
      <c r="AA16" s="614"/>
      <c r="AB16" s="614"/>
      <c r="AC16" s="614"/>
      <c r="AD16" s="614"/>
      <c r="AE16" s="614"/>
      <c r="AF16" s="614"/>
      <c r="AG16" s="614"/>
      <c r="AH16" s="614"/>
      <c r="AI16" s="614"/>
      <c r="AJ16" s="614"/>
      <c r="AK16" s="614"/>
      <c r="AL16" s="614"/>
      <c r="AM16" s="614"/>
      <c r="AN16" s="614"/>
      <c r="AO16" s="614"/>
      <c r="AP16" s="614"/>
      <c r="AQ16" s="614"/>
      <c r="AR16" s="614"/>
    </row>
    <row r="17" spans="1:44" s="9" customFormat="1" ht="24" customHeight="1">
      <c r="A17" s="5190"/>
      <c r="B17" s="5194"/>
      <c r="C17" s="5195"/>
      <c r="D17" s="4215"/>
      <c r="E17" s="4215"/>
      <c r="F17" s="267" t="s">
        <v>1</v>
      </c>
      <c r="G17" s="1099" t="s">
        <v>4</v>
      </c>
      <c r="H17" s="690" t="e">
        <f>H15+H16</f>
        <v>#REF!</v>
      </c>
      <c r="I17" s="1099" t="s">
        <v>4</v>
      </c>
      <c r="J17" s="690" t="e">
        <f>J15+J16</f>
        <v>#REF!</v>
      </c>
      <c r="K17" s="1099" t="s">
        <v>4</v>
      </c>
      <c r="L17" s="690" t="e">
        <f>L15+L16</f>
        <v>#REF!</v>
      </c>
      <c r="M17" s="1099" t="s">
        <v>4</v>
      </c>
      <c r="N17" s="690" t="e">
        <f>N15+N16</f>
        <v>#REF!</v>
      </c>
      <c r="Q17" s="614"/>
      <c r="R17" s="614"/>
      <c r="S17" s="614"/>
      <c r="T17" s="1084"/>
      <c r="U17" s="614"/>
      <c r="V17" s="614"/>
      <c r="W17" s="614"/>
      <c r="X17" s="614"/>
      <c r="Y17" s="614"/>
      <c r="Z17" s="614"/>
      <c r="AA17" s="614"/>
      <c r="AB17" s="614"/>
      <c r="AC17" s="614"/>
      <c r="AD17" s="614"/>
      <c r="AE17" s="614"/>
      <c r="AF17" s="614"/>
      <c r="AG17" s="614"/>
      <c r="AH17" s="614"/>
      <c r="AI17" s="614"/>
      <c r="AJ17" s="614"/>
      <c r="AK17" s="614"/>
      <c r="AL17" s="614"/>
      <c r="AM17" s="614"/>
      <c r="AN17" s="614"/>
      <c r="AO17" s="614"/>
      <c r="AP17" s="614"/>
      <c r="AQ17" s="614"/>
      <c r="AR17" s="614"/>
    </row>
    <row r="18" spans="1:44" s="443" customFormat="1" ht="24" customHeight="1">
      <c r="A18" s="5190"/>
      <c r="B18" s="5196" t="s">
        <v>704</v>
      </c>
      <c r="C18" s="5196"/>
      <c r="D18" s="4203" t="s">
        <v>35</v>
      </c>
      <c r="E18" s="4203" t="s">
        <v>34</v>
      </c>
      <c r="F18" s="132" t="s">
        <v>0</v>
      </c>
      <c r="G18" s="1036" t="s">
        <v>4</v>
      </c>
      <c r="H18" s="1036" t="e">
        <f>CEILING('Полотна база'!#REF!*(1+скидки_наценки!$B$29)*скидки_наценки!$D$13*скидки_наценки!$F$13/скидки_наценки!$B$4,50)</f>
        <v>#REF!</v>
      </c>
      <c r="I18" s="1036"/>
      <c r="J18" s="1036" t="e">
        <f>H18</f>
        <v>#REF!</v>
      </c>
      <c r="K18" s="1036" t="s">
        <v>4</v>
      </c>
      <c r="L18" s="1036" t="e">
        <f>H18</f>
        <v>#REF!</v>
      </c>
      <c r="M18" s="1036" t="s">
        <v>4</v>
      </c>
      <c r="N18" s="1036" t="e">
        <f>H18</f>
        <v>#REF!</v>
      </c>
      <c r="Q18" s="614"/>
      <c r="R18" s="614"/>
      <c r="S18" s="614"/>
      <c r="T18" s="1085"/>
      <c r="U18" s="614"/>
      <c r="V18" s="614"/>
      <c r="W18" s="614"/>
      <c r="X18" s="614"/>
      <c r="Y18" s="614"/>
      <c r="Z18" s="614"/>
      <c r="AA18" s="614"/>
      <c r="AB18" s="614"/>
      <c r="AC18" s="614"/>
      <c r="AD18" s="614"/>
      <c r="AE18" s="614"/>
      <c r="AF18" s="614"/>
      <c r="AG18" s="614"/>
      <c r="AH18" s="614"/>
      <c r="AI18" s="614"/>
      <c r="AJ18" s="614"/>
      <c r="AK18" s="614"/>
      <c r="AL18" s="614"/>
      <c r="AM18" s="614"/>
      <c r="AN18" s="614"/>
      <c r="AO18" s="614"/>
      <c r="AP18" s="614"/>
      <c r="AQ18" s="614"/>
      <c r="AR18" s="614"/>
    </row>
    <row r="19" spans="1:44" s="443" customFormat="1" ht="15" customHeight="1">
      <c r="A19" s="5190"/>
      <c r="B19" s="5196"/>
      <c r="C19" s="5196"/>
      <c r="D19" s="4204"/>
      <c r="E19" s="4204"/>
      <c r="F19" s="307" t="s">
        <v>306</v>
      </c>
      <c r="G19" s="1037" t="s">
        <v>4</v>
      </c>
      <c r="H19" s="1037" t="e">
        <f>IF(H18=0,0,(Погонаж!#REF!*2.5+Погонаж!#REF!*5))</f>
        <v>#REF!</v>
      </c>
      <c r="I19" s="1037"/>
      <c r="J19" s="1037" t="e">
        <f>IF(J18=0,0,(Погонаж!#REF!*2.5+Погонаж!#REF!*5))</f>
        <v>#REF!</v>
      </c>
      <c r="K19" s="1037" t="s">
        <v>4</v>
      </c>
      <c r="L19" s="1037" t="e">
        <f>IF(L18=0,0,(Погонаж!#REF!*2.5+Погонаж!#REF!*5))</f>
        <v>#REF!</v>
      </c>
      <c r="M19" s="1037" t="s">
        <v>4</v>
      </c>
      <c r="N19" s="1037" t="e">
        <f>IF(N18=0,0,(Погонаж!#REF!*2.5+Погонаж!#REF!*5))</f>
        <v>#REF!</v>
      </c>
      <c r="Q19" s="614"/>
      <c r="R19" s="614"/>
      <c r="S19" s="614"/>
      <c r="T19" s="1086"/>
      <c r="U19" s="614"/>
      <c r="V19" s="614"/>
      <c r="W19" s="614"/>
      <c r="X19" s="614"/>
      <c r="Y19" s="614"/>
      <c r="Z19" s="614"/>
      <c r="AA19" s="614"/>
      <c r="AB19" s="614"/>
      <c r="AC19" s="614"/>
      <c r="AD19" s="614"/>
      <c r="AE19" s="614"/>
      <c r="AF19" s="614"/>
      <c r="AG19" s="614"/>
      <c r="AH19" s="614"/>
      <c r="AI19" s="614"/>
      <c r="AJ19" s="614"/>
      <c r="AK19" s="614"/>
      <c r="AL19" s="614"/>
      <c r="AM19" s="614"/>
      <c r="AN19" s="614"/>
      <c r="AO19" s="614"/>
      <c r="AP19" s="614"/>
      <c r="AQ19" s="614"/>
      <c r="AR19" s="614"/>
    </row>
    <row r="20" spans="1:44" s="443" customFormat="1" ht="24" customHeight="1">
      <c r="A20" s="5190"/>
      <c r="B20" s="5196"/>
      <c r="C20" s="5196"/>
      <c r="D20" s="4205"/>
      <c r="E20" s="4205"/>
      <c r="F20" s="30" t="s">
        <v>1</v>
      </c>
      <c r="G20" s="1100" t="s">
        <v>4</v>
      </c>
      <c r="H20" s="1038" t="e">
        <f>H18+H19</f>
        <v>#REF!</v>
      </c>
      <c r="I20" s="1038"/>
      <c r="J20" s="1038" t="e">
        <f>J18+J19</f>
        <v>#REF!</v>
      </c>
      <c r="K20" s="1100" t="s">
        <v>4</v>
      </c>
      <c r="L20" s="1038" t="e">
        <f>L18+L19</f>
        <v>#REF!</v>
      </c>
      <c r="M20" s="1100" t="s">
        <v>4</v>
      </c>
      <c r="N20" s="1038" t="e">
        <f>N18+N19</f>
        <v>#REF!</v>
      </c>
      <c r="Q20" s="614"/>
      <c r="R20" s="614"/>
      <c r="S20" s="614"/>
      <c r="T20" s="614"/>
      <c r="U20" s="614"/>
      <c r="V20" s="614"/>
      <c r="W20" s="614"/>
      <c r="X20" s="614"/>
      <c r="Y20" s="614"/>
      <c r="Z20" s="614"/>
      <c r="AA20" s="614"/>
      <c r="AB20" s="614"/>
      <c r="AC20" s="614"/>
      <c r="AD20" s="614"/>
      <c r="AE20" s="614"/>
      <c r="AF20" s="614"/>
      <c r="AG20" s="614"/>
      <c r="AH20" s="614"/>
      <c r="AI20" s="614"/>
      <c r="AJ20" s="614"/>
      <c r="AK20" s="614"/>
      <c r="AL20" s="614"/>
      <c r="AM20" s="614"/>
      <c r="AN20" s="614"/>
      <c r="AO20" s="614"/>
      <c r="AP20" s="614"/>
      <c r="AQ20" s="614"/>
      <c r="AR20" s="614"/>
    </row>
    <row r="21" spans="1:44" s="9" customFormat="1" ht="24" customHeight="1">
      <c r="A21" s="5190"/>
      <c r="B21" s="4585" t="s">
        <v>435</v>
      </c>
      <c r="C21" s="4586"/>
      <c r="D21" s="4213" t="s">
        <v>35</v>
      </c>
      <c r="E21" s="4213" t="s">
        <v>34</v>
      </c>
      <c r="F21" s="182" t="s">
        <v>0</v>
      </c>
      <c r="G21" s="1082" t="s">
        <v>4</v>
      </c>
      <c r="H21" s="378" t="e">
        <f>CEILING('Полотна база'!#REF!*(1+скидки_наценки!$B$30)*скидки_наценки!$D$13*скидки_наценки!$F$13/скидки_наценки!$B$4, 50)</f>
        <v>#REF!</v>
      </c>
      <c r="I21" s="1082" t="s">
        <v>4</v>
      </c>
      <c r="J21" s="378" t="e">
        <f>H21</f>
        <v>#REF!</v>
      </c>
      <c r="K21" s="1082" t="s">
        <v>4</v>
      </c>
      <c r="L21" s="378" t="e">
        <f>H21</f>
        <v>#REF!</v>
      </c>
      <c r="M21" s="1082" t="s">
        <v>4</v>
      </c>
      <c r="N21" s="378" t="e">
        <f>H21</f>
        <v>#REF!</v>
      </c>
      <c r="Q21" s="614"/>
      <c r="R21" s="614"/>
      <c r="S21" s="614"/>
      <c r="T21" s="614"/>
      <c r="U21" s="614"/>
      <c r="V21" s="614"/>
      <c r="W21" s="614"/>
      <c r="X21" s="614"/>
      <c r="Y21" s="614"/>
      <c r="Z21" s="614"/>
      <c r="AA21" s="614"/>
      <c r="AB21" s="614"/>
      <c r="AC21" s="614"/>
      <c r="AD21" s="614"/>
      <c r="AE21" s="614"/>
      <c r="AF21" s="614"/>
      <c r="AG21" s="614"/>
      <c r="AH21" s="614"/>
      <c r="AI21" s="614"/>
      <c r="AJ21" s="614"/>
      <c r="AK21" s="614"/>
      <c r="AL21" s="614"/>
      <c r="AM21" s="614"/>
      <c r="AN21" s="614"/>
      <c r="AO21" s="614"/>
      <c r="AP21" s="614"/>
      <c r="AQ21" s="614"/>
      <c r="AR21" s="614"/>
    </row>
    <row r="22" spans="1:44" s="9" customFormat="1" ht="15" customHeight="1">
      <c r="A22" s="5190"/>
      <c r="B22" s="5197"/>
      <c r="C22" s="5198"/>
      <c r="D22" s="4214"/>
      <c r="E22" s="4214"/>
      <c r="F22" s="183" t="s">
        <v>306</v>
      </c>
      <c r="G22" s="374" t="s">
        <v>4</v>
      </c>
      <c r="H22" s="374" t="e">
        <f>IF(H21=0,0,(Погонаж!$C$15*2.5+Погонаж!$E$15*5))</f>
        <v>#REF!</v>
      </c>
      <c r="I22" s="374" t="s">
        <v>4</v>
      </c>
      <c r="J22" s="374" t="e">
        <f>IF(J21=0,0,(Погонаж!$C$15*2.5+Погонаж!$E$15*5))</f>
        <v>#REF!</v>
      </c>
      <c r="K22" s="374" t="s">
        <v>4</v>
      </c>
      <c r="L22" s="374" t="e">
        <f>IF(L21=0,0,(Погонаж!$C$15*2.5+Погонаж!$E$15*5))</f>
        <v>#REF!</v>
      </c>
      <c r="M22" s="374" t="s">
        <v>4</v>
      </c>
      <c r="N22" s="374" t="e">
        <f>IF(N21=0,0,(Погонаж!$C$15*2.5+Погонаж!$E$15*5))</f>
        <v>#REF!</v>
      </c>
      <c r="Q22" s="614"/>
      <c r="R22" s="614"/>
      <c r="S22" s="614"/>
      <c r="T22" s="614"/>
      <c r="U22" s="614"/>
      <c r="V22" s="614"/>
      <c r="W22" s="614"/>
      <c r="X22" s="614"/>
      <c r="Y22" s="614"/>
      <c r="Z22" s="614"/>
      <c r="AA22" s="614"/>
      <c r="AB22" s="614"/>
      <c r="AC22" s="614"/>
      <c r="AD22" s="614"/>
      <c r="AE22" s="614"/>
      <c r="AF22" s="614"/>
      <c r="AG22" s="614"/>
      <c r="AH22" s="614"/>
      <c r="AI22" s="614"/>
      <c r="AJ22" s="614"/>
      <c r="AK22" s="614"/>
      <c r="AL22" s="614"/>
      <c r="AM22" s="614"/>
      <c r="AN22" s="614"/>
      <c r="AO22" s="614"/>
      <c r="AP22" s="614"/>
      <c r="AQ22" s="614"/>
      <c r="AR22" s="614"/>
    </row>
    <row r="23" spans="1:44" s="9" customFormat="1" ht="24" customHeight="1">
      <c r="A23" s="5190"/>
      <c r="B23" s="5199"/>
      <c r="C23" s="5200"/>
      <c r="D23" s="4215"/>
      <c r="E23" s="4215"/>
      <c r="F23" s="267" t="s">
        <v>1</v>
      </c>
      <c r="G23" s="1099" t="s">
        <v>4</v>
      </c>
      <c r="H23" s="690" t="e">
        <f>H21+H22</f>
        <v>#REF!</v>
      </c>
      <c r="I23" s="1099" t="s">
        <v>4</v>
      </c>
      <c r="J23" s="690" t="e">
        <f>J21+J22</f>
        <v>#REF!</v>
      </c>
      <c r="K23" s="1099" t="s">
        <v>4</v>
      </c>
      <c r="L23" s="690" t="e">
        <f>L21+L22</f>
        <v>#REF!</v>
      </c>
      <c r="M23" s="1099" t="s">
        <v>4</v>
      </c>
      <c r="N23" s="690" t="e">
        <f>N21+N22</f>
        <v>#REF!</v>
      </c>
      <c r="Q23" s="614"/>
      <c r="R23" s="614"/>
      <c r="S23" s="614"/>
      <c r="T23" s="614"/>
      <c r="U23" s="614"/>
      <c r="V23" s="614"/>
      <c r="W23" s="614"/>
      <c r="X23" s="614"/>
      <c r="Y23" s="614"/>
      <c r="Z23" s="614"/>
      <c r="AA23" s="614"/>
      <c r="AB23" s="614"/>
      <c r="AC23" s="614"/>
      <c r="AD23" s="614"/>
      <c r="AE23" s="614"/>
      <c r="AF23" s="614"/>
      <c r="AG23" s="614"/>
      <c r="AH23" s="614"/>
      <c r="AI23" s="614"/>
      <c r="AJ23" s="614"/>
      <c r="AK23" s="614"/>
      <c r="AL23" s="614"/>
      <c r="AM23" s="614"/>
      <c r="AN23" s="614"/>
      <c r="AO23" s="614"/>
      <c r="AP23" s="614"/>
      <c r="AQ23" s="614"/>
      <c r="AR23" s="614"/>
    </row>
    <row r="24" spans="1:44" s="24" customFormat="1" ht="12" customHeight="1">
      <c r="B24" s="196"/>
      <c r="C24" s="199"/>
      <c r="D24" s="199"/>
      <c r="E24" s="199"/>
      <c r="F24" s="20"/>
      <c r="G24" s="20"/>
      <c r="H24" s="20"/>
      <c r="I24" s="20"/>
      <c r="N24" s="40"/>
      <c r="Q24" s="614"/>
      <c r="R24" s="614"/>
      <c r="S24" s="614"/>
      <c r="T24" s="614"/>
      <c r="U24" s="614"/>
      <c r="V24" s="614"/>
      <c r="W24" s="614"/>
      <c r="X24" s="614"/>
      <c r="Y24" s="614"/>
      <c r="Z24" s="614"/>
      <c r="AA24" s="614"/>
      <c r="AB24" s="614"/>
      <c r="AC24" s="614"/>
      <c r="AD24" s="614"/>
      <c r="AE24" s="614"/>
      <c r="AF24" s="614"/>
      <c r="AG24" s="614"/>
      <c r="AH24" s="614"/>
      <c r="AI24" s="614"/>
      <c r="AJ24" s="614"/>
      <c r="AK24" s="614"/>
      <c r="AL24" s="614"/>
      <c r="AM24" s="614"/>
      <c r="AN24" s="614"/>
      <c r="AO24" s="614"/>
      <c r="AP24" s="614"/>
      <c r="AQ24" s="614"/>
      <c r="AR24" s="614"/>
    </row>
    <row r="25" spans="1:44" s="24" customFormat="1" ht="18" customHeight="1">
      <c r="B25" s="196"/>
      <c r="C25" s="52"/>
      <c r="D25" s="52"/>
      <c r="E25" s="52"/>
      <c r="G25" s="66"/>
      <c r="H25" s="66"/>
      <c r="I25" s="66"/>
      <c r="J25" s="66"/>
      <c r="Q25" s="614"/>
      <c r="R25" s="614"/>
      <c r="S25" s="614"/>
      <c r="T25" s="614"/>
      <c r="U25" s="614"/>
      <c r="V25" s="614"/>
      <c r="W25" s="614"/>
      <c r="X25" s="614"/>
      <c r="Y25" s="614"/>
      <c r="Z25" s="614"/>
      <c r="AA25" s="614"/>
      <c r="AB25" s="614"/>
      <c r="AC25" s="614"/>
      <c r="AD25" s="614"/>
      <c r="AE25" s="614"/>
      <c r="AF25" s="614"/>
      <c r="AG25" s="614"/>
      <c r="AH25" s="614"/>
      <c r="AI25" s="614"/>
      <c r="AJ25" s="614"/>
      <c r="AK25" s="614"/>
      <c r="AL25" s="614"/>
      <c r="AM25" s="614"/>
      <c r="AN25" s="614"/>
      <c r="AO25" s="614"/>
      <c r="AP25" s="614"/>
      <c r="AQ25" s="614"/>
      <c r="AR25" s="614"/>
    </row>
    <row r="26" spans="1:44" ht="15" customHeight="1">
      <c r="A26" s="1018"/>
      <c r="B26" s="19" t="s">
        <v>298</v>
      </c>
      <c r="C26" s="1018"/>
      <c r="D26" s="1018"/>
      <c r="E26" s="1018"/>
      <c r="F26" s="589"/>
      <c r="M26" s="1018"/>
      <c r="N26" s="1018"/>
      <c r="P26" s="242"/>
      <c r="Q26" s="242"/>
      <c r="R26" s="242"/>
      <c r="S26" s="242"/>
      <c r="T26" s="242"/>
      <c r="U26" s="242"/>
      <c r="V26" s="242"/>
      <c r="W26" s="242"/>
      <c r="X26" s="242"/>
      <c r="Y26" s="242"/>
      <c r="Z26" s="242"/>
      <c r="AA26" s="242"/>
      <c r="AB26" s="242"/>
      <c r="AC26" s="242"/>
      <c r="AD26" s="242"/>
      <c r="AE26" s="242"/>
      <c r="AF26" s="242"/>
      <c r="AG26" s="242"/>
      <c r="AH26" s="242"/>
      <c r="AI26" s="242"/>
      <c r="AJ26" s="242"/>
      <c r="AK26" s="242"/>
      <c r="AL26" s="242"/>
      <c r="AM26" s="242"/>
      <c r="AN26" s="242"/>
      <c r="AO26" s="242"/>
      <c r="AP26" s="242"/>
      <c r="AQ26" s="242"/>
    </row>
    <row r="27" spans="1:44" ht="15" customHeight="1">
      <c r="A27" s="5201" t="s">
        <v>299</v>
      </c>
      <c r="B27" s="5201"/>
      <c r="C27" s="5201"/>
      <c r="D27" s="5201"/>
      <c r="E27" s="5201"/>
      <c r="F27" s="5205" t="s">
        <v>296</v>
      </c>
      <c r="G27" s="5206"/>
      <c r="H27" s="5206"/>
      <c r="I27" s="1022" t="s">
        <v>1322</v>
      </c>
      <c r="J27" s="5201" t="s">
        <v>297</v>
      </c>
      <c r="K27" s="5201"/>
      <c r="L27" s="5201"/>
      <c r="M27" s="289"/>
      <c r="N27" s="289"/>
      <c r="O27" s="242"/>
      <c r="P27" s="242"/>
      <c r="Q27" s="242"/>
      <c r="R27" s="242"/>
      <c r="S27" s="242"/>
      <c r="T27" s="242"/>
      <c r="U27" s="242"/>
      <c r="V27" s="242"/>
      <c r="W27" s="242"/>
      <c r="X27" s="242"/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</row>
    <row r="28" spans="1:44" s="1030" customFormat="1" ht="60" customHeight="1">
      <c r="A28" s="5204" t="e">
        <f>#REF!</f>
        <v>#REF!</v>
      </c>
      <c r="B28" s="5204"/>
      <c r="C28" s="5204"/>
      <c r="D28" s="5204" t="e">
        <f>#REF!</f>
        <v>#REF!</v>
      </c>
      <c r="E28" s="5204"/>
      <c r="F28" s="1025" t="s">
        <v>486</v>
      </c>
      <c r="G28" s="1025" t="s">
        <v>487</v>
      </c>
      <c r="H28" s="1026" t="s">
        <v>31</v>
      </c>
      <c r="I28" s="1024" t="s">
        <v>1320</v>
      </c>
      <c r="J28" s="1042" t="s">
        <v>1325</v>
      </c>
      <c r="K28" s="1027" t="s">
        <v>1323</v>
      </c>
      <c r="L28" s="1028" t="s">
        <v>1319</v>
      </c>
      <c r="M28" s="289"/>
      <c r="N28" s="289"/>
      <c r="O28" s="1029"/>
      <c r="P28" s="1029"/>
      <c r="Q28" s="1029"/>
      <c r="R28" s="1029"/>
      <c r="S28" s="1029"/>
      <c r="T28" s="1029"/>
      <c r="U28" s="1029"/>
      <c r="V28" s="1029"/>
      <c r="W28" s="1029"/>
      <c r="X28" s="1029"/>
      <c r="Y28" s="1029"/>
      <c r="Z28" s="1029"/>
      <c r="AA28" s="1029"/>
      <c r="AB28" s="1029"/>
      <c r="AC28" s="1029"/>
      <c r="AD28" s="1029"/>
      <c r="AE28" s="1029"/>
      <c r="AF28" s="1029"/>
      <c r="AG28" s="1029"/>
      <c r="AH28" s="1029"/>
      <c r="AI28" s="1029"/>
      <c r="AJ28" s="1029"/>
      <c r="AK28" s="1029"/>
      <c r="AL28" s="1029"/>
    </row>
    <row r="29" spans="1:44" s="210" customFormat="1" ht="30" customHeight="1">
      <c r="A29" s="5202" t="e">
        <f>#REF!</f>
        <v>#REF!</v>
      </c>
      <c r="B29" s="5202"/>
      <c r="C29" s="5202"/>
      <c r="D29" s="5202" t="e">
        <f>#REF!</f>
        <v>#REF!</v>
      </c>
      <c r="E29" s="5202"/>
      <c r="F29" s="1063" t="s">
        <v>4</v>
      </c>
      <c r="G29" s="1063" t="s">
        <v>4</v>
      </c>
      <c r="H29" s="1063" t="s">
        <v>4</v>
      </c>
      <c r="I29" s="1087" t="s">
        <v>1321</v>
      </c>
      <c r="J29" s="1087" t="s">
        <v>1321</v>
      </c>
      <c r="K29" s="1087" t="s">
        <v>1321</v>
      </c>
      <c r="L29" s="1040" t="s">
        <v>1321</v>
      </c>
      <c r="M29" s="289"/>
      <c r="N29" s="289"/>
      <c r="O29" s="1032"/>
      <c r="P29" s="1032"/>
      <c r="Q29" s="1032"/>
      <c r="R29" s="1032"/>
      <c r="S29" s="1032"/>
      <c r="T29" s="1032"/>
      <c r="U29" s="1032"/>
      <c r="V29" s="1032"/>
      <c r="W29" s="1032"/>
      <c r="X29" s="1032"/>
      <c r="Y29" s="1032"/>
      <c r="Z29" s="1032"/>
      <c r="AA29" s="1032"/>
      <c r="AB29" s="1032"/>
      <c r="AC29" s="1032"/>
      <c r="AD29" s="1032"/>
      <c r="AE29" s="1032"/>
      <c r="AF29" s="1032"/>
      <c r="AG29" s="1032"/>
      <c r="AH29" s="1032"/>
      <c r="AI29" s="1032"/>
      <c r="AJ29" s="1032"/>
      <c r="AK29" s="1032"/>
      <c r="AL29" s="1032"/>
    </row>
    <row r="30" spans="1:44" ht="15" customHeight="1">
      <c r="F30" s="589"/>
      <c r="Q30" s="614"/>
      <c r="R30" s="614"/>
      <c r="S30" s="614"/>
      <c r="T30" s="614"/>
      <c r="U30" s="614"/>
      <c r="V30" s="614"/>
      <c r="W30" s="614"/>
      <c r="X30" s="614"/>
      <c r="Y30" s="614"/>
      <c r="Z30" s="614"/>
      <c r="AA30" s="614"/>
      <c r="AB30" s="614"/>
      <c r="AC30" s="614"/>
      <c r="AD30" s="614"/>
      <c r="AE30" s="614"/>
      <c r="AF30" s="614"/>
      <c r="AG30" s="614"/>
      <c r="AH30" s="614"/>
      <c r="AI30" s="614"/>
      <c r="AJ30" s="614"/>
      <c r="AK30" s="614"/>
      <c r="AL30" s="614"/>
      <c r="AM30" s="614"/>
      <c r="AN30" s="614"/>
      <c r="AO30" s="614"/>
      <c r="AP30" s="614"/>
      <c r="AQ30" s="614"/>
      <c r="AR30" s="614"/>
    </row>
    <row r="31" spans="1:44" s="24" customFormat="1" ht="18" customHeight="1">
      <c r="B31" s="196"/>
      <c r="C31" s="52"/>
      <c r="D31" s="52"/>
      <c r="E31" s="52"/>
      <c r="G31" s="66"/>
      <c r="H31" s="66"/>
      <c r="I31" s="66"/>
      <c r="J31" s="66"/>
      <c r="Q31" s="614"/>
      <c r="R31" s="614"/>
      <c r="S31" s="614"/>
      <c r="T31" s="614"/>
      <c r="U31" s="614"/>
      <c r="V31" s="614"/>
      <c r="W31" s="614"/>
      <c r="X31" s="614"/>
      <c r="Y31" s="614"/>
      <c r="Z31" s="614"/>
      <c r="AA31" s="614"/>
      <c r="AB31" s="614"/>
      <c r="AC31" s="614"/>
      <c r="AD31" s="614"/>
      <c r="AE31" s="614"/>
      <c r="AF31" s="614"/>
      <c r="AG31" s="614"/>
      <c r="AH31" s="614"/>
      <c r="AI31" s="614"/>
      <c r="AJ31" s="614"/>
      <c r="AK31" s="614"/>
      <c r="AL31" s="614"/>
      <c r="AM31" s="614"/>
      <c r="AN31" s="614"/>
      <c r="AO31" s="614"/>
      <c r="AP31" s="614"/>
      <c r="AQ31" s="614"/>
      <c r="AR31" s="614"/>
    </row>
    <row r="32" spans="1:44" s="24" customFormat="1" ht="18" customHeight="1">
      <c r="B32" s="196"/>
      <c r="C32" s="52"/>
      <c r="D32" s="52"/>
      <c r="E32" s="52"/>
      <c r="G32" s="66"/>
      <c r="H32" s="66"/>
      <c r="I32" s="66"/>
      <c r="J32" s="66"/>
      <c r="Q32" s="614"/>
      <c r="R32" s="614"/>
      <c r="S32" s="614"/>
      <c r="T32" s="614"/>
      <c r="U32" s="614"/>
      <c r="V32" s="614"/>
      <c r="W32" s="614"/>
      <c r="X32" s="614"/>
      <c r="Y32" s="614"/>
      <c r="Z32" s="614"/>
      <c r="AA32" s="614"/>
      <c r="AB32" s="614"/>
      <c r="AC32" s="614"/>
      <c r="AD32" s="614"/>
      <c r="AE32" s="614"/>
      <c r="AF32" s="614"/>
      <c r="AG32" s="614"/>
      <c r="AH32" s="614"/>
      <c r="AI32" s="614"/>
      <c r="AJ32" s="614"/>
      <c r="AK32" s="614"/>
      <c r="AL32" s="614"/>
      <c r="AM32" s="614"/>
      <c r="AN32" s="614"/>
      <c r="AO32" s="614"/>
      <c r="AP32" s="614"/>
      <c r="AQ32" s="614"/>
      <c r="AR32" s="614"/>
    </row>
    <row r="33" spans="1:44" s="24" customFormat="1" ht="18" customHeight="1">
      <c r="B33" s="196"/>
      <c r="C33" s="52"/>
      <c r="D33" s="52"/>
      <c r="E33" s="52"/>
      <c r="G33" s="66"/>
      <c r="H33" s="66"/>
      <c r="I33" s="66"/>
      <c r="J33" s="66"/>
      <c r="Q33" s="614"/>
      <c r="R33" s="614"/>
      <c r="S33" s="614"/>
      <c r="T33" s="614"/>
      <c r="U33" s="614"/>
      <c r="V33" s="614"/>
      <c r="W33" s="614"/>
      <c r="X33" s="614"/>
      <c r="Y33" s="614"/>
      <c r="Z33" s="614"/>
      <c r="AA33" s="614"/>
      <c r="AB33" s="614"/>
      <c r="AC33" s="614"/>
      <c r="AD33" s="614"/>
      <c r="AE33" s="614"/>
      <c r="AF33" s="614"/>
      <c r="AG33" s="614"/>
      <c r="AH33" s="614"/>
      <c r="AI33" s="614"/>
      <c r="AJ33" s="614"/>
      <c r="AK33" s="614"/>
      <c r="AL33" s="614"/>
      <c r="AM33" s="614"/>
      <c r="AN33" s="614"/>
      <c r="AO33" s="614"/>
      <c r="AP33" s="614"/>
      <c r="AQ33" s="614"/>
      <c r="AR33" s="614"/>
    </row>
    <row r="34" spans="1:44" s="24" customFormat="1" ht="18" customHeight="1">
      <c r="B34" s="196"/>
      <c r="C34" s="52"/>
      <c r="D34" s="52"/>
      <c r="E34" s="52"/>
      <c r="G34" s="66"/>
      <c r="H34" s="66"/>
      <c r="I34" s="66"/>
      <c r="J34" s="66"/>
      <c r="Q34" s="614"/>
      <c r="R34" s="614"/>
      <c r="S34" s="614"/>
      <c r="T34" s="614"/>
      <c r="U34" s="614"/>
      <c r="V34" s="614"/>
      <c r="W34" s="614"/>
      <c r="X34" s="614"/>
      <c r="Y34" s="614"/>
      <c r="Z34" s="614"/>
      <c r="AA34" s="614"/>
      <c r="AB34" s="614"/>
      <c r="AC34" s="614"/>
      <c r="AD34" s="614"/>
      <c r="AE34" s="614"/>
      <c r="AF34" s="614"/>
      <c r="AG34" s="614"/>
      <c r="AH34" s="614"/>
      <c r="AI34" s="614"/>
      <c r="AJ34" s="614"/>
      <c r="AK34" s="614"/>
      <c r="AL34" s="614"/>
      <c r="AM34" s="614"/>
      <c r="AN34" s="614"/>
      <c r="AO34" s="614"/>
      <c r="AP34" s="614"/>
      <c r="AQ34" s="614"/>
      <c r="AR34" s="614"/>
    </row>
    <row r="35" spans="1:44" s="24" customFormat="1" ht="18" customHeight="1">
      <c r="B35" s="196"/>
      <c r="C35" s="52"/>
      <c r="D35" s="52"/>
      <c r="E35" s="52"/>
      <c r="G35" s="66"/>
      <c r="H35" s="66"/>
      <c r="I35" s="66"/>
      <c r="J35" s="66"/>
      <c r="N35" s="24" t="s">
        <v>5</v>
      </c>
      <c r="Q35" s="614"/>
      <c r="R35" s="614"/>
      <c r="S35" s="614"/>
      <c r="T35" s="614"/>
      <c r="U35" s="614"/>
      <c r="V35" s="614"/>
      <c r="W35" s="614"/>
      <c r="X35" s="614"/>
      <c r="Y35" s="614"/>
      <c r="Z35" s="614"/>
      <c r="AA35" s="614"/>
      <c r="AB35" s="614"/>
      <c r="AC35" s="614"/>
      <c r="AD35" s="614"/>
      <c r="AE35" s="614"/>
      <c r="AF35" s="614"/>
      <c r="AG35" s="614"/>
      <c r="AH35" s="614"/>
      <c r="AI35" s="614"/>
      <c r="AJ35" s="614"/>
      <c r="AK35" s="614"/>
      <c r="AL35" s="614"/>
      <c r="AM35" s="614"/>
      <c r="AN35" s="614"/>
      <c r="AO35" s="614"/>
      <c r="AP35" s="614"/>
      <c r="AQ35" s="614"/>
      <c r="AR35" s="614"/>
    </row>
    <row r="36" spans="1:44" s="113" customFormat="1" ht="18" customHeight="1">
      <c r="A36" s="117"/>
      <c r="B36" s="118"/>
      <c r="C36" s="114"/>
      <c r="D36" s="114"/>
      <c r="E36" s="118"/>
      <c r="F36" s="118"/>
      <c r="G36" s="118"/>
      <c r="H36" s="118"/>
      <c r="I36" s="118"/>
      <c r="J36" s="118"/>
      <c r="K36" s="118"/>
      <c r="L36" s="118"/>
      <c r="M36" s="118"/>
      <c r="N36" s="201"/>
      <c r="Q36" s="614"/>
      <c r="R36" s="614"/>
      <c r="S36" s="614"/>
      <c r="T36" s="614"/>
      <c r="U36" s="614"/>
      <c r="V36" s="614"/>
      <c r="W36" s="614"/>
      <c r="X36" s="614"/>
      <c r="Y36" s="614"/>
      <c r="Z36" s="614"/>
      <c r="AA36" s="614"/>
      <c r="AB36" s="614"/>
      <c r="AC36" s="614"/>
      <c r="AD36" s="614"/>
      <c r="AE36" s="614"/>
      <c r="AF36" s="614"/>
      <c r="AG36" s="614"/>
      <c r="AH36" s="614"/>
      <c r="AI36" s="614"/>
      <c r="AJ36" s="614"/>
      <c r="AK36" s="614"/>
      <c r="AL36" s="614"/>
      <c r="AM36" s="614"/>
      <c r="AN36" s="614"/>
      <c r="AO36" s="614"/>
      <c r="AP36" s="614"/>
      <c r="AQ36" s="614"/>
      <c r="AR36" s="614"/>
    </row>
    <row r="37" spans="1:44" s="24" customFormat="1" ht="12" customHeight="1">
      <c r="A37" s="1047" t="s">
        <v>28</v>
      </c>
      <c r="C37" s="42"/>
      <c r="D37" s="591"/>
      <c r="E37" s="591"/>
      <c r="F37" s="1047" t="s">
        <v>373</v>
      </c>
      <c r="H37" s="254"/>
      <c r="I37" s="254"/>
      <c r="J37" s="1047" t="s">
        <v>1329</v>
      </c>
      <c r="K37" s="589"/>
      <c r="L37" s="1047" t="s">
        <v>1331</v>
      </c>
      <c r="M37" s="200"/>
      <c r="O37" s="589"/>
      <c r="P37" s="200"/>
      <c r="Q37" s="612"/>
      <c r="R37" s="612"/>
      <c r="S37" s="594"/>
      <c r="T37" s="594"/>
      <c r="U37" s="594"/>
      <c r="V37" s="594"/>
      <c r="W37" s="594"/>
      <c r="X37" s="594"/>
      <c r="Y37" s="594"/>
      <c r="Z37" s="594"/>
      <c r="AA37" s="594"/>
      <c r="AB37" s="594"/>
      <c r="AC37" s="594"/>
      <c r="AD37" s="594"/>
      <c r="AE37" s="594"/>
      <c r="AF37" s="594"/>
      <c r="AG37" s="594"/>
      <c r="AH37" s="594"/>
      <c r="AI37" s="594"/>
      <c r="AJ37" s="594"/>
      <c r="AK37" s="594"/>
      <c r="AL37" s="594"/>
      <c r="AM37" s="594"/>
    </row>
    <row r="38" spans="1:44" s="24" customFormat="1" ht="12" customHeight="1">
      <c r="A38" s="1045" t="s">
        <v>687</v>
      </c>
      <c r="C38" s="42"/>
      <c r="D38" s="41"/>
      <c r="E38" s="41"/>
      <c r="F38" s="1045" t="s">
        <v>488</v>
      </c>
      <c r="J38" s="5203" t="s">
        <v>1330</v>
      </c>
      <c r="K38" s="5203"/>
      <c r="L38" s="5207" t="s">
        <v>1477</v>
      </c>
      <c r="M38" s="5207"/>
      <c r="N38" s="5207"/>
      <c r="O38" s="589"/>
      <c r="P38" s="200"/>
      <c r="Q38" s="612"/>
      <c r="R38" s="612"/>
      <c r="S38" s="594"/>
      <c r="T38" s="594"/>
      <c r="U38" s="594"/>
      <c r="V38" s="594"/>
      <c r="W38" s="594"/>
      <c r="X38" s="594"/>
      <c r="Y38" s="594"/>
      <c r="Z38" s="594"/>
      <c r="AA38" s="594"/>
      <c r="AB38" s="594"/>
      <c r="AC38" s="594"/>
      <c r="AD38" s="594"/>
      <c r="AE38" s="594"/>
      <c r="AF38" s="594"/>
      <c r="AG38" s="594"/>
      <c r="AH38" s="594"/>
      <c r="AI38" s="594"/>
      <c r="AJ38" s="594"/>
      <c r="AK38" s="594"/>
      <c r="AL38" s="594"/>
      <c r="AM38" s="594"/>
    </row>
    <row r="39" spans="1:44" s="24" customFormat="1" ht="12" customHeight="1">
      <c r="A39" s="1045" t="s">
        <v>377</v>
      </c>
      <c r="C39" s="42"/>
      <c r="D39" s="41"/>
      <c r="E39" s="41"/>
      <c r="F39" s="43" t="s">
        <v>1336</v>
      </c>
      <c r="J39" s="5203"/>
      <c r="K39" s="5203"/>
      <c r="L39" s="5207"/>
      <c r="M39" s="5207"/>
      <c r="N39" s="5207"/>
      <c r="O39" s="589"/>
      <c r="P39" s="200"/>
      <c r="Q39" s="612"/>
      <c r="R39" s="612"/>
      <c r="S39" s="594"/>
      <c r="T39" s="594"/>
      <c r="U39" s="594"/>
      <c r="V39" s="594"/>
      <c r="W39" s="594"/>
      <c r="X39" s="594"/>
      <c r="Y39" s="594"/>
      <c r="Z39" s="594"/>
      <c r="AA39" s="594"/>
      <c r="AB39" s="594"/>
      <c r="AC39" s="594"/>
      <c r="AD39" s="594"/>
      <c r="AE39" s="594"/>
      <c r="AF39" s="594"/>
      <c r="AG39" s="594"/>
      <c r="AH39" s="594"/>
      <c r="AI39" s="594"/>
      <c r="AJ39" s="594"/>
      <c r="AK39" s="594"/>
      <c r="AL39" s="594"/>
      <c r="AM39" s="594"/>
    </row>
    <row r="40" spans="1:44" s="113" customFormat="1" ht="12" customHeight="1">
      <c r="A40" s="1045" t="s">
        <v>375</v>
      </c>
      <c r="C40" s="115"/>
      <c r="D40" s="115"/>
      <c r="E40" s="117"/>
      <c r="F40" s="43" t="s">
        <v>1400</v>
      </c>
      <c r="H40" s="117"/>
      <c r="I40" s="117"/>
      <c r="J40" s="5203" t="s">
        <v>1403</v>
      </c>
      <c r="K40" s="5203"/>
      <c r="L40" s="5207"/>
      <c r="M40" s="5207"/>
      <c r="N40" s="5207"/>
      <c r="O40" s="589"/>
      <c r="P40" s="601"/>
      <c r="Q40" s="601"/>
      <c r="R40" s="601"/>
      <c r="S40" s="601"/>
      <c r="T40" s="601"/>
      <c r="U40" s="601"/>
      <c r="V40" s="601"/>
      <c r="W40" s="601"/>
      <c r="X40" s="601"/>
      <c r="Y40" s="601"/>
      <c r="Z40" s="601"/>
      <c r="AA40" s="601"/>
      <c r="AB40" s="601"/>
      <c r="AC40" s="601"/>
      <c r="AD40" s="601"/>
      <c r="AE40" s="601"/>
      <c r="AF40" s="601"/>
      <c r="AG40" s="601"/>
      <c r="AH40" s="601"/>
      <c r="AI40" s="601"/>
      <c r="AJ40" s="601"/>
      <c r="AK40" s="601"/>
      <c r="AL40" s="601"/>
      <c r="AM40" s="601"/>
    </row>
    <row r="41" spans="1:44" s="113" customFormat="1" ht="12" customHeight="1">
      <c r="A41" s="1046" t="s">
        <v>376</v>
      </c>
      <c r="C41" s="116"/>
      <c r="D41" s="116"/>
      <c r="E41" s="116"/>
      <c r="F41" s="43" t="s">
        <v>1332</v>
      </c>
      <c r="H41" s="116"/>
      <c r="I41" s="116"/>
      <c r="J41" s="5203"/>
      <c r="K41" s="5203"/>
      <c r="L41" s="1088"/>
      <c r="M41" s="1088"/>
      <c r="N41" s="1088"/>
      <c r="O41" s="589"/>
      <c r="P41" s="601"/>
      <c r="Q41" s="601"/>
      <c r="R41" s="601"/>
      <c r="S41" s="601"/>
      <c r="T41" s="601"/>
      <c r="U41" s="601"/>
      <c r="V41" s="601"/>
      <c r="W41" s="601"/>
      <c r="X41" s="601"/>
      <c r="Y41" s="601"/>
      <c r="Z41" s="601"/>
      <c r="AA41" s="601"/>
      <c r="AB41" s="601"/>
      <c r="AC41" s="601"/>
      <c r="AD41" s="601"/>
      <c r="AE41" s="601"/>
      <c r="AF41" s="601"/>
      <c r="AG41" s="601"/>
      <c r="AH41" s="601"/>
      <c r="AI41" s="601"/>
      <c r="AJ41" s="601"/>
      <c r="AK41" s="601"/>
      <c r="AL41" s="601"/>
      <c r="AM41" s="601"/>
    </row>
    <row r="42" spans="1:44" ht="12" customHeight="1">
      <c r="C42" s="20"/>
      <c r="D42" s="17"/>
      <c r="E42" s="17"/>
      <c r="F42" s="43" t="s">
        <v>688</v>
      </c>
      <c r="H42" s="17"/>
      <c r="I42" s="17"/>
      <c r="J42" s="5203"/>
      <c r="K42" s="5203"/>
      <c r="L42" s="1088"/>
      <c r="M42" s="1088"/>
      <c r="N42" s="1088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</row>
    <row r="43" spans="1:44" ht="12" customHeight="1">
      <c r="B43" s="195"/>
      <c r="C43" s="11"/>
      <c r="F43" s="43" t="s">
        <v>677</v>
      </c>
      <c r="K43" s="29"/>
      <c r="L43" s="29"/>
      <c r="M43" s="242"/>
      <c r="N43" s="242"/>
      <c r="O43" s="242"/>
      <c r="P43" s="242"/>
      <c r="Q43" s="242"/>
      <c r="R43" s="242"/>
      <c r="S43" s="242"/>
      <c r="T43" s="242"/>
      <c r="U43" s="242"/>
      <c r="V43" s="242"/>
      <c r="W43" s="242"/>
      <c r="X43" s="242"/>
      <c r="Y43" s="242"/>
      <c r="Z43" s="242"/>
      <c r="AA43" s="242"/>
      <c r="AB43" s="242"/>
      <c r="AC43" s="242"/>
      <c r="AD43" s="242"/>
      <c r="AE43" s="242"/>
      <c r="AF43" s="242"/>
      <c r="AG43" s="242"/>
      <c r="AH43" s="242"/>
      <c r="AI43" s="242"/>
      <c r="AJ43" s="242"/>
      <c r="AK43" s="242"/>
      <c r="AL43" s="242"/>
      <c r="AM43" s="242"/>
    </row>
    <row r="44" spans="1:44">
      <c r="Q44" s="614"/>
      <c r="R44" s="614"/>
      <c r="S44" s="614"/>
      <c r="T44" s="614"/>
      <c r="U44" s="614"/>
      <c r="V44" s="614"/>
      <c r="W44" s="614"/>
      <c r="X44" s="614"/>
      <c r="Y44" s="614"/>
      <c r="Z44" s="614"/>
      <c r="AA44" s="614"/>
      <c r="AB44" s="614"/>
      <c r="AC44" s="614"/>
      <c r="AD44" s="614"/>
      <c r="AE44" s="614"/>
      <c r="AF44" s="614"/>
      <c r="AG44" s="614"/>
      <c r="AH44" s="614"/>
      <c r="AI44" s="614"/>
      <c r="AJ44" s="614"/>
      <c r="AK44" s="614"/>
      <c r="AL44" s="614"/>
      <c r="AM44" s="614"/>
      <c r="AN44" s="614"/>
      <c r="AO44" s="614"/>
      <c r="AP44" s="614"/>
      <c r="AQ44" s="614"/>
      <c r="AR44" s="614"/>
    </row>
    <row r="45" spans="1:44" ht="17.25" customHeight="1"/>
    <row r="46" spans="1:44" ht="17.25" customHeight="1"/>
    <row r="50" ht="32.25" customHeight="1"/>
    <row r="56" ht="15" customHeight="1"/>
  </sheetData>
  <mergeCells count="30">
    <mergeCell ref="J27:L27"/>
    <mergeCell ref="A29:C29"/>
    <mergeCell ref="D29:E29"/>
    <mergeCell ref="J38:K39"/>
    <mergeCell ref="J40:K42"/>
    <mergeCell ref="A28:C28"/>
    <mergeCell ref="D28:E28"/>
    <mergeCell ref="A27:E27"/>
    <mergeCell ref="F27:H27"/>
    <mergeCell ref="L38:N40"/>
    <mergeCell ref="A15:A23"/>
    <mergeCell ref="B15:C17"/>
    <mergeCell ref="D15:D17"/>
    <mergeCell ref="E15:E17"/>
    <mergeCell ref="B18:C20"/>
    <mergeCell ref="D18:D20"/>
    <mergeCell ref="E18:E20"/>
    <mergeCell ref="B21:C23"/>
    <mergeCell ref="D21:D23"/>
    <mergeCell ref="E21:E23"/>
    <mergeCell ref="A12:A14"/>
    <mergeCell ref="B12:C12"/>
    <mergeCell ref="D12:D14"/>
    <mergeCell ref="E12:E14"/>
    <mergeCell ref="B13:C14"/>
    <mergeCell ref="B8:E8"/>
    <mergeCell ref="A10:C11"/>
    <mergeCell ref="D10:D11"/>
    <mergeCell ref="E10:E11"/>
    <mergeCell ref="F10:F11"/>
  </mergeCells>
  <conditionalFormatting sqref="E36:M36">
    <cfRule type="cellIs" dxfId="116" priority="3" operator="equal">
      <formula>"нет"</formula>
    </cfRule>
  </conditionalFormatting>
  <conditionalFormatting sqref="E40:E41 H40:I42">
    <cfRule type="cellIs" dxfId="115" priority="1" operator="equal">
      <formula>"нет"</formula>
    </cfRule>
  </conditionalFormatting>
  <hyperlinks>
    <hyperlink ref="B6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29" orientation="landscape" useFirstPageNumber="1" r:id="rId1"/>
  <headerFooter>
    <oddHeader>&amp;L&amp;G&amp;R&amp;14ПРАЙС-ЛИСТ  в 
розничных ценах в рублях РФ (без НДС) от</oddHeader>
    <oddFooter>&amp;L&amp;P&amp;R&amp;G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23">
    <tabColor rgb="FF92D050"/>
  </sheetPr>
  <dimension ref="A1:AT97"/>
  <sheetViews>
    <sheetView view="pageBreakPreview" topLeftCell="A20" zoomScale="85" zoomScaleNormal="100" zoomScaleSheetLayoutView="85" zoomScalePageLayoutView="85" workbookViewId="0">
      <selection activeCell="L71" sqref="L71:N76"/>
    </sheetView>
  </sheetViews>
  <sheetFormatPr defaultColWidth="8.85546875" defaultRowHeight="15"/>
  <cols>
    <col min="1" max="1" width="5.7109375" style="137" customWidth="1"/>
    <col min="2" max="5" width="11.7109375" style="137" customWidth="1"/>
    <col min="6" max="6" width="11.7109375" style="2" customWidth="1"/>
    <col min="7" max="14" width="20.7109375" style="137" customWidth="1"/>
    <col min="15" max="16384" width="8.85546875" style="137"/>
  </cols>
  <sheetData>
    <row r="1" spans="1:46" s="337" customFormat="1" hidden="1">
      <c r="F1" s="2"/>
      <c r="G1" s="362" t="str">
        <f>IFERROR(MATCH(G$10,#REF!,0)-2,"")</f>
        <v/>
      </c>
      <c r="H1" s="362" t="str">
        <f>IFERROR(MATCH(H$10,#REF!,0)-2,"")</f>
        <v/>
      </c>
      <c r="I1" s="362" t="str">
        <f>IFERROR(MATCH(I$10,#REF!,0)-2,"")</f>
        <v/>
      </c>
      <c r="J1" s="362" t="str">
        <f>IFERROR(MATCH(J$10,#REF!,0)-2,"")</f>
        <v/>
      </c>
      <c r="K1" s="362" t="str">
        <f>IFERROR(MATCH(K$10,#REF!,0)-2,"")</f>
        <v/>
      </c>
      <c r="L1" s="362" t="str">
        <f>IFERROR(MATCH(L$10,#REF!,0)-2,"")</f>
        <v/>
      </c>
      <c r="M1" s="362" t="str">
        <f>IFERROR(MATCH(M$10,#REF!,0)-2,"")</f>
        <v/>
      </c>
      <c r="N1" s="362" t="str">
        <f>IFERROR(MATCH(N$10,#REF!,0)-2,"")</f>
        <v/>
      </c>
    </row>
    <row r="2" spans="1:46" ht="18" customHeight="1">
      <c r="A2" s="138"/>
      <c r="B2" s="26"/>
      <c r="C2" s="26"/>
      <c r="D2" s="26"/>
      <c r="E2" s="26"/>
      <c r="F2" s="4"/>
      <c r="G2" s="26"/>
      <c r="H2" s="26"/>
      <c r="I2" s="26"/>
      <c r="J2" s="26"/>
      <c r="K2" s="26"/>
      <c r="L2" s="26"/>
      <c r="M2" s="26"/>
      <c r="N2" s="1181">
        <f>Содержание!$C$1</f>
        <v>0</v>
      </c>
      <c r="R2" s="614"/>
      <c r="S2" s="614"/>
      <c r="T2" s="614"/>
      <c r="U2" s="614"/>
      <c r="V2" s="614"/>
      <c r="W2" s="614"/>
      <c r="X2" s="614"/>
      <c r="Y2" s="614"/>
      <c r="Z2" s="614"/>
      <c r="AA2" s="614"/>
      <c r="AB2" s="614"/>
      <c r="AC2" s="614"/>
      <c r="AD2" s="614"/>
      <c r="AE2" s="614"/>
      <c r="AF2" s="614"/>
      <c r="AG2" s="614"/>
      <c r="AH2" s="614"/>
      <c r="AI2" s="614"/>
      <c r="AJ2" s="614"/>
      <c r="AK2" s="614"/>
      <c r="AL2" s="614"/>
      <c r="AM2" s="614"/>
      <c r="AN2" s="614"/>
      <c r="AO2" s="614"/>
      <c r="AP2" s="614"/>
      <c r="AQ2" s="614"/>
      <c r="AR2" s="614"/>
      <c r="AS2" s="614"/>
      <c r="AT2" s="614"/>
    </row>
    <row r="3" spans="1:46" ht="18" customHeight="1">
      <c r="A3" s="5"/>
      <c r="B3" s="138"/>
      <c r="C3" s="138"/>
      <c r="D3" s="138"/>
      <c r="E3" s="138"/>
      <c r="F3" s="6"/>
      <c r="G3" s="138"/>
      <c r="H3" s="138"/>
      <c r="I3" s="138"/>
      <c r="J3" s="138"/>
      <c r="K3" s="138"/>
      <c r="L3" s="138"/>
      <c r="M3" s="138"/>
      <c r="N3" s="138"/>
      <c r="R3" s="614"/>
      <c r="S3" s="614"/>
      <c r="T3" s="614"/>
      <c r="U3" s="614"/>
      <c r="V3" s="614"/>
      <c r="W3" s="614"/>
      <c r="X3" s="614"/>
      <c r="Y3" s="614"/>
      <c r="Z3" s="614"/>
      <c r="AA3" s="614"/>
      <c r="AB3" s="614"/>
      <c r="AC3" s="614"/>
      <c r="AD3" s="614"/>
      <c r="AE3" s="614"/>
      <c r="AF3" s="614"/>
      <c r="AG3" s="614"/>
      <c r="AH3" s="614"/>
      <c r="AI3" s="614"/>
      <c r="AJ3" s="614"/>
      <c r="AK3" s="614"/>
      <c r="AL3" s="614"/>
      <c r="AM3" s="614"/>
      <c r="AN3" s="614"/>
      <c r="AO3" s="614"/>
      <c r="AP3" s="614"/>
      <c r="AQ3" s="614"/>
      <c r="AR3" s="614"/>
      <c r="AS3" s="614"/>
      <c r="AT3" s="614"/>
    </row>
    <row r="4" spans="1:46" s="283" customFormat="1" ht="18" customHeight="1">
      <c r="A4" s="5"/>
      <c r="B4" s="282"/>
      <c r="C4" s="282"/>
      <c r="D4" s="282"/>
      <c r="E4" s="282"/>
      <c r="F4" s="6"/>
      <c r="G4" s="282"/>
      <c r="H4" s="282"/>
      <c r="I4" s="282"/>
      <c r="J4" s="282"/>
      <c r="K4" s="282"/>
      <c r="L4" s="282"/>
      <c r="M4" s="282"/>
      <c r="N4" s="282"/>
      <c r="R4" s="614"/>
      <c r="S4" s="614"/>
      <c r="T4" s="614"/>
      <c r="U4" s="614"/>
      <c r="V4" s="614"/>
      <c r="W4" s="614"/>
      <c r="X4" s="614"/>
      <c r="Y4" s="614"/>
      <c r="Z4" s="614"/>
      <c r="AA4" s="614"/>
      <c r="AB4" s="614"/>
      <c r="AC4" s="614"/>
      <c r="AD4" s="614"/>
      <c r="AE4" s="614"/>
      <c r="AF4" s="614"/>
      <c r="AG4" s="614"/>
      <c r="AH4" s="614"/>
      <c r="AI4" s="614"/>
      <c r="AJ4" s="614"/>
      <c r="AK4" s="614"/>
      <c r="AL4" s="614"/>
      <c r="AM4" s="614"/>
      <c r="AN4" s="614"/>
      <c r="AO4" s="614"/>
      <c r="AP4" s="614"/>
      <c r="AQ4" s="614"/>
      <c r="AR4" s="614"/>
      <c r="AS4" s="614"/>
      <c r="AT4" s="614"/>
    </row>
    <row r="5" spans="1:46" s="470" customFormat="1" ht="18" customHeight="1">
      <c r="A5" s="469"/>
      <c r="B5" s="26"/>
      <c r="C5" s="26"/>
      <c r="D5" s="26"/>
      <c r="E5" s="26"/>
      <c r="F5" s="473"/>
      <c r="G5" s="471"/>
      <c r="H5" s="471"/>
      <c r="I5" s="471"/>
      <c r="J5" s="471"/>
      <c r="K5" s="471"/>
      <c r="L5" s="471"/>
      <c r="M5" s="471"/>
      <c r="N5" s="471"/>
      <c r="O5" s="471"/>
      <c r="P5" s="471"/>
      <c r="Q5" s="471"/>
      <c r="R5" s="614"/>
      <c r="S5" s="614"/>
      <c r="T5" s="614"/>
      <c r="U5" s="614"/>
      <c r="V5" s="614"/>
      <c r="W5" s="614"/>
      <c r="X5" s="614"/>
      <c r="Y5" s="614"/>
      <c r="Z5" s="614"/>
      <c r="AA5" s="614"/>
      <c r="AB5" s="614"/>
      <c r="AC5" s="614"/>
      <c r="AD5" s="614"/>
      <c r="AE5" s="614"/>
      <c r="AF5" s="614"/>
      <c r="AG5" s="614"/>
      <c r="AH5" s="614"/>
      <c r="AI5" s="614"/>
      <c r="AJ5" s="614"/>
      <c r="AK5" s="614"/>
      <c r="AL5" s="614"/>
      <c r="AM5" s="614"/>
      <c r="AN5" s="614"/>
      <c r="AO5" s="614"/>
      <c r="AP5" s="614"/>
      <c r="AQ5" s="614"/>
      <c r="AR5" s="614"/>
      <c r="AS5" s="614"/>
      <c r="AT5" s="614"/>
    </row>
    <row r="6" spans="1:46" s="470" customFormat="1" ht="18" customHeight="1">
      <c r="A6" s="469"/>
      <c r="B6" s="472" t="s">
        <v>490</v>
      </c>
      <c r="C6" s="26"/>
      <c r="D6" s="26"/>
      <c r="E6" s="26"/>
      <c r="F6" s="4"/>
      <c r="G6" s="471"/>
      <c r="H6" s="471"/>
      <c r="I6" s="471"/>
      <c r="J6" s="471"/>
      <c r="K6" s="471"/>
      <c r="L6" s="471"/>
      <c r="M6" s="471"/>
      <c r="N6" s="471"/>
      <c r="O6" s="471"/>
      <c r="P6" s="471"/>
      <c r="Q6" s="471"/>
      <c r="R6" s="614"/>
      <c r="S6" s="614"/>
      <c r="T6" s="614"/>
      <c r="U6" s="614"/>
      <c r="V6" s="614"/>
      <c r="W6" s="614"/>
      <c r="X6" s="614"/>
      <c r="Y6" s="614"/>
      <c r="Z6" s="614"/>
      <c r="AA6" s="614"/>
      <c r="AB6" s="614"/>
      <c r="AC6" s="614"/>
      <c r="AD6" s="614"/>
      <c r="AE6" s="614"/>
      <c r="AF6" s="614"/>
      <c r="AG6" s="614"/>
      <c r="AH6" s="614"/>
      <c r="AI6" s="614"/>
      <c r="AJ6" s="614"/>
      <c r="AK6" s="614"/>
      <c r="AL6" s="614"/>
      <c r="AM6" s="614"/>
      <c r="AN6" s="614"/>
      <c r="AO6" s="614"/>
      <c r="AP6" s="614"/>
      <c r="AQ6" s="614"/>
      <c r="AR6" s="614"/>
      <c r="AS6" s="614"/>
      <c r="AT6" s="614"/>
    </row>
    <row r="7" spans="1:46">
      <c r="A7" s="5"/>
      <c r="B7" s="138"/>
      <c r="C7" s="138"/>
      <c r="D7" s="138"/>
      <c r="E7" s="138"/>
      <c r="F7" s="6"/>
      <c r="G7" s="15"/>
      <c r="H7" s="15"/>
      <c r="I7" s="15"/>
      <c r="J7" s="15"/>
      <c r="K7" s="15"/>
      <c r="L7" s="15"/>
      <c r="M7" s="15"/>
      <c r="N7" s="15"/>
      <c r="O7" s="25"/>
      <c r="P7" s="25"/>
      <c r="Q7" s="25"/>
      <c r="R7" s="614"/>
      <c r="S7" s="614"/>
      <c r="T7" s="614"/>
      <c r="U7" s="614"/>
      <c r="V7" s="614"/>
      <c r="W7" s="614"/>
      <c r="X7" s="614"/>
      <c r="Y7" s="614"/>
      <c r="Z7" s="614"/>
      <c r="AA7" s="614"/>
      <c r="AB7" s="614"/>
      <c r="AC7" s="614"/>
      <c r="AD7" s="614"/>
      <c r="AE7" s="614"/>
      <c r="AF7" s="614"/>
      <c r="AG7" s="614"/>
      <c r="AH7" s="614"/>
      <c r="AI7" s="614"/>
      <c r="AJ7" s="614"/>
      <c r="AK7" s="614"/>
      <c r="AL7" s="614"/>
      <c r="AM7" s="614"/>
      <c r="AN7" s="614"/>
      <c r="AO7" s="614"/>
      <c r="AP7" s="614"/>
      <c r="AQ7" s="614"/>
      <c r="AR7" s="614"/>
      <c r="AS7" s="614"/>
      <c r="AT7" s="614"/>
    </row>
    <row r="8" spans="1:46" ht="79.900000000000006" customHeight="1">
      <c r="A8" s="7"/>
      <c r="B8" s="5210" t="s">
        <v>309</v>
      </c>
      <c r="C8" s="5210"/>
      <c r="D8" s="5210"/>
      <c r="E8" s="5210"/>
      <c r="F8" s="8"/>
      <c r="G8" s="7"/>
      <c r="H8" s="7"/>
      <c r="I8" s="7"/>
      <c r="J8" s="7"/>
      <c r="K8" s="7"/>
      <c r="L8" s="7"/>
      <c r="M8" s="7"/>
      <c r="N8" s="7"/>
      <c r="R8" s="614"/>
      <c r="S8" s="614"/>
      <c r="T8" s="614"/>
      <c r="U8" s="614"/>
      <c r="V8" s="614"/>
      <c r="W8" s="614"/>
      <c r="X8" s="614"/>
      <c r="Y8" s="614"/>
      <c r="Z8" s="614"/>
      <c r="AA8" s="614"/>
      <c r="AB8" s="614"/>
      <c r="AC8" s="614"/>
      <c r="AD8" s="614"/>
      <c r="AE8" s="614"/>
      <c r="AF8" s="614"/>
      <c r="AG8" s="614"/>
      <c r="AH8" s="614"/>
      <c r="AI8" s="614"/>
      <c r="AJ8" s="614"/>
      <c r="AK8" s="614"/>
      <c r="AL8" s="614"/>
      <c r="AM8" s="614"/>
      <c r="AN8" s="614"/>
      <c r="AO8" s="614"/>
      <c r="AP8" s="614"/>
      <c r="AQ8" s="614"/>
      <c r="AR8" s="614"/>
      <c r="AS8" s="614"/>
      <c r="AT8" s="614"/>
    </row>
    <row r="9" spans="1:46">
      <c r="A9" s="138"/>
      <c r="B9" s="19" t="s">
        <v>59</v>
      </c>
      <c r="C9" s="138"/>
      <c r="D9" s="138"/>
      <c r="E9" s="138"/>
      <c r="F9" s="6"/>
      <c r="G9" s="138"/>
      <c r="H9" s="138"/>
      <c r="I9" s="138"/>
      <c r="J9" s="138"/>
      <c r="K9" s="138"/>
      <c r="L9" s="138"/>
      <c r="M9" s="138"/>
      <c r="N9" s="138"/>
      <c r="R9" s="614"/>
      <c r="S9" s="614"/>
      <c r="T9" s="614"/>
      <c r="U9" s="614"/>
      <c r="V9" s="614"/>
      <c r="W9" s="614"/>
      <c r="X9" s="614"/>
      <c r="Y9" s="614"/>
      <c r="Z9" s="614"/>
      <c r="AA9" s="614"/>
      <c r="AB9" s="614"/>
      <c r="AC9" s="614"/>
      <c r="AD9" s="614"/>
      <c r="AE9" s="614"/>
      <c r="AF9" s="614"/>
      <c r="AG9" s="614"/>
      <c r="AH9" s="614"/>
      <c r="AI9" s="614"/>
      <c r="AJ9" s="614"/>
      <c r="AK9" s="614"/>
      <c r="AL9" s="614"/>
      <c r="AM9" s="614"/>
      <c r="AN9" s="614"/>
      <c r="AO9" s="614"/>
      <c r="AP9" s="614"/>
      <c r="AQ9" s="614"/>
      <c r="AR9" s="614"/>
      <c r="AS9" s="614"/>
      <c r="AT9" s="614"/>
    </row>
    <row r="10" spans="1:46" ht="15" customHeight="1">
      <c r="A10" s="4666" t="s">
        <v>2</v>
      </c>
      <c r="B10" s="4666"/>
      <c r="C10" s="4666"/>
      <c r="D10" s="4696" t="s">
        <v>42</v>
      </c>
      <c r="E10" s="4696" t="s">
        <v>41</v>
      </c>
      <c r="F10" s="4696" t="s">
        <v>37</v>
      </c>
      <c r="G10" s="5211" t="s">
        <v>1365</v>
      </c>
      <c r="H10" s="435" t="s">
        <v>1359</v>
      </c>
      <c r="I10" s="103" t="s">
        <v>1360</v>
      </c>
      <c r="J10" s="103" t="s">
        <v>959</v>
      </c>
      <c r="K10" s="103" t="s">
        <v>1361</v>
      </c>
      <c r="L10" s="5211" t="s">
        <v>1362</v>
      </c>
      <c r="M10" s="103" t="s">
        <v>1363</v>
      </c>
      <c r="N10" s="103" t="s">
        <v>1364</v>
      </c>
      <c r="R10" s="614"/>
      <c r="S10" s="614"/>
      <c r="T10" s="614"/>
      <c r="U10" s="614"/>
      <c r="V10" s="614"/>
      <c r="W10" s="614"/>
      <c r="X10" s="614"/>
      <c r="Y10" s="614"/>
      <c r="Z10" s="614"/>
      <c r="AA10" s="614"/>
      <c r="AB10" s="614"/>
      <c r="AC10" s="614"/>
      <c r="AD10" s="614"/>
      <c r="AE10" s="614"/>
      <c r="AF10" s="614"/>
      <c r="AG10" s="614"/>
      <c r="AH10" s="614"/>
      <c r="AI10" s="614"/>
      <c r="AJ10" s="614"/>
      <c r="AK10" s="614"/>
      <c r="AL10" s="614"/>
      <c r="AM10" s="614"/>
      <c r="AN10" s="614"/>
      <c r="AO10" s="614"/>
      <c r="AP10" s="614"/>
      <c r="AQ10" s="614"/>
      <c r="AR10" s="614"/>
      <c r="AS10" s="614"/>
      <c r="AT10" s="614"/>
    </row>
    <row r="11" spans="1:46" ht="15" customHeight="1">
      <c r="A11" s="4666"/>
      <c r="B11" s="4666"/>
      <c r="C11" s="4666"/>
      <c r="D11" s="4698"/>
      <c r="E11" s="4698"/>
      <c r="F11" s="4698"/>
      <c r="G11" s="5212"/>
      <c r="H11" s="144" t="s">
        <v>83</v>
      </c>
      <c r="I11" s="144" t="s">
        <v>1358</v>
      </c>
      <c r="J11" s="144" t="s">
        <v>55</v>
      </c>
      <c r="K11" s="144" t="s">
        <v>49</v>
      </c>
      <c r="L11" s="5212"/>
      <c r="M11" s="144" t="s">
        <v>1358</v>
      </c>
      <c r="N11" s="144" t="s">
        <v>49</v>
      </c>
      <c r="R11" s="614"/>
      <c r="S11" s="614"/>
      <c r="T11" s="614"/>
      <c r="U11" s="614"/>
      <c r="V11" s="614"/>
      <c r="W11" s="614"/>
      <c r="X11" s="614"/>
      <c r="Y11" s="614"/>
      <c r="Z11" s="614"/>
      <c r="AA11" s="614"/>
      <c r="AB11" s="614"/>
      <c r="AC11" s="614"/>
      <c r="AD11" s="614"/>
      <c r="AE11" s="614"/>
      <c r="AF11" s="614"/>
      <c r="AG11" s="614"/>
      <c r="AH11" s="614"/>
      <c r="AI11" s="614"/>
      <c r="AJ11" s="614"/>
      <c r="AK11" s="614"/>
      <c r="AL11" s="614"/>
      <c r="AM11" s="614"/>
      <c r="AN11" s="614"/>
      <c r="AO11" s="614"/>
      <c r="AP11" s="614"/>
      <c r="AQ11" s="614"/>
      <c r="AR11" s="614"/>
      <c r="AS11" s="614"/>
      <c r="AT11" s="614"/>
    </row>
    <row r="12" spans="1:46" s="383" customFormat="1" ht="24" customHeight="1">
      <c r="A12" s="4407" t="s">
        <v>186</v>
      </c>
      <c r="B12" s="4209" t="s">
        <v>391</v>
      </c>
      <c r="C12" s="5185"/>
      <c r="D12" s="4203" t="s">
        <v>35</v>
      </c>
      <c r="E12" s="4203" t="s">
        <v>34</v>
      </c>
      <c r="F12" s="382" t="s">
        <v>0</v>
      </c>
      <c r="G12" s="363" t="e">
        <f>CEILING('Полотна база'!#REF!*(1+скидки_наценки!$B$28)*скидки_наценки!$D$11*скидки_наценки!$F$11/скидки_наценки!$B$4, 50)</f>
        <v>#REF!</v>
      </c>
      <c r="H12" s="1184" t="e">
        <f>CEILING('Полотна база'!#REF!*(1+скидки_наценки!$B$28)*скидки_наценки!$D$11*скидки_наценки!$F$11/скидки_наценки!$B$4, 50)</f>
        <v>#REF!</v>
      </c>
      <c r="J12" s="1184" t="e">
        <f>CEILING('Полотна база'!#REF!*(1+скидки_наценки!$B$28)*скидки_наценки!$D$11*скидки_наценки!$F$11/скидки_наценки!$B$4, 50)</f>
        <v>#REF!</v>
      </c>
      <c r="K12" s="1184" t="e">
        <f>CEILING('Полотна база'!#REF!*(1+скидки_наценки!$B$28)*скидки_наценки!$D$11*скидки_наценки!$F$11/скидки_наценки!$B$4, 50)</f>
        <v>#REF!</v>
      </c>
      <c r="L12" s="1184" t="e">
        <f>CEILING('Полотна база'!#REF!*(1+скидки_наценки!$B$28)*скидки_наценки!$D$11*скидки_наценки!$F$11/скидки_наценки!$B$4, 50)</f>
        <v>#REF!</v>
      </c>
      <c r="M12" s="1184" t="e">
        <f>CEILING('Полотна база'!#REF!*(1+скидки_наценки!$B$28)*скидки_наценки!$D$11*скидки_наценки!$F$11/скидки_наценки!$B$4, 50)</f>
        <v>#REF!</v>
      </c>
      <c r="N12" s="1184" t="e">
        <f>CEILING('Полотна база'!#REF!*(1+скидки_наценки!$B$28)*скидки_наценки!$D$11*скидки_наценки!$F$11/скидки_наценки!$B$4, 50)</f>
        <v>#REF!</v>
      </c>
      <c r="R12" s="614"/>
      <c r="S12" s="614"/>
      <c r="T12" s="614"/>
      <c r="U12" s="614"/>
      <c r="V12" s="614"/>
      <c r="W12" s="614"/>
      <c r="X12" s="614"/>
      <c r="Y12" s="614"/>
      <c r="Z12" s="614"/>
      <c r="AA12" s="614"/>
      <c r="AB12" s="614"/>
      <c r="AC12" s="614"/>
      <c r="AD12" s="614"/>
      <c r="AE12" s="614"/>
      <c r="AF12" s="614"/>
      <c r="AG12" s="614"/>
      <c r="AH12" s="614"/>
      <c r="AI12" s="614"/>
      <c r="AJ12" s="614"/>
      <c r="AK12" s="614"/>
      <c r="AL12" s="614"/>
      <c r="AM12" s="614"/>
      <c r="AN12" s="614"/>
      <c r="AO12" s="614"/>
      <c r="AP12" s="614"/>
      <c r="AQ12" s="614"/>
      <c r="AR12" s="614"/>
      <c r="AS12" s="614"/>
      <c r="AT12" s="614"/>
    </row>
    <row r="13" spans="1:46" s="305" customFormat="1" ht="15" customHeight="1">
      <c r="A13" s="4408"/>
      <c r="B13" s="5186" t="s">
        <v>393</v>
      </c>
      <c r="C13" s="5187"/>
      <c r="D13" s="4204"/>
      <c r="E13" s="4204"/>
      <c r="F13" s="302" t="s">
        <v>306</v>
      </c>
      <c r="G13" s="364" t="e">
        <f>IF(G12=0,0,(Погонаж!$C$11*2.5+Погонаж!$E$11*5))</f>
        <v>#REF!</v>
      </c>
      <c r="H13" s="364" t="e">
        <f>IF(H12=0,0,(Погонаж!$C$11*2.5+Погонаж!$E$11*5))</f>
        <v>#REF!</v>
      </c>
      <c r="J13" s="364" t="e">
        <f>IF(J12=0,0,(Погонаж!$C$11*2.5+Погонаж!$E$11*5))</f>
        <v>#REF!</v>
      </c>
      <c r="K13" s="364" t="e">
        <f>IF(K12=0,0,(Погонаж!$C$11*2.5+Погонаж!$E$11*5))</f>
        <v>#REF!</v>
      </c>
      <c r="L13" s="364" t="e">
        <f>IF(L12=0,0,(Погонаж!$C$11*2.5+Погонаж!$E$11*5))</f>
        <v>#REF!</v>
      </c>
      <c r="M13" s="364" t="e">
        <f>IF(M12=0,0,(Погонаж!$C$11*2.5+Погонаж!$E$11*5))</f>
        <v>#REF!</v>
      </c>
      <c r="N13" s="364" t="e">
        <f>IF(N12=0,0,(Погонаж!$C$11*2.5+Погонаж!$E$11*5))</f>
        <v>#REF!</v>
      </c>
      <c r="R13" s="614"/>
      <c r="S13" s="614"/>
      <c r="T13" s="614"/>
      <c r="U13" s="614"/>
      <c r="V13" s="614"/>
      <c r="W13" s="614"/>
      <c r="X13" s="614"/>
      <c r="Y13" s="614"/>
      <c r="Z13" s="614"/>
      <c r="AA13" s="614"/>
      <c r="AB13" s="614"/>
      <c r="AC13" s="614"/>
      <c r="AD13" s="614"/>
      <c r="AE13" s="614"/>
      <c r="AF13" s="614"/>
      <c r="AG13" s="614"/>
      <c r="AH13" s="614"/>
      <c r="AI13" s="614"/>
      <c r="AJ13" s="614"/>
      <c r="AK13" s="614"/>
      <c r="AL13" s="614"/>
      <c r="AM13" s="614"/>
      <c r="AN13" s="614"/>
      <c r="AO13" s="614"/>
      <c r="AP13" s="614"/>
      <c r="AQ13" s="614"/>
      <c r="AR13" s="614"/>
      <c r="AS13" s="614"/>
      <c r="AT13" s="614"/>
    </row>
    <row r="14" spans="1:46" s="138" customFormat="1" ht="24" customHeight="1">
      <c r="A14" s="4409"/>
      <c r="B14" s="5188"/>
      <c r="C14" s="5189"/>
      <c r="D14" s="4205"/>
      <c r="E14" s="4205"/>
      <c r="F14" s="30" t="s">
        <v>1</v>
      </c>
      <c r="G14" s="365" t="e">
        <f>G12+G13</f>
        <v>#REF!</v>
      </c>
      <c r="H14" s="328" t="e">
        <f>H12+H13</f>
        <v>#REF!</v>
      </c>
      <c r="J14" s="365" t="e">
        <f>J12+J13</f>
        <v>#REF!</v>
      </c>
      <c r="K14" s="365" t="e">
        <f>K12+K13</f>
        <v>#REF!</v>
      </c>
      <c r="L14" s="365" t="e">
        <f>L12+L13</f>
        <v>#REF!</v>
      </c>
      <c r="M14" s="365" t="e">
        <f>M12+M13</f>
        <v>#REF!</v>
      </c>
      <c r="N14" s="365" t="e">
        <f>N12+N13</f>
        <v>#REF!</v>
      </c>
      <c r="O14" s="124"/>
      <c r="R14" s="614"/>
      <c r="S14" s="614"/>
      <c r="T14" s="614"/>
      <c r="U14" s="614"/>
      <c r="V14" s="614"/>
      <c r="W14" s="614"/>
      <c r="X14" s="614"/>
      <c r="Y14" s="614"/>
      <c r="Z14" s="614"/>
      <c r="AA14" s="614"/>
      <c r="AB14" s="614"/>
      <c r="AC14" s="614"/>
      <c r="AD14" s="614"/>
      <c r="AE14" s="614"/>
      <c r="AF14" s="614"/>
      <c r="AG14" s="614"/>
      <c r="AH14" s="614"/>
      <c r="AI14" s="614"/>
      <c r="AJ14" s="614"/>
      <c r="AK14" s="614"/>
      <c r="AL14" s="614"/>
      <c r="AM14" s="614"/>
      <c r="AN14" s="614"/>
      <c r="AO14" s="614"/>
      <c r="AP14" s="614"/>
      <c r="AQ14" s="614"/>
      <c r="AR14" s="614"/>
      <c r="AS14" s="614"/>
      <c r="AT14" s="614"/>
    </row>
    <row r="15" spans="1:46" s="9" customFormat="1" ht="24" customHeight="1">
      <c r="A15" s="5215" t="s">
        <v>26</v>
      </c>
      <c r="B15" s="5213" t="s">
        <v>703</v>
      </c>
      <c r="C15" s="4599"/>
      <c r="D15" s="4213" t="s">
        <v>35</v>
      </c>
      <c r="E15" s="4213" t="s">
        <v>34</v>
      </c>
      <c r="F15" s="182" t="s">
        <v>0</v>
      </c>
      <c r="G15" s="375" t="e">
        <f>CEILING('Полотна база'!#REF!*(1+скидки_наценки!$B$29)*скидки_наценки!$D$13*скидки_наценки!$F$13/скидки_наценки!$B$4, 50)</f>
        <v>#REF!</v>
      </c>
      <c r="H15" s="691" t="e">
        <f>CEILING('Полотна база'!#REF!*(1+скидки_наценки!$B$29)*скидки_наценки!$D$13*скидки_наценки!$F$13/скидки_наценки!$B$4, 50)</f>
        <v>#REF!</v>
      </c>
      <c r="J15" s="691" t="e">
        <f>CEILING('Полотна база'!#REF!*(1+скидки_наценки!$B$29)*скидки_наценки!$D$13*скидки_наценки!$F$13/скидки_наценки!$B$4, 50)</f>
        <v>#REF!</v>
      </c>
      <c r="K15" s="691" t="e">
        <f>CEILING('Полотна база'!#REF!*(1+скидки_наценки!$B$29)*скидки_наценки!$D$13*скидки_наценки!$F$13/скидки_наценки!$B$4, 50)</f>
        <v>#REF!</v>
      </c>
      <c r="L15" s="691" t="e">
        <f>CEILING('Полотна база'!#REF!*(1+скидки_наценки!$B$29)*скидки_наценки!$D$13*скидки_наценки!$F$13/скидки_наценки!$B$4, 50)</f>
        <v>#REF!</v>
      </c>
      <c r="M15" s="691" t="e">
        <f>CEILING('Полотна база'!#REF!*(1+скидки_наценки!$B$29)*скидки_наценки!$D$13*скидки_наценки!$F$13/скидки_наценки!$B$4, 50)</f>
        <v>#REF!</v>
      </c>
      <c r="N15" s="691" t="e">
        <f>CEILING('Полотна база'!#REF!*(1+скидки_наценки!$B$29)*скидки_наценки!$D$13*скидки_наценки!$F$13/скидки_наценки!$B$4, 50)</f>
        <v>#REF!</v>
      </c>
      <c r="R15" s="614"/>
      <c r="S15" s="614"/>
      <c r="T15" s="614"/>
      <c r="U15" s="614"/>
      <c r="V15" s="614"/>
      <c r="W15" s="614"/>
      <c r="X15" s="614"/>
      <c r="Y15" s="614"/>
      <c r="Z15" s="614"/>
      <c r="AA15" s="614"/>
      <c r="AB15" s="614"/>
      <c r="AC15" s="614"/>
      <c r="AD15" s="614"/>
      <c r="AE15" s="614"/>
      <c r="AF15" s="614"/>
      <c r="AG15" s="614"/>
      <c r="AH15" s="614"/>
      <c r="AI15" s="614"/>
      <c r="AJ15" s="614"/>
      <c r="AK15" s="614"/>
      <c r="AL15" s="614"/>
      <c r="AM15" s="614"/>
      <c r="AN15" s="614"/>
      <c r="AO15" s="614"/>
      <c r="AP15" s="614"/>
      <c r="AQ15" s="614"/>
      <c r="AR15" s="614"/>
      <c r="AS15" s="614"/>
      <c r="AT15" s="614"/>
    </row>
    <row r="16" spans="1:46" s="9" customFormat="1" ht="15" customHeight="1">
      <c r="A16" s="5215"/>
      <c r="B16" s="4599"/>
      <c r="C16" s="4599"/>
      <c r="D16" s="4214"/>
      <c r="E16" s="4214"/>
      <c r="F16" s="183" t="s">
        <v>306</v>
      </c>
      <c r="G16" s="373" t="e">
        <f>IF(G15=0,0,(Погонаж!$C$14*2.5+Погонаж!$E$14*5))</f>
        <v>#REF!</v>
      </c>
      <c r="H16" s="373" t="e">
        <f>IF(H15=0,0,(Погонаж!$C$14*2.5+Погонаж!$E$14*5))</f>
        <v>#REF!</v>
      </c>
      <c r="J16" s="373" t="e">
        <f>IF(J15=0,0,(Погонаж!$C$14*2.5+Погонаж!$E$14*5))</f>
        <v>#REF!</v>
      </c>
      <c r="K16" s="373" t="e">
        <f>IF(K15=0,0,(Погонаж!$C$14*2.5+Погонаж!$E$14*5))</f>
        <v>#REF!</v>
      </c>
      <c r="L16" s="373" t="e">
        <f>IF(L15=0,0,(Погонаж!$C$14*2.5+Погонаж!$E$14*5))</f>
        <v>#REF!</v>
      </c>
      <c r="M16" s="373" t="e">
        <f>IF(M15=0,0,(Погонаж!$C$14*2.5+Погонаж!$E$14*5))</f>
        <v>#REF!</v>
      </c>
      <c r="N16" s="373" t="e">
        <f>IF(N15=0,0,(Погонаж!$C$14*2.5+Погонаж!$E$14*5))</f>
        <v>#REF!</v>
      </c>
      <c r="R16" s="614"/>
      <c r="S16" s="614"/>
      <c r="T16" s="614"/>
      <c r="U16" s="614"/>
      <c r="V16" s="614"/>
      <c r="W16" s="614"/>
      <c r="X16" s="614"/>
      <c r="Y16" s="614"/>
      <c r="Z16" s="614"/>
      <c r="AA16" s="614"/>
      <c r="AB16" s="614"/>
      <c r="AC16" s="614"/>
      <c r="AD16" s="614"/>
      <c r="AE16" s="614"/>
      <c r="AF16" s="614"/>
      <c r="AG16" s="614"/>
      <c r="AH16" s="614"/>
      <c r="AI16" s="614"/>
      <c r="AJ16" s="614"/>
      <c r="AK16" s="614"/>
      <c r="AL16" s="614"/>
      <c r="AM16" s="614"/>
      <c r="AN16" s="614"/>
      <c r="AO16" s="614"/>
      <c r="AP16" s="614"/>
      <c r="AQ16" s="614"/>
      <c r="AR16" s="614"/>
      <c r="AS16" s="614"/>
      <c r="AT16" s="614"/>
    </row>
    <row r="17" spans="1:46" s="9" customFormat="1" ht="24" customHeight="1">
      <c r="A17" s="5215"/>
      <c r="B17" s="4599"/>
      <c r="C17" s="4599"/>
      <c r="D17" s="4215"/>
      <c r="E17" s="4215"/>
      <c r="F17" s="267" t="s">
        <v>1</v>
      </c>
      <c r="G17" s="376" t="e">
        <f>G15+G16</f>
        <v>#REF!</v>
      </c>
      <c r="H17" s="339" t="e">
        <f>H15+H16</f>
        <v>#REF!</v>
      </c>
      <c r="J17" s="376" t="e">
        <f>J15+J16</f>
        <v>#REF!</v>
      </c>
      <c r="K17" s="376" t="e">
        <f>K15+K16</f>
        <v>#REF!</v>
      </c>
      <c r="L17" s="376" t="e">
        <f>L15+L16</f>
        <v>#REF!</v>
      </c>
      <c r="M17" s="376" t="e">
        <f>M15+M16</f>
        <v>#REF!</v>
      </c>
      <c r="N17" s="376" t="e">
        <f>N15+N16</f>
        <v>#REF!</v>
      </c>
      <c r="O17" s="238"/>
      <c r="R17" s="614"/>
      <c r="S17" s="614"/>
      <c r="T17" s="614"/>
      <c r="U17" s="614"/>
      <c r="V17" s="614"/>
      <c r="W17" s="614"/>
      <c r="X17" s="614"/>
      <c r="Y17" s="614"/>
      <c r="Z17" s="614"/>
      <c r="AA17" s="614"/>
      <c r="AB17" s="614"/>
      <c r="AC17" s="614"/>
      <c r="AD17" s="614"/>
      <c r="AE17" s="614"/>
      <c r="AF17" s="614"/>
      <c r="AG17" s="614"/>
      <c r="AH17" s="614"/>
      <c r="AI17" s="614"/>
      <c r="AJ17" s="614"/>
      <c r="AK17" s="614"/>
      <c r="AL17" s="614"/>
      <c r="AM17" s="614"/>
      <c r="AN17" s="614"/>
      <c r="AO17" s="614"/>
      <c r="AP17" s="614"/>
      <c r="AQ17" s="614"/>
      <c r="AR17" s="614"/>
      <c r="AS17" s="614"/>
      <c r="AT17" s="614"/>
    </row>
    <row r="18" spans="1:46" s="443" customFormat="1" ht="24" customHeight="1">
      <c r="A18" s="5215"/>
      <c r="B18" s="5196" t="s">
        <v>704</v>
      </c>
      <c r="C18" s="5196"/>
      <c r="D18" s="4203" t="s">
        <v>35</v>
      </c>
      <c r="E18" s="4203" t="s">
        <v>34</v>
      </c>
      <c r="F18" s="132" t="s">
        <v>0</v>
      </c>
      <c r="G18" s="363" t="e">
        <f>CEILING('Полотна база'!#REF!*(1+скидки_наценки!$B$29)*скидки_наценки!$D$13*скидки_наценки!$F$13/скидки_наценки!$B$4, 50)</f>
        <v>#REF!</v>
      </c>
      <c r="H18" s="1184" t="e">
        <f>CEILING('Полотна база'!#REF!*(1+скидки_наценки!$B$29)*скидки_наценки!$D$13*скидки_наценки!$F$13/скидки_наценки!$B$4, 50)</f>
        <v>#REF!</v>
      </c>
      <c r="J18" s="1184" t="e">
        <f>CEILING('Полотна база'!#REF!*(1+скидки_наценки!$B$29)*скидки_наценки!$D$13*скидки_наценки!$F$13/скидки_наценки!$B$4, 50)</f>
        <v>#REF!</v>
      </c>
      <c r="K18" s="1184" t="e">
        <f>CEILING('Полотна база'!#REF!*(1+скидки_наценки!$B$29)*скидки_наценки!$D$13*скидки_наценки!$F$13/скидки_наценки!$B$4, 50)</f>
        <v>#REF!</v>
      </c>
      <c r="L18" s="1184" t="e">
        <f>CEILING('Полотна база'!#REF!*(1+скидки_наценки!$B$29)*скидки_наценки!$D$13*скидки_наценки!$F$13/скидки_наценки!$B$4, 50)</f>
        <v>#REF!</v>
      </c>
      <c r="M18" s="1184" t="e">
        <f>CEILING('Полотна база'!#REF!*(1+скидки_наценки!$B$29)*скидки_наценки!$D$13*скидки_наценки!$F$13/скидки_наценки!$B$4, 50)</f>
        <v>#REF!</v>
      </c>
      <c r="N18" s="1184" t="e">
        <f>CEILING('Полотна база'!#REF!*(1+скидки_наценки!$B$29)*скидки_наценки!$D$13*скидки_наценки!$F$13/скидки_наценки!$B$4, 50)</f>
        <v>#REF!</v>
      </c>
      <c r="R18" s="614"/>
      <c r="S18" s="614"/>
      <c r="T18" s="614"/>
      <c r="U18" s="614"/>
      <c r="V18" s="614"/>
      <c r="W18" s="614"/>
      <c r="X18" s="614"/>
      <c r="Y18" s="614"/>
      <c r="Z18" s="614"/>
      <c r="AA18" s="614"/>
      <c r="AB18" s="614"/>
      <c r="AC18" s="614"/>
      <c r="AD18" s="614"/>
      <c r="AE18" s="614"/>
      <c r="AF18" s="614"/>
      <c r="AG18" s="614"/>
      <c r="AH18" s="614"/>
      <c r="AI18" s="614"/>
      <c r="AJ18" s="614"/>
      <c r="AK18" s="614"/>
      <c r="AL18" s="614"/>
      <c r="AM18" s="614"/>
      <c r="AN18" s="614"/>
      <c r="AO18" s="614"/>
      <c r="AP18" s="614"/>
      <c r="AQ18" s="614"/>
      <c r="AR18" s="614"/>
      <c r="AS18" s="614"/>
      <c r="AT18" s="614"/>
    </row>
    <row r="19" spans="1:46" s="443" customFormat="1" ht="15" customHeight="1">
      <c r="A19" s="5215"/>
      <c r="B19" s="5196"/>
      <c r="C19" s="5196"/>
      <c r="D19" s="4204"/>
      <c r="E19" s="4204"/>
      <c r="F19" s="307" t="s">
        <v>306</v>
      </c>
      <c r="G19" s="364" t="e">
        <f>IF(G18=0,0,(Погонаж!#REF!*2.5+Погонаж!#REF!*5))</f>
        <v>#REF!</v>
      </c>
      <c r="H19" s="364" t="e">
        <f>IF(H18=0,0,(Погонаж!#REF!*2.5+Погонаж!#REF!*5))</f>
        <v>#REF!</v>
      </c>
      <c r="J19" s="364" t="e">
        <f>IF(J18=0,0,(Погонаж!#REF!*2.5+Погонаж!#REF!*5))</f>
        <v>#REF!</v>
      </c>
      <c r="K19" s="364" t="e">
        <f>IF(K18=0,0,(Погонаж!#REF!*2.5+Погонаж!#REF!*5))</f>
        <v>#REF!</v>
      </c>
      <c r="L19" s="364" t="e">
        <f>IF(L18=0,0,(Погонаж!#REF!*2.5+Погонаж!#REF!*5))</f>
        <v>#REF!</v>
      </c>
      <c r="M19" s="364" t="e">
        <f>IF(M18=0,0,(Погонаж!#REF!*2.5+Погонаж!#REF!*5))</f>
        <v>#REF!</v>
      </c>
      <c r="N19" s="364" t="e">
        <f>IF(N18=0,0,(Погонаж!#REF!*2.5+Погонаж!#REF!*5))</f>
        <v>#REF!</v>
      </c>
      <c r="R19" s="614"/>
      <c r="S19" s="614"/>
      <c r="T19" s="614"/>
      <c r="U19" s="614"/>
      <c r="V19" s="614"/>
      <c r="W19" s="614"/>
      <c r="X19" s="614"/>
      <c r="Y19" s="614"/>
      <c r="Z19" s="614"/>
      <c r="AA19" s="614"/>
      <c r="AB19" s="614"/>
      <c r="AC19" s="614"/>
      <c r="AD19" s="614"/>
      <c r="AE19" s="614"/>
      <c r="AF19" s="614"/>
      <c r="AG19" s="614"/>
      <c r="AH19" s="614"/>
      <c r="AI19" s="614"/>
      <c r="AJ19" s="614"/>
      <c r="AK19" s="614"/>
      <c r="AL19" s="614"/>
      <c r="AM19" s="614"/>
      <c r="AN19" s="614"/>
      <c r="AO19" s="614"/>
      <c r="AP19" s="614"/>
      <c r="AQ19" s="614"/>
      <c r="AR19" s="614"/>
      <c r="AS19" s="614"/>
      <c r="AT19" s="614"/>
    </row>
    <row r="20" spans="1:46" s="443" customFormat="1" ht="24" customHeight="1">
      <c r="A20" s="5215"/>
      <c r="B20" s="5196"/>
      <c r="C20" s="5196"/>
      <c r="D20" s="4205"/>
      <c r="E20" s="4205"/>
      <c r="F20" s="30" t="s">
        <v>1</v>
      </c>
      <c r="G20" s="365" t="e">
        <f>G18+G19</f>
        <v>#REF!</v>
      </c>
      <c r="H20" s="365" t="e">
        <f>H18+H19</f>
        <v>#REF!</v>
      </c>
      <c r="J20" s="365" t="e">
        <f>J18+J19</f>
        <v>#REF!</v>
      </c>
      <c r="K20" s="365" t="e">
        <f>K18+K19</f>
        <v>#REF!</v>
      </c>
      <c r="L20" s="365" t="e">
        <f>L18+L19</f>
        <v>#REF!</v>
      </c>
      <c r="M20" s="365" t="e">
        <f>M18+M19</f>
        <v>#REF!</v>
      </c>
      <c r="N20" s="365" t="e">
        <f>N18+N19</f>
        <v>#REF!</v>
      </c>
      <c r="R20" s="614"/>
      <c r="S20" s="614"/>
      <c r="T20" s="614"/>
      <c r="U20" s="614"/>
      <c r="V20" s="614"/>
      <c r="W20" s="614"/>
      <c r="X20" s="614"/>
      <c r="Y20" s="614"/>
      <c r="Z20" s="614"/>
      <c r="AA20" s="614"/>
      <c r="AB20" s="614"/>
      <c r="AC20" s="614"/>
      <c r="AD20" s="614"/>
      <c r="AE20" s="614"/>
      <c r="AF20" s="614"/>
      <c r="AG20" s="614"/>
      <c r="AH20" s="614"/>
      <c r="AI20" s="614"/>
      <c r="AJ20" s="614"/>
      <c r="AK20" s="614"/>
      <c r="AL20" s="614"/>
      <c r="AM20" s="614"/>
      <c r="AN20" s="614"/>
      <c r="AO20" s="614"/>
      <c r="AP20" s="614"/>
      <c r="AQ20" s="614"/>
      <c r="AR20" s="614"/>
      <c r="AS20" s="614"/>
      <c r="AT20" s="614"/>
    </row>
    <row r="21" spans="1:46" s="9" customFormat="1" ht="24" customHeight="1">
      <c r="A21" s="5215"/>
      <c r="B21" s="4585" t="s">
        <v>435</v>
      </c>
      <c r="C21" s="4586"/>
      <c r="D21" s="4213" t="s">
        <v>35</v>
      </c>
      <c r="E21" s="4213" t="s">
        <v>34</v>
      </c>
      <c r="F21" s="182" t="s">
        <v>0</v>
      </c>
      <c r="G21" s="375" t="e">
        <f>CEILING('Полотна база'!#REF!*(1+скидки_наценки!$B$29)*скидки_наценки!$D$13*скидки_наценки!$F$13/скидки_наценки!$B$4, 50)</f>
        <v>#REF!</v>
      </c>
      <c r="H21" s="691" t="e">
        <f>CEILING('Полотна база'!#REF!*(1+скидки_наценки!$B$29)*скидки_наценки!$D$13*скидки_наценки!$F$13/скидки_наценки!$B$4, 50)</f>
        <v>#REF!</v>
      </c>
      <c r="J21" s="691" t="e">
        <f>CEILING('Полотна база'!#REF!*(1+скидки_наценки!$B$29)*скидки_наценки!$D$13*скидки_наценки!$F$13/скидки_наценки!$B$4, 50)</f>
        <v>#REF!</v>
      </c>
      <c r="K21" s="691" t="e">
        <f>CEILING('Полотна база'!#REF!*(1+скидки_наценки!$B$29)*скидки_наценки!$D$13*скидки_наценки!$F$13/скидки_наценки!$B$4, 50)</f>
        <v>#REF!</v>
      </c>
      <c r="L21" s="691" t="e">
        <f>CEILING('Полотна база'!#REF!*(1+скидки_наценки!$B$29)*скидки_наценки!$D$13*скидки_наценки!$F$13/скидки_наценки!$B$4, 50)</f>
        <v>#REF!</v>
      </c>
      <c r="M21" s="691" t="e">
        <f>CEILING('Полотна база'!#REF!*(1+скидки_наценки!$B$29)*скидки_наценки!$D$13*скидки_наценки!$F$13/скидки_наценки!$B$4, 50)</f>
        <v>#REF!</v>
      </c>
      <c r="N21" s="691" t="e">
        <f>CEILING('Полотна база'!#REF!*(1+скидки_наценки!$B$29)*скидки_наценки!$D$13*скидки_наценки!$F$13/скидки_наценки!$B$4, 50)</f>
        <v>#REF!</v>
      </c>
      <c r="O21" s="22"/>
      <c r="R21" s="614"/>
      <c r="S21" s="614"/>
      <c r="T21" s="614"/>
      <c r="U21" s="614"/>
      <c r="V21" s="614"/>
      <c r="W21" s="614"/>
      <c r="X21" s="614"/>
      <c r="Y21" s="614"/>
      <c r="Z21" s="614"/>
      <c r="AA21" s="614"/>
      <c r="AB21" s="614"/>
      <c r="AC21" s="614"/>
      <c r="AD21" s="614"/>
      <c r="AE21" s="614"/>
      <c r="AF21" s="614"/>
      <c r="AG21" s="614"/>
      <c r="AH21" s="614"/>
      <c r="AI21" s="614"/>
      <c r="AJ21" s="614"/>
      <c r="AK21" s="614"/>
      <c r="AL21" s="614"/>
      <c r="AM21" s="614"/>
      <c r="AN21" s="614"/>
      <c r="AO21" s="614"/>
      <c r="AP21" s="614"/>
      <c r="AQ21" s="614"/>
      <c r="AR21" s="614"/>
      <c r="AS21" s="614"/>
      <c r="AT21" s="614"/>
    </row>
    <row r="22" spans="1:46" s="9" customFormat="1" ht="15" customHeight="1">
      <c r="A22" s="5215"/>
      <c r="B22" s="5197"/>
      <c r="C22" s="5198"/>
      <c r="D22" s="4214"/>
      <c r="E22" s="4214"/>
      <c r="F22" s="183" t="s">
        <v>306</v>
      </c>
      <c r="G22" s="373" t="e">
        <f>IF(G21=0,0,(Погонаж!$C$15*2.5+Погонаж!$E$15*5))</f>
        <v>#REF!</v>
      </c>
      <c r="H22" s="373" t="e">
        <f>IF(H21=0,0,(Погонаж!$C$15*2.5+Погонаж!$E$15*5))</f>
        <v>#REF!</v>
      </c>
      <c r="J22" s="373" t="e">
        <f>IF(J21=0,0,(Погонаж!$C$15*2.5+Погонаж!$E$15*5))</f>
        <v>#REF!</v>
      </c>
      <c r="K22" s="373" t="e">
        <f>IF(K21=0,0,(Погонаж!$C$15*2.5+Погонаж!$E$15*5))</f>
        <v>#REF!</v>
      </c>
      <c r="L22" s="373" t="e">
        <f>IF(L21=0,0,(Погонаж!$C$15*2.5+Погонаж!$E$15*5))</f>
        <v>#REF!</v>
      </c>
      <c r="M22" s="373" t="e">
        <f>IF(M21=0,0,(Погонаж!$C$15*2.5+Погонаж!$E$15*5))</f>
        <v>#REF!</v>
      </c>
      <c r="N22" s="373" t="e">
        <f>IF(N21=0,0,(Погонаж!$C$15*2.5+Погонаж!$E$15*5))</f>
        <v>#REF!</v>
      </c>
      <c r="O22" s="22"/>
      <c r="R22" s="614"/>
      <c r="S22" s="614"/>
      <c r="T22" s="614"/>
      <c r="U22" s="614"/>
      <c r="V22" s="614"/>
      <c r="W22" s="614"/>
      <c r="X22" s="614"/>
      <c r="Y22" s="614"/>
      <c r="Z22" s="614"/>
      <c r="AA22" s="614"/>
      <c r="AB22" s="614"/>
      <c r="AC22" s="614"/>
      <c r="AD22" s="614"/>
      <c r="AE22" s="614"/>
      <c r="AF22" s="614"/>
      <c r="AG22" s="614"/>
      <c r="AH22" s="614"/>
      <c r="AI22" s="614"/>
      <c r="AJ22" s="614"/>
      <c r="AK22" s="614"/>
      <c r="AL22" s="614"/>
      <c r="AM22" s="614"/>
      <c r="AN22" s="614"/>
      <c r="AO22" s="614"/>
      <c r="AP22" s="614"/>
      <c r="AQ22" s="614"/>
      <c r="AR22" s="614"/>
      <c r="AS22" s="614"/>
      <c r="AT22" s="614"/>
    </row>
    <row r="23" spans="1:46" s="9" customFormat="1" ht="24" customHeight="1">
      <c r="A23" s="5215"/>
      <c r="B23" s="5199"/>
      <c r="C23" s="5200"/>
      <c r="D23" s="4215"/>
      <c r="E23" s="4215"/>
      <c r="F23" s="267" t="s">
        <v>1</v>
      </c>
      <c r="G23" s="376" t="e">
        <f>G21+G22</f>
        <v>#REF!</v>
      </c>
      <c r="H23" s="339" t="e">
        <f>H21+H22</f>
        <v>#REF!</v>
      </c>
      <c r="J23" s="376" t="e">
        <f>J21+J22</f>
        <v>#REF!</v>
      </c>
      <c r="K23" s="376" t="e">
        <f>K21+K22</f>
        <v>#REF!</v>
      </c>
      <c r="L23" s="376" t="e">
        <f>L21+L22</f>
        <v>#REF!</v>
      </c>
      <c r="M23" s="376" t="e">
        <f>M21+M22</f>
        <v>#REF!</v>
      </c>
      <c r="N23" s="376" t="e">
        <f>N21+N22</f>
        <v>#REF!</v>
      </c>
      <c r="O23" s="22"/>
      <c r="R23" s="614"/>
      <c r="S23" s="614"/>
      <c r="T23" s="614"/>
      <c r="U23" s="614"/>
      <c r="V23" s="614"/>
      <c r="W23" s="614"/>
      <c r="X23" s="614"/>
      <c r="Y23" s="614"/>
      <c r="Z23" s="614"/>
      <c r="AA23" s="614"/>
      <c r="AB23" s="614"/>
      <c r="AC23" s="614"/>
      <c r="AD23" s="614"/>
      <c r="AE23" s="614"/>
      <c r="AF23" s="614"/>
      <c r="AG23" s="614"/>
      <c r="AH23" s="614"/>
      <c r="AI23" s="614"/>
      <c r="AJ23" s="614"/>
      <c r="AK23" s="614"/>
      <c r="AL23" s="614"/>
      <c r="AM23" s="614"/>
      <c r="AN23" s="614"/>
      <c r="AO23" s="614"/>
      <c r="AP23" s="614"/>
      <c r="AQ23" s="614"/>
      <c r="AR23" s="614"/>
      <c r="AS23" s="614"/>
      <c r="AT23" s="614"/>
    </row>
    <row r="24" spans="1:46" s="68" customFormat="1" ht="30" customHeight="1">
      <c r="A24" s="5214" t="s">
        <v>30</v>
      </c>
      <c r="B24" s="5216" t="s">
        <v>284</v>
      </c>
      <c r="C24" s="4826"/>
      <c r="D24" s="4233" t="s">
        <v>35</v>
      </c>
      <c r="E24" s="4233" t="s">
        <v>34</v>
      </c>
      <c r="F24" s="270" t="s">
        <v>0</v>
      </c>
      <c r="G24" s="363" t="s">
        <v>4</v>
      </c>
      <c r="H24" s="325" t="s">
        <v>4</v>
      </c>
      <c r="J24" s="1184" t="e">
        <f>CEILING('Полотна база'!#REF!*(1+скидки_наценки!C30)*скидки_наценки!$D$13*скидки_наценки!$F$13/скидки_наценки!$B$4, 50)</f>
        <v>#REF!</v>
      </c>
      <c r="K24" s="1184" t="e">
        <f>CEILING('Полотна база'!#REF!*(1+скидки_наценки!D30)*скидки_наценки!$D$13*скидки_наценки!$F$13/скидки_наценки!$B$4, 50)</f>
        <v>#REF!</v>
      </c>
      <c r="L24" s="1184" t="e">
        <f>CEILING('Полотна база'!#REF!*(1+скидки_наценки!E30)*скидки_наценки!$D$13*скидки_наценки!$F$13/скидки_наценки!$B$4, 50)</f>
        <v>#REF!</v>
      </c>
      <c r="M24" s="1184" t="e">
        <f>CEILING('Полотна база'!#REF!*(1+скидки_наценки!F30)*скидки_наценки!$D$13*скидки_наценки!$F$13/скидки_наценки!$B$4, 50)</f>
        <v>#REF!</v>
      </c>
      <c r="N24" s="1184" t="e">
        <f>CEILING('Полотна база'!#REF!*(1+скидки_наценки!G30)*скидки_наценки!$D$13*скидки_наценки!$F$13/скидки_наценки!$B$4, 50)</f>
        <v>#REF!</v>
      </c>
      <c r="O24" s="268"/>
      <c r="R24" s="614"/>
      <c r="S24" s="614"/>
      <c r="T24" s="614"/>
      <c r="U24" s="614"/>
      <c r="V24" s="614"/>
      <c r="W24" s="614"/>
      <c r="X24" s="614"/>
      <c r="Y24" s="614"/>
      <c r="Z24" s="614"/>
      <c r="AA24" s="614"/>
      <c r="AB24" s="614"/>
      <c r="AC24" s="614"/>
      <c r="AD24" s="614"/>
      <c r="AE24" s="614"/>
      <c r="AF24" s="614"/>
      <c r="AG24" s="614"/>
      <c r="AH24" s="614"/>
      <c r="AI24" s="614"/>
      <c r="AJ24" s="614"/>
      <c r="AK24" s="614"/>
      <c r="AL24" s="614"/>
      <c r="AM24" s="614"/>
      <c r="AN24" s="614"/>
      <c r="AO24" s="614"/>
      <c r="AP24" s="614"/>
      <c r="AQ24" s="614"/>
      <c r="AR24" s="614"/>
      <c r="AS24" s="614"/>
      <c r="AT24" s="614"/>
    </row>
    <row r="25" spans="1:46" s="68" customFormat="1" ht="15" customHeight="1">
      <c r="A25" s="5214"/>
      <c r="B25" s="4826"/>
      <c r="C25" s="4826"/>
      <c r="D25" s="4233"/>
      <c r="E25" s="4233"/>
      <c r="F25" s="302" t="s">
        <v>306</v>
      </c>
      <c r="G25" s="364" t="s">
        <v>4</v>
      </c>
      <c r="H25" s="326" t="s">
        <v>4</v>
      </c>
      <c r="J25" s="364" t="s">
        <v>4</v>
      </c>
      <c r="K25" s="364" t="s">
        <v>4</v>
      </c>
      <c r="L25" s="364" t="s">
        <v>4</v>
      </c>
      <c r="M25" s="364" t="e">
        <f>IF(M24=0,0,(Погонаж!$C$13*2.5+Погонаж!$E$13*5))</f>
        <v>#REF!</v>
      </c>
      <c r="N25" s="364" t="s">
        <v>4</v>
      </c>
      <c r="O25" s="268"/>
      <c r="R25" s="614"/>
      <c r="S25" s="614"/>
      <c r="T25" s="614"/>
      <c r="U25" s="614"/>
      <c r="V25" s="614"/>
      <c r="W25" s="614"/>
      <c r="X25" s="614"/>
      <c r="Y25" s="614"/>
      <c r="Z25" s="614"/>
      <c r="AA25" s="614"/>
      <c r="AB25" s="614"/>
      <c r="AC25" s="614"/>
      <c r="AD25" s="614"/>
      <c r="AE25" s="614"/>
      <c r="AF25" s="614"/>
      <c r="AG25" s="614"/>
      <c r="AH25" s="614"/>
      <c r="AI25" s="614"/>
      <c r="AJ25" s="614"/>
      <c r="AK25" s="614"/>
      <c r="AL25" s="614"/>
      <c r="AM25" s="614"/>
      <c r="AN25" s="614"/>
      <c r="AO25" s="614"/>
      <c r="AP25" s="614"/>
      <c r="AQ25" s="614"/>
      <c r="AR25" s="614"/>
      <c r="AS25" s="614"/>
      <c r="AT25" s="614"/>
    </row>
    <row r="26" spans="1:46" s="68" customFormat="1" ht="30" customHeight="1">
      <c r="A26" s="5214"/>
      <c r="B26" s="4826"/>
      <c r="C26" s="4826"/>
      <c r="D26" s="4233"/>
      <c r="E26" s="4233"/>
      <c r="F26" s="30" t="s">
        <v>1</v>
      </c>
      <c r="G26" s="365" t="s">
        <v>4</v>
      </c>
      <c r="H26" s="328" t="s">
        <v>4</v>
      </c>
      <c r="J26" s="365" t="s">
        <v>4</v>
      </c>
      <c r="K26" s="365" t="s">
        <v>4</v>
      </c>
      <c r="L26" s="365" t="s">
        <v>4</v>
      </c>
      <c r="M26" s="365" t="e">
        <f>M24+M25</f>
        <v>#REF!</v>
      </c>
      <c r="N26" s="365" t="s">
        <v>4</v>
      </c>
      <c r="O26" s="186"/>
      <c r="R26" s="614"/>
      <c r="S26" s="614"/>
      <c r="T26" s="614"/>
      <c r="U26" s="614"/>
      <c r="V26" s="614"/>
      <c r="W26" s="614"/>
      <c r="X26" s="614"/>
      <c r="Y26" s="614"/>
      <c r="Z26" s="614"/>
      <c r="AA26" s="614"/>
      <c r="AB26" s="614"/>
      <c r="AC26" s="614"/>
      <c r="AD26" s="614"/>
      <c r="AE26" s="614"/>
      <c r="AF26" s="614"/>
      <c r="AG26" s="614"/>
      <c r="AH26" s="614"/>
      <c r="AI26" s="614"/>
      <c r="AJ26" s="614"/>
      <c r="AK26" s="614"/>
      <c r="AL26" s="614"/>
      <c r="AM26" s="614"/>
      <c r="AN26" s="614"/>
      <c r="AO26" s="614"/>
      <c r="AP26" s="614"/>
      <c r="AQ26" s="614"/>
      <c r="AR26" s="614"/>
      <c r="AS26" s="614"/>
      <c r="AT26" s="614"/>
    </row>
    <row r="27" spans="1:46" s="57" customFormat="1" ht="15" customHeight="1">
      <c r="B27" s="11"/>
      <c r="G27" s="123"/>
      <c r="H27" s="123"/>
      <c r="I27" s="123"/>
      <c r="J27" s="123"/>
      <c r="K27" s="123"/>
      <c r="L27" s="123"/>
      <c r="M27" s="123"/>
      <c r="N27" s="123"/>
      <c r="R27" s="614"/>
      <c r="S27" s="614"/>
      <c r="T27" s="614"/>
      <c r="U27" s="614"/>
      <c r="V27" s="614"/>
      <c r="W27" s="614"/>
      <c r="X27" s="614"/>
      <c r="Y27" s="614"/>
      <c r="Z27" s="614"/>
      <c r="AA27" s="614"/>
      <c r="AB27" s="614"/>
      <c r="AC27" s="614"/>
      <c r="AD27" s="614"/>
      <c r="AE27" s="614"/>
      <c r="AF27" s="614"/>
      <c r="AG27" s="614"/>
      <c r="AH27" s="614"/>
      <c r="AI27" s="614"/>
      <c r="AJ27" s="614"/>
      <c r="AK27" s="614"/>
      <c r="AL27" s="614"/>
      <c r="AM27" s="614"/>
      <c r="AN27" s="614"/>
      <c r="AO27" s="614"/>
      <c r="AP27" s="614"/>
      <c r="AQ27" s="614"/>
      <c r="AR27" s="614"/>
      <c r="AS27" s="614"/>
      <c r="AT27" s="614"/>
    </row>
    <row r="28" spans="1:46" s="359" customFormat="1" ht="15" customHeight="1">
      <c r="B28" s="11"/>
      <c r="G28" s="360"/>
      <c r="H28" s="360"/>
      <c r="I28" s="360"/>
      <c r="J28" s="360"/>
      <c r="K28" s="360"/>
      <c r="L28" s="360"/>
      <c r="M28" s="360"/>
      <c r="N28" s="360"/>
      <c r="R28" s="614"/>
      <c r="S28" s="614"/>
      <c r="T28" s="614"/>
      <c r="U28" s="614"/>
      <c r="V28" s="614"/>
      <c r="W28" s="614"/>
      <c r="X28" s="614"/>
      <c r="Y28" s="614"/>
      <c r="Z28" s="614"/>
      <c r="AA28" s="614"/>
      <c r="AB28" s="614"/>
      <c r="AC28" s="614"/>
      <c r="AD28" s="614"/>
      <c r="AE28" s="614"/>
      <c r="AF28" s="614"/>
      <c r="AG28" s="614"/>
      <c r="AH28" s="614"/>
      <c r="AI28" s="614"/>
      <c r="AJ28" s="614"/>
      <c r="AK28" s="614"/>
      <c r="AL28" s="614"/>
      <c r="AM28" s="614"/>
      <c r="AN28" s="614"/>
      <c r="AO28" s="614"/>
      <c r="AP28" s="614"/>
      <c r="AQ28" s="614"/>
      <c r="AR28" s="614"/>
      <c r="AS28" s="614"/>
      <c r="AT28" s="614"/>
    </row>
    <row r="29" spans="1:46" s="589" customFormat="1" ht="15" customHeight="1">
      <c r="A29" s="1018"/>
      <c r="B29" s="19" t="s">
        <v>298</v>
      </c>
      <c r="C29" s="1018"/>
      <c r="D29" s="1018"/>
      <c r="E29" s="1018"/>
      <c r="M29" s="1018"/>
      <c r="N29" s="1018"/>
      <c r="P29" s="242"/>
      <c r="Q29" s="242"/>
      <c r="R29" s="242"/>
      <c r="S29" s="242"/>
      <c r="T29" s="242"/>
      <c r="U29" s="242"/>
      <c r="V29" s="242"/>
      <c r="W29" s="242"/>
      <c r="X29" s="242"/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</row>
    <row r="30" spans="1:46" s="589" customFormat="1" ht="15" customHeight="1">
      <c r="A30" s="5201" t="s">
        <v>299</v>
      </c>
      <c r="B30" s="5201"/>
      <c r="C30" s="5201"/>
      <c r="D30" s="5201"/>
      <c r="E30" s="5201"/>
      <c r="F30" s="5205" t="s">
        <v>296</v>
      </c>
      <c r="G30" s="5206"/>
      <c r="H30" s="5206"/>
      <c r="I30" s="1022" t="s">
        <v>1322</v>
      </c>
      <c r="J30" s="5201" t="s">
        <v>297</v>
      </c>
      <c r="K30" s="5201"/>
      <c r="L30" s="5201"/>
      <c r="M30" s="289"/>
      <c r="N30" s="289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</row>
    <row r="31" spans="1:46" s="1030" customFormat="1" ht="54.95" customHeight="1">
      <c r="A31" s="5204" t="e">
        <f>#REF!</f>
        <v>#REF!</v>
      </c>
      <c r="B31" s="5204"/>
      <c r="C31" s="5204"/>
      <c r="D31" s="5204" t="e">
        <f>#REF!</f>
        <v>#REF!</v>
      </c>
      <c r="E31" s="5204"/>
      <c r="F31" s="1025" t="s">
        <v>486</v>
      </c>
      <c r="G31" s="1025" t="s">
        <v>487</v>
      </c>
      <c r="H31" s="1026" t="s">
        <v>31</v>
      </c>
      <c r="I31" s="1024" t="s">
        <v>1320</v>
      </c>
      <c r="J31" s="1042" t="s">
        <v>1325</v>
      </c>
      <c r="K31" s="1027" t="s">
        <v>1323</v>
      </c>
      <c r="L31" s="1028" t="s">
        <v>1319</v>
      </c>
      <c r="M31" s="289"/>
      <c r="N31" s="289"/>
      <c r="O31" s="1029"/>
      <c r="P31" s="1029"/>
      <c r="Q31" s="1029"/>
      <c r="R31" s="1029"/>
      <c r="S31" s="1029"/>
      <c r="T31" s="1029"/>
      <c r="U31" s="1029"/>
      <c r="V31" s="1029"/>
      <c r="W31" s="1029"/>
      <c r="X31" s="1029"/>
      <c r="Y31" s="1029"/>
      <c r="Z31" s="1029"/>
      <c r="AA31" s="1029"/>
      <c r="AB31" s="1029"/>
      <c r="AC31" s="1029"/>
      <c r="AD31" s="1029"/>
      <c r="AE31" s="1029"/>
      <c r="AF31" s="1029"/>
      <c r="AG31" s="1029"/>
      <c r="AH31" s="1029"/>
      <c r="AI31" s="1029"/>
      <c r="AJ31" s="1029"/>
      <c r="AK31" s="1029"/>
      <c r="AL31" s="1029"/>
    </row>
    <row r="32" spans="1:46" s="210" customFormat="1" ht="30" customHeight="1">
      <c r="A32" s="5202" t="e">
        <f>#REF!</f>
        <v>#REF!</v>
      </c>
      <c r="B32" s="5202"/>
      <c r="C32" s="5202"/>
      <c r="D32" s="5202" t="e">
        <f>#REF!</f>
        <v>#REF!</v>
      </c>
      <c r="E32" s="5202"/>
      <c r="F32" s="1063" t="s">
        <v>4</v>
      </c>
      <c r="G32" s="1063" t="s">
        <v>4</v>
      </c>
      <c r="H32" s="1063" t="s">
        <v>4</v>
      </c>
      <c r="I32" s="1063" t="s">
        <v>4</v>
      </c>
      <c r="J32" s="1063" t="s">
        <v>4</v>
      </c>
      <c r="K32" s="1063" t="s">
        <v>4</v>
      </c>
      <c r="L32" s="1063" t="s">
        <v>4</v>
      </c>
      <c r="M32" s="289"/>
      <c r="N32" s="289"/>
      <c r="O32" s="1032"/>
      <c r="P32" s="1032"/>
      <c r="Q32" s="1032"/>
      <c r="R32" s="1032"/>
      <c r="S32" s="1032"/>
      <c r="T32" s="1032"/>
      <c r="U32" s="1032"/>
      <c r="V32" s="1032"/>
      <c r="W32" s="1032"/>
      <c r="X32" s="1032"/>
      <c r="Y32" s="1032"/>
      <c r="Z32" s="1032"/>
      <c r="AA32" s="1032"/>
      <c r="AB32" s="1032"/>
      <c r="AC32" s="1032"/>
      <c r="AD32" s="1032"/>
      <c r="AE32" s="1032"/>
      <c r="AF32" s="1032"/>
      <c r="AG32" s="1032"/>
      <c r="AH32" s="1032"/>
      <c r="AI32" s="1032"/>
      <c r="AJ32" s="1032"/>
      <c r="AK32" s="1032"/>
      <c r="AL32" s="1032"/>
    </row>
    <row r="33" spans="1:46" s="359" customFormat="1" ht="15" customHeight="1">
      <c r="B33" s="11"/>
      <c r="G33" s="360"/>
      <c r="H33" s="360"/>
      <c r="I33" s="360"/>
      <c r="J33" s="360"/>
      <c r="K33" s="360"/>
      <c r="L33" s="360"/>
      <c r="M33" s="360"/>
      <c r="N33" s="360"/>
      <c r="R33" s="614"/>
      <c r="S33" s="614"/>
      <c r="T33" s="614"/>
      <c r="U33" s="614"/>
      <c r="V33" s="614"/>
      <c r="W33" s="614"/>
      <c r="X33" s="614"/>
      <c r="Y33" s="614"/>
      <c r="Z33" s="614"/>
      <c r="AA33" s="614"/>
      <c r="AB33" s="614"/>
      <c r="AC33" s="614"/>
      <c r="AD33" s="614"/>
      <c r="AE33" s="614"/>
      <c r="AF33" s="614"/>
      <c r="AG33" s="614"/>
      <c r="AH33" s="614"/>
      <c r="AI33" s="614"/>
      <c r="AJ33" s="614"/>
      <c r="AK33" s="614"/>
      <c r="AL33" s="614"/>
      <c r="AM33" s="614"/>
      <c r="AN33" s="614"/>
      <c r="AO33" s="614"/>
      <c r="AP33" s="614"/>
      <c r="AQ33" s="614"/>
      <c r="AR33" s="614"/>
      <c r="AS33" s="614"/>
      <c r="AT33" s="614"/>
    </row>
    <row r="34" spans="1:46" s="359" customFormat="1" ht="15" customHeight="1">
      <c r="B34" s="11"/>
      <c r="G34" s="360"/>
      <c r="H34" s="360"/>
      <c r="I34" s="360"/>
      <c r="J34" s="360"/>
      <c r="K34" s="360"/>
      <c r="L34" s="360"/>
      <c r="M34" s="360"/>
      <c r="N34" s="360"/>
      <c r="R34" s="614"/>
      <c r="S34" s="614"/>
      <c r="T34" s="614"/>
      <c r="U34" s="614"/>
      <c r="V34" s="614"/>
      <c r="W34" s="614"/>
      <c r="X34" s="614"/>
      <c r="Y34" s="614"/>
      <c r="Z34" s="614"/>
      <c r="AA34" s="614"/>
      <c r="AB34" s="614"/>
      <c r="AC34" s="614"/>
      <c r="AD34" s="614"/>
      <c r="AE34" s="614"/>
      <c r="AF34" s="614"/>
      <c r="AG34" s="614"/>
      <c r="AH34" s="614"/>
      <c r="AI34" s="614"/>
      <c r="AJ34" s="614"/>
      <c r="AK34" s="614"/>
      <c r="AL34" s="614"/>
      <c r="AM34" s="614"/>
      <c r="AN34" s="614"/>
      <c r="AO34" s="614"/>
      <c r="AP34" s="614"/>
      <c r="AQ34" s="614"/>
      <c r="AR34" s="614"/>
      <c r="AS34" s="614"/>
      <c r="AT34" s="614"/>
    </row>
    <row r="35" spans="1:46" s="359" customFormat="1" ht="15" customHeight="1">
      <c r="B35" s="11"/>
      <c r="G35" s="360"/>
      <c r="H35" s="360"/>
      <c r="I35" s="360"/>
      <c r="J35" s="360"/>
      <c r="K35" s="360"/>
      <c r="L35" s="360"/>
      <c r="M35" s="360"/>
      <c r="N35" s="360"/>
      <c r="R35" s="614"/>
      <c r="S35" s="614"/>
      <c r="T35" s="614"/>
      <c r="U35" s="614"/>
      <c r="V35" s="614"/>
      <c r="W35" s="614"/>
      <c r="X35" s="614"/>
      <c r="Y35" s="614"/>
      <c r="Z35" s="614"/>
      <c r="AA35" s="614"/>
      <c r="AB35" s="614"/>
      <c r="AC35" s="614"/>
      <c r="AD35" s="614"/>
      <c r="AE35" s="614"/>
      <c r="AF35" s="614"/>
      <c r="AG35" s="614"/>
      <c r="AH35" s="614"/>
      <c r="AI35" s="614"/>
      <c r="AJ35" s="614"/>
      <c r="AK35" s="614"/>
      <c r="AL35" s="614"/>
      <c r="AM35" s="614"/>
      <c r="AN35" s="614"/>
      <c r="AO35" s="614"/>
      <c r="AP35" s="614"/>
      <c r="AQ35" s="614"/>
      <c r="AR35" s="614"/>
      <c r="AS35" s="614"/>
      <c r="AT35" s="614"/>
    </row>
    <row r="36" spans="1:46" s="57" customFormat="1" ht="15" customHeight="1">
      <c r="A36" s="1075"/>
      <c r="B36" s="12"/>
      <c r="C36" s="1075"/>
      <c r="D36" s="1075"/>
      <c r="E36" s="1075"/>
      <c r="F36" s="1075"/>
      <c r="G36" s="1101"/>
      <c r="H36" s="1101"/>
      <c r="I36" s="1101"/>
      <c r="J36" s="1101"/>
      <c r="K36" s="1101"/>
      <c r="L36" s="1101"/>
      <c r="M36" s="1101"/>
      <c r="N36" s="1101"/>
      <c r="R36" s="614"/>
      <c r="S36" s="614"/>
      <c r="T36" s="614"/>
      <c r="U36" s="614"/>
      <c r="V36" s="614"/>
      <c r="W36" s="614"/>
      <c r="X36" s="614"/>
      <c r="Y36" s="614"/>
      <c r="Z36" s="614"/>
      <c r="AA36" s="614"/>
      <c r="AB36" s="614"/>
      <c r="AC36" s="614"/>
      <c r="AD36" s="614"/>
      <c r="AE36" s="614"/>
      <c r="AF36" s="614"/>
      <c r="AG36" s="614"/>
      <c r="AH36" s="614"/>
      <c r="AI36" s="614"/>
      <c r="AJ36" s="614"/>
      <c r="AK36" s="614"/>
      <c r="AL36" s="614"/>
      <c r="AM36" s="614"/>
      <c r="AN36" s="614"/>
      <c r="AO36" s="614"/>
      <c r="AP36" s="614"/>
      <c r="AQ36" s="614"/>
      <c r="AR36" s="614"/>
      <c r="AS36" s="614"/>
      <c r="AT36" s="614"/>
    </row>
    <row r="37" spans="1:46" s="24" customFormat="1" ht="12" customHeight="1">
      <c r="A37" s="1047" t="s">
        <v>28</v>
      </c>
      <c r="C37" s="42"/>
      <c r="D37" s="591"/>
      <c r="E37" s="591"/>
      <c r="F37" s="1047" t="s">
        <v>373</v>
      </c>
      <c r="H37" s="254"/>
      <c r="I37" s="254"/>
      <c r="J37" s="1047" t="s">
        <v>1329</v>
      </c>
      <c r="K37" s="589"/>
      <c r="L37" s="1047" t="s">
        <v>1331</v>
      </c>
      <c r="M37" s="200"/>
      <c r="O37" s="589"/>
      <c r="P37" s="200"/>
      <c r="Q37" s="612"/>
      <c r="R37" s="612"/>
      <c r="S37" s="594"/>
      <c r="T37" s="594"/>
      <c r="U37" s="594"/>
      <c r="V37" s="594"/>
      <c r="W37" s="594"/>
      <c r="X37" s="594"/>
      <c r="Y37" s="594"/>
      <c r="Z37" s="594"/>
      <c r="AA37" s="594"/>
      <c r="AB37" s="594"/>
      <c r="AC37" s="594"/>
      <c r="AD37" s="594"/>
      <c r="AE37" s="594"/>
      <c r="AF37" s="594"/>
      <c r="AG37" s="594"/>
      <c r="AH37" s="594"/>
      <c r="AI37" s="594"/>
      <c r="AJ37" s="594"/>
      <c r="AK37" s="594"/>
      <c r="AL37" s="594"/>
      <c r="AM37" s="594"/>
    </row>
    <row r="38" spans="1:46" s="24" customFormat="1" ht="12" customHeight="1">
      <c r="A38" s="1045" t="s">
        <v>687</v>
      </c>
      <c r="C38" s="42"/>
      <c r="D38" s="41"/>
      <c r="E38" s="41"/>
      <c r="F38" s="1045" t="s">
        <v>488</v>
      </c>
      <c r="J38" s="5203" t="s">
        <v>1330</v>
      </c>
      <c r="K38" s="5203"/>
      <c r="L38" s="5207" t="s">
        <v>1477</v>
      </c>
      <c r="M38" s="5207"/>
      <c r="N38" s="5207"/>
      <c r="O38" s="589"/>
      <c r="P38" s="200"/>
      <c r="Q38" s="612"/>
      <c r="R38" s="612"/>
      <c r="S38" s="594"/>
      <c r="T38" s="594"/>
      <c r="U38" s="594"/>
      <c r="V38" s="594"/>
      <c r="W38" s="594"/>
      <c r="X38" s="594"/>
      <c r="Y38" s="594"/>
      <c r="Z38" s="594"/>
      <c r="AA38" s="594"/>
      <c r="AB38" s="594"/>
      <c r="AC38" s="594"/>
      <c r="AD38" s="594"/>
      <c r="AE38" s="594"/>
      <c r="AF38" s="594"/>
      <c r="AG38" s="594"/>
      <c r="AH38" s="594"/>
      <c r="AI38" s="594"/>
      <c r="AJ38" s="594"/>
      <c r="AK38" s="594"/>
      <c r="AL38" s="594"/>
      <c r="AM38" s="594"/>
    </row>
    <row r="39" spans="1:46" s="24" customFormat="1" ht="12" customHeight="1">
      <c r="A39" s="1045" t="s">
        <v>377</v>
      </c>
      <c r="C39" s="42"/>
      <c r="D39" s="41"/>
      <c r="E39" s="41"/>
      <c r="F39" s="43" t="s">
        <v>1336</v>
      </c>
      <c r="J39" s="5203"/>
      <c r="K39" s="5203"/>
      <c r="L39" s="5207"/>
      <c r="M39" s="5207"/>
      <c r="N39" s="5207"/>
      <c r="O39" s="589"/>
      <c r="P39" s="200"/>
      <c r="Q39" s="612"/>
      <c r="R39" s="612"/>
      <c r="S39" s="594"/>
      <c r="T39" s="594"/>
      <c r="U39" s="594"/>
      <c r="V39" s="594"/>
      <c r="W39" s="594"/>
      <c r="X39" s="594"/>
      <c r="Y39" s="594"/>
      <c r="Z39" s="594"/>
      <c r="AA39" s="594"/>
      <c r="AB39" s="594"/>
      <c r="AC39" s="594"/>
      <c r="AD39" s="594"/>
      <c r="AE39" s="594"/>
      <c r="AF39" s="594"/>
      <c r="AG39" s="594"/>
      <c r="AH39" s="594"/>
      <c r="AI39" s="594"/>
      <c r="AJ39" s="594"/>
      <c r="AK39" s="594"/>
      <c r="AL39" s="594"/>
      <c r="AM39" s="594"/>
    </row>
    <row r="40" spans="1:46" s="113" customFormat="1" ht="12" customHeight="1">
      <c r="A40" s="1045" t="s">
        <v>375</v>
      </c>
      <c r="C40" s="115"/>
      <c r="D40" s="115"/>
      <c r="E40" s="117"/>
      <c r="F40" s="43" t="s">
        <v>1400</v>
      </c>
      <c r="H40" s="117"/>
      <c r="I40" s="117"/>
      <c r="J40" s="5203" t="s">
        <v>1403</v>
      </c>
      <c r="K40" s="5203"/>
      <c r="L40" s="5207"/>
      <c r="M40" s="5207"/>
      <c r="N40" s="5207"/>
      <c r="O40" s="589"/>
      <c r="P40" s="601"/>
      <c r="Q40" s="601"/>
      <c r="R40" s="601"/>
      <c r="S40" s="601"/>
      <c r="T40" s="601"/>
      <c r="U40" s="601"/>
      <c r="V40" s="601"/>
      <c r="W40" s="601"/>
      <c r="X40" s="601"/>
      <c r="Y40" s="601"/>
      <c r="Z40" s="601"/>
      <c r="AA40" s="601"/>
      <c r="AB40" s="601"/>
      <c r="AC40" s="601"/>
      <c r="AD40" s="601"/>
      <c r="AE40" s="601"/>
      <c r="AF40" s="601"/>
      <c r="AG40" s="601"/>
      <c r="AH40" s="601"/>
      <c r="AI40" s="601"/>
      <c r="AJ40" s="601"/>
      <c r="AK40" s="601"/>
      <c r="AL40" s="601"/>
      <c r="AM40" s="601"/>
    </row>
    <row r="41" spans="1:46" s="113" customFormat="1" ht="12" customHeight="1">
      <c r="A41" s="1046" t="s">
        <v>376</v>
      </c>
      <c r="C41" s="116"/>
      <c r="D41" s="116"/>
      <c r="E41" s="116"/>
      <c r="F41" s="43" t="s">
        <v>1332</v>
      </c>
      <c r="H41" s="116"/>
      <c r="I41" s="116"/>
      <c r="J41" s="5203"/>
      <c r="K41" s="5203"/>
      <c r="L41" s="1088"/>
      <c r="M41" s="1088"/>
      <c r="N41" s="1088"/>
      <c r="O41" s="589"/>
      <c r="P41" s="601"/>
      <c r="Q41" s="601"/>
      <c r="R41" s="601"/>
      <c r="S41" s="601"/>
      <c r="T41" s="601"/>
      <c r="U41" s="601"/>
      <c r="V41" s="601"/>
      <c r="W41" s="601"/>
      <c r="X41" s="601"/>
      <c r="Y41" s="601"/>
      <c r="Z41" s="601"/>
      <c r="AA41" s="601"/>
      <c r="AB41" s="601"/>
      <c r="AC41" s="601"/>
      <c r="AD41" s="601"/>
      <c r="AE41" s="601"/>
      <c r="AF41" s="601"/>
      <c r="AG41" s="601"/>
      <c r="AH41" s="601"/>
      <c r="AI41" s="601"/>
      <c r="AJ41" s="601"/>
      <c r="AK41" s="601"/>
      <c r="AL41" s="601"/>
      <c r="AM41" s="601"/>
    </row>
    <row r="42" spans="1:46" s="589" customFormat="1" ht="12" customHeight="1">
      <c r="C42" s="20"/>
      <c r="D42" s="17"/>
      <c r="E42" s="17"/>
      <c r="F42" s="43" t="s">
        <v>688</v>
      </c>
      <c r="H42" s="17"/>
      <c r="I42" s="17"/>
      <c r="J42" s="5203"/>
      <c r="K42" s="5203"/>
      <c r="L42" s="1088"/>
      <c r="M42" s="1088"/>
      <c r="N42" s="1088"/>
      <c r="P42" s="242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242"/>
      <c r="AB42" s="242"/>
      <c r="AC42" s="242"/>
      <c r="AD42" s="242"/>
      <c r="AE42" s="242"/>
      <c r="AF42" s="242"/>
      <c r="AG42" s="242"/>
      <c r="AH42" s="242"/>
      <c r="AI42" s="242"/>
      <c r="AJ42" s="242"/>
      <c r="AK42" s="242"/>
      <c r="AL42" s="242"/>
      <c r="AM42" s="242"/>
    </row>
    <row r="43" spans="1:46" s="589" customFormat="1" ht="12" customHeight="1">
      <c r="B43" s="195"/>
      <c r="C43" s="11"/>
      <c r="F43" s="43" t="s">
        <v>677</v>
      </c>
      <c r="K43" s="29"/>
      <c r="L43" s="29"/>
      <c r="M43" s="242"/>
      <c r="N43" s="242"/>
      <c r="O43" s="242"/>
      <c r="P43" s="242"/>
      <c r="Q43" s="242"/>
      <c r="R43" s="242"/>
      <c r="S43" s="242"/>
      <c r="T43" s="242"/>
      <c r="U43" s="242"/>
      <c r="V43" s="242"/>
      <c r="W43" s="242"/>
      <c r="X43" s="242"/>
      <c r="Y43" s="242"/>
      <c r="Z43" s="242"/>
      <c r="AA43" s="242"/>
      <c r="AB43" s="242"/>
      <c r="AC43" s="242"/>
      <c r="AD43" s="242"/>
      <c r="AE43" s="242"/>
      <c r="AF43" s="242"/>
      <c r="AG43" s="242"/>
      <c r="AH43" s="242"/>
      <c r="AI43" s="242"/>
      <c r="AJ43" s="242"/>
      <c r="AK43" s="242"/>
      <c r="AL43" s="242"/>
      <c r="AM43" s="242"/>
    </row>
    <row r="44" spans="1:46" s="57" customFormat="1" ht="15" customHeight="1">
      <c r="R44" s="614"/>
      <c r="S44" s="614"/>
      <c r="T44" s="614"/>
      <c r="U44" s="614"/>
      <c r="V44" s="614"/>
      <c r="W44" s="614"/>
      <c r="X44" s="614"/>
      <c r="Y44" s="614"/>
      <c r="Z44" s="614"/>
      <c r="AA44" s="614"/>
      <c r="AB44" s="614"/>
      <c r="AC44" s="614"/>
      <c r="AD44" s="614"/>
      <c r="AE44" s="614"/>
      <c r="AF44" s="614"/>
      <c r="AG44" s="614"/>
      <c r="AH44" s="614"/>
      <c r="AI44" s="614"/>
      <c r="AJ44" s="614"/>
      <c r="AK44" s="614"/>
      <c r="AL44" s="614"/>
      <c r="AM44" s="614"/>
      <c r="AN44" s="614"/>
      <c r="AO44" s="614"/>
      <c r="AP44" s="614"/>
      <c r="AQ44" s="614"/>
      <c r="AR44" s="614"/>
      <c r="AS44" s="614"/>
      <c r="AT44" s="614"/>
    </row>
    <row r="45" spans="1:46" s="57" customFormat="1" ht="15" customHeight="1">
      <c r="R45" s="442"/>
      <c r="S45" s="442"/>
      <c r="T45" s="442"/>
      <c r="U45" s="442"/>
      <c r="V45" s="442"/>
      <c r="W45" s="442"/>
      <c r="X45" s="442"/>
      <c r="Y45" s="442"/>
      <c r="Z45" s="442"/>
      <c r="AA45" s="442"/>
      <c r="AB45" s="442"/>
      <c r="AC45" s="442"/>
      <c r="AD45" s="442"/>
      <c r="AE45" s="442"/>
      <c r="AF45" s="442"/>
      <c r="AG45" s="442"/>
      <c r="AH45" s="442"/>
      <c r="AI45" s="442"/>
      <c r="AJ45" s="442"/>
      <c r="AK45" s="442"/>
      <c r="AL45" s="442"/>
      <c r="AM45" s="442"/>
      <c r="AN45" s="442"/>
      <c r="AO45" s="442"/>
      <c r="AP45" s="442"/>
      <c r="AQ45" s="442"/>
      <c r="AR45" s="442"/>
      <c r="AS45" s="442"/>
      <c r="AT45" s="442"/>
    </row>
    <row r="46" spans="1:46" s="9" customFormat="1" ht="18" customHeight="1">
      <c r="A46" s="137"/>
      <c r="B46" s="137"/>
      <c r="C46" s="137"/>
      <c r="D46" s="137"/>
      <c r="E46" s="137"/>
      <c r="F46" s="137"/>
      <c r="G46" s="337"/>
      <c r="H46" s="337"/>
      <c r="I46" s="337"/>
      <c r="J46" s="337"/>
      <c r="K46" s="337"/>
      <c r="L46" s="337"/>
      <c r="M46" s="337"/>
      <c r="N46" s="337"/>
      <c r="R46" s="441"/>
      <c r="S46" s="441"/>
      <c r="T46" s="441"/>
      <c r="U46" s="441"/>
      <c r="V46" s="441"/>
      <c r="W46" s="441"/>
      <c r="X46" s="441"/>
      <c r="Y46" s="441"/>
      <c r="Z46" s="441"/>
      <c r="AA46" s="441"/>
      <c r="AB46" s="441"/>
      <c r="AC46" s="441"/>
      <c r="AD46" s="441"/>
      <c r="AE46" s="441"/>
      <c r="AF46" s="441"/>
      <c r="AG46" s="441"/>
      <c r="AH46" s="441"/>
      <c r="AI46" s="441"/>
      <c r="AJ46" s="441"/>
      <c r="AK46" s="441"/>
      <c r="AL46" s="441"/>
      <c r="AM46" s="441"/>
      <c r="AN46" s="441"/>
      <c r="AO46" s="441"/>
      <c r="AP46" s="441"/>
      <c r="AQ46" s="441"/>
      <c r="AR46" s="441"/>
      <c r="AS46" s="441"/>
      <c r="AT46" s="441"/>
    </row>
    <row r="47" spans="1:46" ht="18" customHeight="1">
      <c r="A47" s="18"/>
      <c r="B47" s="20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R47" s="242"/>
      <c r="S47" s="242"/>
      <c r="T47" s="242"/>
      <c r="U47" s="242"/>
      <c r="V47" s="242"/>
      <c r="W47" s="242"/>
      <c r="X47" s="242"/>
      <c r="Y47" s="242"/>
      <c r="Z47" s="242"/>
      <c r="AA47" s="242"/>
      <c r="AB47" s="242"/>
      <c r="AC47" s="242"/>
      <c r="AD47" s="242"/>
      <c r="AE47" s="242"/>
      <c r="AF47" s="242"/>
      <c r="AG47" s="242"/>
      <c r="AH47" s="242"/>
      <c r="AI47" s="242"/>
      <c r="AJ47" s="242"/>
      <c r="AK47" s="242"/>
      <c r="AL47" s="242"/>
      <c r="AM47" s="242"/>
      <c r="AN47" s="242"/>
      <c r="AO47" s="242"/>
      <c r="AP47" s="242"/>
      <c r="AQ47" s="242"/>
      <c r="AR47" s="242"/>
      <c r="AS47" s="242"/>
      <c r="AT47" s="242"/>
    </row>
    <row r="48" spans="1:46" s="9" customFormat="1" ht="18" customHeight="1">
      <c r="A48" s="137"/>
      <c r="B48" s="137"/>
      <c r="C48" s="137"/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R48" s="441"/>
      <c r="S48" s="441"/>
      <c r="T48" s="441"/>
      <c r="U48" s="441"/>
      <c r="V48" s="441"/>
      <c r="W48" s="441"/>
      <c r="X48" s="441"/>
      <c r="Y48" s="441"/>
      <c r="Z48" s="441"/>
      <c r="AA48" s="441"/>
      <c r="AB48" s="441"/>
      <c r="AC48" s="441"/>
      <c r="AD48" s="441"/>
      <c r="AE48" s="441"/>
      <c r="AF48" s="441"/>
      <c r="AG48" s="441"/>
      <c r="AH48" s="441"/>
      <c r="AI48" s="441"/>
      <c r="AJ48" s="441"/>
      <c r="AK48" s="441"/>
      <c r="AL48" s="441"/>
      <c r="AM48" s="441"/>
      <c r="AN48" s="441"/>
      <c r="AO48" s="441"/>
      <c r="AP48" s="441"/>
      <c r="AQ48" s="441"/>
      <c r="AR48" s="441"/>
      <c r="AS48" s="441"/>
      <c r="AT48" s="441"/>
    </row>
    <row r="49" spans="1:46" s="9" customFormat="1" ht="18" customHeight="1">
      <c r="A49" s="137"/>
      <c r="B49" s="137"/>
      <c r="C49" s="137"/>
      <c r="D49" s="137"/>
      <c r="E49" s="137"/>
      <c r="F49" s="137"/>
      <c r="G49" s="137"/>
      <c r="H49" s="137"/>
      <c r="I49" s="137"/>
      <c r="J49" s="137"/>
      <c r="K49" s="137"/>
      <c r="L49" s="137"/>
      <c r="M49" s="137"/>
      <c r="N49" s="137"/>
      <c r="R49" s="441"/>
      <c r="S49" s="441"/>
      <c r="T49" s="441"/>
      <c r="U49" s="441"/>
      <c r="V49" s="441"/>
      <c r="W49" s="441"/>
      <c r="X49" s="441"/>
      <c r="Y49" s="441"/>
      <c r="Z49" s="441"/>
      <c r="AA49" s="441"/>
      <c r="AB49" s="441"/>
      <c r="AC49" s="441"/>
      <c r="AD49" s="441"/>
      <c r="AE49" s="441"/>
      <c r="AF49" s="441"/>
      <c r="AG49" s="441"/>
      <c r="AH49" s="441"/>
      <c r="AI49" s="441"/>
      <c r="AJ49" s="441"/>
      <c r="AK49" s="441"/>
      <c r="AL49" s="441"/>
      <c r="AM49" s="441"/>
      <c r="AN49" s="441"/>
      <c r="AO49" s="441"/>
      <c r="AP49" s="441"/>
      <c r="AQ49" s="441"/>
      <c r="AR49" s="441"/>
      <c r="AS49" s="441"/>
      <c r="AT49" s="441"/>
    </row>
    <row r="50" spans="1:46" s="9" customFormat="1" ht="18" customHeight="1">
      <c r="A50" s="137"/>
      <c r="B50" s="137"/>
      <c r="C50" s="137"/>
      <c r="D50" s="137"/>
      <c r="E50" s="137"/>
      <c r="F50" s="137"/>
      <c r="G50" s="137"/>
      <c r="H50" s="137"/>
      <c r="I50" s="137"/>
      <c r="J50" s="137"/>
      <c r="K50" s="137"/>
      <c r="L50" s="137"/>
      <c r="M50" s="137"/>
      <c r="N50" s="137"/>
      <c r="R50" s="441"/>
      <c r="S50" s="441"/>
      <c r="T50" s="441"/>
      <c r="U50" s="441"/>
      <c r="V50" s="441"/>
      <c r="W50" s="441"/>
      <c r="X50" s="441"/>
      <c r="Y50" s="441"/>
      <c r="Z50" s="441"/>
      <c r="AA50" s="441"/>
      <c r="AB50" s="441"/>
      <c r="AC50" s="441"/>
      <c r="AD50" s="441"/>
      <c r="AE50" s="441"/>
      <c r="AF50" s="441"/>
      <c r="AG50" s="441"/>
      <c r="AH50" s="441"/>
      <c r="AI50" s="441"/>
      <c r="AJ50" s="441"/>
      <c r="AK50" s="441"/>
      <c r="AL50" s="441"/>
      <c r="AM50" s="441"/>
      <c r="AN50" s="441"/>
      <c r="AO50" s="441"/>
      <c r="AP50" s="441"/>
      <c r="AQ50" s="441"/>
      <c r="AR50" s="441"/>
      <c r="AS50" s="441"/>
      <c r="AT50" s="441"/>
    </row>
    <row r="51" spans="1:46" s="11" customFormat="1" ht="15" customHeight="1">
      <c r="B51" s="60" t="s">
        <v>20</v>
      </c>
      <c r="G51" s="62"/>
      <c r="H51" s="61"/>
      <c r="I51" s="61"/>
      <c r="J51" s="62"/>
      <c r="K51" s="62"/>
      <c r="L51" s="62"/>
      <c r="M51" s="62"/>
      <c r="N51" s="62"/>
      <c r="R51" s="387"/>
      <c r="S51" s="387"/>
      <c r="T51" s="387"/>
      <c r="U51" s="387"/>
      <c r="V51" s="387"/>
      <c r="W51" s="387"/>
      <c r="X51" s="387"/>
      <c r="Y51" s="387"/>
      <c r="Z51" s="387"/>
      <c r="AA51" s="387"/>
      <c r="AB51" s="387"/>
      <c r="AC51" s="387"/>
      <c r="AD51" s="387"/>
      <c r="AE51" s="387"/>
      <c r="AF51" s="387"/>
      <c r="AG51" s="387"/>
      <c r="AH51" s="387"/>
      <c r="AI51" s="387"/>
      <c r="AJ51" s="387"/>
      <c r="AK51" s="387"/>
      <c r="AL51" s="387"/>
      <c r="AM51" s="387"/>
      <c r="AN51" s="387"/>
      <c r="AO51" s="387"/>
      <c r="AP51" s="387"/>
      <c r="AQ51" s="387"/>
      <c r="AR51" s="387"/>
      <c r="AS51" s="387"/>
      <c r="AT51" s="387"/>
    </row>
    <row r="52" spans="1:46" s="589" customFormat="1" ht="15" customHeight="1">
      <c r="A52" s="4633" t="s">
        <v>3</v>
      </c>
      <c r="B52" s="4234"/>
      <c r="C52" s="4234"/>
      <c r="D52" s="4234"/>
      <c r="E52" s="4234"/>
      <c r="F52" s="4235"/>
      <c r="G52" s="5211" t="s">
        <v>958</v>
      </c>
      <c r="H52" s="1019" t="s">
        <v>1359</v>
      </c>
      <c r="I52" s="103" t="s">
        <v>1360</v>
      </c>
      <c r="J52" s="103" t="s">
        <v>959</v>
      </c>
      <c r="K52" s="103" t="s">
        <v>1361</v>
      </c>
      <c r="L52" s="5211" t="s">
        <v>960</v>
      </c>
      <c r="M52" s="103" t="s">
        <v>1363</v>
      </c>
      <c r="N52" s="103" t="s">
        <v>1364</v>
      </c>
      <c r="R52" s="614"/>
      <c r="S52" s="614"/>
      <c r="T52" s="614"/>
      <c r="U52" s="614"/>
      <c r="V52" s="614"/>
      <c r="W52" s="614"/>
      <c r="X52" s="614"/>
      <c r="Y52" s="614"/>
      <c r="Z52" s="614"/>
      <c r="AA52" s="614"/>
      <c r="AB52" s="614"/>
      <c r="AC52" s="614"/>
      <c r="AD52" s="614"/>
      <c r="AE52" s="614"/>
      <c r="AF52" s="614"/>
      <c r="AG52" s="614"/>
      <c r="AH52" s="614"/>
      <c r="AI52" s="614"/>
      <c r="AJ52" s="614"/>
      <c r="AK52" s="614"/>
      <c r="AL52" s="614"/>
      <c r="AM52" s="614"/>
      <c r="AN52" s="614"/>
      <c r="AO52" s="614"/>
      <c r="AP52" s="614"/>
      <c r="AQ52" s="614"/>
      <c r="AR52" s="614"/>
      <c r="AS52" s="614"/>
      <c r="AT52" s="614"/>
    </row>
    <row r="53" spans="1:46" s="589" customFormat="1" ht="15" customHeight="1">
      <c r="A53" s="4635"/>
      <c r="B53" s="4238"/>
      <c r="C53" s="4238"/>
      <c r="D53" s="4238"/>
      <c r="E53" s="4238"/>
      <c r="F53" s="4239"/>
      <c r="G53" s="5212"/>
      <c r="H53" s="1021" t="s">
        <v>83</v>
      </c>
      <c r="I53" s="1021" t="s">
        <v>1358</v>
      </c>
      <c r="J53" s="1021" t="s">
        <v>55</v>
      </c>
      <c r="K53" s="1021" t="s">
        <v>49</v>
      </c>
      <c r="L53" s="5212"/>
      <c r="M53" s="1021" t="s">
        <v>1358</v>
      </c>
      <c r="N53" s="1021" t="s">
        <v>49</v>
      </c>
      <c r="R53" s="614"/>
      <c r="S53" s="614"/>
      <c r="T53" s="614"/>
      <c r="U53" s="614"/>
      <c r="V53" s="614"/>
      <c r="W53" s="614"/>
      <c r="X53" s="614"/>
      <c r="Y53" s="614"/>
      <c r="Z53" s="614"/>
      <c r="AA53" s="614"/>
      <c r="AB53" s="614"/>
      <c r="AC53" s="614"/>
      <c r="AD53" s="614"/>
      <c r="AE53" s="614"/>
      <c r="AF53" s="614"/>
      <c r="AG53" s="614"/>
      <c r="AH53" s="614"/>
      <c r="AI53" s="614"/>
      <c r="AJ53" s="614"/>
      <c r="AK53" s="614"/>
      <c r="AL53" s="614"/>
      <c r="AM53" s="614"/>
      <c r="AN53" s="614"/>
      <c r="AO53" s="614"/>
      <c r="AP53" s="614"/>
      <c r="AQ53" s="614"/>
      <c r="AR53" s="614"/>
      <c r="AS53" s="614"/>
      <c r="AT53" s="614"/>
    </row>
    <row r="54" spans="1:46" s="63" customFormat="1" ht="15" customHeight="1">
      <c r="A54" s="4331" t="s">
        <v>51</v>
      </c>
      <c r="B54" s="4332"/>
      <c r="C54" s="4332"/>
      <c r="D54" s="4332"/>
      <c r="E54" s="4332"/>
      <c r="F54" s="4332"/>
      <c r="G54" s="4332"/>
      <c r="H54" s="4332"/>
      <c r="I54" s="4332"/>
      <c r="J54" s="4332"/>
      <c r="K54" s="4332"/>
      <c r="L54" s="4332"/>
      <c r="M54" s="4332"/>
      <c r="N54" s="5136"/>
      <c r="R54" s="387"/>
      <c r="S54" s="387"/>
      <c r="T54" s="387"/>
      <c r="U54" s="387"/>
      <c r="V54" s="387"/>
      <c r="W54" s="387"/>
      <c r="X54" s="387"/>
      <c r="Y54" s="387"/>
      <c r="Z54" s="387"/>
      <c r="AA54" s="387"/>
      <c r="AB54" s="387"/>
      <c r="AC54" s="387"/>
      <c r="AD54" s="387"/>
      <c r="AE54" s="387"/>
      <c r="AF54" s="387"/>
      <c r="AG54" s="387"/>
      <c r="AH54" s="387"/>
      <c r="AI54" s="387"/>
      <c r="AJ54" s="387"/>
      <c r="AK54" s="387"/>
      <c r="AL54" s="387"/>
      <c r="AM54" s="387"/>
      <c r="AN54" s="387"/>
      <c r="AO54" s="387"/>
      <c r="AP54" s="387"/>
      <c r="AQ54" s="387"/>
      <c r="AR54" s="387"/>
      <c r="AS54" s="387"/>
      <c r="AT54" s="387"/>
    </row>
    <row r="55" spans="1:46" s="72" customFormat="1" ht="24.95" customHeight="1">
      <c r="A55" s="4251" t="s">
        <v>77</v>
      </c>
      <c r="B55" s="4252"/>
      <c r="C55" s="5218" t="s">
        <v>1367</v>
      </c>
      <c r="D55" s="5218"/>
      <c r="E55" s="5226" t="s">
        <v>1296</v>
      </c>
      <c r="F55" s="5227"/>
      <c r="G55" s="1044"/>
      <c r="H55" s="1044"/>
      <c r="I55" s="1044"/>
      <c r="J55" s="1044"/>
      <c r="K55" s="1044"/>
      <c r="L55" s="1044"/>
      <c r="M55" s="1044"/>
      <c r="N55" s="1044"/>
      <c r="R55" s="442"/>
      <c r="S55" s="442"/>
      <c r="T55" s="442"/>
      <c r="U55" s="442"/>
      <c r="V55" s="442"/>
      <c r="W55" s="442"/>
      <c r="X55" s="442"/>
      <c r="Y55" s="442"/>
      <c r="Z55" s="442"/>
      <c r="AA55" s="442"/>
      <c r="AB55" s="442"/>
      <c r="AC55" s="442"/>
      <c r="AD55" s="442"/>
      <c r="AE55" s="442"/>
      <c r="AF55" s="442"/>
      <c r="AG55" s="442"/>
      <c r="AH55" s="442"/>
      <c r="AI55" s="442"/>
      <c r="AJ55" s="442"/>
      <c r="AK55" s="442"/>
      <c r="AL55" s="442"/>
      <c r="AM55" s="442"/>
      <c r="AN55" s="442"/>
      <c r="AO55" s="442"/>
      <c r="AP55" s="442"/>
      <c r="AQ55" s="442"/>
      <c r="AR55" s="442"/>
      <c r="AS55" s="442"/>
      <c r="AT55" s="442"/>
    </row>
    <row r="56" spans="1:46" s="72" customFormat="1" ht="15" customHeight="1">
      <c r="A56" s="4251"/>
      <c r="B56" s="4252"/>
      <c r="C56" s="5218"/>
      <c r="D56" s="5218"/>
      <c r="E56" s="5209" t="s">
        <v>322</v>
      </c>
      <c r="F56" s="4821"/>
      <c r="G56" s="370"/>
      <c r="H56" s="331"/>
      <c r="I56" s="370"/>
      <c r="J56" s="370">
        <f>CEILING('Декоры база'!CG147*(1+скидки_наценки!B32)*скидки_наценки!$D$13*скидки_наценки!$F$13/скидки_наценки!$B$4, 50)</f>
        <v>1600</v>
      </c>
      <c r="K56" s="370"/>
      <c r="L56" s="370"/>
      <c r="M56" s="370"/>
      <c r="N56" s="370"/>
      <c r="R56" s="442"/>
      <c r="S56" s="442"/>
      <c r="T56" s="442"/>
      <c r="U56" s="442"/>
      <c r="V56" s="442"/>
      <c r="W56" s="442"/>
      <c r="X56" s="442"/>
      <c r="Y56" s="442"/>
      <c r="Z56" s="442"/>
      <c r="AA56" s="442"/>
      <c r="AB56" s="442"/>
      <c r="AC56" s="442"/>
      <c r="AD56" s="442"/>
      <c r="AE56" s="442"/>
      <c r="AF56" s="442"/>
      <c r="AG56" s="442"/>
      <c r="AH56" s="442"/>
      <c r="AI56" s="442"/>
      <c r="AJ56" s="442"/>
      <c r="AK56" s="442"/>
      <c r="AL56" s="442"/>
      <c r="AM56" s="442"/>
      <c r="AN56" s="442"/>
      <c r="AO56" s="442"/>
      <c r="AP56" s="442"/>
      <c r="AQ56" s="442"/>
      <c r="AR56" s="442"/>
      <c r="AS56" s="442"/>
      <c r="AT56" s="442"/>
    </row>
    <row r="57" spans="1:46" s="72" customFormat="1" ht="15" customHeight="1">
      <c r="A57" s="4251"/>
      <c r="B57" s="4252"/>
      <c r="C57" s="4249" t="s">
        <v>79</v>
      </c>
      <c r="D57" s="4249"/>
      <c r="E57" s="5224" t="s">
        <v>227</v>
      </c>
      <c r="F57" s="5225"/>
      <c r="G57" s="368"/>
      <c r="H57" s="368"/>
      <c r="I57" s="368"/>
      <c r="J57" s="368" t="s">
        <v>4</v>
      </c>
      <c r="K57" s="368"/>
      <c r="L57" s="368"/>
      <c r="M57" s="368"/>
      <c r="N57" s="368"/>
      <c r="O57" s="359"/>
      <c r="R57" s="442"/>
      <c r="S57" s="442"/>
      <c r="T57" s="442"/>
      <c r="U57" s="442"/>
      <c r="V57" s="442"/>
      <c r="W57" s="442"/>
      <c r="X57" s="442"/>
      <c r="Y57" s="442"/>
      <c r="Z57" s="442"/>
      <c r="AA57" s="442"/>
      <c r="AB57" s="442"/>
      <c r="AC57" s="442"/>
      <c r="AD57" s="442"/>
      <c r="AE57" s="442"/>
      <c r="AF57" s="442"/>
      <c r="AG57" s="442"/>
      <c r="AH57" s="442"/>
      <c r="AI57" s="442"/>
      <c r="AJ57" s="442"/>
      <c r="AK57" s="442"/>
      <c r="AL57" s="442"/>
      <c r="AM57" s="442"/>
      <c r="AN57" s="442"/>
      <c r="AO57" s="442"/>
      <c r="AP57" s="442"/>
      <c r="AQ57" s="442"/>
      <c r="AR57" s="442"/>
      <c r="AS57" s="442"/>
      <c r="AT57" s="442"/>
    </row>
    <row r="58" spans="1:46" s="72" customFormat="1" ht="15" customHeight="1">
      <c r="A58" s="4251"/>
      <c r="B58" s="4252"/>
      <c r="C58" s="4249"/>
      <c r="D58" s="4249"/>
      <c r="E58" s="5224" t="s">
        <v>229</v>
      </c>
      <c r="F58" s="5225"/>
      <c r="G58" s="368"/>
      <c r="H58" s="329"/>
      <c r="J58" s="368">
        <f>CEILING(('Декоры база'!CG127-'Декоры база'!CG126)*(1+скидки_наценки!$B$32)*скидки_наценки!$D$13*скидки_наценки!$F$13/скидки_наценки!$B$4, 50)</f>
        <v>0</v>
      </c>
      <c r="K58" s="368">
        <f>CEILING(('Декоры база'!CH127-'Декоры база'!CH126)*(1+скидки_наценки!$B$32)*скидки_наценки!$D$13*скидки_наценки!$F$13/скидки_наценки!$B$4, 50)</f>
        <v>500</v>
      </c>
      <c r="L58" s="368"/>
      <c r="M58" s="368">
        <f>CEILING(('Декоры база'!CJ127-'Декоры база'!CJ126)*(1+скидки_наценки!$B$32)*скидки_наценки!$D$13*скидки_наценки!$F$13/скидки_наценки!$B$4, 50)</f>
        <v>1100</v>
      </c>
      <c r="N58" s="368">
        <f>CEILING(('Декоры база'!CK127-'Декоры база'!CK126)*(1+скидки_наценки!$B$32)*скидки_наценки!$D$13*скидки_наценки!$F$13/скидки_наценки!$B$4, 50)</f>
        <v>500</v>
      </c>
      <c r="R58" s="442"/>
      <c r="S58" s="442"/>
      <c r="T58" s="442"/>
      <c r="U58" s="442"/>
      <c r="V58" s="442"/>
      <c r="W58" s="442"/>
      <c r="X58" s="442"/>
      <c r="Y58" s="442"/>
      <c r="Z58" s="442"/>
      <c r="AA58" s="442"/>
      <c r="AB58" s="442"/>
      <c r="AC58" s="442"/>
      <c r="AD58" s="442"/>
      <c r="AE58" s="442"/>
      <c r="AF58" s="442"/>
      <c r="AG58" s="442"/>
      <c r="AH58" s="442"/>
      <c r="AI58" s="442"/>
      <c r="AJ58" s="442"/>
      <c r="AK58" s="442"/>
      <c r="AL58" s="442"/>
      <c r="AM58" s="442"/>
      <c r="AN58" s="442"/>
      <c r="AO58" s="442"/>
      <c r="AP58" s="442"/>
      <c r="AQ58" s="442"/>
      <c r="AR58" s="442"/>
      <c r="AS58" s="442"/>
      <c r="AT58" s="442"/>
    </row>
    <row r="59" spans="1:46" s="72" customFormat="1" ht="15" customHeight="1">
      <c r="A59" s="4318"/>
      <c r="B59" s="5217"/>
      <c r="C59" s="4249"/>
      <c r="D59" s="4249"/>
      <c r="E59" s="5224" t="s">
        <v>230</v>
      </c>
      <c r="F59" s="5225"/>
      <c r="G59" s="368"/>
      <c r="H59" s="368"/>
      <c r="J59" s="368">
        <f>CEILING(('Декоры база'!CG128-'Декоры база'!CG126)*(1+скидки_наценки!$B$32)*скидки_наценки!$D$13*скидки_наценки!$F$13/скидки_наценки!$B$4, 50)</f>
        <v>0</v>
      </c>
      <c r="K59" s="368">
        <f>CEILING(('Декоры база'!CH128-'Декоры база'!CH126)*(1+скидки_наценки!$B$32)*скидки_наценки!$D$13*скидки_наценки!$F$13/скидки_наценки!$B$4, 50)</f>
        <v>700</v>
      </c>
      <c r="L59" s="368"/>
      <c r="M59" s="368">
        <f>CEILING(('Декоры база'!CJ128-'Декоры база'!CJ126)*(1+скидки_наценки!$B$32)*скидки_наценки!$D$13*скидки_наценки!$F$13/скидки_наценки!$B$4, 50)</f>
        <v>1700</v>
      </c>
      <c r="N59" s="368">
        <f>CEILING(('Декоры база'!CK128-'Декоры база'!CK126)*(1+скидки_наценки!$B$32)*скидки_наценки!$D$13*скидки_наценки!$F$13/скидки_наценки!$B$4, 50)</f>
        <v>700</v>
      </c>
      <c r="R59" s="442"/>
      <c r="S59" s="442"/>
      <c r="T59" s="442"/>
      <c r="U59" s="442"/>
      <c r="V59" s="442"/>
      <c r="W59" s="442"/>
      <c r="X59" s="442"/>
      <c r="Y59" s="442"/>
      <c r="Z59" s="442"/>
      <c r="AA59" s="442"/>
      <c r="AB59" s="442"/>
      <c r="AC59" s="442"/>
      <c r="AD59" s="442"/>
      <c r="AE59" s="442"/>
      <c r="AF59" s="442"/>
      <c r="AG59" s="442"/>
      <c r="AH59" s="442"/>
      <c r="AI59" s="442"/>
      <c r="AJ59" s="442"/>
      <c r="AK59" s="442"/>
      <c r="AL59" s="442"/>
      <c r="AM59" s="442"/>
      <c r="AN59" s="442"/>
      <c r="AO59" s="442"/>
      <c r="AP59" s="442"/>
      <c r="AQ59" s="442"/>
      <c r="AR59" s="442"/>
      <c r="AS59" s="442"/>
      <c r="AT59" s="442"/>
    </row>
    <row r="60" spans="1:46" s="72" customFormat="1" ht="15" customHeight="1">
      <c r="A60" s="4819" t="s">
        <v>80</v>
      </c>
      <c r="B60" s="4820"/>
      <c r="C60" s="5208"/>
      <c r="D60" s="5208"/>
      <c r="E60" s="4820"/>
      <c r="F60" s="4821"/>
      <c r="G60" s="1287"/>
      <c r="H60" s="1287"/>
      <c r="J60" s="370">
        <f>CEILING('Декоры база'!CG91*(1+скидки_наценки!$B$32)*скидки_наценки!$D$13*скидки_наценки!$F$13/скидки_наценки!$B$4, 50)</f>
        <v>600</v>
      </c>
      <c r="K60" s="370">
        <f>CEILING('Декоры база'!CH91*(1+скидки_наценки!$B$32)*скидки_наценки!$D$13*скидки_наценки!$F$13/скидки_наценки!$B$4, 50)</f>
        <v>250</v>
      </c>
      <c r="L60" s="1287"/>
      <c r="M60" s="370">
        <f>CEILING('Декоры база'!CJ91*(1+скидки_наценки!$B$32)*скидки_наценки!$D$13*скидки_наценки!$F$13/скидки_наценки!$B$4, 50)</f>
        <v>600</v>
      </c>
      <c r="N60" s="370">
        <f>CEILING('Декоры база'!CK91*(1+скидки_наценки!$B$32)*скидки_наценки!$D$13*скидки_наценки!$F$13/скидки_наценки!$B$4, 50)</f>
        <v>250</v>
      </c>
      <c r="R60" s="442"/>
      <c r="S60" s="442"/>
      <c r="T60" s="442"/>
      <c r="U60" s="442"/>
      <c r="V60" s="442"/>
      <c r="W60" s="442"/>
      <c r="X60" s="442"/>
      <c r="Y60" s="442"/>
      <c r="Z60" s="442"/>
      <c r="AA60" s="442"/>
      <c r="AB60" s="442"/>
      <c r="AC60" s="442"/>
      <c r="AD60" s="442"/>
      <c r="AE60" s="442"/>
      <c r="AF60" s="442"/>
      <c r="AG60" s="442"/>
      <c r="AH60" s="442"/>
      <c r="AI60" s="442"/>
      <c r="AJ60" s="442"/>
      <c r="AK60" s="442"/>
      <c r="AL60" s="442"/>
      <c r="AM60" s="442"/>
      <c r="AN60" s="442"/>
      <c r="AO60" s="442"/>
      <c r="AP60" s="442"/>
      <c r="AQ60" s="442"/>
      <c r="AR60" s="442"/>
      <c r="AS60" s="442"/>
      <c r="AT60" s="442"/>
    </row>
    <row r="61" spans="1:46" s="72" customFormat="1" ht="15" customHeight="1">
      <c r="A61" s="4719" t="s">
        <v>231</v>
      </c>
      <c r="B61" s="4822"/>
      <c r="C61" s="4822"/>
      <c r="D61" s="4822"/>
      <c r="E61" s="4822"/>
      <c r="F61" s="4720"/>
      <c r="G61" s="368"/>
      <c r="H61" s="329"/>
      <c r="J61" s="368">
        <f>CEILING('Декоры база'!CG92*(1+скидки_наценки!$B$32)*скидки_наценки!$D$13*скидки_наценки!$F$13/скидки_наценки!$B$4, 50)</f>
        <v>1200</v>
      </c>
      <c r="K61" s="368">
        <f>CEILING('Декоры база'!CH92*(1+скидки_наценки!$B$32)*скидки_наценки!$D$13*скидки_наценки!$F$13/скидки_наценки!$B$4, 50)</f>
        <v>500</v>
      </c>
      <c r="L61" s="368"/>
      <c r="M61" s="368">
        <f>CEILING('Декоры база'!CJ92*(1+скидки_наценки!$B$32)*скидки_наценки!$D$13*скидки_наценки!$F$13/скидки_наценки!$B$4, 50)</f>
        <v>1200</v>
      </c>
      <c r="N61" s="368">
        <f>CEILING('Декоры база'!CK92*(1+скидки_наценки!$B$32)*скидки_наценки!$D$13*скидки_наценки!$F$13/скидки_наценки!$B$4, 50)</f>
        <v>500</v>
      </c>
      <c r="R61" s="442"/>
      <c r="S61" s="442"/>
      <c r="T61" s="442"/>
      <c r="U61" s="442"/>
      <c r="V61" s="442"/>
      <c r="W61" s="442"/>
      <c r="X61" s="442"/>
      <c r="Y61" s="442"/>
      <c r="Z61" s="442"/>
      <c r="AA61" s="442"/>
      <c r="AB61" s="442"/>
      <c r="AC61" s="442"/>
      <c r="AD61" s="442"/>
      <c r="AE61" s="442"/>
      <c r="AF61" s="442"/>
      <c r="AG61" s="442"/>
      <c r="AH61" s="442"/>
      <c r="AI61" s="442"/>
      <c r="AJ61" s="442"/>
      <c r="AK61" s="442"/>
      <c r="AL61" s="442"/>
      <c r="AM61" s="442"/>
      <c r="AN61" s="442"/>
      <c r="AO61" s="442"/>
      <c r="AP61" s="442"/>
      <c r="AQ61" s="442"/>
      <c r="AR61" s="442"/>
      <c r="AS61" s="442"/>
      <c r="AT61" s="442"/>
    </row>
    <row r="62" spans="1:46" s="64" customFormat="1" ht="15" customHeight="1">
      <c r="A62" s="4819" t="s">
        <v>1356</v>
      </c>
      <c r="B62" s="4820"/>
      <c r="C62" s="4820"/>
      <c r="D62" s="4820"/>
      <c r="E62" s="4820"/>
      <c r="F62" s="4821"/>
      <c r="G62" s="369"/>
      <c r="H62" s="330"/>
      <c r="J62" s="370"/>
      <c r="K62" s="370"/>
      <c r="L62" s="370"/>
      <c r="M62" s="370"/>
      <c r="N62" s="369"/>
      <c r="R62" s="242"/>
      <c r="S62" s="242"/>
      <c r="T62" s="242"/>
      <c r="U62" s="242"/>
      <c r="V62" s="242"/>
      <c r="W62" s="242"/>
      <c r="X62" s="242"/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</row>
    <row r="63" spans="1:46" s="64" customFormat="1" ht="15" customHeight="1">
      <c r="A63" s="4819" t="s">
        <v>1357</v>
      </c>
      <c r="B63" s="4820"/>
      <c r="C63" s="4820"/>
      <c r="D63" s="4820"/>
      <c r="E63" s="4820"/>
      <c r="F63" s="4821"/>
      <c r="G63" s="369"/>
      <c r="H63" s="369"/>
      <c r="J63" s="370"/>
      <c r="K63" s="370"/>
      <c r="L63" s="370"/>
      <c r="M63" s="370">
        <f>CEILING(('Декоры база'!CJ98-'Декоры база'!CJ97)*(1+скидки_наценки!$B$32)*скидки_наценки!$D$13*скидки_наценки!$F$13/скидки_наценки!$B$4, 50)</f>
        <v>2300</v>
      </c>
      <c r="N63" s="370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</row>
    <row r="64" spans="1:46" s="64" customFormat="1" ht="45" customHeight="1">
      <c r="A64" s="4719" t="s">
        <v>53</v>
      </c>
      <c r="B64" s="4822"/>
      <c r="C64" s="4822"/>
      <c r="D64" s="4822"/>
      <c r="E64" s="4822"/>
      <c r="F64" s="4720"/>
      <c r="G64" s="368"/>
      <c r="H64" s="329"/>
      <c r="J64" s="368"/>
      <c r="K64" s="368"/>
      <c r="L64" s="368"/>
      <c r="M64" s="368">
        <f>CEILING('Декоры база'!CJ99*(1+скидки_наценки!$B$32)*скидки_наценки!$D$13*скидки_наценки!$F$13/скидки_наценки!$B$4, 50)</f>
        <v>10300</v>
      </c>
      <c r="N64" s="368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</row>
    <row r="65" spans="1:46" s="63" customFormat="1" ht="15" customHeight="1">
      <c r="A65" s="5219" t="s">
        <v>1355</v>
      </c>
      <c r="B65" s="5220"/>
      <c r="C65" s="5220"/>
      <c r="D65" s="5220"/>
      <c r="E65" s="5220"/>
      <c r="F65" s="5220"/>
      <c r="G65" s="5220"/>
      <c r="H65" s="5220"/>
      <c r="I65" s="5220"/>
      <c r="J65" s="5220"/>
      <c r="K65" s="5220"/>
      <c r="L65" s="5220"/>
      <c r="M65" s="5220"/>
      <c r="N65" s="5221"/>
      <c r="R65" s="387"/>
      <c r="S65" s="387"/>
      <c r="T65" s="387"/>
      <c r="U65" s="387"/>
      <c r="V65" s="387"/>
      <c r="W65" s="387"/>
      <c r="X65" s="387"/>
      <c r="Y65" s="387"/>
      <c r="Z65" s="387"/>
      <c r="AA65" s="387"/>
      <c r="AB65" s="387"/>
      <c r="AC65" s="387"/>
      <c r="AD65" s="387"/>
      <c r="AE65" s="387"/>
      <c r="AF65" s="387"/>
      <c r="AG65" s="387"/>
      <c r="AH65" s="387"/>
      <c r="AI65" s="387"/>
      <c r="AJ65" s="387"/>
      <c r="AK65" s="387"/>
      <c r="AL65" s="387"/>
      <c r="AM65" s="387"/>
      <c r="AN65" s="387"/>
      <c r="AO65" s="387"/>
      <c r="AP65" s="387"/>
      <c r="AQ65" s="387"/>
      <c r="AR65" s="387"/>
      <c r="AS65" s="387"/>
      <c r="AT65" s="387"/>
    </row>
    <row r="66" spans="1:46" s="72" customFormat="1" ht="15" customHeight="1">
      <c r="A66" s="4562" t="s">
        <v>1353</v>
      </c>
      <c r="B66" s="4563"/>
      <c r="C66" s="4563"/>
      <c r="D66" s="4564"/>
      <c r="E66" s="4384" t="s">
        <v>1220</v>
      </c>
      <c r="F66" s="4385"/>
      <c r="G66" s="1104" t="s">
        <v>4</v>
      </c>
      <c r="H66" s="1067" t="s">
        <v>4</v>
      </c>
      <c r="I66" s="1104">
        <f>CEILING('Декоры база'!CF58*(1+скидки_наценки!$B$32)*скидки_наценки!$D$13*скидки_наценки!$F$13/скидки_наценки!$B$4,50)</f>
        <v>0</v>
      </c>
      <c r="J66" s="1190">
        <f>CEILING('Декоры база'!CG58*(1+скидки_наценки!$B$32)*скидки_наценки!$D$13*скидки_наценки!$F$13/скидки_наценки!$B$4,50)</f>
        <v>0</v>
      </c>
      <c r="K66" s="1190">
        <f>CEILING('Декоры база'!CH58*(1+скидки_наценки!$B$32)*скидки_наценки!$D$13*скидки_наценки!$F$13/скидки_наценки!$B$4,50)</f>
        <v>0</v>
      </c>
      <c r="L66" s="1190">
        <f>CEILING('Декоры база'!CI58*(1+скидки_наценки!$B$32)*скидки_наценки!$D$13*скидки_наценки!$F$13/скидки_наценки!$B$4,50)</f>
        <v>0</v>
      </c>
      <c r="M66" s="1190">
        <f>CEILING('Декоры база'!CJ58*(1+скидки_наценки!$B$32)*скидки_наценки!$D$13*скидки_наценки!$F$13/скидки_наценки!$B$4,50)</f>
        <v>0</v>
      </c>
      <c r="N66" s="1190">
        <f>CEILING('Декоры база'!CK58*(1+скидки_наценки!$B$32)*скидки_наценки!$D$13*скидки_наценки!$F$13/скидки_наценки!$B$4,50)</f>
        <v>0</v>
      </c>
      <c r="R66" s="442"/>
      <c r="S66" s="442"/>
      <c r="T66" s="442"/>
      <c r="U66" s="442"/>
      <c r="V66" s="442"/>
      <c r="W66" s="442"/>
      <c r="X66" s="442"/>
      <c r="Y66" s="442"/>
      <c r="Z66" s="442"/>
      <c r="AA66" s="442"/>
      <c r="AB66" s="442"/>
      <c r="AC66" s="442"/>
      <c r="AD66" s="442"/>
      <c r="AE66" s="442"/>
      <c r="AF66" s="442"/>
      <c r="AG66" s="442"/>
      <c r="AH66" s="442"/>
      <c r="AI66" s="442"/>
      <c r="AJ66" s="442"/>
      <c r="AK66" s="442"/>
      <c r="AL66" s="442"/>
      <c r="AM66" s="442"/>
      <c r="AN66" s="442"/>
      <c r="AO66" s="442"/>
      <c r="AP66" s="442"/>
      <c r="AQ66" s="442"/>
      <c r="AR66" s="442"/>
      <c r="AS66" s="442"/>
      <c r="AT66" s="442"/>
    </row>
    <row r="67" spans="1:46" s="72" customFormat="1" ht="15" customHeight="1">
      <c r="A67" s="4565"/>
      <c r="B67" s="4566"/>
      <c r="C67" s="4566"/>
      <c r="D67" s="4567"/>
      <c r="E67" s="4386" t="s">
        <v>1222</v>
      </c>
      <c r="F67" s="4387"/>
      <c r="G67" s="1107" t="s">
        <v>4</v>
      </c>
      <c r="H67" s="1108" t="s">
        <v>4</v>
      </c>
      <c r="I67" s="1108">
        <f>CEILING('Декоры база'!CF59*(1+скидки_наценки!$B$32)*скидки_наценки!$D$13*скидки_наценки!$F$13/скидки_наценки!$B$4,50)</f>
        <v>0</v>
      </c>
      <c r="J67" s="1108">
        <f>CEILING('Декоры база'!CG59*(1+скидки_наценки!$B$32)*скидки_наценки!$D$13*скидки_наценки!$F$13/скидки_наценки!$B$4,50)</f>
        <v>0</v>
      </c>
      <c r="K67" s="1108">
        <f>CEILING('Декоры база'!CH59*(1+скидки_наценки!$B$32)*скидки_наценки!$D$13*скидки_наценки!$F$13/скидки_наценки!$B$4,50)</f>
        <v>0</v>
      </c>
      <c r="L67" s="1108">
        <f>CEILING('Декоры база'!CI59*(1+скидки_наценки!$B$32)*скидки_наценки!$D$13*скидки_наценки!$F$13/скидки_наценки!$B$4,50)</f>
        <v>0</v>
      </c>
      <c r="M67" s="1108">
        <f>CEILING('Декоры база'!CJ59*(1+скидки_наценки!$B$32)*скидки_наценки!$D$13*скидки_наценки!$F$13/скидки_наценки!$B$4,50)</f>
        <v>0</v>
      </c>
      <c r="N67" s="1108">
        <f>CEILING('Декоры база'!CK59*(1+скидки_наценки!$B$32)*скидки_наценки!$D$13*скидки_наценки!$F$13/скидки_наценки!$B$4,50)</f>
        <v>0</v>
      </c>
      <c r="R67" s="442"/>
      <c r="S67" s="442"/>
      <c r="T67" s="442"/>
      <c r="U67" s="442"/>
      <c r="V67" s="442"/>
      <c r="W67" s="442"/>
      <c r="X67" s="442"/>
      <c r="Y67" s="442"/>
      <c r="Z67" s="442"/>
      <c r="AA67" s="442"/>
      <c r="AB67" s="442"/>
      <c r="AC67" s="442"/>
      <c r="AD67" s="442"/>
      <c r="AE67" s="442"/>
      <c r="AF67" s="442"/>
      <c r="AG67" s="442"/>
      <c r="AH67" s="442"/>
      <c r="AI67" s="442"/>
      <c r="AJ67" s="442"/>
      <c r="AK67" s="442"/>
      <c r="AL67" s="442"/>
      <c r="AM67" s="442"/>
      <c r="AN67" s="442"/>
      <c r="AO67" s="442"/>
      <c r="AP67" s="442"/>
      <c r="AQ67" s="442"/>
      <c r="AR67" s="442"/>
      <c r="AS67" s="442"/>
      <c r="AT67" s="442"/>
    </row>
    <row r="68" spans="1:46" s="72" customFormat="1" ht="15" customHeight="1">
      <c r="A68" s="4438"/>
      <c r="B68" s="4606"/>
      <c r="C68" s="4606"/>
      <c r="D68" s="4439"/>
      <c r="E68" s="5222" t="s">
        <v>1223</v>
      </c>
      <c r="F68" s="5223"/>
      <c r="G68" s="1106" t="s">
        <v>4</v>
      </c>
      <c r="H68" s="1066" t="s">
        <v>4</v>
      </c>
      <c r="I68" s="1066">
        <f>CEILING('Декоры база'!CF60*(1+скидки_наценки!$B$32)*скидки_наценки!$D$13*скидки_наценки!$F$13/скидки_наценки!$B$4,50)</f>
        <v>0</v>
      </c>
      <c r="J68" s="1066">
        <f>CEILING('Декоры база'!CG60*(1+скидки_наценки!$B$32)*скидки_наценки!$D$13*скидки_наценки!$F$13/скидки_наценки!$B$4,50)</f>
        <v>0</v>
      </c>
      <c r="K68" s="1066">
        <f>CEILING('Декоры база'!CH60*(1+скидки_наценки!$B$32)*скидки_наценки!$D$13*скидки_наценки!$F$13/скидки_наценки!$B$4,50)</f>
        <v>0</v>
      </c>
      <c r="L68" s="1066">
        <f>CEILING('Декоры база'!CI60*(1+скидки_наценки!$B$32)*скидки_наценки!$D$13*скидки_наценки!$F$13/скидки_наценки!$B$4,50)</f>
        <v>0</v>
      </c>
      <c r="M68" s="1066">
        <f>CEILING('Декоры база'!CJ60*(1+скидки_наценки!$B$32)*скидки_наценки!$D$13*скидки_наценки!$F$13/скидки_наценки!$B$4,50)</f>
        <v>0</v>
      </c>
      <c r="N68" s="1066">
        <f>CEILING('Декоры база'!CK60*(1+скидки_наценки!$B$32)*скидки_наценки!$D$13*скидки_наценки!$F$13/скидки_наценки!$B$4,50)</f>
        <v>0</v>
      </c>
      <c r="R68" s="442"/>
      <c r="S68" s="442"/>
      <c r="T68" s="442"/>
      <c r="U68" s="442"/>
      <c r="V68" s="442"/>
      <c r="W68" s="442"/>
      <c r="X68" s="442"/>
      <c r="Y68" s="442"/>
      <c r="Z68" s="442"/>
      <c r="AA68" s="442"/>
      <c r="AB68" s="442"/>
      <c r="AC68" s="442"/>
      <c r="AD68" s="442"/>
      <c r="AE68" s="442"/>
      <c r="AF68" s="442"/>
      <c r="AG68" s="442"/>
      <c r="AH68" s="442"/>
      <c r="AI68" s="442"/>
      <c r="AJ68" s="442"/>
      <c r="AK68" s="442"/>
      <c r="AL68" s="442"/>
      <c r="AM68" s="442"/>
      <c r="AN68" s="442"/>
      <c r="AO68" s="442"/>
      <c r="AP68" s="442"/>
      <c r="AQ68" s="442"/>
      <c r="AR68" s="442"/>
      <c r="AS68" s="442"/>
      <c r="AT68" s="442"/>
    </row>
    <row r="69" spans="1:46" s="294" customFormat="1" ht="39.950000000000003" customHeight="1">
      <c r="A69" s="887"/>
      <c r="B69" s="887"/>
      <c r="C69" s="887"/>
      <c r="D69" s="887"/>
      <c r="E69" s="887"/>
      <c r="F69" s="887"/>
      <c r="G69" s="929"/>
      <c r="H69" s="929"/>
      <c r="I69" s="929"/>
      <c r="J69" s="929"/>
      <c r="K69" s="929"/>
      <c r="L69" s="929"/>
      <c r="M69" s="929"/>
      <c r="N69" s="929"/>
      <c r="R69" s="442"/>
      <c r="S69" s="442"/>
      <c r="T69" s="442"/>
      <c r="U69" s="442"/>
      <c r="V69" s="442"/>
      <c r="W69" s="442"/>
      <c r="X69" s="442"/>
      <c r="Y69" s="442"/>
      <c r="Z69" s="442"/>
      <c r="AA69" s="442"/>
      <c r="AB69" s="442"/>
      <c r="AC69" s="442"/>
      <c r="AD69" s="442"/>
      <c r="AE69" s="442"/>
      <c r="AF69" s="442"/>
      <c r="AG69" s="442"/>
      <c r="AH69" s="442"/>
      <c r="AI69" s="442"/>
      <c r="AJ69" s="442"/>
      <c r="AK69" s="442"/>
      <c r="AL69" s="442"/>
      <c r="AM69" s="442"/>
      <c r="AN69" s="442"/>
      <c r="AO69" s="442"/>
      <c r="AP69" s="442"/>
      <c r="AQ69" s="442"/>
      <c r="AR69" s="442"/>
      <c r="AS69" s="442"/>
      <c r="AT69" s="442"/>
    </row>
    <row r="70" spans="1:46">
      <c r="A70" s="11"/>
      <c r="B70" s="11"/>
      <c r="C70" s="11"/>
      <c r="D70" s="11"/>
      <c r="E70" s="11"/>
      <c r="F70" s="11"/>
      <c r="G70" s="102"/>
      <c r="H70" s="102"/>
      <c r="I70" s="102"/>
      <c r="J70" s="102"/>
      <c r="K70" s="102"/>
      <c r="L70" s="102"/>
      <c r="M70" s="102"/>
      <c r="N70" s="109"/>
      <c r="R70" s="242"/>
      <c r="S70" s="242"/>
      <c r="T70" s="242"/>
      <c r="U70" s="242"/>
      <c r="V70" s="242"/>
      <c r="W70" s="242"/>
      <c r="X70" s="242"/>
      <c r="Y70" s="242"/>
      <c r="Z70" s="242"/>
      <c r="AA70" s="242"/>
      <c r="AB70" s="242"/>
      <c r="AC70" s="242"/>
      <c r="AD70" s="242"/>
      <c r="AE70" s="242"/>
      <c r="AF70" s="242"/>
      <c r="AG70" s="242"/>
      <c r="AH70" s="242"/>
      <c r="AI70" s="242"/>
      <c r="AJ70" s="242"/>
      <c r="AK70" s="242"/>
      <c r="AL70" s="242"/>
      <c r="AM70" s="242"/>
      <c r="AN70" s="242"/>
      <c r="AO70" s="242"/>
      <c r="AP70" s="242"/>
      <c r="AQ70" s="242"/>
      <c r="AR70" s="242"/>
      <c r="AS70" s="242"/>
      <c r="AT70" s="242"/>
    </row>
    <row r="71" spans="1:46" ht="15" customHeight="1">
      <c r="A71" s="28"/>
      <c r="B71" s="19" t="s">
        <v>46</v>
      </c>
      <c r="C71" s="19"/>
      <c r="D71" s="19"/>
      <c r="E71" s="19"/>
      <c r="F71" s="53"/>
      <c r="G71" s="53"/>
      <c r="H71" s="53"/>
      <c r="I71" s="53"/>
      <c r="J71" s="53"/>
      <c r="K71" s="24"/>
      <c r="L71" s="1102" t="s">
        <v>127</v>
      </c>
      <c r="M71" s="24"/>
      <c r="N71" s="24"/>
      <c r="R71" s="242"/>
      <c r="S71" s="242"/>
      <c r="T71" s="242"/>
      <c r="U71" s="242"/>
      <c r="V71" s="242"/>
      <c r="W71" s="242"/>
      <c r="X71" s="242"/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42"/>
      <c r="AO71" s="242"/>
      <c r="AP71" s="242"/>
      <c r="AQ71" s="242"/>
      <c r="AR71" s="242"/>
      <c r="AS71" s="242"/>
      <c r="AT71" s="242"/>
    </row>
    <row r="72" spans="1:46" s="24" customFormat="1" ht="12" customHeight="1">
      <c r="B72" s="192"/>
      <c r="C72" s="192"/>
      <c r="D72" s="192"/>
      <c r="E72" s="192"/>
      <c r="F72" s="20"/>
      <c r="I72" s="194"/>
      <c r="L72" s="4818" t="s">
        <v>1366</v>
      </c>
      <c r="M72" s="4818"/>
      <c r="N72" s="4818"/>
      <c r="R72" s="594"/>
      <c r="S72" s="594"/>
      <c r="T72" s="594"/>
      <c r="U72" s="594"/>
      <c r="V72" s="594"/>
      <c r="W72" s="594"/>
      <c r="X72" s="594"/>
      <c r="Y72" s="594"/>
      <c r="Z72" s="594"/>
      <c r="AA72" s="594"/>
      <c r="AB72" s="594"/>
      <c r="AC72" s="594"/>
      <c r="AD72" s="594"/>
      <c r="AE72" s="594"/>
      <c r="AF72" s="594"/>
      <c r="AG72" s="594"/>
      <c r="AH72" s="594"/>
      <c r="AI72" s="594"/>
      <c r="AJ72" s="594"/>
      <c r="AK72" s="594"/>
      <c r="AL72" s="594"/>
      <c r="AM72" s="594"/>
      <c r="AN72" s="594"/>
      <c r="AO72" s="594"/>
      <c r="AP72" s="594"/>
      <c r="AQ72" s="594"/>
      <c r="AR72" s="594"/>
      <c r="AS72" s="594"/>
      <c r="AT72" s="594"/>
    </row>
    <row r="73" spans="1:46" s="24" customFormat="1" ht="12" customHeight="1">
      <c r="B73" s="200"/>
      <c r="C73" s="199"/>
      <c r="D73" s="199"/>
      <c r="E73" s="199"/>
      <c r="F73" s="20"/>
      <c r="I73" s="196"/>
      <c r="L73" s="4818"/>
      <c r="M73" s="4818"/>
      <c r="N73" s="4818"/>
      <c r="R73" s="594"/>
      <c r="S73" s="594"/>
      <c r="T73" s="594"/>
      <c r="U73" s="594"/>
      <c r="V73" s="594"/>
      <c r="W73" s="594"/>
      <c r="X73" s="594"/>
      <c r="Y73" s="594"/>
      <c r="Z73" s="594"/>
      <c r="AA73" s="594"/>
      <c r="AB73" s="594"/>
      <c r="AC73" s="594"/>
      <c r="AD73" s="594"/>
      <c r="AE73" s="594"/>
      <c r="AF73" s="594"/>
      <c r="AG73" s="594"/>
      <c r="AH73" s="594"/>
      <c r="AI73" s="594"/>
      <c r="AJ73" s="594"/>
      <c r="AK73" s="594"/>
      <c r="AL73" s="594"/>
      <c r="AM73" s="594"/>
      <c r="AN73" s="594"/>
      <c r="AO73" s="594"/>
      <c r="AP73" s="594"/>
      <c r="AQ73" s="594"/>
      <c r="AR73" s="594"/>
      <c r="AS73" s="594"/>
      <c r="AT73" s="594"/>
    </row>
    <row r="74" spans="1:46" s="24" customFormat="1" ht="12" customHeight="1">
      <c r="B74" s="196"/>
      <c r="C74" s="199"/>
      <c r="D74" s="199"/>
      <c r="E74" s="199"/>
      <c r="F74" s="20"/>
      <c r="G74" s="66"/>
      <c r="H74" s="199"/>
      <c r="I74" s="43"/>
      <c r="J74" s="66"/>
      <c r="L74" s="4818"/>
      <c r="M74" s="4818"/>
      <c r="N74" s="4818"/>
      <c r="O74" s="43"/>
      <c r="P74" s="43"/>
      <c r="Q74" s="43"/>
      <c r="R74" s="594"/>
      <c r="S74" s="594"/>
      <c r="T74" s="594"/>
      <c r="U74" s="594"/>
      <c r="V74" s="594"/>
      <c r="W74" s="594"/>
      <c r="X74" s="594"/>
      <c r="Y74" s="594"/>
      <c r="Z74" s="594"/>
      <c r="AA74" s="594"/>
      <c r="AB74" s="594"/>
      <c r="AC74" s="594"/>
      <c r="AD74" s="594"/>
      <c r="AE74" s="594"/>
      <c r="AF74" s="594"/>
      <c r="AG74" s="594"/>
      <c r="AH74" s="594"/>
      <c r="AI74" s="594"/>
      <c r="AJ74" s="594"/>
      <c r="AK74" s="594"/>
      <c r="AL74" s="594"/>
      <c r="AM74" s="594"/>
      <c r="AN74" s="594"/>
      <c r="AO74" s="594"/>
      <c r="AP74" s="594"/>
      <c r="AQ74" s="594"/>
      <c r="AR74" s="594"/>
      <c r="AS74" s="594"/>
      <c r="AT74" s="594"/>
    </row>
    <row r="75" spans="1:46" s="24" customFormat="1" ht="12" customHeight="1">
      <c r="B75" s="196"/>
      <c r="C75" s="199"/>
      <c r="D75" s="199"/>
      <c r="E75" s="199"/>
      <c r="F75" s="20"/>
      <c r="G75" s="66"/>
      <c r="H75" s="199"/>
      <c r="I75" s="43"/>
      <c r="J75" s="66"/>
      <c r="L75" s="4818"/>
      <c r="M75" s="4818"/>
      <c r="N75" s="4818"/>
      <c r="O75" s="43"/>
      <c r="P75" s="43"/>
      <c r="Q75" s="43"/>
      <c r="R75" s="594"/>
      <c r="S75" s="594"/>
      <c r="T75" s="594"/>
      <c r="U75" s="594"/>
      <c r="V75" s="594"/>
      <c r="W75" s="594"/>
      <c r="X75" s="594"/>
      <c r="Y75" s="594"/>
      <c r="Z75" s="594"/>
      <c r="AA75" s="594"/>
      <c r="AB75" s="594"/>
      <c r="AC75" s="594"/>
      <c r="AD75" s="594"/>
      <c r="AE75" s="594"/>
      <c r="AF75" s="594"/>
      <c r="AG75" s="594"/>
      <c r="AH75" s="594"/>
      <c r="AI75" s="594"/>
      <c r="AJ75" s="594"/>
      <c r="AK75" s="594"/>
      <c r="AL75" s="594"/>
      <c r="AM75" s="594"/>
      <c r="AN75" s="594"/>
      <c r="AO75" s="594"/>
      <c r="AP75" s="594"/>
      <c r="AQ75" s="594"/>
      <c r="AR75" s="594"/>
      <c r="AS75" s="594"/>
      <c r="AT75" s="594"/>
    </row>
    <row r="76" spans="1:46" s="24" customFormat="1" ht="12" customHeight="1">
      <c r="B76" s="196"/>
      <c r="C76" s="199"/>
      <c r="D76" s="199"/>
      <c r="E76" s="199"/>
      <c r="F76" s="20"/>
      <c r="G76" s="66"/>
      <c r="H76" s="199"/>
      <c r="I76" s="43"/>
      <c r="J76" s="66"/>
      <c r="L76" s="4818"/>
      <c r="M76" s="4818"/>
      <c r="N76" s="4818"/>
      <c r="O76" s="43"/>
      <c r="P76" s="43"/>
      <c r="Q76" s="43"/>
      <c r="R76" s="594"/>
      <c r="S76" s="594"/>
      <c r="T76" s="594"/>
      <c r="U76" s="594"/>
      <c r="V76" s="594"/>
      <c r="W76" s="594"/>
      <c r="X76" s="594"/>
      <c r="Y76" s="594"/>
      <c r="Z76" s="594"/>
      <c r="AA76" s="594"/>
      <c r="AB76" s="594"/>
      <c r="AC76" s="594"/>
      <c r="AD76" s="594"/>
      <c r="AE76" s="594"/>
      <c r="AF76" s="594"/>
      <c r="AG76" s="594"/>
      <c r="AH76" s="594"/>
      <c r="AI76" s="594"/>
      <c r="AJ76" s="594"/>
      <c r="AK76" s="594"/>
      <c r="AL76" s="594"/>
      <c r="AM76" s="594"/>
      <c r="AN76" s="594"/>
      <c r="AO76" s="594"/>
      <c r="AP76" s="594"/>
      <c r="AQ76" s="594"/>
      <c r="AR76" s="594"/>
      <c r="AS76" s="594"/>
      <c r="AT76" s="594"/>
    </row>
    <row r="77" spans="1:46" s="24" customFormat="1" ht="12" customHeight="1">
      <c r="B77" s="196"/>
      <c r="C77" s="199"/>
      <c r="D77" s="199"/>
      <c r="E77" s="199"/>
      <c r="F77" s="20"/>
      <c r="G77" s="66"/>
      <c r="H77" s="199"/>
      <c r="I77" s="43"/>
      <c r="J77" s="66"/>
      <c r="O77" s="43"/>
      <c r="P77" s="43"/>
      <c r="Q77" s="43"/>
      <c r="R77" s="594"/>
      <c r="S77" s="594"/>
      <c r="T77" s="594"/>
      <c r="U77" s="594"/>
      <c r="V77" s="594"/>
      <c r="W77" s="594"/>
      <c r="X77" s="594"/>
      <c r="Y77" s="594"/>
      <c r="Z77" s="594"/>
      <c r="AA77" s="594"/>
      <c r="AB77" s="594"/>
      <c r="AC77" s="594"/>
      <c r="AD77" s="594"/>
      <c r="AE77" s="594"/>
      <c r="AF77" s="594"/>
      <c r="AG77" s="594"/>
      <c r="AH77" s="594"/>
      <c r="AI77" s="594"/>
      <c r="AJ77" s="594"/>
      <c r="AK77" s="594"/>
      <c r="AL77" s="594"/>
      <c r="AM77" s="594"/>
      <c r="AN77" s="594"/>
      <c r="AO77" s="594"/>
      <c r="AP77" s="594"/>
      <c r="AQ77" s="594"/>
      <c r="AR77" s="594"/>
      <c r="AS77" s="594"/>
      <c r="AT77" s="594"/>
    </row>
    <row r="78" spans="1:46" s="24" customFormat="1" ht="18" customHeight="1">
      <c r="C78" s="52"/>
      <c r="D78" s="52"/>
      <c r="E78" s="52"/>
      <c r="G78" s="66"/>
      <c r="H78" s="52"/>
      <c r="I78" s="43"/>
      <c r="J78" s="66"/>
      <c r="R78" s="594"/>
      <c r="S78" s="594"/>
      <c r="T78" s="594"/>
      <c r="U78" s="594"/>
      <c r="V78" s="594"/>
      <c r="W78" s="594"/>
      <c r="X78" s="594"/>
      <c r="Y78" s="594"/>
      <c r="Z78" s="594"/>
      <c r="AA78" s="594"/>
      <c r="AB78" s="594"/>
      <c r="AC78" s="594"/>
      <c r="AD78" s="594"/>
      <c r="AE78" s="594"/>
      <c r="AF78" s="594"/>
      <c r="AG78" s="594"/>
      <c r="AH78" s="594"/>
      <c r="AI78" s="594"/>
      <c r="AJ78" s="594"/>
      <c r="AK78" s="594"/>
      <c r="AL78" s="594"/>
      <c r="AM78" s="594"/>
      <c r="AN78" s="594"/>
      <c r="AO78" s="594"/>
      <c r="AP78" s="594"/>
      <c r="AQ78" s="594"/>
      <c r="AR78" s="594"/>
      <c r="AS78" s="594"/>
      <c r="AT78" s="594"/>
    </row>
    <row r="79" spans="1:46" s="24" customFormat="1" ht="18" customHeight="1">
      <c r="C79" s="52"/>
      <c r="D79" s="52"/>
      <c r="E79" s="52"/>
      <c r="G79" s="66"/>
      <c r="H79" s="52"/>
      <c r="I79" s="43"/>
      <c r="J79" s="66"/>
      <c r="R79" s="594"/>
      <c r="S79" s="594"/>
      <c r="T79" s="594"/>
      <c r="U79" s="594"/>
      <c r="V79" s="594"/>
      <c r="W79" s="594"/>
      <c r="X79" s="594"/>
      <c r="Y79" s="594"/>
      <c r="Z79" s="594"/>
      <c r="AA79" s="594"/>
      <c r="AB79" s="594"/>
      <c r="AC79" s="594"/>
      <c r="AD79" s="594"/>
      <c r="AE79" s="594"/>
      <c r="AF79" s="594"/>
      <c r="AG79" s="594"/>
      <c r="AH79" s="594"/>
      <c r="AI79" s="594"/>
      <c r="AJ79" s="594"/>
      <c r="AK79" s="594"/>
      <c r="AL79" s="594"/>
      <c r="AM79" s="594"/>
      <c r="AN79" s="594"/>
      <c r="AO79" s="594"/>
      <c r="AP79" s="594"/>
      <c r="AQ79" s="594"/>
      <c r="AR79" s="594"/>
      <c r="AS79" s="594"/>
      <c r="AT79" s="594"/>
    </row>
    <row r="80" spans="1:46" s="24" customFormat="1" ht="18" customHeight="1">
      <c r="B80" s="56"/>
      <c r="C80" s="52"/>
      <c r="D80" s="52"/>
      <c r="E80" s="52"/>
      <c r="G80" s="66"/>
      <c r="H80" s="52"/>
      <c r="I80" s="43"/>
      <c r="J80" s="66"/>
      <c r="R80" s="594"/>
      <c r="S80" s="594"/>
      <c r="T80" s="594"/>
      <c r="U80" s="594"/>
      <c r="V80" s="594"/>
      <c r="W80" s="594"/>
      <c r="X80" s="594"/>
      <c r="Y80" s="594"/>
      <c r="Z80" s="594"/>
      <c r="AA80" s="594"/>
      <c r="AB80" s="594"/>
      <c r="AC80" s="594"/>
      <c r="AD80" s="594"/>
      <c r="AE80" s="594"/>
      <c r="AF80" s="594"/>
      <c r="AG80" s="594"/>
      <c r="AH80" s="594"/>
      <c r="AI80" s="594"/>
      <c r="AJ80" s="594"/>
      <c r="AK80" s="594"/>
      <c r="AL80" s="594"/>
      <c r="AM80" s="594"/>
      <c r="AN80" s="594"/>
      <c r="AO80" s="594"/>
      <c r="AP80" s="594"/>
      <c r="AQ80" s="594"/>
      <c r="AR80" s="594"/>
      <c r="AS80" s="594"/>
      <c r="AT80" s="594"/>
    </row>
    <row r="81" spans="1:14" ht="18" customHeight="1">
      <c r="A81" s="28"/>
      <c r="B81" s="44"/>
      <c r="C81" s="44"/>
      <c r="D81" s="44"/>
      <c r="E81" s="44"/>
      <c r="F81" s="44"/>
      <c r="G81" s="29"/>
      <c r="H81" s="44"/>
      <c r="I81" s="44"/>
      <c r="J81" s="29"/>
      <c r="K81" s="29"/>
      <c r="L81" s="29"/>
      <c r="M81" s="29"/>
      <c r="N81" s="29"/>
    </row>
    <row r="82" spans="1:14" ht="18" customHeight="1">
      <c r="A82" s="28"/>
      <c r="B82" s="44"/>
      <c r="C82" s="44"/>
      <c r="D82" s="44"/>
      <c r="E82" s="44"/>
      <c r="F82" s="44"/>
      <c r="G82" s="29"/>
      <c r="H82" s="44"/>
      <c r="I82" s="44"/>
      <c r="J82" s="29"/>
      <c r="K82" s="29"/>
      <c r="L82" s="29"/>
      <c r="M82" s="29"/>
      <c r="N82" s="29"/>
    </row>
    <row r="83" spans="1:14" ht="18" customHeight="1">
      <c r="B83" s="11"/>
      <c r="F83" s="137"/>
    </row>
    <row r="84" spans="1:14" ht="18" customHeight="1"/>
    <row r="85" spans="1:14" s="260" customFormat="1" ht="15" customHeight="1">
      <c r="A85" s="259"/>
      <c r="B85" s="19"/>
      <c r="C85" s="19"/>
      <c r="D85" s="259"/>
      <c r="E85" s="259"/>
      <c r="F85" s="6"/>
      <c r="G85" s="259"/>
      <c r="H85" s="259"/>
      <c r="I85" s="259"/>
      <c r="J85" s="259"/>
      <c r="K85" s="259"/>
      <c r="L85" s="259"/>
    </row>
    <row r="86" spans="1:14" ht="17.25" customHeight="1"/>
    <row r="87" spans="1:14" ht="17.25" customHeight="1"/>
    <row r="91" spans="1:14" ht="32.25" customHeight="1"/>
    <row r="97" ht="15" customHeight="1"/>
  </sheetData>
  <mergeCells count="59">
    <mergeCell ref="L72:N76"/>
    <mergeCell ref="A55:B59"/>
    <mergeCell ref="C55:D56"/>
    <mergeCell ref="C57:D59"/>
    <mergeCell ref="A52:F53"/>
    <mergeCell ref="A63:F63"/>
    <mergeCell ref="A65:N65"/>
    <mergeCell ref="A66:D68"/>
    <mergeCell ref="E66:F66"/>
    <mergeCell ref="E67:F67"/>
    <mergeCell ref="E68:F68"/>
    <mergeCell ref="E57:F57"/>
    <mergeCell ref="E58:F58"/>
    <mergeCell ref="E59:F59"/>
    <mergeCell ref="E55:F55"/>
    <mergeCell ref="G52:G53"/>
    <mergeCell ref="A31:C31"/>
    <mergeCell ref="D31:E31"/>
    <mergeCell ref="A32:C32"/>
    <mergeCell ref="D32:E32"/>
    <mergeCell ref="A10:C11"/>
    <mergeCell ref="D10:D11"/>
    <mergeCell ref="E10:E11"/>
    <mergeCell ref="A12:A14"/>
    <mergeCell ref="B12:C12"/>
    <mergeCell ref="A24:A26"/>
    <mergeCell ref="D24:D26"/>
    <mergeCell ref="E24:E26"/>
    <mergeCell ref="A15:A23"/>
    <mergeCell ref="B24:C26"/>
    <mergeCell ref="L10:L11"/>
    <mergeCell ref="G10:G11"/>
    <mergeCell ref="F10:F11"/>
    <mergeCell ref="A54:N54"/>
    <mergeCell ref="J38:K39"/>
    <mergeCell ref="J40:K42"/>
    <mergeCell ref="J30:L30"/>
    <mergeCell ref="L52:L53"/>
    <mergeCell ref="B15:C17"/>
    <mergeCell ref="D15:D17"/>
    <mergeCell ref="E15:E17"/>
    <mergeCell ref="B21:C23"/>
    <mergeCell ref="D21:D23"/>
    <mergeCell ref="E21:E23"/>
    <mergeCell ref="A30:E30"/>
    <mergeCell ref="F30:H30"/>
    <mergeCell ref="B8:E8"/>
    <mergeCell ref="D12:D14"/>
    <mergeCell ref="E12:E14"/>
    <mergeCell ref="B13:C14"/>
    <mergeCell ref="B18:C20"/>
    <mergeCell ref="D18:D20"/>
    <mergeCell ref="E18:E20"/>
    <mergeCell ref="L38:N40"/>
    <mergeCell ref="A60:F60"/>
    <mergeCell ref="A61:F61"/>
    <mergeCell ref="A62:F62"/>
    <mergeCell ref="A64:F64"/>
    <mergeCell ref="E56:F56"/>
  </mergeCells>
  <conditionalFormatting sqref="E40:E41 H40:I42">
    <cfRule type="cellIs" dxfId="114" priority="1" operator="equal">
      <formula>"нет"</formula>
    </cfRule>
  </conditionalFormatting>
  <hyperlinks>
    <hyperlink ref="B6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30" orientation="landscape" useFirstPageNumber="1" r:id="rId1"/>
  <headerFooter>
    <oddHeader>&amp;L&amp;G&amp;R&amp;14ПРАЙС-ЛИСТ  в 
розничных ценах в рублях РФ (без НДС) от</oddHeader>
    <oddFooter>&amp;L&amp;P&amp;R&amp;G</oddFooter>
  </headerFooter>
  <rowBreaks count="1" manualBreakCount="1">
    <brk id="43" max="13" man="1"/>
  </row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16">
    <tabColor rgb="FFFFC000"/>
  </sheetPr>
  <dimension ref="A1:FG193"/>
  <sheetViews>
    <sheetView topLeftCell="FG193" zoomScaleNormal="100" workbookViewId="0">
      <selection activeCell="B5" sqref="B5:C5"/>
    </sheetView>
  </sheetViews>
  <sheetFormatPr defaultColWidth="9.140625" defaultRowHeight="15" outlineLevelRow="2" outlineLevelCol="2"/>
  <cols>
    <col min="1" max="1" width="25.42578125" style="589" hidden="1" customWidth="1" outlineLevel="1"/>
    <col min="2" max="2" width="29" style="589" hidden="1" customWidth="1" outlineLevel="1"/>
    <col min="3" max="3" width="20.85546875" style="589" hidden="1" customWidth="1" outlineLevel="1"/>
    <col min="4" max="5" width="12.42578125" style="356" hidden="1" customWidth="1" outlineLevel="1"/>
    <col min="6" max="6" width="12.140625" style="356" hidden="1" customWidth="1" outlineLevel="1"/>
    <col min="7" max="7" width="11" style="69" hidden="1" customWidth="1" outlineLevel="1"/>
    <col min="8" max="11" width="11" style="69" hidden="1" customWidth="1" outlineLevel="2"/>
    <col min="12" max="12" width="12.7109375" style="69" hidden="1" customWidth="1" outlineLevel="2"/>
    <col min="13" max="16" width="11" style="69" hidden="1" customWidth="1" outlineLevel="2"/>
    <col min="17" max="17" width="3.28515625" style="69" hidden="1" customWidth="1" outlineLevel="2"/>
    <col min="18" max="18" width="11" style="69" hidden="1" customWidth="1" outlineLevel="2"/>
    <col min="19" max="19" width="11" style="69" hidden="1" customWidth="1" outlineLevel="1"/>
    <col min="20" max="23" width="11" style="69" hidden="1" customWidth="1" outlineLevel="2"/>
    <col min="24" max="24" width="3.28515625" style="69" hidden="1" customWidth="1" outlineLevel="1"/>
    <col min="25" max="28" width="11" style="69" hidden="1" customWidth="1" outlineLevel="2" collapsed="1"/>
    <col min="29" max="31" width="11" style="69" hidden="1" customWidth="1" outlineLevel="2"/>
    <col min="32" max="32" width="10" style="69" hidden="1" customWidth="1" outlineLevel="1"/>
    <col min="33" max="36" width="11" style="69" hidden="1" customWidth="1" outlineLevel="2"/>
    <col min="37" max="37" width="9.5703125" style="589" hidden="1" customWidth="1" outlineLevel="2"/>
    <col min="38" max="38" width="11" style="69" hidden="1" customWidth="1" outlineLevel="1"/>
    <col min="39" max="45" width="11" style="69" hidden="1" customWidth="1" outlineLevel="2"/>
    <col min="46" max="46" width="11" style="69" hidden="1" customWidth="1" outlineLevel="1"/>
    <col min="47" max="50" width="11" style="69" hidden="1" customWidth="1" outlineLevel="2"/>
    <col min="51" max="51" width="11" style="69" hidden="1" customWidth="1" outlineLevel="1"/>
    <col min="52" max="52" width="11" style="69" hidden="1" customWidth="1" outlineLevel="2" collapsed="1"/>
    <col min="53" max="53" width="11" style="69" hidden="1" customWidth="1" outlineLevel="1"/>
    <col min="54" max="55" width="11" style="69" hidden="1" customWidth="1" outlineLevel="2" collapsed="1"/>
    <col min="56" max="56" width="11" style="69" hidden="1" customWidth="1" outlineLevel="1"/>
    <col min="57" max="59" width="11" style="69" hidden="1" customWidth="1" outlineLevel="2"/>
    <col min="60" max="60" width="11" style="69" hidden="1" customWidth="1" outlineLevel="1"/>
    <col min="61" max="66" width="11" style="69" hidden="1" customWidth="1" outlineLevel="2"/>
    <col min="67" max="67" width="11" style="69" hidden="1" customWidth="1" outlineLevel="1"/>
    <col min="68" max="69" width="11" style="69" hidden="1" customWidth="1" outlineLevel="2"/>
    <col min="70" max="71" width="11" style="69" hidden="1" customWidth="1" outlineLevel="1"/>
    <col min="72" max="72" width="10.42578125" style="69" hidden="1" customWidth="1" outlineLevel="2"/>
    <col min="73" max="81" width="11" style="69" hidden="1" customWidth="1" outlineLevel="2"/>
    <col min="82" max="82" width="11" style="69" hidden="1" customWidth="1" outlineLevel="1"/>
    <col min="83" max="89" width="11" style="69" hidden="1" customWidth="1" outlineLevel="2"/>
    <col min="90" max="90" width="11" style="69" hidden="1" customWidth="1" outlineLevel="1"/>
    <col min="91" max="93" width="11" style="69" hidden="1" customWidth="1" outlineLevel="2"/>
    <col min="94" max="94" width="11" style="69" hidden="1" customWidth="1" outlineLevel="1"/>
    <col min="95" max="99" width="11" style="69" hidden="1" customWidth="1" outlineLevel="2"/>
    <col min="100" max="100" width="11" style="69" hidden="1" customWidth="1" outlineLevel="1"/>
    <col min="101" max="109" width="11" style="69" hidden="1" customWidth="1" outlineLevel="2"/>
    <col min="110" max="110" width="11" style="69" hidden="1" customWidth="1" outlineLevel="1"/>
    <col min="111" max="113" width="11" style="69" hidden="1" customWidth="1" outlineLevel="2"/>
    <col min="114" max="114" width="11" style="69" hidden="1" customWidth="1" outlineLevel="1"/>
    <col min="115" max="117" width="11" style="69" hidden="1" customWidth="1" outlineLevel="2"/>
    <col min="118" max="118" width="11" style="69" hidden="1" customWidth="1" outlineLevel="1"/>
    <col min="119" max="121" width="11" style="69" hidden="1" customWidth="1" outlineLevel="2"/>
    <col min="122" max="122" width="11" style="69" hidden="1" customWidth="1" outlineLevel="1"/>
    <col min="123" max="124" width="11" style="69" hidden="1" customWidth="1" outlineLevel="2"/>
    <col min="125" max="125" width="11" style="69" hidden="1" customWidth="1" outlineLevel="1"/>
    <col min="126" max="130" width="11" style="69" hidden="1" customWidth="1" outlineLevel="2"/>
    <col min="131" max="131" width="11" style="69" hidden="1" customWidth="1" outlineLevel="1"/>
    <col min="132" max="136" width="11" style="69" hidden="1" customWidth="1" outlineLevel="2"/>
    <col min="137" max="137" width="11" style="69" hidden="1" customWidth="1" outlineLevel="1"/>
    <col min="138" max="139" width="11" style="69" hidden="1" customWidth="1" outlineLevel="2"/>
    <col min="140" max="140" width="11" style="69" hidden="1" customWidth="1" outlineLevel="1"/>
    <col min="141" max="141" width="11" style="69" hidden="1" customWidth="1" outlineLevel="2"/>
    <col min="142" max="143" width="11" style="69" hidden="1" customWidth="1" outlineLevel="1"/>
    <col min="144" max="148" width="11" style="69" hidden="1" customWidth="1" outlineLevel="2"/>
    <col min="149" max="150" width="11" style="69" hidden="1" customWidth="1" outlineLevel="1"/>
    <col min="151" max="152" width="11" style="69" hidden="1" customWidth="1" outlineLevel="2"/>
    <col min="153" max="153" width="9.140625" style="589" hidden="1" customWidth="1" outlineLevel="1"/>
    <col min="154" max="154" width="12.5703125" style="589" hidden="1" customWidth="1" outlineLevel="1"/>
    <col min="155" max="162" width="9.140625" style="589" hidden="1" customWidth="1" outlineLevel="1"/>
    <col min="163" max="163" width="9.140625" style="589" collapsed="1"/>
    <col min="164" max="16384" width="9.140625" style="589"/>
  </cols>
  <sheetData>
    <row r="1" spans="1:158" hidden="1" outlineLevel="1">
      <c r="A1" s="5245" t="s">
        <v>1246</v>
      </c>
      <c r="B1" s="5245"/>
      <c r="C1" s="5245"/>
      <c r="E1" s="5231" t="s">
        <v>1247</v>
      </c>
      <c r="F1" s="5251"/>
      <c r="G1" s="5232"/>
    </row>
    <row r="2" spans="1:158" hidden="1" outlineLevel="1">
      <c r="A2" s="920" t="s">
        <v>1215</v>
      </c>
      <c r="B2" s="921">
        <v>2.9</v>
      </c>
      <c r="C2" s="549" t="s">
        <v>1226</v>
      </c>
      <c r="E2" s="920" t="s">
        <v>1215</v>
      </c>
      <c r="F2" s="921">
        <v>1.35</v>
      </c>
      <c r="G2" s="549" t="s">
        <v>1226</v>
      </c>
    </row>
    <row r="3" spans="1:158" hidden="1" outlineLevel="1">
      <c r="A3" s="920" t="s">
        <v>1216</v>
      </c>
      <c r="B3" s="921">
        <v>1.7</v>
      </c>
      <c r="C3" s="549" t="s">
        <v>1227</v>
      </c>
      <c r="E3" s="920" t="s">
        <v>1216</v>
      </c>
      <c r="F3" s="921">
        <v>1.7</v>
      </c>
      <c r="G3" s="549" t="s">
        <v>1227</v>
      </c>
    </row>
    <row r="4" spans="1:158" ht="15" hidden="1" customHeight="1" outlineLevel="1">
      <c r="B4" s="885"/>
      <c r="EN4" s="68"/>
      <c r="EO4" s="68"/>
      <c r="EP4" s="68"/>
      <c r="EQ4" s="68"/>
      <c r="ER4" s="68"/>
      <c r="ES4" s="68"/>
      <c r="ET4" s="68"/>
      <c r="EU4" s="68"/>
      <c r="EV4" s="68"/>
      <c r="EW4" s="2597"/>
    </row>
    <row r="5" spans="1:158" s="25" customFormat="1" ht="15" hidden="1" customHeight="1" outlineLevel="1">
      <c r="A5" s="895" t="s">
        <v>1209</v>
      </c>
      <c r="B5" s="5231" t="s">
        <v>1303</v>
      </c>
      <c r="C5" s="5232"/>
      <c r="D5" s="896"/>
      <c r="E5" s="896"/>
      <c r="F5" s="896"/>
      <c r="G5" s="242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  <c r="Y5" s="242"/>
      <c r="Z5" s="242"/>
      <c r="AA5" s="242"/>
      <c r="AB5" s="242"/>
      <c r="AC5" s="242"/>
      <c r="AD5" s="242"/>
      <c r="AE5" s="242"/>
      <c r="AF5" s="242"/>
      <c r="AG5" s="242"/>
      <c r="AH5" s="242"/>
      <c r="AI5" s="242"/>
      <c r="AJ5" s="242"/>
      <c r="AK5" s="242"/>
      <c r="AL5" s="242"/>
      <c r="AM5" s="242"/>
      <c r="AN5" s="242"/>
      <c r="AO5" s="242"/>
      <c r="AP5" s="242"/>
      <c r="AQ5" s="242"/>
      <c r="AR5" s="242"/>
      <c r="AS5" s="242"/>
      <c r="AT5" s="242"/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2"/>
      <c r="BJ5" s="242"/>
      <c r="BK5" s="242"/>
      <c r="BL5" s="242"/>
      <c r="BM5" s="242"/>
      <c r="BN5" s="242"/>
      <c r="BO5" s="242"/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2"/>
      <c r="CS5" s="242"/>
      <c r="CT5" s="242"/>
      <c r="CU5" s="242"/>
      <c r="CV5" s="242"/>
      <c r="CW5" s="242"/>
      <c r="CX5" s="242"/>
      <c r="CY5" s="242"/>
      <c r="CZ5" s="242"/>
      <c r="DA5" s="242"/>
      <c r="DB5" s="242"/>
      <c r="DC5" s="242"/>
      <c r="DD5" s="242"/>
      <c r="DE5" s="242"/>
      <c r="DF5" s="242"/>
      <c r="DG5" s="242"/>
      <c r="DH5" s="242"/>
      <c r="DI5" s="242"/>
      <c r="DJ5" s="242"/>
      <c r="DK5" s="242"/>
      <c r="DL5" s="242"/>
      <c r="DM5" s="242"/>
      <c r="DN5" s="242"/>
      <c r="DO5" s="242"/>
      <c r="DP5" s="242"/>
      <c r="DQ5" s="242"/>
      <c r="DR5" s="242"/>
      <c r="DS5" s="242"/>
      <c r="DT5" s="242"/>
      <c r="DU5" s="242"/>
      <c r="DV5" s="242"/>
      <c r="DW5" s="242"/>
      <c r="DX5" s="242"/>
      <c r="DY5" s="242"/>
      <c r="DZ5" s="242"/>
      <c r="EA5" s="242"/>
      <c r="EB5" s="242"/>
      <c r="EC5" s="242"/>
      <c r="ED5" s="242"/>
      <c r="EE5" s="242"/>
      <c r="EF5" s="242"/>
      <c r="EG5" s="242"/>
      <c r="EH5" s="242"/>
      <c r="EI5" s="242"/>
      <c r="EJ5" s="242"/>
      <c r="EK5" s="242"/>
      <c r="EL5" s="242"/>
      <c r="EM5" s="242"/>
      <c r="EN5" s="441"/>
      <c r="EO5" s="441"/>
      <c r="EP5" s="441"/>
      <c r="EQ5" s="441"/>
      <c r="ER5" s="441"/>
      <c r="ES5" s="441"/>
      <c r="ET5" s="441"/>
      <c r="EU5" s="441"/>
      <c r="EV5" s="441"/>
      <c r="EW5" s="441"/>
      <c r="EX5" s="242"/>
      <c r="EY5" s="242"/>
      <c r="EZ5" s="242"/>
      <c r="FA5" s="242"/>
      <c r="FB5" s="242"/>
    </row>
    <row r="6" spans="1:158" s="897" customFormat="1" ht="15" hidden="1" customHeight="1" outlineLevel="2">
      <c r="A6" s="914" t="s">
        <v>1240</v>
      </c>
      <c r="B6" s="885"/>
      <c r="D6" s="896"/>
      <c r="E6" s="896"/>
      <c r="F6" s="896"/>
      <c r="G6" s="242"/>
      <c r="H6" s="242"/>
      <c r="I6" s="242"/>
      <c r="J6" s="242"/>
      <c r="K6" s="3444" t="s">
        <v>3065</v>
      </c>
      <c r="R6" s="242"/>
      <c r="S6" s="242"/>
      <c r="T6" s="242"/>
      <c r="U6" s="242"/>
      <c r="V6" s="242"/>
      <c r="W6" s="242"/>
      <c r="X6" s="242"/>
      <c r="Y6" s="242"/>
      <c r="Z6" s="242"/>
      <c r="AA6" s="242"/>
      <c r="AB6" s="242"/>
      <c r="AC6" s="242"/>
      <c r="AD6" s="242"/>
      <c r="AE6" s="242"/>
      <c r="AF6" s="242"/>
      <c r="AG6" s="242"/>
      <c r="AH6" s="242"/>
      <c r="AI6" s="242"/>
      <c r="AJ6" s="242"/>
      <c r="AK6" s="242"/>
      <c r="AL6" s="242"/>
      <c r="AM6" s="242"/>
      <c r="AN6" s="242"/>
      <c r="AO6" s="242"/>
      <c r="AP6" s="242"/>
      <c r="AQ6" s="242"/>
      <c r="AR6" s="242"/>
      <c r="AS6" s="242"/>
      <c r="AT6" s="242"/>
      <c r="AU6" s="242"/>
      <c r="AV6" s="242"/>
      <c r="AW6" s="242"/>
      <c r="AX6" s="242"/>
      <c r="AY6" s="242"/>
      <c r="AZ6" s="242"/>
      <c r="BA6" s="242"/>
      <c r="BB6" s="242"/>
      <c r="BC6" s="242"/>
      <c r="BD6" s="242"/>
      <c r="BE6" s="242"/>
      <c r="BF6" s="242"/>
      <c r="BG6" s="242"/>
      <c r="BH6" s="242"/>
      <c r="BI6" s="242"/>
      <c r="BJ6" s="242"/>
      <c r="BK6" s="242"/>
      <c r="BL6" s="242"/>
      <c r="BM6" s="242"/>
      <c r="BN6" s="242"/>
      <c r="BO6" s="242"/>
      <c r="BP6" s="242"/>
      <c r="BQ6" s="242"/>
      <c r="BR6" s="242"/>
      <c r="BS6" s="242"/>
      <c r="BT6" s="242"/>
      <c r="BU6" s="242"/>
      <c r="BV6" s="242"/>
      <c r="BW6" s="242"/>
      <c r="BX6" s="242"/>
      <c r="BY6" s="242"/>
      <c r="BZ6" s="242"/>
      <c r="CA6" s="242"/>
      <c r="CB6" s="242"/>
      <c r="CC6" s="242"/>
      <c r="CD6" s="242"/>
      <c r="CE6" s="242"/>
      <c r="CF6" s="242"/>
      <c r="CG6" s="242"/>
      <c r="CH6" s="242"/>
      <c r="CI6" s="242"/>
      <c r="CJ6" s="242"/>
      <c r="CK6" s="242"/>
      <c r="CL6" s="242"/>
      <c r="CM6" s="242"/>
      <c r="CN6" s="242"/>
      <c r="CO6" s="242"/>
      <c r="CP6" s="242"/>
      <c r="CQ6" s="242"/>
      <c r="CR6" s="242"/>
      <c r="CS6" s="242"/>
      <c r="CT6" s="242"/>
      <c r="CU6" s="242"/>
      <c r="CV6" s="242"/>
      <c r="CW6" s="242"/>
      <c r="CX6" s="242"/>
      <c r="CY6" s="242"/>
      <c r="CZ6" s="242"/>
      <c r="DA6" s="242"/>
      <c r="DB6" s="242"/>
      <c r="DC6" s="242"/>
      <c r="DD6" s="242"/>
      <c r="DE6" s="242"/>
      <c r="DF6" s="242"/>
      <c r="DG6" s="242"/>
      <c r="DH6" s="242"/>
      <c r="DI6" s="242"/>
      <c r="DJ6" s="242"/>
      <c r="DK6" s="242"/>
      <c r="DL6" s="242"/>
      <c r="DM6" s="242"/>
      <c r="DN6" s="242"/>
      <c r="DO6" s="242"/>
      <c r="DP6" s="242"/>
      <c r="DQ6" s="242"/>
      <c r="DR6" s="242"/>
      <c r="DS6" s="242"/>
      <c r="DT6" s="242"/>
      <c r="DU6" s="242"/>
      <c r="DV6" s="242"/>
      <c r="DW6" s="242"/>
      <c r="DX6" s="242"/>
      <c r="DY6" s="242"/>
      <c r="DZ6" s="242"/>
      <c r="EA6" s="242"/>
      <c r="EB6" s="242"/>
      <c r="EC6" s="242"/>
      <c r="ED6" s="242"/>
      <c r="EE6" s="242"/>
      <c r="EF6" s="242"/>
      <c r="EG6" s="242"/>
      <c r="EH6" s="242"/>
      <c r="EI6" s="242"/>
      <c r="EJ6" s="242"/>
      <c r="EK6" s="242"/>
      <c r="EL6" s="242"/>
      <c r="EM6" s="242"/>
      <c r="EN6" s="441"/>
      <c r="EO6" s="441"/>
      <c r="EP6" s="441"/>
      <c r="EQ6" s="441"/>
      <c r="ER6" s="441"/>
      <c r="ES6" s="441"/>
      <c r="ET6" s="441"/>
      <c r="EU6" s="441"/>
      <c r="EV6" s="441"/>
      <c r="EW6" s="441"/>
      <c r="EX6" s="242"/>
      <c r="EY6" s="242"/>
      <c r="EZ6" s="242"/>
      <c r="FA6" s="242"/>
      <c r="FB6" s="242"/>
    </row>
    <row r="7" spans="1:158" s="25" customFormat="1" ht="15" hidden="1" customHeight="1" outlineLevel="2" thickBot="1">
      <c r="A7" s="902" t="s">
        <v>1211</v>
      </c>
      <c r="B7" s="885">
        <v>130</v>
      </c>
      <c r="D7" s="896"/>
      <c r="E7" s="896"/>
      <c r="F7" s="904">
        <v>44939</v>
      </c>
      <c r="G7" s="2851">
        <v>44652</v>
      </c>
      <c r="H7" s="2851">
        <v>44214</v>
      </c>
      <c r="I7" s="2851">
        <v>44407</v>
      </c>
      <c r="J7" s="242"/>
      <c r="K7" s="3444" t="s">
        <v>3031</v>
      </c>
      <c r="L7" s="3453">
        <v>1.05</v>
      </c>
      <c r="M7" s="242"/>
      <c r="N7" s="242"/>
      <c r="O7" s="242"/>
      <c r="P7" s="242"/>
      <c r="R7" s="242" t="s">
        <v>2731</v>
      </c>
      <c r="S7" s="242"/>
      <c r="T7" s="242"/>
      <c r="U7" s="242"/>
      <c r="V7" s="242"/>
      <c r="W7" s="242"/>
      <c r="X7" s="242"/>
      <c r="Y7" s="242" t="s">
        <v>3066</v>
      </c>
      <c r="Z7" s="242"/>
      <c r="AA7" s="242"/>
      <c r="AB7" s="242"/>
      <c r="AC7" s="242"/>
      <c r="AD7" s="242"/>
      <c r="AE7" s="242"/>
      <c r="AF7" s="242"/>
      <c r="AG7" s="242"/>
      <c r="AH7" s="242"/>
      <c r="AI7" s="242"/>
      <c r="AJ7" s="242"/>
      <c r="AK7" s="242"/>
      <c r="AL7" s="242"/>
      <c r="AM7" s="242"/>
      <c r="AN7" s="242"/>
      <c r="AO7" s="242"/>
      <c r="AP7" s="242"/>
      <c r="AQ7" s="242"/>
      <c r="AR7" s="242"/>
      <c r="AS7" s="242"/>
      <c r="AT7" s="242"/>
      <c r="AU7" s="242"/>
      <c r="AV7" s="242"/>
      <c r="AW7" s="242"/>
      <c r="AX7" s="242"/>
      <c r="AY7" s="242"/>
      <c r="AZ7" s="242"/>
      <c r="BA7" s="242"/>
      <c r="BB7" s="242"/>
      <c r="BC7" s="242"/>
      <c r="BD7" s="242"/>
      <c r="BE7" s="242"/>
      <c r="BF7" s="242"/>
      <c r="BG7" s="242"/>
      <c r="BH7" s="242"/>
      <c r="BI7" s="242"/>
      <c r="BJ7" s="242"/>
      <c r="BK7" s="242"/>
      <c r="BL7" s="242"/>
      <c r="BM7" s="242"/>
      <c r="BN7" s="242"/>
      <c r="BO7" s="242"/>
      <c r="BP7" s="242"/>
      <c r="BQ7" s="242"/>
      <c r="BR7" s="242"/>
      <c r="BS7" s="242"/>
      <c r="BT7" s="242"/>
      <c r="BU7" s="242"/>
      <c r="BV7" s="242"/>
      <c r="BW7" s="242"/>
      <c r="BX7" s="242"/>
      <c r="BY7" s="242"/>
      <c r="BZ7" s="242"/>
      <c r="CA7" s="242"/>
      <c r="CB7" s="242"/>
      <c r="CC7" s="242"/>
      <c r="CD7" s="242"/>
      <c r="CE7" s="242"/>
      <c r="CF7" s="242"/>
      <c r="CG7" s="242"/>
      <c r="CH7" s="242"/>
      <c r="CI7" s="242"/>
      <c r="CJ7" s="242"/>
      <c r="CK7" s="242"/>
      <c r="CL7" s="242"/>
      <c r="CM7" s="242"/>
      <c r="CN7" s="242"/>
      <c r="CO7" s="242"/>
      <c r="CP7" s="242"/>
      <c r="CQ7" s="242"/>
      <c r="CR7" s="242"/>
      <c r="CS7" s="242"/>
      <c r="CT7" s="242"/>
      <c r="CU7" s="242"/>
      <c r="CV7" s="242"/>
      <c r="CW7" s="242"/>
      <c r="CX7" s="242"/>
      <c r="CY7" s="242"/>
      <c r="CZ7" s="242"/>
      <c r="DA7" s="242"/>
      <c r="DB7" s="242"/>
      <c r="DC7" s="242"/>
      <c r="DD7" s="242"/>
      <c r="DE7" s="242"/>
      <c r="DF7" s="242"/>
      <c r="DG7" s="242"/>
      <c r="DH7" s="242"/>
      <c r="DI7" s="242"/>
      <c r="DJ7" s="242"/>
      <c r="DK7" s="242"/>
      <c r="DL7" s="242"/>
      <c r="DM7" s="242"/>
      <c r="DN7" s="242"/>
      <c r="DO7" s="242"/>
      <c r="DP7" s="242"/>
      <c r="DQ7" s="242"/>
      <c r="DR7" s="242"/>
      <c r="DS7" s="242"/>
      <c r="DT7" s="242"/>
      <c r="DU7" s="242"/>
      <c r="DV7" s="242"/>
      <c r="DW7" s="242"/>
      <c r="DX7" s="242"/>
      <c r="DY7" s="242"/>
      <c r="DZ7" s="242"/>
      <c r="EA7" s="242"/>
      <c r="EB7" s="242"/>
      <c r="EC7" s="242"/>
      <c r="ED7" s="242"/>
      <c r="EE7" s="242"/>
      <c r="EF7" s="242"/>
      <c r="EG7" s="242"/>
      <c r="EH7" s="242"/>
      <c r="EI7" s="242"/>
      <c r="EJ7" s="242"/>
      <c r="EK7" s="242"/>
      <c r="EL7" s="242"/>
      <c r="EM7" s="242"/>
      <c r="EN7" s="441"/>
      <c r="EO7" s="441"/>
      <c r="EP7" s="441"/>
      <c r="EQ7" s="441"/>
      <c r="ER7" s="441"/>
      <c r="ES7" s="441"/>
      <c r="ET7" s="441"/>
      <c r="EU7" s="441"/>
      <c r="EV7" s="441"/>
      <c r="EW7" s="441"/>
      <c r="EX7" s="242"/>
      <c r="EY7" s="242"/>
      <c r="EZ7" s="242"/>
      <c r="FA7" s="242"/>
      <c r="FB7" s="242"/>
    </row>
    <row r="8" spans="1:158" s="25" customFormat="1" ht="15" hidden="1" customHeight="1" outlineLevel="2">
      <c r="A8" s="5247" t="s">
        <v>232</v>
      </c>
      <c r="B8" s="5240"/>
      <c r="C8" s="5240" t="s">
        <v>459</v>
      </c>
      <c r="D8" s="5240" t="s">
        <v>184</v>
      </c>
      <c r="E8" s="5240"/>
      <c r="F8" s="2856">
        <f>CEILING(G8*1.3, 50)</f>
        <v>0</v>
      </c>
      <c r="G8" s="2857">
        <f>CEILING(H8*1.3, 50)</f>
        <v>0</v>
      </c>
      <c r="H8" s="2857">
        <v>0</v>
      </c>
      <c r="I8" s="2858"/>
      <c r="J8" s="242"/>
      <c r="K8" s="3445" t="s">
        <v>1209</v>
      </c>
      <c r="L8" s="3445"/>
      <c r="M8" s="3445"/>
      <c r="N8" s="3445">
        <v>1.1000000000000001</v>
      </c>
      <c r="O8" s="3445">
        <v>1.45</v>
      </c>
      <c r="P8" s="3445"/>
      <c r="R8" s="2834" t="s">
        <v>1209</v>
      </c>
      <c r="S8" s="2834"/>
      <c r="T8" s="2834"/>
      <c r="U8" s="2834">
        <v>1.1000000000000001</v>
      </c>
      <c r="V8" s="2834">
        <v>1.45</v>
      </c>
      <c r="W8" s="2834"/>
      <c r="X8" s="242"/>
      <c r="Y8" s="3445" t="s">
        <v>1609</v>
      </c>
      <c r="Z8" s="3445" t="s">
        <v>439</v>
      </c>
      <c r="AA8" s="3445" t="s">
        <v>2726</v>
      </c>
      <c r="AB8" s="242"/>
      <c r="AC8" s="242"/>
      <c r="AD8" s="242"/>
      <c r="AE8" s="242"/>
      <c r="AF8" s="242"/>
      <c r="AG8" s="242"/>
      <c r="AH8" s="242"/>
      <c r="AI8" s="242"/>
      <c r="AJ8" s="242"/>
      <c r="AK8" s="242"/>
      <c r="AL8" s="242"/>
      <c r="AM8" s="242"/>
      <c r="AN8" s="242"/>
      <c r="AO8" s="242"/>
      <c r="AP8" s="242"/>
      <c r="AQ8" s="242"/>
      <c r="AR8" s="242"/>
      <c r="AS8" s="242"/>
      <c r="AT8" s="242"/>
      <c r="AU8" s="242"/>
      <c r="AV8" s="242"/>
      <c r="AW8" s="242"/>
      <c r="AX8" s="242"/>
      <c r="AY8" s="242"/>
      <c r="AZ8" s="242"/>
      <c r="BA8" s="242"/>
      <c r="BB8" s="242"/>
      <c r="BC8" s="242"/>
      <c r="BD8" s="242"/>
      <c r="BE8" s="242"/>
      <c r="BF8" s="242"/>
      <c r="BG8" s="242"/>
      <c r="BH8" s="242"/>
      <c r="BI8" s="242"/>
      <c r="BJ8" s="242"/>
      <c r="BK8" s="242"/>
      <c r="BL8" s="242"/>
      <c r="BM8" s="242"/>
      <c r="BN8" s="242"/>
      <c r="BO8" s="242"/>
      <c r="BP8" s="242"/>
      <c r="BQ8" s="242"/>
      <c r="BR8" s="242"/>
      <c r="BS8" s="242"/>
      <c r="BT8" s="242"/>
      <c r="BU8" s="242"/>
      <c r="BV8" s="242"/>
      <c r="BW8" s="242"/>
      <c r="BX8" s="242"/>
      <c r="BY8" s="242"/>
      <c r="BZ8" s="242"/>
      <c r="CA8" s="242"/>
      <c r="CB8" s="242"/>
      <c r="CC8" s="242"/>
      <c r="CD8" s="242"/>
      <c r="CE8" s="242"/>
      <c r="CF8" s="242"/>
      <c r="CG8" s="242"/>
      <c r="CH8" s="242"/>
      <c r="CI8" s="242"/>
      <c r="CJ8" s="242"/>
      <c r="CK8" s="242"/>
      <c r="CL8" s="242"/>
      <c r="CM8" s="242"/>
      <c r="CN8" s="242"/>
      <c r="CO8" s="242"/>
      <c r="CP8" s="242"/>
      <c r="CQ8" s="242"/>
      <c r="CR8" s="242"/>
      <c r="CS8" s="242"/>
      <c r="CT8" s="242"/>
      <c r="CU8" s="242"/>
      <c r="CV8" s="242"/>
      <c r="CW8" s="242"/>
      <c r="CX8" s="242"/>
      <c r="CY8" s="242"/>
      <c r="CZ8" s="242"/>
      <c r="DA8" s="242"/>
      <c r="DB8" s="242"/>
      <c r="DC8" s="242"/>
      <c r="DD8" s="242"/>
      <c r="DE8" s="242"/>
      <c r="DF8" s="242"/>
      <c r="DG8" s="242"/>
      <c r="DH8" s="242"/>
      <c r="DI8" s="242"/>
      <c r="DJ8" s="242"/>
      <c r="DK8" s="242"/>
      <c r="DL8" s="242"/>
      <c r="DM8" s="242"/>
      <c r="DN8" s="242"/>
      <c r="DO8" s="242"/>
      <c r="DP8" s="242"/>
      <c r="DQ8" s="242"/>
      <c r="DR8" s="242"/>
      <c r="DS8" s="242"/>
      <c r="DT8" s="242"/>
      <c r="DU8" s="242"/>
      <c r="DV8" s="242"/>
      <c r="DW8" s="242"/>
      <c r="DX8" s="242"/>
      <c r="DY8" s="242"/>
      <c r="DZ8" s="242"/>
      <c r="EA8" s="242"/>
      <c r="EB8" s="242"/>
      <c r="EC8" s="242"/>
      <c r="ED8" s="242"/>
      <c r="EE8" s="242"/>
      <c r="EF8" s="242"/>
      <c r="EG8" s="242"/>
      <c r="EH8" s="242"/>
      <c r="EI8" s="242"/>
      <c r="EJ8" s="242"/>
      <c r="EK8" s="242"/>
      <c r="EL8" s="242"/>
      <c r="EM8" s="242"/>
      <c r="EN8" s="441"/>
      <c r="EO8" s="441"/>
      <c r="EP8" s="441"/>
      <c r="EQ8" s="441"/>
      <c r="ER8" s="441"/>
      <c r="ES8" s="441"/>
      <c r="ET8" s="441"/>
      <c r="EU8" s="441"/>
      <c r="EV8" s="441"/>
      <c r="EW8" s="441"/>
      <c r="EX8" s="242"/>
      <c r="EY8" s="242"/>
      <c r="EZ8" s="242"/>
      <c r="FA8" s="242"/>
      <c r="FB8" s="242"/>
    </row>
    <row r="9" spans="1:158" s="897" customFormat="1" ht="15" hidden="1" customHeight="1" outlineLevel="2">
      <c r="A9" s="5248"/>
      <c r="B9" s="5241"/>
      <c r="C9" s="5241"/>
      <c r="D9" s="5242" t="s">
        <v>1464</v>
      </c>
      <c r="E9" s="5242"/>
      <c r="F9" s="2859"/>
      <c r="G9" s="2860">
        <f>CEILING(H9*1.3, 50)</f>
        <v>1500</v>
      </c>
      <c r="H9" s="2860">
        <f>H10*0.9</f>
        <v>1125</v>
      </c>
      <c r="I9" s="2861"/>
      <c r="J9" s="242"/>
      <c r="K9" s="3445"/>
      <c r="L9" s="3445" t="s">
        <v>2656</v>
      </c>
      <c r="M9" s="3445" t="s">
        <v>1609</v>
      </c>
      <c r="N9" s="3445" t="s">
        <v>439</v>
      </c>
      <c r="O9" s="3445" t="s">
        <v>2726</v>
      </c>
      <c r="P9" s="3445"/>
      <c r="R9" s="2834"/>
      <c r="S9" s="2834" t="s">
        <v>2656</v>
      </c>
      <c r="T9" s="2834" t="s">
        <v>1609</v>
      </c>
      <c r="U9" s="2834" t="s">
        <v>439</v>
      </c>
      <c r="V9" s="2834" t="s">
        <v>2726</v>
      </c>
      <c r="W9" s="2834"/>
      <c r="X9" s="242"/>
      <c r="Y9" s="3445"/>
      <c r="Z9" s="3445"/>
      <c r="AA9" s="3445"/>
      <c r="AB9" s="242"/>
      <c r="AC9" s="242"/>
      <c r="AD9" s="242"/>
      <c r="AE9" s="242"/>
      <c r="AF9" s="242"/>
      <c r="AG9" s="242"/>
      <c r="AH9" s="242"/>
      <c r="AI9" s="242"/>
      <c r="AJ9" s="242"/>
      <c r="AK9" s="242"/>
      <c r="AL9" s="242"/>
      <c r="AM9" s="242"/>
      <c r="AN9" s="242"/>
      <c r="AO9" s="242"/>
      <c r="AP9" s="242"/>
      <c r="AQ9" s="242"/>
      <c r="AR9" s="242"/>
      <c r="AS9" s="242"/>
      <c r="AT9" s="242"/>
      <c r="AU9" s="242"/>
      <c r="AV9" s="242"/>
      <c r="AW9" s="242"/>
      <c r="AX9" s="242"/>
      <c r="AY9" s="242"/>
      <c r="AZ9" s="242"/>
      <c r="BA9" s="242"/>
      <c r="BB9" s="242"/>
      <c r="BC9" s="242"/>
      <c r="BD9" s="242"/>
      <c r="BE9" s="242"/>
      <c r="BF9" s="242"/>
      <c r="BG9" s="242"/>
      <c r="BH9" s="242"/>
      <c r="BI9" s="242"/>
      <c r="BJ9" s="242"/>
      <c r="BK9" s="242"/>
      <c r="BL9" s="242"/>
      <c r="BM9" s="242"/>
      <c r="BN9" s="242"/>
      <c r="BO9" s="242"/>
      <c r="BP9" s="242"/>
      <c r="BQ9" s="242"/>
      <c r="BR9" s="242"/>
      <c r="BS9" s="242"/>
      <c r="BT9" s="242"/>
      <c r="BU9" s="242"/>
      <c r="BV9" s="242"/>
      <c r="BW9" s="242"/>
      <c r="BX9" s="242"/>
      <c r="BY9" s="242"/>
      <c r="BZ9" s="242"/>
      <c r="CA9" s="242"/>
      <c r="CB9" s="242"/>
      <c r="CC9" s="242"/>
      <c r="CD9" s="242"/>
      <c r="CE9" s="242"/>
      <c r="CF9" s="242"/>
      <c r="CG9" s="242"/>
      <c r="CH9" s="242"/>
      <c r="CI9" s="242"/>
      <c r="CJ9" s="242"/>
      <c r="CK9" s="242"/>
      <c r="CL9" s="242"/>
      <c r="CM9" s="242"/>
      <c r="CN9" s="242"/>
      <c r="CO9" s="242"/>
      <c r="CP9" s="242"/>
      <c r="CQ9" s="242"/>
      <c r="CR9" s="242"/>
      <c r="CS9" s="242"/>
      <c r="CT9" s="242"/>
      <c r="CU9" s="242"/>
      <c r="CV9" s="242"/>
      <c r="CW9" s="242"/>
      <c r="CX9" s="242"/>
      <c r="CY9" s="242"/>
      <c r="CZ9" s="242"/>
      <c r="DA9" s="242"/>
      <c r="DB9" s="242"/>
      <c r="DC9" s="242"/>
      <c r="DD9" s="242"/>
      <c r="DE9" s="242"/>
      <c r="DF9" s="242"/>
      <c r="DG9" s="242"/>
      <c r="DH9" s="242"/>
      <c r="DI9" s="242"/>
      <c r="DJ9" s="242"/>
      <c r="DK9" s="242"/>
      <c r="DL9" s="242"/>
      <c r="DM9" s="242"/>
      <c r="DN9" s="242"/>
      <c r="DO9" s="242"/>
      <c r="DP9" s="242"/>
      <c r="DQ9" s="242"/>
      <c r="DR9" s="242"/>
      <c r="DS9" s="242"/>
      <c r="DT9" s="242"/>
      <c r="DU9" s="242"/>
      <c r="DV9" s="242"/>
      <c r="DW9" s="242"/>
      <c r="DX9" s="242"/>
      <c r="DY9" s="242"/>
      <c r="DZ9" s="242"/>
      <c r="EA9" s="242"/>
      <c r="EB9" s="242"/>
      <c r="EC9" s="242"/>
      <c r="ED9" s="242"/>
      <c r="EE9" s="242"/>
      <c r="EF9" s="242"/>
      <c r="EG9" s="242"/>
      <c r="EH9" s="242"/>
      <c r="EI9" s="242"/>
      <c r="EJ9" s="242"/>
      <c r="EK9" s="242"/>
      <c r="EL9" s="242"/>
      <c r="EM9" s="242"/>
      <c r="EN9" s="441"/>
      <c r="EO9" s="441"/>
      <c r="EP9" s="441"/>
      <c r="EQ9" s="441"/>
      <c r="ER9" s="441"/>
      <c r="ES9" s="441"/>
      <c r="ET9" s="441"/>
      <c r="EU9" s="441"/>
      <c r="EV9" s="441"/>
      <c r="EW9" s="441"/>
      <c r="EX9" s="242"/>
      <c r="EY9" s="242"/>
      <c r="EZ9" s="242"/>
      <c r="FA9" s="242"/>
      <c r="FB9" s="242"/>
    </row>
    <row r="10" spans="1:158" s="25" customFormat="1" ht="15" hidden="1" customHeight="1" outlineLevel="2">
      <c r="A10" s="5248"/>
      <c r="B10" s="5241"/>
      <c r="C10" s="5241"/>
      <c r="D10" s="5241" t="s">
        <v>1210</v>
      </c>
      <c r="E10" s="5241"/>
      <c r="F10" s="2862"/>
      <c r="G10" s="2863">
        <f>CEILING(H10*1.3, 50)</f>
        <v>1650</v>
      </c>
      <c r="H10" s="2863">
        <v>1250</v>
      </c>
      <c r="I10" s="2864"/>
      <c r="J10" s="242"/>
      <c r="K10" s="3445">
        <v>1</v>
      </c>
      <c r="L10" s="3445" t="s">
        <v>2727</v>
      </c>
      <c r="M10" s="3445">
        <v>0</v>
      </c>
      <c r="N10" s="3445" t="s">
        <v>4</v>
      </c>
      <c r="O10" s="3445" t="s">
        <v>4</v>
      </c>
      <c r="P10" s="3446"/>
      <c r="R10" s="2834">
        <v>1</v>
      </c>
      <c r="S10" s="2834" t="s">
        <v>2727</v>
      </c>
      <c r="T10" s="2834">
        <v>0</v>
      </c>
      <c r="U10" s="2834" t="s">
        <v>4</v>
      </c>
      <c r="V10" s="2834" t="s">
        <v>4</v>
      </c>
      <c r="W10" s="980"/>
      <c r="X10" s="242"/>
      <c r="Y10" s="3447"/>
      <c r="Z10" s="3447"/>
      <c r="AA10" s="3447"/>
      <c r="AB10" s="242"/>
      <c r="AC10" s="242"/>
      <c r="AD10" s="242"/>
      <c r="AE10" s="242"/>
      <c r="AF10" s="242"/>
      <c r="AG10" s="242"/>
      <c r="AH10" s="242"/>
      <c r="AI10" s="242"/>
      <c r="AJ10" s="242"/>
      <c r="AK10" s="242"/>
      <c r="AL10" s="242"/>
      <c r="AM10" s="242"/>
      <c r="AN10" s="242"/>
      <c r="AO10" s="242"/>
      <c r="AP10" s="242"/>
      <c r="AQ10" s="242"/>
      <c r="AR10" s="242"/>
      <c r="AS10" s="242"/>
      <c r="AT10" s="242"/>
      <c r="AU10" s="242"/>
      <c r="AV10" s="242"/>
      <c r="AW10" s="242"/>
      <c r="AX10" s="242"/>
      <c r="AY10" s="242"/>
      <c r="AZ10" s="242"/>
      <c r="BA10" s="242"/>
      <c r="BB10" s="242"/>
      <c r="BC10" s="242"/>
      <c r="BD10" s="242"/>
      <c r="BE10" s="242"/>
      <c r="BF10" s="242"/>
      <c r="BG10" s="242"/>
      <c r="BH10" s="242"/>
      <c r="BI10" s="242"/>
      <c r="BJ10" s="242"/>
      <c r="BK10" s="242"/>
      <c r="BL10" s="242"/>
      <c r="BM10" s="242"/>
      <c r="BN10" s="242"/>
      <c r="BO10" s="242"/>
      <c r="BP10" s="242"/>
      <c r="BQ10" s="242"/>
      <c r="BR10" s="242"/>
      <c r="BS10" s="242"/>
      <c r="BT10" s="242"/>
      <c r="BU10" s="242"/>
      <c r="BV10" s="242"/>
      <c r="BW10" s="242"/>
      <c r="BX10" s="242"/>
      <c r="BY10" s="242"/>
      <c r="BZ10" s="242"/>
      <c r="CA10" s="242"/>
      <c r="CB10" s="242"/>
      <c r="CC10" s="242"/>
      <c r="CD10" s="242"/>
      <c r="CE10" s="242"/>
      <c r="CF10" s="242"/>
      <c r="CG10" s="242"/>
      <c r="CH10" s="242"/>
      <c r="CI10" s="242"/>
      <c r="CJ10" s="242"/>
      <c r="CK10" s="242"/>
      <c r="CL10" s="242"/>
      <c r="CM10" s="242"/>
      <c r="CN10" s="242"/>
      <c r="CO10" s="242"/>
      <c r="CP10" s="242"/>
      <c r="CQ10" s="242"/>
      <c r="CR10" s="242"/>
      <c r="CS10" s="242"/>
      <c r="CT10" s="242"/>
      <c r="CU10" s="242"/>
      <c r="CV10" s="242"/>
      <c r="CW10" s="242"/>
      <c r="CX10" s="242"/>
      <c r="CY10" s="242"/>
      <c r="CZ10" s="242"/>
      <c r="DA10" s="242"/>
      <c r="DB10" s="242"/>
      <c r="DC10" s="242"/>
      <c r="DD10" s="242"/>
      <c r="DE10" s="242"/>
      <c r="DF10" s="242"/>
      <c r="DG10" s="242"/>
      <c r="DH10" s="242"/>
      <c r="DI10" s="242"/>
      <c r="DJ10" s="242"/>
      <c r="DK10" s="242"/>
      <c r="DL10" s="242"/>
      <c r="DM10" s="242"/>
      <c r="DN10" s="242"/>
      <c r="DO10" s="242"/>
      <c r="DP10" s="242"/>
      <c r="DQ10" s="242"/>
      <c r="DR10" s="242"/>
      <c r="DS10" s="242"/>
      <c r="DT10" s="242"/>
      <c r="DU10" s="242"/>
      <c r="DV10" s="242"/>
      <c r="DW10" s="242"/>
      <c r="DX10" s="242"/>
      <c r="DY10" s="242"/>
      <c r="DZ10" s="242"/>
      <c r="EA10" s="242"/>
      <c r="EB10" s="242"/>
      <c r="EC10" s="242"/>
      <c r="ED10" s="242"/>
      <c r="EE10" s="242"/>
      <c r="EF10" s="242"/>
      <c r="EG10" s="242"/>
      <c r="EH10" s="242"/>
      <c r="EI10" s="242"/>
      <c r="EJ10" s="242"/>
      <c r="EK10" s="242"/>
      <c r="EL10" s="242"/>
      <c r="EM10" s="242"/>
      <c r="EN10" s="441"/>
      <c r="EO10" s="441"/>
      <c r="EP10" s="441"/>
      <c r="EQ10" s="441"/>
      <c r="ER10" s="441"/>
      <c r="ES10" s="441"/>
      <c r="ET10" s="441"/>
      <c r="EU10" s="441"/>
      <c r="EV10" s="441"/>
      <c r="EW10" s="441"/>
      <c r="EX10" s="242"/>
      <c r="EY10" s="242"/>
      <c r="EZ10" s="242"/>
      <c r="FA10" s="242"/>
      <c r="FB10" s="242"/>
    </row>
    <row r="11" spans="1:158" s="25" customFormat="1" ht="15" hidden="1" customHeight="1" outlineLevel="2">
      <c r="A11" s="5248"/>
      <c r="B11" s="5241"/>
      <c r="C11" s="5242" t="s">
        <v>458</v>
      </c>
      <c r="D11" s="5242" t="s">
        <v>184</v>
      </c>
      <c r="E11" s="5242"/>
      <c r="F11" s="2859"/>
      <c r="G11" s="2860">
        <f t="shared" ref="G11:G19" si="0">CEILING(H11*1.3, 50)</f>
        <v>1300</v>
      </c>
      <c r="H11" s="2860">
        <v>1000</v>
      </c>
      <c r="I11" s="2861">
        <v>1225</v>
      </c>
      <c r="J11" s="242"/>
      <c r="K11" s="3445">
        <v>2</v>
      </c>
      <c r="L11" s="3445" t="s">
        <v>2728</v>
      </c>
      <c r="M11" s="3446">
        <f>CEILING(T11*$L$7,50)</f>
        <v>2850</v>
      </c>
      <c r="N11" s="3446">
        <f>CEILING(M11*$N$8,50)</f>
        <v>3150</v>
      </c>
      <c r="O11" s="3446">
        <f>CEILING(M11*$O$8,50)</f>
        <v>4150</v>
      </c>
      <c r="P11" s="3446">
        <v>1.0384615384615385</v>
      </c>
      <c r="R11" s="2834">
        <v>2</v>
      </c>
      <c r="S11" s="2834" t="s">
        <v>2728</v>
      </c>
      <c r="T11" s="980">
        <v>2700</v>
      </c>
      <c r="U11" s="980">
        <v>3000</v>
      </c>
      <c r="V11" s="980">
        <v>3950</v>
      </c>
      <c r="W11" s="980">
        <v>1.0384615384615385</v>
      </c>
      <c r="X11" s="242"/>
      <c r="Y11" s="3447">
        <f t="shared" ref="Y11:AA13" si="1">M11/T11-1</f>
        <v>5.555555555555558E-2</v>
      </c>
      <c r="Z11" s="3447">
        <f t="shared" si="1"/>
        <v>5.0000000000000044E-2</v>
      </c>
      <c r="AA11" s="3447">
        <f t="shared" si="1"/>
        <v>5.0632911392405111E-2</v>
      </c>
      <c r="AB11" s="242"/>
      <c r="AC11" s="242"/>
      <c r="AD11" s="242"/>
      <c r="AE11" s="242"/>
      <c r="AF11" s="242"/>
      <c r="AG11" s="242"/>
      <c r="AH11" s="242"/>
      <c r="AI11" s="242"/>
      <c r="AJ11" s="242"/>
      <c r="AK11" s="242"/>
      <c r="AL11" s="242"/>
      <c r="AM11" s="242"/>
      <c r="AN11" s="242"/>
      <c r="AO11" s="242"/>
      <c r="AP11" s="242"/>
      <c r="AQ11" s="242"/>
      <c r="AR11" s="242"/>
      <c r="AS11" s="242"/>
      <c r="AT11" s="242"/>
      <c r="AU11" s="242"/>
      <c r="AV11" s="242"/>
      <c r="AW11" s="242"/>
      <c r="AX11" s="242"/>
      <c r="AY11" s="242"/>
      <c r="AZ11" s="242"/>
      <c r="BA11" s="242"/>
      <c r="BB11" s="242"/>
      <c r="BC11" s="242"/>
      <c r="BD11" s="242"/>
      <c r="BE11" s="242"/>
      <c r="BF11" s="242"/>
      <c r="BG11" s="242"/>
      <c r="BH11" s="242"/>
      <c r="BI11" s="242"/>
      <c r="BJ11" s="242"/>
      <c r="BK11" s="242"/>
      <c r="BL11" s="242"/>
      <c r="BM11" s="242"/>
      <c r="BN11" s="242"/>
      <c r="BO11" s="242"/>
      <c r="BP11" s="242"/>
      <c r="BQ11" s="242"/>
      <c r="BR11" s="242"/>
      <c r="BS11" s="242"/>
      <c r="BT11" s="242"/>
      <c r="BU11" s="242"/>
      <c r="BV11" s="242"/>
      <c r="BW11" s="242"/>
      <c r="BX11" s="242"/>
      <c r="BY11" s="242"/>
      <c r="BZ11" s="242"/>
      <c r="CA11" s="242"/>
      <c r="CB11" s="242"/>
      <c r="CC11" s="242"/>
      <c r="CD11" s="242"/>
      <c r="CE11" s="242"/>
      <c r="CF11" s="242"/>
      <c r="CG11" s="242"/>
      <c r="CH11" s="242"/>
      <c r="CI11" s="242"/>
      <c r="CJ11" s="242"/>
      <c r="CK11" s="242"/>
      <c r="CL11" s="242"/>
      <c r="CM11" s="242"/>
      <c r="CN11" s="242"/>
      <c r="CO11" s="242"/>
      <c r="CP11" s="242"/>
      <c r="CQ11" s="242"/>
      <c r="CR11" s="242"/>
      <c r="CS11" s="242"/>
      <c r="CT11" s="242"/>
      <c r="CU11" s="242"/>
      <c r="CV11" s="242"/>
      <c r="CW11" s="242"/>
      <c r="CX11" s="242"/>
      <c r="CY11" s="242"/>
      <c r="CZ11" s="242"/>
      <c r="DA11" s="242"/>
      <c r="DB11" s="242"/>
      <c r="DC11" s="242"/>
      <c r="DD11" s="242"/>
      <c r="DE11" s="242"/>
      <c r="DF11" s="242"/>
      <c r="DG11" s="242"/>
      <c r="DH11" s="242"/>
      <c r="DI11" s="242"/>
      <c r="DJ11" s="242"/>
      <c r="DK11" s="242"/>
      <c r="DL11" s="242"/>
      <c r="DM11" s="242"/>
      <c r="DN11" s="242"/>
      <c r="DO11" s="242"/>
      <c r="DP11" s="242"/>
      <c r="DQ11" s="242"/>
      <c r="DR11" s="242"/>
      <c r="DS11" s="242"/>
      <c r="DT11" s="242"/>
      <c r="DU11" s="242"/>
      <c r="DV11" s="242"/>
      <c r="DW11" s="242"/>
      <c r="DX11" s="242"/>
      <c r="DY11" s="242"/>
      <c r="DZ11" s="242"/>
      <c r="EA11" s="242"/>
      <c r="EB11" s="242"/>
      <c r="EC11" s="242"/>
      <c r="ED11" s="242"/>
      <c r="EE11" s="242"/>
      <c r="EF11" s="242"/>
      <c r="EG11" s="242"/>
      <c r="EH11" s="242"/>
      <c r="EI11" s="242"/>
      <c r="EJ11" s="242"/>
      <c r="EK11" s="242"/>
      <c r="EL11" s="242"/>
      <c r="EM11" s="242"/>
      <c r="EN11" s="441"/>
      <c r="EO11" s="441"/>
      <c r="EP11" s="441"/>
      <c r="EQ11" s="441"/>
      <c r="ER11" s="441"/>
      <c r="ES11" s="441"/>
      <c r="ET11" s="441"/>
      <c r="EU11" s="441"/>
      <c r="EV11" s="441"/>
      <c r="EW11" s="441"/>
      <c r="EX11" s="242"/>
      <c r="EY11" s="242"/>
      <c r="EZ11" s="242"/>
      <c r="FA11" s="242"/>
      <c r="FB11" s="242"/>
    </row>
    <row r="12" spans="1:158" s="897" customFormat="1" ht="15" hidden="1" customHeight="1" outlineLevel="2">
      <c r="A12" s="5248"/>
      <c r="B12" s="5241"/>
      <c r="C12" s="5242"/>
      <c r="D12" s="5241" t="s">
        <v>1464</v>
      </c>
      <c r="E12" s="5241"/>
      <c r="F12" s="2862"/>
      <c r="G12" s="2863">
        <f t="shared" si="0"/>
        <v>2650</v>
      </c>
      <c r="H12" s="2863">
        <f>H13*0.9</f>
        <v>2025</v>
      </c>
      <c r="I12" s="2864"/>
      <c r="J12" s="242"/>
      <c r="K12" s="3445">
        <v>3</v>
      </c>
      <c r="L12" s="3445" t="s">
        <v>2729</v>
      </c>
      <c r="M12" s="3446">
        <f>CEILING(T12*$L$7,50)</f>
        <v>3850</v>
      </c>
      <c r="N12" s="3446">
        <f>CEILING(M12*$N$8,50)</f>
        <v>4250</v>
      </c>
      <c r="O12" s="3446">
        <f>CEILING(M12*$O$8,50)</f>
        <v>5600</v>
      </c>
      <c r="P12" s="3446">
        <v>1.1230769230769231</v>
      </c>
      <c r="R12" s="2834">
        <v>3</v>
      </c>
      <c r="S12" s="2834" t="s">
        <v>2729</v>
      </c>
      <c r="T12" s="980">
        <v>3650</v>
      </c>
      <c r="U12" s="980">
        <v>4050</v>
      </c>
      <c r="V12" s="980">
        <v>5300</v>
      </c>
      <c r="W12" s="980">
        <v>1.1230769230769231</v>
      </c>
      <c r="X12" s="242"/>
      <c r="Y12" s="3447">
        <f t="shared" si="1"/>
        <v>5.4794520547945202E-2</v>
      </c>
      <c r="Z12" s="3447">
        <f t="shared" si="1"/>
        <v>4.9382716049382713E-2</v>
      </c>
      <c r="AA12" s="3447">
        <f t="shared" si="1"/>
        <v>5.6603773584905648E-2</v>
      </c>
      <c r="AB12" s="242"/>
      <c r="AC12" s="242"/>
      <c r="AD12" s="242"/>
      <c r="AE12" s="242"/>
      <c r="AF12" s="242"/>
      <c r="AG12" s="242"/>
      <c r="AH12" s="242"/>
      <c r="AI12" s="242"/>
      <c r="AJ12" s="242"/>
      <c r="AK12" s="242"/>
      <c r="AL12" s="242"/>
      <c r="AM12" s="242"/>
      <c r="AN12" s="242"/>
      <c r="AO12" s="242"/>
      <c r="AP12" s="242"/>
      <c r="AQ12" s="242"/>
      <c r="AR12" s="242"/>
      <c r="AS12" s="242"/>
      <c r="AT12" s="242"/>
      <c r="AU12" s="242"/>
      <c r="AV12" s="242"/>
      <c r="AW12" s="242"/>
      <c r="AX12" s="242"/>
      <c r="AY12" s="242"/>
      <c r="AZ12" s="242"/>
      <c r="BA12" s="242"/>
      <c r="BB12" s="242"/>
      <c r="BC12" s="242"/>
      <c r="BD12" s="242"/>
      <c r="BE12" s="242"/>
      <c r="BF12" s="242"/>
      <c r="BG12" s="242"/>
      <c r="BH12" s="242"/>
      <c r="BI12" s="242"/>
      <c r="BJ12" s="242"/>
      <c r="BK12" s="242"/>
      <c r="BL12" s="242"/>
      <c r="BM12" s="242"/>
      <c r="BN12" s="242"/>
      <c r="BO12" s="242"/>
      <c r="BP12" s="242"/>
      <c r="BQ12" s="242"/>
      <c r="BR12" s="242"/>
      <c r="BS12" s="242"/>
      <c r="BT12" s="242"/>
      <c r="BU12" s="242"/>
      <c r="BV12" s="242"/>
      <c r="BW12" s="242"/>
      <c r="BX12" s="242"/>
      <c r="BY12" s="242"/>
      <c r="BZ12" s="242"/>
      <c r="CA12" s="242"/>
      <c r="CB12" s="242"/>
      <c r="CC12" s="242"/>
      <c r="CD12" s="242"/>
      <c r="CE12" s="242"/>
      <c r="CF12" s="242"/>
      <c r="CG12" s="242"/>
      <c r="CH12" s="242"/>
      <c r="CI12" s="242"/>
      <c r="CJ12" s="242"/>
      <c r="CK12" s="242"/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  <c r="CW12" s="242"/>
      <c r="CX12" s="242"/>
      <c r="CY12" s="242"/>
      <c r="CZ12" s="242"/>
      <c r="DA12" s="242"/>
      <c r="DB12" s="242"/>
      <c r="DC12" s="242"/>
      <c r="DD12" s="242"/>
      <c r="DE12" s="242"/>
      <c r="DF12" s="242"/>
      <c r="DG12" s="242"/>
      <c r="DH12" s="242"/>
      <c r="DI12" s="242"/>
      <c r="DJ12" s="242"/>
      <c r="DK12" s="242"/>
      <c r="DL12" s="242"/>
      <c r="DM12" s="242"/>
      <c r="DN12" s="242"/>
      <c r="DO12" s="242"/>
      <c r="DP12" s="242"/>
      <c r="DQ12" s="242"/>
      <c r="DR12" s="242"/>
      <c r="DS12" s="242"/>
      <c r="DT12" s="242"/>
      <c r="DU12" s="242"/>
      <c r="DV12" s="242"/>
      <c r="DW12" s="242"/>
      <c r="DX12" s="242"/>
      <c r="DY12" s="242"/>
      <c r="DZ12" s="242"/>
      <c r="EA12" s="242"/>
      <c r="EB12" s="242"/>
      <c r="EC12" s="242"/>
      <c r="ED12" s="242"/>
      <c r="EE12" s="242"/>
      <c r="EF12" s="242"/>
      <c r="EG12" s="242"/>
      <c r="EH12" s="242"/>
      <c r="EI12" s="242"/>
      <c r="EJ12" s="242"/>
      <c r="EK12" s="242"/>
      <c r="EL12" s="242"/>
      <c r="EM12" s="242"/>
      <c r="EN12" s="441"/>
      <c r="EO12" s="441"/>
      <c r="EP12" s="441"/>
      <c r="EQ12" s="441"/>
      <c r="ER12" s="441"/>
      <c r="ES12" s="441"/>
      <c r="ET12" s="441"/>
      <c r="EU12" s="441"/>
      <c r="EV12" s="441"/>
      <c r="EW12" s="441"/>
      <c r="EX12" s="242"/>
      <c r="EY12" s="242"/>
      <c r="EZ12" s="242"/>
      <c r="FA12" s="242"/>
      <c r="FB12" s="242"/>
    </row>
    <row r="13" spans="1:158" s="25" customFormat="1" ht="15" hidden="1" customHeight="1" outlineLevel="2" thickBot="1">
      <c r="A13" s="5249"/>
      <c r="B13" s="5250"/>
      <c r="C13" s="5243"/>
      <c r="D13" s="5243" t="s">
        <v>1210</v>
      </c>
      <c r="E13" s="5243"/>
      <c r="F13" s="2865"/>
      <c r="G13" s="2866">
        <f t="shared" si="0"/>
        <v>2950</v>
      </c>
      <c r="H13" s="2866">
        <v>2250</v>
      </c>
      <c r="I13" s="2867"/>
      <c r="J13" s="242"/>
      <c r="K13" s="3445">
        <v>4</v>
      </c>
      <c r="L13" s="3445" t="s">
        <v>2730</v>
      </c>
      <c r="M13" s="3446">
        <f>CEILING(T13*$L$7,50)</f>
        <v>5000</v>
      </c>
      <c r="N13" s="3446">
        <f>CEILING(M13*$N$8,50)</f>
        <v>5500</v>
      </c>
      <c r="O13" s="3446">
        <f>CEILING(M13*$O$8,50)</f>
        <v>7250</v>
      </c>
      <c r="P13" s="3446">
        <v>1.2179487179487178</v>
      </c>
      <c r="Q13" s="242"/>
      <c r="R13" s="2834">
        <v>4</v>
      </c>
      <c r="S13" s="2834" t="s">
        <v>2730</v>
      </c>
      <c r="T13" s="2963">
        <v>4750</v>
      </c>
      <c r="U13" s="2963">
        <v>5250</v>
      </c>
      <c r="V13" s="980">
        <v>6900</v>
      </c>
      <c r="W13" s="980">
        <v>1.2179487179487178</v>
      </c>
      <c r="X13" s="242"/>
      <c r="Y13" s="3447">
        <f t="shared" si="1"/>
        <v>5.2631578947368363E-2</v>
      </c>
      <c r="Z13" s="3447">
        <f t="shared" si="1"/>
        <v>4.7619047619047672E-2</v>
      </c>
      <c r="AA13" s="3447">
        <f t="shared" si="1"/>
        <v>5.0724637681159424E-2</v>
      </c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  <c r="AN13" s="242"/>
      <c r="AO13" s="242"/>
      <c r="AP13" s="242"/>
      <c r="AQ13" s="242"/>
      <c r="AR13" s="242"/>
      <c r="AS13" s="242"/>
      <c r="AT13" s="242"/>
      <c r="AU13" s="242"/>
      <c r="AV13" s="242"/>
      <c r="AW13" s="242"/>
      <c r="AX13" s="242"/>
      <c r="AY13" s="242"/>
      <c r="AZ13" s="242"/>
      <c r="BA13" s="242"/>
      <c r="BB13" s="242"/>
      <c r="BC13" s="242"/>
      <c r="BD13" s="242"/>
      <c r="BE13" s="242"/>
      <c r="BF13" s="242"/>
      <c r="BG13" s="242"/>
      <c r="BH13" s="242"/>
      <c r="BI13" s="242"/>
      <c r="BJ13" s="242"/>
      <c r="BK13" s="242"/>
      <c r="BL13" s="242"/>
      <c r="BM13" s="242"/>
      <c r="BN13" s="242"/>
      <c r="BO13" s="242"/>
      <c r="BP13" s="242"/>
      <c r="BQ13" s="242"/>
      <c r="BR13" s="242"/>
      <c r="BS13" s="242"/>
      <c r="BT13" s="242"/>
      <c r="BU13" s="242"/>
      <c r="BV13" s="242"/>
      <c r="BW13" s="242"/>
      <c r="BX13" s="242"/>
      <c r="BY13" s="242"/>
      <c r="BZ13" s="242"/>
      <c r="CA13" s="242"/>
      <c r="CB13" s="242"/>
      <c r="CC13" s="242"/>
      <c r="CD13" s="242"/>
      <c r="CE13" s="242"/>
      <c r="CF13" s="242"/>
      <c r="CG13" s="242"/>
      <c r="CH13" s="242"/>
      <c r="CI13" s="242"/>
      <c r="CJ13" s="242"/>
      <c r="CK13" s="242"/>
      <c r="CL13" s="242"/>
      <c r="CM13" s="242"/>
      <c r="CN13" s="242"/>
      <c r="CO13" s="242"/>
      <c r="CP13" s="242"/>
      <c r="CQ13" s="242"/>
      <c r="CR13" s="242"/>
      <c r="CS13" s="242"/>
      <c r="CT13" s="242"/>
      <c r="CU13" s="242"/>
      <c r="CV13" s="242"/>
      <c r="CW13" s="242"/>
      <c r="CX13" s="242"/>
      <c r="CY13" s="242"/>
      <c r="CZ13" s="242"/>
      <c r="DA13" s="242"/>
      <c r="DB13" s="242"/>
      <c r="DC13" s="242"/>
      <c r="DD13" s="242"/>
      <c r="DE13" s="242"/>
      <c r="DF13" s="242"/>
      <c r="DG13" s="242"/>
      <c r="DH13" s="242"/>
      <c r="DI13" s="242"/>
      <c r="DJ13" s="242"/>
      <c r="DK13" s="242"/>
      <c r="DL13" s="242"/>
      <c r="DM13" s="242"/>
      <c r="DN13" s="242"/>
      <c r="DO13" s="242"/>
      <c r="DP13" s="242"/>
      <c r="DQ13" s="242"/>
      <c r="DR13" s="242"/>
      <c r="DS13" s="242"/>
      <c r="DT13" s="242"/>
      <c r="DU13" s="242"/>
      <c r="DV13" s="242"/>
      <c r="DW13" s="242"/>
      <c r="DX13" s="242"/>
      <c r="DY13" s="242"/>
      <c r="DZ13" s="242"/>
      <c r="EA13" s="242"/>
      <c r="EB13" s="242"/>
      <c r="EC13" s="242"/>
      <c r="ED13" s="242"/>
      <c r="EE13" s="242"/>
      <c r="EF13" s="242"/>
      <c r="EG13" s="242"/>
      <c r="EH13" s="242"/>
      <c r="EI13" s="242"/>
      <c r="EJ13" s="242"/>
      <c r="EK13" s="242"/>
      <c r="EL13" s="242"/>
      <c r="EM13" s="242"/>
      <c r="EN13" s="441"/>
      <c r="EO13" s="441"/>
      <c r="EP13" s="441"/>
      <c r="EQ13" s="441"/>
      <c r="ER13" s="441"/>
      <c r="ES13" s="441"/>
      <c r="ET13" s="441"/>
      <c r="EU13" s="441"/>
      <c r="EV13" s="441"/>
      <c r="EW13" s="441"/>
      <c r="EX13" s="242"/>
      <c r="EY13" s="242"/>
      <c r="EZ13" s="242"/>
      <c r="FA13" s="242"/>
      <c r="FB13" s="242"/>
    </row>
    <row r="14" spans="1:158" s="25" customFormat="1" ht="15" hidden="1" customHeight="1" outlineLevel="2">
      <c r="A14" s="5244" t="s">
        <v>233</v>
      </c>
      <c r="B14" s="5244"/>
      <c r="C14" s="5244" t="s">
        <v>459</v>
      </c>
      <c r="D14" s="5244" t="s">
        <v>184</v>
      </c>
      <c r="E14" s="5244"/>
      <c r="F14" s="2854"/>
      <c r="G14" s="2855">
        <f>CEILING(H14*1.3, 50)</f>
        <v>2600</v>
      </c>
      <c r="H14" s="2855">
        <f>H11*2</f>
        <v>2000</v>
      </c>
      <c r="I14" s="2855">
        <v>2450</v>
      </c>
      <c r="J14" s="242"/>
      <c r="K14" s="242"/>
      <c r="L14" s="242"/>
      <c r="M14" s="242"/>
      <c r="N14" s="242"/>
      <c r="O14" s="242"/>
      <c r="P14" s="242"/>
      <c r="Q14" s="242"/>
      <c r="R14" s="242"/>
      <c r="S14" s="242"/>
      <c r="T14" s="242"/>
      <c r="U14" s="242"/>
      <c r="V14" s="242"/>
      <c r="W14" s="242"/>
      <c r="X14" s="242"/>
      <c r="Y14" s="3447"/>
      <c r="Z14" s="3447"/>
      <c r="AA14" s="3447"/>
      <c r="AB14" s="242"/>
      <c r="AC14" s="242"/>
      <c r="AD14" s="242"/>
      <c r="AE14" s="242"/>
      <c r="AF14" s="242"/>
      <c r="AG14" s="242"/>
      <c r="AH14" s="242"/>
      <c r="AI14" s="242"/>
      <c r="AJ14" s="242"/>
      <c r="AK14" s="242"/>
      <c r="AL14" s="242"/>
      <c r="AM14" s="242"/>
      <c r="AN14" s="242"/>
      <c r="AO14" s="242"/>
      <c r="AP14" s="242"/>
      <c r="AQ14" s="242"/>
      <c r="AR14" s="242"/>
      <c r="AS14" s="242"/>
      <c r="AT14" s="242"/>
      <c r="AU14" s="242"/>
      <c r="AV14" s="242"/>
      <c r="AW14" s="242"/>
      <c r="AX14" s="242"/>
      <c r="AY14" s="242"/>
      <c r="AZ14" s="242"/>
      <c r="BA14" s="242"/>
      <c r="BB14" s="242"/>
      <c r="BC14" s="242"/>
      <c r="BD14" s="242"/>
      <c r="BE14" s="242"/>
      <c r="BF14" s="242"/>
      <c r="BG14" s="242"/>
      <c r="BH14" s="242"/>
      <c r="BI14" s="242"/>
      <c r="BJ14" s="242"/>
      <c r="BK14" s="242"/>
      <c r="BL14" s="242"/>
      <c r="BM14" s="242"/>
      <c r="BN14" s="242"/>
      <c r="BO14" s="242"/>
      <c r="BP14" s="242"/>
      <c r="BQ14" s="242"/>
      <c r="BR14" s="242"/>
      <c r="BS14" s="242"/>
      <c r="BT14" s="242"/>
      <c r="BU14" s="242"/>
      <c r="BV14" s="242"/>
      <c r="BW14" s="242"/>
      <c r="BX14" s="242"/>
      <c r="BY14" s="242"/>
      <c r="BZ14" s="242"/>
      <c r="CA14" s="242"/>
      <c r="CB14" s="242"/>
      <c r="CC14" s="242"/>
      <c r="CD14" s="242"/>
      <c r="CE14" s="242"/>
      <c r="CF14" s="242"/>
      <c r="CG14" s="242"/>
      <c r="CH14" s="242"/>
      <c r="CI14" s="242"/>
      <c r="CJ14" s="242"/>
      <c r="CK14" s="242"/>
      <c r="CL14" s="242"/>
      <c r="CM14" s="242"/>
      <c r="CN14" s="242"/>
      <c r="CO14" s="242"/>
      <c r="CP14" s="242"/>
      <c r="CQ14" s="242"/>
      <c r="CR14" s="242"/>
      <c r="CS14" s="242"/>
      <c r="CT14" s="242"/>
      <c r="CU14" s="242"/>
      <c r="CV14" s="242"/>
      <c r="CW14" s="242"/>
      <c r="CX14" s="242"/>
      <c r="CY14" s="242"/>
      <c r="CZ14" s="242"/>
      <c r="DA14" s="242"/>
      <c r="DB14" s="242"/>
      <c r="DC14" s="242"/>
      <c r="DD14" s="242"/>
      <c r="DE14" s="242"/>
      <c r="DF14" s="242"/>
      <c r="DG14" s="242"/>
      <c r="DH14" s="242"/>
      <c r="DI14" s="242"/>
      <c r="DJ14" s="242"/>
      <c r="DK14" s="242"/>
      <c r="DL14" s="242"/>
      <c r="DM14" s="242"/>
      <c r="DN14" s="242"/>
      <c r="DO14" s="242"/>
      <c r="DP14" s="242"/>
      <c r="DQ14" s="242"/>
      <c r="DR14" s="242"/>
      <c r="DS14" s="242"/>
      <c r="DT14" s="242"/>
      <c r="DU14" s="242"/>
      <c r="DV14" s="242"/>
      <c r="DW14" s="242"/>
      <c r="DX14" s="242"/>
      <c r="DY14" s="242"/>
      <c r="DZ14" s="242"/>
      <c r="EA14" s="242"/>
      <c r="EB14" s="242"/>
      <c r="EC14" s="242"/>
      <c r="ED14" s="242"/>
      <c r="EE14" s="242"/>
      <c r="EF14" s="242"/>
      <c r="EG14" s="242"/>
      <c r="EH14" s="242"/>
      <c r="EI14" s="242"/>
      <c r="EJ14" s="242"/>
      <c r="EK14" s="242"/>
      <c r="EL14" s="242"/>
      <c r="EM14" s="242"/>
      <c r="EN14" s="441"/>
      <c r="EO14" s="441"/>
      <c r="EP14" s="441"/>
      <c r="EQ14" s="441"/>
      <c r="ER14" s="441"/>
      <c r="ES14" s="441"/>
      <c r="ET14" s="441"/>
      <c r="EU14" s="441"/>
      <c r="EV14" s="441"/>
      <c r="EW14" s="441"/>
      <c r="EX14" s="242"/>
      <c r="EY14" s="242"/>
      <c r="EZ14" s="242"/>
      <c r="FA14" s="242"/>
      <c r="FB14" s="242"/>
    </row>
    <row r="15" spans="1:158" s="897" customFormat="1" ht="15" hidden="1" customHeight="1" outlineLevel="2">
      <c r="A15" s="4249"/>
      <c r="B15" s="4249"/>
      <c r="C15" s="4249"/>
      <c r="D15" s="5228" t="s">
        <v>1464</v>
      </c>
      <c r="E15" s="5228"/>
      <c r="F15" s="1176"/>
      <c r="G15" s="2853">
        <f>CEILING(H15*1.3, 50)</f>
        <v>3250</v>
      </c>
      <c r="H15" s="2853">
        <f>H16*0.9</f>
        <v>2475</v>
      </c>
      <c r="I15" s="2853"/>
      <c r="J15" s="242"/>
      <c r="K15" s="3444"/>
      <c r="L15" s="242"/>
      <c r="M15" s="242"/>
      <c r="N15" s="242"/>
      <c r="O15" s="242"/>
      <c r="P15" s="242"/>
      <c r="Q15" s="242"/>
      <c r="R15" s="242"/>
      <c r="S15" s="242"/>
      <c r="T15" s="242"/>
      <c r="U15" s="242"/>
      <c r="V15" s="242"/>
      <c r="W15" s="242"/>
      <c r="X15" s="242"/>
      <c r="Y15" s="3447"/>
      <c r="Z15" s="3447"/>
      <c r="AA15" s="3447"/>
      <c r="AB15" s="242"/>
      <c r="AC15" s="242"/>
      <c r="AD15" s="242"/>
      <c r="AE15" s="242"/>
      <c r="AF15" s="242"/>
      <c r="AG15" s="242"/>
      <c r="AH15" s="242"/>
      <c r="AI15" s="242"/>
      <c r="AJ15" s="242"/>
      <c r="AK15" s="242"/>
      <c r="AL15" s="242"/>
      <c r="AM15" s="242"/>
      <c r="AN15" s="242"/>
      <c r="AO15" s="242"/>
      <c r="AP15" s="242"/>
      <c r="AQ15" s="242"/>
      <c r="AR15" s="242"/>
      <c r="AS15" s="242"/>
      <c r="AT15" s="242"/>
      <c r="AU15" s="242"/>
      <c r="AV15" s="242"/>
      <c r="AW15" s="242"/>
      <c r="AX15" s="242"/>
      <c r="AY15" s="242"/>
      <c r="AZ15" s="242"/>
      <c r="BA15" s="242"/>
      <c r="BB15" s="242"/>
      <c r="BC15" s="242"/>
      <c r="BD15" s="242"/>
      <c r="BE15" s="242"/>
      <c r="BF15" s="242"/>
      <c r="BG15" s="242"/>
      <c r="BH15" s="242"/>
      <c r="BI15" s="242"/>
      <c r="BJ15" s="242"/>
      <c r="BK15" s="242"/>
      <c r="BL15" s="242"/>
      <c r="BM15" s="242"/>
      <c r="BN15" s="242"/>
      <c r="BO15" s="242"/>
      <c r="BP15" s="242"/>
      <c r="BQ15" s="242"/>
      <c r="BR15" s="242"/>
      <c r="BS15" s="242"/>
      <c r="BT15" s="242"/>
      <c r="BU15" s="242"/>
      <c r="BV15" s="242"/>
      <c r="BW15" s="242"/>
      <c r="BX15" s="242"/>
      <c r="BY15" s="242"/>
      <c r="BZ15" s="242"/>
      <c r="CA15" s="242"/>
      <c r="CB15" s="242"/>
      <c r="CC15" s="242"/>
      <c r="CD15" s="242"/>
      <c r="CE15" s="242"/>
      <c r="CF15" s="242"/>
      <c r="CG15" s="242"/>
      <c r="CH15" s="242"/>
      <c r="CI15" s="242"/>
      <c r="CJ15" s="242"/>
      <c r="CK15" s="242"/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  <c r="CW15" s="242"/>
      <c r="CX15" s="242"/>
      <c r="CY15" s="242"/>
      <c r="CZ15" s="242"/>
      <c r="DA15" s="242"/>
      <c r="DB15" s="242"/>
      <c r="DC15" s="242"/>
      <c r="DD15" s="242"/>
      <c r="DE15" s="242"/>
      <c r="DF15" s="242"/>
      <c r="DG15" s="242"/>
      <c r="DH15" s="242"/>
      <c r="DI15" s="242"/>
      <c r="DJ15" s="242"/>
      <c r="DK15" s="242"/>
      <c r="DL15" s="242"/>
      <c r="DM15" s="242"/>
      <c r="DN15" s="242"/>
      <c r="DO15" s="242"/>
      <c r="DP15" s="242"/>
      <c r="DQ15" s="242"/>
      <c r="DR15" s="242"/>
      <c r="DS15" s="242"/>
      <c r="DT15" s="242"/>
      <c r="DU15" s="242"/>
      <c r="DV15" s="242"/>
      <c r="DW15" s="242"/>
      <c r="DX15" s="242"/>
      <c r="DY15" s="242"/>
      <c r="DZ15" s="242"/>
      <c r="EA15" s="242"/>
      <c r="EB15" s="242"/>
      <c r="EC15" s="242"/>
      <c r="ED15" s="242"/>
      <c r="EE15" s="242"/>
      <c r="EF15" s="242"/>
      <c r="EG15" s="242"/>
      <c r="EH15" s="242"/>
      <c r="EI15" s="242"/>
      <c r="EJ15" s="242"/>
      <c r="EK15" s="242"/>
      <c r="EL15" s="242"/>
      <c r="EM15" s="242"/>
      <c r="EN15" s="441"/>
      <c r="EO15" s="441"/>
      <c r="EP15" s="441"/>
      <c r="EQ15" s="441"/>
      <c r="ER15" s="441"/>
      <c r="ES15" s="441"/>
      <c r="ET15" s="441"/>
      <c r="EU15" s="441"/>
      <c r="EV15" s="441"/>
      <c r="EW15" s="441"/>
      <c r="EX15" s="242"/>
      <c r="EY15" s="242"/>
      <c r="EZ15" s="242"/>
      <c r="FA15" s="242"/>
      <c r="FB15" s="242"/>
    </row>
    <row r="16" spans="1:158" s="25" customFormat="1" ht="15" hidden="1" customHeight="1" outlineLevel="2">
      <c r="A16" s="5246"/>
      <c r="B16" s="5246"/>
      <c r="C16" s="5246"/>
      <c r="D16" s="5246" t="s">
        <v>1210</v>
      </c>
      <c r="E16" s="5246"/>
      <c r="F16" s="901"/>
      <c r="G16" s="2852">
        <f t="shared" si="0"/>
        <v>3600</v>
      </c>
      <c r="H16" s="2852">
        <v>2750</v>
      </c>
      <c r="I16" s="2852"/>
      <c r="J16" s="242"/>
      <c r="K16" s="3444"/>
      <c r="L16" s="3444"/>
      <c r="M16" s="3444"/>
      <c r="N16" s="3444"/>
      <c r="O16" s="3444"/>
      <c r="P16" s="3444"/>
      <c r="Q16" s="3444"/>
      <c r="R16" s="3444"/>
      <c r="S16" s="3444"/>
      <c r="T16" s="3444"/>
      <c r="U16" s="242"/>
      <c r="V16" s="242"/>
      <c r="W16" s="242"/>
      <c r="X16" s="242"/>
      <c r="Y16" s="3447"/>
      <c r="Z16" s="3447"/>
      <c r="AA16" s="3447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42"/>
      <c r="AO16" s="242"/>
      <c r="AP16" s="242"/>
      <c r="AQ16" s="242"/>
      <c r="AR16" s="242"/>
      <c r="AS16" s="242"/>
      <c r="AT16" s="242"/>
      <c r="AU16" s="242"/>
      <c r="AV16" s="242"/>
      <c r="AW16" s="242"/>
      <c r="AX16" s="242"/>
      <c r="AY16" s="242"/>
      <c r="AZ16" s="242"/>
      <c r="BA16" s="242"/>
      <c r="BB16" s="242"/>
      <c r="BC16" s="242"/>
      <c r="BD16" s="242"/>
      <c r="BE16" s="242"/>
      <c r="BF16" s="242"/>
      <c r="BG16" s="242"/>
      <c r="BH16" s="242"/>
      <c r="BI16" s="242"/>
      <c r="BJ16" s="242"/>
      <c r="BK16" s="242"/>
      <c r="BL16" s="242"/>
      <c r="BM16" s="242"/>
      <c r="BN16" s="242"/>
      <c r="BO16" s="242"/>
      <c r="BP16" s="242"/>
      <c r="BQ16" s="242"/>
      <c r="BR16" s="242"/>
      <c r="BS16" s="242"/>
      <c r="BT16" s="242"/>
      <c r="BU16" s="242"/>
      <c r="BV16" s="242"/>
      <c r="BW16" s="242"/>
      <c r="BX16" s="242"/>
      <c r="BY16" s="242"/>
      <c r="BZ16" s="242"/>
      <c r="CA16" s="242"/>
      <c r="CB16" s="242"/>
      <c r="CC16" s="242"/>
      <c r="CD16" s="242"/>
      <c r="CE16" s="242"/>
      <c r="CF16" s="242"/>
      <c r="CG16" s="242"/>
      <c r="CH16" s="242"/>
      <c r="CI16" s="242"/>
      <c r="CJ16" s="242"/>
      <c r="CK16" s="242"/>
      <c r="CL16" s="242"/>
      <c r="CM16" s="242"/>
      <c r="CN16" s="242"/>
      <c r="CO16" s="242"/>
      <c r="CP16" s="242"/>
      <c r="CQ16" s="242"/>
      <c r="CR16" s="242"/>
      <c r="CS16" s="242"/>
      <c r="CT16" s="242"/>
      <c r="CU16" s="242"/>
      <c r="CV16" s="242"/>
      <c r="CW16" s="242"/>
      <c r="CX16" s="242"/>
      <c r="CY16" s="242"/>
      <c r="CZ16" s="242"/>
      <c r="DA16" s="242"/>
      <c r="DB16" s="242"/>
      <c r="DC16" s="242"/>
      <c r="DD16" s="242"/>
      <c r="DE16" s="242"/>
      <c r="DF16" s="242"/>
      <c r="DG16" s="242"/>
      <c r="DH16" s="242"/>
      <c r="DI16" s="242"/>
      <c r="DJ16" s="242"/>
      <c r="DK16" s="242"/>
      <c r="DL16" s="242"/>
      <c r="DM16" s="242"/>
      <c r="DN16" s="242"/>
      <c r="DO16" s="242"/>
      <c r="DP16" s="242"/>
      <c r="DQ16" s="242"/>
      <c r="DR16" s="242"/>
      <c r="DS16" s="242"/>
      <c r="DT16" s="242"/>
      <c r="DU16" s="242"/>
      <c r="DV16" s="242"/>
      <c r="DW16" s="242"/>
      <c r="DX16" s="242"/>
      <c r="DY16" s="242"/>
      <c r="DZ16" s="242"/>
      <c r="EA16" s="242"/>
      <c r="EB16" s="242"/>
      <c r="EC16" s="242"/>
      <c r="ED16" s="242"/>
      <c r="EE16" s="242"/>
      <c r="EF16" s="242"/>
      <c r="EG16" s="242"/>
      <c r="EH16" s="242"/>
      <c r="EI16" s="242"/>
      <c r="EJ16" s="242"/>
      <c r="EK16" s="242"/>
      <c r="EL16" s="242"/>
      <c r="EM16" s="242"/>
      <c r="EN16" s="441"/>
      <c r="EO16" s="441"/>
      <c r="EP16" s="441"/>
      <c r="EQ16" s="441"/>
      <c r="ER16" s="441"/>
      <c r="ES16" s="441"/>
      <c r="ET16" s="441"/>
      <c r="EU16" s="441"/>
      <c r="EV16" s="441"/>
      <c r="EW16" s="441"/>
      <c r="EX16" s="242"/>
      <c r="EY16" s="242"/>
      <c r="EZ16" s="242"/>
      <c r="FA16" s="242"/>
      <c r="FB16" s="242"/>
    </row>
    <row r="17" spans="1:158" s="25" customFormat="1" ht="15" hidden="1" customHeight="1" outlineLevel="2">
      <c r="A17" s="5246"/>
      <c r="B17" s="5246"/>
      <c r="C17" s="5228" t="s">
        <v>458</v>
      </c>
      <c r="D17" s="5228" t="s">
        <v>184</v>
      </c>
      <c r="E17" s="5228"/>
      <c r="F17" s="1176"/>
      <c r="G17" s="2853">
        <f t="shared" si="0"/>
        <v>3900</v>
      </c>
      <c r="H17" s="2853">
        <f>H11*3</f>
        <v>3000</v>
      </c>
      <c r="I17" s="2853">
        <v>3675</v>
      </c>
      <c r="J17" s="242"/>
      <c r="K17" s="3444"/>
      <c r="L17" s="3444"/>
      <c r="M17" s="3444"/>
      <c r="N17" s="3444"/>
      <c r="O17" s="3444"/>
      <c r="P17" s="3444"/>
      <c r="Q17" s="3444"/>
      <c r="R17" s="3444"/>
      <c r="S17" s="3444"/>
      <c r="T17" s="3444"/>
      <c r="U17" s="242"/>
      <c r="V17" s="242"/>
      <c r="W17" s="242"/>
      <c r="X17" s="242"/>
      <c r="Y17" s="242"/>
      <c r="Z17" s="242"/>
      <c r="AA17" s="242"/>
      <c r="AB17" s="242"/>
      <c r="AC17" s="242"/>
      <c r="AD17" s="242"/>
      <c r="AE17" s="242"/>
      <c r="AF17" s="242"/>
      <c r="AG17" s="242"/>
      <c r="AH17" s="242"/>
      <c r="AI17" s="242"/>
      <c r="AJ17" s="242"/>
      <c r="AK17" s="242"/>
      <c r="AL17" s="242"/>
      <c r="AM17" s="242"/>
      <c r="AN17" s="242"/>
      <c r="AO17" s="242"/>
      <c r="AP17" s="242"/>
      <c r="AQ17" s="242"/>
      <c r="AR17" s="242"/>
      <c r="AS17" s="242"/>
      <c r="AT17" s="242"/>
      <c r="AU17" s="242"/>
      <c r="AV17" s="242"/>
      <c r="AW17" s="242"/>
      <c r="AX17" s="242"/>
      <c r="AY17" s="242"/>
      <c r="AZ17" s="242"/>
      <c r="BA17" s="242"/>
      <c r="BB17" s="242"/>
      <c r="BC17" s="242"/>
      <c r="BD17" s="242"/>
      <c r="BE17" s="242"/>
      <c r="BF17" s="242"/>
      <c r="BG17" s="242"/>
      <c r="BH17" s="242"/>
      <c r="BI17" s="242"/>
      <c r="BJ17" s="242"/>
      <c r="BK17" s="242"/>
      <c r="BL17" s="242"/>
      <c r="BM17" s="242"/>
      <c r="BN17" s="242"/>
      <c r="BO17" s="242"/>
      <c r="BP17" s="242"/>
      <c r="BQ17" s="242"/>
      <c r="BR17" s="242"/>
      <c r="BS17" s="242"/>
      <c r="BT17" s="242"/>
      <c r="BU17" s="242"/>
      <c r="BV17" s="242"/>
      <c r="BW17" s="242"/>
      <c r="BX17" s="242"/>
      <c r="BY17" s="242"/>
      <c r="BZ17" s="242"/>
      <c r="CA17" s="242"/>
      <c r="CB17" s="242"/>
      <c r="CC17" s="242"/>
      <c r="CD17" s="242"/>
      <c r="CE17" s="242"/>
      <c r="CF17" s="242"/>
      <c r="CG17" s="242"/>
      <c r="CH17" s="242"/>
      <c r="CI17" s="242"/>
      <c r="CJ17" s="242"/>
      <c r="CK17" s="242"/>
      <c r="CL17" s="242"/>
      <c r="CM17" s="242"/>
      <c r="CN17" s="242"/>
      <c r="CO17" s="242"/>
      <c r="CP17" s="242"/>
      <c r="CQ17" s="242"/>
      <c r="CR17" s="242"/>
      <c r="CS17" s="242"/>
      <c r="CT17" s="242"/>
      <c r="CU17" s="242"/>
      <c r="CV17" s="242"/>
      <c r="CW17" s="242"/>
      <c r="CX17" s="242"/>
      <c r="CY17" s="242"/>
      <c r="CZ17" s="242"/>
      <c r="DA17" s="242"/>
      <c r="DB17" s="242"/>
      <c r="DC17" s="242"/>
      <c r="DD17" s="242"/>
      <c r="DE17" s="242"/>
      <c r="DF17" s="242"/>
      <c r="DG17" s="242"/>
      <c r="DH17" s="242"/>
      <c r="DI17" s="242"/>
      <c r="DJ17" s="242"/>
      <c r="DK17" s="242"/>
      <c r="DL17" s="242"/>
      <c r="DM17" s="242"/>
      <c r="DN17" s="242"/>
      <c r="DO17" s="242"/>
      <c r="DP17" s="242"/>
      <c r="DQ17" s="242"/>
      <c r="DR17" s="242"/>
      <c r="DS17" s="242"/>
      <c r="DT17" s="242"/>
      <c r="DU17" s="242"/>
      <c r="DV17" s="242"/>
      <c r="DW17" s="242"/>
      <c r="DX17" s="242"/>
      <c r="DY17" s="242"/>
      <c r="DZ17" s="242"/>
      <c r="EA17" s="242"/>
      <c r="EB17" s="242"/>
      <c r="EC17" s="242"/>
      <c r="ED17" s="242"/>
      <c r="EE17" s="242"/>
      <c r="EF17" s="242"/>
      <c r="EG17" s="242"/>
      <c r="EH17" s="242"/>
      <c r="EI17" s="242"/>
      <c r="EJ17" s="242"/>
      <c r="EK17" s="242"/>
      <c r="EL17" s="242"/>
      <c r="EM17" s="242"/>
      <c r="EN17" s="441"/>
      <c r="EO17" s="441"/>
      <c r="EP17" s="441"/>
      <c r="EQ17" s="441"/>
      <c r="ER17" s="441"/>
      <c r="ES17" s="441"/>
      <c r="ET17" s="441"/>
      <c r="EU17" s="441"/>
      <c r="EV17" s="441"/>
      <c r="EW17" s="441"/>
      <c r="EX17" s="242"/>
      <c r="EY17" s="242"/>
      <c r="EZ17" s="242"/>
      <c r="FA17" s="242"/>
      <c r="FB17" s="242"/>
    </row>
    <row r="18" spans="1:158" s="897" customFormat="1" ht="15" hidden="1" customHeight="1" outlineLevel="2">
      <c r="A18" s="4249"/>
      <c r="B18" s="4249"/>
      <c r="C18" s="4400"/>
      <c r="D18" s="5246" t="s">
        <v>1464</v>
      </c>
      <c r="E18" s="5246"/>
      <c r="F18" s="901"/>
      <c r="G18" s="2852">
        <f t="shared" si="0"/>
        <v>4100</v>
      </c>
      <c r="H18" s="2852">
        <f>H19*0.9</f>
        <v>3150</v>
      </c>
      <c r="I18" s="2852"/>
      <c r="J18" s="242"/>
      <c r="K18" s="3444"/>
      <c r="L18" s="3444"/>
      <c r="M18" s="3444"/>
      <c r="N18" s="3444"/>
      <c r="O18" s="3444"/>
      <c r="P18" s="3444"/>
      <c r="Q18" s="3444"/>
      <c r="U18" s="242"/>
      <c r="V18" s="242"/>
      <c r="W18" s="242"/>
      <c r="X18" s="242"/>
      <c r="Y18" s="242"/>
      <c r="Z18" s="242"/>
      <c r="AA18" s="242"/>
      <c r="AB18" s="242"/>
      <c r="AC18" s="242"/>
      <c r="AD18" s="242"/>
      <c r="AE18" s="242"/>
      <c r="AF18" s="242"/>
      <c r="AG18" s="242"/>
      <c r="AH18" s="242"/>
      <c r="AI18" s="242"/>
      <c r="AJ18" s="242"/>
      <c r="AK18" s="242"/>
      <c r="AL18" s="242"/>
      <c r="AM18" s="242"/>
      <c r="AN18" s="242"/>
      <c r="AO18" s="242"/>
      <c r="AP18" s="242"/>
      <c r="AQ18" s="242"/>
      <c r="AR18" s="242"/>
      <c r="AS18" s="242"/>
      <c r="AT18" s="242"/>
      <c r="AU18" s="242"/>
      <c r="AV18" s="242"/>
      <c r="AW18" s="242"/>
      <c r="AX18" s="242"/>
      <c r="AY18" s="242"/>
      <c r="AZ18" s="242"/>
      <c r="BA18" s="242"/>
      <c r="BB18" s="242"/>
      <c r="BC18" s="242"/>
      <c r="BD18" s="242"/>
      <c r="BE18" s="242"/>
      <c r="BF18" s="242"/>
      <c r="BG18" s="242"/>
      <c r="BH18" s="242"/>
      <c r="BI18" s="242"/>
      <c r="BJ18" s="242"/>
      <c r="BK18" s="242"/>
      <c r="BL18" s="242"/>
      <c r="BM18" s="242"/>
      <c r="BN18" s="242"/>
      <c r="BO18" s="242"/>
      <c r="BP18" s="242"/>
      <c r="BQ18" s="242"/>
      <c r="BR18" s="242"/>
      <c r="BS18" s="242"/>
      <c r="BT18" s="242"/>
      <c r="BU18" s="242"/>
      <c r="BV18" s="242"/>
      <c r="BW18" s="242"/>
      <c r="BX18" s="242"/>
      <c r="BY18" s="242"/>
      <c r="BZ18" s="242"/>
      <c r="CA18" s="242"/>
      <c r="CB18" s="242"/>
      <c r="CC18" s="242"/>
      <c r="CD18" s="242"/>
      <c r="CE18" s="242"/>
      <c r="CF18" s="242"/>
      <c r="CG18" s="242"/>
      <c r="CH18" s="242"/>
      <c r="CI18" s="242"/>
      <c r="CJ18" s="242"/>
      <c r="CK18" s="242"/>
      <c r="CL18" s="242"/>
      <c r="CM18" s="242"/>
      <c r="CN18" s="242"/>
      <c r="CO18" s="242"/>
      <c r="CP18" s="242"/>
      <c r="CQ18" s="242"/>
      <c r="CR18" s="242"/>
      <c r="CS18" s="242"/>
      <c r="CT18" s="242"/>
      <c r="CU18" s="242"/>
      <c r="CV18" s="242"/>
      <c r="CW18" s="242"/>
      <c r="CX18" s="242"/>
      <c r="CY18" s="242"/>
      <c r="CZ18" s="242"/>
      <c r="DA18" s="242"/>
      <c r="DB18" s="242"/>
      <c r="DC18" s="242"/>
      <c r="DD18" s="242"/>
      <c r="DE18" s="242"/>
      <c r="DF18" s="242"/>
      <c r="DG18" s="242"/>
      <c r="DH18" s="242"/>
      <c r="DI18" s="242"/>
      <c r="DJ18" s="242"/>
      <c r="DK18" s="242"/>
      <c r="DL18" s="242"/>
      <c r="DM18" s="242"/>
      <c r="DN18" s="242"/>
      <c r="DO18" s="242"/>
      <c r="DP18" s="242"/>
      <c r="DQ18" s="242"/>
      <c r="DR18" s="242"/>
      <c r="DS18" s="242"/>
      <c r="DT18" s="242"/>
      <c r="DU18" s="242"/>
      <c r="DV18" s="242"/>
      <c r="DW18" s="242"/>
      <c r="DX18" s="242"/>
      <c r="DY18" s="242"/>
      <c r="DZ18" s="242"/>
      <c r="EA18" s="242"/>
      <c r="EB18" s="242"/>
      <c r="EC18" s="242"/>
      <c r="ED18" s="242"/>
      <c r="EE18" s="242"/>
      <c r="EF18" s="242"/>
      <c r="EG18" s="242"/>
      <c r="EH18" s="242"/>
      <c r="EI18" s="242"/>
      <c r="EJ18" s="242"/>
      <c r="EK18" s="242"/>
      <c r="EL18" s="242"/>
      <c r="EM18" s="242"/>
      <c r="EN18" s="441"/>
      <c r="EO18" s="441"/>
      <c r="EP18" s="441"/>
      <c r="EQ18" s="441"/>
      <c r="ER18" s="441"/>
      <c r="ES18" s="441"/>
      <c r="ET18" s="441"/>
      <c r="EU18" s="441"/>
      <c r="EV18" s="441"/>
      <c r="EW18" s="441"/>
      <c r="EX18" s="242"/>
      <c r="EY18" s="242"/>
      <c r="EZ18" s="242"/>
      <c r="FA18" s="242"/>
      <c r="FB18" s="242"/>
    </row>
    <row r="19" spans="1:158" s="25" customFormat="1" ht="15" hidden="1" customHeight="1" outlineLevel="2">
      <c r="A19" s="5246"/>
      <c r="B19" s="5246"/>
      <c r="C19" s="5228"/>
      <c r="D19" s="5228" t="s">
        <v>1210</v>
      </c>
      <c r="E19" s="5228"/>
      <c r="F19" s="1176"/>
      <c r="G19" s="2853">
        <f t="shared" si="0"/>
        <v>4550</v>
      </c>
      <c r="H19" s="2853">
        <v>3500</v>
      </c>
      <c r="I19" s="2853"/>
      <c r="J19" s="242"/>
      <c r="K19" s="3444"/>
      <c r="L19" s="3444"/>
      <c r="M19" s="3444"/>
      <c r="N19" s="3444"/>
      <c r="O19" s="3444"/>
      <c r="P19" s="3444"/>
      <c r="Q19" s="3444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/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42"/>
      <c r="BQ19" s="242"/>
      <c r="BR19" s="242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  <c r="CD19" s="242"/>
      <c r="CE19" s="242"/>
      <c r="CF19" s="242"/>
      <c r="CG19" s="242"/>
      <c r="CH19" s="242"/>
      <c r="CI19" s="242"/>
      <c r="CJ19" s="242"/>
      <c r="CK19" s="242"/>
      <c r="CL19" s="242"/>
      <c r="CM19" s="242"/>
      <c r="CN19" s="242"/>
      <c r="CO19" s="242"/>
      <c r="CP19" s="242"/>
      <c r="CQ19" s="242"/>
      <c r="CR19" s="242"/>
      <c r="CS19" s="242"/>
      <c r="CT19" s="242"/>
      <c r="CU19" s="242"/>
      <c r="CV19" s="242"/>
      <c r="CW19" s="242"/>
      <c r="CX19" s="242"/>
      <c r="CY19" s="242"/>
      <c r="CZ19" s="242"/>
      <c r="DA19" s="242"/>
      <c r="DB19" s="242"/>
      <c r="DC19" s="242"/>
      <c r="DD19" s="242"/>
      <c r="DE19" s="242"/>
      <c r="DF19" s="242"/>
      <c r="DG19" s="242"/>
      <c r="DH19" s="242"/>
      <c r="DI19" s="242"/>
      <c r="DJ19" s="242"/>
      <c r="DK19" s="242"/>
      <c r="DL19" s="242"/>
      <c r="DM19" s="242"/>
      <c r="DN19" s="242"/>
      <c r="DO19" s="242"/>
      <c r="DP19" s="242"/>
      <c r="DQ19" s="242"/>
      <c r="DR19" s="242"/>
      <c r="DS19" s="242"/>
      <c r="DT19" s="242"/>
      <c r="DU19" s="242"/>
      <c r="DV19" s="242"/>
      <c r="DW19" s="242"/>
      <c r="DX19" s="242"/>
      <c r="DY19" s="242"/>
      <c r="DZ19" s="242"/>
      <c r="EA19" s="242"/>
      <c r="EB19" s="242"/>
      <c r="EC19" s="242"/>
      <c r="ED19" s="242"/>
      <c r="EE19" s="242"/>
      <c r="EF19" s="242"/>
      <c r="EG19" s="242"/>
      <c r="EH19" s="242"/>
      <c r="EI19" s="242"/>
      <c r="EJ19" s="242"/>
      <c r="EK19" s="242"/>
      <c r="EL19" s="242"/>
      <c r="EM19" s="242"/>
      <c r="EN19" s="441"/>
      <c r="EO19" s="441"/>
      <c r="EP19" s="441"/>
      <c r="EQ19" s="441"/>
      <c r="ER19" s="441"/>
      <c r="ES19" s="441"/>
      <c r="ET19" s="441"/>
      <c r="EU19" s="441"/>
      <c r="EV19" s="441"/>
      <c r="EW19" s="441"/>
      <c r="EX19" s="242"/>
      <c r="EY19" s="242"/>
      <c r="EZ19" s="242"/>
      <c r="FA19" s="242"/>
      <c r="FB19" s="242"/>
    </row>
    <row r="20" spans="1:158" s="242" customFormat="1" ht="15" hidden="1" customHeight="1" outlineLevel="2">
      <c r="A20" s="441"/>
      <c r="B20" s="250"/>
      <c r="C20" s="441"/>
      <c r="D20" s="441"/>
      <c r="E20" s="441"/>
      <c r="F20" s="441"/>
      <c r="G20" s="441"/>
      <c r="H20" s="712"/>
      <c r="I20" s="712"/>
      <c r="J20" s="441"/>
      <c r="K20" s="3444"/>
      <c r="L20" s="3444"/>
      <c r="M20" s="3444"/>
      <c r="N20" s="3444"/>
      <c r="O20" s="3444"/>
      <c r="P20" s="3444"/>
      <c r="Q20" s="3444"/>
      <c r="BI20" s="694"/>
      <c r="BJ20" s="694"/>
      <c r="BK20" s="694"/>
      <c r="BL20" s="694"/>
      <c r="BM20" s="694"/>
      <c r="BN20" s="694"/>
      <c r="BO20" s="694"/>
      <c r="BP20" s="694"/>
      <c r="BQ20" s="694"/>
      <c r="BR20" s="694"/>
      <c r="BS20" s="694"/>
      <c r="BT20" s="694"/>
      <c r="BU20" s="694"/>
      <c r="BV20" s="694"/>
      <c r="BW20" s="694"/>
      <c r="BX20" s="694"/>
      <c r="BY20" s="694"/>
      <c r="BZ20" s="694"/>
      <c r="CA20" s="694"/>
      <c r="CB20" s="694"/>
      <c r="CC20" s="694"/>
      <c r="CD20" s="694"/>
      <c r="CE20" s="694"/>
      <c r="CF20" s="694"/>
      <c r="CG20" s="694"/>
      <c r="CH20" s="694"/>
      <c r="CI20" s="694"/>
      <c r="CJ20" s="694"/>
      <c r="CK20" s="694"/>
      <c r="CW20" s="694"/>
      <c r="CX20" s="694"/>
      <c r="CY20" s="694"/>
      <c r="CZ20" s="694"/>
      <c r="DA20" s="694"/>
      <c r="DB20" s="694"/>
      <c r="DC20" s="694"/>
      <c r="DD20" s="694"/>
      <c r="DE20" s="694"/>
      <c r="EG20" s="694"/>
      <c r="EH20" s="694"/>
      <c r="EI20" s="694"/>
      <c r="EN20" s="441"/>
      <c r="EO20" s="441"/>
      <c r="EP20" s="441"/>
      <c r="EQ20" s="441"/>
      <c r="ER20" s="441"/>
      <c r="ES20" s="441"/>
      <c r="ET20" s="441"/>
      <c r="EU20" s="441"/>
      <c r="EV20" s="441"/>
      <c r="EW20" s="441"/>
    </row>
    <row r="21" spans="1:158" s="897" customFormat="1" ht="15.75" hidden="1" customHeight="1" outlineLevel="1">
      <c r="A21" s="895" t="s">
        <v>2733</v>
      </c>
      <c r="B21" s="5231" t="s">
        <v>1303</v>
      </c>
      <c r="C21" s="5232"/>
      <c r="D21" s="3444" t="s">
        <v>3065</v>
      </c>
      <c r="E21" s="896"/>
      <c r="F21" s="896"/>
      <c r="G21" s="242"/>
      <c r="H21" s="242"/>
      <c r="I21" s="242"/>
      <c r="J21" s="242"/>
      <c r="K21" s="3444"/>
      <c r="L21" s="3444"/>
      <c r="M21" s="3444"/>
      <c r="N21" s="3444"/>
      <c r="O21" s="3444"/>
      <c r="P21" s="3444"/>
      <c r="Q21" s="3444"/>
      <c r="U21" s="242"/>
      <c r="V21" s="242"/>
      <c r="W21" s="242"/>
      <c r="X21" s="242"/>
      <c r="Y21" s="242"/>
      <c r="Z21" s="242"/>
      <c r="AA21" s="242"/>
      <c r="AB21" s="242"/>
      <c r="AC21" s="242"/>
      <c r="AD21" s="242"/>
      <c r="AE21" s="242"/>
      <c r="AF21" s="242"/>
      <c r="AG21" s="242"/>
      <c r="AH21" s="242"/>
      <c r="AI21" s="242"/>
      <c r="AJ21" s="242"/>
      <c r="AK21" s="242"/>
      <c r="AL21" s="242"/>
      <c r="AM21" s="242"/>
      <c r="AN21" s="242"/>
      <c r="AO21" s="242"/>
      <c r="AP21" s="242"/>
      <c r="AQ21" s="242"/>
      <c r="AR21" s="242"/>
      <c r="AS21" s="242"/>
      <c r="AT21" s="242"/>
      <c r="AU21" s="242"/>
      <c r="AV21" s="242"/>
      <c r="AW21" s="242"/>
      <c r="AX21" s="242"/>
      <c r="AY21" s="242"/>
      <c r="AZ21" s="242"/>
      <c r="BA21" s="242"/>
      <c r="BB21" s="242"/>
      <c r="BC21" s="242"/>
      <c r="BD21" s="242"/>
      <c r="BE21" s="242"/>
      <c r="BF21" s="242"/>
      <c r="BG21" s="242"/>
      <c r="BH21" s="242"/>
      <c r="BI21" s="242"/>
      <c r="BJ21" s="242"/>
      <c r="BK21" s="242"/>
      <c r="BL21" s="242"/>
      <c r="BM21" s="242"/>
      <c r="BN21" s="242"/>
      <c r="BO21" s="242"/>
      <c r="BP21" s="242"/>
      <c r="BQ21" s="242"/>
      <c r="BR21" s="242"/>
      <c r="BS21" s="242"/>
      <c r="BT21" s="242"/>
      <c r="BU21" s="242"/>
      <c r="BV21" s="242"/>
      <c r="BW21" s="242"/>
      <c r="BX21" s="242"/>
      <c r="BY21" s="242"/>
      <c r="BZ21" s="242"/>
      <c r="CA21" s="242"/>
      <c r="CB21" s="242"/>
      <c r="CC21" s="242"/>
      <c r="CD21" s="242"/>
      <c r="CE21" s="242"/>
      <c r="CF21" s="242"/>
      <c r="CG21" s="242"/>
      <c r="CH21" s="242"/>
      <c r="CI21" s="242"/>
      <c r="CJ21" s="242"/>
      <c r="CK21" s="242"/>
      <c r="CL21" s="242"/>
      <c r="CM21" s="242"/>
      <c r="CN21" s="242"/>
      <c r="CO21" s="242"/>
      <c r="CP21" s="242"/>
      <c r="CQ21" s="242"/>
      <c r="CR21" s="242"/>
      <c r="CS21" s="242"/>
      <c r="CT21" s="242"/>
      <c r="CU21" s="242"/>
      <c r="CV21" s="242"/>
      <c r="CW21" s="242"/>
      <c r="CX21" s="242"/>
      <c r="CY21" s="242"/>
      <c r="CZ21" s="242"/>
      <c r="DA21" s="242"/>
      <c r="DB21" s="242"/>
      <c r="DC21" s="242"/>
      <c r="DD21" s="242"/>
      <c r="DE21" s="242"/>
      <c r="DF21" s="242"/>
      <c r="DG21" s="242"/>
      <c r="DH21" s="242"/>
      <c r="DI21" s="242"/>
      <c r="DJ21" s="242"/>
      <c r="DK21" s="242"/>
      <c r="DL21" s="242"/>
      <c r="DM21" s="242"/>
      <c r="DN21" s="242"/>
      <c r="DO21" s="242"/>
      <c r="DP21" s="242"/>
      <c r="DQ21" s="242"/>
      <c r="DR21" s="242"/>
      <c r="DS21" s="242"/>
      <c r="DT21" s="242"/>
      <c r="DU21" s="242"/>
      <c r="DV21" s="242"/>
      <c r="DW21" s="242"/>
      <c r="DX21" s="242"/>
      <c r="DY21" s="242"/>
      <c r="DZ21" s="242"/>
      <c r="EA21" s="242"/>
      <c r="EB21" s="242"/>
      <c r="EC21" s="242"/>
      <c r="ED21" s="242"/>
      <c r="EE21" s="242"/>
      <c r="EF21" s="242"/>
      <c r="EG21" s="242"/>
      <c r="EH21" s="242"/>
      <c r="EI21" s="242"/>
      <c r="EJ21" s="242"/>
      <c r="EK21" s="242"/>
      <c r="EL21" s="242"/>
      <c r="EM21" s="242"/>
      <c r="EN21" s="441"/>
      <c r="EO21" s="441"/>
      <c r="EP21" s="441"/>
      <c r="EQ21" s="441"/>
      <c r="ER21" s="441"/>
      <c r="ES21" s="441"/>
      <c r="ET21" s="441"/>
      <c r="EU21" s="441"/>
      <c r="EV21" s="441"/>
      <c r="EW21" s="441"/>
      <c r="EX21" s="242"/>
      <c r="EY21" s="242"/>
      <c r="EZ21" s="242"/>
      <c r="FA21" s="242"/>
      <c r="FB21" s="242"/>
    </row>
    <row r="22" spans="1:158" s="897" customFormat="1" ht="15" hidden="1" customHeight="1" outlineLevel="2">
      <c r="A22" s="914" t="s">
        <v>2393</v>
      </c>
      <c r="B22" s="885"/>
      <c r="D22" s="3444" t="s">
        <v>3031</v>
      </c>
      <c r="E22" s="3403">
        <v>1.05</v>
      </c>
      <c r="F22" s="3470">
        <v>1.1000000000000001</v>
      </c>
      <c r="G22" s="3470">
        <v>1.45</v>
      </c>
      <c r="H22" s="589"/>
      <c r="I22" s="2872">
        <v>44939</v>
      </c>
      <c r="J22" s="3394"/>
      <c r="K22" s="2873">
        <v>1.1000000000000001</v>
      </c>
      <c r="L22" s="2873">
        <v>1.45</v>
      </c>
      <c r="M22" s="3444"/>
      <c r="N22" s="2872">
        <v>44939</v>
      </c>
      <c r="O22" s="3394"/>
      <c r="P22" s="2873">
        <v>1.1000000000000001</v>
      </c>
      <c r="Q22" s="2873">
        <v>1.45</v>
      </c>
      <c r="U22" s="242"/>
      <c r="V22" s="242"/>
      <c r="W22" s="242"/>
      <c r="X22" s="242"/>
      <c r="Y22" s="242"/>
      <c r="Z22" s="242"/>
      <c r="AA22" s="242"/>
      <c r="AB22" s="242"/>
      <c r="AC22" s="242"/>
      <c r="AD22" s="242"/>
      <c r="AE22" s="242"/>
      <c r="AF22" s="242"/>
      <c r="AG22" s="242"/>
      <c r="AH22" s="242"/>
      <c r="AI22" s="242"/>
      <c r="AJ22" s="242"/>
      <c r="AK22" s="242"/>
      <c r="AL22" s="242"/>
      <c r="AM22" s="242"/>
      <c r="AN22" s="242"/>
      <c r="AO22" s="242"/>
      <c r="AP22" s="242"/>
      <c r="AQ22" s="242"/>
      <c r="AR22" s="242"/>
      <c r="AS22" s="242"/>
      <c r="AT22" s="242"/>
      <c r="AU22" s="242"/>
      <c r="AV22" s="242"/>
      <c r="AW22" s="242"/>
      <c r="AX22" s="242"/>
      <c r="AY22" s="242"/>
      <c r="AZ22" s="242"/>
      <c r="BA22" s="242"/>
      <c r="BB22" s="242"/>
      <c r="BC22" s="242"/>
      <c r="BD22" s="242"/>
      <c r="BE22" s="242"/>
      <c r="BF22" s="242"/>
      <c r="BG22" s="242"/>
      <c r="BH22" s="242"/>
      <c r="BI22" s="242"/>
      <c r="BJ22" s="242"/>
      <c r="BK22" s="242"/>
      <c r="BL22" s="242"/>
      <c r="BM22" s="242"/>
      <c r="BN22" s="242"/>
      <c r="BO22" s="242"/>
      <c r="BP22" s="242"/>
      <c r="BQ22" s="242"/>
      <c r="BR22" s="242"/>
      <c r="BS22" s="242"/>
      <c r="BT22" s="242"/>
      <c r="BU22" s="242"/>
      <c r="BV22" s="242"/>
      <c r="BW22" s="242"/>
      <c r="BX22" s="242"/>
      <c r="BY22" s="242"/>
      <c r="BZ22" s="242"/>
      <c r="CA22" s="242"/>
      <c r="CB22" s="242"/>
      <c r="CC22" s="242"/>
      <c r="CD22" s="242"/>
      <c r="CE22" s="242"/>
      <c r="CF22" s="242"/>
      <c r="CG22" s="242"/>
      <c r="CH22" s="242"/>
      <c r="CI22" s="242"/>
      <c r="CJ22" s="242"/>
      <c r="CK22" s="242"/>
      <c r="CL22" s="242"/>
      <c r="CM22" s="242"/>
      <c r="CN22" s="242"/>
      <c r="CO22" s="242"/>
      <c r="CP22" s="242"/>
      <c r="CQ22" s="242"/>
      <c r="CR22" s="242"/>
      <c r="CS22" s="242"/>
      <c r="CT22" s="242"/>
      <c r="CU22" s="242"/>
      <c r="CV22" s="242"/>
      <c r="CW22" s="242"/>
      <c r="CX22" s="242"/>
      <c r="CY22" s="242"/>
      <c r="CZ22" s="242"/>
      <c r="DA22" s="242"/>
      <c r="DB22" s="242"/>
      <c r="DC22" s="242"/>
      <c r="DD22" s="242"/>
      <c r="DE22" s="242"/>
      <c r="DF22" s="242"/>
      <c r="DG22" s="242"/>
      <c r="DH22" s="242"/>
      <c r="DI22" s="242"/>
      <c r="DJ22" s="242"/>
      <c r="DK22" s="242"/>
      <c r="DL22" s="242"/>
      <c r="DM22" s="242"/>
      <c r="DN22" s="242"/>
      <c r="DO22" s="242"/>
      <c r="DP22" s="242"/>
      <c r="DQ22" s="242"/>
      <c r="DR22" s="242"/>
      <c r="DS22" s="242"/>
      <c r="DT22" s="242"/>
      <c r="DU22" s="242"/>
      <c r="DV22" s="242"/>
      <c r="DW22" s="242"/>
      <c r="DX22" s="242"/>
      <c r="DY22" s="242"/>
      <c r="DZ22" s="242"/>
      <c r="EA22" s="242"/>
      <c r="EB22" s="242"/>
      <c r="EC22" s="242"/>
      <c r="ED22" s="242"/>
      <c r="EE22" s="242"/>
      <c r="EF22" s="242"/>
      <c r="EG22" s="242"/>
      <c r="EH22" s="242"/>
      <c r="EI22" s="242"/>
      <c r="EJ22" s="242"/>
      <c r="EK22" s="242"/>
      <c r="EL22" s="242"/>
      <c r="EM22" s="242"/>
      <c r="EN22" s="441"/>
      <c r="EO22" s="441"/>
      <c r="EP22" s="441"/>
      <c r="EQ22" s="441"/>
      <c r="ER22" s="441"/>
      <c r="ES22" s="441"/>
      <c r="ET22" s="441"/>
      <c r="EU22" s="441"/>
      <c r="EV22" s="441"/>
      <c r="EW22" s="441"/>
      <c r="EX22" s="242"/>
      <c r="EY22" s="242"/>
      <c r="EZ22" s="242"/>
      <c r="FA22" s="242"/>
      <c r="FB22" s="242"/>
    </row>
    <row r="23" spans="1:158" s="897" customFormat="1" ht="15" hidden="1" customHeight="1" outlineLevel="2">
      <c r="A23" s="902" t="s">
        <v>1211</v>
      </c>
      <c r="B23" s="885">
        <v>280</v>
      </c>
      <c r="D23" s="3471" t="s">
        <v>2656</v>
      </c>
      <c r="E23" s="3471" t="s">
        <v>1609</v>
      </c>
      <c r="F23" s="3471" t="s">
        <v>439</v>
      </c>
      <c r="G23" s="3471" t="s">
        <v>2726</v>
      </c>
      <c r="H23" s="2765"/>
      <c r="I23" s="2874" t="s">
        <v>2656</v>
      </c>
      <c r="J23" s="2874" t="s">
        <v>1609</v>
      </c>
      <c r="K23" s="2874" t="s">
        <v>439</v>
      </c>
      <c r="L23" s="2874" t="s">
        <v>2726</v>
      </c>
      <c r="M23" s="3444"/>
      <c r="N23" s="2874" t="s">
        <v>2656</v>
      </c>
      <c r="O23" s="2874" t="s">
        <v>1609</v>
      </c>
      <c r="P23" s="2874" t="s">
        <v>439</v>
      </c>
      <c r="Q23" s="2874" t="s">
        <v>2726</v>
      </c>
      <c r="U23" s="242"/>
      <c r="V23" s="242"/>
      <c r="W23" s="242"/>
      <c r="X23" s="242"/>
      <c r="Y23" s="242"/>
      <c r="Z23" s="242"/>
      <c r="AA23" s="242"/>
      <c r="AB23" s="242"/>
      <c r="AC23" s="242"/>
      <c r="AD23" s="242"/>
      <c r="AE23" s="242"/>
      <c r="AF23" s="242"/>
      <c r="AG23" s="242"/>
      <c r="AH23" s="242"/>
      <c r="AI23" s="242"/>
      <c r="AJ23" s="242"/>
      <c r="AK23" s="242"/>
      <c r="AL23" s="242"/>
      <c r="AM23" s="242"/>
      <c r="AN23" s="242"/>
      <c r="AO23" s="242"/>
      <c r="AP23" s="242"/>
      <c r="AQ23" s="242"/>
      <c r="AR23" s="242"/>
      <c r="AS23" s="242"/>
      <c r="AT23" s="242"/>
      <c r="AU23" s="242"/>
      <c r="AV23" s="242"/>
      <c r="AW23" s="242"/>
      <c r="AX23" s="242"/>
      <c r="AY23" s="242"/>
      <c r="AZ23" s="242"/>
      <c r="BA23" s="242"/>
      <c r="BB23" s="242"/>
      <c r="BC23" s="242"/>
      <c r="BD23" s="242"/>
      <c r="BE23" s="242"/>
      <c r="BF23" s="242"/>
      <c r="BG23" s="242"/>
      <c r="BH23" s="242"/>
      <c r="BI23" s="242"/>
      <c r="BJ23" s="242"/>
      <c r="BK23" s="242"/>
      <c r="BL23" s="242"/>
      <c r="BM23" s="242"/>
      <c r="BN23" s="242"/>
      <c r="BO23" s="242"/>
      <c r="BP23" s="242"/>
      <c r="BQ23" s="242"/>
      <c r="BR23" s="242"/>
      <c r="BS23" s="242"/>
      <c r="BT23" s="242"/>
      <c r="BU23" s="242"/>
      <c r="BV23" s="242"/>
      <c r="BW23" s="242"/>
      <c r="BX23" s="242"/>
      <c r="BY23" s="242"/>
      <c r="BZ23" s="242"/>
      <c r="CA23" s="242"/>
      <c r="CB23" s="242"/>
      <c r="CC23" s="242"/>
      <c r="CD23" s="242"/>
      <c r="CE23" s="242"/>
      <c r="CF23" s="242"/>
      <c r="CG23" s="242"/>
      <c r="CH23" s="242"/>
      <c r="CI23" s="242"/>
      <c r="CJ23" s="242"/>
      <c r="CK23" s="242"/>
      <c r="CL23" s="242"/>
      <c r="CM23" s="242"/>
      <c r="CN23" s="242"/>
      <c r="CO23" s="242"/>
      <c r="CP23" s="242"/>
      <c r="CQ23" s="242"/>
      <c r="CR23" s="242"/>
      <c r="CS23" s="242"/>
      <c r="CT23" s="242"/>
      <c r="CU23" s="242"/>
      <c r="CV23" s="242"/>
      <c r="CW23" s="242"/>
      <c r="CX23" s="242"/>
      <c r="CY23" s="242"/>
      <c r="CZ23" s="242"/>
      <c r="DA23" s="242"/>
      <c r="DB23" s="242"/>
      <c r="DC23" s="242"/>
      <c r="DD23" s="242"/>
      <c r="DE23" s="242"/>
      <c r="DF23" s="242"/>
      <c r="DG23" s="242"/>
      <c r="DH23" s="242"/>
      <c r="DI23" s="242"/>
      <c r="DJ23" s="242"/>
      <c r="DK23" s="242"/>
      <c r="DL23" s="242"/>
      <c r="DM23" s="242"/>
      <c r="DN23" s="242"/>
      <c r="DO23" s="242"/>
      <c r="DP23" s="242"/>
      <c r="DQ23" s="242"/>
      <c r="DR23" s="242"/>
      <c r="DS23" s="242"/>
      <c r="DT23" s="242"/>
      <c r="DU23" s="242"/>
      <c r="DV23" s="242"/>
      <c r="DW23" s="242"/>
      <c r="DX23" s="242"/>
      <c r="DY23" s="242"/>
      <c r="DZ23" s="242"/>
      <c r="EA23" s="242"/>
      <c r="EB23" s="242"/>
      <c r="EC23" s="242"/>
      <c r="ED23" s="242"/>
      <c r="EE23" s="242"/>
      <c r="EF23" s="242"/>
      <c r="EG23" s="242"/>
      <c r="EH23" s="242"/>
      <c r="EI23" s="242"/>
      <c r="EJ23" s="242"/>
      <c r="EK23" s="242"/>
      <c r="EL23" s="242"/>
      <c r="EM23" s="242"/>
      <c r="EN23" s="441"/>
      <c r="EO23" s="441"/>
      <c r="EP23" s="441"/>
      <c r="EQ23" s="441"/>
      <c r="ER23" s="441"/>
      <c r="ES23" s="441"/>
      <c r="ET23" s="441"/>
      <c r="EU23" s="441"/>
      <c r="EV23" s="441"/>
      <c r="EW23" s="441"/>
      <c r="EX23" s="242"/>
      <c r="EY23" s="242"/>
      <c r="EZ23" s="242"/>
      <c r="FA23" s="242"/>
      <c r="FB23" s="242"/>
    </row>
    <row r="24" spans="1:158" s="897" customFormat="1" ht="15" hidden="1" customHeight="1" outlineLevel="2">
      <c r="A24" s="897" t="s">
        <v>2394</v>
      </c>
      <c r="B24" s="897">
        <f>CEILING(B23*3, 50)</f>
        <v>850</v>
      </c>
      <c r="D24" s="3472" t="s">
        <v>2734</v>
      </c>
      <c r="E24" s="3473">
        <f>CEILING(J24*$E$22,50)</f>
        <v>1050</v>
      </c>
      <c r="F24" s="3473">
        <f>CEILING(E24*F22, 50)</f>
        <v>1200</v>
      </c>
      <c r="G24" s="3473">
        <f>CEILING(E24*G22, 50)</f>
        <v>1550</v>
      </c>
      <c r="H24" s="2871"/>
      <c r="I24" s="2875" t="s">
        <v>2734</v>
      </c>
      <c r="J24" s="2786">
        <v>1000</v>
      </c>
      <c r="K24" s="2786">
        <f>CEILING(J24*K22, 50)</f>
        <v>1100</v>
      </c>
      <c r="L24" s="2786">
        <f>CEILING(J24*L22, 50)</f>
        <v>1450</v>
      </c>
      <c r="M24" s="3444"/>
      <c r="N24" s="2875" t="s">
        <v>2734</v>
      </c>
      <c r="O24" s="3469">
        <f t="shared" ref="O24:Q25" si="2">E24/J24-1</f>
        <v>5.0000000000000044E-2</v>
      </c>
      <c r="P24" s="3469">
        <f t="shared" si="2"/>
        <v>9.0909090909090828E-2</v>
      </c>
      <c r="Q24" s="3469">
        <f t="shared" si="2"/>
        <v>6.8965517241379226E-2</v>
      </c>
      <c r="U24" s="242"/>
      <c r="V24" s="242"/>
      <c r="W24" s="242"/>
      <c r="X24" s="242"/>
      <c r="Y24" s="242"/>
      <c r="Z24" s="242"/>
      <c r="AA24" s="242"/>
      <c r="AB24" s="242"/>
      <c r="AC24" s="242"/>
      <c r="AD24" s="242"/>
      <c r="AE24" s="242"/>
      <c r="AF24" s="242"/>
      <c r="AG24" s="242"/>
      <c r="AH24" s="242"/>
      <c r="AI24" s="242"/>
      <c r="AJ24" s="242"/>
      <c r="AK24" s="242"/>
      <c r="AL24" s="242"/>
      <c r="AM24" s="242"/>
      <c r="AN24" s="242"/>
      <c r="AO24" s="242"/>
      <c r="AP24" s="242"/>
      <c r="AQ24" s="242"/>
      <c r="AR24" s="242"/>
      <c r="AS24" s="242"/>
      <c r="AT24" s="242"/>
      <c r="AU24" s="242"/>
      <c r="AV24" s="242"/>
      <c r="AW24" s="242"/>
      <c r="AX24" s="242"/>
      <c r="AY24" s="242"/>
      <c r="AZ24" s="242"/>
      <c r="BA24" s="242"/>
      <c r="BB24" s="242"/>
      <c r="BC24" s="242"/>
      <c r="BD24" s="242"/>
      <c r="BE24" s="242"/>
      <c r="BF24" s="242"/>
      <c r="BG24" s="242"/>
      <c r="BH24" s="242"/>
      <c r="BI24" s="242"/>
      <c r="BJ24" s="242"/>
      <c r="BK24" s="242"/>
      <c r="BL24" s="242"/>
      <c r="BM24" s="242"/>
      <c r="BN24" s="242"/>
      <c r="BO24" s="242"/>
      <c r="BP24" s="242"/>
      <c r="BQ24" s="242"/>
      <c r="BR24" s="242"/>
      <c r="BS24" s="242"/>
      <c r="BT24" s="242"/>
      <c r="BU24" s="242"/>
      <c r="BV24" s="242"/>
      <c r="BW24" s="242"/>
      <c r="BX24" s="242"/>
      <c r="BY24" s="242"/>
      <c r="BZ24" s="242"/>
      <c r="CA24" s="242"/>
      <c r="CB24" s="242"/>
      <c r="CC24" s="242"/>
      <c r="CD24" s="242"/>
      <c r="CE24" s="242"/>
      <c r="CF24" s="242"/>
      <c r="CG24" s="242"/>
      <c r="CH24" s="242"/>
      <c r="CI24" s="242"/>
      <c r="CJ24" s="242"/>
      <c r="CK24" s="242"/>
      <c r="CL24" s="242"/>
      <c r="CM24" s="242"/>
      <c r="CN24" s="242"/>
      <c r="CO24" s="242"/>
      <c r="CP24" s="242"/>
      <c r="CQ24" s="242"/>
      <c r="CR24" s="242"/>
      <c r="CS24" s="242"/>
      <c r="CT24" s="242"/>
      <c r="CU24" s="242"/>
      <c r="CV24" s="242"/>
      <c r="CW24" s="242"/>
      <c r="CX24" s="242"/>
      <c r="CY24" s="242"/>
      <c r="CZ24" s="242"/>
      <c r="DA24" s="242"/>
      <c r="DB24" s="242"/>
      <c r="DC24" s="242"/>
      <c r="DD24" s="242"/>
      <c r="DE24" s="242"/>
      <c r="DF24" s="242"/>
      <c r="DG24" s="242"/>
      <c r="DH24" s="242"/>
      <c r="DI24" s="242"/>
      <c r="DJ24" s="242"/>
      <c r="DK24" s="242"/>
      <c r="DL24" s="242"/>
      <c r="DM24" s="242"/>
      <c r="DN24" s="242"/>
      <c r="DO24" s="242"/>
      <c r="DP24" s="242"/>
      <c r="DQ24" s="242"/>
      <c r="DR24" s="242"/>
      <c r="DS24" s="242"/>
      <c r="DT24" s="242"/>
      <c r="DU24" s="242"/>
      <c r="DV24" s="242"/>
      <c r="DW24" s="242"/>
      <c r="DX24" s="242"/>
      <c r="DY24" s="242"/>
      <c r="DZ24" s="242"/>
      <c r="EA24" s="242"/>
      <c r="EB24" s="242"/>
      <c r="EC24" s="242"/>
      <c r="ED24" s="242"/>
      <c r="EE24" s="242"/>
      <c r="EF24" s="242"/>
      <c r="EG24" s="242"/>
      <c r="EH24" s="242"/>
      <c r="EI24" s="242"/>
      <c r="EJ24" s="242"/>
      <c r="EK24" s="242"/>
      <c r="EL24" s="242"/>
      <c r="EM24" s="242"/>
      <c r="EN24" s="441"/>
      <c r="EO24" s="441"/>
      <c r="EP24" s="441"/>
      <c r="EQ24" s="441"/>
      <c r="ER24" s="441"/>
      <c r="ES24" s="441"/>
      <c r="ET24" s="441"/>
      <c r="EU24" s="441"/>
      <c r="EV24" s="441"/>
      <c r="EW24" s="441"/>
      <c r="EX24" s="242"/>
      <c r="EY24" s="242"/>
      <c r="EZ24" s="242"/>
      <c r="FA24" s="242"/>
      <c r="FB24" s="242"/>
    </row>
    <row r="25" spans="1:158" s="897" customFormat="1" ht="15" hidden="1" customHeight="1" outlineLevel="2">
      <c r="D25" s="3472" t="s">
        <v>2735</v>
      </c>
      <c r="E25" s="3473">
        <f>E24*2</f>
        <v>2100</v>
      </c>
      <c r="F25" s="3473">
        <f>CEILING(E25*F22, 50)</f>
        <v>2350</v>
      </c>
      <c r="G25" s="3473">
        <f>CEILING(E25*G22, 50)</f>
        <v>3050</v>
      </c>
      <c r="H25" s="359"/>
      <c r="I25" s="2875" t="s">
        <v>2735</v>
      </c>
      <c r="J25" s="2786">
        <f>J24*2</f>
        <v>2000</v>
      </c>
      <c r="K25" s="2786">
        <f>CEILING(J25*K22, 50)</f>
        <v>2200</v>
      </c>
      <c r="L25" s="2786">
        <f>CEILING(J25*L22, 50)</f>
        <v>2900</v>
      </c>
      <c r="M25" s="3444"/>
      <c r="N25" s="2875" t="s">
        <v>2735</v>
      </c>
      <c r="O25" s="3469">
        <f t="shared" si="2"/>
        <v>5.0000000000000044E-2</v>
      </c>
      <c r="P25" s="3469">
        <f t="shared" si="2"/>
        <v>6.8181818181818121E-2</v>
      </c>
      <c r="Q25" s="3469">
        <f t="shared" si="2"/>
        <v>5.1724137931034475E-2</v>
      </c>
      <c r="U25" s="242"/>
      <c r="V25" s="242"/>
      <c r="W25" s="242"/>
      <c r="X25" s="242"/>
      <c r="Y25" s="242"/>
      <c r="Z25" s="242"/>
      <c r="AA25" s="242"/>
      <c r="AB25" s="242"/>
      <c r="AC25" s="242"/>
      <c r="AD25" s="242"/>
      <c r="AE25" s="242"/>
      <c r="AF25" s="242"/>
      <c r="AG25" s="242"/>
      <c r="AH25" s="242"/>
      <c r="AI25" s="242"/>
      <c r="AJ25" s="242"/>
      <c r="AK25" s="242"/>
      <c r="AL25" s="242"/>
      <c r="AM25" s="242"/>
      <c r="AN25" s="242"/>
      <c r="AO25" s="242"/>
      <c r="AP25" s="242"/>
      <c r="AQ25" s="242"/>
      <c r="AR25" s="242"/>
      <c r="AS25" s="242"/>
      <c r="AT25" s="242"/>
      <c r="AU25" s="242"/>
      <c r="AV25" s="242"/>
      <c r="AW25" s="242"/>
      <c r="AX25" s="242"/>
      <c r="AY25" s="242"/>
      <c r="AZ25" s="242"/>
      <c r="BA25" s="242"/>
      <c r="BB25" s="242"/>
      <c r="BC25" s="242"/>
      <c r="BD25" s="242"/>
      <c r="BE25" s="242"/>
      <c r="BF25" s="242"/>
      <c r="BG25" s="242"/>
      <c r="BH25" s="242"/>
      <c r="BI25" s="242"/>
      <c r="BJ25" s="242"/>
      <c r="BK25" s="242"/>
      <c r="BL25" s="242"/>
      <c r="BM25" s="242"/>
      <c r="BN25" s="242"/>
      <c r="BO25" s="242"/>
      <c r="BP25" s="242"/>
      <c r="BQ25" s="242"/>
      <c r="BR25" s="242"/>
      <c r="BS25" s="242"/>
      <c r="BT25" s="242"/>
      <c r="BU25" s="242"/>
      <c r="BV25" s="242"/>
      <c r="BW25" s="242"/>
      <c r="BX25" s="242"/>
      <c r="BY25" s="242"/>
      <c r="BZ25" s="242"/>
      <c r="CA25" s="242"/>
      <c r="CB25" s="242"/>
      <c r="CC25" s="242"/>
      <c r="CD25" s="242"/>
      <c r="CE25" s="242"/>
      <c r="CF25" s="242"/>
      <c r="CG25" s="242"/>
      <c r="CH25" s="242"/>
      <c r="CI25" s="242"/>
      <c r="CJ25" s="242"/>
      <c r="CK25" s="242"/>
      <c r="CL25" s="242"/>
      <c r="CM25" s="242"/>
      <c r="CN25" s="242"/>
      <c r="CO25" s="242"/>
      <c r="CP25" s="242"/>
      <c r="CQ25" s="242"/>
      <c r="CR25" s="242"/>
      <c r="CS25" s="242"/>
      <c r="CT25" s="242"/>
      <c r="CU25" s="242"/>
      <c r="CV25" s="242"/>
      <c r="CW25" s="242"/>
      <c r="CX25" s="242"/>
      <c r="CY25" s="242"/>
      <c r="CZ25" s="242"/>
      <c r="DA25" s="242"/>
      <c r="DB25" s="242"/>
      <c r="DC25" s="242"/>
      <c r="DD25" s="242"/>
      <c r="DE25" s="242"/>
      <c r="DF25" s="242"/>
      <c r="DG25" s="242"/>
      <c r="DH25" s="242"/>
      <c r="DI25" s="242"/>
      <c r="DJ25" s="242"/>
      <c r="DK25" s="242"/>
      <c r="DL25" s="242"/>
      <c r="DM25" s="242"/>
      <c r="DN25" s="242"/>
      <c r="DO25" s="242"/>
      <c r="DP25" s="242"/>
      <c r="DQ25" s="242"/>
      <c r="DR25" s="242"/>
      <c r="DS25" s="242"/>
      <c r="DT25" s="242"/>
      <c r="DU25" s="242"/>
      <c r="DV25" s="242"/>
      <c r="DW25" s="242"/>
      <c r="DX25" s="242"/>
      <c r="DY25" s="242"/>
      <c r="DZ25" s="242"/>
      <c r="EA25" s="242"/>
      <c r="EB25" s="242"/>
      <c r="EC25" s="242"/>
      <c r="ED25" s="242"/>
      <c r="EE25" s="242"/>
      <c r="EF25" s="242"/>
      <c r="EG25" s="242"/>
      <c r="EH25" s="242"/>
      <c r="EI25" s="242"/>
      <c r="EJ25" s="242"/>
      <c r="EK25" s="242"/>
      <c r="EL25" s="242"/>
      <c r="EM25" s="242"/>
      <c r="EN25" s="441"/>
      <c r="EO25" s="441"/>
      <c r="EP25" s="441"/>
      <c r="EQ25" s="441"/>
      <c r="ER25" s="441"/>
      <c r="ES25" s="441"/>
      <c r="ET25" s="441"/>
      <c r="EU25" s="441"/>
      <c r="EV25" s="441"/>
      <c r="EW25" s="441"/>
      <c r="EX25" s="242"/>
      <c r="EY25" s="242"/>
      <c r="EZ25" s="242"/>
      <c r="FA25" s="242"/>
      <c r="FB25" s="242"/>
    </row>
    <row r="26" spans="1:158" s="897" customFormat="1" ht="15" hidden="1" customHeight="1" outlineLevel="1">
      <c r="D26" s="3625"/>
      <c r="E26" s="3626"/>
      <c r="F26" s="3626"/>
      <c r="G26" s="3626"/>
      <c r="H26" s="359"/>
      <c r="I26" s="15"/>
      <c r="J26" s="2747"/>
      <c r="K26" s="2747"/>
      <c r="L26" s="2747"/>
      <c r="M26" s="3444"/>
      <c r="N26" s="15"/>
      <c r="O26" s="3627"/>
      <c r="P26" s="3627"/>
      <c r="Q26" s="3627"/>
      <c r="U26" s="242"/>
      <c r="V26" s="242"/>
      <c r="W26" s="242"/>
      <c r="X26" s="242"/>
      <c r="Y26" s="242"/>
      <c r="Z26" s="242"/>
      <c r="AA26" s="242"/>
      <c r="AB26" s="242"/>
      <c r="AC26" s="242"/>
      <c r="AD26" s="242"/>
      <c r="AE26" s="242"/>
      <c r="AF26" s="242"/>
      <c r="AG26" s="242"/>
      <c r="AH26" s="242"/>
      <c r="AI26" s="242"/>
      <c r="AJ26" s="242"/>
      <c r="AK26" s="242"/>
      <c r="AL26" s="242"/>
      <c r="AM26" s="242"/>
      <c r="AN26" s="242"/>
      <c r="AO26" s="242"/>
      <c r="AP26" s="242"/>
      <c r="AQ26" s="242"/>
      <c r="AR26" s="242"/>
      <c r="AS26" s="242"/>
      <c r="AT26" s="242"/>
      <c r="AU26" s="242"/>
      <c r="AV26" s="242"/>
      <c r="AW26" s="242"/>
      <c r="AX26" s="242"/>
      <c r="AY26" s="242"/>
      <c r="AZ26" s="242"/>
      <c r="BA26" s="242"/>
      <c r="BB26" s="242"/>
      <c r="BC26" s="242"/>
      <c r="BD26" s="242"/>
      <c r="BE26" s="242"/>
      <c r="BF26" s="242"/>
      <c r="BG26" s="242"/>
      <c r="BH26" s="242"/>
      <c r="BI26" s="242"/>
      <c r="BJ26" s="242"/>
      <c r="BK26" s="242"/>
      <c r="BL26" s="242"/>
      <c r="BM26" s="242"/>
      <c r="BN26" s="242"/>
      <c r="BO26" s="242"/>
      <c r="BP26" s="242"/>
      <c r="BQ26" s="242"/>
      <c r="BR26" s="242"/>
      <c r="BS26" s="242"/>
      <c r="BT26" s="242"/>
      <c r="BU26" s="242"/>
      <c r="BV26" s="242"/>
      <c r="BW26" s="242"/>
      <c r="BX26" s="242"/>
      <c r="BY26" s="242"/>
      <c r="BZ26" s="242"/>
      <c r="CA26" s="242"/>
      <c r="CB26" s="242"/>
      <c r="CC26" s="242"/>
      <c r="CD26" s="242"/>
      <c r="CE26" s="242"/>
      <c r="CF26" s="242"/>
      <c r="CG26" s="242"/>
      <c r="CH26" s="242"/>
      <c r="CI26" s="242"/>
      <c r="CJ26" s="242"/>
      <c r="CK26" s="242"/>
      <c r="CL26" s="242"/>
      <c r="CM26" s="242"/>
      <c r="CN26" s="242"/>
      <c r="CO26" s="242"/>
      <c r="CP26" s="242"/>
      <c r="CQ26" s="242"/>
      <c r="CR26" s="242"/>
      <c r="CS26" s="242"/>
      <c r="CT26" s="242"/>
      <c r="CU26" s="242"/>
      <c r="CV26" s="242"/>
      <c r="CW26" s="242"/>
      <c r="CX26" s="242"/>
      <c r="CY26" s="242"/>
      <c r="CZ26" s="242"/>
      <c r="DA26" s="242"/>
      <c r="DB26" s="242"/>
      <c r="DC26" s="242"/>
      <c r="DD26" s="242"/>
      <c r="DE26" s="242"/>
      <c r="DF26" s="242"/>
      <c r="DG26" s="242"/>
      <c r="DH26" s="242"/>
      <c r="DI26" s="242"/>
      <c r="DJ26" s="242"/>
      <c r="DK26" s="242"/>
      <c r="DL26" s="242"/>
      <c r="DM26" s="242"/>
      <c r="DN26" s="242"/>
      <c r="DO26" s="242"/>
      <c r="DP26" s="242"/>
      <c r="DQ26" s="242"/>
      <c r="DR26" s="242"/>
      <c r="DS26" s="242"/>
      <c r="DT26" s="242"/>
      <c r="DU26" s="242"/>
      <c r="DV26" s="242"/>
      <c r="DW26" s="242"/>
      <c r="DX26" s="242"/>
      <c r="DY26" s="242"/>
      <c r="DZ26" s="242"/>
      <c r="EA26" s="242"/>
      <c r="EB26" s="242"/>
      <c r="EC26" s="242"/>
      <c r="ED26" s="242"/>
      <c r="EE26" s="242"/>
      <c r="EF26" s="242"/>
      <c r="EG26" s="242"/>
      <c r="EH26" s="242"/>
      <c r="EI26" s="242"/>
      <c r="EJ26" s="242"/>
      <c r="EK26" s="242"/>
      <c r="EL26" s="242"/>
      <c r="EM26" s="242"/>
      <c r="EN26" s="441"/>
      <c r="EO26" s="441"/>
      <c r="EP26" s="441"/>
      <c r="EQ26" s="441"/>
      <c r="ER26" s="441"/>
      <c r="ES26" s="441"/>
      <c r="ET26" s="441"/>
      <c r="EU26" s="441"/>
      <c r="EV26" s="441"/>
      <c r="EW26" s="441"/>
      <c r="EX26" s="242"/>
      <c r="EY26" s="242"/>
      <c r="EZ26" s="242"/>
      <c r="FA26" s="242"/>
      <c r="FB26" s="242"/>
    </row>
    <row r="27" spans="1:158" s="897" customFormat="1" ht="15" hidden="1" customHeight="1" outlineLevel="1">
      <c r="A27" s="895" t="s">
        <v>3224</v>
      </c>
      <c r="B27" s="3631"/>
      <c r="C27" s="3631"/>
      <c r="D27" s="3631"/>
      <c r="E27" s="3632"/>
      <c r="F27" s="3632"/>
      <c r="G27" s="3632"/>
      <c r="H27" s="3631"/>
      <c r="I27" s="3631"/>
      <c r="J27" s="3631"/>
      <c r="K27" s="3631"/>
      <c r="L27" s="3631"/>
      <c r="M27" s="3444"/>
      <c r="N27" s="15"/>
      <c r="O27" s="3627"/>
      <c r="P27" s="3627"/>
      <c r="Q27" s="3627"/>
      <c r="U27" s="242"/>
      <c r="V27" s="242"/>
      <c r="W27" s="242"/>
      <c r="X27" s="242"/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42"/>
      <c r="AO27" s="242"/>
      <c r="AP27" s="242"/>
      <c r="AQ27" s="242"/>
      <c r="AR27" s="242"/>
      <c r="AS27" s="242"/>
      <c r="AT27" s="242"/>
      <c r="AU27" s="242"/>
      <c r="AV27" s="242"/>
      <c r="AW27" s="242"/>
      <c r="AX27" s="242"/>
      <c r="AY27" s="242"/>
      <c r="AZ27" s="242"/>
      <c r="BA27" s="242"/>
      <c r="BB27" s="242"/>
      <c r="BC27" s="242"/>
      <c r="BD27" s="242"/>
      <c r="BE27" s="242"/>
      <c r="BF27" s="242"/>
      <c r="BG27" s="242"/>
      <c r="BH27" s="242"/>
      <c r="BI27" s="242"/>
      <c r="BJ27" s="242"/>
      <c r="BK27" s="242"/>
      <c r="BL27" s="242"/>
      <c r="BM27" s="242"/>
      <c r="BN27" s="242"/>
      <c r="BO27" s="242"/>
      <c r="BP27" s="242"/>
      <c r="BQ27" s="242"/>
      <c r="BR27" s="242"/>
      <c r="BS27" s="242"/>
      <c r="BT27" s="242"/>
      <c r="BU27" s="242"/>
      <c r="BV27" s="242"/>
      <c r="BW27" s="242"/>
      <c r="BX27" s="242"/>
      <c r="BY27" s="242"/>
      <c r="BZ27" s="242"/>
      <c r="CA27" s="242"/>
      <c r="CB27" s="242"/>
      <c r="CC27" s="242"/>
      <c r="CD27" s="242"/>
      <c r="CE27" s="242"/>
      <c r="CF27" s="242"/>
      <c r="CG27" s="242"/>
      <c r="CH27" s="242"/>
      <c r="CI27" s="242"/>
      <c r="CJ27" s="242"/>
      <c r="CK27" s="242"/>
      <c r="CL27" s="242"/>
      <c r="CM27" s="242"/>
      <c r="CN27" s="242"/>
      <c r="CO27" s="242"/>
      <c r="CP27" s="242"/>
      <c r="CQ27" s="242"/>
      <c r="CR27" s="242"/>
      <c r="CS27" s="242"/>
      <c r="CT27" s="242"/>
      <c r="CU27" s="242"/>
      <c r="CV27" s="242"/>
      <c r="CW27" s="242"/>
      <c r="CX27" s="242"/>
      <c r="CY27" s="242"/>
      <c r="CZ27" s="242"/>
      <c r="DA27" s="242"/>
      <c r="DB27" s="242"/>
      <c r="DC27" s="242"/>
      <c r="DD27" s="242"/>
      <c r="DE27" s="242"/>
      <c r="DF27" s="242"/>
      <c r="DG27" s="242"/>
      <c r="DH27" s="242"/>
      <c r="DI27" s="242"/>
      <c r="DJ27" s="242"/>
      <c r="DK27" s="242"/>
      <c r="DL27" s="242"/>
      <c r="DM27" s="242"/>
      <c r="DN27" s="242"/>
      <c r="DO27" s="242"/>
      <c r="DP27" s="242"/>
      <c r="DQ27" s="242"/>
      <c r="DR27" s="242"/>
      <c r="DS27" s="242"/>
      <c r="DT27" s="242"/>
      <c r="DU27" s="242"/>
      <c r="DV27" s="242"/>
      <c r="DW27" s="242"/>
      <c r="DX27" s="242"/>
      <c r="DY27" s="242"/>
      <c r="DZ27" s="242"/>
      <c r="EA27" s="242"/>
      <c r="EB27" s="242"/>
      <c r="EC27" s="242"/>
      <c r="ED27" s="242"/>
      <c r="EE27" s="242"/>
      <c r="EF27" s="242"/>
      <c r="EG27" s="242"/>
      <c r="EH27" s="242"/>
      <c r="EI27" s="242"/>
      <c r="EJ27" s="242"/>
      <c r="EK27" s="242"/>
      <c r="EL27" s="242"/>
      <c r="EM27" s="242"/>
      <c r="EN27" s="441"/>
      <c r="EO27" s="441"/>
      <c r="EP27" s="441"/>
      <c r="EQ27" s="441"/>
      <c r="ER27" s="441"/>
      <c r="ES27" s="441"/>
      <c r="ET27" s="441"/>
      <c r="EU27" s="441"/>
      <c r="EV27" s="441"/>
      <c r="EW27" s="441"/>
      <c r="EX27" s="242"/>
      <c r="EY27" s="242"/>
      <c r="EZ27" s="242"/>
      <c r="FA27" s="242"/>
      <c r="FB27" s="242"/>
    </row>
    <row r="28" spans="1:158" s="897" customFormat="1" ht="15" hidden="1" customHeight="1" outlineLevel="2">
      <c r="C28" s="589" t="s">
        <v>131</v>
      </c>
      <c r="D28" s="589">
        <v>2.15</v>
      </c>
      <c r="G28" s="3626"/>
      <c r="H28" s="359"/>
      <c r="I28" s="2874" t="s">
        <v>2656</v>
      </c>
      <c r="J28" s="2874" t="s">
        <v>1609</v>
      </c>
      <c r="K28" s="2874" t="s">
        <v>439</v>
      </c>
      <c r="L28" s="2874" t="s">
        <v>2726</v>
      </c>
      <c r="M28" s="3444"/>
      <c r="N28" s="15"/>
      <c r="O28" s="3627"/>
      <c r="P28" s="3627"/>
      <c r="Q28" s="3627"/>
      <c r="U28" s="242"/>
      <c r="V28" s="242"/>
      <c r="W28" s="242"/>
      <c r="X28" s="242"/>
      <c r="Y28" s="242"/>
      <c r="Z28" s="242"/>
      <c r="AA28" s="242"/>
      <c r="AB28" s="242"/>
      <c r="AC28" s="242"/>
      <c r="AD28" s="242"/>
      <c r="AE28" s="242"/>
      <c r="AF28" s="242"/>
      <c r="AG28" s="242"/>
      <c r="AH28" s="242"/>
      <c r="AI28" s="242"/>
      <c r="AJ28" s="242"/>
      <c r="AK28" s="242"/>
      <c r="AL28" s="242"/>
      <c r="AM28" s="242"/>
      <c r="AN28" s="242"/>
      <c r="AO28" s="242"/>
      <c r="AP28" s="242"/>
      <c r="AQ28" s="242"/>
      <c r="AR28" s="242"/>
      <c r="AS28" s="242"/>
      <c r="AT28" s="242"/>
      <c r="AU28" s="242"/>
      <c r="AV28" s="242"/>
      <c r="AW28" s="242"/>
      <c r="AX28" s="242"/>
      <c r="AY28" s="242"/>
      <c r="AZ28" s="242"/>
      <c r="BA28" s="242"/>
      <c r="BB28" s="242"/>
      <c r="BC28" s="242"/>
      <c r="BD28" s="242"/>
      <c r="BE28" s="242"/>
      <c r="BF28" s="242"/>
      <c r="BG28" s="242"/>
      <c r="BH28" s="242"/>
      <c r="BI28" s="242"/>
      <c r="BJ28" s="242"/>
      <c r="BK28" s="242"/>
      <c r="BL28" s="242"/>
      <c r="BM28" s="242"/>
      <c r="BN28" s="242"/>
      <c r="BO28" s="242"/>
      <c r="BP28" s="242"/>
      <c r="BQ28" s="242"/>
      <c r="BR28" s="242"/>
      <c r="BS28" s="242"/>
      <c r="BT28" s="242"/>
      <c r="BU28" s="242"/>
      <c r="BV28" s="242"/>
      <c r="BW28" s="242"/>
      <c r="BX28" s="242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42"/>
      <c r="CS28" s="242"/>
      <c r="CT28" s="242"/>
      <c r="CU28" s="242"/>
      <c r="CV28" s="242"/>
      <c r="CW28" s="242"/>
      <c r="CX28" s="242"/>
      <c r="CY28" s="242"/>
      <c r="CZ28" s="242"/>
      <c r="DA28" s="242"/>
      <c r="DB28" s="242"/>
      <c r="DC28" s="242"/>
      <c r="DD28" s="242"/>
      <c r="DE28" s="242"/>
      <c r="DF28" s="242"/>
      <c r="DG28" s="242"/>
      <c r="DH28" s="242"/>
      <c r="DI28" s="242"/>
      <c r="DJ28" s="242"/>
      <c r="DK28" s="242"/>
      <c r="DL28" s="242"/>
      <c r="DM28" s="242"/>
      <c r="DN28" s="242"/>
      <c r="DO28" s="242"/>
      <c r="DP28" s="242"/>
      <c r="DQ28" s="242"/>
      <c r="DR28" s="242"/>
      <c r="DS28" s="242"/>
      <c r="DT28" s="242"/>
      <c r="DU28" s="242"/>
      <c r="DV28" s="242"/>
      <c r="DW28" s="242"/>
      <c r="DX28" s="242"/>
      <c r="DY28" s="242"/>
      <c r="DZ28" s="242"/>
      <c r="EA28" s="242"/>
      <c r="EB28" s="242"/>
      <c r="EC28" s="242"/>
      <c r="ED28" s="242"/>
      <c r="EE28" s="242"/>
      <c r="EF28" s="242"/>
      <c r="EG28" s="242"/>
      <c r="EH28" s="242"/>
      <c r="EI28" s="242"/>
      <c r="EJ28" s="242"/>
      <c r="EK28" s="242"/>
      <c r="EL28" s="242"/>
      <c r="EM28" s="242"/>
      <c r="EN28" s="441"/>
      <c r="EO28" s="441"/>
      <c r="EP28" s="441"/>
      <c r="EQ28" s="441"/>
      <c r="ER28" s="441"/>
      <c r="ES28" s="441"/>
      <c r="ET28" s="441"/>
      <c r="EU28" s="441"/>
      <c r="EV28" s="441"/>
      <c r="EW28" s="441"/>
      <c r="EX28" s="242"/>
      <c r="EY28" s="242"/>
      <c r="EZ28" s="242"/>
      <c r="FA28" s="242"/>
      <c r="FB28" s="242"/>
    </row>
    <row r="29" spans="1:158" s="897" customFormat="1" ht="15" hidden="1" customHeight="1" outlineLevel="2">
      <c r="C29" s="589" t="s">
        <v>3227</v>
      </c>
      <c r="D29" s="589">
        <v>0.66</v>
      </c>
      <c r="E29" s="3626"/>
      <c r="F29" s="3626"/>
      <c r="G29" s="3626"/>
      <c r="H29" s="359">
        <v>2</v>
      </c>
      <c r="I29" s="2875" t="s">
        <v>2735</v>
      </c>
      <c r="J29" s="2786"/>
      <c r="K29" s="2786">
        <f>E31*H29</f>
        <v>1100</v>
      </c>
      <c r="L29" s="2786"/>
      <c r="M29" s="3444"/>
      <c r="N29" s="15"/>
      <c r="O29" s="3627"/>
      <c r="P29" s="3627"/>
      <c r="Q29" s="3627"/>
      <c r="U29" s="242"/>
      <c r="V29" s="242"/>
      <c r="W29" s="242"/>
      <c r="X29" s="242"/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/>
      <c r="AP29" s="242"/>
      <c r="AQ29" s="242"/>
      <c r="AR29" s="242"/>
      <c r="AS29" s="242"/>
      <c r="AT29" s="242"/>
      <c r="AU29" s="242"/>
      <c r="AV29" s="242"/>
      <c r="AW29" s="242"/>
      <c r="AX29" s="242"/>
      <c r="AY29" s="242"/>
      <c r="AZ29" s="242"/>
      <c r="BA29" s="242"/>
      <c r="BB29" s="242"/>
      <c r="BC29" s="242"/>
      <c r="BD29" s="242"/>
      <c r="BE29" s="242"/>
      <c r="BF29" s="242"/>
      <c r="BG29" s="242"/>
      <c r="BH29" s="242"/>
      <c r="BI29" s="242"/>
      <c r="BJ29" s="242"/>
      <c r="BK29" s="242"/>
      <c r="BL29" s="242"/>
      <c r="BM29" s="242"/>
      <c r="BN29" s="242"/>
      <c r="BO29" s="242"/>
      <c r="BP29" s="242"/>
      <c r="BQ29" s="242"/>
      <c r="BR29" s="242"/>
      <c r="BS29" s="242"/>
      <c r="BT29" s="242"/>
      <c r="BU29" s="242"/>
      <c r="BV29" s="242"/>
      <c r="BW29" s="242"/>
      <c r="BX29" s="242"/>
      <c r="BY29" s="242"/>
      <c r="BZ29" s="242"/>
      <c r="CA29" s="242"/>
      <c r="CB29" s="242"/>
      <c r="CC29" s="242"/>
      <c r="CD29" s="242"/>
      <c r="CE29" s="242"/>
      <c r="CF29" s="242"/>
      <c r="CG29" s="242"/>
      <c r="CH29" s="242"/>
      <c r="CI29" s="242"/>
      <c r="CJ29" s="242"/>
      <c r="CK29" s="242"/>
      <c r="CL29" s="242"/>
      <c r="CM29" s="242"/>
      <c r="CN29" s="242"/>
      <c r="CO29" s="242"/>
      <c r="CP29" s="242"/>
      <c r="CQ29" s="242"/>
      <c r="CR29" s="242"/>
      <c r="CS29" s="242"/>
      <c r="CT29" s="242"/>
      <c r="CU29" s="242"/>
      <c r="CV29" s="242"/>
      <c r="CW29" s="242"/>
      <c r="CX29" s="242"/>
      <c r="CY29" s="242"/>
      <c r="CZ29" s="242"/>
      <c r="DA29" s="242"/>
      <c r="DB29" s="242"/>
      <c r="DC29" s="242"/>
      <c r="DD29" s="242"/>
      <c r="DE29" s="242"/>
      <c r="DF29" s="242"/>
      <c r="DG29" s="242"/>
      <c r="DH29" s="242"/>
      <c r="DI29" s="242"/>
      <c r="DJ29" s="242"/>
      <c r="DK29" s="242"/>
      <c r="DL29" s="242"/>
      <c r="DM29" s="242"/>
      <c r="DN29" s="242"/>
      <c r="DO29" s="242"/>
      <c r="DP29" s="242"/>
      <c r="DQ29" s="242"/>
      <c r="DR29" s="242"/>
      <c r="DS29" s="242"/>
      <c r="DT29" s="242"/>
      <c r="DU29" s="242"/>
      <c r="DV29" s="242"/>
      <c r="DW29" s="242"/>
      <c r="DX29" s="242"/>
      <c r="DY29" s="242"/>
      <c r="DZ29" s="242"/>
      <c r="EA29" s="242"/>
      <c r="EB29" s="242"/>
      <c r="EC29" s="242"/>
      <c r="ED29" s="242"/>
      <c r="EE29" s="242"/>
      <c r="EF29" s="242"/>
      <c r="EG29" s="242"/>
      <c r="EH29" s="242"/>
      <c r="EI29" s="242"/>
      <c r="EJ29" s="242"/>
      <c r="EK29" s="242"/>
      <c r="EL29" s="242"/>
      <c r="EM29" s="242"/>
      <c r="EN29" s="441"/>
      <c r="EO29" s="441"/>
      <c r="EP29" s="441"/>
      <c r="EQ29" s="441"/>
      <c r="ER29" s="441"/>
      <c r="ES29" s="441"/>
      <c r="ET29" s="441"/>
      <c r="EU29" s="441"/>
      <c r="EV29" s="441"/>
      <c r="EW29" s="441"/>
      <c r="EX29" s="242"/>
      <c r="EY29" s="242"/>
      <c r="EZ29" s="242"/>
      <c r="FA29" s="242"/>
      <c r="FB29" s="242"/>
    </row>
    <row r="30" spans="1:158" s="897" customFormat="1" ht="15" hidden="1" customHeight="1" outlineLevel="2">
      <c r="C30" s="897" t="s">
        <v>3228</v>
      </c>
      <c r="D30" s="897" t="s">
        <v>1226</v>
      </c>
      <c r="E30" s="3626" t="s">
        <v>1618</v>
      </c>
      <c r="F30" s="3626"/>
      <c r="G30" s="3626"/>
      <c r="H30" s="359">
        <v>3</v>
      </c>
      <c r="I30" s="2875" t="s">
        <v>3225</v>
      </c>
      <c r="J30" s="2786"/>
      <c r="K30" s="2786">
        <f>E31*H30</f>
        <v>1650</v>
      </c>
      <c r="L30" s="2786"/>
      <c r="M30" s="3444"/>
      <c r="N30" s="15"/>
      <c r="O30" s="3627"/>
      <c r="P30" s="3627"/>
      <c r="Q30" s="3627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  <c r="AN30" s="242"/>
      <c r="AO30" s="242"/>
      <c r="AP30" s="242"/>
      <c r="AQ30" s="242"/>
      <c r="AR30" s="242"/>
      <c r="AS30" s="242"/>
      <c r="AT30" s="242"/>
      <c r="AU30" s="242"/>
      <c r="AV30" s="242"/>
      <c r="AW30" s="242"/>
      <c r="AX30" s="242"/>
      <c r="AY30" s="242"/>
      <c r="AZ30" s="242"/>
      <c r="BA30" s="242"/>
      <c r="BB30" s="242"/>
      <c r="BC30" s="242"/>
      <c r="BD30" s="242"/>
      <c r="BE30" s="242"/>
      <c r="BF30" s="242"/>
      <c r="BG30" s="242"/>
      <c r="BH30" s="242"/>
      <c r="BI30" s="242"/>
      <c r="BJ30" s="242"/>
      <c r="BK30" s="242"/>
      <c r="BL30" s="242"/>
      <c r="BM30" s="242"/>
      <c r="BN30" s="242"/>
      <c r="BO30" s="242"/>
      <c r="BP30" s="242"/>
      <c r="BQ30" s="242"/>
      <c r="BR30" s="242"/>
      <c r="BS30" s="242"/>
      <c r="BT30" s="242"/>
      <c r="BU30" s="242"/>
      <c r="BV30" s="242"/>
      <c r="BW30" s="242"/>
      <c r="BX30" s="242"/>
      <c r="BY30" s="242"/>
      <c r="BZ30" s="242"/>
      <c r="CA30" s="242"/>
      <c r="CB30" s="242"/>
      <c r="CC30" s="242"/>
      <c r="CD30" s="242"/>
      <c r="CE30" s="242"/>
      <c r="CF30" s="242"/>
      <c r="CG30" s="242"/>
      <c r="CH30" s="242"/>
      <c r="CI30" s="242"/>
      <c r="CJ30" s="242"/>
      <c r="CK30" s="242"/>
      <c r="CL30" s="242"/>
      <c r="CM30" s="242"/>
      <c r="CN30" s="242"/>
      <c r="CO30" s="242"/>
      <c r="CP30" s="242"/>
      <c r="CQ30" s="242"/>
      <c r="CR30" s="242"/>
      <c r="CS30" s="242"/>
      <c r="CT30" s="242"/>
      <c r="CU30" s="242"/>
      <c r="CV30" s="242"/>
      <c r="CW30" s="242"/>
      <c r="CX30" s="242"/>
      <c r="CY30" s="242"/>
      <c r="CZ30" s="242"/>
      <c r="DA30" s="242"/>
      <c r="DB30" s="242"/>
      <c r="DC30" s="242"/>
      <c r="DD30" s="242"/>
      <c r="DE30" s="242"/>
      <c r="DF30" s="242"/>
      <c r="DG30" s="242"/>
      <c r="DH30" s="242"/>
      <c r="DI30" s="242"/>
      <c r="DJ30" s="242"/>
      <c r="DK30" s="242"/>
      <c r="DL30" s="242"/>
      <c r="DM30" s="242"/>
      <c r="DN30" s="242"/>
      <c r="DO30" s="242"/>
      <c r="DP30" s="242"/>
      <c r="DQ30" s="242"/>
      <c r="DR30" s="242"/>
      <c r="DS30" s="242"/>
      <c r="DT30" s="242"/>
      <c r="DU30" s="242"/>
      <c r="DV30" s="242"/>
      <c r="DW30" s="242"/>
      <c r="DX30" s="242"/>
      <c r="DY30" s="242"/>
      <c r="DZ30" s="242"/>
      <c r="EA30" s="242"/>
      <c r="EB30" s="242"/>
      <c r="EC30" s="242"/>
      <c r="ED30" s="242"/>
      <c r="EE30" s="242"/>
      <c r="EF30" s="242"/>
      <c r="EG30" s="242"/>
      <c r="EH30" s="242"/>
      <c r="EI30" s="242"/>
      <c r="EJ30" s="242"/>
      <c r="EK30" s="242"/>
      <c r="EL30" s="242"/>
      <c r="EM30" s="242"/>
      <c r="EN30" s="441"/>
      <c r="EO30" s="441"/>
      <c r="EP30" s="441"/>
      <c r="EQ30" s="441"/>
      <c r="ER30" s="441"/>
      <c r="ES30" s="441"/>
      <c r="ET30" s="441"/>
      <c r="EU30" s="441"/>
      <c r="EV30" s="441"/>
      <c r="EW30" s="441"/>
      <c r="EX30" s="242"/>
      <c r="EY30" s="242"/>
      <c r="EZ30" s="242"/>
      <c r="FA30" s="242"/>
      <c r="FB30" s="242"/>
    </row>
    <row r="31" spans="1:158" s="897" customFormat="1" ht="15" hidden="1" customHeight="1" outlineLevel="2">
      <c r="B31" s="3628" t="s">
        <v>2734</v>
      </c>
      <c r="C31" s="3629">
        <v>246.24</v>
      </c>
      <c r="D31" s="897">
        <f>E31*D29</f>
        <v>363</v>
      </c>
      <c r="E31" s="897">
        <f>CEILING(C31*$D$28,50)</f>
        <v>550</v>
      </c>
      <c r="F31" s="3630">
        <f>(D31-C31)/D31*100%</f>
        <v>0.32165289256198343</v>
      </c>
      <c r="G31" s="3626"/>
      <c r="H31" s="359"/>
      <c r="I31" s="15"/>
      <c r="J31" s="2747"/>
      <c r="K31" s="2747"/>
      <c r="L31" s="2747"/>
      <c r="M31" s="3444"/>
      <c r="N31" s="15"/>
      <c r="O31" s="3627"/>
      <c r="P31" s="3627"/>
      <c r="Q31" s="3627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  <c r="BB31" s="242"/>
      <c r="BC31" s="242"/>
      <c r="BD31" s="242"/>
      <c r="BE31" s="242"/>
      <c r="BF31" s="242"/>
      <c r="BG31" s="242"/>
      <c r="BH31" s="242"/>
      <c r="BI31" s="242"/>
      <c r="BJ31" s="242"/>
      <c r="BK31" s="242"/>
      <c r="BL31" s="242"/>
      <c r="BM31" s="242"/>
      <c r="BN31" s="242"/>
      <c r="BO31" s="242"/>
      <c r="BP31" s="242"/>
      <c r="BQ31" s="242"/>
      <c r="BR31" s="242"/>
      <c r="BS31" s="242"/>
      <c r="BT31" s="242"/>
      <c r="BU31" s="242"/>
      <c r="BV31" s="242"/>
      <c r="BW31" s="242"/>
      <c r="BX31" s="242"/>
      <c r="BY31" s="242"/>
      <c r="BZ31" s="242"/>
      <c r="CA31" s="242"/>
      <c r="CB31" s="242"/>
      <c r="CC31" s="242"/>
      <c r="CD31" s="242"/>
      <c r="CE31" s="242"/>
      <c r="CF31" s="242"/>
      <c r="CG31" s="242"/>
      <c r="CH31" s="242"/>
      <c r="CI31" s="242"/>
      <c r="CJ31" s="242"/>
      <c r="CK31" s="242"/>
      <c r="CL31" s="242"/>
      <c r="CM31" s="242"/>
      <c r="CN31" s="242"/>
      <c r="CO31" s="242"/>
      <c r="CP31" s="242"/>
      <c r="CQ31" s="242"/>
      <c r="CR31" s="242"/>
      <c r="CS31" s="242"/>
      <c r="CT31" s="242"/>
      <c r="CU31" s="242"/>
      <c r="CV31" s="242"/>
      <c r="CW31" s="242"/>
      <c r="CX31" s="242"/>
      <c r="CY31" s="242"/>
      <c r="CZ31" s="242"/>
      <c r="DA31" s="242"/>
      <c r="DB31" s="242"/>
      <c r="DC31" s="242"/>
      <c r="DD31" s="242"/>
      <c r="DE31" s="242"/>
      <c r="DF31" s="242"/>
      <c r="DG31" s="242"/>
      <c r="DH31" s="242"/>
      <c r="DI31" s="242"/>
      <c r="DJ31" s="242"/>
      <c r="DK31" s="242"/>
      <c r="DL31" s="242"/>
      <c r="DM31" s="242"/>
      <c r="DN31" s="242"/>
      <c r="DO31" s="242"/>
      <c r="DP31" s="242"/>
      <c r="DQ31" s="242"/>
      <c r="DR31" s="242"/>
      <c r="DS31" s="242"/>
      <c r="DT31" s="242"/>
      <c r="DU31" s="242"/>
      <c r="DV31" s="242"/>
      <c r="DW31" s="242"/>
      <c r="DX31" s="242"/>
      <c r="DY31" s="242"/>
      <c r="DZ31" s="242"/>
      <c r="EA31" s="242"/>
      <c r="EB31" s="242"/>
      <c r="EC31" s="242"/>
      <c r="ED31" s="242"/>
      <c r="EE31" s="242"/>
      <c r="EF31" s="242"/>
      <c r="EG31" s="242"/>
      <c r="EH31" s="242"/>
      <c r="EI31" s="242"/>
      <c r="EJ31" s="242"/>
      <c r="EK31" s="242"/>
      <c r="EL31" s="242"/>
      <c r="EM31" s="242"/>
      <c r="EN31" s="441"/>
      <c r="EO31" s="441"/>
      <c r="EP31" s="441"/>
      <c r="EQ31" s="441"/>
      <c r="ER31" s="441"/>
      <c r="ES31" s="441"/>
      <c r="ET31" s="441"/>
      <c r="EU31" s="441"/>
      <c r="EV31" s="441"/>
      <c r="EW31" s="441"/>
      <c r="EX31" s="242"/>
      <c r="EY31" s="242"/>
      <c r="EZ31" s="242"/>
      <c r="FA31" s="242"/>
      <c r="FB31" s="242"/>
    </row>
    <row r="32" spans="1:158" s="897" customFormat="1" ht="15" hidden="1" customHeight="1" outlineLevel="2">
      <c r="B32" s="3628" t="s">
        <v>3226</v>
      </c>
      <c r="C32" s="3629">
        <v>1477.5</v>
      </c>
      <c r="D32" s="3625"/>
      <c r="E32" s="3626"/>
      <c r="F32" s="3626"/>
      <c r="G32" s="3626"/>
      <c r="H32" s="359"/>
      <c r="I32" s="15"/>
      <c r="J32" s="2747"/>
      <c r="K32" s="2747"/>
      <c r="L32" s="2747"/>
      <c r="M32" s="3444"/>
      <c r="N32" s="15"/>
      <c r="O32" s="3627"/>
      <c r="P32" s="3627"/>
      <c r="Q32" s="3627"/>
      <c r="U32" s="242"/>
      <c r="V32" s="242"/>
      <c r="W32" s="242"/>
      <c r="X32" s="242"/>
      <c r="Y32" s="242"/>
      <c r="Z32" s="242"/>
      <c r="AA32" s="242"/>
      <c r="AB32" s="242"/>
      <c r="AC32" s="242"/>
      <c r="AD32" s="242"/>
      <c r="AE32" s="242"/>
      <c r="AF32" s="242"/>
      <c r="AG32" s="242"/>
      <c r="AH32" s="242"/>
      <c r="AI32" s="242"/>
      <c r="AJ32" s="242"/>
      <c r="AK32" s="242"/>
      <c r="AL32" s="242"/>
      <c r="AM32" s="242"/>
      <c r="AN32" s="242"/>
      <c r="AO32" s="242"/>
      <c r="AP32" s="242"/>
      <c r="AQ32" s="242"/>
      <c r="AR32" s="242"/>
      <c r="AS32" s="242"/>
      <c r="AT32" s="242"/>
      <c r="AU32" s="242"/>
      <c r="AV32" s="242"/>
      <c r="AW32" s="242"/>
      <c r="AX32" s="242"/>
      <c r="AY32" s="242"/>
      <c r="AZ32" s="242"/>
      <c r="BA32" s="242"/>
      <c r="BB32" s="242"/>
      <c r="BC32" s="242"/>
      <c r="BD32" s="242"/>
      <c r="BE32" s="242"/>
      <c r="BF32" s="242"/>
      <c r="BG32" s="242"/>
      <c r="BH32" s="242"/>
      <c r="BI32" s="242"/>
      <c r="BJ32" s="242"/>
      <c r="BK32" s="242"/>
      <c r="BL32" s="242"/>
      <c r="BM32" s="242"/>
      <c r="BN32" s="242"/>
      <c r="BO32" s="242"/>
      <c r="BP32" s="242"/>
      <c r="BQ32" s="242"/>
      <c r="BR32" s="242"/>
      <c r="BS32" s="242"/>
      <c r="BT32" s="242"/>
      <c r="BU32" s="242"/>
      <c r="BV32" s="242"/>
      <c r="BW32" s="242"/>
      <c r="BX32" s="242"/>
      <c r="BY32" s="242"/>
      <c r="BZ32" s="242"/>
      <c r="CA32" s="242"/>
      <c r="CB32" s="242"/>
      <c r="CC32" s="242"/>
      <c r="CD32" s="242"/>
      <c r="CE32" s="242"/>
      <c r="CF32" s="242"/>
      <c r="CG32" s="242"/>
      <c r="CH32" s="242"/>
      <c r="CI32" s="242"/>
      <c r="CJ32" s="242"/>
      <c r="CK32" s="242"/>
      <c r="CL32" s="242"/>
      <c r="CM32" s="242"/>
      <c r="CN32" s="242"/>
      <c r="CO32" s="242"/>
      <c r="CP32" s="242"/>
      <c r="CQ32" s="242"/>
      <c r="CR32" s="242"/>
      <c r="CS32" s="242"/>
      <c r="CT32" s="242"/>
      <c r="CU32" s="242"/>
      <c r="CV32" s="242"/>
      <c r="CW32" s="242"/>
      <c r="CX32" s="242"/>
      <c r="CY32" s="242"/>
      <c r="CZ32" s="242"/>
      <c r="DA32" s="242"/>
      <c r="DB32" s="242"/>
      <c r="DC32" s="242"/>
      <c r="DD32" s="242"/>
      <c r="DE32" s="242"/>
      <c r="DF32" s="242"/>
      <c r="DG32" s="242"/>
      <c r="DH32" s="242"/>
      <c r="DI32" s="242"/>
      <c r="DJ32" s="242"/>
      <c r="DK32" s="242"/>
      <c r="DL32" s="242"/>
      <c r="DM32" s="242"/>
      <c r="DN32" s="242"/>
      <c r="DO32" s="242"/>
      <c r="DP32" s="242"/>
      <c r="DQ32" s="242"/>
      <c r="DR32" s="242"/>
      <c r="DS32" s="242"/>
      <c r="DT32" s="242"/>
      <c r="DU32" s="242"/>
      <c r="DV32" s="242"/>
      <c r="DW32" s="242"/>
      <c r="DX32" s="242"/>
      <c r="DY32" s="242"/>
      <c r="DZ32" s="242"/>
      <c r="EA32" s="242"/>
      <c r="EB32" s="242"/>
      <c r="EC32" s="242"/>
      <c r="ED32" s="242"/>
      <c r="EE32" s="242"/>
      <c r="EF32" s="242"/>
      <c r="EG32" s="242"/>
      <c r="EH32" s="242"/>
      <c r="EI32" s="242"/>
      <c r="EJ32" s="242"/>
      <c r="EK32" s="242"/>
      <c r="EL32" s="242"/>
      <c r="EM32" s="242"/>
      <c r="EN32" s="441"/>
      <c r="EO32" s="441"/>
      <c r="EP32" s="441"/>
      <c r="EQ32" s="441"/>
      <c r="ER32" s="441"/>
      <c r="ES32" s="441"/>
      <c r="ET32" s="441"/>
      <c r="EU32" s="441"/>
      <c r="EV32" s="441"/>
      <c r="EW32" s="441"/>
      <c r="EX32" s="242"/>
      <c r="EY32" s="242"/>
      <c r="EZ32" s="242"/>
      <c r="FA32" s="242"/>
      <c r="FB32" s="242"/>
    </row>
    <row r="33" spans="1:158" s="897" customFormat="1" ht="15" hidden="1" customHeight="1" outlineLevel="1">
      <c r="D33" s="3625"/>
      <c r="E33" s="3626"/>
      <c r="F33" s="3626"/>
      <c r="G33" s="3626"/>
      <c r="H33" s="359"/>
      <c r="I33" s="15"/>
      <c r="J33" s="2747"/>
      <c r="K33" s="2747"/>
      <c r="L33" s="2747"/>
      <c r="M33" s="3444"/>
      <c r="N33" s="15"/>
      <c r="O33" s="3627"/>
      <c r="P33" s="3627"/>
      <c r="Q33" s="3627"/>
      <c r="U33" s="242"/>
      <c r="V33" s="242"/>
      <c r="W33" s="242"/>
      <c r="X33" s="242"/>
      <c r="Y33" s="242"/>
      <c r="Z33" s="242"/>
      <c r="AA33" s="242"/>
      <c r="AB33" s="242"/>
      <c r="AC33" s="242"/>
      <c r="AD33" s="242"/>
      <c r="AE33" s="242"/>
      <c r="AF33" s="242"/>
      <c r="AG33" s="242"/>
      <c r="AH33" s="242"/>
      <c r="AI33" s="242"/>
      <c r="AJ33" s="242"/>
      <c r="AK33" s="242"/>
      <c r="AL33" s="242"/>
      <c r="AM33" s="242"/>
      <c r="AN33" s="242"/>
      <c r="AO33" s="242"/>
      <c r="AP33" s="242"/>
      <c r="AQ33" s="242"/>
      <c r="AR33" s="242"/>
      <c r="AS33" s="242"/>
      <c r="AT33" s="242"/>
      <c r="AU33" s="242"/>
      <c r="AV33" s="242"/>
      <c r="AW33" s="242"/>
      <c r="AX33" s="242"/>
      <c r="AY33" s="242"/>
      <c r="AZ33" s="242"/>
      <c r="BA33" s="242"/>
      <c r="BB33" s="242"/>
      <c r="BC33" s="242"/>
      <c r="BD33" s="242"/>
      <c r="BE33" s="242"/>
      <c r="BF33" s="242"/>
      <c r="BG33" s="242"/>
      <c r="BH33" s="242"/>
      <c r="BI33" s="242"/>
      <c r="BJ33" s="242"/>
      <c r="BK33" s="242"/>
      <c r="BL33" s="242"/>
      <c r="BM33" s="242"/>
      <c r="BN33" s="242"/>
      <c r="BO33" s="242"/>
      <c r="BP33" s="242"/>
      <c r="BQ33" s="242"/>
      <c r="BR33" s="242"/>
      <c r="BS33" s="242"/>
      <c r="BT33" s="242"/>
      <c r="BU33" s="242"/>
      <c r="BV33" s="242"/>
      <c r="BW33" s="242"/>
      <c r="BX33" s="242"/>
      <c r="BY33" s="242"/>
      <c r="BZ33" s="242"/>
      <c r="CA33" s="242"/>
      <c r="CB33" s="242"/>
      <c r="CC33" s="242"/>
      <c r="CD33" s="242"/>
      <c r="CE33" s="242"/>
      <c r="CF33" s="242"/>
      <c r="CG33" s="242"/>
      <c r="CH33" s="242"/>
      <c r="CI33" s="242"/>
      <c r="CJ33" s="242"/>
      <c r="CK33" s="242"/>
      <c r="CL33" s="242"/>
      <c r="CM33" s="242"/>
      <c r="CN33" s="242"/>
      <c r="CO33" s="242"/>
      <c r="CP33" s="242"/>
      <c r="CQ33" s="242"/>
      <c r="CR33" s="242"/>
      <c r="CS33" s="242"/>
      <c r="CT33" s="242"/>
      <c r="CU33" s="242"/>
      <c r="CV33" s="242"/>
      <c r="CW33" s="242"/>
      <c r="CX33" s="242"/>
      <c r="CY33" s="242"/>
      <c r="CZ33" s="242"/>
      <c r="DA33" s="242"/>
      <c r="DB33" s="242"/>
      <c r="DC33" s="242"/>
      <c r="DD33" s="242"/>
      <c r="DE33" s="242"/>
      <c r="DF33" s="242"/>
      <c r="DG33" s="242"/>
      <c r="DH33" s="242"/>
      <c r="DI33" s="242"/>
      <c r="DJ33" s="242"/>
      <c r="DK33" s="242"/>
      <c r="DL33" s="242"/>
      <c r="DM33" s="242"/>
      <c r="DN33" s="242"/>
      <c r="DO33" s="242"/>
      <c r="DP33" s="242"/>
      <c r="DQ33" s="242"/>
      <c r="DR33" s="242"/>
      <c r="DS33" s="242"/>
      <c r="DT33" s="242"/>
      <c r="DU33" s="242"/>
      <c r="DV33" s="242"/>
      <c r="DW33" s="242"/>
      <c r="DX33" s="242"/>
      <c r="DY33" s="242"/>
      <c r="DZ33" s="242"/>
      <c r="EA33" s="242"/>
      <c r="EB33" s="242"/>
      <c r="EC33" s="242"/>
      <c r="ED33" s="242"/>
      <c r="EE33" s="242"/>
      <c r="EF33" s="242"/>
      <c r="EG33" s="242"/>
      <c r="EH33" s="242"/>
      <c r="EI33" s="242"/>
      <c r="EJ33" s="242"/>
      <c r="EK33" s="242"/>
      <c r="EL33" s="242"/>
      <c r="EM33" s="242"/>
      <c r="EN33" s="441"/>
      <c r="EO33" s="441"/>
      <c r="EP33" s="441"/>
      <c r="EQ33" s="441"/>
      <c r="ER33" s="441"/>
      <c r="ES33" s="441"/>
      <c r="ET33" s="441"/>
      <c r="EU33" s="441"/>
      <c r="EV33" s="441"/>
      <c r="EW33" s="441"/>
      <c r="EX33" s="242"/>
      <c r="EY33" s="242"/>
      <c r="EZ33" s="242"/>
      <c r="FA33" s="242"/>
      <c r="FB33" s="242"/>
    </row>
    <row r="34" spans="1:158" s="25" customFormat="1" ht="15" hidden="1" customHeight="1" outlineLevel="1">
      <c r="A34" s="895" t="s">
        <v>1208</v>
      </c>
      <c r="B34" s="968" t="s">
        <v>1304</v>
      </c>
      <c r="C34" s="969"/>
      <c r="G34" s="242"/>
      <c r="H34" s="242"/>
      <c r="I34" s="242"/>
      <c r="J34" s="242"/>
      <c r="K34" s="3444"/>
      <c r="L34" s="3444"/>
      <c r="M34" s="3444"/>
      <c r="N34" s="3444"/>
      <c r="O34" s="3444"/>
      <c r="P34" s="3444"/>
      <c r="Q34" s="3444"/>
      <c r="U34" s="242"/>
      <c r="V34" s="242"/>
      <c r="W34" s="242"/>
      <c r="X34" s="242"/>
      <c r="Y34" s="242"/>
      <c r="Z34" s="242"/>
      <c r="AA34" s="242"/>
      <c r="AB34" s="242"/>
      <c r="AC34" s="242"/>
      <c r="AD34" s="242"/>
      <c r="AE34" s="242"/>
      <c r="AF34" s="242"/>
      <c r="AG34" s="242"/>
      <c r="AH34" s="242"/>
      <c r="AI34" s="242"/>
      <c r="AJ34" s="242"/>
      <c r="AL34" s="242"/>
      <c r="AM34" s="242"/>
      <c r="AN34" s="242"/>
      <c r="AO34" s="242"/>
      <c r="AP34" s="242"/>
      <c r="AQ34" s="242"/>
      <c r="AR34" s="242"/>
      <c r="AS34" s="242"/>
      <c r="AT34" s="242"/>
      <c r="AU34" s="242"/>
      <c r="AV34" s="242"/>
      <c r="AW34" s="242"/>
      <c r="AX34" s="242"/>
      <c r="AY34" s="242"/>
      <c r="AZ34" s="242"/>
      <c r="BA34" s="242"/>
      <c r="BB34" s="242"/>
      <c r="BC34" s="242"/>
      <c r="BD34" s="242"/>
      <c r="BE34" s="242"/>
      <c r="BF34" s="242"/>
      <c r="BG34" s="242"/>
      <c r="BH34" s="242"/>
      <c r="BI34" s="242"/>
      <c r="BJ34" s="242"/>
      <c r="BK34" s="242"/>
      <c r="BL34" s="242"/>
      <c r="BM34" s="242"/>
      <c r="BN34" s="242"/>
      <c r="BO34" s="242"/>
      <c r="BP34" s="242"/>
      <c r="BQ34" s="242"/>
      <c r="BR34" s="242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42"/>
      <c r="CF34" s="242"/>
      <c r="CG34" s="242"/>
      <c r="CH34" s="242"/>
      <c r="CI34" s="242"/>
      <c r="CJ34" s="242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  <c r="CX34" s="242"/>
      <c r="CY34" s="242"/>
      <c r="CZ34" s="242"/>
      <c r="DA34" s="242"/>
      <c r="DB34" s="242"/>
      <c r="DC34" s="242"/>
      <c r="DD34" s="242"/>
      <c r="DE34" s="242"/>
      <c r="DF34" s="242"/>
      <c r="DG34" s="242"/>
      <c r="DH34" s="242"/>
      <c r="DI34" s="242"/>
      <c r="DJ34" s="242"/>
      <c r="DK34" s="242"/>
      <c r="DL34" s="242"/>
      <c r="DM34" s="242"/>
      <c r="DN34" s="242"/>
      <c r="DO34" s="242"/>
      <c r="DP34" s="242"/>
      <c r="DQ34" s="242"/>
      <c r="DR34" s="242"/>
      <c r="DS34" s="242"/>
      <c r="DT34" s="242"/>
      <c r="DU34" s="242"/>
      <c r="DV34" s="242"/>
      <c r="DW34" s="242"/>
      <c r="DX34" s="242"/>
      <c r="DY34" s="242"/>
      <c r="DZ34" s="242"/>
      <c r="EA34" s="242"/>
      <c r="EB34" s="242"/>
      <c r="EC34" s="242"/>
      <c r="ED34" s="242"/>
      <c r="EE34" s="242"/>
      <c r="EF34" s="242"/>
      <c r="EG34" s="242"/>
      <c r="EH34" s="242"/>
      <c r="EI34" s="242"/>
      <c r="EJ34" s="242"/>
      <c r="EK34" s="242"/>
      <c r="EL34" s="242"/>
      <c r="EM34" s="242"/>
      <c r="EN34" s="441"/>
      <c r="EO34" s="441"/>
      <c r="EP34" s="441"/>
      <c r="EQ34" s="441"/>
      <c r="ER34" s="441"/>
      <c r="ES34" s="441"/>
      <c r="ET34" s="441"/>
      <c r="EU34" s="441"/>
      <c r="EV34" s="441"/>
      <c r="EW34" s="15"/>
    </row>
    <row r="35" spans="1:158" s="897" customFormat="1" ht="15" hidden="1" customHeight="1" outlineLevel="2">
      <c r="A35" s="914" t="s">
        <v>1239</v>
      </c>
      <c r="B35" s="912"/>
      <c r="C35" s="5245" t="s">
        <v>1217</v>
      </c>
      <c r="D35" s="5245"/>
      <c r="E35" s="5245" t="s">
        <v>1218</v>
      </c>
      <c r="F35" s="5245"/>
      <c r="G35" s="242"/>
      <c r="H35" s="242"/>
      <c r="I35" s="242"/>
      <c r="J35" s="242"/>
      <c r="K35" s="3444"/>
      <c r="L35" s="3444"/>
      <c r="M35" s="3444"/>
      <c r="N35" s="3444"/>
      <c r="O35" s="3444"/>
      <c r="P35" s="3444"/>
      <c r="Q35" s="3444"/>
      <c r="R35" s="3444"/>
      <c r="S35" s="3444"/>
      <c r="T35" s="3444"/>
      <c r="U35" s="242"/>
      <c r="V35" s="242"/>
      <c r="W35" s="242"/>
      <c r="X35" s="242"/>
      <c r="Y35" s="242"/>
      <c r="Z35" s="242"/>
      <c r="AA35" s="242"/>
      <c r="AB35" s="242"/>
      <c r="AC35" s="242"/>
      <c r="AD35" s="242"/>
      <c r="AE35" s="242"/>
      <c r="AF35" s="242"/>
      <c r="AG35" s="242"/>
      <c r="AH35" s="242"/>
      <c r="AI35" s="242"/>
      <c r="AJ35" s="242"/>
      <c r="AL35" s="242"/>
      <c r="AM35" s="242"/>
      <c r="AN35" s="242"/>
      <c r="AO35" s="242"/>
      <c r="AP35" s="242"/>
      <c r="AQ35" s="242"/>
      <c r="AR35" s="242"/>
      <c r="AS35" s="242"/>
      <c r="AT35" s="242"/>
      <c r="AU35" s="242"/>
      <c r="AV35" s="242"/>
      <c r="AW35" s="242"/>
      <c r="AX35" s="242"/>
      <c r="AY35" s="242"/>
      <c r="AZ35" s="242"/>
      <c r="BA35" s="242"/>
      <c r="BB35" s="242"/>
      <c r="BC35" s="242"/>
      <c r="BD35" s="242"/>
      <c r="BE35" s="242"/>
      <c r="BF35" s="242"/>
      <c r="BG35" s="242"/>
      <c r="BH35" s="242"/>
      <c r="BI35" s="242"/>
      <c r="BJ35" s="242"/>
      <c r="BK35" s="242"/>
      <c r="BL35" s="242"/>
      <c r="BM35" s="242"/>
      <c r="BN35" s="242"/>
      <c r="BO35" s="242"/>
      <c r="BP35" s="242"/>
      <c r="BQ35" s="242"/>
      <c r="BR35" s="242"/>
      <c r="BS35" s="242"/>
      <c r="BT35" s="242"/>
      <c r="BU35" s="242"/>
      <c r="BV35" s="242"/>
      <c r="BW35" s="242"/>
      <c r="BX35" s="242"/>
      <c r="BY35" s="242"/>
      <c r="BZ35" s="242"/>
      <c r="CA35" s="242"/>
      <c r="CB35" s="242"/>
      <c r="CC35" s="242"/>
      <c r="CD35" s="242"/>
      <c r="CE35" s="242"/>
      <c r="CF35" s="242"/>
      <c r="CG35" s="242"/>
      <c r="CH35" s="242"/>
      <c r="CI35" s="242"/>
      <c r="CJ35" s="242"/>
      <c r="CK35" s="242"/>
      <c r="CL35" s="242"/>
      <c r="CM35" s="242"/>
      <c r="CN35" s="242"/>
      <c r="CO35" s="242"/>
      <c r="CP35" s="242"/>
      <c r="CQ35" s="242"/>
      <c r="CR35" s="242"/>
      <c r="CS35" s="242"/>
      <c r="CT35" s="242"/>
      <c r="CU35" s="242"/>
      <c r="CV35" s="242"/>
      <c r="CW35" s="242"/>
      <c r="CX35" s="242"/>
      <c r="CY35" s="242"/>
      <c r="CZ35" s="242"/>
      <c r="DA35" s="242"/>
      <c r="DB35" s="242"/>
      <c r="DC35" s="242"/>
      <c r="DD35" s="242"/>
      <c r="DE35" s="242"/>
      <c r="DF35" s="242"/>
      <c r="DG35" s="242"/>
      <c r="DH35" s="242"/>
      <c r="DI35" s="242"/>
      <c r="DJ35" s="242"/>
      <c r="DK35" s="242"/>
      <c r="DL35" s="242"/>
      <c r="DM35" s="242"/>
      <c r="DN35" s="242"/>
      <c r="DO35" s="242"/>
      <c r="DP35" s="242"/>
      <c r="DQ35" s="242"/>
      <c r="DR35" s="242"/>
      <c r="DS35" s="242"/>
      <c r="DT35" s="242"/>
      <c r="DU35" s="242"/>
      <c r="DV35" s="242"/>
      <c r="DW35" s="242"/>
      <c r="DX35" s="242"/>
      <c r="DY35" s="242"/>
      <c r="DZ35" s="242"/>
      <c r="EA35" s="242"/>
      <c r="EB35" s="242"/>
      <c r="EC35" s="242"/>
      <c r="ED35" s="242"/>
      <c r="EE35" s="242"/>
      <c r="EF35" s="242"/>
      <c r="EG35" s="242"/>
      <c r="EH35" s="242"/>
      <c r="EI35" s="242"/>
      <c r="EJ35" s="242"/>
      <c r="EK35" s="242"/>
      <c r="EL35" s="242"/>
      <c r="EM35" s="242"/>
      <c r="EN35" s="441"/>
      <c r="EO35" s="441"/>
      <c r="EP35" s="441"/>
      <c r="EQ35" s="441"/>
      <c r="ER35" s="441"/>
      <c r="ES35" s="441"/>
      <c r="ET35" s="441"/>
      <c r="EU35" s="441"/>
      <c r="EV35" s="441"/>
      <c r="EW35" s="15"/>
    </row>
    <row r="36" spans="1:158" s="25" customFormat="1" ht="15" hidden="1" customHeight="1" outlineLevel="2">
      <c r="A36" s="902" t="s">
        <v>1212</v>
      </c>
      <c r="B36" s="912">
        <v>2135</v>
      </c>
      <c r="C36" s="913">
        <f>B36/20</f>
        <v>106.75</v>
      </c>
      <c r="D36" s="1968">
        <v>2500</v>
      </c>
      <c r="E36" s="913">
        <f>B36/8</f>
        <v>266.875</v>
      </c>
      <c r="F36" s="1968">
        <v>4000</v>
      </c>
      <c r="G36" s="242"/>
      <c r="H36" s="242"/>
      <c r="I36" s="242"/>
      <c r="J36" s="242"/>
      <c r="K36" s="3444"/>
      <c r="L36" s="3444"/>
      <c r="M36" s="3444"/>
      <c r="N36" s="3444"/>
      <c r="O36" s="3444"/>
      <c r="P36" s="3444"/>
      <c r="Q36" s="3444"/>
      <c r="R36" s="3444"/>
      <c r="S36" s="3444"/>
      <c r="T36" s="3444"/>
      <c r="U36" s="242"/>
      <c r="V36" s="242"/>
      <c r="W36" s="242"/>
      <c r="X36" s="242"/>
      <c r="Y36" s="242"/>
      <c r="Z36" s="242"/>
      <c r="AA36" s="242"/>
      <c r="AB36" s="242"/>
      <c r="AC36" s="242"/>
      <c r="AD36" s="242"/>
      <c r="AE36" s="242"/>
      <c r="AF36" s="242"/>
      <c r="AG36" s="242"/>
      <c r="AH36" s="242"/>
      <c r="AI36" s="242"/>
      <c r="AJ36" s="242"/>
      <c r="AL36" s="242"/>
      <c r="AM36" s="242"/>
      <c r="AN36" s="242"/>
      <c r="AO36" s="242"/>
      <c r="AP36" s="242"/>
      <c r="AQ36" s="242"/>
      <c r="AR36" s="242"/>
      <c r="AS36" s="242"/>
      <c r="AT36" s="242"/>
      <c r="AU36" s="242"/>
      <c r="AV36" s="242"/>
      <c r="AW36" s="242"/>
      <c r="AX36" s="242"/>
      <c r="AY36" s="242"/>
      <c r="AZ36" s="242"/>
      <c r="BA36" s="242"/>
      <c r="BB36" s="242"/>
      <c r="BC36" s="242"/>
      <c r="BD36" s="242"/>
      <c r="BE36" s="242"/>
      <c r="BF36" s="242"/>
      <c r="BG36" s="242"/>
      <c r="BH36" s="242"/>
      <c r="BI36" s="242"/>
      <c r="BJ36" s="242"/>
      <c r="BK36" s="242"/>
      <c r="BL36" s="242"/>
      <c r="BM36" s="242"/>
      <c r="BN36" s="242"/>
      <c r="BO36" s="242"/>
      <c r="BP36" s="242"/>
      <c r="BQ36" s="242"/>
      <c r="BR36" s="242"/>
      <c r="BS36" s="242"/>
      <c r="BT36" s="242"/>
      <c r="BU36" s="242"/>
      <c r="BV36" s="242"/>
      <c r="BW36" s="242"/>
      <c r="BX36" s="242"/>
      <c r="BY36" s="242"/>
      <c r="BZ36" s="242"/>
      <c r="CA36" s="242"/>
      <c r="CB36" s="242"/>
      <c r="CC36" s="242"/>
      <c r="CD36" s="242"/>
      <c r="CE36" s="242"/>
      <c r="CF36" s="242"/>
      <c r="CG36" s="242"/>
      <c r="CH36" s="242"/>
      <c r="CI36" s="242"/>
      <c r="CJ36" s="242"/>
      <c r="CK36" s="242"/>
      <c r="CL36" s="242"/>
      <c r="CM36" s="242"/>
      <c r="CN36" s="242"/>
      <c r="CO36" s="242"/>
      <c r="CP36" s="242"/>
      <c r="CQ36" s="242"/>
      <c r="CR36" s="242"/>
      <c r="CS36" s="242"/>
      <c r="CT36" s="242"/>
      <c r="CU36" s="242"/>
      <c r="CV36" s="242"/>
      <c r="CW36" s="242"/>
      <c r="CX36" s="242"/>
      <c r="CY36" s="242"/>
      <c r="CZ36" s="242"/>
      <c r="DA36" s="242"/>
      <c r="DB36" s="242"/>
      <c r="DC36" s="242"/>
      <c r="DD36" s="242"/>
      <c r="DE36" s="242"/>
      <c r="DF36" s="242"/>
      <c r="DG36" s="242"/>
      <c r="DH36" s="242"/>
      <c r="DI36" s="242"/>
      <c r="DJ36" s="242"/>
      <c r="DK36" s="242"/>
      <c r="DL36" s="242"/>
      <c r="DM36" s="242"/>
      <c r="DN36" s="242"/>
      <c r="DO36" s="242"/>
      <c r="DP36" s="242"/>
      <c r="DQ36" s="242"/>
      <c r="DR36" s="242"/>
      <c r="DS36" s="242"/>
      <c r="DT36" s="242"/>
      <c r="DU36" s="242"/>
      <c r="DV36" s="242"/>
      <c r="DW36" s="242"/>
      <c r="DX36" s="242"/>
      <c r="DY36" s="242"/>
      <c r="DZ36" s="242"/>
      <c r="EA36" s="242"/>
      <c r="EB36" s="242"/>
      <c r="EC36" s="242"/>
      <c r="ED36" s="242"/>
      <c r="EE36" s="242"/>
      <c r="EF36" s="242"/>
      <c r="EG36" s="242"/>
      <c r="EH36" s="242"/>
      <c r="EI36" s="242"/>
      <c r="EJ36" s="242"/>
      <c r="EK36" s="242"/>
      <c r="EL36" s="242"/>
      <c r="EM36" s="242"/>
      <c r="EN36" s="441"/>
      <c r="EO36" s="441"/>
      <c r="EP36" s="441"/>
      <c r="EQ36" s="441"/>
      <c r="ER36" s="441"/>
      <c r="ES36" s="441"/>
      <c r="ET36" s="441"/>
      <c r="EU36" s="441"/>
      <c r="EV36" s="441"/>
      <c r="EW36" s="15"/>
    </row>
    <row r="37" spans="1:158" s="25" customFormat="1" ht="15" hidden="1" customHeight="1" outlineLevel="2">
      <c r="A37" s="902" t="s">
        <v>1213</v>
      </c>
      <c r="B37" s="912">
        <v>2988</v>
      </c>
      <c r="C37" s="913">
        <f>B37/20</f>
        <v>149.4</v>
      </c>
      <c r="D37" s="1968">
        <v>3300</v>
      </c>
      <c r="E37" s="913">
        <f>B37/8</f>
        <v>373.5</v>
      </c>
      <c r="F37" s="1968">
        <v>5500</v>
      </c>
      <c r="G37" s="242"/>
      <c r="H37" s="242"/>
      <c r="I37" s="242"/>
      <c r="J37" s="242"/>
      <c r="K37" s="3444"/>
      <c r="L37" s="3444"/>
      <c r="M37" s="3444"/>
      <c r="N37" s="3444"/>
      <c r="O37" s="3444"/>
      <c r="P37" s="3444"/>
      <c r="Q37" s="3444"/>
      <c r="R37" s="3444"/>
      <c r="S37" s="3444"/>
      <c r="T37" s="3444"/>
      <c r="U37" s="242"/>
      <c r="V37" s="242"/>
      <c r="W37" s="242"/>
      <c r="X37" s="242"/>
      <c r="Y37" s="242"/>
      <c r="Z37" s="242"/>
      <c r="AA37" s="242"/>
      <c r="AB37" s="242"/>
      <c r="AC37" s="242"/>
      <c r="AD37" s="242"/>
      <c r="AE37" s="242"/>
      <c r="AF37" s="242"/>
      <c r="AG37" s="242"/>
      <c r="AH37" s="242"/>
      <c r="AI37" s="242"/>
      <c r="AJ37" s="242"/>
      <c r="AL37" s="242"/>
      <c r="AM37" s="242"/>
      <c r="AN37" s="242"/>
      <c r="AO37" s="242"/>
      <c r="AP37" s="242"/>
      <c r="AQ37" s="242"/>
      <c r="AR37" s="242"/>
      <c r="AS37" s="242"/>
      <c r="AT37" s="242"/>
      <c r="AU37" s="242"/>
      <c r="AV37" s="242"/>
      <c r="AW37" s="242"/>
      <c r="AX37" s="242"/>
      <c r="AY37" s="242"/>
      <c r="AZ37" s="242"/>
      <c r="BA37" s="242"/>
      <c r="BB37" s="242"/>
      <c r="BC37" s="242"/>
      <c r="BD37" s="242"/>
      <c r="BE37" s="242"/>
      <c r="BF37" s="242"/>
      <c r="BG37" s="242"/>
      <c r="BH37" s="242"/>
      <c r="BI37" s="242"/>
      <c r="BJ37" s="242"/>
      <c r="BK37" s="242"/>
      <c r="BL37" s="242"/>
      <c r="BM37" s="242"/>
      <c r="BN37" s="242"/>
      <c r="BO37" s="242"/>
      <c r="BP37" s="242"/>
      <c r="BQ37" s="242"/>
      <c r="BR37" s="242"/>
      <c r="BS37" s="242"/>
      <c r="BT37" s="242"/>
      <c r="BU37" s="242"/>
      <c r="BV37" s="242"/>
      <c r="BW37" s="242"/>
      <c r="BX37" s="242"/>
      <c r="BY37" s="242"/>
      <c r="BZ37" s="242"/>
      <c r="CA37" s="242"/>
      <c r="CB37" s="242"/>
      <c r="CC37" s="242"/>
      <c r="CD37" s="242"/>
      <c r="CE37" s="242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242"/>
      <c r="CQ37" s="242"/>
      <c r="CR37" s="242"/>
      <c r="CS37" s="242"/>
      <c r="CT37" s="242"/>
      <c r="CU37" s="242"/>
      <c r="CV37" s="242"/>
      <c r="CW37" s="242"/>
      <c r="CX37" s="242"/>
      <c r="CY37" s="242"/>
      <c r="CZ37" s="242"/>
      <c r="DA37" s="242"/>
      <c r="DB37" s="242"/>
      <c r="DC37" s="242"/>
      <c r="DD37" s="242"/>
      <c r="DE37" s="242"/>
      <c r="DF37" s="242"/>
      <c r="DG37" s="242"/>
      <c r="DH37" s="242"/>
      <c r="DI37" s="242"/>
      <c r="DJ37" s="242"/>
      <c r="DK37" s="242"/>
      <c r="DL37" s="242"/>
      <c r="DM37" s="242"/>
      <c r="DN37" s="242"/>
      <c r="DO37" s="242"/>
      <c r="DP37" s="242"/>
      <c r="DQ37" s="242"/>
      <c r="DR37" s="242"/>
      <c r="DS37" s="242"/>
      <c r="DT37" s="242"/>
      <c r="DU37" s="242"/>
      <c r="DV37" s="242"/>
      <c r="DW37" s="242"/>
      <c r="DX37" s="242"/>
      <c r="DY37" s="242"/>
      <c r="DZ37" s="242"/>
      <c r="EA37" s="242"/>
      <c r="EB37" s="242"/>
      <c r="EC37" s="242"/>
      <c r="ED37" s="242"/>
      <c r="EE37" s="242"/>
      <c r="EF37" s="242"/>
      <c r="EG37" s="242"/>
      <c r="EH37" s="242"/>
      <c r="EI37" s="242"/>
      <c r="EJ37" s="242"/>
      <c r="EK37" s="242"/>
      <c r="EL37" s="242"/>
      <c r="EM37" s="242"/>
      <c r="EN37" s="441"/>
      <c r="EO37" s="441"/>
      <c r="EP37" s="441"/>
      <c r="EQ37" s="441"/>
      <c r="ER37" s="441"/>
      <c r="ES37" s="441"/>
      <c r="ET37" s="441"/>
      <c r="EU37" s="441"/>
      <c r="EV37" s="441"/>
      <c r="EW37" s="15"/>
    </row>
    <row r="38" spans="1:158" s="25" customFormat="1" ht="15" hidden="1" customHeight="1" outlineLevel="2">
      <c r="A38" s="902" t="s">
        <v>1214</v>
      </c>
      <c r="B38" s="912">
        <v>3683</v>
      </c>
      <c r="C38" s="913">
        <f>B38/20</f>
        <v>184.15</v>
      </c>
      <c r="D38" s="1968">
        <v>4000</v>
      </c>
      <c r="E38" s="913">
        <f>B38/8</f>
        <v>460.375</v>
      </c>
      <c r="F38" s="1968">
        <v>6500</v>
      </c>
      <c r="G38" s="242"/>
      <c r="H38" s="242"/>
      <c r="I38" s="242"/>
      <c r="J38" s="242"/>
      <c r="K38" s="3444"/>
      <c r="L38" s="3444"/>
      <c r="M38" s="3444"/>
      <c r="N38" s="3444"/>
      <c r="O38" s="3444"/>
      <c r="P38" s="3444"/>
      <c r="Q38" s="3444"/>
      <c r="R38" s="3444"/>
      <c r="S38" s="3444"/>
      <c r="T38" s="3444"/>
      <c r="U38" s="242"/>
      <c r="V38" s="242"/>
      <c r="W38" s="242"/>
      <c r="X38" s="242"/>
      <c r="Y38" s="242"/>
      <c r="Z38" s="242"/>
      <c r="AA38" s="242"/>
      <c r="AB38" s="242"/>
      <c r="AC38" s="242"/>
      <c r="AD38" s="242"/>
      <c r="AE38" s="242"/>
      <c r="AF38" s="242"/>
      <c r="AG38" s="242"/>
      <c r="AH38" s="242"/>
      <c r="AI38" s="242"/>
      <c r="AJ38" s="242"/>
      <c r="AL38" s="242"/>
      <c r="AM38" s="242"/>
      <c r="AN38" s="242"/>
      <c r="AO38" s="242"/>
      <c r="AP38" s="242"/>
      <c r="AQ38" s="242"/>
      <c r="AR38" s="242"/>
      <c r="AS38" s="242"/>
      <c r="AT38" s="242"/>
      <c r="AU38" s="242"/>
      <c r="AV38" s="242"/>
      <c r="AW38" s="242"/>
      <c r="AX38" s="242"/>
      <c r="AY38" s="242"/>
      <c r="AZ38" s="242"/>
      <c r="BA38" s="242"/>
      <c r="BB38" s="242"/>
      <c r="BC38" s="242"/>
      <c r="BD38" s="242"/>
      <c r="BE38" s="242"/>
      <c r="BF38" s="242"/>
      <c r="BG38" s="242"/>
      <c r="BH38" s="242"/>
      <c r="BI38" s="242"/>
      <c r="BJ38" s="242"/>
      <c r="BK38" s="242"/>
      <c r="BL38" s="242"/>
      <c r="BM38" s="242"/>
      <c r="BN38" s="242"/>
      <c r="BO38" s="242"/>
      <c r="BP38" s="242"/>
      <c r="BQ38" s="242"/>
      <c r="BR38" s="242"/>
      <c r="BS38" s="242"/>
      <c r="BT38" s="242"/>
      <c r="BU38" s="242"/>
      <c r="BV38" s="242"/>
      <c r="BW38" s="242"/>
      <c r="BX38" s="242"/>
      <c r="BY38" s="242"/>
      <c r="BZ38" s="242"/>
      <c r="CA38" s="242"/>
      <c r="CB38" s="242"/>
      <c r="CC38" s="242"/>
      <c r="CD38" s="242"/>
      <c r="CE38" s="242"/>
      <c r="CF38" s="242"/>
      <c r="CG38" s="242"/>
      <c r="CH38" s="242"/>
      <c r="CI38" s="242"/>
      <c r="CJ38" s="242"/>
      <c r="CK38" s="242"/>
      <c r="CL38" s="242"/>
      <c r="CM38" s="242"/>
      <c r="CN38" s="242"/>
      <c r="CO38" s="242"/>
      <c r="CP38" s="242"/>
      <c r="CQ38" s="242"/>
      <c r="CR38" s="242"/>
      <c r="CS38" s="242"/>
      <c r="CT38" s="242"/>
      <c r="CU38" s="242"/>
      <c r="CV38" s="242"/>
      <c r="CW38" s="242"/>
      <c r="CX38" s="242"/>
      <c r="CY38" s="242"/>
      <c r="CZ38" s="242"/>
      <c r="DA38" s="242"/>
      <c r="DB38" s="242"/>
      <c r="DC38" s="242"/>
      <c r="DD38" s="242"/>
      <c r="DE38" s="242"/>
      <c r="DF38" s="242"/>
      <c r="DG38" s="242"/>
      <c r="DH38" s="242"/>
      <c r="DI38" s="242"/>
      <c r="DJ38" s="242"/>
      <c r="DK38" s="242"/>
      <c r="DL38" s="242"/>
      <c r="DM38" s="242"/>
      <c r="DN38" s="242"/>
      <c r="DO38" s="242"/>
      <c r="DP38" s="242"/>
      <c r="DQ38" s="242"/>
      <c r="DR38" s="242"/>
      <c r="DS38" s="242"/>
      <c r="DT38" s="242"/>
      <c r="DU38" s="242"/>
      <c r="DV38" s="242"/>
      <c r="DW38" s="242"/>
      <c r="DX38" s="242"/>
      <c r="DY38" s="242"/>
      <c r="DZ38" s="242"/>
      <c r="EA38" s="242"/>
      <c r="EB38" s="242"/>
      <c r="EC38" s="242"/>
      <c r="ED38" s="242"/>
      <c r="EE38" s="242"/>
      <c r="EF38" s="242"/>
      <c r="EG38" s="242"/>
      <c r="EH38" s="242"/>
      <c r="EI38" s="242"/>
      <c r="EJ38" s="242"/>
      <c r="EK38" s="242"/>
      <c r="EL38" s="242"/>
      <c r="EM38" s="242"/>
      <c r="EN38" s="441"/>
      <c r="EO38" s="441"/>
      <c r="EP38" s="441"/>
      <c r="EQ38" s="441"/>
      <c r="ER38" s="441"/>
      <c r="ES38" s="441"/>
      <c r="ET38" s="441"/>
      <c r="EU38" s="441"/>
      <c r="EV38" s="441"/>
      <c r="EW38" s="15"/>
    </row>
    <row r="39" spans="1:158" s="897" customFormat="1" ht="15" hidden="1" customHeight="1" outlineLevel="2">
      <c r="A39" s="902" t="s">
        <v>2197</v>
      </c>
      <c r="B39" s="1965"/>
      <c r="C39" s="1966"/>
      <c r="D39" s="1967"/>
      <c r="E39" s="1966"/>
      <c r="F39" s="1967">
        <v>2500</v>
      </c>
      <c r="G39" s="242"/>
      <c r="H39" s="242"/>
      <c r="I39" s="242"/>
      <c r="J39" s="242"/>
      <c r="K39" s="3444"/>
      <c r="L39" s="3444"/>
      <c r="M39" s="3444"/>
      <c r="N39" s="3444"/>
      <c r="O39" s="3444"/>
      <c r="P39" s="3444"/>
      <c r="Q39" s="3444"/>
      <c r="R39" s="3444"/>
      <c r="S39" s="3444"/>
      <c r="T39" s="3444"/>
      <c r="U39" s="242"/>
      <c r="V39" s="242"/>
      <c r="W39" s="242"/>
      <c r="X39" s="242"/>
      <c r="Y39" s="242"/>
      <c r="Z39" s="242"/>
      <c r="AA39" s="242"/>
      <c r="AB39" s="242"/>
      <c r="AC39" s="242"/>
      <c r="AD39" s="242"/>
      <c r="AE39" s="242"/>
      <c r="AF39" s="242"/>
      <c r="AG39" s="242"/>
      <c r="AH39" s="242"/>
      <c r="AI39" s="242"/>
      <c r="AJ39" s="242"/>
      <c r="AL39" s="242"/>
      <c r="AM39" s="242"/>
      <c r="AN39" s="242"/>
      <c r="AO39" s="242"/>
      <c r="AP39" s="242"/>
      <c r="AQ39" s="242"/>
      <c r="AR39" s="242"/>
      <c r="AS39" s="242"/>
      <c r="AT39" s="242"/>
      <c r="AU39" s="242"/>
      <c r="AV39" s="242"/>
      <c r="AW39" s="242"/>
      <c r="AX39" s="242"/>
      <c r="AY39" s="242"/>
      <c r="AZ39" s="242"/>
      <c r="BA39" s="242"/>
      <c r="BB39" s="242"/>
      <c r="BC39" s="242"/>
      <c r="BD39" s="242"/>
      <c r="BE39" s="242"/>
      <c r="BF39" s="242"/>
      <c r="BG39" s="242"/>
      <c r="BH39" s="242"/>
      <c r="BI39" s="242"/>
      <c r="BJ39" s="242"/>
      <c r="BK39" s="242"/>
      <c r="BL39" s="242"/>
      <c r="BM39" s="242"/>
      <c r="BN39" s="242"/>
      <c r="BO39" s="242"/>
      <c r="BP39" s="242"/>
      <c r="BQ39" s="242"/>
      <c r="BR39" s="242"/>
      <c r="BS39" s="242"/>
      <c r="BT39" s="242"/>
      <c r="BU39" s="242"/>
      <c r="BV39" s="242"/>
      <c r="BW39" s="242"/>
      <c r="BX39" s="242"/>
      <c r="BY39" s="242"/>
      <c r="BZ39" s="242"/>
      <c r="CA39" s="242"/>
      <c r="CB39" s="242"/>
      <c r="CC39" s="242"/>
      <c r="CD39" s="242"/>
      <c r="CE39" s="242"/>
      <c r="CF39" s="242"/>
      <c r="CG39" s="242"/>
      <c r="CH39" s="242"/>
      <c r="CI39" s="242"/>
      <c r="CJ39" s="242"/>
      <c r="CK39" s="242"/>
      <c r="CL39" s="242"/>
      <c r="CM39" s="242"/>
      <c r="CN39" s="242"/>
      <c r="CO39" s="242"/>
      <c r="CP39" s="242"/>
      <c r="CQ39" s="242"/>
      <c r="CR39" s="242"/>
      <c r="CS39" s="242"/>
      <c r="CT39" s="242"/>
      <c r="CU39" s="242"/>
      <c r="CV39" s="242"/>
      <c r="CW39" s="242"/>
      <c r="CX39" s="242"/>
      <c r="CY39" s="242"/>
      <c r="CZ39" s="242"/>
      <c r="DA39" s="242"/>
      <c r="DB39" s="242"/>
      <c r="DC39" s="242"/>
      <c r="DD39" s="242"/>
      <c r="DE39" s="242"/>
      <c r="DF39" s="242"/>
      <c r="DG39" s="242"/>
      <c r="DH39" s="242"/>
      <c r="DI39" s="242"/>
      <c r="DJ39" s="242"/>
      <c r="DK39" s="242"/>
      <c r="DL39" s="242"/>
      <c r="DM39" s="242"/>
      <c r="DN39" s="242"/>
      <c r="DO39" s="242"/>
      <c r="DP39" s="242"/>
      <c r="DQ39" s="242"/>
      <c r="DR39" s="242"/>
      <c r="DS39" s="242"/>
      <c r="DT39" s="242"/>
      <c r="DU39" s="242"/>
      <c r="DV39" s="242"/>
      <c r="DW39" s="242"/>
      <c r="DX39" s="242"/>
      <c r="DY39" s="242"/>
      <c r="DZ39" s="242"/>
      <c r="EA39" s="242"/>
      <c r="EB39" s="242"/>
      <c r="EC39" s="242"/>
      <c r="ED39" s="242"/>
      <c r="EE39" s="242"/>
      <c r="EF39" s="242"/>
      <c r="EG39" s="242"/>
      <c r="EH39" s="242"/>
      <c r="EI39" s="242"/>
      <c r="EJ39" s="242"/>
      <c r="EK39" s="242"/>
      <c r="EL39" s="242"/>
      <c r="EM39" s="242"/>
      <c r="EN39" s="441"/>
      <c r="EO39" s="441"/>
      <c r="EP39" s="441"/>
      <c r="EQ39" s="441"/>
      <c r="ER39" s="441"/>
      <c r="ES39" s="441"/>
      <c r="ET39" s="441"/>
      <c r="EU39" s="441"/>
      <c r="EV39" s="441"/>
      <c r="EW39" s="15"/>
    </row>
    <row r="40" spans="1:158" s="813" customFormat="1" ht="36" hidden="1" customHeight="1" outlineLevel="2" collapsed="1">
      <c r="A40" s="819"/>
      <c r="B40" s="819"/>
      <c r="C40" s="819"/>
      <c r="D40" s="819"/>
      <c r="E40" s="819"/>
      <c r="F40" s="819"/>
      <c r="G40" s="824" t="s">
        <v>1099</v>
      </c>
      <c r="H40" s="824" t="s">
        <v>1098</v>
      </c>
      <c r="I40" s="824" t="s">
        <v>1100</v>
      </c>
      <c r="J40" s="3454" t="s">
        <v>1101</v>
      </c>
      <c r="K40" s="3462"/>
      <c r="L40" s="3462"/>
      <c r="M40" s="3462"/>
      <c r="N40" s="3462"/>
      <c r="O40" s="3463"/>
      <c r="P40" s="3463"/>
      <c r="Q40" s="3457" t="s">
        <v>1111</v>
      </c>
      <c r="R40" s="3448" t="s">
        <v>1107</v>
      </c>
      <c r="S40" s="3448" t="s">
        <v>1106</v>
      </c>
      <c r="T40" s="3448" t="s">
        <v>1108</v>
      </c>
      <c r="U40" s="817" t="s">
        <v>324</v>
      </c>
      <c r="V40" s="817" t="s">
        <v>323</v>
      </c>
      <c r="W40" s="817" t="s">
        <v>1076</v>
      </c>
      <c r="X40" s="816" t="s">
        <v>364</v>
      </c>
      <c r="Y40" s="816" t="s">
        <v>365</v>
      </c>
      <c r="Z40" s="816" t="s">
        <v>366</v>
      </c>
      <c r="AA40" s="816" t="s">
        <v>367</v>
      </c>
      <c r="AB40" s="816" t="s">
        <v>368</v>
      </c>
      <c r="AC40" s="816" t="s">
        <v>369</v>
      </c>
      <c r="AD40" s="816" t="s">
        <v>370</v>
      </c>
      <c r="AE40" s="816" t="s">
        <v>371</v>
      </c>
      <c r="AF40" s="884" t="s">
        <v>325</v>
      </c>
      <c r="AG40" s="884" t="s">
        <v>326</v>
      </c>
      <c r="AH40" s="884" t="s">
        <v>327</v>
      </c>
      <c r="AI40" s="884" t="s">
        <v>328</v>
      </c>
      <c r="AJ40" s="884" t="s">
        <v>329</v>
      </c>
      <c r="AK40" s="884" t="s">
        <v>743</v>
      </c>
      <c r="AL40" s="817" t="s">
        <v>744</v>
      </c>
      <c r="AM40" s="817" t="s">
        <v>745</v>
      </c>
      <c r="AN40" s="817" t="s">
        <v>922</v>
      </c>
      <c r="AO40" s="817" t="s">
        <v>900</v>
      </c>
      <c r="AP40" s="817" t="s">
        <v>746</v>
      </c>
      <c r="AQ40" s="817" t="s">
        <v>747</v>
      </c>
      <c r="AR40" s="817" t="s">
        <v>769</v>
      </c>
      <c r="AS40" s="817" t="s">
        <v>770</v>
      </c>
      <c r="AT40" s="807" t="s">
        <v>330</v>
      </c>
      <c r="AU40" s="807" t="s">
        <v>331</v>
      </c>
      <c r="AV40" s="807" t="s">
        <v>332</v>
      </c>
      <c r="AW40" s="807" t="s">
        <v>333</v>
      </c>
      <c r="AX40" s="807" t="s">
        <v>334</v>
      </c>
      <c r="AY40" s="825" t="s">
        <v>335</v>
      </c>
      <c r="AZ40" s="825" t="s">
        <v>336</v>
      </c>
      <c r="BA40" s="826" t="s">
        <v>337</v>
      </c>
      <c r="BB40" s="826" t="s">
        <v>338</v>
      </c>
      <c r="BC40" s="826" t="s">
        <v>339</v>
      </c>
      <c r="BD40" s="827" t="s">
        <v>340</v>
      </c>
      <c r="BE40" s="827" t="s">
        <v>341</v>
      </c>
      <c r="BF40" s="827" t="s">
        <v>342</v>
      </c>
      <c r="BG40" s="827" t="s">
        <v>343</v>
      </c>
      <c r="BH40" s="5266" t="s">
        <v>344</v>
      </c>
      <c r="BI40" s="5266"/>
      <c r="BJ40" s="884" t="s">
        <v>1113</v>
      </c>
      <c r="BK40" s="884" t="s">
        <v>1112</v>
      </c>
      <c r="BL40" s="884" t="s">
        <v>1114</v>
      </c>
      <c r="BM40" s="884" t="s">
        <v>1115</v>
      </c>
      <c r="BN40" s="884" t="s">
        <v>457</v>
      </c>
      <c r="BO40" s="807" t="s">
        <v>1077</v>
      </c>
      <c r="BP40" s="807" t="s">
        <v>1078</v>
      </c>
      <c r="BQ40" s="807" t="s">
        <v>1116</v>
      </c>
      <c r="BR40" s="884" t="s">
        <v>48</v>
      </c>
      <c r="BS40" s="884" t="s">
        <v>1117</v>
      </c>
      <c r="BT40" s="884" t="s">
        <v>1122</v>
      </c>
      <c r="BU40" s="884" t="s">
        <v>1127</v>
      </c>
      <c r="BV40" s="884" t="s">
        <v>1120</v>
      </c>
      <c r="BW40" s="884" t="s">
        <v>1125</v>
      </c>
      <c r="BX40" s="884" t="s">
        <v>1121</v>
      </c>
      <c r="BY40" s="884" t="s">
        <v>1126</v>
      </c>
      <c r="BZ40" s="884" t="s">
        <v>1118</v>
      </c>
      <c r="CA40" s="884" t="s">
        <v>1119</v>
      </c>
      <c r="CB40" s="884" t="s">
        <v>1123</v>
      </c>
      <c r="CC40" s="884" t="s">
        <v>1124</v>
      </c>
      <c r="CD40" s="807" t="s">
        <v>1128</v>
      </c>
      <c r="CE40" s="807" t="s">
        <v>1129</v>
      </c>
      <c r="CF40" s="807" t="s">
        <v>1130</v>
      </c>
      <c r="CG40" s="807" t="s">
        <v>1131</v>
      </c>
      <c r="CH40" s="807" t="s">
        <v>1132</v>
      </c>
      <c r="CI40" s="807" t="s">
        <v>1133</v>
      </c>
      <c r="CJ40" s="807" t="s">
        <v>1134</v>
      </c>
      <c r="CK40" s="807" t="s">
        <v>1135</v>
      </c>
      <c r="CL40" s="884" t="s">
        <v>394</v>
      </c>
      <c r="CM40" s="884" t="s">
        <v>395</v>
      </c>
      <c r="CN40" s="884" t="s">
        <v>396</v>
      </c>
      <c r="CO40" s="884" t="s">
        <v>397</v>
      </c>
      <c r="CP40" s="884" t="s">
        <v>1136</v>
      </c>
      <c r="CQ40" s="884" t="s">
        <v>1137</v>
      </c>
      <c r="CR40" s="884" t="s">
        <v>1138</v>
      </c>
      <c r="CS40" s="884" t="s">
        <v>1194</v>
      </c>
      <c r="CT40" s="884" t="s">
        <v>1193</v>
      </c>
      <c r="CU40" s="884" t="s">
        <v>1195</v>
      </c>
      <c r="CV40" s="884" t="s">
        <v>1139</v>
      </c>
      <c r="CW40" s="884" t="s">
        <v>1140</v>
      </c>
      <c r="CX40" s="884" t="s">
        <v>1141</v>
      </c>
      <c r="CY40" s="884" t="s">
        <v>1142</v>
      </c>
      <c r="CZ40" s="1016" t="s">
        <v>1196</v>
      </c>
      <c r="DA40" s="884" t="s">
        <v>1143</v>
      </c>
      <c r="DB40" s="884" t="s">
        <v>1144</v>
      </c>
      <c r="DC40" s="884" t="s">
        <v>321</v>
      </c>
      <c r="DD40" s="884"/>
      <c r="DE40" s="884"/>
      <c r="DF40" s="807" t="s">
        <v>1079</v>
      </c>
      <c r="DG40" s="807" t="s">
        <v>1080</v>
      </c>
      <c r="DH40" s="807" t="s">
        <v>1081</v>
      </c>
      <c r="DI40" s="807" t="s">
        <v>1082</v>
      </c>
      <c r="DJ40" s="807" t="s">
        <v>1083</v>
      </c>
      <c r="DK40" s="807" t="s">
        <v>1084</v>
      </c>
      <c r="DL40" s="807" t="s">
        <v>1085</v>
      </c>
      <c r="DM40" s="807" t="s">
        <v>1086</v>
      </c>
      <c r="DN40" s="807" t="s">
        <v>1087</v>
      </c>
      <c r="DO40" s="807" t="s">
        <v>1088</v>
      </c>
      <c r="DP40" s="807" t="s">
        <v>1089</v>
      </c>
      <c r="DQ40" s="807" t="s">
        <v>1090</v>
      </c>
      <c r="DR40" s="807" t="s">
        <v>1091</v>
      </c>
      <c r="DS40" s="807" t="s">
        <v>1092</v>
      </c>
      <c r="DT40" s="807" t="s">
        <v>1093</v>
      </c>
      <c r="DU40" s="807" t="s">
        <v>351</v>
      </c>
      <c r="DV40" s="807" t="s">
        <v>352</v>
      </c>
      <c r="DW40" s="807" t="s">
        <v>353</v>
      </c>
      <c r="DX40" s="807" t="s">
        <v>354</v>
      </c>
      <c r="DY40" s="807" t="s">
        <v>355</v>
      </c>
      <c r="DZ40" s="807" t="s">
        <v>356</v>
      </c>
      <c r="EA40" s="884" t="s">
        <v>345</v>
      </c>
      <c r="EB40" s="884" t="s">
        <v>346</v>
      </c>
      <c r="EC40" s="884" t="s">
        <v>347</v>
      </c>
      <c r="ED40" s="884" t="s">
        <v>348</v>
      </c>
      <c r="EE40" s="884" t="s">
        <v>349</v>
      </c>
      <c r="EF40" s="884" t="s">
        <v>350</v>
      </c>
      <c r="EG40" s="884" t="s">
        <v>357</v>
      </c>
      <c r="EH40" s="884" t="s">
        <v>358</v>
      </c>
      <c r="EI40" s="884" t="s">
        <v>359</v>
      </c>
      <c r="EJ40" s="807" t="s">
        <v>441</v>
      </c>
      <c r="EK40" s="807" t="s">
        <v>442</v>
      </c>
      <c r="EL40" s="884" t="s">
        <v>307</v>
      </c>
      <c r="EM40" s="884" t="s">
        <v>1145</v>
      </c>
      <c r="EN40" s="2596" t="s">
        <v>1146</v>
      </c>
      <c r="EO40" s="2596" t="s">
        <v>1147</v>
      </c>
      <c r="EP40" s="2596" t="s">
        <v>1148</v>
      </c>
      <c r="EQ40" s="2596" t="s">
        <v>1149</v>
      </c>
      <c r="ER40" s="2596" t="s">
        <v>1150</v>
      </c>
      <c r="ES40" s="807" t="s">
        <v>1094</v>
      </c>
      <c r="ET40" s="807" t="s">
        <v>1095</v>
      </c>
      <c r="EU40" s="815" t="s">
        <v>1096</v>
      </c>
      <c r="EV40" s="815" t="s">
        <v>1097</v>
      </c>
    </row>
    <row r="41" spans="1:158" s="242" customFormat="1" ht="15.75" hidden="1" outlineLevel="2">
      <c r="A41" s="5238" t="s">
        <v>372</v>
      </c>
      <c r="B41" s="5238"/>
      <c r="C41" s="5238"/>
      <c r="D41" s="5238"/>
      <c r="E41" s="5238"/>
      <c r="F41" s="5238"/>
      <c r="G41" s="553">
        <v>0</v>
      </c>
      <c r="H41" s="553">
        <v>2200</v>
      </c>
      <c r="I41" s="553">
        <f>H41</f>
        <v>2200</v>
      </c>
      <c r="J41" s="3455"/>
      <c r="K41" s="3464"/>
      <c r="L41" s="3464"/>
      <c r="M41" s="3464"/>
      <c r="N41" s="3464"/>
      <c r="O41" s="3465"/>
      <c r="P41" s="3465"/>
      <c r="Q41" s="3458"/>
      <c r="R41" s="3449"/>
      <c r="S41" s="3449"/>
      <c r="T41" s="3449"/>
      <c r="U41" s="552"/>
      <c r="V41" s="552"/>
      <c r="W41" s="552"/>
      <c r="X41" s="552"/>
      <c r="Y41" s="739"/>
      <c r="Z41" s="739"/>
      <c r="AA41" s="739"/>
      <c r="AB41" s="739"/>
      <c r="AC41" s="739"/>
      <c r="AD41" s="739"/>
      <c r="AE41" s="739"/>
      <c r="AF41" s="739"/>
      <c r="AG41" s="739"/>
      <c r="AH41" s="739"/>
      <c r="AI41" s="739"/>
      <c r="AJ41" s="739"/>
      <c r="AK41" s="739"/>
      <c r="AL41" s="739"/>
      <c r="AM41" s="739"/>
      <c r="AN41" s="739"/>
      <c r="AO41" s="739"/>
      <c r="AP41" s="739"/>
      <c r="AQ41" s="739"/>
      <c r="AR41" s="739"/>
      <c r="AS41" s="739"/>
      <c r="AT41" s="739"/>
      <c r="AU41" s="739"/>
      <c r="AV41" s="739"/>
      <c r="AW41" s="739"/>
      <c r="AX41" s="739"/>
      <c r="AY41" s="739"/>
      <c r="AZ41" s="739"/>
      <c r="BA41" s="739"/>
      <c r="BB41" s="739"/>
      <c r="BC41" s="739"/>
      <c r="BD41" s="739"/>
      <c r="BE41" s="739"/>
      <c r="BF41" s="739"/>
      <c r="BG41" s="739"/>
      <c r="BH41" s="739"/>
      <c r="BI41" s="739"/>
      <c r="BJ41" s="739"/>
      <c r="BK41" s="739"/>
      <c r="BL41" s="739"/>
      <c r="BM41" s="739"/>
      <c r="BN41" s="739"/>
      <c r="BO41" s="739"/>
      <c r="BP41" s="739"/>
      <c r="BQ41" s="739"/>
      <c r="BR41" s="739"/>
      <c r="BS41" s="739"/>
      <c r="BT41" s="739"/>
      <c r="BU41" s="739"/>
      <c r="BV41" s="739"/>
      <c r="BW41" s="739"/>
      <c r="BX41" s="739"/>
      <c r="BY41" s="739"/>
      <c r="BZ41" s="739"/>
      <c r="CA41" s="739"/>
      <c r="CB41" s="739"/>
      <c r="CC41" s="739"/>
      <c r="CD41" s="739"/>
      <c r="CE41" s="739"/>
      <c r="CF41" s="739"/>
      <c r="CG41" s="739"/>
      <c r="CH41" s="739"/>
      <c r="CI41" s="739"/>
      <c r="CJ41" s="739"/>
      <c r="CK41" s="739"/>
      <c r="CL41" s="739"/>
      <c r="CM41" s="739"/>
      <c r="CN41" s="739"/>
      <c r="CO41" s="739"/>
      <c r="CP41" s="739"/>
      <c r="CQ41" s="739"/>
      <c r="CR41" s="739"/>
      <c r="CS41" s="739"/>
      <c r="CT41" s="739"/>
      <c r="CU41" s="739"/>
      <c r="CV41" s="739"/>
      <c r="CW41" s="739"/>
      <c r="CX41" s="739"/>
      <c r="CY41" s="739"/>
      <c r="CZ41" s="1090"/>
      <c r="DA41" s="739"/>
      <c r="DB41" s="739"/>
      <c r="DC41" s="739"/>
      <c r="DD41" s="739"/>
      <c r="DE41" s="739"/>
      <c r="DF41" s="739"/>
      <c r="DG41" s="739"/>
      <c r="DH41" s="739"/>
      <c r="DI41" s="739"/>
      <c r="DJ41" s="739"/>
      <c r="DK41" s="739"/>
      <c r="DL41" s="739"/>
      <c r="DM41" s="739"/>
      <c r="DN41" s="739"/>
      <c r="DO41" s="739"/>
      <c r="DP41" s="739"/>
      <c r="DQ41" s="739"/>
      <c r="DR41" s="739"/>
      <c r="DS41" s="739"/>
      <c r="DT41" s="739"/>
      <c r="DU41" s="739"/>
      <c r="DV41" s="739"/>
      <c r="DW41" s="739"/>
      <c r="DX41" s="739"/>
      <c r="DY41" s="739"/>
      <c r="DZ41" s="739"/>
      <c r="EA41" s="739"/>
      <c r="EB41" s="739"/>
      <c r="EC41" s="739"/>
      <c r="ED41" s="739"/>
      <c r="EE41" s="739"/>
      <c r="EF41" s="739"/>
      <c r="EG41" s="739"/>
      <c r="EH41" s="739"/>
      <c r="EI41" s="739"/>
      <c r="EJ41" s="739"/>
      <c r="EK41" s="739"/>
      <c r="EL41" s="739"/>
      <c r="EM41" s="739"/>
      <c r="EN41" s="2703"/>
      <c r="EO41" s="2703"/>
      <c r="EP41" s="2703"/>
      <c r="EQ41" s="2703"/>
      <c r="ER41" s="2703"/>
      <c r="ES41" s="2703"/>
      <c r="ET41" s="2703"/>
      <c r="EU41" s="2703"/>
      <c r="EV41" s="2703"/>
      <c r="EW41" s="441"/>
    </row>
    <row r="42" spans="1:158" s="242" customFormat="1" ht="15.75" hidden="1" customHeight="1" outlineLevel="2">
      <c r="A42" s="5272" t="s">
        <v>2408</v>
      </c>
      <c r="B42" s="5272"/>
      <c r="C42" s="5272"/>
      <c r="D42" s="5272"/>
      <c r="E42" s="5228" t="s">
        <v>1221</v>
      </c>
      <c r="F42" s="5228"/>
      <c r="G42" s="551">
        <v>0</v>
      </c>
      <c r="H42" s="551">
        <f>D36</f>
        <v>2500</v>
      </c>
      <c r="I42" s="551">
        <f>H42</f>
        <v>2500</v>
      </c>
      <c r="J42" s="3456"/>
      <c r="K42" s="3466"/>
      <c r="L42" s="3466"/>
      <c r="M42" s="3466"/>
      <c r="N42" s="3466"/>
      <c r="O42" s="3444"/>
      <c r="P42" s="3444"/>
      <c r="Q42" s="3459"/>
      <c r="R42" s="3450"/>
      <c r="S42" s="3450"/>
      <c r="T42" s="3450"/>
      <c r="U42" s="602"/>
      <c r="V42" s="602"/>
      <c r="W42" s="602"/>
      <c r="X42" s="550"/>
      <c r="Y42" s="550"/>
      <c r="Z42" s="550"/>
      <c r="AA42" s="550"/>
      <c r="AB42" s="550"/>
      <c r="AC42" s="550"/>
      <c r="AD42" s="550"/>
      <c r="AE42" s="550"/>
      <c r="AF42" s="602"/>
      <c r="AG42" s="602"/>
      <c r="AH42" s="602"/>
      <c r="AI42" s="602"/>
      <c r="AJ42" s="602"/>
      <c r="AK42" s="550"/>
      <c r="AL42" s="550"/>
      <c r="AM42" s="550"/>
      <c r="AN42" s="550"/>
      <c r="AO42" s="550"/>
      <c r="AP42" s="550"/>
      <c r="AQ42" s="550"/>
      <c r="AR42" s="550"/>
      <c r="AS42" s="550"/>
      <c r="AT42" s="550"/>
      <c r="AU42" s="550"/>
      <c r="AV42" s="550"/>
      <c r="AW42" s="550"/>
      <c r="AX42" s="550"/>
      <c r="AY42" s="550"/>
      <c r="AZ42" s="550"/>
      <c r="BA42" s="550"/>
      <c r="BB42" s="550"/>
      <c r="BC42" s="550"/>
      <c r="BD42" s="550"/>
      <c r="BE42" s="550"/>
      <c r="BF42" s="550"/>
      <c r="BG42" s="550"/>
      <c r="BH42" s="550"/>
      <c r="BI42" s="550"/>
      <c r="BJ42" s="550"/>
      <c r="BK42" s="550"/>
      <c r="BL42" s="550"/>
      <c r="BM42" s="550"/>
      <c r="BN42" s="550"/>
      <c r="BO42" s="550"/>
      <c r="BP42" s="550"/>
      <c r="BQ42" s="550"/>
      <c r="BR42" s="550"/>
      <c r="BS42" s="550"/>
      <c r="BT42" s="550"/>
      <c r="BU42" s="550"/>
      <c r="BV42" s="550"/>
      <c r="BW42" s="550"/>
      <c r="BX42" s="550"/>
      <c r="BY42" s="550"/>
      <c r="BZ42" s="550"/>
      <c r="CA42" s="550"/>
      <c r="CB42" s="550"/>
      <c r="CC42" s="550"/>
      <c r="CD42" s="550"/>
      <c r="CE42" s="550"/>
      <c r="CF42" s="550"/>
      <c r="CG42" s="550"/>
      <c r="CH42" s="550"/>
      <c r="CI42" s="550"/>
      <c r="CJ42" s="550"/>
      <c r="CK42" s="550"/>
      <c r="CL42" s="550"/>
      <c r="CM42" s="550"/>
      <c r="CN42" s="550"/>
      <c r="CO42" s="550"/>
      <c r="CP42" s="550"/>
      <c r="CQ42" s="550"/>
      <c r="CR42" s="550"/>
      <c r="CS42" s="550"/>
      <c r="CT42" s="550"/>
      <c r="CU42" s="550"/>
      <c r="CV42" s="550"/>
      <c r="CW42" s="550"/>
      <c r="CX42" s="550"/>
      <c r="CY42" s="550"/>
      <c r="CZ42" s="980"/>
      <c r="DA42" s="550"/>
      <c r="DB42" s="550"/>
      <c r="DC42" s="550"/>
      <c r="DD42" s="550"/>
      <c r="DE42" s="550"/>
      <c r="DF42" s="550"/>
      <c r="DG42" s="550"/>
      <c r="DH42" s="550"/>
      <c r="DI42" s="550"/>
      <c r="DJ42" s="550"/>
      <c r="DK42" s="550"/>
      <c r="DL42" s="550"/>
      <c r="DM42" s="550"/>
      <c r="DN42" s="550"/>
      <c r="DO42" s="550"/>
      <c r="DP42" s="550"/>
      <c r="DQ42" s="550"/>
      <c r="DR42" s="550"/>
      <c r="DS42" s="550"/>
      <c r="DT42" s="550"/>
      <c r="DU42" s="550"/>
      <c r="DV42" s="550"/>
      <c r="DW42" s="550"/>
      <c r="DX42" s="550"/>
      <c r="DY42" s="550"/>
      <c r="DZ42" s="550"/>
      <c r="EA42" s="550"/>
      <c r="EB42" s="550"/>
      <c r="EC42" s="550"/>
      <c r="ED42" s="550"/>
      <c r="EE42" s="550"/>
      <c r="EF42" s="550"/>
      <c r="EG42" s="550"/>
      <c r="EH42" s="550"/>
      <c r="EI42" s="550"/>
      <c r="EJ42" s="550"/>
      <c r="EK42" s="550"/>
      <c r="EL42" s="550"/>
      <c r="EM42" s="550"/>
      <c r="EN42" s="2704"/>
      <c r="EO42" s="2704"/>
      <c r="EP42" s="2704"/>
      <c r="EQ42" s="2704"/>
      <c r="ER42" s="2704"/>
      <c r="ES42" s="2704"/>
      <c r="ET42" s="2704"/>
      <c r="EU42" s="2704"/>
      <c r="EV42" s="2704"/>
      <c r="EW42" s="441"/>
    </row>
    <row r="43" spans="1:158" s="242" customFormat="1" ht="15.75" hidden="1" outlineLevel="2">
      <c r="A43" s="5272"/>
      <c r="B43" s="5272"/>
      <c r="C43" s="5272"/>
      <c r="D43" s="5272"/>
      <c r="E43" s="5228" t="s">
        <v>1220</v>
      </c>
      <c r="F43" s="5228"/>
      <c r="G43" s="551"/>
      <c r="H43" s="551">
        <f>D37</f>
        <v>3300</v>
      </c>
      <c r="I43" s="551">
        <f>H43</f>
        <v>3300</v>
      </c>
      <c r="J43" s="3456"/>
      <c r="K43" s="3466"/>
      <c r="L43" s="3466"/>
      <c r="M43" s="3466"/>
      <c r="N43" s="3466"/>
      <c r="O43" s="3444"/>
      <c r="P43" s="3444"/>
      <c r="Q43" s="3459"/>
      <c r="R43" s="3450"/>
      <c r="S43" s="3450"/>
      <c r="T43" s="3450"/>
      <c r="U43" s="602"/>
      <c r="V43" s="602"/>
      <c r="W43" s="602"/>
      <c r="X43" s="550"/>
      <c r="Y43" s="550"/>
      <c r="Z43" s="550"/>
      <c r="AA43" s="550"/>
      <c r="AB43" s="550"/>
      <c r="AC43" s="550"/>
      <c r="AD43" s="550"/>
      <c r="AE43" s="550"/>
      <c r="AF43" s="602"/>
      <c r="AG43" s="602"/>
      <c r="AH43" s="602"/>
      <c r="AI43" s="602"/>
      <c r="AJ43" s="602"/>
      <c r="AK43" s="550"/>
      <c r="AL43" s="550"/>
      <c r="AM43" s="550"/>
      <c r="AN43" s="550"/>
      <c r="AO43" s="550"/>
      <c r="AP43" s="550"/>
      <c r="AQ43" s="550"/>
      <c r="AR43" s="550"/>
      <c r="AS43" s="550"/>
      <c r="AT43" s="550"/>
      <c r="AU43" s="550"/>
      <c r="AV43" s="550"/>
      <c r="AW43" s="550"/>
      <c r="AX43" s="550"/>
      <c r="AY43" s="550"/>
      <c r="AZ43" s="550"/>
      <c r="BA43" s="550"/>
      <c r="BB43" s="550"/>
      <c r="BC43" s="550"/>
      <c r="BD43" s="550"/>
      <c r="BE43" s="550"/>
      <c r="BF43" s="550"/>
      <c r="BG43" s="550"/>
      <c r="BH43" s="550"/>
      <c r="BI43" s="550"/>
      <c r="BJ43" s="550"/>
      <c r="BK43" s="550"/>
      <c r="BL43" s="550"/>
      <c r="BM43" s="550"/>
      <c r="BN43" s="550"/>
      <c r="BO43" s="550"/>
      <c r="BP43" s="550"/>
      <c r="BQ43" s="550"/>
      <c r="BR43" s="550"/>
      <c r="BS43" s="550"/>
      <c r="BT43" s="550"/>
      <c r="BU43" s="550"/>
      <c r="BV43" s="550"/>
      <c r="BW43" s="550"/>
      <c r="BX43" s="550"/>
      <c r="BY43" s="550"/>
      <c r="BZ43" s="550"/>
      <c r="CA43" s="550"/>
      <c r="CB43" s="550"/>
      <c r="CC43" s="550"/>
      <c r="CD43" s="550"/>
      <c r="CE43" s="550"/>
      <c r="CF43" s="550"/>
      <c r="CG43" s="550"/>
      <c r="CH43" s="550"/>
      <c r="CI43" s="550"/>
      <c r="CJ43" s="550"/>
      <c r="CK43" s="550"/>
      <c r="CL43" s="550"/>
      <c r="CM43" s="550"/>
      <c r="CN43" s="550"/>
      <c r="CO43" s="550"/>
      <c r="CP43" s="550"/>
      <c r="CQ43" s="550"/>
      <c r="CR43" s="550"/>
      <c r="CS43" s="550"/>
      <c r="CT43" s="550"/>
      <c r="CU43" s="550"/>
      <c r="CV43" s="550"/>
      <c r="CW43" s="550"/>
      <c r="CX43" s="550"/>
      <c r="CY43" s="550"/>
      <c r="CZ43" s="980"/>
      <c r="DA43" s="550"/>
      <c r="DB43" s="550"/>
      <c r="DC43" s="550"/>
      <c r="DD43" s="550"/>
      <c r="DE43" s="550"/>
      <c r="DF43" s="550"/>
      <c r="DG43" s="550"/>
      <c r="DH43" s="550"/>
      <c r="DI43" s="550"/>
      <c r="DJ43" s="550"/>
      <c r="DK43" s="550"/>
      <c r="DL43" s="550"/>
      <c r="DM43" s="550"/>
      <c r="DN43" s="550"/>
      <c r="DO43" s="550"/>
      <c r="DP43" s="550"/>
      <c r="DQ43" s="550"/>
      <c r="DR43" s="550"/>
      <c r="DS43" s="550"/>
      <c r="DT43" s="550"/>
      <c r="DU43" s="550"/>
      <c r="DV43" s="550"/>
      <c r="DW43" s="550"/>
      <c r="DX43" s="550"/>
      <c r="DY43" s="550"/>
      <c r="DZ43" s="550"/>
      <c r="EA43" s="550"/>
      <c r="EB43" s="550"/>
      <c r="EC43" s="550"/>
      <c r="ED43" s="550"/>
      <c r="EE43" s="550"/>
      <c r="EF43" s="550"/>
      <c r="EG43" s="550"/>
      <c r="EH43" s="550"/>
      <c r="EI43" s="550"/>
      <c r="EJ43" s="550"/>
      <c r="EK43" s="550"/>
      <c r="EL43" s="550"/>
      <c r="EM43" s="550"/>
      <c r="EN43" s="2704"/>
      <c r="EO43" s="2704"/>
      <c r="EP43" s="2704"/>
      <c r="EQ43" s="2704"/>
      <c r="ER43" s="2704"/>
      <c r="ES43" s="2704"/>
      <c r="ET43" s="2704"/>
      <c r="EU43" s="2704"/>
      <c r="EV43" s="2704"/>
      <c r="EW43" s="441"/>
    </row>
    <row r="44" spans="1:158" s="242" customFormat="1" ht="15.75" hidden="1" outlineLevel="2">
      <c r="A44" s="5272"/>
      <c r="B44" s="5272"/>
      <c r="C44" s="5272"/>
      <c r="D44" s="5272"/>
      <c r="E44" s="5228" t="s">
        <v>1222</v>
      </c>
      <c r="F44" s="5228"/>
      <c r="G44" s="551"/>
      <c r="H44" s="551">
        <f>D38</f>
        <v>4000</v>
      </c>
      <c r="I44" s="551">
        <f>H44</f>
        <v>4000</v>
      </c>
      <c r="J44" s="3456"/>
      <c r="K44" s="3466"/>
      <c r="L44" s="3466"/>
      <c r="M44" s="3466"/>
      <c r="N44" s="3466"/>
      <c r="O44" s="3444"/>
      <c r="P44" s="3444"/>
      <c r="Q44" s="3459"/>
      <c r="R44" s="3450"/>
      <c r="S44" s="3450"/>
      <c r="T44" s="3450"/>
      <c r="U44" s="602"/>
      <c r="V44" s="602"/>
      <c r="W44" s="602"/>
      <c r="X44" s="550"/>
      <c r="Y44" s="550"/>
      <c r="Z44" s="550"/>
      <c r="AA44" s="550"/>
      <c r="AB44" s="550"/>
      <c r="AC44" s="550"/>
      <c r="AD44" s="550"/>
      <c r="AE44" s="550"/>
      <c r="AF44" s="602"/>
      <c r="AG44" s="602"/>
      <c r="AH44" s="602"/>
      <c r="AI44" s="602"/>
      <c r="AJ44" s="602"/>
      <c r="AK44" s="550"/>
      <c r="AL44" s="550"/>
      <c r="AM44" s="550"/>
      <c r="AN44" s="550"/>
      <c r="AO44" s="550"/>
      <c r="AP44" s="550"/>
      <c r="AQ44" s="550"/>
      <c r="AR44" s="550"/>
      <c r="AS44" s="550"/>
      <c r="AT44" s="550"/>
      <c r="AU44" s="550"/>
      <c r="AV44" s="550"/>
      <c r="AW44" s="550"/>
      <c r="AX44" s="550"/>
      <c r="AY44" s="550"/>
      <c r="AZ44" s="550"/>
      <c r="BA44" s="550"/>
      <c r="BB44" s="550"/>
      <c r="BC44" s="550"/>
      <c r="BD44" s="550"/>
      <c r="BE44" s="550"/>
      <c r="BF44" s="550"/>
      <c r="BG44" s="550"/>
      <c r="BH44" s="550"/>
      <c r="BI44" s="550"/>
      <c r="BJ44" s="550"/>
      <c r="BK44" s="550"/>
      <c r="BL44" s="550"/>
      <c r="BM44" s="550"/>
      <c r="BN44" s="550"/>
      <c r="BO44" s="550"/>
      <c r="BP44" s="550"/>
      <c r="BQ44" s="550"/>
      <c r="BR44" s="550"/>
      <c r="BS44" s="550"/>
      <c r="BT44" s="550"/>
      <c r="BU44" s="550"/>
      <c r="BV44" s="550"/>
      <c r="BW44" s="550"/>
      <c r="BX44" s="550"/>
      <c r="BY44" s="550"/>
      <c r="BZ44" s="550"/>
      <c r="CA44" s="550"/>
      <c r="CB44" s="550"/>
      <c r="CC44" s="550"/>
      <c r="CD44" s="550"/>
      <c r="CE44" s="550"/>
      <c r="CF44" s="550"/>
      <c r="CG44" s="550"/>
      <c r="CH44" s="550"/>
      <c r="CI44" s="550"/>
      <c r="CJ44" s="550"/>
      <c r="CK44" s="550"/>
      <c r="CL44" s="550"/>
      <c r="CM44" s="550"/>
      <c r="CN44" s="550"/>
      <c r="CO44" s="550"/>
      <c r="CP44" s="550"/>
      <c r="CQ44" s="550"/>
      <c r="CR44" s="550"/>
      <c r="CS44" s="550"/>
      <c r="CT44" s="550"/>
      <c r="CU44" s="550"/>
      <c r="CV44" s="550"/>
      <c r="CW44" s="550"/>
      <c r="CX44" s="550"/>
      <c r="CY44" s="550"/>
      <c r="CZ44" s="980"/>
      <c r="DA44" s="550"/>
      <c r="DB44" s="550"/>
      <c r="DC44" s="550"/>
      <c r="DD44" s="550"/>
      <c r="DE44" s="550"/>
      <c r="DF44" s="550"/>
      <c r="DG44" s="550"/>
      <c r="DH44" s="550"/>
      <c r="DI44" s="550"/>
      <c r="DJ44" s="550"/>
      <c r="DK44" s="550"/>
      <c r="DL44" s="550"/>
      <c r="DM44" s="550"/>
      <c r="DN44" s="550"/>
      <c r="DO44" s="550"/>
      <c r="DP44" s="550"/>
      <c r="DQ44" s="550"/>
      <c r="DR44" s="550"/>
      <c r="DS44" s="550"/>
      <c r="DT44" s="550"/>
      <c r="DU44" s="550"/>
      <c r="DV44" s="550"/>
      <c r="DW44" s="550"/>
      <c r="DX44" s="550"/>
      <c r="DY44" s="550"/>
      <c r="DZ44" s="550"/>
      <c r="EA44" s="550"/>
      <c r="EB44" s="550"/>
      <c r="EC44" s="550"/>
      <c r="ED44" s="550"/>
      <c r="EE44" s="550"/>
      <c r="EF44" s="550"/>
      <c r="EG44" s="550"/>
      <c r="EH44" s="550"/>
      <c r="EI44" s="550"/>
      <c r="EJ44" s="550"/>
      <c r="EK44" s="550"/>
      <c r="EL44" s="550"/>
      <c r="EM44" s="550"/>
      <c r="EN44" s="2704"/>
      <c r="EO44" s="2704"/>
      <c r="EP44" s="2704"/>
      <c r="EQ44" s="2704"/>
      <c r="ER44" s="2704"/>
      <c r="ES44" s="2704"/>
      <c r="ET44" s="2704"/>
      <c r="EU44" s="2704"/>
      <c r="EV44" s="2704"/>
      <c r="EW44" s="441"/>
    </row>
    <row r="45" spans="1:158" s="442" customFormat="1" ht="15.75" hidden="1" customHeight="1" outlineLevel="2">
      <c r="A45" s="4639" t="s">
        <v>2409</v>
      </c>
      <c r="B45" s="4640"/>
      <c r="C45" s="4640"/>
      <c r="D45" s="4641"/>
      <c r="E45" s="5246" t="s">
        <v>1221</v>
      </c>
      <c r="F45" s="5246"/>
      <c r="G45" s="553"/>
      <c r="H45" s="553"/>
      <c r="I45" s="553"/>
      <c r="J45" s="3455"/>
      <c r="K45" s="3464"/>
      <c r="L45" s="3464"/>
      <c r="M45" s="3464"/>
      <c r="N45" s="3464"/>
      <c r="O45" s="3467"/>
      <c r="P45" s="3467"/>
      <c r="Q45" s="3460">
        <f>P45</f>
        <v>0</v>
      </c>
      <c r="R45" s="3451">
        <f>O45</f>
        <v>0</v>
      </c>
      <c r="S45" s="3451">
        <f>R45</f>
        <v>0</v>
      </c>
      <c r="T45" s="3451">
        <f>R45</f>
        <v>0</v>
      </c>
      <c r="U45" s="564">
        <f>P45</f>
        <v>0</v>
      </c>
      <c r="V45" s="564">
        <f>U45</f>
        <v>0</v>
      </c>
      <c r="W45" s="564"/>
      <c r="X45" s="564">
        <f t="shared" ref="X45:Z47" si="3">R45</f>
        <v>0</v>
      </c>
      <c r="Y45" s="564">
        <f t="shared" si="3"/>
        <v>0</v>
      </c>
      <c r="Z45" s="564">
        <f t="shared" si="3"/>
        <v>0</v>
      </c>
      <c r="AA45" s="564">
        <f t="shared" ref="AA45:AB47" si="4">Z45</f>
        <v>0</v>
      </c>
      <c r="AB45" s="910">
        <f t="shared" si="4"/>
        <v>0</v>
      </c>
      <c r="AC45" s="910">
        <f>AA45</f>
        <v>0</v>
      </c>
      <c r="AD45" s="554"/>
      <c r="AE45" s="554"/>
      <c r="AF45" s="564">
        <f t="shared" ref="AF45:AG47" si="5">X45</f>
        <v>0</v>
      </c>
      <c r="AG45" s="564">
        <f t="shared" si="5"/>
        <v>0</v>
      </c>
      <c r="AH45" s="564">
        <f t="shared" ref="AH45:AI47" si="6">AB45</f>
        <v>0</v>
      </c>
      <c r="AI45" s="564">
        <f t="shared" si="6"/>
        <v>0</v>
      </c>
      <c r="AJ45" s="552"/>
      <c r="AK45" s="554"/>
      <c r="AL45" s="910">
        <f>X45</f>
        <v>0</v>
      </c>
      <c r="AM45" s="910">
        <f t="shared" ref="AM45:AQ47" si="7">Y45</f>
        <v>0</v>
      </c>
      <c r="AN45" s="910">
        <f t="shared" si="7"/>
        <v>0</v>
      </c>
      <c r="AO45" s="910">
        <f t="shared" si="7"/>
        <v>0</v>
      </c>
      <c r="AP45" s="910">
        <f t="shared" si="7"/>
        <v>0</v>
      </c>
      <c r="AQ45" s="910">
        <f t="shared" si="7"/>
        <v>0</v>
      </c>
      <c r="AR45" s="554"/>
      <c r="AS45" s="554"/>
      <c r="AT45" s="554"/>
      <c r="AU45" s="554"/>
      <c r="AV45" s="554"/>
      <c r="AW45" s="554"/>
      <c r="AX45" s="554"/>
      <c r="AY45" s="554"/>
      <c r="AZ45" s="554"/>
      <c r="BA45" s="554"/>
      <c r="BB45" s="554"/>
      <c r="BC45" s="554"/>
      <c r="BD45" s="554"/>
      <c r="BE45" s="554"/>
      <c r="BF45" s="554"/>
      <c r="BG45" s="554"/>
      <c r="BH45" s="552"/>
      <c r="BI45" s="552"/>
      <c r="BJ45" s="554"/>
      <c r="BK45" s="552"/>
      <c r="BL45" s="554"/>
      <c r="BM45" s="554"/>
      <c r="BN45" s="554"/>
      <c r="BO45" s="564"/>
      <c r="BP45" s="564"/>
      <c r="BQ45" s="554"/>
      <c r="BR45" s="554"/>
      <c r="BS45" s="554"/>
      <c r="BT45" s="552"/>
      <c r="BU45" s="554"/>
      <c r="BV45" s="554"/>
      <c r="BW45" s="554"/>
      <c r="BX45" s="554"/>
      <c r="BY45" s="554"/>
      <c r="BZ45" s="554"/>
      <c r="CA45" s="554"/>
      <c r="CB45" s="554"/>
      <c r="CC45" s="554"/>
      <c r="CD45" s="554"/>
      <c r="CE45" s="554"/>
      <c r="CF45" s="552"/>
      <c r="CG45" s="552"/>
      <c r="CH45" s="552"/>
      <c r="CI45" s="552"/>
      <c r="CJ45" s="552"/>
      <c r="CK45" s="552"/>
      <c r="CL45" s="554"/>
      <c r="CM45" s="554"/>
      <c r="CN45" s="554"/>
      <c r="CO45" s="554"/>
      <c r="CP45" s="552"/>
      <c r="CQ45" s="552"/>
      <c r="CR45" s="552"/>
      <c r="CS45" s="552"/>
      <c r="CT45" s="552"/>
      <c r="CU45" s="552"/>
      <c r="CV45" s="552"/>
      <c r="CW45" s="552"/>
      <c r="CX45" s="552"/>
      <c r="CY45" s="552"/>
      <c r="CZ45" s="1097"/>
      <c r="DA45" s="554"/>
      <c r="DB45" s="554"/>
      <c r="DC45" s="554"/>
      <c r="DD45" s="554"/>
      <c r="DE45" s="554"/>
      <c r="DF45" s="554"/>
      <c r="DG45" s="554"/>
      <c r="DH45" s="554"/>
      <c r="DI45" s="554"/>
      <c r="DJ45" s="554"/>
      <c r="DK45" s="554"/>
      <c r="DL45" s="554"/>
      <c r="DM45" s="554"/>
      <c r="DN45" s="554"/>
      <c r="DO45" s="554"/>
      <c r="DP45" s="554"/>
      <c r="DQ45" s="554"/>
      <c r="DR45" s="554"/>
      <c r="DS45" s="554"/>
      <c r="DT45" s="554"/>
      <c r="DU45" s="554"/>
      <c r="DV45" s="554"/>
      <c r="DW45" s="554"/>
      <c r="DX45" s="554"/>
      <c r="DY45" s="554"/>
      <c r="DZ45" s="554"/>
      <c r="EA45" s="554"/>
      <c r="EB45" s="554"/>
      <c r="EC45" s="554"/>
      <c r="ED45" s="554"/>
      <c r="EE45" s="554"/>
      <c r="EF45" s="554"/>
      <c r="EG45" s="554"/>
      <c r="EH45" s="554"/>
      <c r="EI45" s="554"/>
      <c r="EJ45" s="554"/>
      <c r="EK45" s="554"/>
      <c r="EL45" s="910">
        <f>O45</f>
        <v>0</v>
      </c>
      <c r="EM45" s="910">
        <f>EL45</f>
        <v>0</v>
      </c>
      <c r="EN45" s="2705">
        <f>EL45</f>
        <v>0</v>
      </c>
      <c r="EO45" s="2705">
        <f>EL45</f>
        <v>0</v>
      </c>
      <c r="EP45" s="2705">
        <f>P45</f>
        <v>0</v>
      </c>
      <c r="EQ45" s="2705">
        <f>EO45</f>
        <v>0</v>
      </c>
      <c r="ER45" s="2705">
        <f>EO45</f>
        <v>0</v>
      </c>
      <c r="ES45" s="2703"/>
      <c r="ET45" s="2703"/>
      <c r="EU45" s="2703"/>
      <c r="EV45" s="2703"/>
      <c r="EW45" s="441"/>
    </row>
    <row r="46" spans="1:158" s="442" customFormat="1" ht="15.75" hidden="1" outlineLevel="2">
      <c r="A46" s="4642"/>
      <c r="B46" s="4643"/>
      <c r="C46" s="4643"/>
      <c r="D46" s="4644"/>
      <c r="E46" s="5246" t="s">
        <v>1220</v>
      </c>
      <c r="F46" s="5246"/>
      <c r="G46" s="553"/>
      <c r="H46" s="553"/>
      <c r="I46" s="553"/>
      <c r="J46" s="3455"/>
      <c r="K46" s="3464"/>
      <c r="L46" s="3464"/>
      <c r="M46" s="3464"/>
      <c r="N46" s="3464"/>
      <c r="O46" s="3467"/>
      <c r="P46" s="3467"/>
      <c r="Q46" s="3460">
        <f>P46</f>
        <v>0</v>
      </c>
      <c r="R46" s="3451">
        <f>O46</f>
        <v>0</v>
      </c>
      <c r="S46" s="3451">
        <f>R46</f>
        <v>0</v>
      </c>
      <c r="T46" s="3451">
        <f>R46</f>
        <v>0</v>
      </c>
      <c r="U46" s="564">
        <f>P46</f>
        <v>0</v>
      </c>
      <c r="V46" s="564">
        <f>U46</f>
        <v>0</v>
      </c>
      <c r="W46" s="564"/>
      <c r="X46" s="564">
        <f t="shared" si="3"/>
        <v>0</v>
      </c>
      <c r="Y46" s="564">
        <f t="shared" si="3"/>
        <v>0</v>
      </c>
      <c r="Z46" s="564">
        <f t="shared" si="3"/>
        <v>0</v>
      </c>
      <c r="AA46" s="564">
        <f t="shared" si="4"/>
        <v>0</v>
      </c>
      <c r="AB46" s="910">
        <f t="shared" si="4"/>
        <v>0</v>
      </c>
      <c r="AC46" s="910">
        <f>AA46</f>
        <v>0</v>
      </c>
      <c r="AD46" s="554"/>
      <c r="AE46" s="554"/>
      <c r="AF46" s="564">
        <f t="shared" si="5"/>
        <v>0</v>
      </c>
      <c r="AG46" s="564">
        <f t="shared" si="5"/>
        <v>0</v>
      </c>
      <c r="AH46" s="564">
        <f t="shared" si="6"/>
        <v>0</v>
      </c>
      <c r="AI46" s="564">
        <f t="shared" si="6"/>
        <v>0</v>
      </c>
      <c r="AJ46" s="552"/>
      <c r="AK46" s="554"/>
      <c r="AL46" s="910">
        <f>X46</f>
        <v>0</v>
      </c>
      <c r="AM46" s="910">
        <f t="shared" si="7"/>
        <v>0</v>
      </c>
      <c r="AN46" s="910">
        <f t="shared" si="7"/>
        <v>0</v>
      </c>
      <c r="AO46" s="910">
        <f t="shared" si="7"/>
        <v>0</v>
      </c>
      <c r="AP46" s="910">
        <f t="shared" si="7"/>
        <v>0</v>
      </c>
      <c r="AQ46" s="910">
        <f t="shared" si="7"/>
        <v>0</v>
      </c>
      <c r="AR46" s="554"/>
      <c r="AS46" s="554"/>
      <c r="AT46" s="554"/>
      <c r="AU46" s="554"/>
      <c r="AV46" s="554"/>
      <c r="AW46" s="554"/>
      <c r="AX46" s="554"/>
      <c r="AY46" s="554"/>
      <c r="AZ46" s="554"/>
      <c r="BA46" s="554"/>
      <c r="BB46" s="554"/>
      <c r="BC46" s="554"/>
      <c r="BD46" s="554"/>
      <c r="BE46" s="554"/>
      <c r="BF46" s="554"/>
      <c r="BG46" s="554"/>
      <c r="BH46" s="552"/>
      <c r="BI46" s="552"/>
      <c r="BJ46" s="554"/>
      <c r="BK46" s="552"/>
      <c r="BL46" s="554"/>
      <c r="BM46" s="554"/>
      <c r="BN46" s="554"/>
      <c r="BO46" s="564"/>
      <c r="BP46" s="564"/>
      <c r="BQ46" s="554"/>
      <c r="BR46" s="554"/>
      <c r="BS46" s="554"/>
      <c r="BT46" s="552"/>
      <c r="BU46" s="554"/>
      <c r="BV46" s="554"/>
      <c r="BW46" s="554"/>
      <c r="BX46" s="554"/>
      <c r="BY46" s="554"/>
      <c r="BZ46" s="554"/>
      <c r="CA46" s="554"/>
      <c r="CB46" s="554"/>
      <c r="CC46" s="554"/>
      <c r="CD46" s="554"/>
      <c r="CE46" s="554"/>
      <c r="CF46" s="552"/>
      <c r="CG46" s="552"/>
      <c r="CH46" s="552"/>
      <c r="CI46" s="552"/>
      <c r="CJ46" s="552"/>
      <c r="CK46" s="552"/>
      <c r="CL46" s="554"/>
      <c r="CM46" s="554"/>
      <c r="CN46" s="554"/>
      <c r="CO46" s="554"/>
      <c r="CP46" s="552"/>
      <c r="CQ46" s="552"/>
      <c r="CR46" s="552"/>
      <c r="CS46" s="552"/>
      <c r="CT46" s="552"/>
      <c r="CU46" s="552"/>
      <c r="CV46" s="552"/>
      <c r="CW46" s="552"/>
      <c r="CX46" s="552"/>
      <c r="CY46" s="552"/>
      <c r="CZ46" s="1097"/>
      <c r="DA46" s="554"/>
      <c r="DB46" s="554"/>
      <c r="DC46" s="554"/>
      <c r="DD46" s="554"/>
      <c r="DE46" s="554"/>
      <c r="DF46" s="554"/>
      <c r="DG46" s="554"/>
      <c r="DH46" s="554"/>
      <c r="DI46" s="554"/>
      <c r="DJ46" s="554"/>
      <c r="DK46" s="554"/>
      <c r="DL46" s="554"/>
      <c r="DM46" s="554"/>
      <c r="DN46" s="554"/>
      <c r="DO46" s="554"/>
      <c r="DP46" s="554"/>
      <c r="DQ46" s="554"/>
      <c r="DR46" s="554"/>
      <c r="DS46" s="554"/>
      <c r="DT46" s="554"/>
      <c r="DU46" s="554"/>
      <c r="DV46" s="554"/>
      <c r="DW46" s="554"/>
      <c r="DX46" s="554"/>
      <c r="DY46" s="554"/>
      <c r="DZ46" s="554"/>
      <c r="EA46" s="554"/>
      <c r="EB46" s="554"/>
      <c r="EC46" s="554"/>
      <c r="ED46" s="554"/>
      <c r="EE46" s="554"/>
      <c r="EF46" s="554"/>
      <c r="EG46" s="554"/>
      <c r="EH46" s="554"/>
      <c r="EI46" s="554"/>
      <c r="EJ46" s="554"/>
      <c r="EK46" s="554"/>
      <c r="EL46" s="910">
        <f>O46</f>
        <v>0</v>
      </c>
      <c r="EM46" s="910">
        <f>EL46</f>
        <v>0</v>
      </c>
      <c r="EN46" s="2705">
        <f>EL46</f>
        <v>0</v>
      </c>
      <c r="EO46" s="2705">
        <f>EL46</f>
        <v>0</v>
      </c>
      <c r="EP46" s="2705">
        <f>P46</f>
        <v>0</v>
      </c>
      <c r="EQ46" s="2705">
        <f>EO46</f>
        <v>0</v>
      </c>
      <c r="ER46" s="2705">
        <f>EO46</f>
        <v>0</v>
      </c>
      <c r="ES46" s="2703"/>
      <c r="ET46" s="2703"/>
      <c r="EU46" s="2703"/>
      <c r="EV46" s="2703"/>
      <c r="EW46" s="441"/>
    </row>
    <row r="47" spans="1:158" s="442" customFormat="1" ht="15.75" hidden="1" outlineLevel="2">
      <c r="A47" s="4645"/>
      <c r="B47" s="4646"/>
      <c r="C47" s="4646"/>
      <c r="D47" s="4647"/>
      <c r="E47" s="5246" t="s">
        <v>1222</v>
      </c>
      <c r="F47" s="5246"/>
      <c r="G47" s="553"/>
      <c r="H47" s="553"/>
      <c r="I47" s="553"/>
      <c r="J47" s="3455"/>
      <c r="K47" s="3464"/>
      <c r="L47" s="3464"/>
      <c r="M47" s="3464"/>
      <c r="N47" s="3464"/>
      <c r="O47" s="3467"/>
      <c r="P47" s="3467"/>
      <c r="Q47" s="3460">
        <f>P47</f>
        <v>0</v>
      </c>
      <c r="R47" s="3451">
        <f>O47</f>
        <v>0</v>
      </c>
      <c r="S47" s="3451">
        <f>R47</f>
        <v>0</v>
      </c>
      <c r="T47" s="3451">
        <f>R47</f>
        <v>0</v>
      </c>
      <c r="U47" s="564">
        <f>P47</f>
        <v>0</v>
      </c>
      <c r="V47" s="564">
        <f>U47</f>
        <v>0</v>
      </c>
      <c r="W47" s="564"/>
      <c r="X47" s="564">
        <f t="shared" si="3"/>
        <v>0</v>
      </c>
      <c r="Y47" s="564">
        <f t="shared" si="3"/>
        <v>0</v>
      </c>
      <c r="Z47" s="564">
        <f t="shared" si="3"/>
        <v>0</v>
      </c>
      <c r="AA47" s="564">
        <f t="shared" si="4"/>
        <v>0</v>
      </c>
      <c r="AB47" s="910">
        <f t="shared" si="4"/>
        <v>0</v>
      </c>
      <c r="AC47" s="910">
        <f>AA47</f>
        <v>0</v>
      </c>
      <c r="AD47" s="554"/>
      <c r="AE47" s="554"/>
      <c r="AF47" s="564">
        <f t="shared" si="5"/>
        <v>0</v>
      </c>
      <c r="AG47" s="564">
        <f t="shared" si="5"/>
        <v>0</v>
      </c>
      <c r="AH47" s="564">
        <f t="shared" si="6"/>
        <v>0</v>
      </c>
      <c r="AI47" s="564">
        <f t="shared" si="6"/>
        <v>0</v>
      </c>
      <c r="AJ47" s="552"/>
      <c r="AK47" s="554"/>
      <c r="AL47" s="910">
        <f>X47</f>
        <v>0</v>
      </c>
      <c r="AM47" s="910">
        <f t="shared" si="7"/>
        <v>0</v>
      </c>
      <c r="AN47" s="910">
        <f t="shared" si="7"/>
        <v>0</v>
      </c>
      <c r="AO47" s="910">
        <f t="shared" si="7"/>
        <v>0</v>
      </c>
      <c r="AP47" s="910">
        <f t="shared" si="7"/>
        <v>0</v>
      </c>
      <c r="AQ47" s="910">
        <f t="shared" si="7"/>
        <v>0</v>
      </c>
      <c r="AR47" s="554"/>
      <c r="AS47" s="554"/>
      <c r="AT47" s="554"/>
      <c r="AU47" s="554"/>
      <c r="AV47" s="554"/>
      <c r="AW47" s="554"/>
      <c r="AX47" s="554"/>
      <c r="AY47" s="554"/>
      <c r="AZ47" s="554"/>
      <c r="BA47" s="554"/>
      <c r="BB47" s="554"/>
      <c r="BC47" s="554"/>
      <c r="BD47" s="554"/>
      <c r="BE47" s="554"/>
      <c r="BF47" s="554"/>
      <c r="BG47" s="554"/>
      <c r="BH47" s="552"/>
      <c r="BI47" s="552"/>
      <c r="BJ47" s="554"/>
      <c r="BK47" s="552"/>
      <c r="BL47" s="554"/>
      <c r="BM47" s="554"/>
      <c r="BN47" s="554"/>
      <c r="BO47" s="564"/>
      <c r="BP47" s="564"/>
      <c r="BQ47" s="554"/>
      <c r="BR47" s="554"/>
      <c r="BS47" s="554"/>
      <c r="BT47" s="552"/>
      <c r="BU47" s="554"/>
      <c r="BV47" s="554"/>
      <c r="BW47" s="554"/>
      <c r="BX47" s="554"/>
      <c r="BY47" s="554"/>
      <c r="BZ47" s="554"/>
      <c r="CA47" s="554"/>
      <c r="CB47" s="554"/>
      <c r="CC47" s="554"/>
      <c r="CD47" s="554"/>
      <c r="CE47" s="554"/>
      <c r="CF47" s="552"/>
      <c r="CG47" s="552"/>
      <c r="CH47" s="552"/>
      <c r="CI47" s="552"/>
      <c r="CJ47" s="552"/>
      <c r="CK47" s="552"/>
      <c r="CL47" s="554"/>
      <c r="CM47" s="554"/>
      <c r="CN47" s="554"/>
      <c r="CO47" s="554"/>
      <c r="CP47" s="552"/>
      <c r="CQ47" s="552"/>
      <c r="CR47" s="552"/>
      <c r="CS47" s="552"/>
      <c r="CT47" s="552"/>
      <c r="CU47" s="552"/>
      <c r="CV47" s="552"/>
      <c r="CW47" s="552"/>
      <c r="CX47" s="552"/>
      <c r="CY47" s="552"/>
      <c r="CZ47" s="1097"/>
      <c r="DA47" s="554"/>
      <c r="DB47" s="554"/>
      <c r="DC47" s="554"/>
      <c r="DD47" s="554"/>
      <c r="DE47" s="554"/>
      <c r="DF47" s="554"/>
      <c r="DG47" s="554"/>
      <c r="DH47" s="554"/>
      <c r="DI47" s="554"/>
      <c r="DJ47" s="554"/>
      <c r="DK47" s="554"/>
      <c r="DL47" s="554"/>
      <c r="DM47" s="554"/>
      <c r="DN47" s="554"/>
      <c r="DO47" s="554"/>
      <c r="DP47" s="554"/>
      <c r="DQ47" s="554"/>
      <c r="DR47" s="554"/>
      <c r="DS47" s="554"/>
      <c r="DT47" s="554"/>
      <c r="DU47" s="554"/>
      <c r="DV47" s="554"/>
      <c r="DW47" s="554"/>
      <c r="DX47" s="554"/>
      <c r="DY47" s="554"/>
      <c r="DZ47" s="554"/>
      <c r="EA47" s="554"/>
      <c r="EB47" s="554"/>
      <c r="EC47" s="554"/>
      <c r="ED47" s="554"/>
      <c r="EE47" s="554"/>
      <c r="EF47" s="554"/>
      <c r="EG47" s="554"/>
      <c r="EH47" s="554"/>
      <c r="EI47" s="554"/>
      <c r="EJ47" s="554"/>
      <c r="EK47" s="554"/>
      <c r="EL47" s="910">
        <f>O47</f>
        <v>0</v>
      </c>
      <c r="EM47" s="910">
        <f>EL47</f>
        <v>0</v>
      </c>
      <c r="EN47" s="2705">
        <f>EL47</f>
        <v>0</v>
      </c>
      <c r="EO47" s="2705">
        <f>EL47</f>
        <v>0</v>
      </c>
      <c r="EP47" s="2705">
        <f>P47</f>
        <v>0</v>
      </c>
      <c r="EQ47" s="2705">
        <f>EO47</f>
        <v>0</v>
      </c>
      <c r="ER47" s="2705">
        <f>EO47</f>
        <v>0</v>
      </c>
      <c r="ES47" s="2703"/>
      <c r="ET47" s="2703"/>
      <c r="EU47" s="2703"/>
      <c r="EV47" s="2703"/>
      <c r="EW47" s="441"/>
    </row>
    <row r="48" spans="1:158" s="442" customFormat="1" ht="15.75" hidden="1" outlineLevel="2">
      <c r="A48" s="4619" t="s">
        <v>2410</v>
      </c>
      <c r="B48" s="4619"/>
      <c r="C48" s="4619"/>
      <c r="D48" s="4619"/>
      <c r="E48" s="4619"/>
      <c r="F48" s="4619"/>
      <c r="G48" s="551">
        <v>0</v>
      </c>
      <c r="H48" s="551">
        <v>0</v>
      </c>
      <c r="I48" s="551">
        <v>0</v>
      </c>
      <c r="J48" s="3456">
        <v>0</v>
      </c>
      <c r="K48" s="3466"/>
      <c r="L48" s="3466"/>
      <c r="M48" s="3466"/>
      <c r="N48" s="3466"/>
      <c r="O48" s="3468"/>
      <c r="P48" s="3468"/>
      <c r="Q48" s="3461">
        <f>P48</f>
        <v>0</v>
      </c>
      <c r="R48" s="3452">
        <f>O48</f>
        <v>0</v>
      </c>
      <c r="S48" s="3452">
        <f>R48</f>
        <v>0</v>
      </c>
      <c r="T48" s="3452">
        <f>R48</f>
        <v>0</v>
      </c>
      <c r="U48" s="604">
        <v>2500</v>
      </c>
      <c r="V48" s="604">
        <v>2500</v>
      </c>
      <c r="W48" s="604"/>
      <c r="X48" s="603"/>
      <c r="Y48" s="603"/>
      <c r="Z48" s="603"/>
      <c r="AA48" s="603"/>
      <c r="AB48" s="603"/>
      <c r="AC48" s="603"/>
      <c r="AD48" s="603"/>
      <c r="AE48" s="603"/>
      <c r="AF48" s="602"/>
      <c r="AG48" s="602"/>
      <c r="AH48" s="602"/>
      <c r="AI48" s="602"/>
      <c r="AJ48" s="602"/>
      <c r="AK48" s="603"/>
      <c r="AL48" s="603"/>
      <c r="AM48" s="603"/>
      <c r="AN48" s="603"/>
      <c r="AO48" s="603"/>
      <c r="AP48" s="603"/>
      <c r="AQ48" s="603"/>
      <c r="AR48" s="603"/>
      <c r="AS48" s="603"/>
      <c r="AT48" s="603"/>
      <c r="AU48" s="603"/>
      <c r="AV48" s="603"/>
      <c r="AW48" s="603"/>
      <c r="AX48" s="603"/>
      <c r="AY48" s="603"/>
      <c r="AZ48" s="603"/>
      <c r="BA48" s="603"/>
      <c r="BB48" s="603"/>
      <c r="BC48" s="603"/>
      <c r="BD48" s="603"/>
      <c r="BE48" s="603"/>
      <c r="BF48" s="603"/>
      <c r="BG48" s="603"/>
      <c r="BH48" s="602"/>
      <c r="BI48" s="602"/>
      <c r="BJ48" s="603"/>
      <c r="BK48" s="602"/>
      <c r="BL48" s="603"/>
      <c r="BM48" s="603"/>
      <c r="BN48" s="603"/>
      <c r="BO48" s="604"/>
      <c r="BP48" s="604"/>
      <c r="BQ48" s="603"/>
      <c r="BR48" s="603"/>
      <c r="BS48" s="603"/>
      <c r="BT48" s="602"/>
      <c r="BU48" s="603"/>
      <c r="BV48" s="603"/>
      <c r="BW48" s="603"/>
      <c r="BX48" s="603"/>
      <c r="BY48" s="603"/>
      <c r="BZ48" s="603"/>
      <c r="CA48" s="603"/>
      <c r="CB48" s="603"/>
      <c r="CC48" s="603"/>
      <c r="CD48" s="603"/>
      <c r="CE48" s="603"/>
      <c r="CF48" s="602"/>
      <c r="CG48" s="602"/>
      <c r="CH48" s="602"/>
      <c r="CI48" s="602"/>
      <c r="CJ48" s="602"/>
      <c r="CK48" s="602"/>
      <c r="CL48" s="603"/>
      <c r="CM48" s="603"/>
      <c r="CN48" s="603"/>
      <c r="CO48" s="603"/>
      <c r="CP48" s="602"/>
      <c r="CQ48" s="602"/>
      <c r="CR48" s="602"/>
      <c r="CS48" s="602"/>
      <c r="CT48" s="602"/>
      <c r="CU48" s="602"/>
      <c r="CV48" s="602"/>
      <c r="CW48" s="602"/>
      <c r="CX48" s="602"/>
      <c r="CY48" s="602"/>
      <c r="CZ48" s="1098"/>
      <c r="DA48" s="603"/>
      <c r="DB48" s="603"/>
      <c r="DC48" s="603"/>
      <c r="DD48" s="603"/>
      <c r="DE48" s="603"/>
      <c r="DF48" s="603"/>
      <c r="DG48" s="603"/>
      <c r="DH48" s="603"/>
      <c r="DI48" s="603"/>
      <c r="DJ48" s="603"/>
      <c r="DK48" s="603"/>
      <c r="DL48" s="603"/>
      <c r="DM48" s="603"/>
      <c r="DN48" s="603"/>
      <c r="DO48" s="603"/>
      <c r="DP48" s="603"/>
      <c r="DQ48" s="603"/>
      <c r="DR48" s="603"/>
      <c r="DS48" s="603"/>
      <c r="DT48" s="603"/>
      <c r="DU48" s="603"/>
      <c r="DV48" s="603"/>
      <c r="DW48" s="603"/>
      <c r="DX48" s="603"/>
      <c r="DY48" s="603"/>
      <c r="DZ48" s="603"/>
      <c r="EA48" s="603"/>
      <c r="EB48" s="603"/>
      <c r="EC48" s="603"/>
      <c r="ED48" s="603"/>
      <c r="EE48" s="603"/>
      <c r="EF48" s="603"/>
      <c r="EG48" s="603"/>
      <c r="EH48" s="603"/>
      <c r="EI48" s="603"/>
      <c r="EJ48" s="603"/>
      <c r="EK48" s="603"/>
      <c r="EL48" s="911">
        <f>O48</f>
        <v>0</v>
      </c>
      <c r="EM48" s="911">
        <f>EL48</f>
        <v>0</v>
      </c>
      <c r="EN48" s="2706">
        <f>EL48</f>
        <v>0</v>
      </c>
      <c r="EO48" s="2706">
        <f>EL48</f>
        <v>0</v>
      </c>
      <c r="EP48" s="2706">
        <f>P48</f>
        <v>0</v>
      </c>
      <c r="EQ48" s="2706">
        <f>EO48</f>
        <v>0</v>
      </c>
      <c r="ER48" s="2706">
        <f>EO48</f>
        <v>0</v>
      </c>
      <c r="ES48" s="2704"/>
      <c r="ET48" s="2704"/>
      <c r="EU48" s="2704"/>
      <c r="EV48" s="2704"/>
      <c r="EW48" s="441"/>
    </row>
    <row r="49" spans="1:153" s="242" customFormat="1" ht="15" hidden="1" customHeight="1" outlineLevel="2">
      <c r="A49" s="441"/>
      <c r="B49" s="250"/>
      <c r="C49" s="441"/>
      <c r="D49" s="441"/>
      <c r="E49" s="441"/>
      <c r="F49" s="441"/>
      <c r="G49" s="441"/>
      <c r="H49" s="712"/>
      <c r="I49" s="712"/>
      <c r="J49" s="441"/>
      <c r="K49" s="3444"/>
      <c r="L49" s="3444"/>
      <c r="M49" s="3444"/>
      <c r="N49" s="3444"/>
      <c r="O49" s="3444"/>
      <c r="P49" s="3444"/>
      <c r="Q49" s="3444"/>
      <c r="R49" s="3444"/>
      <c r="S49" s="3444"/>
      <c r="T49" s="3444"/>
      <c r="BI49" s="694"/>
      <c r="BJ49" s="694"/>
      <c r="BK49" s="694"/>
      <c r="BL49" s="694"/>
      <c r="BM49" s="694"/>
      <c r="BN49" s="694"/>
      <c r="BO49" s="694"/>
      <c r="BP49" s="694"/>
      <c r="BQ49" s="694"/>
      <c r="BR49" s="694"/>
      <c r="BS49" s="694"/>
      <c r="BT49" s="694"/>
      <c r="BU49" s="694"/>
      <c r="BV49" s="694"/>
      <c r="BW49" s="694"/>
      <c r="BX49" s="694"/>
      <c r="BY49" s="694"/>
      <c r="BZ49" s="694"/>
      <c r="CA49" s="694"/>
      <c r="CB49" s="694"/>
      <c r="CC49" s="694"/>
      <c r="CD49" s="694"/>
      <c r="CE49" s="694"/>
      <c r="CF49" s="694"/>
      <c r="CG49" s="694"/>
      <c r="CH49" s="694"/>
      <c r="CI49" s="694"/>
      <c r="CJ49" s="694"/>
      <c r="CK49" s="694"/>
      <c r="CW49" s="694"/>
      <c r="CX49" s="694"/>
      <c r="CY49" s="694"/>
      <c r="CZ49" s="694"/>
      <c r="DA49" s="694"/>
      <c r="DB49" s="694"/>
      <c r="DC49" s="694"/>
      <c r="DD49" s="694"/>
      <c r="DE49" s="694"/>
      <c r="EG49" s="694"/>
      <c r="EH49" s="694"/>
      <c r="EI49" s="694"/>
      <c r="EN49" s="441"/>
      <c r="EO49" s="441"/>
      <c r="EP49" s="441"/>
      <c r="EQ49" s="441"/>
      <c r="ER49" s="441"/>
      <c r="ES49" s="441"/>
      <c r="ET49" s="441"/>
      <c r="EU49" s="441"/>
      <c r="EV49" s="441"/>
      <c r="EW49" s="441"/>
    </row>
    <row r="50" spans="1:153" s="25" customFormat="1" ht="15" hidden="1" customHeight="1" outlineLevel="1">
      <c r="A50" s="895" t="s">
        <v>1238</v>
      </c>
      <c r="B50" s="5231" t="s">
        <v>1305</v>
      </c>
      <c r="C50" s="5232"/>
      <c r="D50" s="896"/>
      <c r="E50" s="896"/>
      <c r="F50" s="896"/>
      <c r="G50" s="242"/>
      <c r="H50" s="605"/>
      <c r="I50" s="242"/>
      <c r="J50" s="242"/>
      <c r="K50" s="3444"/>
      <c r="L50" s="3444"/>
      <c r="M50" s="3444"/>
      <c r="N50" s="3444"/>
      <c r="O50" s="3444"/>
      <c r="P50" s="3444"/>
      <c r="Q50" s="3444"/>
      <c r="R50" s="3444"/>
      <c r="S50" s="3444"/>
      <c r="T50" s="3444"/>
      <c r="U50" s="242"/>
      <c r="V50" s="242"/>
      <c r="W50" s="242"/>
      <c r="X50" s="242"/>
      <c r="Y50" s="242"/>
      <c r="Z50" s="242"/>
      <c r="AA50" s="242"/>
      <c r="AB50" s="242"/>
      <c r="AC50" s="242"/>
      <c r="AD50" s="242"/>
      <c r="AE50" s="242"/>
      <c r="AF50" s="242"/>
      <c r="AG50" s="242"/>
      <c r="AH50" s="242"/>
      <c r="AI50" s="242"/>
      <c r="AJ50" s="242"/>
      <c r="AL50" s="242"/>
      <c r="AM50" s="242"/>
      <c r="AN50" s="242"/>
      <c r="AO50" s="242"/>
      <c r="AP50" s="242"/>
      <c r="AQ50" s="242"/>
      <c r="AR50" s="242"/>
      <c r="AS50" s="242"/>
      <c r="AT50" s="242"/>
      <c r="AU50" s="242"/>
      <c r="AV50" s="242"/>
      <c r="AW50" s="242"/>
      <c r="AX50" s="242"/>
      <c r="AY50" s="242"/>
      <c r="AZ50" s="242"/>
      <c r="BA50" s="242"/>
      <c r="BB50" s="242"/>
      <c r="BC50" s="242"/>
      <c r="BD50" s="242"/>
      <c r="BE50" s="242"/>
      <c r="BF50" s="242"/>
      <c r="BG50" s="242"/>
      <c r="BH50" s="242"/>
      <c r="BI50" s="242"/>
      <c r="BJ50" s="242"/>
      <c r="BK50" s="242"/>
      <c r="BL50" s="242"/>
      <c r="BM50" s="242"/>
      <c r="BN50" s="242"/>
      <c r="BO50" s="242"/>
      <c r="BP50" s="242"/>
      <c r="BQ50" s="242"/>
      <c r="BR50" s="242"/>
      <c r="BS50" s="242"/>
      <c r="BT50" s="242"/>
      <c r="BU50" s="242"/>
      <c r="BV50" s="242"/>
      <c r="BW50" s="242"/>
      <c r="BX50" s="242"/>
      <c r="BY50" s="242"/>
      <c r="BZ50" s="242"/>
      <c r="CA50" s="242"/>
      <c r="CB50" s="242"/>
      <c r="CC50" s="242"/>
      <c r="CD50" s="242"/>
      <c r="CE50" s="242"/>
      <c r="CF50" s="242"/>
      <c r="CG50" s="242"/>
      <c r="CH50" s="242"/>
      <c r="CI50" s="242"/>
      <c r="CJ50" s="242"/>
      <c r="CK50" s="242"/>
      <c r="CL50" s="242"/>
      <c r="CM50" s="242"/>
      <c r="CN50" s="242"/>
      <c r="CO50" s="242"/>
      <c r="CP50" s="242"/>
      <c r="CQ50" s="242"/>
      <c r="CR50" s="242"/>
      <c r="CS50" s="242"/>
      <c r="CT50" s="242"/>
      <c r="CU50" s="242"/>
      <c r="CV50" s="242"/>
      <c r="CW50" s="242"/>
      <c r="CX50" s="242"/>
      <c r="CY50" s="242"/>
      <c r="CZ50" s="242"/>
      <c r="DA50" s="242"/>
      <c r="DB50" s="242"/>
      <c r="DC50" s="242"/>
      <c r="DD50" s="242"/>
      <c r="DE50" s="242"/>
      <c r="DF50" s="242"/>
      <c r="DG50" s="242"/>
      <c r="DH50" s="242"/>
      <c r="DI50" s="242"/>
      <c r="DJ50" s="242"/>
      <c r="DK50" s="242"/>
      <c r="DL50" s="242"/>
      <c r="DM50" s="242"/>
      <c r="DN50" s="242"/>
      <c r="DO50" s="242"/>
      <c r="DP50" s="242"/>
      <c r="DQ50" s="242"/>
      <c r="DR50" s="242"/>
      <c r="DS50" s="242"/>
      <c r="DT50" s="242"/>
      <c r="DU50" s="242"/>
      <c r="DV50" s="242"/>
      <c r="DW50" s="242"/>
      <c r="DX50" s="242"/>
      <c r="DY50" s="242"/>
      <c r="DZ50" s="242"/>
      <c r="EA50" s="242"/>
      <c r="EB50" s="242"/>
      <c r="EC50" s="242"/>
      <c r="ED50" s="242"/>
      <c r="EE50" s="242"/>
      <c r="EF50" s="242"/>
      <c r="EG50" s="242"/>
      <c r="EH50" s="242"/>
      <c r="EI50" s="242"/>
      <c r="EJ50" s="242"/>
      <c r="EK50" s="242"/>
      <c r="EL50" s="242"/>
      <c r="EM50" s="242"/>
      <c r="EN50" s="441"/>
      <c r="EO50" s="441"/>
      <c r="EP50" s="441"/>
      <c r="EQ50" s="441"/>
      <c r="ER50" s="441"/>
      <c r="ES50" s="441"/>
      <c r="ET50" s="441"/>
      <c r="EU50" s="441"/>
      <c r="EV50" s="441"/>
      <c r="EW50" s="15"/>
    </row>
    <row r="51" spans="1:153" s="897" customFormat="1" ht="15" hidden="1" customHeight="1" outlineLevel="2">
      <c r="A51" s="914" t="s">
        <v>1234</v>
      </c>
      <c r="B51" s="923">
        <v>44652</v>
      </c>
      <c r="C51" s="923">
        <v>43647</v>
      </c>
      <c r="D51" s="923">
        <v>43648</v>
      </c>
      <c r="E51" s="242"/>
      <c r="F51" s="242"/>
      <c r="G51" s="242"/>
      <c r="H51" s="242"/>
      <c r="I51" s="242"/>
      <c r="J51" s="242"/>
      <c r="K51" s="242"/>
      <c r="L51" s="242"/>
      <c r="M51" s="242"/>
      <c r="N51" s="242"/>
      <c r="O51" s="242"/>
      <c r="P51" s="242"/>
      <c r="Q51" s="242"/>
      <c r="R51" s="242"/>
      <c r="S51" s="242"/>
      <c r="T51" s="242"/>
      <c r="U51" s="242"/>
      <c r="V51" s="242"/>
      <c r="W51" s="242"/>
      <c r="X51" s="242"/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  <c r="AZ51" s="242"/>
      <c r="BA51" s="242"/>
      <c r="BB51" s="242"/>
      <c r="BC51" s="242"/>
      <c r="BD51" s="242"/>
      <c r="BE51" s="242"/>
      <c r="BF51" s="242"/>
      <c r="BG51" s="242"/>
      <c r="BH51" s="242"/>
      <c r="BI51" s="242"/>
      <c r="BJ51" s="242"/>
      <c r="BK51" s="242"/>
      <c r="BL51" s="242"/>
      <c r="BM51" s="242"/>
      <c r="BN51" s="242"/>
      <c r="BO51" s="242"/>
      <c r="BP51" s="242"/>
      <c r="BQ51" s="242"/>
      <c r="BR51" s="242"/>
      <c r="BS51" s="242"/>
      <c r="BT51" s="242"/>
      <c r="BU51" s="242"/>
      <c r="BV51" s="242"/>
      <c r="BW51" s="242"/>
      <c r="BX51" s="242"/>
      <c r="BY51" s="242"/>
      <c r="BZ51" s="242"/>
      <c r="CA51" s="242"/>
      <c r="CB51" s="242"/>
      <c r="CC51" s="242"/>
      <c r="CD51" s="242"/>
      <c r="CE51" s="242"/>
      <c r="CF51" s="242"/>
      <c r="CG51" s="242"/>
      <c r="CH51" s="242"/>
      <c r="CI51" s="242"/>
      <c r="CJ51" s="242"/>
      <c r="CK51" s="242"/>
      <c r="CL51" s="242"/>
      <c r="CM51" s="242"/>
      <c r="CN51" s="242"/>
      <c r="CO51" s="242"/>
      <c r="CP51" s="242"/>
      <c r="CQ51" s="242"/>
      <c r="CR51" s="242"/>
      <c r="CS51" s="242"/>
      <c r="CT51" s="242"/>
      <c r="CU51" s="242"/>
      <c r="CV51" s="242"/>
      <c r="CW51" s="242"/>
      <c r="CX51" s="242"/>
      <c r="CY51" s="242"/>
      <c r="CZ51" s="242"/>
      <c r="DA51" s="242"/>
      <c r="DB51" s="242"/>
      <c r="DC51" s="242"/>
      <c r="DD51" s="242"/>
      <c r="DE51" s="242"/>
      <c r="DF51" s="242"/>
      <c r="DG51" s="242"/>
      <c r="DH51" s="242"/>
      <c r="DI51" s="242"/>
      <c r="DJ51" s="242"/>
      <c r="DK51" s="242"/>
      <c r="DL51" s="242"/>
      <c r="DM51" s="242"/>
      <c r="DN51" s="242"/>
      <c r="DO51" s="242"/>
      <c r="DP51" s="242"/>
      <c r="DQ51" s="242"/>
      <c r="DR51" s="242"/>
      <c r="DS51" s="242"/>
      <c r="DT51" s="242"/>
      <c r="DU51" s="242"/>
      <c r="DV51" s="242"/>
      <c r="DW51" s="242"/>
      <c r="DX51" s="242"/>
      <c r="DY51" s="242"/>
      <c r="DZ51" s="242"/>
      <c r="EA51" s="242"/>
      <c r="EB51" s="242"/>
      <c r="EC51" s="242"/>
      <c r="ED51" s="242"/>
      <c r="EE51" s="242"/>
      <c r="EF51" s="242"/>
      <c r="EG51" s="242"/>
      <c r="EH51" s="242"/>
      <c r="EI51" s="242"/>
      <c r="EJ51" s="242"/>
      <c r="EK51" s="242"/>
      <c r="EL51" s="242"/>
      <c r="EM51" s="242"/>
      <c r="EN51" s="441"/>
      <c r="EO51" s="441"/>
      <c r="EP51" s="441"/>
      <c r="EQ51" s="441"/>
      <c r="ER51" s="441"/>
      <c r="ES51" s="441"/>
      <c r="ET51" s="441"/>
      <c r="EU51" s="441"/>
      <c r="EV51" s="441"/>
      <c r="EW51" s="15"/>
    </row>
    <row r="52" spans="1:153" s="897" customFormat="1" ht="15" hidden="1" customHeight="1" outlineLevel="2">
      <c r="A52" s="902" t="s">
        <v>1235</v>
      </c>
      <c r="B52" s="916">
        <v>1000</v>
      </c>
      <c r="C52" s="916">
        <v>943.50000000000011</v>
      </c>
      <c r="D52" s="916">
        <v>850</v>
      </c>
      <c r="E52" s="242"/>
      <c r="F52" s="242"/>
      <c r="G52" s="242"/>
      <c r="H52" s="242"/>
      <c r="I52" s="242"/>
      <c r="J52" s="242"/>
      <c r="K52" s="242"/>
      <c r="L52" s="242"/>
      <c r="M52" s="242"/>
      <c r="N52" s="242"/>
      <c r="O52" s="242"/>
      <c r="P52" s="242"/>
      <c r="Q52" s="242"/>
      <c r="R52" s="242"/>
      <c r="S52" s="242"/>
      <c r="T52" s="242"/>
      <c r="U52" s="242"/>
      <c r="V52" s="242"/>
      <c r="W52" s="242"/>
      <c r="X52" s="242"/>
      <c r="Y52" s="242"/>
      <c r="Z52" s="242"/>
      <c r="AA52" s="242"/>
      <c r="AB52" s="242"/>
      <c r="AC52" s="242"/>
      <c r="AD52" s="242"/>
      <c r="AE52" s="242"/>
      <c r="AF52" s="242"/>
      <c r="AG52" s="242"/>
      <c r="AH52" s="242"/>
      <c r="AI52" s="242"/>
      <c r="AJ52" s="242"/>
      <c r="AL52" s="242"/>
      <c r="AM52" s="242"/>
      <c r="AN52" s="242"/>
      <c r="AO52" s="242"/>
      <c r="AP52" s="242"/>
      <c r="AQ52" s="242"/>
      <c r="AR52" s="242"/>
      <c r="AS52" s="242"/>
      <c r="AT52" s="242"/>
      <c r="AU52" s="242"/>
      <c r="AV52" s="242"/>
      <c r="AW52" s="242"/>
      <c r="AX52" s="242"/>
      <c r="AY52" s="242"/>
      <c r="AZ52" s="242"/>
      <c r="BA52" s="242"/>
      <c r="BB52" s="242"/>
      <c r="BC52" s="242"/>
      <c r="BD52" s="242"/>
      <c r="BE52" s="242"/>
      <c r="BF52" s="242"/>
      <c r="BG52" s="242"/>
      <c r="BH52" s="242"/>
      <c r="BI52" s="242"/>
      <c r="BJ52" s="242"/>
      <c r="BK52" s="242"/>
      <c r="BL52" s="242"/>
      <c r="BM52" s="242"/>
      <c r="BN52" s="242"/>
      <c r="BO52" s="242"/>
      <c r="BP52" s="242"/>
      <c r="BQ52" s="242"/>
      <c r="BR52" s="242"/>
      <c r="BS52" s="242"/>
      <c r="BT52" s="242"/>
      <c r="BU52" s="242"/>
      <c r="BV52" s="242"/>
      <c r="BW52" s="242"/>
      <c r="BX52" s="242"/>
      <c r="BY52" s="242"/>
      <c r="BZ52" s="242"/>
      <c r="CA52" s="242"/>
      <c r="CB52" s="242"/>
      <c r="CC52" s="242"/>
      <c r="CD52" s="242"/>
      <c r="CE52" s="242"/>
      <c r="CF52" s="242"/>
      <c r="CG52" s="242"/>
      <c r="CH52" s="242"/>
      <c r="CI52" s="242"/>
      <c r="CJ52" s="242"/>
      <c r="CK52" s="242"/>
      <c r="CL52" s="242"/>
      <c r="CM52" s="242"/>
      <c r="CN52" s="242"/>
      <c r="CO52" s="242"/>
      <c r="CP52" s="242"/>
      <c r="CQ52" s="242"/>
      <c r="CR52" s="242"/>
      <c r="CS52" s="242"/>
      <c r="CT52" s="242"/>
      <c r="CU52" s="242"/>
      <c r="CV52" s="242"/>
      <c r="CW52" s="242"/>
      <c r="CX52" s="242"/>
      <c r="CY52" s="242"/>
      <c r="CZ52" s="242"/>
      <c r="DA52" s="242"/>
      <c r="DB52" s="242"/>
      <c r="DC52" s="242"/>
      <c r="DD52" s="242"/>
      <c r="DE52" s="242"/>
      <c r="DF52" s="242"/>
      <c r="DG52" s="242"/>
      <c r="DH52" s="242"/>
      <c r="DI52" s="242"/>
      <c r="DJ52" s="242"/>
      <c r="DK52" s="242"/>
      <c r="DL52" s="242"/>
      <c r="DM52" s="242"/>
      <c r="DN52" s="242"/>
      <c r="DO52" s="242"/>
      <c r="DP52" s="242"/>
      <c r="DQ52" s="242"/>
      <c r="DR52" s="242"/>
      <c r="DS52" s="242"/>
      <c r="DT52" s="242"/>
      <c r="DU52" s="242"/>
      <c r="DV52" s="242"/>
      <c r="DW52" s="242"/>
      <c r="DX52" s="242"/>
      <c r="DY52" s="242"/>
      <c r="DZ52" s="242"/>
      <c r="EA52" s="242"/>
      <c r="EB52" s="242"/>
      <c r="EC52" s="242"/>
      <c r="ED52" s="242"/>
      <c r="EE52" s="242"/>
      <c r="EF52" s="242"/>
      <c r="EG52" s="242"/>
      <c r="EH52" s="242"/>
      <c r="EI52" s="242"/>
      <c r="EJ52" s="242"/>
      <c r="EK52" s="242"/>
      <c r="EL52" s="242"/>
      <c r="EM52" s="242"/>
      <c r="EN52" s="441"/>
      <c r="EO52" s="441"/>
      <c r="EP52" s="441"/>
      <c r="EQ52" s="441"/>
      <c r="ER52" s="441"/>
      <c r="ES52" s="441"/>
      <c r="ET52" s="441"/>
      <c r="EU52" s="441"/>
      <c r="EV52" s="441"/>
      <c r="EW52" s="15"/>
    </row>
    <row r="53" spans="1:153" s="897" customFormat="1" ht="15" hidden="1" customHeight="1" outlineLevel="2">
      <c r="A53" s="902" t="s">
        <v>1236</v>
      </c>
      <c r="B53" s="916">
        <v>2200</v>
      </c>
      <c r="C53" s="916">
        <v>1998.0000000000002</v>
      </c>
      <c r="D53" s="916">
        <v>1800</v>
      </c>
      <c r="E53" s="242"/>
      <c r="F53" s="242"/>
      <c r="G53" s="242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  <c r="BJ53" s="242"/>
      <c r="BK53" s="242"/>
      <c r="BL53" s="242"/>
      <c r="BM53" s="242"/>
      <c r="BN53" s="242"/>
      <c r="BO53" s="242"/>
      <c r="BP53" s="242"/>
      <c r="BQ53" s="242"/>
      <c r="BR53" s="242"/>
      <c r="BS53" s="242"/>
      <c r="BT53" s="242"/>
      <c r="BU53" s="242"/>
      <c r="BV53" s="242"/>
      <c r="BW53" s="242"/>
      <c r="BX53" s="242"/>
      <c r="BY53" s="242"/>
      <c r="BZ53" s="242"/>
      <c r="CA53" s="242"/>
      <c r="CB53" s="242"/>
      <c r="CC53" s="242"/>
      <c r="CD53" s="242"/>
      <c r="CE53" s="242"/>
      <c r="CF53" s="242"/>
      <c r="CG53" s="242"/>
      <c r="CH53" s="242"/>
      <c r="CI53" s="242"/>
      <c r="CJ53" s="242"/>
      <c r="CK53" s="242"/>
      <c r="CL53" s="242"/>
      <c r="CM53" s="242"/>
      <c r="CN53" s="242"/>
      <c r="CO53" s="242"/>
      <c r="CP53" s="242"/>
      <c r="CQ53" s="242"/>
      <c r="CR53" s="242"/>
      <c r="CS53" s="242"/>
      <c r="CT53" s="242"/>
      <c r="CU53" s="242"/>
      <c r="CV53" s="924">
        <f>CEILING(0.8*0.4*2, 0.05)</f>
        <v>0.65</v>
      </c>
      <c r="CW53" s="924">
        <f>CEILING(0.8*0.4*2*2, 0.05)</f>
        <v>1.3</v>
      </c>
      <c r="CX53" s="924">
        <f>CEILING(0.2*2*2, 0.05)</f>
        <v>0.8</v>
      </c>
      <c r="CY53" s="924">
        <f>CEILING(0.4*2*2, 0.05)</f>
        <v>1.6</v>
      </c>
      <c r="CZ53" s="1093">
        <v>2</v>
      </c>
      <c r="DA53" s="242"/>
      <c r="DB53" s="242"/>
      <c r="DC53" s="242"/>
      <c r="DD53" s="242"/>
      <c r="DE53" s="242"/>
      <c r="DF53" s="242"/>
      <c r="DG53" s="242"/>
      <c r="DH53" s="242"/>
      <c r="DI53" s="242"/>
      <c r="DJ53" s="242"/>
      <c r="DK53" s="242"/>
      <c r="DL53" s="242"/>
      <c r="DM53" s="242"/>
      <c r="DN53" s="242"/>
      <c r="DO53" s="242"/>
      <c r="DP53" s="242"/>
      <c r="DQ53" s="242"/>
      <c r="DR53" s="242"/>
      <c r="DS53" s="242"/>
      <c r="DT53" s="242"/>
      <c r="DU53" s="242"/>
      <c r="DV53" s="242"/>
      <c r="DW53" s="242"/>
      <c r="DX53" s="242"/>
      <c r="DY53" s="242"/>
      <c r="DZ53" s="242"/>
      <c r="EA53" s="242"/>
      <c r="EB53" s="242"/>
      <c r="EC53" s="242"/>
      <c r="ED53" s="242"/>
      <c r="EE53" s="242"/>
      <c r="EF53" s="242"/>
      <c r="EG53" s="242"/>
      <c r="EH53" s="242"/>
      <c r="EI53" s="242"/>
      <c r="EJ53" s="242"/>
      <c r="EK53" s="242"/>
      <c r="EL53" s="242"/>
      <c r="EM53" s="242"/>
      <c r="EN53" s="441"/>
      <c r="EO53" s="441"/>
      <c r="EP53" s="441"/>
      <c r="EQ53" s="441"/>
      <c r="ER53" s="441"/>
      <c r="ES53" s="441"/>
      <c r="ET53" s="441"/>
      <c r="EU53" s="441"/>
      <c r="EV53" s="441"/>
      <c r="EW53" s="15"/>
    </row>
    <row r="54" spans="1:153" s="897" customFormat="1" ht="15" hidden="1" customHeight="1" outlineLevel="2">
      <c r="A54" s="902" t="s">
        <v>1237</v>
      </c>
      <c r="B54" s="916">
        <v>2500</v>
      </c>
      <c r="C54" s="916">
        <v>2220</v>
      </c>
      <c r="D54" s="916">
        <v>2000</v>
      </c>
      <c r="E54" s="242"/>
      <c r="F54" s="242"/>
      <c r="G54" s="242"/>
      <c r="H54" s="242"/>
      <c r="I54" s="242"/>
      <c r="J54" s="242"/>
      <c r="K54" s="242"/>
      <c r="L54" s="242"/>
      <c r="M54" s="242"/>
      <c r="N54" s="242"/>
      <c r="O54" s="242"/>
      <c r="P54" s="242"/>
      <c r="Q54" s="242"/>
      <c r="R54" s="242"/>
      <c r="S54" s="242"/>
      <c r="T54" s="242"/>
      <c r="U54" s="242"/>
      <c r="V54" s="242"/>
      <c r="W54" s="242"/>
      <c r="X54" s="242"/>
      <c r="Y54" s="242"/>
      <c r="Z54" s="242"/>
      <c r="AA54" s="242"/>
      <c r="AB54" s="242"/>
      <c r="AC54" s="242"/>
      <c r="AD54" s="242"/>
      <c r="AE54" s="242"/>
      <c r="AF54" s="242"/>
      <c r="AG54" s="242"/>
      <c r="AH54" s="242"/>
      <c r="AI54" s="242"/>
      <c r="AJ54" s="242"/>
      <c r="AL54" s="242"/>
      <c r="AM54" s="242"/>
      <c r="AN54" s="242"/>
      <c r="AO54" s="242"/>
      <c r="AP54" s="242"/>
      <c r="AQ54" s="242"/>
      <c r="AR54" s="242"/>
      <c r="AS54" s="242"/>
      <c r="AT54" s="242"/>
      <c r="AU54" s="242"/>
      <c r="AV54" s="242"/>
      <c r="AW54" s="242"/>
      <c r="AX54" s="242"/>
      <c r="AY54" s="242"/>
      <c r="AZ54" s="242"/>
      <c r="BA54" s="242"/>
      <c r="BB54" s="242"/>
      <c r="BC54" s="242"/>
      <c r="BD54" s="242"/>
      <c r="BE54" s="242"/>
      <c r="BF54" s="242"/>
      <c r="BG54" s="242"/>
      <c r="BH54" s="242"/>
      <c r="BI54" s="242"/>
      <c r="BJ54" s="242"/>
      <c r="BK54" s="242"/>
      <c r="BL54" s="242"/>
      <c r="BM54" s="242"/>
      <c r="BN54" s="242"/>
      <c r="BO54" s="242"/>
      <c r="BP54" s="242"/>
      <c r="BQ54" s="242"/>
      <c r="BR54" s="242"/>
      <c r="BS54" s="242"/>
      <c r="BT54" s="242"/>
      <c r="BU54" s="242"/>
      <c r="BV54" s="242"/>
      <c r="BW54" s="242"/>
      <c r="BX54" s="242"/>
      <c r="BY54" s="242"/>
      <c r="BZ54" s="242"/>
      <c r="CA54" s="242"/>
      <c r="CB54" s="242"/>
      <c r="CC54" s="242"/>
      <c r="CD54" s="242"/>
      <c r="CE54" s="242"/>
      <c r="CF54" s="242"/>
      <c r="CG54" s="242"/>
      <c r="CH54" s="242"/>
      <c r="CI54" s="242"/>
      <c r="CJ54" s="242"/>
      <c r="CK54" s="242"/>
      <c r="CL54" s="242"/>
      <c r="CM54" s="242"/>
      <c r="CN54" s="242"/>
      <c r="CO54" s="242"/>
      <c r="CP54" s="242"/>
      <c r="CQ54" s="242"/>
      <c r="CR54" s="242"/>
      <c r="CS54" s="242"/>
      <c r="CT54" s="242"/>
      <c r="CU54" s="242"/>
      <c r="CV54" s="242"/>
      <c r="CW54" s="242"/>
      <c r="CX54" s="242"/>
      <c r="CY54" s="242"/>
      <c r="CZ54" s="242"/>
      <c r="DA54" s="242"/>
      <c r="DB54" s="242"/>
      <c r="DC54" s="242"/>
      <c r="DD54" s="242"/>
      <c r="DE54" s="242"/>
      <c r="DF54" s="242"/>
      <c r="DG54" s="242"/>
      <c r="DH54" s="242"/>
      <c r="DI54" s="242"/>
      <c r="DJ54" s="242"/>
      <c r="DK54" s="242"/>
      <c r="DL54" s="242"/>
      <c r="DM54" s="242"/>
      <c r="DN54" s="242"/>
      <c r="DO54" s="242"/>
      <c r="DP54" s="242"/>
      <c r="DQ54" s="242"/>
      <c r="DR54" s="242"/>
      <c r="DS54" s="242"/>
      <c r="DT54" s="242"/>
      <c r="DU54" s="242"/>
      <c r="DV54" s="242"/>
      <c r="DW54" s="242"/>
      <c r="DX54" s="242"/>
      <c r="DY54" s="242"/>
      <c r="DZ54" s="242"/>
      <c r="EA54" s="242"/>
      <c r="EB54" s="242"/>
      <c r="EC54" s="242"/>
      <c r="ED54" s="242"/>
      <c r="EE54" s="242"/>
      <c r="EF54" s="242"/>
      <c r="EG54" s="242"/>
      <c r="EH54" s="242"/>
      <c r="EI54" s="242"/>
      <c r="EJ54" s="242"/>
      <c r="EK54" s="242"/>
      <c r="EL54" s="242"/>
      <c r="EM54" s="242"/>
      <c r="EN54" s="441"/>
      <c r="EO54" s="441"/>
      <c r="EP54" s="441"/>
      <c r="EQ54" s="441"/>
      <c r="ER54" s="441"/>
      <c r="ES54" s="441"/>
      <c r="ET54" s="441"/>
      <c r="EU54" s="441"/>
      <c r="EV54" s="441"/>
      <c r="EW54" s="15"/>
    </row>
    <row r="55" spans="1:153" s="897" customFormat="1" ht="15" hidden="1" customHeight="1" outlineLevel="2">
      <c r="A55" s="902" t="s">
        <v>2198</v>
      </c>
      <c r="B55" s="1969">
        <v>10000</v>
      </c>
      <c r="C55" s="1969"/>
      <c r="D55" s="1969"/>
      <c r="E55" s="242"/>
      <c r="F55" s="242"/>
      <c r="G55" s="242"/>
      <c r="H55" s="242"/>
      <c r="I55" s="242"/>
      <c r="J55" s="242"/>
      <c r="K55" s="242"/>
      <c r="L55" s="242"/>
      <c r="M55" s="242"/>
      <c r="N55" s="242"/>
      <c r="O55" s="242"/>
      <c r="P55" s="242"/>
      <c r="Q55" s="242"/>
      <c r="R55" s="242"/>
      <c r="S55" s="242"/>
      <c r="T55" s="242"/>
      <c r="U55" s="242"/>
      <c r="V55" s="242"/>
      <c r="W55" s="242"/>
      <c r="X55" s="242"/>
      <c r="Y55" s="242"/>
      <c r="Z55" s="242"/>
      <c r="AA55" s="242"/>
      <c r="AB55" s="242"/>
      <c r="AC55" s="242"/>
      <c r="AD55" s="242"/>
      <c r="AE55" s="242"/>
      <c r="AF55" s="242"/>
      <c r="AG55" s="242"/>
      <c r="AH55" s="242"/>
      <c r="AI55" s="242"/>
      <c r="AJ55" s="242"/>
      <c r="AL55" s="242"/>
      <c r="AM55" s="242"/>
      <c r="AN55" s="242"/>
      <c r="AO55" s="242"/>
      <c r="AP55" s="242"/>
      <c r="AQ55" s="242"/>
      <c r="AR55" s="242"/>
      <c r="AS55" s="242"/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2"/>
      <c r="BJ55" s="242"/>
      <c r="BK55" s="242"/>
      <c r="BL55" s="242"/>
      <c r="BM55" s="242"/>
      <c r="BN55" s="242"/>
      <c r="BO55" s="242"/>
      <c r="BP55" s="242"/>
      <c r="BQ55" s="242"/>
      <c r="BR55" s="242"/>
      <c r="BS55" s="242"/>
      <c r="BT55" s="242"/>
      <c r="BU55" s="242"/>
      <c r="BV55" s="242"/>
      <c r="BW55" s="242"/>
      <c r="BX55" s="242"/>
      <c r="BY55" s="242"/>
      <c r="BZ55" s="242"/>
      <c r="CA55" s="242"/>
      <c r="CB55" s="242"/>
      <c r="CC55" s="242"/>
      <c r="CD55" s="242"/>
      <c r="CE55" s="242"/>
      <c r="CF55" s="242"/>
      <c r="CG55" s="242"/>
      <c r="CH55" s="242"/>
      <c r="CI55" s="242"/>
      <c r="CJ55" s="242"/>
      <c r="CK55" s="242"/>
      <c r="CL55" s="242"/>
      <c r="CM55" s="242"/>
      <c r="CN55" s="242"/>
      <c r="CO55" s="242"/>
      <c r="CP55" s="242"/>
      <c r="CQ55" s="242"/>
      <c r="CR55" s="242"/>
      <c r="CS55" s="242"/>
      <c r="CT55" s="242"/>
      <c r="CU55" s="242"/>
      <c r="CV55" s="242"/>
      <c r="CW55" s="242"/>
      <c r="CX55" s="242"/>
      <c r="CY55" s="242"/>
      <c r="CZ55" s="242"/>
      <c r="DA55" s="242"/>
      <c r="DB55" s="242"/>
      <c r="DC55" s="242"/>
      <c r="DD55" s="242"/>
      <c r="DE55" s="242"/>
      <c r="DF55" s="242"/>
      <c r="DG55" s="242"/>
      <c r="DH55" s="242"/>
      <c r="DI55" s="242"/>
      <c r="DJ55" s="242"/>
      <c r="DK55" s="242"/>
      <c r="DL55" s="242"/>
      <c r="DM55" s="242"/>
      <c r="DN55" s="242"/>
      <c r="DO55" s="242"/>
      <c r="DP55" s="242"/>
      <c r="DQ55" s="242"/>
      <c r="DR55" s="242"/>
      <c r="DS55" s="242"/>
      <c r="DT55" s="242"/>
      <c r="DU55" s="242"/>
      <c r="DV55" s="242"/>
      <c r="DW55" s="242"/>
      <c r="DX55" s="242"/>
      <c r="DY55" s="242"/>
      <c r="DZ55" s="242"/>
      <c r="EA55" s="242"/>
      <c r="EB55" s="242"/>
      <c r="EC55" s="242"/>
      <c r="ED55" s="242"/>
      <c r="EE55" s="242"/>
      <c r="EF55" s="242"/>
      <c r="EG55" s="242"/>
      <c r="EH55" s="242"/>
      <c r="EI55" s="242"/>
      <c r="EJ55" s="242"/>
      <c r="EK55" s="242"/>
      <c r="EL55" s="242"/>
      <c r="EM55" s="242"/>
      <c r="EN55" s="441"/>
      <c r="EO55" s="441"/>
      <c r="EP55" s="441"/>
      <c r="EQ55" s="441"/>
      <c r="ER55" s="441"/>
      <c r="ES55" s="441"/>
      <c r="ET55" s="441"/>
      <c r="EU55" s="441"/>
      <c r="EV55" s="441"/>
      <c r="EW55" s="15"/>
    </row>
    <row r="56" spans="1:153" s="813" customFormat="1" ht="36" hidden="1" customHeight="1" outlineLevel="2" collapsed="1">
      <c r="A56" s="819"/>
      <c r="B56" s="819"/>
      <c r="C56" s="819"/>
      <c r="D56" s="819"/>
      <c r="E56" s="819"/>
      <c r="F56" s="819"/>
      <c r="G56" s="824" t="s">
        <v>1099</v>
      </c>
      <c r="H56" s="824" t="s">
        <v>1098</v>
      </c>
      <c r="I56" s="824" t="s">
        <v>1100</v>
      </c>
      <c r="J56" s="824" t="s">
        <v>1101</v>
      </c>
      <c r="K56" s="824" t="s">
        <v>1102</v>
      </c>
      <c r="L56" s="824" t="s">
        <v>1103</v>
      </c>
      <c r="M56" s="824" t="s">
        <v>1104</v>
      </c>
      <c r="N56" s="824" t="s">
        <v>1105</v>
      </c>
      <c r="O56" s="807" t="s">
        <v>1109</v>
      </c>
      <c r="P56" s="807" t="s">
        <v>1110</v>
      </c>
      <c r="Q56" s="807" t="s">
        <v>1111</v>
      </c>
      <c r="R56" s="807" t="s">
        <v>1107</v>
      </c>
      <c r="S56" s="807" t="s">
        <v>1106</v>
      </c>
      <c r="T56" s="807" t="s">
        <v>1108</v>
      </c>
      <c r="U56" s="817" t="s">
        <v>324</v>
      </c>
      <c r="V56" s="817" t="s">
        <v>323</v>
      </c>
      <c r="W56" s="817" t="s">
        <v>1076</v>
      </c>
      <c r="X56" s="816" t="s">
        <v>364</v>
      </c>
      <c r="Y56" s="816" t="s">
        <v>365</v>
      </c>
      <c r="Z56" s="816" t="s">
        <v>366</v>
      </c>
      <c r="AA56" s="816" t="s">
        <v>367</v>
      </c>
      <c r="AB56" s="816" t="s">
        <v>368</v>
      </c>
      <c r="AC56" s="816" t="s">
        <v>369</v>
      </c>
      <c r="AD56" s="816" t="s">
        <v>370</v>
      </c>
      <c r="AE56" s="816" t="s">
        <v>371</v>
      </c>
      <c r="AF56" s="886" t="s">
        <v>325</v>
      </c>
      <c r="AG56" s="886" t="s">
        <v>326</v>
      </c>
      <c r="AH56" s="886" t="s">
        <v>327</v>
      </c>
      <c r="AI56" s="886" t="s">
        <v>328</v>
      </c>
      <c r="AJ56" s="886" t="s">
        <v>329</v>
      </c>
      <c r="AK56" s="886" t="s">
        <v>743</v>
      </c>
      <c r="AL56" s="817" t="s">
        <v>744</v>
      </c>
      <c r="AM56" s="817" t="s">
        <v>745</v>
      </c>
      <c r="AN56" s="817" t="s">
        <v>922</v>
      </c>
      <c r="AO56" s="817" t="s">
        <v>900</v>
      </c>
      <c r="AP56" s="817" t="s">
        <v>746</v>
      </c>
      <c r="AQ56" s="817" t="s">
        <v>747</v>
      </c>
      <c r="AR56" s="817" t="s">
        <v>769</v>
      </c>
      <c r="AS56" s="817" t="s">
        <v>770</v>
      </c>
      <c r="AT56" s="807" t="s">
        <v>330</v>
      </c>
      <c r="AU56" s="807" t="s">
        <v>331</v>
      </c>
      <c r="AV56" s="807" t="s">
        <v>332</v>
      </c>
      <c r="AW56" s="807" t="s">
        <v>333</v>
      </c>
      <c r="AX56" s="807" t="s">
        <v>334</v>
      </c>
      <c r="AY56" s="825" t="s">
        <v>335</v>
      </c>
      <c r="AZ56" s="825" t="s">
        <v>336</v>
      </c>
      <c r="BA56" s="826" t="s">
        <v>337</v>
      </c>
      <c r="BB56" s="826" t="s">
        <v>338</v>
      </c>
      <c r="BC56" s="826" t="s">
        <v>339</v>
      </c>
      <c r="BD56" s="827" t="s">
        <v>340</v>
      </c>
      <c r="BE56" s="827" t="s">
        <v>341</v>
      </c>
      <c r="BF56" s="827" t="s">
        <v>342</v>
      </c>
      <c r="BG56" s="827" t="s">
        <v>343</v>
      </c>
      <c r="BH56" s="905" t="s">
        <v>1242</v>
      </c>
      <c r="BI56" s="892" t="s">
        <v>1243</v>
      </c>
      <c r="BJ56" s="886" t="s">
        <v>1113</v>
      </c>
      <c r="BK56" s="886" t="s">
        <v>1112</v>
      </c>
      <c r="BL56" s="886" t="s">
        <v>1114</v>
      </c>
      <c r="BM56" s="886" t="s">
        <v>1115</v>
      </c>
      <c r="BN56" s="886" t="s">
        <v>457</v>
      </c>
      <c r="BO56" s="807" t="s">
        <v>1077</v>
      </c>
      <c r="BP56" s="807" t="s">
        <v>1078</v>
      </c>
      <c r="BQ56" s="807" t="s">
        <v>1116</v>
      </c>
      <c r="BR56" s="886" t="s">
        <v>48</v>
      </c>
      <c r="BS56" s="886" t="s">
        <v>1117</v>
      </c>
      <c r="BT56" s="886" t="s">
        <v>1122</v>
      </c>
      <c r="BU56" s="886" t="s">
        <v>1127</v>
      </c>
      <c r="BV56" s="886" t="s">
        <v>1120</v>
      </c>
      <c r="BW56" s="886" t="s">
        <v>1125</v>
      </c>
      <c r="BX56" s="886" t="s">
        <v>1121</v>
      </c>
      <c r="BY56" s="886" t="s">
        <v>1126</v>
      </c>
      <c r="BZ56" s="886" t="s">
        <v>1118</v>
      </c>
      <c r="CA56" s="886" t="s">
        <v>1119</v>
      </c>
      <c r="CB56" s="886" t="s">
        <v>1123</v>
      </c>
      <c r="CC56" s="886" t="s">
        <v>1124</v>
      </c>
      <c r="CD56" s="807" t="s">
        <v>1128</v>
      </c>
      <c r="CE56" s="807" t="s">
        <v>1129</v>
      </c>
      <c r="CF56" s="807" t="s">
        <v>1130</v>
      </c>
      <c r="CG56" s="807" t="s">
        <v>1131</v>
      </c>
      <c r="CH56" s="807" t="s">
        <v>1132</v>
      </c>
      <c r="CI56" s="807" t="s">
        <v>1133</v>
      </c>
      <c r="CJ56" s="807" t="s">
        <v>1134</v>
      </c>
      <c r="CK56" s="807" t="s">
        <v>1135</v>
      </c>
      <c r="CL56" s="886" t="s">
        <v>394</v>
      </c>
      <c r="CM56" s="886" t="s">
        <v>395</v>
      </c>
      <c r="CN56" s="886" t="s">
        <v>396</v>
      </c>
      <c r="CO56" s="886" t="s">
        <v>397</v>
      </c>
      <c r="CP56" s="886" t="s">
        <v>1136</v>
      </c>
      <c r="CQ56" s="886" t="s">
        <v>1137</v>
      </c>
      <c r="CR56" s="886" t="s">
        <v>1138</v>
      </c>
      <c r="CS56" s="886" t="s">
        <v>1194</v>
      </c>
      <c r="CT56" s="886" t="s">
        <v>1193</v>
      </c>
      <c r="CU56" s="886" t="s">
        <v>1195</v>
      </c>
      <c r="CV56" s="886" t="s">
        <v>1139</v>
      </c>
      <c r="CW56" s="886" t="s">
        <v>1140</v>
      </c>
      <c r="CX56" s="886" t="s">
        <v>1141</v>
      </c>
      <c r="CY56" s="886" t="s">
        <v>1142</v>
      </c>
      <c r="CZ56" s="1016" t="s">
        <v>1196</v>
      </c>
      <c r="DA56" s="886" t="s">
        <v>1143</v>
      </c>
      <c r="DB56" s="886" t="s">
        <v>1144</v>
      </c>
      <c r="DC56" s="886" t="s">
        <v>321</v>
      </c>
      <c r="DD56" s="886"/>
      <c r="DE56" s="886"/>
      <c r="DF56" s="807" t="s">
        <v>1079</v>
      </c>
      <c r="DG56" s="807" t="s">
        <v>1080</v>
      </c>
      <c r="DH56" s="807" t="s">
        <v>1081</v>
      </c>
      <c r="DI56" s="807" t="s">
        <v>1082</v>
      </c>
      <c r="DJ56" s="807" t="s">
        <v>1083</v>
      </c>
      <c r="DK56" s="807" t="s">
        <v>1084</v>
      </c>
      <c r="DL56" s="807" t="s">
        <v>1085</v>
      </c>
      <c r="DM56" s="807" t="s">
        <v>1086</v>
      </c>
      <c r="DN56" s="807" t="s">
        <v>1087</v>
      </c>
      <c r="DO56" s="807" t="s">
        <v>1088</v>
      </c>
      <c r="DP56" s="807" t="s">
        <v>1089</v>
      </c>
      <c r="DQ56" s="807" t="s">
        <v>1090</v>
      </c>
      <c r="DR56" s="807" t="s">
        <v>1091</v>
      </c>
      <c r="DS56" s="807" t="s">
        <v>1092</v>
      </c>
      <c r="DT56" s="807" t="s">
        <v>1093</v>
      </c>
      <c r="DU56" s="807" t="s">
        <v>351</v>
      </c>
      <c r="DV56" s="807" t="s">
        <v>352</v>
      </c>
      <c r="DW56" s="807" t="s">
        <v>353</v>
      </c>
      <c r="DX56" s="807" t="s">
        <v>354</v>
      </c>
      <c r="DY56" s="807" t="s">
        <v>355</v>
      </c>
      <c r="DZ56" s="807" t="s">
        <v>356</v>
      </c>
      <c r="EA56" s="886" t="s">
        <v>345</v>
      </c>
      <c r="EB56" s="886" t="s">
        <v>346</v>
      </c>
      <c r="EC56" s="886" t="s">
        <v>347</v>
      </c>
      <c r="ED56" s="886" t="s">
        <v>348</v>
      </c>
      <c r="EE56" s="886" t="s">
        <v>349</v>
      </c>
      <c r="EF56" s="886" t="s">
        <v>350</v>
      </c>
      <c r="EG56" s="886" t="s">
        <v>357</v>
      </c>
      <c r="EH56" s="886" t="s">
        <v>358</v>
      </c>
      <c r="EI56" s="886" t="s">
        <v>359</v>
      </c>
      <c r="EJ56" s="807" t="s">
        <v>441</v>
      </c>
      <c r="EK56" s="807" t="s">
        <v>442</v>
      </c>
      <c r="EL56" s="886" t="s">
        <v>307</v>
      </c>
      <c r="EM56" s="886" t="s">
        <v>1145</v>
      </c>
      <c r="EN56" s="2596" t="s">
        <v>1146</v>
      </c>
      <c r="EO56" s="2596" t="s">
        <v>1147</v>
      </c>
      <c r="EP56" s="2596" t="s">
        <v>1148</v>
      </c>
      <c r="EQ56" s="2596" t="s">
        <v>1149</v>
      </c>
      <c r="ER56" s="2596" t="s">
        <v>1150</v>
      </c>
      <c r="ES56" s="807" t="s">
        <v>1094</v>
      </c>
      <c r="ET56" s="807" t="s">
        <v>1095</v>
      </c>
      <c r="EU56" s="815" t="s">
        <v>1096</v>
      </c>
      <c r="EV56" s="815" t="s">
        <v>1097</v>
      </c>
    </row>
    <row r="57" spans="1:153" s="813" customFormat="1" ht="15.75" hidden="1" outlineLevel="2">
      <c r="A57" s="5267" t="s">
        <v>1241</v>
      </c>
      <c r="B57" s="5267"/>
      <c r="C57" s="917"/>
      <c r="D57" s="917"/>
      <c r="E57" s="917"/>
      <c r="F57" s="917"/>
      <c r="G57" s="918">
        <v>0.98</v>
      </c>
      <c r="H57" s="918">
        <v>0.65</v>
      </c>
      <c r="I57" s="918">
        <v>0</v>
      </c>
      <c r="J57" s="918">
        <v>0</v>
      </c>
      <c r="K57" s="918">
        <v>0</v>
      </c>
      <c r="L57" s="918">
        <v>0.65</v>
      </c>
      <c r="M57" s="918">
        <v>0</v>
      </c>
      <c r="N57" s="918">
        <v>0</v>
      </c>
      <c r="O57" s="918">
        <v>0.98</v>
      </c>
      <c r="P57" s="918">
        <v>0.65</v>
      </c>
      <c r="Q57" s="918">
        <v>0.8</v>
      </c>
      <c r="R57" s="918">
        <v>0.98</v>
      </c>
      <c r="S57" s="918">
        <v>0.65</v>
      </c>
      <c r="T57" s="918">
        <v>0.6</v>
      </c>
      <c r="U57" s="918">
        <v>0</v>
      </c>
      <c r="V57" s="918">
        <v>0</v>
      </c>
      <c r="W57" s="918">
        <v>0</v>
      </c>
      <c r="X57" s="918">
        <v>0.98</v>
      </c>
      <c r="Y57" s="918">
        <v>0.65</v>
      </c>
      <c r="Z57" s="918">
        <v>0.6</v>
      </c>
      <c r="AA57" s="918">
        <v>0.7</v>
      </c>
      <c r="AB57" s="918">
        <v>0</v>
      </c>
      <c r="AC57" s="918">
        <v>0</v>
      </c>
      <c r="AD57" s="918">
        <v>0</v>
      </c>
      <c r="AE57" s="918">
        <v>0</v>
      </c>
      <c r="AF57" s="918">
        <v>0.98</v>
      </c>
      <c r="AG57" s="918">
        <v>0.65</v>
      </c>
      <c r="AH57" s="918">
        <v>0</v>
      </c>
      <c r="AI57" s="918">
        <v>0</v>
      </c>
      <c r="AJ57" s="918">
        <v>0</v>
      </c>
      <c r="AK57" s="918">
        <v>0</v>
      </c>
      <c r="AL57" s="918">
        <v>0.98</v>
      </c>
      <c r="AM57" s="918">
        <v>0.65</v>
      </c>
      <c r="AN57" s="918">
        <v>0.6</v>
      </c>
      <c r="AO57" s="918">
        <v>0.7</v>
      </c>
      <c r="AP57" s="918">
        <v>0</v>
      </c>
      <c r="AQ57" s="918">
        <v>0</v>
      </c>
      <c r="AR57" s="918">
        <v>0</v>
      </c>
      <c r="AS57" s="918">
        <v>0</v>
      </c>
      <c r="AT57" s="918">
        <v>0</v>
      </c>
      <c r="AU57" s="918">
        <v>0</v>
      </c>
      <c r="AV57" s="918">
        <v>0</v>
      </c>
      <c r="AW57" s="918">
        <v>0</v>
      </c>
      <c r="AX57" s="918">
        <v>0</v>
      </c>
      <c r="AY57" s="918">
        <v>0</v>
      </c>
      <c r="AZ57" s="918">
        <v>0</v>
      </c>
      <c r="BA57" s="918">
        <v>0</v>
      </c>
      <c r="BB57" s="918">
        <v>0</v>
      </c>
      <c r="BC57" s="918">
        <v>0</v>
      </c>
      <c r="BD57" s="918">
        <v>0</v>
      </c>
      <c r="BE57" s="918">
        <v>0</v>
      </c>
      <c r="BF57" s="918">
        <v>0</v>
      </c>
      <c r="BG57" s="918">
        <v>0</v>
      </c>
      <c r="BH57" s="918">
        <v>0.98</v>
      </c>
      <c r="BI57" s="918">
        <v>0.98</v>
      </c>
      <c r="BJ57" s="918">
        <v>0</v>
      </c>
      <c r="BK57" s="918">
        <v>0.65</v>
      </c>
      <c r="BL57" s="918">
        <v>0</v>
      </c>
      <c r="BM57" s="918">
        <v>0</v>
      </c>
      <c r="BN57" s="918">
        <v>0</v>
      </c>
      <c r="BO57" s="918">
        <v>0.65</v>
      </c>
      <c r="BP57" s="918">
        <v>0.56000000000000005</v>
      </c>
      <c r="BQ57" s="918"/>
      <c r="BR57" s="918"/>
      <c r="BS57" s="918"/>
      <c r="BT57" s="918">
        <f>BH57</f>
        <v>0.98</v>
      </c>
      <c r="BU57" s="918"/>
      <c r="BV57" s="918"/>
      <c r="BW57" s="918"/>
      <c r="BX57" s="918"/>
      <c r="BY57" s="918"/>
      <c r="BZ57" s="918"/>
      <c r="CA57" s="918"/>
      <c r="CB57" s="918"/>
      <c r="CC57" s="918"/>
      <c r="CD57" s="918"/>
      <c r="CE57" s="918"/>
      <c r="CF57" s="918">
        <v>1</v>
      </c>
      <c r="CG57" s="918"/>
      <c r="CH57" s="918">
        <v>0.4</v>
      </c>
      <c r="CI57" s="918"/>
      <c r="CJ57" s="918">
        <v>1</v>
      </c>
      <c r="CK57" s="918">
        <v>0.4</v>
      </c>
      <c r="CL57" s="918"/>
      <c r="CM57" s="918"/>
      <c r="CN57" s="918"/>
      <c r="CO57" s="918"/>
      <c r="CP57" s="918"/>
      <c r="CQ57" s="918"/>
      <c r="CR57" s="918"/>
      <c r="CS57" s="918"/>
      <c r="CT57" s="918"/>
      <c r="CU57" s="918"/>
      <c r="CV57" s="918"/>
      <c r="CW57" s="918"/>
      <c r="CX57" s="918"/>
      <c r="CY57" s="918"/>
      <c r="CZ57" s="1091"/>
      <c r="DA57" s="918"/>
      <c r="DB57" s="918"/>
      <c r="DC57" s="918"/>
      <c r="DD57" s="918"/>
      <c r="DE57" s="918"/>
      <c r="DF57" s="918"/>
      <c r="DG57" s="918"/>
      <c r="DH57" s="918"/>
      <c r="DI57" s="918"/>
      <c r="DJ57" s="918"/>
      <c r="DK57" s="918"/>
      <c r="DL57" s="918"/>
      <c r="DM57" s="918"/>
      <c r="DN57" s="918"/>
      <c r="DO57" s="918"/>
      <c r="DP57" s="918"/>
      <c r="DQ57" s="918"/>
      <c r="DR57" s="918"/>
      <c r="DS57" s="918"/>
      <c r="DT57" s="918"/>
      <c r="DU57" s="918"/>
      <c r="DV57" s="918"/>
      <c r="DW57" s="918"/>
      <c r="DX57" s="918"/>
      <c r="DY57" s="918"/>
      <c r="DZ57" s="918"/>
      <c r="EA57" s="918"/>
      <c r="EB57" s="918"/>
      <c r="EC57" s="918"/>
      <c r="ED57" s="918"/>
      <c r="EE57" s="918"/>
      <c r="EF57" s="918"/>
      <c r="EG57" s="918"/>
      <c r="EH57" s="918"/>
      <c r="EI57" s="918"/>
      <c r="EJ57" s="918"/>
      <c r="EK57" s="918"/>
      <c r="EL57" s="918"/>
      <c r="EM57" s="918"/>
      <c r="EN57" s="2707"/>
      <c r="EO57" s="2707"/>
      <c r="EP57" s="2707"/>
      <c r="EQ57" s="2707"/>
      <c r="ER57" s="2707"/>
      <c r="ES57" s="2707"/>
      <c r="ET57" s="2707"/>
      <c r="EU57" s="2707"/>
      <c r="EV57" s="2707"/>
    </row>
    <row r="58" spans="1:153" s="242" customFormat="1" ht="15.75" hidden="1" customHeight="1" outlineLevel="2">
      <c r="A58" s="4425" t="s">
        <v>1233</v>
      </c>
      <c r="B58" s="5229"/>
      <c r="C58" s="5229"/>
      <c r="D58" s="4426"/>
      <c r="E58" s="5228" t="s">
        <v>1220</v>
      </c>
      <c r="F58" s="5228"/>
      <c r="G58" s="551">
        <f>CEILING($B$52*G57*$F$2*$F$3, 100)</f>
        <v>2300</v>
      </c>
      <c r="H58" s="551">
        <f>CEILING($B$52*H57*$F$2*$F$3, 100)</f>
        <v>1500</v>
      </c>
      <c r="I58" s="551">
        <f t="shared" ref="I58:AK58" si="8">CEILING($B$52*I57*$F$2*$F$3, 100)</f>
        <v>0</v>
      </c>
      <c r="J58" s="551">
        <f t="shared" si="8"/>
        <v>0</v>
      </c>
      <c r="K58" s="551">
        <f t="shared" si="8"/>
        <v>0</v>
      </c>
      <c r="L58" s="551">
        <f>H58</f>
        <v>1500</v>
      </c>
      <c r="M58" s="551">
        <f t="shared" si="8"/>
        <v>0</v>
      </c>
      <c r="N58" s="551">
        <f t="shared" si="8"/>
        <v>0</v>
      </c>
      <c r="O58" s="551">
        <f t="shared" ref="O58:P60" si="9">G58</f>
        <v>2300</v>
      </c>
      <c r="P58" s="551">
        <f t="shared" si="9"/>
        <v>1500</v>
      </c>
      <c r="Q58" s="551">
        <f>P58</f>
        <v>1500</v>
      </c>
      <c r="R58" s="551">
        <f t="shared" ref="R58:S60" si="10">O58</f>
        <v>2300</v>
      </c>
      <c r="S58" s="551">
        <f t="shared" si="10"/>
        <v>1500</v>
      </c>
      <c r="T58" s="551">
        <f>P58</f>
        <v>1500</v>
      </c>
      <c r="U58" s="551">
        <f t="shared" si="8"/>
        <v>0</v>
      </c>
      <c r="V58" s="551">
        <f t="shared" si="8"/>
        <v>0</v>
      </c>
      <c r="W58" s="551">
        <f t="shared" si="8"/>
        <v>0</v>
      </c>
      <c r="X58" s="551">
        <f>R58</f>
        <v>2300</v>
      </c>
      <c r="Y58" s="551">
        <f>S58</f>
        <v>1500</v>
      </c>
      <c r="Z58" s="551">
        <f>T58</f>
        <v>1500</v>
      </c>
      <c r="AA58" s="551">
        <f>Z58</f>
        <v>1500</v>
      </c>
      <c r="AB58" s="551">
        <f t="shared" si="8"/>
        <v>0</v>
      </c>
      <c r="AC58" s="551">
        <f t="shared" si="8"/>
        <v>0</v>
      </c>
      <c r="AD58" s="551">
        <f t="shared" si="8"/>
        <v>0</v>
      </c>
      <c r="AE58" s="551">
        <f t="shared" si="8"/>
        <v>0</v>
      </c>
      <c r="AF58" s="551">
        <f t="shared" ref="AF58:AG60" si="11">X58</f>
        <v>2300</v>
      </c>
      <c r="AG58" s="551">
        <f t="shared" si="11"/>
        <v>1500</v>
      </c>
      <c r="AH58" s="551">
        <f t="shared" si="8"/>
        <v>0</v>
      </c>
      <c r="AI58" s="551">
        <f t="shared" si="8"/>
        <v>0</v>
      </c>
      <c r="AJ58" s="551">
        <f t="shared" si="8"/>
        <v>0</v>
      </c>
      <c r="AK58" s="551">
        <f t="shared" si="8"/>
        <v>0</v>
      </c>
      <c r="AL58" s="551">
        <f t="shared" ref="AL58:AM60" si="12">AF58</f>
        <v>2300</v>
      </c>
      <c r="AM58" s="551">
        <f t="shared" si="12"/>
        <v>1500</v>
      </c>
      <c r="AN58" s="551">
        <f t="shared" ref="AN58:AO60" si="13">AM58</f>
        <v>1500</v>
      </c>
      <c r="AO58" s="551">
        <f t="shared" si="13"/>
        <v>1500</v>
      </c>
      <c r="AP58" s="551">
        <f t="shared" ref="AP58:BR58" si="14">CEILING($B$52*AP57*$F$2*$F$3, 100)</f>
        <v>0</v>
      </c>
      <c r="AQ58" s="551">
        <f t="shared" si="14"/>
        <v>0</v>
      </c>
      <c r="AR58" s="551">
        <f t="shared" si="14"/>
        <v>0</v>
      </c>
      <c r="AS58" s="551">
        <f t="shared" si="14"/>
        <v>0</v>
      </c>
      <c r="AT58" s="551">
        <f t="shared" si="14"/>
        <v>0</v>
      </c>
      <c r="AU58" s="551">
        <f t="shared" si="14"/>
        <v>0</v>
      </c>
      <c r="AV58" s="551">
        <f t="shared" si="14"/>
        <v>0</v>
      </c>
      <c r="AW58" s="551">
        <f t="shared" si="14"/>
        <v>0</v>
      </c>
      <c r="AX58" s="551">
        <f t="shared" si="14"/>
        <v>0</v>
      </c>
      <c r="AY58" s="551">
        <f t="shared" si="14"/>
        <v>0</v>
      </c>
      <c r="AZ58" s="551">
        <f t="shared" si="14"/>
        <v>0</v>
      </c>
      <c r="BA58" s="551">
        <f t="shared" si="14"/>
        <v>0</v>
      </c>
      <c r="BB58" s="551">
        <f t="shared" si="14"/>
        <v>0</v>
      </c>
      <c r="BC58" s="551">
        <f t="shared" si="14"/>
        <v>0</v>
      </c>
      <c r="BD58" s="551">
        <f t="shared" si="14"/>
        <v>0</v>
      </c>
      <c r="BE58" s="551">
        <f t="shared" si="14"/>
        <v>0</v>
      </c>
      <c r="BF58" s="551">
        <f t="shared" si="14"/>
        <v>0</v>
      </c>
      <c r="BG58" s="551">
        <f t="shared" si="14"/>
        <v>0</v>
      </c>
      <c r="BH58" s="551">
        <f>G58</f>
        <v>2300</v>
      </c>
      <c r="BI58" s="551">
        <f>BH58</f>
        <v>2300</v>
      </c>
      <c r="BJ58" s="551">
        <f>CEILING($B$52*BJ57*$F$2*$F$3, 100)</f>
        <v>0</v>
      </c>
      <c r="BK58" s="551">
        <f>H58</f>
        <v>1500</v>
      </c>
      <c r="BL58" s="551">
        <f t="shared" si="14"/>
        <v>0</v>
      </c>
      <c r="BM58" s="551">
        <f t="shared" si="14"/>
        <v>0</v>
      </c>
      <c r="BN58" s="551">
        <f t="shared" si="14"/>
        <v>0</v>
      </c>
      <c r="BO58" s="551">
        <f>BK58</f>
        <v>1500</v>
      </c>
      <c r="BP58" s="551">
        <f>BO58</f>
        <v>1500</v>
      </c>
      <c r="BQ58" s="551">
        <f t="shared" si="14"/>
        <v>0</v>
      </c>
      <c r="BR58" s="551">
        <f t="shared" si="14"/>
        <v>0</v>
      </c>
      <c r="BS58" s="551">
        <f t="shared" ref="BS58:CX58" si="15">CEILING($B$52*BS57*$F$2*$F$3, 100)</f>
        <v>0</v>
      </c>
      <c r="BT58" s="551"/>
      <c r="BU58" s="551">
        <f>CEILING($B$52*BU57*$F$2*$F$3, 100)</f>
        <v>0</v>
      </c>
      <c r="BV58" s="551">
        <f>CEILING($B$52*BV57*$F$2*$F$3, 100)</f>
        <v>0</v>
      </c>
      <c r="BW58" s="551">
        <f>CEILING($B$52*BW57*$F$2*$F$3, 100)</f>
        <v>0</v>
      </c>
      <c r="BX58" s="551">
        <f>CEILING($B$52*BX57*$F$2*$F$3, 100)</f>
        <v>0</v>
      </c>
      <c r="BY58" s="551">
        <f>CEILING($B$52*BY57*$F$2*$F$3, 100)</f>
        <v>0</v>
      </c>
      <c r="BZ58" s="551">
        <f t="shared" si="15"/>
        <v>0</v>
      </c>
      <c r="CA58" s="551">
        <f t="shared" si="15"/>
        <v>0</v>
      </c>
      <c r="CB58" s="551">
        <f t="shared" si="15"/>
        <v>0</v>
      </c>
      <c r="CC58" s="551">
        <f t="shared" si="15"/>
        <v>0</v>
      </c>
      <c r="CD58" s="551">
        <f t="shared" si="15"/>
        <v>0</v>
      </c>
      <c r="CE58" s="551">
        <f t="shared" si="15"/>
        <v>0</v>
      </c>
      <c r="CF58" s="551">
        <f>BT58</f>
        <v>0</v>
      </c>
      <c r="CG58" s="551">
        <f t="shared" si="15"/>
        <v>0</v>
      </c>
      <c r="CH58" s="551">
        <f>CEILING(CF58*$CH$57, 50)</f>
        <v>0</v>
      </c>
      <c r="CI58" s="551">
        <f t="shared" si="15"/>
        <v>0</v>
      </c>
      <c r="CJ58" s="551">
        <f>CF58</f>
        <v>0</v>
      </c>
      <c r="CK58" s="551">
        <f>CEILING(CJ58*$CK$57, 50)</f>
        <v>0</v>
      </c>
      <c r="CL58" s="551">
        <f t="shared" si="15"/>
        <v>0</v>
      </c>
      <c r="CM58" s="551">
        <f t="shared" si="15"/>
        <v>0</v>
      </c>
      <c r="CN58" s="551">
        <f t="shared" si="15"/>
        <v>0</v>
      </c>
      <c r="CO58" s="551">
        <f t="shared" si="15"/>
        <v>0</v>
      </c>
      <c r="CP58" s="551">
        <f t="shared" si="15"/>
        <v>0</v>
      </c>
      <c r="CQ58" s="551">
        <f t="shared" si="15"/>
        <v>0</v>
      </c>
      <c r="CR58" s="551">
        <f t="shared" si="15"/>
        <v>0</v>
      </c>
      <c r="CS58" s="551">
        <f t="shared" si="15"/>
        <v>0</v>
      </c>
      <c r="CT58" s="551">
        <f t="shared" si="15"/>
        <v>0</v>
      </c>
      <c r="CU58" s="551">
        <f t="shared" si="15"/>
        <v>0</v>
      </c>
      <c r="CV58" s="551">
        <f t="shared" si="15"/>
        <v>0</v>
      </c>
      <c r="CW58" s="551">
        <f t="shared" si="15"/>
        <v>0</v>
      </c>
      <c r="CX58" s="551">
        <f t="shared" si="15"/>
        <v>0</v>
      </c>
      <c r="CY58" s="551">
        <f t="shared" ref="CY58:EE58" si="16">CEILING($B$52*CY57*$F$2*$F$3, 100)</f>
        <v>0</v>
      </c>
      <c r="CZ58" s="1083"/>
      <c r="DA58" s="551">
        <f t="shared" si="16"/>
        <v>0</v>
      </c>
      <c r="DB58" s="551">
        <f t="shared" si="16"/>
        <v>0</v>
      </c>
      <c r="DC58" s="551">
        <f t="shared" si="16"/>
        <v>0</v>
      </c>
      <c r="DD58" s="551">
        <f t="shared" si="16"/>
        <v>0</v>
      </c>
      <c r="DE58" s="551">
        <f t="shared" si="16"/>
        <v>0</v>
      </c>
      <c r="DF58" s="551">
        <f t="shared" si="16"/>
        <v>0</v>
      </c>
      <c r="DG58" s="551">
        <f t="shared" si="16"/>
        <v>0</v>
      </c>
      <c r="DH58" s="551">
        <f t="shared" si="16"/>
        <v>0</v>
      </c>
      <c r="DI58" s="551">
        <f t="shared" si="16"/>
        <v>0</v>
      </c>
      <c r="DJ58" s="551">
        <f t="shared" si="16"/>
        <v>0</v>
      </c>
      <c r="DK58" s="551">
        <f t="shared" si="16"/>
        <v>0</v>
      </c>
      <c r="DL58" s="551">
        <f t="shared" si="16"/>
        <v>0</v>
      </c>
      <c r="DM58" s="551">
        <f t="shared" si="16"/>
        <v>0</v>
      </c>
      <c r="DN58" s="551">
        <f t="shared" si="16"/>
        <v>0</v>
      </c>
      <c r="DO58" s="551">
        <f t="shared" si="16"/>
        <v>0</v>
      </c>
      <c r="DP58" s="551">
        <f t="shared" si="16"/>
        <v>0</v>
      </c>
      <c r="DQ58" s="551">
        <f t="shared" si="16"/>
        <v>0</v>
      </c>
      <c r="DR58" s="551">
        <f t="shared" si="16"/>
        <v>0</v>
      </c>
      <c r="DS58" s="551">
        <f t="shared" si="16"/>
        <v>0</v>
      </c>
      <c r="DT58" s="551">
        <f t="shared" si="16"/>
        <v>0</v>
      </c>
      <c r="DU58" s="551">
        <f t="shared" si="16"/>
        <v>0</v>
      </c>
      <c r="DV58" s="551">
        <f t="shared" si="16"/>
        <v>0</v>
      </c>
      <c r="DW58" s="551">
        <f t="shared" si="16"/>
        <v>0</v>
      </c>
      <c r="DX58" s="551">
        <f t="shared" si="16"/>
        <v>0</v>
      </c>
      <c r="DY58" s="551">
        <f t="shared" si="16"/>
        <v>0</v>
      </c>
      <c r="DZ58" s="551">
        <f t="shared" si="16"/>
        <v>0</v>
      </c>
      <c r="EA58" s="551">
        <f t="shared" si="16"/>
        <v>0</v>
      </c>
      <c r="EB58" s="551">
        <f t="shared" si="16"/>
        <v>0</v>
      </c>
      <c r="EC58" s="551">
        <f t="shared" si="16"/>
        <v>0</v>
      </c>
      <c r="ED58" s="551">
        <f t="shared" si="16"/>
        <v>0</v>
      </c>
      <c r="EE58" s="551">
        <f t="shared" si="16"/>
        <v>0</v>
      </c>
      <c r="EF58" s="551">
        <f t="shared" ref="EF58:EV58" si="17">CEILING($B$52*EF57*$F$2*$F$3, 100)</f>
        <v>0</v>
      </c>
      <c r="EG58" s="551">
        <f t="shared" si="17"/>
        <v>0</v>
      </c>
      <c r="EH58" s="551">
        <f t="shared" si="17"/>
        <v>0</v>
      </c>
      <c r="EI58" s="551">
        <f t="shared" si="17"/>
        <v>0</v>
      </c>
      <c r="EJ58" s="551">
        <f t="shared" si="17"/>
        <v>0</v>
      </c>
      <c r="EK58" s="551">
        <f t="shared" si="17"/>
        <v>0</v>
      </c>
      <c r="EL58" s="551">
        <f t="shared" si="17"/>
        <v>0</v>
      </c>
      <c r="EM58" s="551">
        <f t="shared" si="17"/>
        <v>0</v>
      </c>
      <c r="EN58" s="2708">
        <f t="shared" si="17"/>
        <v>0</v>
      </c>
      <c r="EO58" s="2708">
        <f t="shared" si="17"/>
        <v>0</v>
      </c>
      <c r="EP58" s="2708">
        <f t="shared" si="17"/>
        <v>0</v>
      </c>
      <c r="EQ58" s="2708">
        <f t="shared" si="17"/>
        <v>0</v>
      </c>
      <c r="ER58" s="2708">
        <f t="shared" si="17"/>
        <v>0</v>
      </c>
      <c r="ES58" s="2708">
        <f t="shared" si="17"/>
        <v>0</v>
      </c>
      <c r="ET58" s="2708">
        <f t="shared" si="17"/>
        <v>0</v>
      </c>
      <c r="EU58" s="2708">
        <f t="shared" si="17"/>
        <v>0</v>
      </c>
      <c r="EV58" s="2708">
        <f t="shared" si="17"/>
        <v>0</v>
      </c>
      <c r="EW58" s="441"/>
    </row>
    <row r="59" spans="1:153" s="242" customFormat="1" ht="15.75" hidden="1" customHeight="1" outlineLevel="2">
      <c r="A59" s="4427"/>
      <c r="B59" s="4818"/>
      <c r="C59" s="4818"/>
      <c r="D59" s="4428"/>
      <c r="E59" s="5228" t="s">
        <v>1222</v>
      </c>
      <c r="F59" s="5228"/>
      <c r="G59" s="551">
        <f>CEILING($B$53*G57*$F$2*$F$3, 100)</f>
        <v>5000</v>
      </c>
      <c r="H59" s="551">
        <f>CEILING($B$53*H57*$F$2*$F$3, 100)</f>
        <v>3300</v>
      </c>
      <c r="I59" s="551">
        <f t="shared" ref="I59:AK59" si="18">CEILING($B$53*I57*$F$2*$F$3, 100)</f>
        <v>0</v>
      </c>
      <c r="J59" s="551">
        <f t="shared" si="18"/>
        <v>0</v>
      </c>
      <c r="K59" s="551">
        <f t="shared" si="18"/>
        <v>0</v>
      </c>
      <c r="L59" s="551">
        <f>H59</f>
        <v>3300</v>
      </c>
      <c r="M59" s="551">
        <f t="shared" si="18"/>
        <v>0</v>
      </c>
      <c r="N59" s="551">
        <f t="shared" si="18"/>
        <v>0</v>
      </c>
      <c r="O59" s="551">
        <f t="shared" si="9"/>
        <v>5000</v>
      </c>
      <c r="P59" s="551">
        <f t="shared" si="9"/>
        <v>3300</v>
      </c>
      <c r="Q59" s="551">
        <f>P59</f>
        <v>3300</v>
      </c>
      <c r="R59" s="551">
        <f t="shared" si="10"/>
        <v>5000</v>
      </c>
      <c r="S59" s="551">
        <f t="shared" si="10"/>
        <v>3300</v>
      </c>
      <c r="T59" s="551">
        <f>P59</f>
        <v>3300</v>
      </c>
      <c r="U59" s="551">
        <f t="shared" si="18"/>
        <v>0</v>
      </c>
      <c r="V59" s="551">
        <f t="shared" si="18"/>
        <v>0</v>
      </c>
      <c r="W59" s="551">
        <f t="shared" si="18"/>
        <v>0</v>
      </c>
      <c r="X59" s="551">
        <f t="shared" ref="X59:Z60" si="19">R59</f>
        <v>5000</v>
      </c>
      <c r="Y59" s="551">
        <f t="shared" si="19"/>
        <v>3300</v>
      </c>
      <c r="Z59" s="551">
        <f t="shared" si="19"/>
        <v>3300</v>
      </c>
      <c r="AA59" s="551">
        <f>Z59</f>
        <v>3300</v>
      </c>
      <c r="AB59" s="551">
        <f t="shared" si="18"/>
        <v>0</v>
      </c>
      <c r="AC59" s="551">
        <f t="shared" si="18"/>
        <v>0</v>
      </c>
      <c r="AD59" s="551">
        <f t="shared" si="18"/>
        <v>0</v>
      </c>
      <c r="AE59" s="551">
        <f t="shared" si="18"/>
        <v>0</v>
      </c>
      <c r="AF59" s="551">
        <f t="shared" si="11"/>
        <v>5000</v>
      </c>
      <c r="AG59" s="551">
        <f t="shared" si="11"/>
        <v>3300</v>
      </c>
      <c r="AH59" s="551">
        <f t="shared" si="18"/>
        <v>0</v>
      </c>
      <c r="AI59" s="551">
        <f t="shared" si="18"/>
        <v>0</v>
      </c>
      <c r="AJ59" s="551">
        <f t="shared" si="18"/>
        <v>0</v>
      </c>
      <c r="AK59" s="551">
        <f t="shared" si="18"/>
        <v>0</v>
      </c>
      <c r="AL59" s="551">
        <f t="shared" si="12"/>
        <v>5000</v>
      </c>
      <c r="AM59" s="551">
        <f t="shared" si="12"/>
        <v>3300</v>
      </c>
      <c r="AN59" s="551">
        <f t="shared" si="13"/>
        <v>3300</v>
      </c>
      <c r="AO59" s="551">
        <f t="shared" si="13"/>
        <v>3300</v>
      </c>
      <c r="AP59" s="551">
        <f t="shared" ref="AP59:BR59" si="20">CEILING($B$53*AP57*$F$2*$F$3, 100)</f>
        <v>0</v>
      </c>
      <c r="AQ59" s="551">
        <f t="shared" si="20"/>
        <v>0</v>
      </c>
      <c r="AR59" s="551">
        <f t="shared" si="20"/>
        <v>0</v>
      </c>
      <c r="AS59" s="551">
        <f t="shared" si="20"/>
        <v>0</v>
      </c>
      <c r="AT59" s="551">
        <f t="shared" si="20"/>
        <v>0</v>
      </c>
      <c r="AU59" s="551">
        <f t="shared" si="20"/>
        <v>0</v>
      </c>
      <c r="AV59" s="551">
        <f t="shared" si="20"/>
        <v>0</v>
      </c>
      <c r="AW59" s="551">
        <f t="shared" si="20"/>
        <v>0</v>
      </c>
      <c r="AX59" s="551">
        <f t="shared" si="20"/>
        <v>0</v>
      </c>
      <c r="AY59" s="551">
        <f t="shared" si="20"/>
        <v>0</v>
      </c>
      <c r="AZ59" s="551">
        <f t="shared" si="20"/>
        <v>0</v>
      </c>
      <c r="BA59" s="551">
        <f t="shared" si="20"/>
        <v>0</v>
      </c>
      <c r="BB59" s="551">
        <f t="shared" si="20"/>
        <v>0</v>
      </c>
      <c r="BC59" s="551">
        <f t="shared" si="20"/>
        <v>0</v>
      </c>
      <c r="BD59" s="551">
        <f t="shared" si="20"/>
        <v>0</v>
      </c>
      <c r="BE59" s="551">
        <f t="shared" si="20"/>
        <v>0</v>
      </c>
      <c r="BF59" s="551">
        <f t="shared" si="20"/>
        <v>0</v>
      </c>
      <c r="BG59" s="551">
        <f t="shared" si="20"/>
        <v>0</v>
      </c>
      <c r="BH59" s="551">
        <f>G59</f>
        <v>5000</v>
      </c>
      <c r="BI59" s="551">
        <f>BH59</f>
        <v>5000</v>
      </c>
      <c r="BJ59" s="551">
        <f>CEILING($B$53*BJ57*$F$2*$F$3, 100)</f>
        <v>0</v>
      </c>
      <c r="BK59" s="551">
        <f>H59</f>
        <v>3300</v>
      </c>
      <c r="BL59" s="551">
        <f t="shared" si="20"/>
        <v>0</v>
      </c>
      <c r="BM59" s="551">
        <f t="shared" si="20"/>
        <v>0</v>
      </c>
      <c r="BN59" s="551">
        <f t="shared" si="20"/>
        <v>0</v>
      </c>
      <c r="BO59" s="551">
        <f>BK59</f>
        <v>3300</v>
      </c>
      <c r="BP59" s="551">
        <f>BO59</f>
        <v>3300</v>
      </c>
      <c r="BQ59" s="551">
        <f t="shared" si="20"/>
        <v>0</v>
      </c>
      <c r="BR59" s="551">
        <f t="shared" si="20"/>
        <v>0</v>
      </c>
      <c r="BS59" s="551">
        <f t="shared" ref="BS59:CX59" si="21">CEILING($B$53*BS57*$F$2*$F$3, 100)</f>
        <v>0</v>
      </c>
      <c r="BT59" s="551"/>
      <c r="BU59" s="551">
        <f>CEILING($B$53*BU57*$F$2*$F$3, 100)</f>
        <v>0</v>
      </c>
      <c r="BV59" s="551">
        <f>CEILING($B$53*BV57*$F$2*$F$3, 100)</f>
        <v>0</v>
      </c>
      <c r="BW59" s="551">
        <f>CEILING($B$53*BW57*$F$2*$F$3, 100)</f>
        <v>0</v>
      </c>
      <c r="BX59" s="551">
        <f>CEILING($B$53*BX57*$F$2*$F$3, 100)</f>
        <v>0</v>
      </c>
      <c r="BY59" s="551">
        <f>CEILING($B$53*BY57*$F$2*$F$3, 100)</f>
        <v>0</v>
      </c>
      <c r="BZ59" s="551">
        <f t="shared" si="21"/>
        <v>0</v>
      </c>
      <c r="CA59" s="551">
        <f t="shared" si="21"/>
        <v>0</v>
      </c>
      <c r="CB59" s="551">
        <f t="shared" si="21"/>
        <v>0</v>
      </c>
      <c r="CC59" s="551">
        <f t="shared" si="21"/>
        <v>0</v>
      </c>
      <c r="CD59" s="551">
        <f t="shared" si="21"/>
        <v>0</v>
      </c>
      <c r="CE59" s="551">
        <f t="shared" si="21"/>
        <v>0</v>
      </c>
      <c r="CF59" s="551">
        <f>BT59</f>
        <v>0</v>
      </c>
      <c r="CG59" s="551">
        <f t="shared" si="21"/>
        <v>0</v>
      </c>
      <c r="CH59" s="551">
        <f>CEILING(CF59*$CH$57, 50)</f>
        <v>0</v>
      </c>
      <c r="CI59" s="551">
        <f t="shared" si="21"/>
        <v>0</v>
      </c>
      <c r="CJ59" s="551">
        <f>CF59</f>
        <v>0</v>
      </c>
      <c r="CK59" s="551">
        <f>CEILING(CJ59*$CK$57, 50)</f>
        <v>0</v>
      </c>
      <c r="CL59" s="551">
        <f t="shared" si="21"/>
        <v>0</v>
      </c>
      <c r="CM59" s="551">
        <f t="shared" si="21"/>
        <v>0</v>
      </c>
      <c r="CN59" s="551">
        <f t="shared" si="21"/>
        <v>0</v>
      </c>
      <c r="CO59" s="551">
        <f t="shared" si="21"/>
        <v>0</v>
      </c>
      <c r="CP59" s="551">
        <f t="shared" si="21"/>
        <v>0</v>
      </c>
      <c r="CQ59" s="551">
        <f t="shared" si="21"/>
        <v>0</v>
      </c>
      <c r="CR59" s="551">
        <f t="shared" si="21"/>
        <v>0</v>
      </c>
      <c r="CS59" s="551">
        <f t="shared" si="21"/>
        <v>0</v>
      </c>
      <c r="CT59" s="551">
        <f t="shared" si="21"/>
        <v>0</v>
      </c>
      <c r="CU59" s="551">
        <f t="shared" si="21"/>
        <v>0</v>
      </c>
      <c r="CV59" s="551">
        <f t="shared" si="21"/>
        <v>0</v>
      </c>
      <c r="CW59" s="551">
        <f t="shared" si="21"/>
        <v>0</v>
      </c>
      <c r="CX59" s="551">
        <f t="shared" si="21"/>
        <v>0</v>
      </c>
      <c r="CY59" s="551">
        <f t="shared" ref="CY59:EE59" si="22">CEILING($B$53*CY57*$F$2*$F$3, 100)</f>
        <v>0</v>
      </c>
      <c r="CZ59" s="1083"/>
      <c r="DA59" s="551">
        <f t="shared" si="22"/>
        <v>0</v>
      </c>
      <c r="DB59" s="551">
        <f t="shared" si="22"/>
        <v>0</v>
      </c>
      <c r="DC59" s="551">
        <f t="shared" si="22"/>
        <v>0</v>
      </c>
      <c r="DD59" s="551">
        <f t="shared" si="22"/>
        <v>0</v>
      </c>
      <c r="DE59" s="551">
        <f t="shared" si="22"/>
        <v>0</v>
      </c>
      <c r="DF59" s="551">
        <f t="shared" si="22"/>
        <v>0</v>
      </c>
      <c r="DG59" s="551">
        <f t="shared" si="22"/>
        <v>0</v>
      </c>
      <c r="DH59" s="551">
        <f t="shared" si="22"/>
        <v>0</v>
      </c>
      <c r="DI59" s="551">
        <f t="shared" si="22"/>
        <v>0</v>
      </c>
      <c r="DJ59" s="551">
        <f t="shared" si="22"/>
        <v>0</v>
      </c>
      <c r="DK59" s="551">
        <f t="shared" si="22"/>
        <v>0</v>
      </c>
      <c r="DL59" s="551">
        <f t="shared" si="22"/>
        <v>0</v>
      </c>
      <c r="DM59" s="551">
        <f t="shared" si="22"/>
        <v>0</v>
      </c>
      <c r="DN59" s="551">
        <f t="shared" si="22"/>
        <v>0</v>
      </c>
      <c r="DO59" s="551">
        <f t="shared" si="22"/>
        <v>0</v>
      </c>
      <c r="DP59" s="551">
        <f t="shared" si="22"/>
        <v>0</v>
      </c>
      <c r="DQ59" s="551">
        <f t="shared" si="22"/>
        <v>0</v>
      </c>
      <c r="DR59" s="551">
        <f t="shared" si="22"/>
        <v>0</v>
      </c>
      <c r="DS59" s="551">
        <f t="shared" si="22"/>
        <v>0</v>
      </c>
      <c r="DT59" s="551">
        <f t="shared" si="22"/>
        <v>0</v>
      </c>
      <c r="DU59" s="551">
        <f t="shared" si="22"/>
        <v>0</v>
      </c>
      <c r="DV59" s="551">
        <f t="shared" si="22"/>
        <v>0</v>
      </c>
      <c r="DW59" s="551">
        <f t="shared" si="22"/>
        <v>0</v>
      </c>
      <c r="DX59" s="551">
        <f t="shared" si="22"/>
        <v>0</v>
      </c>
      <c r="DY59" s="551">
        <f t="shared" si="22"/>
        <v>0</v>
      </c>
      <c r="DZ59" s="551">
        <f t="shared" si="22"/>
        <v>0</v>
      </c>
      <c r="EA59" s="551">
        <f t="shared" si="22"/>
        <v>0</v>
      </c>
      <c r="EB59" s="551">
        <f t="shared" si="22"/>
        <v>0</v>
      </c>
      <c r="EC59" s="551">
        <f t="shared" si="22"/>
        <v>0</v>
      </c>
      <c r="ED59" s="551">
        <f t="shared" si="22"/>
        <v>0</v>
      </c>
      <c r="EE59" s="551">
        <f t="shared" si="22"/>
        <v>0</v>
      </c>
      <c r="EF59" s="551">
        <f t="shared" ref="EF59:EV59" si="23">CEILING($B$53*EF57*$F$2*$F$3, 100)</f>
        <v>0</v>
      </c>
      <c r="EG59" s="551">
        <f t="shared" si="23"/>
        <v>0</v>
      </c>
      <c r="EH59" s="551">
        <f t="shared" si="23"/>
        <v>0</v>
      </c>
      <c r="EI59" s="551">
        <f t="shared" si="23"/>
        <v>0</v>
      </c>
      <c r="EJ59" s="551">
        <f t="shared" si="23"/>
        <v>0</v>
      </c>
      <c r="EK59" s="551">
        <f t="shared" si="23"/>
        <v>0</v>
      </c>
      <c r="EL59" s="551">
        <f t="shared" si="23"/>
        <v>0</v>
      </c>
      <c r="EM59" s="551">
        <f t="shared" si="23"/>
        <v>0</v>
      </c>
      <c r="EN59" s="2708">
        <f t="shared" si="23"/>
        <v>0</v>
      </c>
      <c r="EO59" s="2708">
        <f t="shared" si="23"/>
        <v>0</v>
      </c>
      <c r="EP59" s="2708">
        <f t="shared" si="23"/>
        <v>0</v>
      </c>
      <c r="EQ59" s="2708">
        <f t="shared" si="23"/>
        <v>0</v>
      </c>
      <c r="ER59" s="2708">
        <f t="shared" si="23"/>
        <v>0</v>
      </c>
      <c r="ES59" s="2708">
        <f t="shared" si="23"/>
        <v>0</v>
      </c>
      <c r="ET59" s="2708">
        <f t="shared" si="23"/>
        <v>0</v>
      </c>
      <c r="EU59" s="2708">
        <f t="shared" si="23"/>
        <v>0</v>
      </c>
      <c r="EV59" s="2708">
        <f t="shared" si="23"/>
        <v>0</v>
      </c>
      <c r="EW59" s="441"/>
    </row>
    <row r="60" spans="1:153" s="442" customFormat="1" ht="15.75" hidden="1" customHeight="1" outlineLevel="2">
      <c r="A60" s="4429"/>
      <c r="B60" s="5230"/>
      <c r="C60" s="5230"/>
      <c r="D60" s="4430"/>
      <c r="E60" s="5228" t="s">
        <v>1223</v>
      </c>
      <c r="F60" s="5228"/>
      <c r="G60" s="551">
        <f>CEILING($B$54*G57*$F$2*$F$3, 100)</f>
        <v>5700</v>
      </c>
      <c r="H60" s="551">
        <f>CEILING($B$54*H57*$F$2*$F$3, 100)</f>
        <v>3800</v>
      </c>
      <c r="I60" s="551">
        <f t="shared" ref="I60:AK60" si="24">CEILING($B$54*I57*$F$2*$F$3, 100)</f>
        <v>0</v>
      </c>
      <c r="J60" s="551">
        <f t="shared" si="24"/>
        <v>0</v>
      </c>
      <c r="K60" s="551">
        <f t="shared" si="24"/>
        <v>0</v>
      </c>
      <c r="L60" s="551">
        <f>H60</f>
        <v>3800</v>
      </c>
      <c r="M60" s="551">
        <f t="shared" si="24"/>
        <v>0</v>
      </c>
      <c r="N60" s="551">
        <f t="shared" si="24"/>
        <v>0</v>
      </c>
      <c r="O60" s="551">
        <f t="shared" si="9"/>
        <v>5700</v>
      </c>
      <c r="P60" s="551">
        <f t="shared" si="9"/>
        <v>3800</v>
      </c>
      <c r="Q60" s="551">
        <f>P60</f>
        <v>3800</v>
      </c>
      <c r="R60" s="551">
        <f t="shared" si="10"/>
        <v>5700</v>
      </c>
      <c r="S60" s="551">
        <f t="shared" si="10"/>
        <v>3800</v>
      </c>
      <c r="T60" s="551">
        <f>P60</f>
        <v>3800</v>
      </c>
      <c r="U60" s="551">
        <f t="shared" si="24"/>
        <v>0</v>
      </c>
      <c r="V60" s="551">
        <f t="shared" si="24"/>
        <v>0</v>
      </c>
      <c r="W60" s="551">
        <f t="shared" si="24"/>
        <v>0</v>
      </c>
      <c r="X60" s="551">
        <f t="shared" si="19"/>
        <v>5700</v>
      </c>
      <c r="Y60" s="551">
        <f t="shared" si="19"/>
        <v>3800</v>
      </c>
      <c r="Z60" s="551">
        <f t="shared" si="19"/>
        <v>3800</v>
      </c>
      <c r="AA60" s="551">
        <f>Z60</f>
        <v>3800</v>
      </c>
      <c r="AB60" s="551">
        <f t="shared" si="24"/>
        <v>0</v>
      </c>
      <c r="AC60" s="551">
        <f t="shared" si="24"/>
        <v>0</v>
      </c>
      <c r="AD60" s="551">
        <f t="shared" si="24"/>
        <v>0</v>
      </c>
      <c r="AE60" s="551">
        <f t="shared" si="24"/>
        <v>0</v>
      </c>
      <c r="AF60" s="551">
        <f t="shared" si="11"/>
        <v>5700</v>
      </c>
      <c r="AG60" s="551">
        <f t="shared" si="11"/>
        <v>3800</v>
      </c>
      <c r="AH60" s="551">
        <f t="shared" si="24"/>
        <v>0</v>
      </c>
      <c r="AI60" s="551">
        <f t="shared" si="24"/>
        <v>0</v>
      </c>
      <c r="AJ60" s="551">
        <f t="shared" si="24"/>
        <v>0</v>
      </c>
      <c r="AK60" s="551">
        <f t="shared" si="24"/>
        <v>0</v>
      </c>
      <c r="AL60" s="551">
        <f t="shared" si="12"/>
        <v>5700</v>
      </c>
      <c r="AM60" s="551">
        <f t="shared" si="12"/>
        <v>3800</v>
      </c>
      <c r="AN60" s="551">
        <f t="shared" si="13"/>
        <v>3800</v>
      </c>
      <c r="AO60" s="551">
        <f t="shared" si="13"/>
        <v>3800</v>
      </c>
      <c r="AP60" s="551">
        <f t="shared" ref="AP60:BR60" si="25">CEILING($B$54*AP57*$F$2*$F$3, 100)</f>
        <v>0</v>
      </c>
      <c r="AQ60" s="551">
        <f t="shared" si="25"/>
        <v>0</v>
      </c>
      <c r="AR60" s="551">
        <f t="shared" si="25"/>
        <v>0</v>
      </c>
      <c r="AS60" s="551">
        <f t="shared" si="25"/>
        <v>0</v>
      </c>
      <c r="AT60" s="551">
        <f t="shared" si="25"/>
        <v>0</v>
      </c>
      <c r="AU60" s="551">
        <f t="shared" si="25"/>
        <v>0</v>
      </c>
      <c r="AV60" s="551">
        <f t="shared" si="25"/>
        <v>0</v>
      </c>
      <c r="AW60" s="551">
        <f t="shared" si="25"/>
        <v>0</v>
      </c>
      <c r="AX60" s="551">
        <f t="shared" si="25"/>
        <v>0</v>
      </c>
      <c r="AY60" s="551">
        <f t="shared" si="25"/>
        <v>0</v>
      </c>
      <c r="AZ60" s="551">
        <f t="shared" si="25"/>
        <v>0</v>
      </c>
      <c r="BA60" s="551">
        <f t="shared" si="25"/>
        <v>0</v>
      </c>
      <c r="BB60" s="551">
        <f t="shared" si="25"/>
        <v>0</v>
      </c>
      <c r="BC60" s="551">
        <f t="shared" si="25"/>
        <v>0</v>
      </c>
      <c r="BD60" s="551">
        <f t="shared" si="25"/>
        <v>0</v>
      </c>
      <c r="BE60" s="551">
        <f t="shared" si="25"/>
        <v>0</v>
      </c>
      <c r="BF60" s="551">
        <f t="shared" si="25"/>
        <v>0</v>
      </c>
      <c r="BG60" s="551">
        <f t="shared" si="25"/>
        <v>0</v>
      </c>
      <c r="BH60" s="551">
        <f>G60</f>
        <v>5700</v>
      </c>
      <c r="BI60" s="551">
        <f>BH60</f>
        <v>5700</v>
      </c>
      <c r="BJ60" s="551">
        <f>CEILING($B$54*BJ57*$F$2*$F$3, 100)</f>
        <v>0</v>
      </c>
      <c r="BK60" s="551">
        <f>H60</f>
        <v>3800</v>
      </c>
      <c r="BL60" s="551">
        <f t="shared" si="25"/>
        <v>0</v>
      </c>
      <c r="BM60" s="551">
        <f t="shared" si="25"/>
        <v>0</v>
      </c>
      <c r="BN60" s="551">
        <f t="shared" si="25"/>
        <v>0</v>
      </c>
      <c r="BO60" s="551">
        <f>BK60</f>
        <v>3800</v>
      </c>
      <c r="BP60" s="551">
        <f>BO60</f>
        <v>3800</v>
      </c>
      <c r="BQ60" s="551">
        <f t="shared" si="25"/>
        <v>0</v>
      </c>
      <c r="BR60" s="551">
        <f t="shared" si="25"/>
        <v>0</v>
      </c>
      <c r="BS60" s="551">
        <f t="shared" ref="BS60:CX60" si="26">CEILING($B$54*BS57*$F$2*$F$3, 100)</f>
        <v>0</v>
      </c>
      <c r="BT60" s="551"/>
      <c r="BU60" s="551">
        <f>CEILING($B$54*BU57*$F$2*$F$3, 100)</f>
        <v>0</v>
      </c>
      <c r="BV60" s="551">
        <f>CEILING($B$54*BV57*$F$2*$F$3, 100)</f>
        <v>0</v>
      </c>
      <c r="BW60" s="551">
        <f>CEILING($B$54*BW57*$F$2*$F$3, 100)</f>
        <v>0</v>
      </c>
      <c r="BX60" s="551">
        <f>CEILING($B$54*BX57*$F$2*$F$3, 100)</f>
        <v>0</v>
      </c>
      <c r="BY60" s="551">
        <f>CEILING($B$54*BY57*$F$2*$F$3, 100)</f>
        <v>0</v>
      </c>
      <c r="BZ60" s="551">
        <f t="shared" si="26"/>
        <v>0</v>
      </c>
      <c r="CA60" s="551">
        <f t="shared" si="26"/>
        <v>0</v>
      </c>
      <c r="CB60" s="551">
        <f t="shared" si="26"/>
        <v>0</v>
      </c>
      <c r="CC60" s="551">
        <f t="shared" si="26"/>
        <v>0</v>
      </c>
      <c r="CD60" s="551">
        <f t="shared" si="26"/>
        <v>0</v>
      </c>
      <c r="CE60" s="551">
        <f t="shared" si="26"/>
        <v>0</v>
      </c>
      <c r="CF60" s="551">
        <f>BT60</f>
        <v>0</v>
      </c>
      <c r="CG60" s="551">
        <f t="shared" si="26"/>
        <v>0</v>
      </c>
      <c r="CH60" s="551">
        <f>CEILING(CF60*$CH$57, 50)</f>
        <v>0</v>
      </c>
      <c r="CI60" s="551">
        <f t="shared" si="26"/>
        <v>0</v>
      </c>
      <c r="CJ60" s="551">
        <f>CF60</f>
        <v>0</v>
      </c>
      <c r="CK60" s="551">
        <f>CEILING(CJ60*$CK$57, 50)</f>
        <v>0</v>
      </c>
      <c r="CL60" s="551">
        <f t="shared" si="26"/>
        <v>0</v>
      </c>
      <c r="CM60" s="551">
        <f t="shared" si="26"/>
        <v>0</v>
      </c>
      <c r="CN60" s="551">
        <f t="shared" si="26"/>
        <v>0</v>
      </c>
      <c r="CO60" s="551">
        <f t="shared" si="26"/>
        <v>0</v>
      </c>
      <c r="CP60" s="551">
        <f t="shared" si="26"/>
        <v>0</v>
      </c>
      <c r="CQ60" s="551">
        <f t="shared" si="26"/>
        <v>0</v>
      </c>
      <c r="CR60" s="551">
        <f t="shared" si="26"/>
        <v>0</v>
      </c>
      <c r="CS60" s="551">
        <f t="shared" si="26"/>
        <v>0</v>
      </c>
      <c r="CT60" s="551">
        <f t="shared" si="26"/>
        <v>0</v>
      </c>
      <c r="CU60" s="551">
        <f t="shared" si="26"/>
        <v>0</v>
      </c>
      <c r="CV60" s="551">
        <f t="shared" si="26"/>
        <v>0</v>
      </c>
      <c r="CW60" s="551">
        <f t="shared" si="26"/>
        <v>0</v>
      </c>
      <c r="CX60" s="551">
        <f t="shared" si="26"/>
        <v>0</v>
      </c>
      <c r="CY60" s="551">
        <f t="shared" ref="CY60:EE60" si="27">CEILING($B$54*CY57*$F$2*$F$3, 100)</f>
        <v>0</v>
      </c>
      <c r="CZ60" s="1083"/>
      <c r="DA60" s="551">
        <f t="shared" si="27"/>
        <v>0</v>
      </c>
      <c r="DB60" s="551">
        <f t="shared" si="27"/>
        <v>0</v>
      </c>
      <c r="DC60" s="551">
        <f t="shared" si="27"/>
        <v>0</v>
      </c>
      <c r="DD60" s="551">
        <f t="shared" si="27"/>
        <v>0</v>
      </c>
      <c r="DE60" s="551">
        <f t="shared" si="27"/>
        <v>0</v>
      </c>
      <c r="DF60" s="551">
        <f t="shared" si="27"/>
        <v>0</v>
      </c>
      <c r="DG60" s="551">
        <f t="shared" si="27"/>
        <v>0</v>
      </c>
      <c r="DH60" s="551">
        <f t="shared" si="27"/>
        <v>0</v>
      </c>
      <c r="DI60" s="551">
        <f t="shared" si="27"/>
        <v>0</v>
      </c>
      <c r="DJ60" s="551">
        <f t="shared" si="27"/>
        <v>0</v>
      </c>
      <c r="DK60" s="551">
        <f t="shared" si="27"/>
        <v>0</v>
      </c>
      <c r="DL60" s="551">
        <f t="shared" si="27"/>
        <v>0</v>
      </c>
      <c r="DM60" s="551">
        <f t="shared" si="27"/>
        <v>0</v>
      </c>
      <c r="DN60" s="551">
        <f t="shared" si="27"/>
        <v>0</v>
      </c>
      <c r="DO60" s="551">
        <f t="shared" si="27"/>
        <v>0</v>
      </c>
      <c r="DP60" s="551">
        <f t="shared" si="27"/>
        <v>0</v>
      </c>
      <c r="DQ60" s="551">
        <f t="shared" si="27"/>
        <v>0</v>
      </c>
      <c r="DR60" s="551">
        <f t="shared" si="27"/>
        <v>0</v>
      </c>
      <c r="DS60" s="551">
        <f t="shared" si="27"/>
        <v>0</v>
      </c>
      <c r="DT60" s="551">
        <f t="shared" si="27"/>
        <v>0</v>
      </c>
      <c r="DU60" s="551">
        <f t="shared" si="27"/>
        <v>0</v>
      </c>
      <c r="DV60" s="551">
        <f t="shared" si="27"/>
        <v>0</v>
      </c>
      <c r="DW60" s="551">
        <f t="shared" si="27"/>
        <v>0</v>
      </c>
      <c r="DX60" s="551">
        <f t="shared" si="27"/>
        <v>0</v>
      </c>
      <c r="DY60" s="551">
        <f t="shared" si="27"/>
        <v>0</v>
      </c>
      <c r="DZ60" s="551">
        <f t="shared" si="27"/>
        <v>0</v>
      </c>
      <c r="EA60" s="551">
        <f t="shared" si="27"/>
        <v>0</v>
      </c>
      <c r="EB60" s="551">
        <f t="shared" si="27"/>
        <v>0</v>
      </c>
      <c r="EC60" s="551">
        <f t="shared" si="27"/>
        <v>0</v>
      </c>
      <c r="ED60" s="551">
        <f t="shared" si="27"/>
        <v>0</v>
      </c>
      <c r="EE60" s="551">
        <f t="shared" si="27"/>
        <v>0</v>
      </c>
      <c r="EF60" s="551">
        <f t="shared" ref="EF60:EV60" si="28">CEILING($B$54*EF57*$F$2*$F$3, 100)</f>
        <v>0</v>
      </c>
      <c r="EG60" s="551">
        <f t="shared" si="28"/>
        <v>0</v>
      </c>
      <c r="EH60" s="551">
        <f t="shared" si="28"/>
        <v>0</v>
      </c>
      <c r="EI60" s="551">
        <f t="shared" si="28"/>
        <v>0</v>
      </c>
      <c r="EJ60" s="551">
        <f t="shared" si="28"/>
        <v>0</v>
      </c>
      <c r="EK60" s="551">
        <f t="shared" si="28"/>
        <v>0</v>
      </c>
      <c r="EL60" s="551">
        <f t="shared" si="28"/>
        <v>0</v>
      </c>
      <c r="EM60" s="551">
        <f t="shared" si="28"/>
        <v>0</v>
      </c>
      <c r="EN60" s="2708">
        <f t="shared" si="28"/>
        <v>0</v>
      </c>
      <c r="EO60" s="2708">
        <f t="shared" si="28"/>
        <v>0</v>
      </c>
      <c r="EP60" s="2708">
        <f t="shared" si="28"/>
        <v>0</v>
      </c>
      <c r="EQ60" s="2708">
        <f t="shared" si="28"/>
        <v>0</v>
      </c>
      <c r="ER60" s="2708">
        <f t="shared" si="28"/>
        <v>0</v>
      </c>
      <c r="ES60" s="2708">
        <f t="shared" si="28"/>
        <v>0</v>
      </c>
      <c r="ET60" s="2708">
        <f t="shared" si="28"/>
        <v>0</v>
      </c>
      <c r="EU60" s="2708">
        <f t="shared" si="28"/>
        <v>0</v>
      </c>
      <c r="EV60" s="2708">
        <f t="shared" si="28"/>
        <v>0</v>
      </c>
      <c r="EW60" s="441"/>
    </row>
    <row r="61" spans="1:153" s="813" customFormat="1" ht="15.75" hidden="1" outlineLevel="2">
      <c r="A61" s="5273" t="s">
        <v>1241</v>
      </c>
      <c r="B61" s="5273"/>
      <c r="C61" s="922"/>
      <c r="D61" s="922"/>
      <c r="E61" s="922"/>
      <c r="F61" s="922"/>
      <c r="G61" s="919">
        <v>0</v>
      </c>
      <c r="H61" s="919">
        <v>0</v>
      </c>
      <c r="I61" s="919">
        <v>0</v>
      </c>
      <c r="J61" s="919">
        <v>0</v>
      </c>
      <c r="K61" s="919">
        <v>0</v>
      </c>
      <c r="L61" s="919">
        <v>0</v>
      </c>
      <c r="M61" s="919">
        <v>0</v>
      </c>
      <c r="N61" s="919">
        <v>0</v>
      </c>
      <c r="O61" s="919">
        <v>0</v>
      </c>
      <c r="P61" s="919">
        <v>0</v>
      </c>
      <c r="Q61" s="919">
        <v>0</v>
      </c>
      <c r="R61" s="919">
        <v>0</v>
      </c>
      <c r="S61" s="919">
        <v>0</v>
      </c>
      <c r="T61" s="919">
        <v>0</v>
      </c>
      <c r="U61" s="919">
        <v>0</v>
      </c>
      <c r="V61" s="919">
        <v>0</v>
      </c>
      <c r="W61" s="919">
        <v>0</v>
      </c>
      <c r="X61" s="919">
        <v>0</v>
      </c>
      <c r="Y61" s="919">
        <v>0</v>
      </c>
      <c r="Z61" s="919">
        <v>0</v>
      </c>
      <c r="AA61" s="919">
        <v>0</v>
      </c>
      <c r="AB61" s="919">
        <v>0</v>
      </c>
      <c r="AC61" s="919">
        <v>0</v>
      </c>
      <c r="AD61" s="919">
        <v>0</v>
      </c>
      <c r="AE61" s="919">
        <v>0</v>
      </c>
      <c r="AF61" s="919">
        <v>0</v>
      </c>
      <c r="AG61" s="919">
        <v>0</v>
      </c>
      <c r="AH61" s="919">
        <v>0</v>
      </c>
      <c r="AI61" s="919">
        <v>0</v>
      </c>
      <c r="AJ61" s="919">
        <v>0</v>
      </c>
      <c r="AK61" s="919">
        <v>0</v>
      </c>
      <c r="AL61" s="919">
        <v>0</v>
      </c>
      <c r="AM61" s="919">
        <v>0</v>
      </c>
      <c r="AN61" s="919">
        <v>0</v>
      </c>
      <c r="AO61" s="919">
        <v>0</v>
      </c>
      <c r="AP61" s="919">
        <v>0</v>
      </c>
      <c r="AQ61" s="919">
        <v>0</v>
      </c>
      <c r="AR61" s="919">
        <v>0</v>
      </c>
      <c r="AS61" s="919">
        <v>0</v>
      </c>
      <c r="AT61" s="919">
        <v>0</v>
      </c>
      <c r="AU61" s="919">
        <v>0</v>
      </c>
      <c r="AV61" s="919">
        <v>0</v>
      </c>
      <c r="AW61" s="919">
        <v>0</v>
      </c>
      <c r="AX61" s="919">
        <v>0</v>
      </c>
      <c r="AY61" s="919">
        <v>0</v>
      </c>
      <c r="AZ61" s="919">
        <v>0</v>
      </c>
      <c r="BA61" s="919">
        <v>0</v>
      </c>
      <c r="BB61" s="919">
        <v>0</v>
      </c>
      <c r="BC61" s="919">
        <v>0</v>
      </c>
      <c r="BD61" s="919">
        <v>0</v>
      </c>
      <c r="BE61" s="919">
        <v>0</v>
      </c>
      <c r="BF61" s="919">
        <v>0</v>
      </c>
      <c r="BG61" s="919">
        <v>0</v>
      </c>
      <c r="BH61" s="919">
        <v>0</v>
      </c>
      <c r="BI61" s="919">
        <v>0</v>
      </c>
      <c r="BJ61" s="919">
        <v>0</v>
      </c>
      <c r="BK61" s="919">
        <v>0</v>
      </c>
      <c r="BL61" s="919">
        <v>0</v>
      </c>
      <c r="BM61" s="919">
        <v>0</v>
      </c>
      <c r="BN61" s="919">
        <v>0</v>
      </c>
      <c r="BO61" s="919">
        <v>0</v>
      </c>
      <c r="BP61" s="919">
        <v>0</v>
      </c>
      <c r="BQ61" s="919">
        <v>0</v>
      </c>
      <c r="BR61" s="919">
        <v>0</v>
      </c>
      <c r="BS61" s="919">
        <v>0</v>
      </c>
      <c r="BT61" s="919">
        <v>0</v>
      </c>
      <c r="BU61" s="919">
        <v>0</v>
      </c>
      <c r="BV61" s="919">
        <v>0</v>
      </c>
      <c r="BW61" s="919">
        <v>0</v>
      </c>
      <c r="BX61" s="919">
        <v>0</v>
      </c>
      <c r="BY61" s="919">
        <v>0</v>
      </c>
      <c r="BZ61" s="919">
        <v>0</v>
      </c>
      <c r="CA61" s="919">
        <v>0</v>
      </c>
      <c r="CB61" s="919">
        <v>0</v>
      </c>
      <c r="CC61" s="919">
        <v>0</v>
      </c>
      <c r="CD61" s="919">
        <v>0</v>
      </c>
      <c r="CE61" s="919">
        <v>0</v>
      </c>
      <c r="CF61" s="919">
        <v>0</v>
      </c>
      <c r="CG61" s="919">
        <v>0</v>
      </c>
      <c r="CH61" s="919">
        <v>0</v>
      </c>
      <c r="CI61" s="919">
        <v>0</v>
      </c>
      <c r="CJ61" s="919">
        <v>0</v>
      </c>
      <c r="CK61" s="919">
        <v>0</v>
      </c>
      <c r="CL61" s="919">
        <v>0</v>
      </c>
      <c r="CM61" s="919">
        <v>0</v>
      </c>
      <c r="CN61" s="919">
        <v>0</v>
      </c>
      <c r="CO61" s="919">
        <v>0</v>
      </c>
      <c r="CP61" s="918">
        <f>2*0.8</f>
        <v>1.6</v>
      </c>
      <c r="CQ61" s="918"/>
      <c r="CR61" s="918"/>
      <c r="CS61" s="918"/>
      <c r="CT61" s="918"/>
      <c r="CU61" s="918"/>
      <c r="CV61" s="918">
        <f>0.8*0.4</f>
        <v>0.32000000000000006</v>
      </c>
      <c r="CW61" s="918">
        <f>CV61+0.8*0.3</f>
        <v>0.56000000000000005</v>
      </c>
      <c r="CX61" s="918">
        <f>2*0.2</f>
        <v>0.4</v>
      </c>
      <c r="CY61" s="919">
        <f>2*0.4</f>
        <v>0.8</v>
      </c>
      <c r="CZ61" s="1092">
        <f>CP61-CV61</f>
        <v>1.28</v>
      </c>
      <c r="DA61" s="919">
        <v>0</v>
      </c>
      <c r="DB61" s="919">
        <v>0</v>
      </c>
      <c r="DC61" s="919">
        <v>0</v>
      </c>
      <c r="DD61" s="919">
        <v>0</v>
      </c>
      <c r="DE61" s="919">
        <v>0</v>
      </c>
      <c r="DF61" s="919">
        <v>0</v>
      </c>
      <c r="DG61" s="919">
        <v>0</v>
      </c>
      <c r="DH61" s="919">
        <v>0</v>
      </c>
      <c r="DI61" s="919">
        <v>0</v>
      </c>
      <c r="DJ61" s="919">
        <v>0</v>
      </c>
      <c r="DK61" s="919">
        <v>0</v>
      </c>
      <c r="DL61" s="919">
        <v>0</v>
      </c>
      <c r="DM61" s="919">
        <v>0</v>
      </c>
      <c r="DN61" s="919">
        <v>0</v>
      </c>
      <c r="DO61" s="919">
        <v>0</v>
      </c>
      <c r="DP61" s="919">
        <v>0</v>
      </c>
      <c r="DQ61" s="919">
        <v>0</v>
      </c>
      <c r="DR61" s="919">
        <v>0</v>
      </c>
      <c r="DS61" s="919">
        <v>0</v>
      </c>
      <c r="DT61" s="919">
        <v>0</v>
      </c>
      <c r="DU61" s="919">
        <v>0</v>
      </c>
      <c r="DV61" s="919">
        <v>0</v>
      </c>
      <c r="DW61" s="919">
        <v>0</v>
      </c>
      <c r="DX61" s="919">
        <v>0</v>
      </c>
      <c r="DY61" s="919">
        <v>0</v>
      </c>
      <c r="DZ61" s="919">
        <v>0</v>
      </c>
      <c r="EA61" s="919">
        <v>0</v>
      </c>
      <c r="EB61" s="919">
        <v>0</v>
      </c>
      <c r="EC61" s="919">
        <v>0</v>
      </c>
      <c r="ED61" s="919">
        <v>0</v>
      </c>
      <c r="EE61" s="919">
        <v>0</v>
      </c>
      <c r="EF61" s="919">
        <v>0</v>
      </c>
      <c r="EG61" s="919">
        <v>0</v>
      </c>
      <c r="EH61" s="919">
        <v>0</v>
      </c>
      <c r="EI61" s="919">
        <v>0</v>
      </c>
      <c r="EJ61" s="919">
        <v>0</v>
      </c>
      <c r="EK61" s="919">
        <v>0</v>
      </c>
      <c r="EL61" s="919">
        <v>0</v>
      </c>
      <c r="EM61" s="919">
        <v>0</v>
      </c>
      <c r="EN61" s="2709">
        <v>0</v>
      </c>
      <c r="EO61" s="2709">
        <v>0</v>
      </c>
      <c r="EP61" s="2709">
        <v>0</v>
      </c>
      <c r="EQ61" s="2709">
        <v>0</v>
      </c>
      <c r="ER61" s="2709">
        <v>0</v>
      </c>
      <c r="ES61" s="2709">
        <v>0</v>
      </c>
      <c r="ET61" s="2709">
        <v>0</v>
      </c>
      <c r="EU61" s="2709">
        <v>0</v>
      </c>
      <c r="EV61" s="2709">
        <v>0</v>
      </c>
    </row>
    <row r="62" spans="1:153" s="442" customFormat="1" ht="15.75" hidden="1" customHeight="1" outlineLevel="2">
      <c r="A62" s="4639" t="s">
        <v>1219</v>
      </c>
      <c r="B62" s="4640"/>
      <c r="C62" s="4640"/>
      <c r="D62" s="4641"/>
      <c r="E62" s="5246" t="s">
        <v>1220</v>
      </c>
      <c r="F62" s="5246"/>
      <c r="G62" s="553">
        <f t="shared" ref="G62:AL62" si="29">CEILING($B$52*G61*$F$2*$F$3, 100)</f>
        <v>0</v>
      </c>
      <c r="H62" s="553">
        <f t="shared" si="29"/>
        <v>0</v>
      </c>
      <c r="I62" s="553">
        <f t="shared" si="29"/>
        <v>0</v>
      </c>
      <c r="J62" s="553">
        <f t="shared" si="29"/>
        <v>0</v>
      </c>
      <c r="K62" s="553">
        <f t="shared" si="29"/>
        <v>0</v>
      </c>
      <c r="L62" s="553">
        <f t="shared" si="29"/>
        <v>0</v>
      </c>
      <c r="M62" s="553">
        <f t="shared" si="29"/>
        <v>0</v>
      </c>
      <c r="N62" s="553">
        <f t="shared" si="29"/>
        <v>0</v>
      </c>
      <c r="O62" s="553">
        <f t="shared" si="29"/>
        <v>0</v>
      </c>
      <c r="P62" s="553">
        <f t="shared" si="29"/>
        <v>0</v>
      </c>
      <c r="Q62" s="553">
        <f t="shared" si="29"/>
        <v>0</v>
      </c>
      <c r="R62" s="553">
        <f>CEILING($B$52*R61*$F$2*$F$3, 100)</f>
        <v>0</v>
      </c>
      <c r="S62" s="553">
        <f>CEILING($B$52*S61*$F$2*$F$3, 100)</f>
        <v>0</v>
      </c>
      <c r="T62" s="553">
        <f>CEILING($B$52*T61*$F$2*$F$3, 100)</f>
        <v>0</v>
      </c>
      <c r="U62" s="553">
        <f t="shared" si="29"/>
        <v>0</v>
      </c>
      <c r="V62" s="553">
        <f t="shared" si="29"/>
        <v>0</v>
      </c>
      <c r="W62" s="553">
        <f t="shared" si="29"/>
        <v>0</v>
      </c>
      <c r="X62" s="553">
        <f t="shared" si="29"/>
        <v>0</v>
      </c>
      <c r="Y62" s="553">
        <f t="shared" si="29"/>
        <v>0</v>
      </c>
      <c r="Z62" s="553">
        <f t="shared" si="29"/>
        <v>0</v>
      </c>
      <c r="AA62" s="553">
        <f t="shared" si="29"/>
        <v>0</v>
      </c>
      <c r="AB62" s="553">
        <f t="shared" si="29"/>
        <v>0</v>
      </c>
      <c r="AC62" s="553">
        <f t="shared" si="29"/>
        <v>0</v>
      </c>
      <c r="AD62" s="553">
        <f t="shared" si="29"/>
        <v>0</v>
      </c>
      <c r="AE62" s="553">
        <f t="shared" si="29"/>
        <v>0</v>
      </c>
      <c r="AF62" s="553">
        <f t="shared" si="29"/>
        <v>0</v>
      </c>
      <c r="AG62" s="553">
        <f t="shared" si="29"/>
        <v>0</v>
      </c>
      <c r="AH62" s="553">
        <f t="shared" si="29"/>
        <v>0</v>
      </c>
      <c r="AI62" s="553">
        <f t="shared" si="29"/>
        <v>0</v>
      </c>
      <c r="AJ62" s="553">
        <f t="shared" si="29"/>
        <v>0</v>
      </c>
      <c r="AK62" s="553">
        <f t="shared" si="29"/>
        <v>0</v>
      </c>
      <c r="AL62" s="553">
        <f t="shared" si="29"/>
        <v>0</v>
      </c>
      <c r="AM62" s="553">
        <f t="shared" ref="AM62:BR62" si="30">CEILING($B$52*AM61*$F$2*$F$3, 100)</f>
        <v>0</v>
      </c>
      <c r="AN62" s="553">
        <f t="shared" si="30"/>
        <v>0</v>
      </c>
      <c r="AO62" s="553">
        <f t="shared" si="30"/>
        <v>0</v>
      </c>
      <c r="AP62" s="553">
        <f t="shared" si="30"/>
        <v>0</v>
      </c>
      <c r="AQ62" s="553">
        <f t="shared" si="30"/>
        <v>0</v>
      </c>
      <c r="AR62" s="553">
        <f t="shared" si="30"/>
        <v>0</v>
      </c>
      <c r="AS62" s="553">
        <f t="shared" si="30"/>
        <v>0</v>
      </c>
      <c r="AT62" s="553">
        <f t="shared" si="30"/>
        <v>0</v>
      </c>
      <c r="AU62" s="553">
        <f t="shared" si="30"/>
        <v>0</v>
      </c>
      <c r="AV62" s="553">
        <f t="shared" si="30"/>
        <v>0</v>
      </c>
      <c r="AW62" s="553">
        <f t="shared" si="30"/>
        <v>0</v>
      </c>
      <c r="AX62" s="553">
        <f t="shared" si="30"/>
        <v>0</v>
      </c>
      <c r="AY62" s="553">
        <f t="shared" si="30"/>
        <v>0</v>
      </c>
      <c r="AZ62" s="553">
        <f t="shared" si="30"/>
        <v>0</v>
      </c>
      <c r="BA62" s="553">
        <f t="shared" si="30"/>
        <v>0</v>
      </c>
      <c r="BB62" s="553">
        <f t="shared" si="30"/>
        <v>0</v>
      </c>
      <c r="BC62" s="553">
        <f t="shared" si="30"/>
        <v>0</v>
      </c>
      <c r="BD62" s="553">
        <f t="shared" si="30"/>
        <v>0</v>
      </c>
      <c r="BE62" s="553">
        <f t="shared" si="30"/>
        <v>0</v>
      </c>
      <c r="BF62" s="553">
        <f t="shared" si="30"/>
        <v>0</v>
      </c>
      <c r="BG62" s="553">
        <f t="shared" si="30"/>
        <v>0</v>
      </c>
      <c r="BH62" s="553">
        <f t="shared" si="30"/>
        <v>0</v>
      </c>
      <c r="BI62" s="553">
        <f t="shared" si="30"/>
        <v>0</v>
      </c>
      <c r="BJ62" s="553">
        <f>CEILING($B$52*BJ61*$F$2*$F$3, 100)</f>
        <v>0</v>
      </c>
      <c r="BK62" s="553">
        <f>CEILING($B$52*BK61*$F$2*$F$3, 100)</f>
        <v>0</v>
      </c>
      <c r="BL62" s="553">
        <f t="shared" si="30"/>
        <v>0</v>
      </c>
      <c r="BM62" s="553">
        <f t="shared" si="30"/>
        <v>0</v>
      </c>
      <c r="BN62" s="553">
        <f t="shared" si="30"/>
        <v>0</v>
      </c>
      <c r="BO62" s="553">
        <f t="shared" si="30"/>
        <v>0</v>
      </c>
      <c r="BP62" s="553">
        <f t="shared" si="30"/>
        <v>0</v>
      </c>
      <c r="BQ62" s="553">
        <f t="shared" si="30"/>
        <v>0</v>
      </c>
      <c r="BR62" s="553">
        <f t="shared" si="30"/>
        <v>0</v>
      </c>
      <c r="BS62" s="553">
        <f t="shared" ref="BS62:CU62" si="31">CEILING($B$52*BS61*$F$2*$F$3, 100)</f>
        <v>0</v>
      </c>
      <c r="BT62" s="553">
        <f>BI58</f>
        <v>2300</v>
      </c>
      <c r="BU62" s="553">
        <f>CEILING($B$52*BU61*$F$2*$F$3, 100)</f>
        <v>0</v>
      </c>
      <c r="BV62" s="553">
        <f>CEILING($B$52*BV61*$F$2*$F$3, 100)</f>
        <v>0</v>
      </c>
      <c r="BW62" s="553">
        <f>CEILING($B$52*BW61*$F$2*$F$3, 100)</f>
        <v>0</v>
      </c>
      <c r="BX62" s="553">
        <f>CEILING($B$52*BX61*$F$2*$F$3, 100)</f>
        <v>0</v>
      </c>
      <c r="BY62" s="553">
        <f>CEILING($B$52*BY61*$F$2*$F$3, 100)</f>
        <v>0</v>
      </c>
      <c r="BZ62" s="553">
        <f t="shared" si="31"/>
        <v>0</v>
      </c>
      <c r="CA62" s="553">
        <f t="shared" si="31"/>
        <v>0</v>
      </c>
      <c r="CB62" s="553">
        <f t="shared" si="31"/>
        <v>0</v>
      </c>
      <c r="CC62" s="553">
        <f t="shared" si="31"/>
        <v>0</v>
      </c>
      <c r="CD62" s="553">
        <f t="shared" si="31"/>
        <v>0</v>
      </c>
      <c r="CE62" s="553">
        <f t="shared" si="31"/>
        <v>0</v>
      </c>
      <c r="CF62" s="551">
        <f>BT62</f>
        <v>2300</v>
      </c>
      <c r="CG62" s="553">
        <f t="shared" si="31"/>
        <v>0</v>
      </c>
      <c r="CH62" s="551">
        <f>CEILING(CF62*$CH$57, 50)</f>
        <v>950</v>
      </c>
      <c r="CI62" s="553">
        <f t="shared" si="31"/>
        <v>0</v>
      </c>
      <c r="CJ62" s="551">
        <f>CF62</f>
        <v>2300</v>
      </c>
      <c r="CK62" s="551">
        <f>CEILING(CJ62*$CK$57, 50)</f>
        <v>950</v>
      </c>
      <c r="CL62" s="553">
        <f t="shared" si="31"/>
        <v>0</v>
      </c>
      <c r="CM62" s="553">
        <f t="shared" si="31"/>
        <v>0</v>
      </c>
      <c r="CN62" s="553">
        <f t="shared" si="31"/>
        <v>0</v>
      </c>
      <c r="CO62" s="553">
        <f t="shared" si="31"/>
        <v>0</v>
      </c>
      <c r="CP62" s="553">
        <f>CEILING(CF62*1.5, 100)</f>
        <v>3500</v>
      </c>
      <c r="CQ62" s="553">
        <f t="shared" si="31"/>
        <v>0</v>
      </c>
      <c r="CR62" s="553">
        <f t="shared" si="31"/>
        <v>0</v>
      </c>
      <c r="CS62" s="553">
        <f t="shared" si="31"/>
        <v>0</v>
      </c>
      <c r="CT62" s="553">
        <f t="shared" si="31"/>
        <v>0</v>
      </c>
      <c r="CU62" s="553">
        <f t="shared" si="31"/>
        <v>0</v>
      </c>
      <c r="CV62" s="553">
        <f>CEILING(CP62/4, 50)</f>
        <v>900</v>
      </c>
      <c r="CW62" s="553">
        <f>CEILING(CV62*1.3, 50)</f>
        <v>1200</v>
      </c>
      <c r="CX62" s="553">
        <f t="shared" ref="CX62:CY64" si="32">CV62</f>
        <v>900</v>
      </c>
      <c r="CY62" s="553">
        <f t="shared" si="32"/>
        <v>1200</v>
      </c>
      <c r="CZ62" s="553">
        <f>CEILING(CP62*0.9, 50)</f>
        <v>3150</v>
      </c>
      <c r="DA62" s="553">
        <f t="shared" ref="DA62:EE62" si="33">CEILING($B$52*DA61*$F$2*$F$3, 100)</f>
        <v>0</v>
      </c>
      <c r="DB62" s="553">
        <f t="shared" si="33"/>
        <v>0</v>
      </c>
      <c r="DC62" s="553">
        <f t="shared" si="33"/>
        <v>0</v>
      </c>
      <c r="DD62" s="553">
        <f t="shared" si="33"/>
        <v>0</v>
      </c>
      <c r="DE62" s="553">
        <f t="shared" si="33"/>
        <v>0</v>
      </c>
      <c r="DF62" s="553">
        <f t="shared" si="33"/>
        <v>0</v>
      </c>
      <c r="DG62" s="553">
        <f t="shared" si="33"/>
        <v>0</v>
      </c>
      <c r="DH62" s="553">
        <f t="shared" si="33"/>
        <v>0</v>
      </c>
      <c r="DI62" s="553">
        <f t="shared" si="33"/>
        <v>0</v>
      </c>
      <c r="DJ62" s="553">
        <f t="shared" si="33"/>
        <v>0</v>
      </c>
      <c r="DK62" s="553">
        <f t="shared" si="33"/>
        <v>0</v>
      </c>
      <c r="DL62" s="553">
        <f t="shared" si="33"/>
        <v>0</v>
      </c>
      <c r="DM62" s="553">
        <f t="shared" si="33"/>
        <v>0</v>
      </c>
      <c r="DN62" s="553">
        <f t="shared" si="33"/>
        <v>0</v>
      </c>
      <c r="DO62" s="553">
        <f t="shared" si="33"/>
        <v>0</v>
      </c>
      <c r="DP62" s="553">
        <f t="shared" si="33"/>
        <v>0</v>
      </c>
      <c r="DQ62" s="553">
        <f t="shared" si="33"/>
        <v>0</v>
      </c>
      <c r="DR62" s="553">
        <f t="shared" si="33"/>
        <v>0</v>
      </c>
      <c r="DS62" s="553">
        <f t="shared" si="33"/>
        <v>0</v>
      </c>
      <c r="DT62" s="553">
        <f t="shared" si="33"/>
        <v>0</v>
      </c>
      <c r="DU62" s="553">
        <f t="shared" si="33"/>
        <v>0</v>
      </c>
      <c r="DV62" s="553">
        <f t="shared" si="33"/>
        <v>0</v>
      </c>
      <c r="DW62" s="553">
        <f t="shared" si="33"/>
        <v>0</v>
      </c>
      <c r="DX62" s="553">
        <f t="shared" si="33"/>
        <v>0</v>
      </c>
      <c r="DY62" s="553">
        <f t="shared" si="33"/>
        <v>0</v>
      </c>
      <c r="DZ62" s="553">
        <f t="shared" si="33"/>
        <v>0</v>
      </c>
      <c r="EA62" s="553">
        <f t="shared" si="33"/>
        <v>0</v>
      </c>
      <c r="EB62" s="553">
        <f t="shared" si="33"/>
        <v>0</v>
      </c>
      <c r="EC62" s="553">
        <f t="shared" si="33"/>
        <v>0</v>
      </c>
      <c r="ED62" s="553">
        <f t="shared" si="33"/>
        <v>0</v>
      </c>
      <c r="EE62" s="553">
        <f t="shared" si="33"/>
        <v>0</v>
      </c>
      <c r="EF62" s="553">
        <f t="shared" ref="EF62:EV62" si="34">CEILING($B$52*EF61*$F$2*$F$3, 100)</f>
        <v>0</v>
      </c>
      <c r="EG62" s="553">
        <f t="shared" si="34"/>
        <v>0</v>
      </c>
      <c r="EH62" s="553">
        <f t="shared" si="34"/>
        <v>0</v>
      </c>
      <c r="EI62" s="553">
        <f t="shared" si="34"/>
        <v>0</v>
      </c>
      <c r="EJ62" s="553">
        <f t="shared" si="34"/>
        <v>0</v>
      </c>
      <c r="EK62" s="553">
        <f t="shared" si="34"/>
        <v>0</v>
      </c>
      <c r="EL62" s="553">
        <f t="shared" si="34"/>
        <v>0</v>
      </c>
      <c r="EM62" s="553">
        <f t="shared" si="34"/>
        <v>0</v>
      </c>
      <c r="EN62" s="2710">
        <f t="shared" si="34"/>
        <v>0</v>
      </c>
      <c r="EO62" s="2710">
        <f t="shared" si="34"/>
        <v>0</v>
      </c>
      <c r="EP62" s="2710">
        <f t="shared" si="34"/>
        <v>0</v>
      </c>
      <c r="EQ62" s="2710">
        <f t="shared" si="34"/>
        <v>0</v>
      </c>
      <c r="ER62" s="2710">
        <f t="shared" si="34"/>
        <v>0</v>
      </c>
      <c r="ES62" s="2710">
        <f t="shared" si="34"/>
        <v>0</v>
      </c>
      <c r="ET62" s="2710">
        <f t="shared" si="34"/>
        <v>0</v>
      </c>
      <c r="EU62" s="2710">
        <f t="shared" si="34"/>
        <v>0</v>
      </c>
      <c r="EV62" s="2710">
        <f t="shared" si="34"/>
        <v>0</v>
      </c>
      <c r="EW62" s="441"/>
    </row>
    <row r="63" spans="1:153" s="442" customFormat="1" ht="15.75" hidden="1" outlineLevel="2">
      <c r="A63" s="4642"/>
      <c r="B63" s="4643"/>
      <c r="C63" s="4643"/>
      <c r="D63" s="4644"/>
      <c r="E63" s="5246" t="s">
        <v>1222</v>
      </c>
      <c r="F63" s="5246"/>
      <c r="G63" s="553">
        <f t="shared" ref="G63:AL63" si="35">CEILING($B$53*G61*$F$2*$F$3, 100)</f>
        <v>0</v>
      </c>
      <c r="H63" s="553">
        <f t="shared" si="35"/>
        <v>0</v>
      </c>
      <c r="I63" s="553">
        <f t="shared" si="35"/>
        <v>0</v>
      </c>
      <c r="J63" s="553">
        <f t="shared" si="35"/>
        <v>0</v>
      </c>
      <c r="K63" s="553">
        <f t="shared" si="35"/>
        <v>0</v>
      </c>
      <c r="L63" s="553">
        <f t="shared" si="35"/>
        <v>0</v>
      </c>
      <c r="M63" s="553">
        <f t="shared" si="35"/>
        <v>0</v>
      </c>
      <c r="N63" s="553">
        <f t="shared" si="35"/>
        <v>0</v>
      </c>
      <c r="O63" s="553">
        <f t="shared" si="35"/>
        <v>0</v>
      </c>
      <c r="P63" s="553">
        <f t="shared" si="35"/>
        <v>0</v>
      </c>
      <c r="Q63" s="553">
        <f t="shared" si="35"/>
        <v>0</v>
      </c>
      <c r="R63" s="553">
        <f>CEILING($B$53*R61*$F$2*$F$3, 100)</f>
        <v>0</v>
      </c>
      <c r="S63" s="553">
        <f>CEILING($B$53*S61*$F$2*$F$3, 100)</f>
        <v>0</v>
      </c>
      <c r="T63" s="553">
        <f>CEILING($B$53*T61*$F$2*$F$3, 100)</f>
        <v>0</v>
      </c>
      <c r="U63" s="553">
        <f t="shared" si="35"/>
        <v>0</v>
      </c>
      <c r="V63" s="553">
        <f t="shared" si="35"/>
        <v>0</v>
      </c>
      <c r="W63" s="553">
        <f t="shared" si="35"/>
        <v>0</v>
      </c>
      <c r="X63" s="553">
        <f t="shared" si="35"/>
        <v>0</v>
      </c>
      <c r="Y63" s="553">
        <f t="shared" si="35"/>
        <v>0</v>
      </c>
      <c r="Z63" s="553">
        <f t="shared" si="35"/>
        <v>0</v>
      </c>
      <c r="AA63" s="553">
        <f t="shared" si="35"/>
        <v>0</v>
      </c>
      <c r="AB63" s="553">
        <f t="shared" si="35"/>
        <v>0</v>
      </c>
      <c r="AC63" s="553">
        <f t="shared" si="35"/>
        <v>0</v>
      </c>
      <c r="AD63" s="553">
        <f t="shared" si="35"/>
        <v>0</v>
      </c>
      <c r="AE63" s="553">
        <f t="shared" si="35"/>
        <v>0</v>
      </c>
      <c r="AF63" s="553">
        <f t="shared" si="35"/>
        <v>0</v>
      </c>
      <c r="AG63" s="553">
        <f t="shared" si="35"/>
        <v>0</v>
      </c>
      <c r="AH63" s="553">
        <f t="shared" si="35"/>
        <v>0</v>
      </c>
      <c r="AI63" s="553">
        <f t="shared" si="35"/>
        <v>0</v>
      </c>
      <c r="AJ63" s="553">
        <f t="shared" si="35"/>
        <v>0</v>
      </c>
      <c r="AK63" s="553">
        <f t="shared" si="35"/>
        <v>0</v>
      </c>
      <c r="AL63" s="553">
        <f t="shared" si="35"/>
        <v>0</v>
      </c>
      <c r="AM63" s="553">
        <f t="shared" ref="AM63:BR63" si="36">CEILING($B$53*AM61*$F$2*$F$3, 100)</f>
        <v>0</v>
      </c>
      <c r="AN63" s="553">
        <f t="shared" si="36"/>
        <v>0</v>
      </c>
      <c r="AO63" s="553">
        <f t="shared" si="36"/>
        <v>0</v>
      </c>
      <c r="AP63" s="553">
        <f t="shared" si="36"/>
        <v>0</v>
      </c>
      <c r="AQ63" s="553">
        <f t="shared" si="36"/>
        <v>0</v>
      </c>
      <c r="AR63" s="553">
        <f t="shared" si="36"/>
        <v>0</v>
      </c>
      <c r="AS63" s="553">
        <f t="shared" si="36"/>
        <v>0</v>
      </c>
      <c r="AT63" s="553">
        <f t="shared" si="36"/>
        <v>0</v>
      </c>
      <c r="AU63" s="553">
        <f t="shared" si="36"/>
        <v>0</v>
      </c>
      <c r="AV63" s="553">
        <f t="shared" si="36"/>
        <v>0</v>
      </c>
      <c r="AW63" s="553">
        <f t="shared" si="36"/>
        <v>0</v>
      </c>
      <c r="AX63" s="553">
        <f t="shared" si="36"/>
        <v>0</v>
      </c>
      <c r="AY63" s="553">
        <f t="shared" si="36"/>
        <v>0</v>
      </c>
      <c r="AZ63" s="553">
        <f t="shared" si="36"/>
        <v>0</v>
      </c>
      <c r="BA63" s="553">
        <f t="shared" si="36"/>
        <v>0</v>
      </c>
      <c r="BB63" s="553">
        <f t="shared" si="36"/>
        <v>0</v>
      </c>
      <c r="BC63" s="553">
        <f t="shared" si="36"/>
        <v>0</v>
      </c>
      <c r="BD63" s="553">
        <f t="shared" si="36"/>
        <v>0</v>
      </c>
      <c r="BE63" s="553">
        <f t="shared" si="36"/>
        <v>0</v>
      </c>
      <c r="BF63" s="553">
        <f t="shared" si="36"/>
        <v>0</v>
      </c>
      <c r="BG63" s="553">
        <f t="shared" si="36"/>
        <v>0</v>
      </c>
      <c r="BH63" s="553">
        <f t="shared" si="36"/>
        <v>0</v>
      </c>
      <c r="BI63" s="553">
        <f t="shared" si="36"/>
        <v>0</v>
      </c>
      <c r="BJ63" s="553">
        <f>CEILING($B$53*BJ61*$F$2*$F$3, 100)</f>
        <v>0</v>
      </c>
      <c r="BK63" s="553">
        <f>CEILING($B$53*BK61*$F$2*$F$3, 100)</f>
        <v>0</v>
      </c>
      <c r="BL63" s="553">
        <f t="shared" si="36"/>
        <v>0</v>
      </c>
      <c r="BM63" s="553">
        <f t="shared" si="36"/>
        <v>0</v>
      </c>
      <c r="BN63" s="553">
        <f t="shared" si="36"/>
        <v>0</v>
      </c>
      <c r="BO63" s="553">
        <f t="shared" si="36"/>
        <v>0</v>
      </c>
      <c r="BP63" s="553">
        <f t="shared" si="36"/>
        <v>0</v>
      </c>
      <c r="BQ63" s="553">
        <f t="shared" si="36"/>
        <v>0</v>
      </c>
      <c r="BR63" s="553">
        <f t="shared" si="36"/>
        <v>0</v>
      </c>
      <c r="BS63" s="553">
        <f t="shared" ref="BS63:CU63" si="37">CEILING($B$53*BS61*$F$2*$F$3, 100)</f>
        <v>0</v>
      </c>
      <c r="BT63" s="553">
        <f>BI59</f>
        <v>5000</v>
      </c>
      <c r="BU63" s="553">
        <f>CEILING($B$53*BU61*$F$2*$F$3, 100)</f>
        <v>0</v>
      </c>
      <c r="BV63" s="553">
        <f>CEILING($B$53*BV61*$F$2*$F$3, 100)</f>
        <v>0</v>
      </c>
      <c r="BW63" s="553">
        <f>CEILING($B$53*BW61*$F$2*$F$3, 100)</f>
        <v>0</v>
      </c>
      <c r="BX63" s="553">
        <f>CEILING($B$53*BX61*$F$2*$F$3, 100)</f>
        <v>0</v>
      </c>
      <c r="BY63" s="553">
        <f>CEILING($B$53*BY61*$F$2*$F$3, 100)</f>
        <v>0</v>
      </c>
      <c r="BZ63" s="553">
        <f t="shared" si="37"/>
        <v>0</v>
      </c>
      <c r="CA63" s="553">
        <f t="shared" si="37"/>
        <v>0</v>
      </c>
      <c r="CB63" s="553">
        <f t="shared" si="37"/>
        <v>0</v>
      </c>
      <c r="CC63" s="553">
        <f t="shared" si="37"/>
        <v>0</v>
      </c>
      <c r="CD63" s="553">
        <f t="shared" si="37"/>
        <v>0</v>
      </c>
      <c r="CE63" s="553">
        <f t="shared" si="37"/>
        <v>0</v>
      </c>
      <c r="CF63" s="551">
        <f>BT63</f>
        <v>5000</v>
      </c>
      <c r="CG63" s="553">
        <f t="shared" si="37"/>
        <v>0</v>
      </c>
      <c r="CH63" s="551">
        <f>CEILING(CF63*$CH$57, 50)</f>
        <v>2000</v>
      </c>
      <c r="CI63" s="553">
        <f t="shared" si="37"/>
        <v>0</v>
      </c>
      <c r="CJ63" s="551">
        <f>CF63</f>
        <v>5000</v>
      </c>
      <c r="CK63" s="551">
        <f>CEILING(CJ63*$CK$57, 50)</f>
        <v>2000</v>
      </c>
      <c r="CL63" s="553">
        <f t="shared" si="37"/>
        <v>0</v>
      </c>
      <c r="CM63" s="553">
        <f t="shared" si="37"/>
        <v>0</v>
      </c>
      <c r="CN63" s="553">
        <f t="shared" si="37"/>
        <v>0</v>
      </c>
      <c r="CO63" s="553">
        <f t="shared" si="37"/>
        <v>0</v>
      </c>
      <c r="CP63" s="553">
        <f>CEILING(CF63*1.5, 100)</f>
        <v>7500</v>
      </c>
      <c r="CQ63" s="553">
        <f t="shared" si="37"/>
        <v>0</v>
      </c>
      <c r="CR63" s="553">
        <f t="shared" si="37"/>
        <v>0</v>
      </c>
      <c r="CS63" s="553">
        <f t="shared" si="37"/>
        <v>0</v>
      </c>
      <c r="CT63" s="553">
        <f t="shared" si="37"/>
        <v>0</v>
      </c>
      <c r="CU63" s="553">
        <f t="shared" si="37"/>
        <v>0</v>
      </c>
      <c r="CV63" s="553">
        <f>CEILING(CP63/4, 50)</f>
        <v>1900</v>
      </c>
      <c r="CW63" s="553">
        <f>CEILING(CV63*1.3, 50)</f>
        <v>2500</v>
      </c>
      <c r="CX63" s="553">
        <f t="shared" si="32"/>
        <v>1900</v>
      </c>
      <c r="CY63" s="553">
        <f t="shared" si="32"/>
        <v>2500</v>
      </c>
      <c r="CZ63" s="553">
        <f>CEILING(CP63*0.9, 50)</f>
        <v>6750</v>
      </c>
      <c r="DA63" s="553">
        <f t="shared" ref="DA63:EE63" si="38">CEILING($B$53*DA61*$F$2*$F$3, 100)</f>
        <v>0</v>
      </c>
      <c r="DB63" s="553">
        <f t="shared" si="38"/>
        <v>0</v>
      </c>
      <c r="DC63" s="553">
        <f t="shared" si="38"/>
        <v>0</v>
      </c>
      <c r="DD63" s="553">
        <f t="shared" si="38"/>
        <v>0</v>
      </c>
      <c r="DE63" s="553">
        <f t="shared" si="38"/>
        <v>0</v>
      </c>
      <c r="DF63" s="553">
        <f t="shared" si="38"/>
        <v>0</v>
      </c>
      <c r="DG63" s="553">
        <f t="shared" si="38"/>
        <v>0</v>
      </c>
      <c r="DH63" s="553">
        <f t="shared" si="38"/>
        <v>0</v>
      </c>
      <c r="DI63" s="553">
        <f t="shared" si="38"/>
        <v>0</v>
      </c>
      <c r="DJ63" s="553">
        <f t="shared" si="38"/>
        <v>0</v>
      </c>
      <c r="DK63" s="553">
        <f t="shared" si="38"/>
        <v>0</v>
      </c>
      <c r="DL63" s="553">
        <f t="shared" si="38"/>
        <v>0</v>
      </c>
      <c r="DM63" s="553">
        <f t="shared" si="38"/>
        <v>0</v>
      </c>
      <c r="DN63" s="553">
        <f t="shared" si="38"/>
        <v>0</v>
      </c>
      <c r="DO63" s="553">
        <f t="shared" si="38"/>
        <v>0</v>
      </c>
      <c r="DP63" s="553">
        <f t="shared" si="38"/>
        <v>0</v>
      </c>
      <c r="DQ63" s="553">
        <f t="shared" si="38"/>
        <v>0</v>
      </c>
      <c r="DR63" s="553">
        <f t="shared" si="38"/>
        <v>0</v>
      </c>
      <c r="DS63" s="553">
        <f t="shared" si="38"/>
        <v>0</v>
      </c>
      <c r="DT63" s="553">
        <f t="shared" si="38"/>
        <v>0</v>
      </c>
      <c r="DU63" s="553">
        <f t="shared" si="38"/>
        <v>0</v>
      </c>
      <c r="DV63" s="553">
        <f t="shared" si="38"/>
        <v>0</v>
      </c>
      <c r="DW63" s="553">
        <f t="shared" si="38"/>
        <v>0</v>
      </c>
      <c r="DX63" s="553">
        <f t="shared" si="38"/>
        <v>0</v>
      </c>
      <c r="DY63" s="553">
        <f t="shared" si="38"/>
        <v>0</v>
      </c>
      <c r="DZ63" s="553">
        <f t="shared" si="38"/>
        <v>0</v>
      </c>
      <c r="EA63" s="553">
        <f t="shared" si="38"/>
        <v>0</v>
      </c>
      <c r="EB63" s="553">
        <f t="shared" si="38"/>
        <v>0</v>
      </c>
      <c r="EC63" s="553">
        <f t="shared" si="38"/>
        <v>0</v>
      </c>
      <c r="ED63" s="553">
        <f t="shared" si="38"/>
        <v>0</v>
      </c>
      <c r="EE63" s="553">
        <f t="shared" si="38"/>
        <v>0</v>
      </c>
      <c r="EF63" s="553">
        <f t="shared" ref="EF63:EV63" si="39">CEILING($B$53*EF61*$F$2*$F$3, 100)</f>
        <v>0</v>
      </c>
      <c r="EG63" s="553">
        <f t="shared" si="39"/>
        <v>0</v>
      </c>
      <c r="EH63" s="553">
        <f t="shared" si="39"/>
        <v>0</v>
      </c>
      <c r="EI63" s="553">
        <f t="shared" si="39"/>
        <v>0</v>
      </c>
      <c r="EJ63" s="553">
        <f t="shared" si="39"/>
        <v>0</v>
      </c>
      <c r="EK63" s="553">
        <f t="shared" si="39"/>
        <v>0</v>
      </c>
      <c r="EL63" s="553">
        <f t="shared" si="39"/>
        <v>0</v>
      </c>
      <c r="EM63" s="553">
        <f t="shared" si="39"/>
        <v>0</v>
      </c>
      <c r="EN63" s="2710">
        <f t="shared" si="39"/>
        <v>0</v>
      </c>
      <c r="EO63" s="2710">
        <f t="shared" si="39"/>
        <v>0</v>
      </c>
      <c r="EP63" s="2710">
        <f t="shared" si="39"/>
        <v>0</v>
      </c>
      <c r="EQ63" s="2710">
        <f t="shared" si="39"/>
        <v>0</v>
      </c>
      <c r="ER63" s="2710">
        <f t="shared" si="39"/>
        <v>0</v>
      </c>
      <c r="ES63" s="2710">
        <f t="shared" si="39"/>
        <v>0</v>
      </c>
      <c r="ET63" s="2710">
        <f t="shared" si="39"/>
        <v>0</v>
      </c>
      <c r="EU63" s="2710">
        <f t="shared" si="39"/>
        <v>0</v>
      </c>
      <c r="EV63" s="2710">
        <f t="shared" si="39"/>
        <v>0</v>
      </c>
      <c r="EW63" s="441"/>
    </row>
    <row r="64" spans="1:153" s="442" customFormat="1" ht="15.75" hidden="1" outlineLevel="2">
      <c r="A64" s="4645"/>
      <c r="B64" s="4646"/>
      <c r="C64" s="4646"/>
      <c r="D64" s="4647"/>
      <c r="E64" s="5246" t="s">
        <v>1223</v>
      </c>
      <c r="F64" s="5246"/>
      <c r="G64" s="553">
        <f t="shared" ref="G64:AL64" si="40">CEILING($B$54*G61*$F$2*$F$3, 100)</f>
        <v>0</v>
      </c>
      <c r="H64" s="553">
        <f t="shared" si="40"/>
        <v>0</v>
      </c>
      <c r="I64" s="553">
        <f t="shared" si="40"/>
        <v>0</v>
      </c>
      <c r="J64" s="553">
        <f t="shared" si="40"/>
        <v>0</v>
      </c>
      <c r="K64" s="553">
        <f t="shared" si="40"/>
        <v>0</v>
      </c>
      <c r="L64" s="553">
        <f t="shared" si="40"/>
        <v>0</v>
      </c>
      <c r="M64" s="553">
        <f t="shared" si="40"/>
        <v>0</v>
      </c>
      <c r="N64" s="553">
        <f t="shared" si="40"/>
        <v>0</v>
      </c>
      <c r="O64" s="553">
        <f t="shared" si="40"/>
        <v>0</v>
      </c>
      <c r="P64" s="553">
        <f t="shared" si="40"/>
        <v>0</v>
      </c>
      <c r="Q64" s="553">
        <f t="shared" si="40"/>
        <v>0</v>
      </c>
      <c r="R64" s="553">
        <f>CEILING($B$54*R61*$F$2*$F$3, 100)</f>
        <v>0</v>
      </c>
      <c r="S64" s="553">
        <f>CEILING($B$54*S61*$F$2*$F$3, 100)</f>
        <v>0</v>
      </c>
      <c r="T64" s="553">
        <f>CEILING($B$54*T61*$F$2*$F$3, 100)</f>
        <v>0</v>
      </c>
      <c r="U64" s="553">
        <f t="shared" si="40"/>
        <v>0</v>
      </c>
      <c r="V64" s="553">
        <f t="shared" si="40"/>
        <v>0</v>
      </c>
      <c r="W64" s="553">
        <f t="shared" si="40"/>
        <v>0</v>
      </c>
      <c r="X64" s="553">
        <f t="shared" si="40"/>
        <v>0</v>
      </c>
      <c r="Y64" s="553">
        <f t="shared" si="40"/>
        <v>0</v>
      </c>
      <c r="Z64" s="553">
        <f t="shared" si="40"/>
        <v>0</v>
      </c>
      <c r="AA64" s="553">
        <f t="shared" si="40"/>
        <v>0</v>
      </c>
      <c r="AB64" s="553">
        <f t="shared" si="40"/>
        <v>0</v>
      </c>
      <c r="AC64" s="553">
        <f t="shared" si="40"/>
        <v>0</v>
      </c>
      <c r="AD64" s="553">
        <f t="shared" si="40"/>
        <v>0</v>
      </c>
      <c r="AE64" s="553">
        <f t="shared" si="40"/>
        <v>0</v>
      </c>
      <c r="AF64" s="553">
        <f t="shared" si="40"/>
        <v>0</v>
      </c>
      <c r="AG64" s="553">
        <f t="shared" si="40"/>
        <v>0</v>
      </c>
      <c r="AH64" s="553">
        <f t="shared" si="40"/>
        <v>0</v>
      </c>
      <c r="AI64" s="553">
        <f t="shared" si="40"/>
        <v>0</v>
      </c>
      <c r="AJ64" s="553">
        <f t="shared" si="40"/>
        <v>0</v>
      </c>
      <c r="AK64" s="553">
        <f t="shared" si="40"/>
        <v>0</v>
      </c>
      <c r="AL64" s="553">
        <f t="shared" si="40"/>
        <v>0</v>
      </c>
      <c r="AM64" s="553">
        <f t="shared" ref="AM64:BR64" si="41">CEILING($B$54*AM61*$F$2*$F$3, 100)</f>
        <v>0</v>
      </c>
      <c r="AN64" s="553">
        <f t="shared" si="41"/>
        <v>0</v>
      </c>
      <c r="AO64" s="553">
        <f t="shared" si="41"/>
        <v>0</v>
      </c>
      <c r="AP64" s="553">
        <f t="shared" si="41"/>
        <v>0</v>
      </c>
      <c r="AQ64" s="553">
        <f t="shared" si="41"/>
        <v>0</v>
      </c>
      <c r="AR64" s="553">
        <f t="shared" si="41"/>
        <v>0</v>
      </c>
      <c r="AS64" s="553">
        <f t="shared" si="41"/>
        <v>0</v>
      </c>
      <c r="AT64" s="553">
        <f t="shared" si="41"/>
        <v>0</v>
      </c>
      <c r="AU64" s="553">
        <f t="shared" si="41"/>
        <v>0</v>
      </c>
      <c r="AV64" s="553">
        <f t="shared" si="41"/>
        <v>0</v>
      </c>
      <c r="AW64" s="553">
        <f t="shared" si="41"/>
        <v>0</v>
      </c>
      <c r="AX64" s="553">
        <f t="shared" si="41"/>
        <v>0</v>
      </c>
      <c r="AY64" s="553">
        <f t="shared" si="41"/>
        <v>0</v>
      </c>
      <c r="AZ64" s="553">
        <f t="shared" si="41"/>
        <v>0</v>
      </c>
      <c r="BA64" s="553">
        <f t="shared" si="41"/>
        <v>0</v>
      </c>
      <c r="BB64" s="553">
        <f t="shared" si="41"/>
        <v>0</v>
      </c>
      <c r="BC64" s="553">
        <f t="shared" si="41"/>
        <v>0</v>
      </c>
      <c r="BD64" s="553">
        <f t="shared" si="41"/>
        <v>0</v>
      </c>
      <c r="BE64" s="553">
        <f t="shared" si="41"/>
        <v>0</v>
      </c>
      <c r="BF64" s="553">
        <f t="shared" si="41"/>
        <v>0</v>
      </c>
      <c r="BG64" s="553">
        <f t="shared" si="41"/>
        <v>0</v>
      </c>
      <c r="BH64" s="553">
        <f t="shared" si="41"/>
        <v>0</v>
      </c>
      <c r="BI64" s="553">
        <f t="shared" si="41"/>
        <v>0</v>
      </c>
      <c r="BJ64" s="553">
        <f>CEILING($B$54*BJ61*$F$2*$F$3, 100)</f>
        <v>0</v>
      </c>
      <c r="BK64" s="553">
        <f>CEILING($B$54*BK61*$F$2*$F$3, 100)</f>
        <v>0</v>
      </c>
      <c r="BL64" s="553">
        <f t="shared" si="41"/>
        <v>0</v>
      </c>
      <c r="BM64" s="553">
        <f t="shared" si="41"/>
        <v>0</v>
      </c>
      <c r="BN64" s="553">
        <f t="shared" si="41"/>
        <v>0</v>
      </c>
      <c r="BO64" s="553">
        <f t="shared" si="41"/>
        <v>0</v>
      </c>
      <c r="BP64" s="553">
        <f t="shared" si="41"/>
        <v>0</v>
      </c>
      <c r="BQ64" s="553">
        <f t="shared" si="41"/>
        <v>0</v>
      </c>
      <c r="BR64" s="553">
        <f t="shared" si="41"/>
        <v>0</v>
      </c>
      <c r="BS64" s="553">
        <f t="shared" ref="BS64:CU64" si="42">CEILING($B$54*BS61*$F$2*$F$3, 100)</f>
        <v>0</v>
      </c>
      <c r="BT64" s="553">
        <f>BI60</f>
        <v>5700</v>
      </c>
      <c r="BU64" s="553">
        <f>CEILING($B$54*BU61*$F$2*$F$3, 100)</f>
        <v>0</v>
      </c>
      <c r="BV64" s="553">
        <f>CEILING($B$54*BV61*$F$2*$F$3, 100)</f>
        <v>0</v>
      </c>
      <c r="BW64" s="553">
        <f>CEILING($B$54*BW61*$F$2*$F$3, 100)</f>
        <v>0</v>
      </c>
      <c r="BX64" s="553">
        <f>CEILING($B$54*BX61*$F$2*$F$3, 100)</f>
        <v>0</v>
      </c>
      <c r="BY64" s="553">
        <f>CEILING($B$54*BY61*$F$2*$F$3, 100)</f>
        <v>0</v>
      </c>
      <c r="BZ64" s="553">
        <f t="shared" si="42"/>
        <v>0</v>
      </c>
      <c r="CA64" s="553">
        <f t="shared" si="42"/>
        <v>0</v>
      </c>
      <c r="CB64" s="553">
        <f t="shared" si="42"/>
        <v>0</v>
      </c>
      <c r="CC64" s="553">
        <f t="shared" si="42"/>
        <v>0</v>
      </c>
      <c r="CD64" s="553">
        <f t="shared" si="42"/>
        <v>0</v>
      </c>
      <c r="CE64" s="553">
        <f t="shared" si="42"/>
        <v>0</v>
      </c>
      <c r="CF64" s="551">
        <f>BT64</f>
        <v>5700</v>
      </c>
      <c r="CG64" s="553">
        <f t="shared" si="42"/>
        <v>0</v>
      </c>
      <c r="CH64" s="551">
        <f>CEILING(CF64*$CH$57, 50)</f>
        <v>2300</v>
      </c>
      <c r="CI64" s="553">
        <f t="shared" si="42"/>
        <v>0</v>
      </c>
      <c r="CJ64" s="551">
        <f>CF64</f>
        <v>5700</v>
      </c>
      <c r="CK64" s="551">
        <f>CEILING(CJ64*$CK$57, 50)</f>
        <v>2300</v>
      </c>
      <c r="CL64" s="553">
        <f t="shared" si="42"/>
        <v>0</v>
      </c>
      <c r="CM64" s="553">
        <f t="shared" si="42"/>
        <v>0</v>
      </c>
      <c r="CN64" s="553">
        <f t="shared" si="42"/>
        <v>0</v>
      </c>
      <c r="CO64" s="553">
        <f t="shared" si="42"/>
        <v>0</v>
      </c>
      <c r="CP64" s="553">
        <f>CEILING(CF64*1.5, 100)</f>
        <v>8600</v>
      </c>
      <c r="CQ64" s="553">
        <f t="shared" si="42"/>
        <v>0</v>
      </c>
      <c r="CR64" s="553">
        <f t="shared" si="42"/>
        <v>0</v>
      </c>
      <c r="CS64" s="553">
        <f t="shared" si="42"/>
        <v>0</v>
      </c>
      <c r="CT64" s="553">
        <f t="shared" si="42"/>
        <v>0</v>
      </c>
      <c r="CU64" s="553">
        <f t="shared" si="42"/>
        <v>0</v>
      </c>
      <c r="CV64" s="553">
        <f>CEILING(CP64/4, 50)</f>
        <v>2150</v>
      </c>
      <c r="CW64" s="553">
        <f>CEILING(CV64*1.3, 50)</f>
        <v>2800</v>
      </c>
      <c r="CX64" s="553">
        <f t="shared" si="32"/>
        <v>2150</v>
      </c>
      <c r="CY64" s="553">
        <f t="shared" si="32"/>
        <v>2800</v>
      </c>
      <c r="CZ64" s="553">
        <f>CEILING(CP64*0.9, 50)</f>
        <v>7750</v>
      </c>
      <c r="DA64" s="553">
        <f t="shared" ref="DA64:EE64" si="43">CEILING($B$54*DA61*$F$2*$F$3, 100)</f>
        <v>0</v>
      </c>
      <c r="DB64" s="553">
        <f t="shared" si="43"/>
        <v>0</v>
      </c>
      <c r="DC64" s="553">
        <f t="shared" si="43"/>
        <v>0</v>
      </c>
      <c r="DD64" s="553">
        <f t="shared" si="43"/>
        <v>0</v>
      </c>
      <c r="DE64" s="553">
        <f t="shared" si="43"/>
        <v>0</v>
      </c>
      <c r="DF64" s="553">
        <f t="shared" si="43"/>
        <v>0</v>
      </c>
      <c r="DG64" s="553">
        <f t="shared" si="43"/>
        <v>0</v>
      </c>
      <c r="DH64" s="553">
        <f t="shared" si="43"/>
        <v>0</v>
      </c>
      <c r="DI64" s="553">
        <f t="shared" si="43"/>
        <v>0</v>
      </c>
      <c r="DJ64" s="553">
        <f t="shared" si="43"/>
        <v>0</v>
      </c>
      <c r="DK64" s="553">
        <f t="shared" si="43"/>
        <v>0</v>
      </c>
      <c r="DL64" s="553">
        <f t="shared" si="43"/>
        <v>0</v>
      </c>
      <c r="DM64" s="553">
        <f t="shared" si="43"/>
        <v>0</v>
      </c>
      <c r="DN64" s="553">
        <f t="shared" si="43"/>
        <v>0</v>
      </c>
      <c r="DO64" s="553">
        <f t="shared" si="43"/>
        <v>0</v>
      </c>
      <c r="DP64" s="553">
        <f t="shared" si="43"/>
        <v>0</v>
      </c>
      <c r="DQ64" s="553">
        <f t="shared" si="43"/>
        <v>0</v>
      </c>
      <c r="DR64" s="553">
        <f t="shared" si="43"/>
        <v>0</v>
      </c>
      <c r="DS64" s="553">
        <f t="shared" si="43"/>
        <v>0</v>
      </c>
      <c r="DT64" s="553">
        <f t="shared" si="43"/>
        <v>0</v>
      </c>
      <c r="DU64" s="553">
        <f t="shared" si="43"/>
        <v>0</v>
      </c>
      <c r="DV64" s="553">
        <f t="shared" si="43"/>
        <v>0</v>
      </c>
      <c r="DW64" s="553">
        <f t="shared" si="43"/>
        <v>0</v>
      </c>
      <c r="DX64" s="553">
        <f t="shared" si="43"/>
        <v>0</v>
      </c>
      <c r="DY64" s="553">
        <f t="shared" si="43"/>
        <v>0</v>
      </c>
      <c r="DZ64" s="553">
        <f t="shared" si="43"/>
        <v>0</v>
      </c>
      <c r="EA64" s="553">
        <f t="shared" si="43"/>
        <v>0</v>
      </c>
      <c r="EB64" s="553">
        <f t="shared" si="43"/>
        <v>0</v>
      </c>
      <c r="EC64" s="553">
        <f t="shared" si="43"/>
        <v>0</v>
      </c>
      <c r="ED64" s="553">
        <f t="shared" si="43"/>
        <v>0</v>
      </c>
      <c r="EE64" s="553">
        <f t="shared" si="43"/>
        <v>0</v>
      </c>
      <c r="EF64" s="553">
        <f t="shared" ref="EF64:EV64" si="44">CEILING($B$54*EF61*$F$2*$F$3, 100)</f>
        <v>0</v>
      </c>
      <c r="EG64" s="553">
        <f t="shared" si="44"/>
        <v>0</v>
      </c>
      <c r="EH64" s="553">
        <f t="shared" si="44"/>
        <v>0</v>
      </c>
      <c r="EI64" s="553">
        <f t="shared" si="44"/>
        <v>0</v>
      </c>
      <c r="EJ64" s="553">
        <f t="shared" si="44"/>
        <v>0</v>
      </c>
      <c r="EK64" s="553">
        <f t="shared" si="44"/>
        <v>0</v>
      </c>
      <c r="EL64" s="553">
        <f t="shared" si="44"/>
        <v>0</v>
      </c>
      <c r="EM64" s="553">
        <f t="shared" si="44"/>
        <v>0</v>
      </c>
      <c r="EN64" s="2710">
        <f t="shared" si="44"/>
        <v>0</v>
      </c>
      <c r="EO64" s="2710">
        <f t="shared" si="44"/>
        <v>0</v>
      </c>
      <c r="EP64" s="2710">
        <f t="shared" si="44"/>
        <v>0</v>
      </c>
      <c r="EQ64" s="2710">
        <f t="shared" si="44"/>
        <v>0</v>
      </c>
      <c r="ER64" s="2710">
        <f t="shared" si="44"/>
        <v>0</v>
      </c>
      <c r="ES64" s="2710">
        <f t="shared" si="44"/>
        <v>0</v>
      </c>
      <c r="ET64" s="2710">
        <f t="shared" si="44"/>
        <v>0</v>
      </c>
      <c r="EU64" s="2710">
        <f t="shared" si="44"/>
        <v>0</v>
      </c>
      <c r="EV64" s="2710">
        <f t="shared" si="44"/>
        <v>0</v>
      </c>
      <c r="EW64" s="441"/>
    </row>
    <row r="65" spans="1:153" s="242" customFormat="1" ht="15" hidden="1" customHeight="1" outlineLevel="2">
      <c r="A65" s="441"/>
      <c r="B65" s="250"/>
      <c r="C65" s="441"/>
      <c r="D65" s="441"/>
      <c r="E65" s="441"/>
      <c r="F65" s="441"/>
      <c r="G65" s="441"/>
      <c r="H65" s="712"/>
      <c r="I65" s="712"/>
      <c r="J65" s="441"/>
      <c r="K65" s="441"/>
      <c r="L65" s="441"/>
      <c r="M65" s="441"/>
      <c r="N65" s="441"/>
      <c r="BI65" s="694"/>
      <c r="BJ65" s="694"/>
      <c r="BK65" s="694"/>
      <c r="BL65" s="694"/>
      <c r="BM65" s="694"/>
      <c r="BN65" s="694"/>
      <c r="BO65" s="694"/>
      <c r="BP65" s="694"/>
      <c r="BQ65" s="694"/>
      <c r="BR65" s="694"/>
      <c r="BS65" s="694"/>
      <c r="BT65" s="694"/>
      <c r="BU65" s="694"/>
      <c r="BV65" s="694"/>
      <c r="BW65" s="694"/>
      <c r="BX65" s="694"/>
      <c r="BY65" s="694"/>
      <c r="BZ65" s="694"/>
      <c r="CA65" s="694"/>
      <c r="CB65" s="694"/>
      <c r="CC65" s="694"/>
      <c r="CD65" s="694"/>
      <c r="CE65" s="694"/>
      <c r="CF65" s="694"/>
      <c r="CG65" s="694"/>
      <c r="CH65" s="694"/>
      <c r="CI65" s="694"/>
      <c r="CJ65" s="694"/>
      <c r="CK65" s="694"/>
      <c r="CW65" s="694"/>
      <c r="CX65" s="694"/>
      <c r="CY65" s="694"/>
      <c r="CZ65" s="694"/>
      <c r="DA65" s="694"/>
      <c r="DB65" s="694"/>
      <c r="DC65" s="694"/>
      <c r="DD65" s="694"/>
      <c r="DE65" s="694"/>
      <c r="EG65" s="694"/>
      <c r="EH65" s="694"/>
      <c r="EI65" s="694"/>
      <c r="EN65" s="441"/>
      <c r="EO65" s="441"/>
      <c r="EP65" s="441"/>
      <c r="EQ65" s="441"/>
      <c r="ER65" s="441"/>
      <c r="ES65" s="441"/>
      <c r="ET65" s="441"/>
      <c r="EU65" s="441"/>
      <c r="EV65" s="441"/>
      <c r="EW65" s="441"/>
    </row>
    <row r="66" spans="1:153" s="25" customFormat="1" ht="15" hidden="1" customHeight="1" outlineLevel="1">
      <c r="A66" s="895" t="s">
        <v>1224</v>
      </c>
      <c r="B66" s="5231" t="s">
        <v>1305</v>
      </c>
      <c r="C66" s="5232"/>
      <c r="D66" s="896"/>
      <c r="E66" s="896"/>
      <c r="F66" s="896"/>
      <c r="G66" s="242"/>
      <c r="H66" s="242"/>
      <c r="I66" s="242"/>
      <c r="J66" s="242"/>
      <c r="K66" s="242"/>
      <c r="L66" s="242"/>
      <c r="M66" s="242"/>
      <c r="N66" s="242"/>
      <c r="O66" s="242"/>
      <c r="P66" s="242"/>
      <c r="Q66" s="242"/>
      <c r="R66" s="242"/>
      <c r="S66" s="242"/>
      <c r="T66" s="242"/>
      <c r="U66" s="242"/>
      <c r="V66" s="242"/>
      <c r="W66" s="242"/>
      <c r="X66" s="242"/>
      <c r="Y66" s="242"/>
      <c r="Z66" s="242"/>
      <c r="AA66" s="242"/>
      <c r="AB66" s="242"/>
      <c r="AC66" s="242"/>
      <c r="AD66" s="242"/>
      <c r="AE66" s="242"/>
      <c r="AF66" s="242"/>
      <c r="AG66" s="242"/>
      <c r="AH66" s="242"/>
      <c r="AI66" s="242"/>
      <c r="AJ66" s="242"/>
      <c r="AL66" s="242"/>
      <c r="AM66" s="242"/>
      <c r="AN66" s="242"/>
      <c r="AO66" s="242"/>
      <c r="AP66" s="242"/>
      <c r="AQ66" s="242"/>
      <c r="AR66" s="242"/>
      <c r="AS66" s="242"/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2"/>
      <c r="BJ66" s="242"/>
      <c r="BK66" s="242"/>
      <c r="BL66" s="242"/>
      <c r="BM66" s="242"/>
      <c r="BN66" s="242"/>
      <c r="BO66" s="242"/>
      <c r="BP66" s="242"/>
      <c r="BQ66" s="242"/>
      <c r="BR66" s="242"/>
      <c r="BS66" s="242"/>
      <c r="BT66" s="242"/>
      <c r="BU66" s="242"/>
      <c r="BV66" s="242"/>
      <c r="BW66" s="242"/>
      <c r="BX66" s="242"/>
      <c r="BY66" s="242"/>
      <c r="BZ66" s="242"/>
      <c r="CA66" s="242"/>
      <c r="CB66" s="242"/>
      <c r="CC66" s="242"/>
      <c r="CD66" s="242"/>
      <c r="CE66" s="242"/>
      <c r="CF66" s="242"/>
      <c r="CG66" s="242"/>
      <c r="CH66" s="242"/>
      <c r="CI66" s="242"/>
      <c r="CJ66" s="242"/>
      <c r="CK66" s="242"/>
      <c r="CL66" s="242"/>
      <c r="CM66" s="242"/>
      <c r="CN66" s="242"/>
      <c r="CO66" s="242"/>
      <c r="CP66" s="242"/>
      <c r="CQ66" s="242"/>
      <c r="CR66" s="242"/>
      <c r="CS66" s="242"/>
      <c r="CT66" s="242"/>
      <c r="CU66" s="242"/>
      <c r="CV66" s="242"/>
      <c r="CW66" s="242"/>
      <c r="CX66" s="242"/>
      <c r="CY66" s="242"/>
      <c r="CZ66" s="242"/>
      <c r="DA66" s="242"/>
      <c r="DB66" s="242"/>
      <c r="DC66" s="242"/>
      <c r="DD66" s="242"/>
      <c r="DE66" s="242"/>
      <c r="DF66" s="242"/>
      <c r="DG66" s="242"/>
      <c r="DH66" s="242"/>
      <c r="DI66" s="242"/>
      <c r="DJ66" s="242"/>
      <c r="DK66" s="242"/>
      <c r="DL66" s="242"/>
      <c r="DM66" s="242"/>
      <c r="DN66" s="242"/>
      <c r="DO66" s="242"/>
      <c r="DP66" s="242"/>
      <c r="DQ66" s="242"/>
      <c r="DR66" s="242"/>
      <c r="DS66" s="242"/>
      <c r="DT66" s="242"/>
      <c r="DU66" s="242"/>
      <c r="DV66" s="242"/>
      <c r="DW66" s="242"/>
      <c r="DX66" s="242"/>
      <c r="DY66" s="242"/>
      <c r="DZ66" s="242"/>
      <c r="EA66" s="242"/>
      <c r="EB66" s="242"/>
      <c r="EC66" s="242"/>
      <c r="ED66" s="242"/>
      <c r="EE66" s="242"/>
      <c r="EF66" s="242"/>
      <c r="EG66" s="242"/>
      <c r="EH66" s="242"/>
      <c r="EI66" s="242"/>
      <c r="EJ66" s="242"/>
      <c r="EK66" s="242"/>
      <c r="EL66" s="242"/>
      <c r="EM66" s="242"/>
      <c r="EN66" s="441"/>
      <c r="EO66" s="441"/>
      <c r="EP66" s="441"/>
      <c r="EQ66" s="441"/>
      <c r="ER66" s="441"/>
      <c r="ES66" s="441"/>
      <c r="ET66" s="441"/>
      <c r="EU66" s="441"/>
      <c r="EV66" s="441"/>
      <c r="EW66" s="15"/>
    </row>
    <row r="67" spans="1:153" s="897" customFormat="1" ht="15" hidden="1" customHeight="1" outlineLevel="2">
      <c r="A67" s="914"/>
      <c r="B67" s="923">
        <v>44652</v>
      </c>
      <c r="C67" s="923">
        <v>44487</v>
      </c>
      <c r="D67" s="923">
        <v>43647</v>
      </c>
      <c r="E67" s="242"/>
      <c r="F67" s="242"/>
      <c r="G67" s="242"/>
      <c r="H67" s="242"/>
      <c r="I67" s="242"/>
      <c r="J67" s="242"/>
      <c r="K67" s="242"/>
      <c r="L67" s="242"/>
      <c r="M67" s="242"/>
      <c r="N67" s="242"/>
      <c r="O67" s="242"/>
      <c r="P67" s="242"/>
      <c r="Q67" s="242"/>
      <c r="R67" s="242"/>
      <c r="S67" s="242"/>
      <c r="T67" s="242"/>
      <c r="U67" s="242"/>
      <c r="V67" s="242"/>
      <c r="W67" s="242"/>
      <c r="X67" s="242"/>
      <c r="Y67" s="242"/>
      <c r="Z67" s="242"/>
      <c r="AA67" s="242"/>
      <c r="AB67" s="242"/>
      <c r="AC67" s="242"/>
      <c r="AD67" s="242"/>
      <c r="AE67" s="242"/>
      <c r="AF67" s="242"/>
      <c r="AG67" s="242"/>
      <c r="AH67" s="242"/>
      <c r="AI67" s="242"/>
      <c r="AJ67" s="242"/>
      <c r="AL67" s="242"/>
      <c r="AM67" s="242"/>
      <c r="AN67" s="242"/>
      <c r="AO67" s="242"/>
      <c r="AP67" s="242"/>
      <c r="AQ67" s="242"/>
      <c r="AR67" s="242"/>
      <c r="AS67" s="242"/>
      <c r="AT67" s="242"/>
      <c r="AU67" s="242"/>
      <c r="AV67" s="242"/>
      <c r="AW67" s="242"/>
      <c r="AX67" s="242"/>
      <c r="AY67" s="242"/>
      <c r="AZ67" s="242"/>
      <c r="BA67" s="242"/>
      <c r="BB67" s="242"/>
      <c r="BC67" s="242"/>
      <c r="BD67" s="242"/>
      <c r="BE67" s="242"/>
      <c r="BF67" s="242"/>
      <c r="BG67" s="242"/>
      <c r="BH67" s="242"/>
      <c r="BI67" s="242"/>
      <c r="BJ67" s="242"/>
      <c r="BK67" s="242"/>
      <c r="BL67" s="242"/>
      <c r="BM67" s="242"/>
      <c r="BN67" s="242"/>
      <c r="BO67" s="242"/>
      <c r="BP67" s="242"/>
      <c r="BQ67" s="242"/>
      <c r="BR67" s="242"/>
      <c r="BS67" s="242"/>
      <c r="BT67" s="242"/>
      <c r="BU67" s="242"/>
      <c r="BV67" s="242"/>
      <c r="BW67" s="242"/>
      <c r="BX67" s="242"/>
      <c r="BY67" s="242"/>
      <c r="BZ67" s="242"/>
      <c r="CA67" s="242"/>
      <c r="CB67" s="242"/>
      <c r="CC67" s="242"/>
      <c r="CD67" s="242"/>
      <c r="CE67" s="242"/>
      <c r="CF67" s="242"/>
      <c r="CG67" s="242"/>
      <c r="CH67" s="242"/>
      <c r="CI67" s="242"/>
      <c r="CJ67" s="242"/>
      <c r="CK67" s="242"/>
      <c r="CL67" s="242"/>
      <c r="CM67" s="242"/>
      <c r="CN67" s="242"/>
      <c r="CO67" s="242"/>
      <c r="CP67" s="242"/>
      <c r="CQ67" s="242"/>
      <c r="CR67" s="242"/>
      <c r="CS67" s="242"/>
      <c r="CT67" s="242"/>
      <c r="CU67" s="242"/>
      <c r="CV67" s="242"/>
      <c r="CW67" s="242"/>
      <c r="CX67" s="242"/>
      <c r="CY67" s="242"/>
      <c r="CZ67" s="242"/>
      <c r="DA67" s="242"/>
      <c r="DB67" s="242"/>
      <c r="DC67" s="242"/>
      <c r="DD67" s="242"/>
      <c r="DE67" s="242"/>
      <c r="DF67" s="242"/>
      <c r="DG67" s="242"/>
      <c r="DH67" s="242"/>
      <c r="DI67" s="242"/>
      <c r="DJ67" s="242"/>
      <c r="DK67" s="242"/>
      <c r="DL67" s="242"/>
      <c r="DM67" s="242"/>
      <c r="DN67" s="242"/>
      <c r="DO67" s="242"/>
      <c r="DP67" s="242"/>
      <c r="DQ67" s="242"/>
      <c r="DR67" s="242"/>
      <c r="DS67" s="242"/>
      <c r="DT67" s="242"/>
      <c r="DU67" s="242"/>
      <c r="DV67" s="242"/>
      <c r="DW67" s="242"/>
      <c r="DX67" s="242"/>
      <c r="DY67" s="242"/>
      <c r="DZ67" s="242"/>
      <c r="EA67" s="242"/>
      <c r="EB67" s="242"/>
      <c r="EC67" s="242"/>
      <c r="ED67" s="242"/>
      <c r="EE67" s="242"/>
      <c r="EF67" s="242"/>
      <c r="EG67" s="242"/>
      <c r="EH67" s="242"/>
      <c r="EI67" s="242"/>
      <c r="EJ67" s="242"/>
      <c r="EK67" s="242"/>
      <c r="EL67" s="242"/>
      <c r="EM67" s="242"/>
      <c r="EN67" s="441"/>
      <c r="EO67" s="441"/>
      <c r="EP67" s="441"/>
      <c r="EQ67" s="441"/>
      <c r="ER67" s="441"/>
      <c r="ES67" s="441"/>
      <c r="ET67" s="441"/>
      <c r="EU67" s="441"/>
      <c r="EV67" s="441"/>
      <c r="EW67" s="15"/>
    </row>
    <row r="68" spans="1:153" s="897" customFormat="1" ht="15" hidden="1" customHeight="1" outlineLevel="2">
      <c r="A68" s="902" t="s">
        <v>1244</v>
      </c>
      <c r="B68" s="916">
        <v>800</v>
      </c>
      <c r="C68" s="916">
        <f>D68*1.11</f>
        <v>721.50000000000011</v>
      </c>
      <c r="D68" s="916">
        <v>650</v>
      </c>
      <c r="E68" s="242"/>
      <c r="F68" s="242"/>
      <c r="G68" s="242"/>
      <c r="H68" s="242"/>
      <c r="I68" s="242"/>
      <c r="J68" s="242"/>
      <c r="K68" s="242"/>
      <c r="L68" s="242"/>
      <c r="M68" s="242"/>
      <c r="N68" s="242"/>
      <c r="O68" s="242"/>
      <c r="P68" s="242"/>
      <c r="Q68" s="242"/>
      <c r="R68" s="242"/>
      <c r="S68" s="242"/>
      <c r="T68" s="242"/>
      <c r="U68" s="242"/>
      <c r="V68" s="242"/>
      <c r="W68" s="242"/>
      <c r="X68" s="242"/>
      <c r="Y68" s="242"/>
      <c r="Z68" s="242"/>
      <c r="AA68" s="242"/>
      <c r="AB68" s="242"/>
      <c r="AC68" s="242"/>
      <c r="AD68" s="242"/>
      <c r="AE68" s="242"/>
      <c r="AF68" s="242"/>
      <c r="AG68" s="242"/>
      <c r="AH68" s="242"/>
      <c r="AI68" s="242"/>
      <c r="AJ68" s="242"/>
      <c r="AL68" s="242"/>
      <c r="AM68" s="242"/>
      <c r="AN68" s="242"/>
      <c r="AO68" s="242"/>
      <c r="AP68" s="242"/>
      <c r="AQ68" s="242"/>
      <c r="AR68" s="242"/>
      <c r="AS68" s="242"/>
      <c r="AT68" s="242"/>
      <c r="AU68" s="242"/>
      <c r="AV68" s="242"/>
      <c r="AW68" s="242"/>
      <c r="AX68" s="242"/>
      <c r="AY68" s="242"/>
      <c r="AZ68" s="242"/>
      <c r="BA68" s="242"/>
      <c r="BB68" s="242"/>
      <c r="BC68" s="242"/>
      <c r="BD68" s="242"/>
      <c r="BE68" s="242"/>
      <c r="BF68" s="242"/>
      <c r="BG68" s="242"/>
      <c r="BH68" s="242"/>
      <c r="BI68" s="242"/>
      <c r="BJ68" s="242"/>
      <c r="BK68" s="242"/>
      <c r="BL68" s="242"/>
      <c r="BM68" s="242"/>
      <c r="BN68" s="242"/>
      <c r="BO68" s="242"/>
      <c r="BP68" s="242"/>
      <c r="BQ68" s="242"/>
      <c r="BR68" s="242"/>
      <c r="BS68" s="242"/>
      <c r="BT68" s="242"/>
      <c r="BU68" s="242"/>
      <c r="BV68" s="242"/>
      <c r="BW68" s="242"/>
      <c r="BX68" s="242"/>
      <c r="BY68" s="242"/>
      <c r="BZ68" s="242"/>
      <c r="CA68" s="242"/>
      <c r="CB68" s="242"/>
      <c r="CC68" s="242"/>
      <c r="CD68" s="242"/>
      <c r="CE68" s="242"/>
      <c r="CF68" s="242"/>
      <c r="CG68" s="242"/>
      <c r="CH68" s="242"/>
      <c r="CI68" s="242"/>
      <c r="CJ68" s="242"/>
      <c r="CK68" s="242"/>
      <c r="CL68" s="242"/>
      <c r="CM68" s="242"/>
      <c r="CN68" s="242"/>
      <c r="CO68" s="242"/>
      <c r="CP68" s="242"/>
      <c r="CQ68" s="242"/>
      <c r="CR68" s="242"/>
      <c r="CS68" s="242"/>
      <c r="CT68" s="242"/>
      <c r="CU68" s="242"/>
      <c r="CV68" s="242"/>
      <c r="CW68" s="242"/>
      <c r="CX68" s="242"/>
      <c r="CY68" s="242"/>
      <c r="CZ68" s="988" t="s">
        <v>1301</v>
      </c>
      <c r="DA68" s="242"/>
      <c r="DB68" s="242"/>
      <c r="DC68" s="242"/>
      <c r="DD68" s="242"/>
      <c r="DE68" s="242"/>
      <c r="DF68" s="242"/>
      <c r="DG68" s="242"/>
      <c r="DH68" s="242"/>
      <c r="DI68" s="242"/>
      <c r="DJ68" s="242"/>
      <c r="DK68" s="242"/>
      <c r="DL68" s="242"/>
      <c r="DM68" s="242"/>
      <c r="DN68" s="242"/>
      <c r="DO68" s="242"/>
      <c r="DP68" s="242"/>
      <c r="DQ68" s="242"/>
      <c r="DR68" s="242"/>
      <c r="DS68" s="242"/>
      <c r="DT68" s="242"/>
      <c r="DU68" s="242"/>
      <c r="DV68" s="242"/>
      <c r="DW68" s="242"/>
      <c r="DX68" s="242"/>
      <c r="DY68" s="242"/>
      <c r="DZ68" s="242"/>
      <c r="EA68" s="242"/>
      <c r="EB68" s="242"/>
      <c r="EC68" s="242"/>
      <c r="ED68" s="242"/>
      <c r="EE68" s="242"/>
      <c r="EF68" s="242"/>
      <c r="EG68" s="242"/>
      <c r="EH68" s="242"/>
      <c r="EI68" s="242"/>
      <c r="EJ68" s="242"/>
      <c r="EK68" s="242"/>
      <c r="EL68" s="242"/>
      <c r="EM68" s="242"/>
      <c r="EN68" s="441"/>
      <c r="EO68" s="441"/>
      <c r="EP68" s="441"/>
      <c r="EQ68" s="441"/>
      <c r="ER68" s="441"/>
      <c r="ES68" s="441"/>
      <c r="ET68" s="441"/>
      <c r="EU68" s="441"/>
      <c r="EV68" s="441"/>
      <c r="EW68" s="15"/>
    </row>
    <row r="69" spans="1:153" s="813" customFormat="1" ht="36" hidden="1" customHeight="1" outlineLevel="2" collapsed="1">
      <c r="A69" s="819"/>
      <c r="B69" s="819"/>
      <c r="C69" s="819"/>
      <c r="D69" s="819"/>
      <c r="E69" s="819"/>
      <c r="F69" s="819"/>
      <c r="G69" s="824" t="s">
        <v>1099</v>
      </c>
      <c r="H69" s="824" t="s">
        <v>1098</v>
      </c>
      <c r="I69" s="824" t="s">
        <v>1100</v>
      </c>
      <c r="J69" s="824" t="s">
        <v>1101</v>
      </c>
      <c r="K69" s="824" t="s">
        <v>1102</v>
      </c>
      <c r="L69" s="824" t="s">
        <v>1103</v>
      </c>
      <c r="M69" s="824" t="s">
        <v>1104</v>
      </c>
      <c r="N69" s="824" t="s">
        <v>1105</v>
      </c>
      <c r="O69" s="807" t="s">
        <v>1109</v>
      </c>
      <c r="P69" s="807" t="s">
        <v>1110</v>
      </c>
      <c r="Q69" s="807" t="s">
        <v>1111</v>
      </c>
      <c r="R69" s="807" t="s">
        <v>1107</v>
      </c>
      <c r="S69" s="807" t="s">
        <v>1106</v>
      </c>
      <c r="T69" s="807" t="s">
        <v>1108</v>
      </c>
      <c r="U69" s="817" t="s">
        <v>324</v>
      </c>
      <c r="V69" s="817" t="s">
        <v>323</v>
      </c>
      <c r="W69" s="817" t="s">
        <v>1076</v>
      </c>
      <c r="X69" s="816" t="s">
        <v>364</v>
      </c>
      <c r="Y69" s="816" t="s">
        <v>365</v>
      </c>
      <c r="Z69" s="816" t="s">
        <v>366</v>
      </c>
      <c r="AA69" s="816" t="s">
        <v>367</v>
      </c>
      <c r="AB69" s="816" t="s">
        <v>368</v>
      </c>
      <c r="AC69" s="816" t="s">
        <v>369</v>
      </c>
      <c r="AD69" s="816" t="s">
        <v>370</v>
      </c>
      <c r="AE69" s="816" t="s">
        <v>371</v>
      </c>
      <c r="AF69" s="886" t="s">
        <v>325</v>
      </c>
      <c r="AG69" s="886" t="s">
        <v>326</v>
      </c>
      <c r="AH69" s="886" t="s">
        <v>327</v>
      </c>
      <c r="AI69" s="886" t="s">
        <v>328</v>
      </c>
      <c r="AJ69" s="886" t="s">
        <v>329</v>
      </c>
      <c r="AK69" s="886" t="s">
        <v>743</v>
      </c>
      <c r="AL69" s="817" t="s">
        <v>744</v>
      </c>
      <c r="AM69" s="817" t="s">
        <v>745</v>
      </c>
      <c r="AN69" s="817" t="s">
        <v>922</v>
      </c>
      <c r="AO69" s="817" t="s">
        <v>900</v>
      </c>
      <c r="AP69" s="817" t="s">
        <v>746</v>
      </c>
      <c r="AQ69" s="817" t="s">
        <v>747</v>
      </c>
      <c r="AR69" s="817" t="s">
        <v>769</v>
      </c>
      <c r="AS69" s="817" t="s">
        <v>770</v>
      </c>
      <c r="AT69" s="807" t="s">
        <v>330</v>
      </c>
      <c r="AU69" s="807" t="s">
        <v>331</v>
      </c>
      <c r="AV69" s="807" t="s">
        <v>332</v>
      </c>
      <c r="AW69" s="807" t="s">
        <v>333</v>
      </c>
      <c r="AX69" s="807" t="s">
        <v>334</v>
      </c>
      <c r="AY69" s="825" t="s">
        <v>335</v>
      </c>
      <c r="AZ69" s="825" t="s">
        <v>336</v>
      </c>
      <c r="BA69" s="826" t="s">
        <v>337</v>
      </c>
      <c r="BB69" s="826" t="s">
        <v>338</v>
      </c>
      <c r="BC69" s="826" t="s">
        <v>339</v>
      </c>
      <c r="BD69" s="827" t="s">
        <v>340</v>
      </c>
      <c r="BE69" s="827" t="s">
        <v>341</v>
      </c>
      <c r="BF69" s="827" t="s">
        <v>342</v>
      </c>
      <c r="BG69" s="827" t="s">
        <v>343</v>
      </c>
      <c r="BH69" s="905" t="s">
        <v>1242</v>
      </c>
      <c r="BI69" s="892" t="s">
        <v>1243</v>
      </c>
      <c r="BJ69" s="886" t="s">
        <v>1113</v>
      </c>
      <c r="BK69" s="886" t="s">
        <v>1112</v>
      </c>
      <c r="BL69" s="886" t="s">
        <v>1114</v>
      </c>
      <c r="BM69" s="886" t="s">
        <v>1115</v>
      </c>
      <c r="BN69" s="886" t="s">
        <v>457</v>
      </c>
      <c r="BO69" s="807" t="s">
        <v>1077</v>
      </c>
      <c r="BP69" s="807" t="s">
        <v>1078</v>
      </c>
      <c r="BQ69" s="807" t="s">
        <v>1116</v>
      </c>
      <c r="BR69" s="886" t="s">
        <v>48</v>
      </c>
      <c r="BS69" s="886" t="s">
        <v>1117</v>
      </c>
      <c r="BT69" s="886" t="s">
        <v>1122</v>
      </c>
      <c r="BU69" s="886" t="s">
        <v>1127</v>
      </c>
      <c r="BV69" s="886" t="s">
        <v>1120</v>
      </c>
      <c r="BW69" s="886" t="s">
        <v>1125</v>
      </c>
      <c r="BX69" s="886" t="s">
        <v>1121</v>
      </c>
      <c r="BY69" s="886" t="s">
        <v>1126</v>
      </c>
      <c r="BZ69" s="886" t="s">
        <v>1118</v>
      </c>
      <c r="CA69" s="886" t="s">
        <v>1119</v>
      </c>
      <c r="CB69" s="886" t="s">
        <v>1123</v>
      </c>
      <c r="CC69" s="886" t="s">
        <v>1124</v>
      </c>
      <c r="CD69" s="807" t="s">
        <v>1128</v>
      </c>
      <c r="CE69" s="807" t="s">
        <v>1129</v>
      </c>
      <c r="CF69" s="807" t="s">
        <v>1130</v>
      </c>
      <c r="CG69" s="807" t="s">
        <v>1131</v>
      </c>
      <c r="CH69" s="807" t="s">
        <v>1132</v>
      </c>
      <c r="CI69" s="807" t="s">
        <v>1133</v>
      </c>
      <c r="CJ69" s="807" t="s">
        <v>1134</v>
      </c>
      <c r="CK69" s="807" t="s">
        <v>1135</v>
      </c>
      <c r="CL69" s="886" t="s">
        <v>394</v>
      </c>
      <c r="CM69" s="886" t="s">
        <v>395</v>
      </c>
      <c r="CN69" s="886" t="s">
        <v>396</v>
      </c>
      <c r="CO69" s="886" t="s">
        <v>397</v>
      </c>
      <c r="CP69" s="886" t="s">
        <v>1136</v>
      </c>
      <c r="CQ69" s="886" t="s">
        <v>1137</v>
      </c>
      <c r="CR69" s="886" t="s">
        <v>1138</v>
      </c>
      <c r="CS69" s="886" t="s">
        <v>1194</v>
      </c>
      <c r="CT69" s="886" t="s">
        <v>1193</v>
      </c>
      <c r="CU69" s="886" t="s">
        <v>1195</v>
      </c>
      <c r="CV69" s="988" t="s">
        <v>1302</v>
      </c>
      <c r="CW69" s="886" t="s">
        <v>1140</v>
      </c>
      <c r="CX69" s="886" t="s">
        <v>1141</v>
      </c>
      <c r="CY69" s="886" t="s">
        <v>1142</v>
      </c>
      <c r="CZ69" s="1016" t="s">
        <v>1196</v>
      </c>
      <c r="DA69" s="886" t="s">
        <v>1143</v>
      </c>
      <c r="DB69" s="886" t="s">
        <v>1144</v>
      </c>
      <c r="DC69" s="886" t="s">
        <v>321</v>
      </c>
      <c r="DD69" s="988" t="s">
        <v>1301</v>
      </c>
      <c r="DE69" s="886"/>
      <c r="DF69" s="807" t="s">
        <v>1079</v>
      </c>
      <c r="DG69" s="807" t="s">
        <v>1080</v>
      </c>
      <c r="DH69" s="807" t="s">
        <v>1081</v>
      </c>
      <c r="DI69" s="807" t="s">
        <v>1082</v>
      </c>
      <c r="DJ69" s="807" t="s">
        <v>1083</v>
      </c>
      <c r="DK69" s="807" t="s">
        <v>1084</v>
      </c>
      <c r="DL69" s="807" t="s">
        <v>1085</v>
      </c>
      <c r="DM69" s="807" t="s">
        <v>1086</v>
      </c>
      <c r="DN69" s="807" t="s">
        <v>1087</v>
      </c>
      <c r="DO69" s="807" t="s">
        <v>1088</v>
      </c>
      <c r="DP69" s="807" t="s">
        <v>1089</v>
      </c>
      <c r="DQ69" s="807" t="s">
        <v>1090</v>
      </c>
      <c r="DR69" s="807" t="s">
        <v>1091</v>
      </c>
      <c r="DS69" s="807" t="s">
        <v>1092</v>
      </c>
      <c r="DT69" s="807" t="s">
        <v>1093</v>
      </c>
      <c r="DU69" s="807" t="s">
        <v>351</v>
      </c>
      <c r="DV69" s="807" t="s">
        <v>352</v>
      </c>
      <c r="DW69" s="807" t="s">
        <v>353</v>
      </c>
      <c r="DX69" s="807" t="s">
        <v>354</v>
      </c>
      <c r="DY69" s="807" t="s">
        <v>355</v>
      </c>
      <c r="DZ69" s="807" t="s">
        <v>356</v>
      </c>
      <c r="EA69" s="886" t="s">
        <v>345</v>
      </c>
      <c r="EB69" s="886" t="s">
        <v>346</v>
      </c>
      <c r="EC69" s="886" t="s">
        <v>347</v>
      </c>
      <c r="ED69" s="886" t="s">
        <v>348</v>
      </c>
      <c r="EE69" s="886" t="s">
        <v>349</v>
      </c>
      <c r="EF69" s="886" t="s">
        <v>350</v>
      </c>
      <c r="EG69" s="886" t="s">
        <v>357</v>
      </c>
      <c r="EH69" s="886" t="s">
        <v>358</v>
      </c>
      <c r="EI69" s="886" t="s">
        <v>359</v>
      </c>
      <c r="EJ69" s="807" t="s">
        <v>441</v>
      </c>
      <c r="EK69" s="807" t="s">
        <v>442</v>
      </c>
      <c r="EL69" s="886" t="s">
        <v>307</v>
      </c>
      <c r="EM69" s="886" t="s">
        <v>1145</v>
      </c>
      <c r="EN69" s="2596" t="s">
        <v>1146</v>
      </c>
      <c r="EO69" s="2596" t="s">
        <v>1147</v>
      </c>
      <c r="EP69" s="2596" t="s">
        <v>1148</v>
      </c>
      <c r="EQ69" s="2596" t="s">
        <v>1149</v>
      </c>
      <c r="ER69" s="2596" t="s">
        <v>1150</v>
      </c>
      <c r="ES69" s="807" t="s">
        <v>1094</v>
      </c>
      <c r="ET69" s="807" t="s">
        <v>1095</v>
      </c>
      <c r="EU69" s="815" t="s">
        <v>1096</v>
      </c>
      <c r="EV69" s="815" t="s">
        <v>1097</v>
      </c>
    </row>
    <row r="70" spans="1:153" s="813" customFormat="1" ht="15.75" hidden="1" outlineLevel="2">
      <c r="A70" s="5260" t="s">
        <v>1245</v>
      </c>
      <c r="B70" s="5260"/>
      <c r="C70" s="816"/>
      <c r="D70" s="816"/>
      <c r="E70" s="816"/>
      <c r="F70" s="816"/>
      <c r="G70" s="924">
        <v>0</v>
      </c>
      <c r="H70" s="924">
        <v>0</v>
      </c>
      <c r="I70" s="924">
        <v>0</v>
      </c>
      <c r="J70" s="924">
        <v>0</v>
      </c>
      <c r="K70" s="924">
        <v>0</v>
      </c>
      <c r="L70" s="924">
        <v>0</v>
      </c>
      <c r="M70" s="924">
        <v>0</v>
      </c>
      <c r="N70" s="924">
        <v>0</v>
      </c>
      <c r="O70" s="924">
        <v>0</v>
      </c>
      <c r="P70" s="924">
        <v>0</v>
      </c>
      <c r="Q70" s="924">
        <v>0</v>
      </c>
      <c r="R70" s="924">
        <v>0</v>
      </c>
      <c r="S70" s="924">
        <v>0</v>
      </c>
      <c r="T70" s="924">
        <v>0</v>
      </c>
      <c r="U70" s="924">
        <v>0</v>
      </c>
      <c r="V70" s="924">
        <v>0</v>
      </c>
      <c r="W70" s="924">
        <v>0</v>
      </c>
      <c r="X70" s="924">
        <v>0</v>
      </c>
      <c r="Y70" s="924">
        <v>0</v>
      </c>
      <c r="Z70" s="924">
        <v>0</v>
      </c>
      <c r="AA70" s="924">
        <v>0</v>
      </c>
      <c r="AB70" s="924">
        <v>0</v>
      </c>
      <c r="AC70" s="924">
        <v>0</v>
      </c>
      <c r="AD70" s="924">
        <v>0</v>
      </c>
      <c r="AE70" s="924">
        <v>0</v>
      </c>
      <c r="AF70" s="924">
        <v>0</v>
      </c>
      <c r="AG70" s="924">
        <v>0</v>
      </c>
      <c r="AH70" s="924">
        <v>0</v>
      </c>
      <c r="AI70" s="924">
        <v>0</v>
      </c>
      <c r="AJ70" s="924">
        <v>0</v>
      </c>
      <c r="AK70" s="924">
        <v>0</v>
      </c>
      <c r="AL70" s="924">
        <v>0</v>
      </c>
      <c r="AM70" s="924">
        <v>0</v>
      </c>
      <c r="AN70" s="924">
        <v>0</v>
      </c>
      <c r="AO70" s="924">
        <v>0</v>
      </c>
      <c r="AP70" s="924">
        <v>0</v>
      </c>
      <c r="AQ70" s="924">
        <v>0</v>
      </c>
      <c r="AR70" s="924">
        <v>0</v>
      </c>
      <c r="AS70" s="924">
        <v>0</v>
      </c>
      <c r="AT70" s="924">
        <v>0</v>
      </c>
      <c r="AU70" s="924">
        <v>0</v>
      </c>
      <c r="AV70" s="924">
        <v>0</v>
      </c>
      <c r="AW70" s="924">
        <v>0</v>
      </c>
      <c r="AX70" s="924">
        <v>0</v>
      </c>
      <c r="AY70" s="924">
        <v>0</v>
      </c>
      <c r="AZ70" s="924">
        <v>0</v>
      </c>
      <c r="BA70" s="924">
        <v>0</v>
      </c>
      <c r="BB70" s="924">
        <v>0</v>
      </c>
      <c r="BC70" s="924">
        <v>0</v>
      </c>
      <c r="BD70" s="924">
        <v>0</v>
      </c>
      <c r="BE70" s="924">
        <v>0</v>
      </c>
      <c r="BF70" s="924">
        <v>0</v>
      </c>
      <c r="BG70" s="924">
        <v>0</v>
      </c>
      <c r="BH70" s="924">
        <v>0</v>
      </c>
      <c r="BI70" s="924">
        <v>0</v>
      </c>
      <c r="BJ70" s="924">
        <v>0</v>
      </c>
      <c r="BK70" s="924">
        <v>0</v>
      </c>
      <c r="BL70" s="924">
        <v>0</v>
      </c>
      <c r="BM70" s="924">
        <v>0</v>
      </c>
      <c r="BN70" s="924">
        <v>0</v>
      </c>
      <c r="BO70" s="924">
        <v>0</v>
      </c>
      <c r="BP70" s="924">
        <v>0</v>
      </c>
      <c r="BQ70" s="924">
        <v>0</v>
      </c>
      <c r="BR70" s="924">
        <v>0</v>
      </c>
      <c r="BS70" s="924">
        <v>0</v>
      </c>
      <c r="BT70" s="924">
        <v>0</v>
      </c>
      <c r="BU70" s="924">
        <v>1</v>
      </c>
      <c r="BV70" s="924">
        <v>0</v>
      </c>
      <c r="BW70" s="924">
        <v>0</v>
      </c>
      <c r="BX70" s="924">
        <v>0</v>
      </c>
      <c r="BY70" s="924">
        <v>0</v>
      </c>
      <c r="BZ70" s="924">
        <v>0</v>
      </c>
      <c r="CA70" s="924">
        <v>0</v>
      </c>
      <c r="CB70" s="924">
        <v>0</v>
      </c>
      <c r="CC70" s="924">
        <v>0</v>
      </c>
      <c r="CD70" s="924">
        <v>0</v>
      </c>
      <c r="CE70" s="924">
        <v>0</v>
      </c>
      <c r="CF70" s="924">
        <v>0</v>
      </c>
      <c r="CG70" s="924">
        <v>0</v>
      </c>
      <c r="CH70" s="924">
        <v>0</v>
      </c>
      <c r="CI70" s="924">
        <v>0</v>
      </c>
      <c r="CJ70" s="924">
        <v>0</v>
      </c>
      <c r="CK70" s="924">
        <v>0</v>
      </c>
      <c r="CL70" s="924">
        <v>0</v>
      </c>
      <c r="CM70" s="924">
        <v>0</v>
      </c>
      <c r="CN70" s="924">
        <v>0</v>
      </c>
      <c r="CO70" s="924">
        <v>0</v>
      </c>
      <c r="CP70" s="924">
        <v>0</v>
      </c>
      <c r="CQ70" s="924">
        <v>0</v>
      </c>
      <c r="CR70" s="924">
        <v>0</v>
      </c>
      <c r="CS70" s="924">
        <v>0</v>
      </c>
      <c r="CT70" s="924">
        <v>0</v>
      </c>
      <c r="CU70" s="924">
        <v>0</v>
      </c>
      <c r="CV70" s="924">
        <f>CV61</f>
        <v>0.32000000000000006</v>
      </c>
      <c r="CW70" s="924">
        <v>0</v>
      </c>
      <c r="CX70" s="924">
        <v>0</v>
      </c>
      <c r="CY70" s="924">
        <v>0</v>
      </c>
      <c r="CZ70" s="1093">
        <f>CZ61</f>
        <v>1.28</v>
      </c>
      <c r="DA70" s="924">
        <v>0</v>
      </c>
      <c r="DB70" s="924">
        <v>0</v>
      </c>
      <c r="DC70" s="924">
        <v>0</v>
      </c>
      <c r="DD70" s="924">
        <f>CEILING(0.8*(2-0.25)*2, 0.05)</f>
        <v>2.8000000000000003</v>
      </c>
      <c r="DE70" s="924">
        <v>0</v>
      </c>
      <c r="DF70" s="924">
        <v>0</v>
      </c>
      <c r="DG70" s="924">
        <v>0</v>
      </c>
      <c r="DH70" s="924">
        <v>0</v>
      </c>
      <c r="DI70" s="924">
        <v>0</v>
      </c>
      <c r="DJ70" s="924">
        <v>0</v>
      </c>
      <c r="DK70" s="924">
        <v>0</v>
      </c>
      <c r="DL70" s="924">
        <v>0</v>
      </c>
      <c r="DM70" s="924">
        <v>0</v>
      </c>
      <c r="DN70" s="924">
        <v>0</v>
      </c>
      <c r="DO70" s="924">
        <v>0</v>
      </c>
      <c r="DP70" s="924">
        <v>0</v>
      </c>
      <c r="DQ70" s="924">
        <v>0</v>
      </c>
      <c r="DR70" s="924">
        <v>0</v>
      </c>
      <c r="DS70" s="924">
        <v>0</v>
      </c>
      <c r="DT70" s="924">
        <v>0</v>
      </c>
      <c r="DU70" s="924">
        <v>0</v>
      </c>
      <c r="DV70" s="924">
        <v>0</v>
      </c>
      <c r="DW70" s="924">
        <v>0</v>
      </c>
      <c r="DX70" s="924">
        <v>0</v>
      </c>
      <c r="DY70" s="924">
        <v>0</v>
      </c>
      <c r="DZ70" s="924">
        <v>0</v>
      </c>
      <c r="EA70" s="924">
        <v>0</v>
      </c>
      <c r="EB70" s="924">
        <v>0</v>
      </c>
      <c r="EC70" s="924">
        <v>0</v>
      </c>
      <c r="ED70" s="924">
        <v>0</v>
      </c>
      <c r="EE70" s="924">
        <v>0</v>
      </c>
      <c r="EF70" s="924">
        <v>0</v>
      </c>
      <c r="EG70" s="924">
        <v>0</v>
      </c>
      <c r="EH70" s="924">
        <v>0</v>
      </c>
      <c r="EI70" s="924">
        <v>0</v>
      </c>
      <c r="EJ70" s="924">
        <v>0</v>
      </c>
      <c r="EK70" s="924">
        <v>0</v>
      </c>
      <c r="EL70" s="924">
        <v>0</v>
      </c>
      <c r="EM70" s="924">
        <v>0</v>
      </c>
      <c r="EN70" s="2711">
        <v>0</v>
      </c>
      <c r="EO70" s="2711">
        <v>0</v>
      </c>
      <c r="EP70" s="2711">
        <v>0</v>
      </c>
      <c r="EQ70" s="2711">
        <v>0</v>
      </c>
      <c r="ER70" s="2711">
        <v>0</v>
      </c>
      <c r="ES70" s="2711">
        <v>0</v>
      </c>
      <c r="ET70" s="2711">
        <v>0</v>
      </c>
      <c r="EU70" s="2711">
        <v>0</v>
      </c>
      <c r="EV70" s="2711">
        <v>0</v>
      </c>
    </row>
    <row r="71" spans="1:153" s="242" customFormat="1" ht="15.75" hidden="1" outlineLevel="2">
      <c r="A71" s="4619" t="s">
        <v>1225</v>
      </c>
      <c r="B71" s="4619"/>
      <c r="C71" s="4619"/>
      <c r="D71" s="4619"/>
      <c r="E71" s="4619"/>
      <c r="F71" s="4619"/>
      <c r="G71" s="551">
        <f t="shared" ref="G71:BS71" si="45">CEILING($B$68*G70*$F$2*$F$3, 100)</f>
        <v>0</v>
      </c>
      <c r="H71" s="551">
        <f>CEILING($B$68*H70*$F$2*$F$3, 100)</f>
        <v>0</v>
      </c>
      <c r="I71" s="551">
        <f t="shared" si="45"/>
        <v>0</v>
      </c>
      <c r="J71" s="551">
        <f t="shared" si="45"/>
        <v>0</v>
      </c>
      <c r="K71" s="551">
        <f t="shared" si="45"/>
        <v>0</v>
      </c>
      <c r="L71" s="551">
        <f t="shared" si="45"/>
        <v>0</v>
      </c>
      <c r="M71" s="551">
        <f t="shared" si="45"/>
        <v>0</v>
      </c>
      <c r="N71" s="551">
        <f t="shared" si="45"/>
        <v>0</v>
      </c>
      <c r="O71" s="551">
        <f t="shared" si="45"/>
        <v>0</v>
      </c>
      <c r="P71" s="551">
        <f t="shared" si="45"/>
        <v>0</v>
      </c>
      <c r="Q71" s="551">
        <f t="shared" si="45"/>
        <v>0</v>
      </c>
      <c r="R71" s="551">
        <f>CEILING($B$68*R70*$F$2*$F$3, 100)</f>
        <v>0</v>
      </c>
      <c r="S71" s="551">
        <f>CEILING($B$68*S70*$F$2*$F$3, 100)</f>
        <v>0</v>
      </c>
      <c r="T71" s="551">
        <f>CEILING($B$68*T70*$F$2*$F$3, 100)</f>
        <v>0</v>
      </c>
      <c r="U71" s="551">
        <f t="shared" si="45"/>
        <v>0</v>
      </c>
      <c r="V71" s="551">
        <f t="shared" si="45"/>
        <v>0</v>
      </c>
      <c r="W71" s="551">
        <f t="shared" si="45"/>
        <v>0</v>
      </c>
      <c r="X71" s="551">
        <f t="shared" si="45"/>
        <v>0</v>
      </c>
      <c r="Y71" s="551">
        <f t="shared" si="45"/>
        <v>0</v>
      </c>
      <c r="Z71" s="551">
        <f t="shared" si="45"/>
        <v>0</v>
      </c>
      <c r="AA71" s="551">
        <f t="shared" si="45"/>
        <v>0</v>
      </c>
      <c r="AB71" s="551">
        <f t="shared" si="45"/>
        <v>0</v>
      </c>
      <c r="AC71" s="551">
        <f t="shared" si="45"/>
        <v>0</v>
      </c>
      <c r="AD71" s="551">
        <f t="shared" si="45"/>
        <v>0</v>
      </c>
      <c r="AE71" s="551">
        <f t="shared" si="45"/>
        <v>0</v>
      </c>
      <c r="AF71" s="551">
        <f t="shared" si="45"/>
        <v>0</v>
      </c>
      <c r="AG71" s="551">
        <f t="shared" si="45"/>
        <v>0</v>
      </c>
      <c r="AH71" s="551">
        <f t="shared" si="45"/>
        <v>0</v>
      </c>
      <c r="AI71" s="551">
        <f t="shared" si="45"/>
        <v>0</v>
      </c>
      <c r="AJ71" s="551">
        <f t="shared" si="45"/>
        <v>0</v>
      </c>
      <c r="AK71" s="551">
        <f t="shared" si="45"/>
        <v>0</v>
      </c>
      <c r="AL71" s="551">
        <f t="shared" si="45"/>
        <v>0</v>
      </c>
      <c r="AM71" s="551">
        <f t="shared" si="45"/>
        <v>0</v>
      </c>
      <c r="AN71" s="551">
        <f t="shared" si="45"/>
        <v>0</v>
      </c>
      <c r="AO71" s="551">
        <f t="shared" si="45"/>
        <v>0</v>
      </c>
      <c r="AP71" s="551">
        <f t="shared" si="45"/>
        <v>0</v>
      </c>
      <c r="AQ71" s="551">
        <f t="shared" si="45"/>
        <v>0</v>
      </c>
      <c r="AR71" s="551">
        <f t="shared" si="45"/>
        <v>0</v>
      </c>
      <c r="AS71" s="551">
        <f t="shared" si="45"/>
        <v>0</v>
      </c>
      <c r="AT71" s="551">
        <f t="shared" si="45"/>
        <v>0</v>
      </c>
      <c r="AU71" s="551">
        <f t="shared" si="45"/>
        <v>0</v>
      </c>
      <c r="AV71" s="551">
        <f t="shared" si="45"/>
        <v>0</v>
      </c>
      <c r="AW71" s="551">
        <f t="shared" si="45"/>
        <v>0</v>
      </c>
      <c r="AX71" s="551">
        <f t="shared" si="45"/>
        <v>0</v>
      </c>
      <c r="AY71" s="551">
        <f t="shared" si="45"/>
        <v>0</v>
      </c>
      <c r="AZ71" s="551">
        <f t="shared" si="45"/>
        <v>0</v>
      </c>
      <c r="BA71" s="551">
        <f t="shared" si="45"/>
        <v>0</v>
      </c>
      <c r="BB71" s="551">
        <f t="shared" si="45"/>
        <v>0</v>
      </c>
      <c r="BC71" s="551">
        <f t="shared" si="45"/>
        <v>0</v>
      </c>
      <c r="BD71" s="551">
        <f t="shared" si="45"/>
        <v>0</v>
      </c>
      <c r="BE71" s="551">
        <f t="shared" si="45"/>
        <v>0</v>
      </c>
      <c r="BF71" s="551">
        <f t="shared" si="45"/>
        <v>0</v>
      </c>
      <c r="BG71" s="551">
        <f t="shared" si="45"/>
        <v>0</v>
      </c>
      <c r="BH71" s="551">
        <f t="shared" si="45"/>
        <v>0</v>
      </c>
      <c r="BI71" s="551">
        <f t="shared" si="45"/>
        <v>0</v>
      </c>
      <c r="BJ71" s="551">
        <f>CEILING($B$68*BJ70*$F$2*$F$3, 100)</f>
        <v>0</v>
      </c>
      <c r="BK71" s="551">
        <f>CEILING($B$68*BK70*$F$2*$F$3, 100)</f>
        <v>0</v>
      </c>
      <c r="BL71" s="551">
        <f t="shared" si="45"/>
        <v>0</v>
      </c>
      <c r="BM71" s="551">
        <f t="shared" si="45"/>
        <v>0</v>
      </c>
      <c r="BN71" s="551">
        <f t="shared" si="45"/>
        <v>0</v>
      </c>
      <c r="BO71" s="551">
        <f t="shared" si="45"/>
        <v>0</v>
      </c>
      <c r="BP71" s="551">
        <f t="shared" si="45"/>
        <v>0</v>
      </c>
      <c r="BQ71" s="551">
        <f t="shared" si="45"/>
        <v>0</v>
      </c>
      <c r="BR71" s="551">
        <f t="shared" si="45"/>
        <v>0</v>
      </c>
      <c r="BS71" s="551">
        <f t="shared" si="45"/>
        <v>0</v>
      </c>
      <c r="BT71" s="551">
        <f t="shared" ref="BT71:BY71" si="46">CEILING($B$68*BT70*$F$2*$F$3, 100)</f>
        <v>0</v>
      </c>
      <c r="BU71" s="551">
        <f t="shared" si="46"/>
        <v>1900</v>
      </c>
      <c r="BV71" s="551">
        <f t="shared" si="46"/>
        <v>0</v>
      </c>
      <c r="BW71" s="551">
        <f t="shared" si="46"/>
        <v>0</v>
      </c>
      <c r="BX71" s="551">
        <f t="shared" si="46"/>
        <v>0</v>
      </c>
      <c r="BY71" s="551">
        <f t="shared" si="46"/>
        <v>0</v>
      </c>
      <c r="BZ71" s="551">
        <f t="shared" ref="BZ71:EF71" si="47">CEILING($B$68*BZ70*$F$2*$F$3, 100)</f>
        <v>0</v>
      </c>
      <c r="CA71" s="551">
        <f t="shared" si="47"/>
        <v>0</v>
      </c>
      <c r="CB71" s="551">
        <f t="shared" si="47"/>
        <v>0</v>
      </c>
      <c r="CC71" s="551">
        <f t="shared" si="47"/>
        <v>0</v>
      </c>
      <c r="CD71" s="551">
        <f t="shared" si="47"/>
        <v>0</v>
      </c>
      <c r="CE71" s="551">
        <f t="shared" si="47"/>
        <v>0</v>
      </c>
      <c r="CF71" s="551">
        <f t="shared" si="47"/>
        <v>0</v>
      </c>
      <c r="CG71" s="551">
        <f t="shared" si="47"/>
        <v>0</v>
      </c>
      <c r="CH71" s="551">
        <f t="shared" si="47"/>
        <v>0</v>
      </c>
      <c r="CI71" s="551">
        <f t="shared" si="47"/>
        <v>0</v>
      </c>
      <c r="CJ71" s="551">
        <f t="shared" si="47"/>
        <v>0</v>
      </c>
      <c r="CK71" s="551">
        <f t="shared" si="47"/>
        <v>0</v>
      </c>
      <c r="CL71" s="551">
        <f t="shared" si="47"/>
        <v>0</v>
      </c>
      <c r="CM71" s="551">
        <f t="shared" si="47"/>
        <v>0</v>
      </c>
      <c r="CN71" s="551">
        <f t="shared" si="47"/>
        <v>0</v>
      </c>
      <c r="CO71" s="551">
        <f t="shared" si="47"/>
        <v>0</v>
      </c>
      <c r="CP71" s="551">
        <f t="shared" si="47"/>
        <v>0</v>
      </c>
      <c r="CQ71" s="551">
        <f t="shared" si="47"/>
        <v>0</v>
      </c>
      <c r="CR71" s="551">
        <f t="shared" si="47"/>
        <v>0</v>
      </c>
      <c r="CS71" s="551">
        <f t="shared" si="47"/>
        <v>0</v>
      </c>
      <c r="CT71" s="551">
        <f t="shared" si="47"/>
        <v>0</v>
      </c>
      <c r="CU71" s="551">
        <f t="shared" si="47"/>
        <v>0</v>
      </c>
      <c r="CV71" s="551">
        <f>CEILING($B$68*CV70*$F$2*$F$3, 100)</f>
        <v>600</v>
      </c>
      <c r="CW71" s="551">
        <f t="shared" si="47"/>
        <v>0</v>
      </c>
      <c r="CX71" s="551">
        <f t="shared" si="47"/>
        <v>0</v>
      </c>
      <c r="CY71" s="551">
        <f t="shared" si="47"/>
        <v>0</v>
      </c>
      <c r="CZ71" s="551">
        <f t="shared" si="47"/>
        <v>2400</v>
      </c>
      <c r="DA71" s="551">
        <f t="shared" si="47"/>
        <v>0</v>
      </c>
      <c r="DB71" s="551">
        <f t="shared" si="47"/>
        <v>0</v>
      </c>
      <c r="DC71" s="551">
        <f t="shared" si="47"/>
        <v>0</v>
      </c>
      <c r="DD71" s="938">
        <f>CEILING($B$143*DD70*$F$2*$F$3, 100)</f>
        <v>12300</v>
      </c>
      <c r="DE71" s="551">
        <f t="shared" si="47"/>
        <v>0</v>
      </c>
      <c r="DF71" s="551">
        <f t="shared" si="47"/>
        <v>0</v>
      </c>
      <c r="DG71" s="551">
        <f t="shared" si="47"/>
        <v>0</v>
      </c>
      <c r="DH71" s="551">
        <f t="shared" si="47"/>
        <v>0</v>
      </c>
      <c r="DI71" s="551">
        <f t="shared" si="47"/>
        <v>0</v>
      </c>
      <c r="DJ71" s="551">
        <f t="shared" si="47"/>
        <v>0</v>
      </c>
      <c r="DK71" s="551">
        <f t="shared" si="47"/>
        <v>0</v>
      </c>
      <c r="DL71" s="551">
        <f t="shared" si="47"/>
        <v>0</v>
      </c>
      <c r="DM71" s="551">
        <f t="shared" si="47"/>
        <v>0</v>
      </c>
      <c r="DN71" s="551">
        <f t="shared" si="47"/>
        <v>0</v>
      </c>
      <c r="DO71" s="551">
        <f t="shared" si="47"/>
        <v>0</v>
      </c>
      <c r="DP71" s="551">
        <f t="shared" si="47"/>
        <v>0</v>
      </c>
      <c r="DQ71" s="551">
        <f t="shared" si="47"/>
        <v>0</v>
      </c>
      <c r="DR71" s="551">
        <f t="shared" si="47"/>
        <v>0</v>
      </c>
      <c r="DS71" s="551">
        <f t="shared" si="47"/>
        <v>0</v>
      </c>
      <c r="DT71" s="551">
        <f t="shared" si="47"/>
        <v>0</v>
      </c>
      <c r="DU71" s="551">
        <f t="shared" si="47"/>
        <v>0</v>
      </c>
      <c r="DV71" s="551">
        <f t="shared" si="47"/>
        <v>0</v>
      </c>
      <c r="DW71" s="551">
        <f t="shared" si="47"/>
        <v>0</v>
      </c>
      <c r="DX71" s="551">
        <f t="shared" si="47"/>
        <v>0</v>
      </c>
      <c r="DY71" s="551">
        <f t="shared" si="47"/>
        <v>0</v>
      </c>
      <c r="DZ71" s="551">
        <f t="shared" si="47"/>
        <v>0</v>
      </c>
      <c r="EA71" s="551">
        <f t="shared" si="47"/>
        <v>0</v>
      </c>
      <c r="EB71" s="551">
        <f t="shared" si="47"/>
        <v>0</v>
      </c>
      <c r="EC71" s="551">
        <f t="shared" si="47"/>
        <v>0</v>
      </c>
      <c r="ED71" s="551">
        <f t="shared" si="47"/>
        <v>0</v>
      </c>
      <c r="EE71" s="551">
        <f t="shared" si="47"/>
        <v>0</v>
      </c>
      <c r="EF71" s="551">
        <f t="shared" si="47"/>
        <v>0</v>
      </c>
      <c r="EG71" s="551">
        <f t="shared" ref="EG71:EV71" si="48">CEILING($B$68*EG70*$F$2*$F$3, 100)</f>
        <v>0</v>
      </c>
      <c r="EH71" s="551">
        <f t="shared" si="48"/>
        <v>0</v>
      </c>
      <c r="EI71" s="551">
        <f t="shared" si="48"/>
        <v>0</v>
      </c>
      <c r="EJ71" s="551">
        <f t="shared" si="48"/>
        <v>0</v>
      </c>
      <c r="EK71" s="551">
        <f t="shared" si="48"/>
        <v>0</v>
      </c>
      <c r="EL71" s="551">
        <f t="shared" si="48"/>
        <v>0</v>
      </c>
      <c r="EM71" s="551">
        <f t="shared" si="48"/>
        <v>0</v>
      </c>
      <c r="EN71" s="2708">
        <f t="shared" si="48"/>
        <v>0</v>
      </c>
      <c r="EO71" s="2708">
        <f t="shared" si="48"/>
        <v>0</v>
      </c>
      <c r="EP71" s="2708">
        <f t="shared" si="48"/>
        <v>0</v>
      </c>
      <c r="EQ71" s="2708">
        <f t="shared" si="48"/>
        <v>0</v>
      </c>
      <c r="ER71" s="2708">
        <f t="shared" si="48"/>
        <v>0</v>
      </c>
      <c r="ES71" s="2708">
        <f t="shared" si="48"/>
        <v>0</v>
      </c>
      <c r="ET71" s="2708">
        <f t="shared" si="48"/>
        <v>0</v>
      </c>
      <c r="EU71" s="2708">
        <f t="shared" si="48"/>
        <v>0</v>
      </c>
      <c r="EV71" s="2708">
        <f t="shared" si="48"/>
        <v>0</v>
      </c>
      <c r="EW71" s="441"/>
    </row>
    <row r="72" spans="1:153" s="25" customFormat="1" hidden="1" outlineLevel="2">
      <c r="D72" s="896"/>
      <c r="E72" s="896"/>
      <c r="F72" s="896"/>
      <c r="G72" s="242"/>
      <c r="H72" s="242"/>
      <c r="I72" s="242"/>
      <c r="J72" s="242"/>
      <c r="K72" s="242"/>
      <c r="L72" s="242"/>
      <c r="M72" s="242"/>
      <c r="N72" s="242"/>
      <c r="O72" s="242"/>
      <c r="P72" s="242"/>
      <c r="Q72" s="242"/>
      <c r="R72" s="242"/>
      <c r="S72" s="242"/>
      <c r="T72" s="242"/>
      <c r="U72" s="242"/>
      <c r="V72" s="242"/>
      <c r="W72" s="242"/>
      <c r="X72" s="242"/>
      <c r="Y72" s="242"/>
      <c r="Z72" s="242"/>
      <c r="AA72" s="242"/>
      <c r="AB72" s="242"/>
      <c r="AC72" s="242"/>
      <c r="AD72" s="242"/>
      <c r="AE72" s="242"/>
      <c r="AF72" s="242"/>
      <c r="AG72" s="242"/>
      <c r="AH72" s="242"/>
      <c r="AI72" s="242"/>
      <c r="AJ72" s="242"/>
      <c r="AL72" s="242"/>
      <c r="AM72" s="242"/>
      <c r="AN72" s="242"/>
      <c r="AO72" s="242"/>
      <c r="AP72" s="242"/>
      <c r="AQ72" s="242"/>
      <c r="AR72" s="242"/>
      <c r="AS72" s="242"/>
      <c r="AT72" s="242"/>
      <c r="AU72" s="242"/>
      <c r="AV72" s="242"/>
      <c r="AW72" s="242"/>
      <c r="AX72" s="242"/>
      <c r="AY72" s="242"/>
      <c r="AZ72" s="242"/>
      <c r="BA72" s="242"/>
      <c r="BB72" s="242"/>
      <c r="BC72" s="242"/>
      <c r="BD72" s="242"/>
      <c r="BE72" s="242"/>
      <c r="BF72" s="242"/>
      <c r="BG72" s="242"/>
      <c r="BH72" s="242"/>
      <c r="BI72" s="242"/>
      <c r="BJ72" s="242"/>
      <c r="BK72" s="242"/>
      <c r="BL72" s="242"/>
      <c r="BM72" s="242"/>
      <c r="BN72" s="242"/>
      <c r="BO72" s="242"/>
      <c r="BP72" s="242"/>
      <c r="BQ72" s="242"/>
      <c r="BR72" s="242"/>
      <c r="BS72" s="242"/>
      <c r="BT72" s="242"/>
      <c r="BU72" s="242"/>
      <c r="BV72" s="242"/>
      <c r="BW72" s="242"/>
      <c r="BX72" s="242"/>
      <c r="BY72" s="242"/>
      <c r="BZ72" s="242"/>
      <c r="CA72" s="242"/>
      <c r="CB72" s="242"/>
      <c r="CC72" s="242"/>
      <c r="CD72" s="242"/>
      <c r="CE72" s="242"/>
      <c r="CF72" s="242"/>
      <c r="CG72" s="242"/>
      <c r="CH72" s="242"/>
      <c r="CI72" s="242"/>
      <c r="CJ72" s="242"/>
      <c r="CK72" s="242"/>
      <c r="CL72" s="242"/>
      <c r="CM72" s="242"/>
      <c r="CN72" s="242"/>
      <c r="CO72" s="242"/>
      <c r="CP72" s="242"/>
      <c r="CQ72" s="242"/>
      <c r="CR72" s="242"/>
      <c r="CS72" s="242"/>
      <c r="CT72" s="242"/>
      <c r="CU72" s="242"/>
      <c r="CV72" s="242"/>
      <c r="CW72" s="242"/>
      <c r="CX72" s="242"/>
      <c r="CY72" s="242"/>
      <c r="CZ72" s="242"/>
      <c r="DA72" s="242"/>
      <c r="DB72" s="242"/>
      <c r="DC72" s="242"/>
      <c r="DD72" s="242"/>
      <c r="DE72" s="242"/>
      <c r="DF72" s="242"/>
      <c r="DG72" s="242"/>
      <c r="DH72" s="242"/>
      <c r="DI72" s="242"/>
      <c r="DJ72" s="242"/>
      <c r="DK72" s="242"/>
      <c r="DL72" s="242"/>
      <c r="DM72" s="242"/>
      <c r="DN72" s="242"/>
      <c r="DO72" s="242"/>
      <c r="DP72" s="242"/>
      <c r="DQ72" s="242"/>
      <c r="DR72" s="242"/>
      <c r="DS72" s="242"/>
      <c r="DT72" s="242"/>
      <c r="DU72" s="242"/>
      <c r="DV72" s="242"/>
      <c r="DW72" s="242"/>
      <c r="DX72" s="242"/>
      <c r="DY72" s="242"/>
      <c r="DZ72" s="242"/>
      <c r="EA72" s="242"/>
      <c r="EB72" s="242"/>
      <c r="EC72" s="242"/>
      <c r="ED72" s="242"/>
      <c r="EE72" s="242"/>
      <c r="EF72" s="242"/>
      <c r="EG72" s="242"/>
      <c r="EH72" s="242"/>
      <c r="EI72" s="242"/>
      <c r="EJ72" s="242"/>
      <c r="EK72" s="242"/>
      <c r="EL72" s="242"/>
      <c r="EM72" s="242"/>
      <c r="EN72" s="441"/>
      <c r="EO72" s="441"/>
      <c r="EP72" s="441"/>
      <c r="EQ72" s="441"/>
      <c r="ER72" s="441"/>
      <c r="ES72" s="441"/>
      <c r="ET72" s="441"/>
      <c r="EU72" s="441"/>
      <c r="EV72" s="441"/>
      <c r="EW72" s="15"/>
    </row>
    <row r="73" spans="1:153" s="25" customFormat="1" ht="15" hidden="1" customHeight="1" outlineLevel="1">
      <c r="A73" s="895" t="s">
        <v>25</v>
      </c>
      <c r="B73" s="5231" t="s">
        <v>1305</v>
      </c>
      <c r="C73" s="5232"/>
      <c r="D73" s="896"/>
      <c r="E73" s="896"/>
      <c r="F73" s="896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42"/>
      <c r="BQ73" s="242"/>
      <c r="BR73" s="242"/>
      <c r="BS73" s="242"/>
      <c r="BT73" s="242"/>
      <c r="BU73" s="242"/>
      <c r="BV73" s="242"/>
      <c r="BW73" s="242"/>
      <c r="BX73" s="242"/>
      <c r="BY73" s="242"/>
      <c r="BZ73" s="242"/>
      <c r="CA73" s="242"/>
      <c r="CB73" s="242"/>
      <c r="CC73" s="242"/>
      <c r="CD73" s="242"/>
      <c r="CE73" s="242"/>
      <c r="CF73" s="242"/>
      <c r="CG73" s="242"/>
      <c r="CH73" s="242"/>
      <c r="CI73" s="242"/>
      <c r="CJ73" s="242"/>
      <c r="CK73" s="242"/>
      <c r="CL73" s="242"/>
      <c r="CM73" s="242"/>
      <c r="CN73" s="242"/>
      <c r="CO73" s="242"/>
      <c r="CP73" s="242"/>
      <c r="CQ73" s="242"/>
      <c r="CR73" s="242"/>
      <c r="CS73" s="242"/>
      <c r="CT73" s="242"/>
      <c r="CU73" s="242"/>
      <c r="CV73" s="242"/>
      <c r="CW73" s="242"/>
      <c r="CX73" s="242"/>
      <c r="CY73" s="242"/>
      <c r="CZ73" s="242"/>
      <c r="DA73" s="242"/>
      <c r="DB73" s="242"/>
      <c r="DC73" s="242"/>
      <c r="DD73" s="242"/>
      <c r="DE73" s="242"/>
      <c r="DF73" s="242"/>
      <c r="DG73" s="242"/>
      <c r="DH73" s="242"/>
      <c r="DI73" s="242"/>
      <c r="DJ73" s="242"/>
      <c r="DK73" s="242"/>
      <c r="DL73" s="242"/>
      <c r="DM73" s="242"/>
      <c r="DN73" s="242"/>
      <c r="DO73" s="242"/>
      <c r="DP73" s="242"/>
      <c r="DQ73" s="242"/>
      <c r="DR73" s="242"/>
      <c r="DS73" s="242"/>
      <c r="DT73" s="242"/>
      <c r="DU73" s="242"/>
      <c r="DV73" s="242"/>
      <c r="DW73" s="242"/>
      <c r="DX73" s="242"/>
      <c r="DY73" s="242"/>
      <c r="DZ73" s="242"/>
      <c r="EA73" s="242"/>
      <c r="EB73" s="242"/>
      <c r="EC73" s="242"/>
      <c r="ED73" s="242"/>
      <c r="EE73" s="242"/>
      <c r="EF73" s="242"/>
      <c r="EG73" s="242"/>
      <c r="EH73" s="242"/>
      <c r="EI73" s="242"/>
      <c r="EJ73" s="242"/>
      <c r="EK73" s="242"/>
      <c r="EL73" s="242"/>
      <c r="EM73" s="242"/>
      <c r="EN73" s="441"/>
      <c r="EO73" s="441"/>
      <c r="EP73" s="441"/>
      <c r="EQ73" s="441"/>
      <c r="ER73" s="441"/>
      <c r="ES73" s="441"/>
      <c r="ET73" s="441"/>
      <c r="EU73" s="441"/>
      <c r="EV73" s="441"/>
      <c r="EW73" s="15"/>
    </row>
    <row r="74" spans="1:153" s="925" customFormat="1" hidden="1" outlineLevel="2">
      <c r="A74" s="954" t="s">
        <v>1276</v>
      </c>
      <c r="B74" s="955">
        <v>44652</v>
      </c>
      <c r="C74" s="955">
        <v>44487</v>
      </c>
      <c r="D74" s="955">
        <v>43647</v>
      </c>
      <c r="E74" s="947"/>
      <c r="F74" s="947"/>
    </row>
    <row r="75" spans="1:153" hidden="1" outlineLevel="2">
      <c r="A75" s="956" t="s">
        <v>1251</v>
      </c>
      <c r="B75" s="957">
        <f>CEILING(C75*1.1, 50)</f>
        <v>550</v>
      </c>
      <c r="C75" s="957">
        <f>D75*1.2</f>
        <v>480</v>
      </c>
      <c r="D75" s="958">
        <v>400</v>
      </c>
      <c r="E75" s="948"/>
      <c r="F75" s="896"/>
      <c r="G75" s="589"/>
      <c r="H75" s="589"/>
      <c r="I75" s="589"/>
      <c r="J75" s="589"/>
      <c r="K75" s="589"/>
      <c r="L75" s="589"/>
      <c r="M75" s="589"/>
      <c r="N75" s="589"/>
      <c r="O75" s="589"/>
      <c r="P75" s="589"/>
      <c r="Q75" s="589"/>
      <c r="R75" s="589"/>
      <c r="S75" s="589"/>
      <c r="T75" s="589"/>
      <c r="U75" s="589"/>
      <c r="V75" s="589"/>
      <c r="W75" s="589"/>
      <c r="X75" s="589"/>
      <c r="Y75" s="589"/>
      <c r="Z75" s="589"/>
      <c r="AA75" s="589"/>
      <c r="AB75" s="589"/>
      <c r="AC75" s="589"/>
      <c r="AD75" s="589"/>
      <c r="AE75" s="589"/>
      <c r="AF75" s="589"/>
      <c r="AG75" s="589"/>
      <c r="AH75" s="589"/>
      <c r="AI75" s="589"/>
      <c r="AJ75" s="589"/>
      <c r="AL75" s="589"/>
      <c r="AM75" s="589"/>
      <c r="AN75" s="589"/>
      <c r="AO75" s="589"/>
      <c r="AP75" s="589"/>
      <c r="AQ75" s="589"/>
      <c r="AR75" s="589"/>
      <c r="AS75" s="589"/>
      <c r="AT75" s="589"/>
      <c r="AU75" s="589"/>
      <c r="AV75" s="589"/>
      <c r="AW75" s="589"/>
      <c r="AX75" s="589"/>
      <c r="AY75" s="589"/>
      <c r="AZ75" s="589"/>
      <c r="BA75" s="589"/>
      <c r="BB75" s="589"/>
      <c r="BC75" s="589"/>
      <c r="BD75" s="589"/>
      <c r="BE75" s="589"/>
      <c r="BF75" s="589"/>
      <c r="BG75" s="589"/>
      <c r="BH75" s="589"/>
      <c r="BI75" s="589"/>
      <c r="BJ75" s="589"/>
      <c r="BK75" s="589"/>
      <c r="BL75" s="589"/>
      <c r="BM75" s="589"/>
      <c r="BN75" s="589"/>
      <c r="BO75" s="589"/>
      <c r="BP75" s="589"/>
      <c r="BQ75" s="589"/>
      <c r="BR75" s="589"/>
      <c r="BS75" s="589"/>
      <c r="BT75" s="589"/>
      <c r="BU75" s="589"/>
      <c r="BV75" s="589"/>
      <c r="BW75" s="589"/>
      <c r="BX75" s="589"/>
      <c r="BY75" s="589"/>
      <c r="BZ75" s="589"/>
      <c r="CA75" s="589"/>
      <c r="CB75" s="589"/>
      <c r="CC75" s="589"/>
      <c r="CD75" s="589"/>
      <c r="CE75" s="589"/>
      <c r="CF75" s="589"/>
      <c r="CG75" s="589"/>
      <c r="CH75" s="589"/>
      <c r="CI75" s="589"/>
      <c r="CJ75" s="589"/>
      <c r="CK75" s="589"/>
      <c r="CL75" s="589"/>
      <c r="CM75" s="589"/>
      <c r="CN75" s="589"/>
      <c r="CO75" s="589"/>
      <c r="CP75" s="589"/>
      <c r="CQ75" s="589"/>
      <c r="CR75" s="589"/>
      <c r="CS75" s="589"/>
      <c r="CT75" s="589"/>
      <c r="CU75" s="589"/>
      <c r="CV75" s="589"/>
      <c r="CW75" s="589"/>
      <c r="CX75" s="589"/>
      <c r="CY75" s="589"/>
      <c r="CZ75" s="589"/>
      <c r="DA75" s="589"/>
      <c r="DB75" s="589"/>
      <c r="DC75" s="589"/>
      <c r="DD75" s="589"/>
      <c r="DE75" s="589"/>
      <c r="DF75" s="589"/>
      <c r="DG75" s="589"/>
      <c r="DH75" s="589"/>
      <c r="DI75" s="589"/>
      <c r="DJ75" s="589"/>
      <c r="DK75" s="589"/>
      <c r="DL75" s="589"/>
      <c r="DM75" s="589"/>
      <c r="DN75" s="589"/>
      <c r="DO75" s="589"/>
      <c r="DP75" s="589"/>
      <c r="DQ75" s="589"/>
      <c r="DR75" s="589"/>
      <c r="DS75" s="589"/>
      <c r="DT75" s="589"/>
      <c r="DU75" s="589"/>
      <c r="DV75" s="589"/>
      <c r="DW75" s="589"/>
      <c r="DX75" s="589"/>
      <c r="DY75" s="589"/>
      <c r="DZ75" s="589"/>
      <c r="EA75" s="589"/>
      <c r="EB75" s="589"/>
      <c r="EC75" s="589"/>
      <c r="ED75" s="589"/>
      <c r="EE75" s="589"/>
      <c r="EF75" s="589"/>
      <c r="EG75" s="589"/>
      <c r="EH75" s="589"/>
      <c r="EI75" s="589"/>
      <c r="EJ75" s="589"/>
      <c r="EK75" s="589"/>
      <c r="EL75" s="589"/>
      <c r="EM75" s="589"/>
      <c r="EN75" s="2597"/>
      <c r="EO75" s="2597"/>
      <c r="EP75" s="2597"/>
      <c r="EQ75" s="2597"/>
      <c r="ER75" s="2597"/>
      <c r="ES75" s="2597"/>
      <c r="ET75" s="2597"/>
      <c r="EU75" s="2597"/>
      <c r="EV75" s="2597"/>
      <c r="EW75" s="2597"/>
    </row>
    <row r="76" spans="1:153" s="102" customFormat="1" hidden="1" outlineLevel="2">
      <c r="A76" s="956" t="s">
        <v>1252</v>
      </c>
      <c r="B76" s="957">
        <f>CEILING(C76*1.1, 50)</f>
        <v>900</v>
      </c>
      <c r="C76" s="957">
        <f>D76*1.2</f>
        <v>780</v>
      </c>
      <c r="D76" s="958">
        <v>650</v>
      </c>
      <c r="E76" s="949"/>
      <c r="F76" s="890"/>
      <c r="EN76" s="2712"/>
      <c r="EO76" s="2712"/>
      <c r="EP76" s="2712"/>
      <c r="EQ76" s="2712"/>
      <c r="ER76" s="2712"/>
      <c r="ES76" s="2712"/>
      <c r="ET76" s="2712"/>
      <c r="EU76" s="2712"/>
      <c r="EV76" s="2712"/>
      <c r="EW76" s="2712"/>
    </row>
    <row r="77" spans="1:153" s="102" customFormat="1" hidden="1" outlineLevel="2">
      <c r="A77" s="956" t="s">
        <v>1253</v>
      </c>
      <c r="B77" s="957">
        <f>CEILING(C77*1.1, 50)</f>
        <v>1100</v>
      </c>
      <c r="C77" s="957">
        <f>D77*1.2</f>
        <v>984</v>
      </c>
      <c r="D77" s="959">
        <v>820</v>
      </c>
      <c r="E77" s="949"/>
      <c r="F77" s="890"/>
      <c r="EN77" s="2712"/>
      <c r="EO77" s="2712"/>
      <c r="EP77" s="2712"/>
      <c r="EQ77" s="2712"/>
      <c r="ER77" s="2712"/>
      <c r="ES77" s="2712"/>
      <c r="ET77" s="2712"/>
      <c r="EU77" s="2712"/>
      <c r="EV77" s="2712"/>
      <c r="EW77" s="2712"/>
    </row>
    <row r="78" spans="1:153" s="925" customFormat="1" hidden="1" outlineLevel="2">
      <c r="A78" s="963" t="s">
        <v>1275</v>
      </c>
      <c r="B78" s="964">
        <v>44487</v>
      </c>
      <c r="C78" s="964">
        <v>44487</v>
      </c>
      <c r="D78" s="964">
        <v>43647</v>
      </c>
      <c r="E78" s="950"/>
      <c r="F78" s="950"/>
    </row>
    <row r="79" spans="1:153" hidden="1" outlineLevel="2">
      <c r="A79" s="965" t="s">
        <v>1263</v>
      </c>
      <c r="B79" s="966">
        <f t="shared" ref="B79:B84" si="49">CEILING(C79*1.05, 50)</f>
        <v>250</v>
      </c>
      <c r="C79" s="966">
        <f t="shared" ref="C79:C84" si="50">D79*1.05</f>
        <v>210</v>
      </c>
      <c r="D79" s="967">
        <v>200</v>
      </c>
      <c r="E79" s="950"/>
      <c r="F79" s="950"/>
      <c r="G79" s="589"/>
      <c r="H79" s="589"/>
      <c r="I79" s="589"/>
      <c r="J79" s="589"/>
      <c r="K79" s="589"/>
      <c r="L79" s="589"/>
      <c r="M79" s="589"/>
      <c r="N79" s="589"/>
      <c r="O79" s="589"/>
      <c r="P79" s="589"/>
      <c r="Q79" s="589"/>
      <c r="R79" s="589"/>
      <c r="S79" s="589"/>
      <c r="T79" s="589"/>
      <c r="U79" s="589"/>
      <c r="V79" s="589"/>
      <c r="W79" s="589"/>
      <c r="X79" s="589"/>
      <c r="Y79" s="589"/>
      <c r="Z79" s="589"/>
      <c r="AA79" s="589"/>
      <c r="AB79" s="589"/>
      <c r="AC79" s="589"/>
      <c r="AD79" s="589"/>
      <c r="AE79" s="589"/>
      <c r="AF79" s="589"/>
      <c r="AG79" s="589"/>
      <c r="AH79" s="589"/>
      <c r="AI79" s="589"/>
      <c r="AJ79" s="589"/>
      <c r="AL79" s="589"/>
      <c r="AM79" s="589"/>
      <c r="AN79" s="589"/>
      <c r="AO79" s="589"/>
      <c r="AP79" s="589"/>
      <c r="AQ79" s="589"/>
      <c r="AR79" s="589"/>
      <c r="AS79" s="589"/>
      <c r="AT79" s="589"/>
      <c r="AU79" s="589"/>
      <c r="AV79" s="589"/>
      <c r="AW79" s="589"/>
      <c r="AX79" s="589"/>
      <c r="AY79" s="589"/>
      <c r="AZ79" s="589"/>
      <c r="BA79" s="589"/>
      <c r="BB79" s="589"/>
      <c r="BC79" s="589"/>
      <c r="BD79" s="589"/>
      <c r="BE79" s="589"/>
      <c r="BF79" s="589"/>
      <c r="BG79" s="589"/>
      <c r="BH79" s="589"/>
      <c r="BI79" s="589"/>
      <c r="BJ79" s="589"/>
      <c r="BK79" s="589"/>
      <c r="BL79" s="589"/>
      <c r="BM79" s="589"/>
      <c r="BN79" s="589"/>
      <c r="BO79" s="589"/>
      <c r="BP79" s="589"/>
      <c r="BQ79" s="589"/>
      <c r="BR79" s="589"/>
      <c r="BS79" s="589"/>
      <c r="BT79" s="589"/>
      <c r="BU79" s="589"/>
      <c r="BV79" s="589"/>
      <c r="BW79" s="589"/>
      <c r="BX79" s="589"/>
      <c r="BY79" s="589"/>
      <c r="BZ79" s="589"/>
      <c r="CA79" s="589"/>
      <c r="CB79" s="589"/>
      <c r="CC79" s="589"/>
      <c r="CD79" s="589"/>
      <c r="CE79" s="589"/>
      <c r="CF79" s="589"/>
      <c r="CG79" s="589"/>
      <c r="CH79" s="589"/>
      <c r="CI79" s="589"/>
      <c r="CJ79" s="589"/>
      <c r="CK79" s="589"/>
      <c r="CL79" s="589"/>
      <c r="CM79" s="589"/>
      <c r="CN79" s="589"/>
      <c r="CO79" s="589"/>
      <c r="CP79" s="589"/>
      <c r="CQ79" s="589"/>
      <c r="CR79" s="589"/>
      <c r="CS79" s="589"/>
      <c r="CT79" s="589"/>
      <c r="CU79" s="589"/>
      <c r="CV79" s="589"/>
      <c r="CW79" s="589"/>
      <c r="CX79" s="589"/>
      <c r="CY79" s="589"/>
      <c r="CZ79" s="589"/>
      <c r="DA79" s="589"/>
      <c r="DB79" s="589"/>
      <c r="DC79" s="589"/>
      <c r="DD79" s="589"/>
      <c r="DE79" s="589"/>
      <c r="DF79" s="589"/>
      <c r="DG79" s="589"/>
      <c r="DH79" s="589"/>
      <c r="DI79" s="589"/>
      <c r="DJ79" s="589"/>
      <c r="DK79" s="589"/>
      <c r="DL79" s="589"/>
      <c r="DM79" s="589"/>
      <c r="DN79" s="589"/>
      <c r="DO79" s="589"/>
      <c r="DP79" s="589"/>
      <c r="DQ79" s="589"/>
      <c r="DR79" s="589"/>
      <c r="DS79" s="589"/>
      <c r="DT79" s="589"/>
      <c r="DU79" s="589"/>
      <c r="DV79" s="589"/>
      <c r="DW79" s="589"/>
      <c r="DX79" s="589"/>
      <c r="DY79" s="589"/>
      <c r="DZ79" s="589"/>
      <c r="EA79" s="589"/>
      <c r="EB79" s="589"/>
      <c r="EC79" s="589"/>
      <c r="ED79" s="589"/>
      <c r="EE79" s="589"/>
      <c r="EF79" s="589"/>
      <c r="EG79" s="589"/>
      <c r="EH79" s="589"/>
      <c r="EI79" s="589"/>
      <c r="EJ79" s="589"/>
      <c r="EK79" s="589"/>
      <c r="EL79" s="589"/>
      <c r="EM79" s="589"/>
      <c r="EN79" s="2597"/>
      <c r="EO79" s="2597"/>
      <c r="EP79" s="2597"/>
      <c r="EQ79" s="2597"/>
      <c r="ER79" s="2597"/>
      <c r="ES79" s="2597"/>
      <c r="ET79" s="2597"/>
      <c r="EU79" s="2597"/>
      <c r="EV79" s="2597"/>
      <c r="EW79" s="2597"/>
    </row>
    <row r="80" spans="1:153" hidden="1" outlineLevel="2">
      <c r="A80" s="965" t="s">
        <v>1264</v>
      </c>
      <c r="B80" s="966">
        <f t="shared" si="49"/>
        <v>450</v>
      </c>
      <c r="C80" s="966">
        <f t="shared" si="50"/>
        <v>420</v>
      </c>
      <c r="D80" s="967">
        <f>D79*2</f>
        <v>400</v>
      </c>
      <c r="E80" s="950"/>
      <c r="F80" s="950"/>
      <c r="G80" s="589"/>
      <c r="H80" s="589"/>
      <c r="I80" s="589"/>
      <c r="J80" s="589"/>
      <c r="K80" s="589"/>
      <c r="L80" s="589"/>
      <c r="M80" s="589"/>
      <c r="N80" s="589"/>
      <c r="O80" s="589"/>
      <c r="P80" s="589"/>
      <c r="Q80" s="589"/>
      <c r="R80" s="589"/>
      <c r="S80" s="589"/>
      <c r="T80" s="589"/>
      <c r="U80" s="589"/>
      <c r="V80" s="589"/>
      <c r="W80" s="589"/>
      <c r="X80" s="589"/>
      <c r="Y80" s="589"/>
      <c r="Z80" s="589"/>
      <c r="AA80" s="589"/>
      <c r="AB80" s="589"/>
      <c r="AC80" s="589"/>
      <c r="AD80" s="589"/>
      <c r="AE80" s="589"/>
      <c r="AF80" s="589"/>
      <c r="AG80" s="589"/>
      <c r="AH80" s="589"/>
      <c r="AI80" s="589"/>
      <c r="AJ80" s="589"/>
      <c r="AL80" s="589"/>
      <c r="AM80" s="589"/>
      <c r="AN80" s="589"/>
      <c r="AO80" s="589"/>
      <c r="AP80" s="589"/>
      <c r="AQ80" s="589"/>
      <c r="AR80" s="589"/>
      <c r="AS80" s="589"/>
      <c r="AT80" s="589"/>
      <c r="AU80" s="589"/>
      <c r="AV80" s="589"/>
      <c r="AW80" s="589"/>
      <c r="AX80" s="589"/>
      <c r="AY80" s="589"/>
      <c r="AZ80" s="589"/>
      <c r="BA80" s="589"/>
      <c r="BB80" s="589"/>
      <c r="BC80" s="589"/>
      <c r="BD80" s="589"/>
      <c r="BE80" s="589"/>
      <c r="BF80" s="589"/>
      <c r="BG80" s="589"/>
      <c r="BH80" s="589"/>
      <c r="BI80" s="589"/>
      <c r="BJ80" s="589"/>
      <c r="BK80" s="589"/>
      <c r="BL80" s="589"/>
      <c r="BM80" s="589"/>
      <c r="BN80" s="589"/>
      <c r="BO80" s="589"/>
      <c r="BP80" s="589"/>
      <c r="BQ80" s="589"/>
      <c r="BR80" s="589"/>
      <c r="BS80" s="589"/>
      <c r="BT80" s="589"/>
      <c r="BU80" s="589"/>
      <c r="BV80" s="589"/>
      <c r="BW80" s="589"/>
      <c r="BX80" s="589"/>
      <c r="BY80" s="589"/>
      <c r="BZ80" s="589"/>
      <c r="CA80" s="589"/>
      <c r="CB80" s="589"/>
      <c r="CC80" s="589"/>
      <c r="CD80" s="589"/>
      <c r="CE80" s="589"/>
      <c r="CF80" s="589"/>
      <c r="CG80" s="589"/>
      <c r="CH80" s="589"/>
      <c r="CI80" s="589"/>
      <c r="CJ80" s="589"/>
      <c r="CK80" s="589"/>
      <c r="CL80" s="589"/>
      <c r="CM80" s="589"/>
      <c r="CN80" s="589"/>
      <c r="CO80" s="589"/>
      <c r="CP80" s="589"/>
      <c r="CQ80" s="589"/>
      <c r="CR80" s="589"/>
      <c r="CS80" s="589"/>
      <c r="CT80" s="589"/>
      <c r="CU80" s="589"/>
      <c r="CV80" s="589"/>
      <c r="CW80" s="589"/>
      <c r="CX80" s="589"/>
      <c r="CY80" s="589"/>
      <c r="CZ80" s="589"/>
      <c r="DA80" s="589"/>
      <c r="DB80" s="589"/>
      <c r="DC80" s="589"/>
      <c r="DD80" s="589"/>
      <c r="DE80" s="589"/>
      <c r="DF80" s="589"/>
      <c r="DG80" s="589"/>
      <c r="DH80" s="589"/>
      <c r="DI80" s="589"/>
      <c r="DJ80" s="589"/>
      <c r="DK80" s="589"/>
      <c r="DL80" s="589"/>
      <c r="DM80" s="589"/>
      <c r="DN80" s="589"/>
      <c r="DO80" s="589"/>
      <c r="DP80" s="589"/>
      <c r="DQ80" s="589"/>
      <c r="DR80" s="589"/>
      <c r="DS80" s="589"/>
      <c r="DT80" s="589"/>
      <c r="DU80" s="589"/>
      <c r="DV80" s="589"/>
      <c r="DW80" s="589"/>
      <c r="DX80" s="589"/>
      <c r="DY80" s="589"/>
      <c r="DZ80" s="589"/>
      <c r="EA80" s="589"/>
      <c r="EB80" s="589"/>
      <c r="EC80" s="589"/>
      <c r="ED80" s="589"/>
      <c r="EE80" s="589"/>
      <c r="EF80" s="589"/>
      <c r="EG80" s="589"/>
      <c r="EH80" s="589"/>
      <c r="EI80" s="589"/>
      <c r="EJ80" s="589"/>
      <c r="EK80" s="589"/>
      <c r="EL80" s="589"/>
      <c r="EM80" s="589"/>
      <c r="EN80" s="2597"/>
      <c r="EO80" s="2597"/>
      <c r="EP80" s="2597"/>
      <c r="EQ80" s="2597"/>
      <c r="ER80" s="2597"/>
      <c r="ES80" s="2597"/>
      <c r="ET80" s="2597"/>
      <c r="EU80" s="2597"/>
      <c r="EV80" s="2597"/>
      <c r="EW80" s="2597"/>
    </row>
    <row r="81" spans="1:153" hidden="1" outlineLevel="2">
      <c r="A81" s="965" t="s">
        <v>1265</v>
      </c>
      <c r="B81" s="966">
        <f t="shared" si="49"/>
        <v>500</v>
      </c>
      <c r="C81" s="966">
        <f t="shared" si="50"/>
        <v>472.5</v>
      </c>
      <c r="D81" s="967">
        <v>450</v>
      </c>
      <c r="E81" s="950"/>
      <c r="F81" s="950"/>
      <c r="G81" s="589"/>
      <c r="H81" s="589"/>
      <c r="I81" s="589"/>
      <c r="J81" s="589"/>
      <c r="K81" s="589"/>
      <c r="L81" s="589"/>
      <c r="M81" s="589"/>
      <c r="N81" s="589"/>
      <c r="O81" s="589"/>
      <c r="P81" s="589"/>
      <c r="Q81" s="589"/>
      <c r="R81" s="589"/>
      <c r="S81" s="589"/>
      <c r="T81" s="589"/>
      <c r="U81" s="589"/>
      <c r="V81" s="589"/>
      <c r="W81" s="589"/>
      <c r="X81" s="589"/>
      <c r="Y81" s="589"/>
      <c r="Z81" s="589"/>
      <c r="AA81" s="589"/>
      <c r="AB81" s="589"/>
      <c r="AC81" s="589"/>
      <c r="AD81" s="589"/>
      <c r="AE81" s="589"/>
      <c r="AF81" s="589"/>
      <c r="AG81" s="589"/>
      <c r="AH81" s="589"/>
      <c r="AI81" s="589"/>
      <c r="AJ81" s="589"/>
      <c r="AL81" s="589"/>
      <c r="AM81" s="589"/>
      <c r="AN81" s="589"/>
      <c r="AO81" s="589"/>
      <c r="AP81" s="589"/>
      <c r="AQ81" s="589"/>
      <c r="AR81" s="589"/>
      <c r="AS81" s="589"/>
      <c r="AT81" s="589"/>
      <c r="AU81" s="589"/>
      <c r="AV81" s="589"/>
      <c r="AW81" s="589"/>
      <c r="AX81" s="589"/>
      <c r="AY81" s="589"/>
      <c r="AZ81" s="589"/>
      <c r="BA81" s="589"/>
      <c r="BB81" s="589"/>
      <c r="BC81" s="589"/>
      <c r="BD81" s="589"/>
      <c r="BE81" s="589"/>
      <c r="BF81" s="589"/>
      <c r="BG81" s="589"/>
      <c r="BH81" s="589"/>
      <c r="BI81" s="589"/>
      <c r="BJ81" s="589"/>
      <c r="BK81" s="589"/>
      <c r="BL81" s="589"/>
      <c r="BM81" s="589"/>
      <c r="BN81" s="589"/>
      <c r="BO81" s="589"/>
      <c r="BP81" s="589"/>
      <c r="BQ81" s="589"/>
      <c r="BR81" s="589"/>
      <c r="BS81" s="589"/>
      <c r="BT81" s="589"/>
      <c r="BU81" s="589"/>
      <c r="BV81" s="589"/>
      <c r="BW81" s="589"/>
      <c r="BX81" s="589"/>
      <c r="BY81" s="589"/>
      <c r="BZ81" s="589"/>
      <c r="CA81" s="589"/>
      <c r="CB81" s="589"/>
      <c r="CC81" s="589"/>
      <c r="CD81" s="589"/>
      <c r="CE81" s="589"/>
      <c r="CF81" s="589"/>
      <c r="CG81" s="589"/>
      <c r="CH81" s="589"/>
      <c r="CI81" s="589"/>
      <c r="CJ81" s="589"/>
      <c r="CK81" s="589"/>
      <c r="CL81" s="589"/>
      <c r="CM81" s="589"/>
      <c r="CN81" s="589"/>
      <c r="CO81" s="589"/>
      <c r="CP81" s="589"/>
      <c r="CQ81" s="589"/>
      <c r="CR81" s="589"/>
      <c r="CS81" s="589"/>
      <c r="CT81" s="589"/>
      <c r="CU81" s="589"/>
      <c r="CV81" s="589"/>
      <c r="CW81" s="589"/>
      <c r="CX81" s="589"/>
      <c r="CY81" s="589"/>
      <c r="CZ81" s="589"/>
      <c r="DA81" s="589"/>
      <c r="DB81" s="589"/>
      <c r="DC81" s="589"/>
      <c r="DD81" s="589"/>
      <c r="DE81" s="589"/>
      <c r="DF81" s="589"/>
      <c r="DG81" s="589"/>
      <c r="DH81" s="589"/>
      <c r="DI81" s="589"/>
      <c r="DJ81" s="589"/>
      <c r="DK81" s="589"/>
      <c r="DL81" s="589"/>
      <c r="DM81" s="589"/>
      <c r="DN81" s="589"/>
      <c r="DO81" s="589"/>
      <c r="DP81" s="589"/>
      <c r="DQ81" s="589"/>
      <c r="DR81" s="589"/>
      <c r="DS81" s="589"/>
      <c r="DT81" s="589"/>
      <c r="DU81" s="589"/>
      <c r="DV81" s="589"/>
      <c r="DW81" s="589"/>
      <c r="DX81" s="589"/>
      <c r="DY81" s="589"/>
      <c r="DZ81" s="589"/>
      <c r="EA81" s="589"/>
      <c r="EB81" s="589"/>
      <c r="EC81" s="589"/>
      <c r="ED81" s="589"/>
      <c r="EE81" s="589"/>
      <c r="EF81" s="589"/>
      <c r="EG81" s="589"/>
      <c r="EH81" s="589"/>
      <c r="EI81" s="589"/>
      <c r="EJ81" s="589"/>
      <c r="EK81" s="589"/>
      <c r="EL81" s="589"/>
      <c r="EM81" s="589"/>
      <c r="EN81" s="2597"/>
      <c r="EO81" s="2597"/>
      <c r="EP81" s="2597"/>
      <c r="EQ81" s="2597"/>
      <c r="ER81" s="2597"/>
      <c r="ES81" s="2597"/>
      <c r="ET81" s="2597"/>
      <c r="EU81" s="2597"/>
      <c r="EV81" s="2597"/>
      <c r="EW81" s="2597"/>
    </row>
    <row r="82" spans="1:153" hidden="1" outlineLevel="2">
      <c r="A82" s="965" t="s">
        <v>1266</v>
      </c>
      <c r="B82" s="966">
        <f t="shared" si="49"/>
        <v>1000</v>
      </c>
      <c r="C82" s="966">
        <f t="shared" si="50"/>
        <v>945</v>
      </c>
      <c r="D82" s="967">
        <v>900</v>
      </c>
      <c r="E82" s="950"/>
      <c r="F82" s="950"/>
      <c r="G82" s="589"/>
      <c r="H82" s="589"/>
      <c r="I82" s="589"/>
      <c r="J82" s="589"/>
      <c r="K82" s="589"/>
      <c r="L82" s="589"/>
      <c r="M82" s="589"/>
      <c r="N82" s="589"/>
      <c r="O82" s="589"/>
      <c r="P82" s="589"/>
      <c r="Q82" s="589"/>
      <c r="R82" s="589"/>
      <c r="S82" s="589"/>
      <c r="T82" s="589"/>
      <c r="U82" s="589"/>
      <c r="V82" s="589"/>
      <c r="W82" s="589"/>
      <c r="X82" s="589"/>
      <c r="Y82" s="589"/>
      <c r="Z82" s="589"/>
      <c r="AA82" s="589"/>
      <c r="AB82" s="589"/>
      <c r="AC82" s="589"/>
      <c r="AD82" s="589"/>
      <c r="AE82" s="589"/>
      <c r="AF82" s="589"/>
      <c r="AG82" s="589"/>
      <c r="AH82" s="589"/>
      <c r="AI82" s="589"/>
      <c r="AJ82" s="589"/>
      <c r="AL82" s="589"/>
      <c r="AM82" s="589"/>
      <c r="AN82" s="589"/>
      <c r="AO82" s="589"/>
      <c r="AP82" s="589"/>
      <c r="AQ82" s="589"/>
      <c r="AR82" s="589"/>
      <c r="AS82" s="589"/>
      <c r="AT82" s="589"/>
      <c r="AU82" s="589"/>
      <c r="AV82" s="589"/>
      <c r="AW82" s="589"/>
      <c r="AX82" s="589"/>
      <c r="AY82" s="589"/>
      <c r="AZ82" s="589"/>
      <c r="BA82" s="589"/>
      <c r="BB82" s="589"/>
      <c r="BC82" s="589"/>
      <c r="BD82" s="589"/>
      <c r="BE82" s="589"/>
      <c r="BF82" s="589"/>
      <c r="BG82" s="589"/>
      <c r="BH82" s="589"/>
      <c r="BI82" s="589"/>
      <c r="BJ82" s="589"/>
      <c r="BK82" s="589"/>
      <c r="BL82" s="589"/>
      <c r="BM82" s="589"/>
      <c r="BN82" s="589"/>
      <c r="BO82" s="589"/>
      <c r="BP82" s="589"/>
      <c r="BQ82" s="589"/>
      <c r="BR82" s="589"/>
      <c r="BS82" s="589"/>
      <c r="BT82" s="589"/>
      <c r="BU82" s="589"/>
      <c r="BV82" s="589"/>
      <c r="BW82" s="589"/>
      <c r="BX82" s="589"/>
      <c r="BY82" s="589"/>
      <c r="BZ82" s="589"/>
      <c r="CA82" s="589"/>
      <c r="CB82" s="589"/>
      <c r="CC82" s="589"/>
      <c r="CD82" s="589"/>
      <c r="CE82" s="589"/>
      <c r="CF82" s="589"/>
      <c r="CG82" s="589"/>
      <c r="CH82" s="589"/>
      <c r="CI82" s="589"/>
      <c r="CJ82" s="589"/>
      <c r="CK82" s="589"/>
      <c r="CL82" s="589"/>
      <c r="CM82" s="589"/>
      <c r="CN82" s="589"/>
      <c r="CO82" s="589"/>
      <c r="CP82" s="589"/>
      <c r="CQ82" s="589"/>
      <c r="CR82" s="589"/>
      <c r="CS82" s="589"/>
      <c r="CT82" s="589"/>
      <c r="CU82" s="589"/>
      <c r="CV82" s="589"/>
      <c r="CW82" s="589"/>
      <c r="CX82" s="589"/>
      <c r="CY82" s="589"/>
      <c r="CZ82" s="589"/>
      <c r="DA82" s="589"/>
      <c r="DB82" s="589"/>
      <c r="DC82" s="589"/>
      <c r="DD82" s="589"/>
      <c r="DE82" s="589"/>
      <c r="DF82" s="589"/>
      <c r="DG82" s="589"/>
      <c r="DH82" s="589"/>
      <c r="DI82" s="589"/>
      <c r="DJ82" s="589"/>
      <c r="DK82" s="589"/>
      <c r="DL82" s="589"/>
      <c r="DM82" s="589"/>
      <c r="DN82" s="589"/>
      <c r="DO82" s="589"/>
      <c r="DP82" s="589"/>
      <c r="DQ82" s="589"/>
      <c r="DR82" s="589"/>
      <c r="DS82" s="589"/>
      <c r="DT82" s="589"/>
      <c r="DU82" s="589"/>
      <c r="DV82" s="589"/>
      <c r="DW82" s="589"/>
      <c r="DX82" s="589"/>
      <c r="DY82" s="589"/>
      <c r="DZ82" s="589"/>
      <c r="EA82" s="589"/>
      <c r="EB82" s="589"/>
      <c r="EC82" s="589"/>
      <c r="ED82" s="589"/>
      <c r="EE82" s="589"/>
      <c r="EF82" s="589"/>
      <c r="EG82" s="589"/>
      <c r="EH82" s="589"/>
      <c r="EI82" s="589"/>
      <c r="EJ82" s="589"/>
      <c r="EK82" s="589"/>
      <c r="EL82" s="589"/>
      <c r="EM82" s="589"/>
      <c r="EN82" s="2597"/>
      <c r="EO82" s="2597"/>
      <c r="EP82" s="2597"/>
      <c r="EQ82" s="2597"/>
      <c r="ER82" s="2597"/>
      <c r="ES82" s="2597"/>
      <c r="ET82" s="2597"/>
      <c r="EU82" s="2597"/>
      <c r="EV82" s="2597"/>
      <c r="EW82" s="2597"/>
    </row>
    <row r="83" spans="1:153" hidden="1" outlineLevel="2">
      <c r="A83" s="965" t="s">
        <v>1267</v>
      </c>
      <c r="B83" s="966">
        <f t="shared" si="49"/>
        <v>1150</v>
      </c>
      <c r="C83" s="966">
        <f t="shared" si="50"/>
        <v>1050</v>
      </c>
      <c r="D83" s="967">
        <v>1000</v>
      </c>
      <c r="E83" s="950"/>
      <c r="F83" s="950"/>
      <c r="G83" s="589"/>
      <c r="H83" s="589"/>
      <c r="I83" s="589"/>
      <c r="J83" s="589"/>
      <c r="K83" s="589"/>
      <c r="L83" s="589"/>
      <c r="M83" s="589"/>
      <c r="N83" s="589"/>
      <c r="O83" s="589"/>
      <c r="P83" s="589"/>
      <c r="Q83" s="589"/>
      <c r="R83" s="589"/>
      <c r="S83" s="589"/>
      <c r="T83" s="589"/>
      <c r="U83" s="589"/>
      <c r="V83" s="589"/>
      <c r="W83" s="589"/>
      <c r="X83" s="589"/>
      <c r="Y83" s="589"/>
      <c r="Z83" s="589"/>
      <c r="AA83" s="589"/>
      <c r="AB83" s="589"/>
      <c r="AC83" s="589"/>
      <c r="AD83" s="589"/>
      <c r="AE83" s="589"/>
      <c r="AF83" s="589"/>
      <c r="AG83" s="589"/>
      <c r="AH83" s="589"/>
      <c r="AI83" s="589"/>
      <c r="AJ83" s="589"/>
      <c r="AL83" s="589"/>
      <c r="AM83" s="589"/>
      <c r="AN83" s="589"/>
      <c r="AO83" s="589"/>
      <c r="AP83" s="589"/>
      <c r="AQ83" s="589"/>
      <c r="AR83" s="589"/>
      <c r="AS83" s="589"/>
      <c r="AT83" s="589"/>
      <c r="AU83" s="589"/>
      <c r="AV83" s="589"/>
      <c r="AW83" s="589"/>
      <c r="AX83" s="589"/>
      <c r="AY83" s="589"/>
      <c r="AZ83" s="589"/>
      <c r="BA83" s="589"/>
      <c r="BB83" s="589"/>
      <c r="BC83" s="589"/>
      <c r="BD83" s="589"/>
      <c r="BE83" s="589"/>
      <c r="BF83" s="589"/>
      <c r="BG83" s="589"/>
      <c r="BH83" s="589"/>
      <c r="BI83" s="589"/>
      <c r="BJ83" s="589"/>
      <c r="BK83" s="589"/>
      <c r="BL83" s="589"/>
      <c r="BM83" s="589"/>
      <c r="BN83" s="589"/>
      <c r="BO83" s="589"/>
      <c r="BP83" s="589"/>
      <c r="BQ83" s="589"/>
      <c r="BR83" s="589"/>
      <c r="BS83" s="589"/>
      <c r="BT83" s="589"/>
      <c r="BU83" s="589"/>
      <c r="BV83" s="589"/>
      <c r="BW83" s="589"/>
      <c r="BX83" s="589"/>
      <c r="BY83" s="589"/>
      <c r="BZ83" s="589"/>
      <c r="CA83" s="589"/>
      <c r="CB83" s="589"/>
      <c r="CC83" s="589"/>
      <c r="CD83" s="589"/>
      <c r="CE83" s="589"/>
      <c r="CF83" s="589"/>
      <c r="CG83" s="589"/>
      <c r="CH83" s="589"/>
      <c r="CI83" s="589"/>
      <c r="CJ83" s="589"/>
      <c r="CK83" s="589"/>
      <c r="CL83" s="589"/>
      <c r="CM83" s="589"/>
      <c r="CN83" s="589"/>
      <c r="CO83" s="589"/>
      <c r="CP83" s="589"/>
      <c r="CQ83" s="589"/>
      <c r="CR83" s="589"/>
      <c r="CS83" s="589"/>
      <c r="CT83" s="589"/>
      <c r="CU83" s="589"/>
      <c r="CV83" s="589"/>
      <c r="CW83" s="589"/>
      <c r="CX83" s="589"/>
      <c r="CY83" s="589"/>
      <c r="CZ83" s="589"/>
      <c r="DA83" s="589"/>
      <c r="DB83" s="589"/>
      <c r="DC83" s="589"/>
      <c r="DD83" s="589"/>
      <c r="DE83" s="589"/>
      <c r="DF83" s="589"/>
      <c r="DG83" s="589"/>
      <c r="DH83" s="589"/>
      <c r="DI83" s="589"/>
      <c r="DJ83" s="589"/>
      <c r="DK83" s="589"/>
      <c r="DL83" s="589"/>
      <c r="DM83" s="589"/>
      <c r="DN83" s="589"/>
      <c r="DO83" s="589"/>
      <c r="DP83" s="589"/>
      <c r="DQ83" s="589"/>
      <c r="DR83" s="589"/>
      <c r="DS83" s="589"/>
      <c r="DT83" s="589"/>
      <c r="DU83" s="589"/>
      <c r="DV83" s="589"/>
      <c r="DW83" s="589"/>
      <c r="DX83" s="589"/>
      <c r="DY83" s="589"/>
      <c r="DZ83" s="589"/>
      <c r="EA83" s="589"/>
      <c r="EB83" s="589"/>
      <c r="EC83" s="589"/>
      <c r="ED83" s="589"/>
      <c r="EE83" s="589"/>
      <c r="EF83" s="589"/>
      <c r="EG83" s="589"/>
      <c r="EH83" s="589"/>
      <c r="EI83" s="589"/>
      <c r="EJ83" s="589"/>
      <c r="EK83" s="589"/>
      <c r="EL83" s="589"/>
      <c r="EM83" s="589"/>
      <c r="EN83" s="2597"/>
      <c r="EO83" s="2597"/>
      <c r="EP83" s="2597"/>
      <c r="EQ83" s="2597"/>
      <c r="ER83" s="2597"/>
      <c r="ES83" s="2597"/>
      <c r="ET83" s="2597"/>
      <c r="EU83" s="2597"/>
      <c r="EV83" s="2597"/>
      <c r="EW83" s="2597"/>
    </row>
    <row r="84" spans="1:153" hidden="1" outlineLevel="2">
      <c r="A84" s="965" t="s">
        <v>1268</v>
      </c>
      <c r="B84" s="966">
        <f t="shared" si="49"/>
        <v>1350</v>
      </c>
      <c r="C84" s="966">
        <f t="shared" si="50"/>
        <v>1260</v>
      </c>
      <c r="D84" s="967">
        <v>1200</v>
      </c>
      <c r="E84" s="950"/>
      <c r="F84" s="950"/>
      <c r="G84" s="589"/>
      <c r="H84" s="589"/>
      <c r="I84" s="589"/>
      <c r="J84" s="589"/>
      <c r="K84" s="589"/>
      <c r="L84" s="589"/>
      <c r="M84" s="589"/>
      <c r="N84" s="589"/>
      <c r="O84" s="589"/>
      <c r="P84" s="589"/>
      <c r="Q84" s="589"/>
      <c r="R84" s="589"/>
      <c r="S84" s="589"/>
      <c r="T84" s="589"/>
      <c r="U84" s="589"/>
      <c r="V84" s="589"/>
      <c r="W84" s="589"/>
      <c r="X84" s="589"/>
      <c r="Y84" s="589"/>
      <c r="Z84" s="589"/>
      <c r="AA84" s="589"/>
      <c r="AB84" s="589"/>
      <c r="AC84" s="589"/>
      <c r="AD84" s="589"/>
      <c r="AE84" s="589"/>
      <c r="AF84" s="589"/>
      <c r="AG84" s="589"/>
      <c r="AH84" s="589"/>
      <c r="AI84" s="589"/>
      <c r="AJ84" s="589"/>
      <c r="AL84" s="589"/>
      <c r="AM84" s="589"/>
      <c r="AN84" s="589"/>
      <c r="AO84" s="589"/>
      <c r="AP84" s="589"/>
      <c r="AQ84" s="589"/>
      <c r="AR84" s="589"/>
      <c r="AS84" s="589"/>
      <c r="AT84" s="589"/>
      <c r="AU84" s="589"/>
      <c r="AV84" s="589"/>
      <c r="AW84" s="589"/>
      <c r="AX84" s="589"/>
      <c r="AY84" s="589"/>
      <c r="AZ84" s="589"/>
      <c r="BA84" s="589"/>
      <c r="BB84" s="589"/>
      <c r="BC84" s="589"/>
      <c r="BD84" s="589"/>
      <c r="BE84" s="589"/>
      <c r="BF84" s="589"/>
      <c r="BG84" s="589"/>
      <c r="BH84" s="589"/>
      <c r="BI84" s="589"/>
      <c r="BJ84" s="589"/>
      <c r="BK84" s="589"/>
      <c r="BL84" s="589"/>
      <c r="BM84" s="589"/>
      <c r="BN84" s="589"/>
      <c r="BO84" s="589"/>
      <c r="BP84" s="589"/>
      <c r="BQ84" s="589"/>
      <c r="BR84" s="589"/>
      <c r="BS84" s="589"/>
      <c r="BT84" s="589"/>
      <c r="BU84" s="589"/>
      <c r="BV84" s="589"/>
      <c r="BW84" s="589"/>
      <c r="BX84" s="589"/>
      <c r="BY84" s="589"/>
      <c r="BZ84" s="589"/>
      <c r="CA84" s="589"/>
      <c r="CB84" s="589"/>
      <c r="CC84" s="589"/>
      <c r="CD84" s="589"/>
      <c r="CE84" s="589"/>
      <c r="CF84" s="589"/>
      <c r="CG84" s="589"/>
      <c r="CH84" s="589"/>
      <c r="CI84" s="589"/>
      <c r="CJ84" s="589"/>
      <c r="CK84" s="589"/>
      <c r="CL84" s="589"/>
      <c r="CM84" s="589"/>
      <c r="CN84" s="589"/>
      <c r="CO84" s="589"/>
      <c r="CP84" s="589"/>
      <c r="CQ84" s="589"/>
      <c r="CR84" s="589"/>
      <c r="CS84" s="589"/>
      <c r="CT84" s="589"/>
      <c r="CU84" s="589"/>
      <c r="CV84" s="589"/>
      <c r="CW84" s="589"/>
      <c r="CX84" s="589"/>
      <c r="CY84" s="589"/>
      <c r="CZ84" s="589"/>
      <c r="DA84" s="589"/>
      <c r="DB84" s="589"/>
      <c r="DC84" s="589"/>
      <c r="DD84" s="589"/>
      <c r="DE84" s="589"/>
      <c r="DF84" s="589"/>
      <c r="DG84" s="589"/>
      <c r="DH84" s="589"/>
      <c r="DI84" s="589"/>
      <c r="DJ84" s="589"/>
      <c r="DK84" s="589"/>
      <c r="DL84" s="589"/>
      <c r="DM84" s="589"/>
      <c r="DN84" s="589"/>
      <c r="DO84" s="589"/>
      <c r="DP84" s="589"/>
      <c r="DQ84" s="589"/>
      <c r="DR84" s="589"/>
      <c r="DS84" s="589"/>
      <c r="DT84" s="589"/>
      <c r="DU84" s="589"/>
      <c r="DV84" s="589"/>
      <c r="DW84" s="589"/>
      <c r="DX84" s="589"/>
      <c r="DY84" s="589"/>
      <c r="DZ84" s="589"/>
      <c r="EA84" s="589"/>
      <c r="EB84" s="589"/>
      <c r="EC84" s="589"/>
      <c r="ED84" s="589"/>
      <c r="EE84" s="589"/>
      <c r="EF84" s="589"/>
      <c r="EG84" s="589"/>
      <c r="EH84" s="589"/>
      <c r="EI84" s="589"/>
      <c r="EJ84" s="589"/>
      <c r="EK84" s="589"/>
      <c r="EL84" s="589"/>
      <c r="EM84" s="589"/>
      <c r="EN84" s="2597"/>
      <c r="EO84" s="2597"/>
      <c r="EP84" s="2597"/>
      <c r="EQ84" s="2597"/>
      <c r="ER84" s="2597"/>
      <c r="ES84" s="2597"/>
      <c r="ET84" s="2597"/>
      <c r="EU84" s="2597"/>
      <c r="EV84" s="2597"/>
      <c r="EW84" s="2597"/>
    </row>
    <row r="85" spans="1:153" s="813" customFormat="1" ht="36" hidden="1" customHeight="1" outlineLevel="2" collapsed="1">
      <c r="A85" s="941" t="s">
        <v>39</v>
      </c>
      <c r="B85" s="941" t="s">
        <v>212</v>
      </c>
      <c r="C85" s="888" t="s">
        <v>40</v>
      </c>
      <c r="D85" s="888" t="s">
        <v>1273</v>
      </c>
      <c r="E85" s="927" t="s">
        <v>1271</v>
      </c>
      <c r="F85" s="927" t="s">
        <v>1261</v>
      </c>
      <c r="G85" s="824" t="s">
        <v>1099</v>
      </c>
      <c r="H85" s="824" t="s">
        <v>1098</v>
      </c>
      <c r="I85" s="824" t="s">
        <v>1100</v>
      </c>
      <c r="J85" s="824" t="s">
        <v>1101</v>
      </c>
      <c r="K85" s="824" t="s">
        <v>1102</v>
      </c>
      <c r="L85" s="824" t="s">
        <v>1103</v>
      </c>
      <c r="M85" s="824" t="s">
        <v>1104</v>
      </c>
      <c r="N85" s="824" t="s">
        <v>1105</v>
      </c>
      <c r="O85" s="807" t="s">
        <v>1109</v>
      </c>
      <c r="P85" s="807" t="s">
        <v>1110</v>
      </c>
      <c r="Q85" s="807" t="s">
        <v>1111</v>
      </c>
      <c r="R85" s="807" t="s">
        <v>1107</v>
      </c>
      <c r="S85" s="807" t="s">
        <v>1106</v>
      </c>
      <c r="T85" s="807" t="s">
        <v>1108</v>
      </c>
      <c r="U85" s="817" t="s">
        <v>324</v>
      </c>
      <c r="V85" s="817" t="s">
        <v>323</v>
      </c>
      <c r="W85" s="817" t="s">
        <v>1076</v>
      </c>
      <c r="X85" s="816" t="s">
        <v>364</v>
      </c>
      <c r="Y85" s="816" t="s">
        <v>365</v>
      </c>
      <c r="Z85" s="816" t="s">
        <v>366</v>
      </c>
      <c r="AA85" s="816" t="s">
        <v>367</v>
      </c>
      <c r="AB85" s="816" t="s">
        <v>368</v>
      </c>
      <c r="AC85" s="816" t="s">
        <v>369</v>
      </c>
      <c r="AD85" s="816" t="s">
        <v>370</v>
      </c>
      <c r="AE85" s="816" t="s">
        <v>371</v>
      </c>
      <c r="AF85" s="886" t="s">
        <v>325</v>
      </c>
      <c r="AG85" s="886" t="s">
        <v>326</v>
      </c>
      <c r="AH85" s="886" t="s">
        <v>327</v>
      </c>
      <c r="AI85" s="886" t="s">
        <v>328</v>
      </c>
      <c r="AJ85" s="886" t="s">
        <v>329</v>
      </c>
      <c r="AK85" s="886" t="s">
        <v>743</v>
      </c>
      <c r="AL85" s="817" t="s">
        <v>744</v>
      </c>
      <c r="AM85" s="817" t="s">
        <v>745</v>
      </c>
      <c r="AN85" s="817" t="s">
        <v>922</v>
      </c>
      <c r="AO85" s="817" t="s">
        <v>900</v>
      </c>
      <c r="AP85" s="817" t="s">
        <v>746</v>
      </c>
      <c r="AQ85" s="817" t="s">
        <v>747</v>
      </c>
      <c r="AR85" s="817" t="s">
        <v>769</v>
      </c>
      <c r="AS85" s="817" t="s">
        <v>770</v>
      </c>
      <c r="AT85" s="807" t="s">
        <v>330</v>
      </c>
      <c r="AU85" s="807" t="s">
        <v>331</v>
      </c>
      <c r="AV85" s="807" t="s">
        <v>332</v>
      </c>
      <c r="AW85" s="807" t="s">
        <v>333</v>
      </c>
      <c r="AX85" s="807" t="s">
        <v>334</v>
      </c>
      <c r="AY85" s="825" t="s">
        <v>335</v>
      </c>
      <c r="AZ85" s="825" t="s">
        <v>336</v>
      </c>
      <c r="BA85" s="826" t="s">
        <v>337</v>
      </c>
      <c r="BB85" s="826" t="s">
        <v>338</v>
      </c>
      <c r="BC85" s="826" t="s">
        <v>339</v>
      </c>
      <c r="BD85" s="827" t="s">
        <v>340</v>
      </c>
      <c r="BE85" s="827" t="s">
        <v>341</v>
      </c>
      <c r="BF85" s="827" t="s">
        <v>342</v>
      </c>
      <c r="BG85" s="827" t="s">
        <v>343</v>
      </c>
      <c r="BH85" s="905" t="s">
        <v>1228</v>
      </c>
      <c r="BI85" s="892" t="s">
        <v>1229</v>
      </c>
      <c r="BJ85" s="886" t="s">
        <v>1113</v>
      </c>
      <c r="BK85" s="886" t="s">
        <v>1112</v>
      </c>
      <c r="BL85" s="886" t="s">
        <v>1114</v>
      </c>
      <c r="BM85" s="886" t="s">
        <v>1115</v>
      </c>
      <c r="BN85" s="886" t="s">
        <v>457</v>
      </c>
      <c r="BO85" s="807" t="s">
        <v>1077</v>
      </c>
      <c r="BP85" s="807" t="s">
        <v>1078</v>
      </c>
      <c r="BQ85" s="807" t="s">
        <v>1116</v>
      </c>
      <c r="BR85" s="886" t="s">
        <v>48</v>
      </c>
      <c r="BS85" s="886" t="s">
        <v>1117</v>
      </c>
      <c r="BT85" s="886" t="s">
        <v>1122</v>
      </c>
      <c r="BU85" s="886" t="s">
        <v>1127</v>
      </c>
      <c r="BV85" s="886" t="s">
        <v>1120</v>
      </c>
      <c r="BW85" s="886" t="s">
        <v>1125</v>
      </c>
      <c r="BX85" s="886" t="s">
        <v>1121</v>
      </c>
      <c r="BY85" s="886" t="s">
        <v>1126</v>
      </c>
      <c r="BZ85" s="886" t="s">
        <v>1118</v>
      </c>
      <c r="CA85" s="886" t="s">
        <v>1119</v>
      </c>
      <c r="CB85" s="886" t="s">
        <v>1123</v>
      </c>
      <c r="CC85" s="886" t="s">
        <v>1124</v>
      </c>
      <c r="CD85" s="807" t="s">
        <v>1128</v>
      </c>
      <c r="CE85" s="807" t="s">
        <v>1129</v>
      </c>
      <c r="CF85" s="807" t="s">
        <v>1130</v>
      </c>
      <c r="CG85" s="807" t="s">
        <v>1131</v>
      </c>
      <c r="CH85" s="807" t="s">
        <v>1132</v>
      </c>
      <c r="CI85" s="807" t="s">
        <v>1133</v>
      </c>
      <c r="CJ85" s="807" t="s">
        <v>1134</v>
      </c>
      <c r="CK85" s="807" t="s">
        <v>1135</v>
      </c>
      <c r="CL85" s="886" t="s">
        <v>394</v>
      </c>
      <c r="CM85" s="886" t="s">
        <v>395</v>
      </c>
      <c r="CN85" s="886" t="s">
        <v>396</v>
      </c>
      <c r="CO85" s="886" t="s">
        <v>397</v>
      </c>
      <c r="CP85" s="886" t="s">
        <v>1136</v>
      </c>
      <c r="CQ85" s="886" t="s">
        <v>1137</v>
      </c>
      <c r="CR85" s="886" t="s">
        <v>1138</v>
      </c>
      <c r="CS85" s="886" t="s">
        <v>1194</v>
      </c>
      <c r="CT85" s="886" t="s">
        <v>1193</v>
      </c>
      <c r="CU85" s="886" t="s">
        <v>1195</v>
      </c>
      <c r="CV85" s="886" t="s">
        <v>1139</v>
      </c>
      <c r="CW85" s="886" t="s">
        <v>1140</v>
      </c>
      <c r="CX85" s="886" t="s">
        <v>1141</v>
      </c>
      <c r="CY85" s="886" t="s">
        <v>1142</v>
      </c>
      <c r="CZ85" s="1016" t="s">
        <v>1196</v>
      </c>
      <c r="DA85" s="886" t="s">
        <v>1143</v>
      </c>
      <c r="DB85" s="886" t="s">
        <v>1144</v>
      </c>
      <c r="DC85" s="886" t="s">
        <v>321</v>
      </c>
      <c r="DD85" s="886"/>
      <c r="DE85" s="886"/>
      <c r="DF85" s="807" t="s">
        <v>1079</v>
      </c>
      <c r="DG85" s="807" t="s">
        <v>1080</v>
      </c>
      <c r="DH85" s="807" t="s">
        <v>1081</v>
      </c>
      <c r="DI85" s="807" t="s">
        <v>1082</v>
      </c>
      <c r="DJ85" s="807" t="s">
        <v>1083</v>
      </c>
      <c r="DK85" s="807" t="s">
        <v>1084</v>
      </c>
      <c r="DL85" s="807" t="s">
        <v>1085</v>
      </c>
      <c r="DM85" s="807" t="s">
        <v>1086</v>
      </c>
      <c r="DN85" s="807" t="s">
        <v>1087</v>
      </c>
      <c r="DO85" s="807" t="s">
        <v>1088</v>
      </c>
      <c r="DP85" s="807" t="s">
        <v>1089</v>
      </c>
      <c r="DQ85" s="807" t="s">
        <v>1090</v>
      </c>
      <c r="DR85" s="807" t="s">
        <v>1091</v>
      </c>
      <c r="DS85" s="807" t="s">
        <v>1092</v>
      </c>
      <c r="DT85" s="807" t="s">
        <v>1093</v>
      </c>
      <c r="DU85" s="807" t="s">
        <v>351</v>
      </c>
      <c r="DV85" s="807" t="s">
        <v>352</v>
      </c>
      <c r="DW85" s="807" t="s">
        <v>353</v>
      </c>
      <c r="DX85" s="807" t="s">
        <v>354</v>
      </c>
      <c r="DY85" s="807" t="s">
        <v>355</v>
      </c>
      <c r="DZ85" s="807" t="s">
        <v>356</v>
      </c>
      <c r="EA85" s="886" t="s">
        <v>345</v>
      </c>
      <c r="EB85" s="886" t="s">
        <v>346</v>
      </c>
      <c r="EC85" s="886" t="s">
        <v>347</v>
      </c>
      <c r="ED85" s="886" t="s">
        <v>348</v>
      </c>
      <c r="EE85" s="886" t="s">
        <v>349</v>
      </c>
      <c r="EF85" s="886" t="s">
        <v>350</v>
      </c>
      <c r="EG85" s="886" t="s">
        <v>357</v>
      </c>
      <c r="EH85" s="886" t="s">
        <v>358</v>
      </c>
      <c r="EI85" s="886" t="s">
        <v>359</v>
      </c>
      <c r="EJ85" s="807" t="s">
        <v>441</v>
      </c>
      <c r="EK85" s="807" t="s">
        <v>442</v>
      </c>
      <c r="EL85" s="886" t="s">
        <v>307</v>
      </c>
      <c r="EM85" s="886" t="s">
        <v>1145</v>
      </c>
      <c r="EN85" s="2596" t="s">
        <v>1146</v>
      </c>
      <c r="EO85" s="2596" t="s">
        <v>1147</v>
      </c>
      <c r="EP85" s="2596" t="s">
        <v>1148</v>
      </c>
      <c r="EQ85" s="2596" t="s">
        <v>1149</v>
      </c>
      <c r="ER85" s="2596" t="s">
        <v>1150</v>
      </c>
      <c r="ES85" s="807" t="s">
        <v>1094</v>
      </c>
      <c r="ET85" s="807" t="s">
        <v>1095</v>
      </c>
      <c r="EU85" s="807" t="s">
        <v>1096</v>
      </c>
      <c r="EV85" s="807" t="s">
        <v>1097</v>
      </c>
    </row>
    <row r="86" spans="1:153" s="813" customFormat="1" ht="15.75" hidden="1" outlineLevel="2">
      <c r="A86" s="943" t="s">
        <v>1262</v>
      </c>
      <c r="B86" s="819"/>
      <c r="C86" s="819"/>
      <c r="D86" s="951"/>
      <c r="E86" s="951"/>
      <c r="F86" s="819"/>
      <c r="G86" s="551">
        <v>1</v>
      </c>
      <c r="H86" s="551">
        <v>1</v>
      </c>
      <c r="I86" s="551">
        <v>1</v>
      </c>
      <c r="J86" s="551">
        <v>1</v>
      </c>
      <c r="K86" s="551">
        <v>1</v>
      </c>
      <c r="L86" s="551">
        <v>1</v>
      </c>
      <c r="M86" s="551">
        <v>1</v>
      </c>
      <c r="N86" s="551">
        <v>1</v>
      </c>
      <c r="O86" s="551">
        <f>IF(O87,1,0)</f>
        <v>0</v>
      </c>
      <c r="P86" s="551">
        <f>IF(P87,1,0)</f>
        <v>0</v>
      </c>
      <c r="Q86" s="551">
        <f>IF(Q87,1,0)</f>
        <v>0</v>
      </c>
      <c r="R86" s="551">
        <v>1</v>
      </c>
      <c r="S86" s="551">
        <v>1</v>
      </c>
      <c r="T86" s="551">
        <v>1</v>
      </c>
      <c r="U86" s="551">
        <f>IF(U87,1,0)</f>
        <v>0</v>
      </c>
      <c r="V86" s="551">
        <f>IF(V87,1,0)</f>
        <v>0</v>
      </c>
      <c r="W86" s="551">
        <f>IF(W87,1,0)</f>
        <v>0</v>
      </c>
      <c r="X86" s="551">
        <v>1</v>
      </c>
      <c r="Y86" s="551">
        <v>1</v>
      </c>
      <c r="Z86" s="551">
        <v>1</v>
      </c>
      <c r="AA86" s="551">
        <v>1</v>
      </c>
      <c r="AB86" s="551">
        <v>1</v>
      </c>
      <c r="AC86" s="551">
        <v>1</v>
      </c>
      <c r="AD86" s="551">
        <v>0</v>
      </c>
      <c r="AE86" s="551">
        <v>0</v>
      </c>
      <c r="AF86" s="551">
        <v>1</v>
      </c>
      <c r="AG86" s="551">
        <v>1</v>
      </c>
      <c r="AH86" s="551">
        <v>1</v>
      </c>
      <c r="AI86" s="551">
        <v>1</v>
      </c>
      <c r="AJ86" s="551">
        <v>0</v>
      </c>
      <c r="AK86" s="551">
        <v>0</v>
      </c>
      <c r="AL86" s="551">
        <v>1</v>
      </c>
      <c r="AM86" s="551">
        <v>1</v>
      </c>
      <c r="AN86" s="551">
        <v>1</v>
      </c>
      <c r="AO86" s="551">
        <v>1</v>
      </c>
      <c r="AP86" s="551">
        <v>1</v>
      </c>
      <c r="AQ86" s="551">
        <v>1</v>
      </c>
      <c r="AR86" s="551">
        <v>0</v>
      </c>
      <c r="AS86" s="551">
        <v>0</v>
      </c>
      <c r="AT86" s="551">
        <v>1</v>
      </c>
      <c r="AU86" s="551">
        <v>1</v>
      </c>
      <c r="AV86" s="551">
        <v>1</v>
      </c>
      <c r="AW86" s="551">
        <v>1</v>
      </c>
      <c r="AX86" s="551">
        <v>1</v>
      </c>
      <c r="AY86" s="551">
        <v>1</v>
      </c>
      <c r="AZ86" s="551">
        <v>1</v>
      </c>
      <c r="BA86" s="551">
        <v>0</v>
      </c>
      <c r="BB86" s="551">
        <v>0</v>
      </c>
      <c r="BC86" s="551">
        <v>0</v>
      </c>
      <c r="BD86" s="551">
        <v>1</v>
      </c>
      <c r="BE86" s="551">
        <v>1</v>
      </c>
      <c r="BF86" s="551">
        <v>1</v>
      </c>
      <c r="BG86" s="551">
        <v>1</v>
      </c>
      <c r="BH86" s="551">
        <v>1</v>
      </c>
      <c r="BI86" s="551">
        <v>1</v>
      </c>
      <c r="BJ86" s="551">
        <v>1</v>
      </c>
      <c r="BK86" s="551">
        <v>1</v>
      </c>
      <c r="BL86" s="551">
        <v>1</v>
      </c>
      <c r="BM86" s="551">
        <v>1</v>
      </c>
      <c r="BN86" s="551">
        <v>1</v>
      </c>
      <c r="BO86" s="551">
        <v>1</v>
      </c>
      <c r="BP86" s="551">
        <v>1</v>
      </c>
      <c r="BQ86" s="551">
        <v>1</v>
      </c>
      <c r="BR86" s="886"/>
      <c r="BS86" s="886"/>
      <c r="BT86" s="551">
        <v>1</v>
      </c>
      <c r="BU86" s="551">
        <v>1</v>
      </c>
      <c r="BV86" s="886"/>
      <c r="BW86" s="886">
        <v>1</v>
      </c>
      <c r="BX86" s="886"/>
      <c r="BY86" s="886"/>
      <c r="BZ86" s="886"/>
      <c r="CA86" s="886"/>
      <c r="CB86" s="886"/>
      <c r="CC86" s="886"/>
      <c r="CD86" s="807"/>
      <c r="CE86" s="807"/>
      <c r="CF86" s="807">
        <v>1</v>
      </c>
      <c r="CG86" s="807">
        <v>1</v>
      </c>
      <c r="CH86" s="807">
        <v>1</v>
      </c>
      <c r="CI86" s="807"/>
      <c r="CJ86" s="807">
        <v>1</v>
      </c>
      <c r="CK86" s="807">
        <v>1</v>
      </c>
      <c r="CL86" s="886"/>
      <c r="CM86" s="886"/>
      <c r="CN86" s="886"/>
      <c r="CO86" s="886"/>
      <c r="CP86" s="886"/>
      <c r="CQ86" s="886"/>
      <c r="CR86" s="886"/>
      <c r="CS86" s="886"/>
      <c r="CT86" s="886"/>
      <c r="CU86" s="886"/>
      <c r="CV86" s="886"/>
      <c r="CW86" s="886"/>
      <c r="CX86" s="886"/>
      <c r="CY86" s="886"/>
      <c r="CZ86" s="1089"/>
      <c r="DA86" s="886"/>
      <c r="DB86" s="886"/>
      <c r="DC86" s="886"/>
      <c r="DD86" s="886"/>
      <c r="DE86" s="886"/>
      <c r="DF86" s="807"/>
      <c r="DG86" s="807"/>
      <c r="DH86" s="807"/>
      <c r="DI86" s="807"/>
      <c r="DJ86" s="807"/>
      <c r="DK86" s="807"/>
      <c r="DL86" s="807"/>
      <c r="DM86" s="807"/>
      <c r="DN86" s="807"/>
      <c r="DO86" s="807"/>
      <c r="DP86" s="807"/>
      <c r="DQ86" s="807"/>
      <c r="DR86" s="807"/>
      <c r="DS86" s="807"/>
      <c r="DT86" s="807"/>
      <c r="DU86" s="807"/>
      <c r="DV86" s="807"/>
      <c r="DW86" s="807"/>
      <c r="DX86" s="807"/>
      <c r="DY86" s="807"/>
      <c r="DZ86" s="807"/>
      <c r="EA86" s="886"/>
      <c r="EB86" s="886"/>
      <c r="EC86" s="886"/>
      <c r="ED86" s="886"/>
      <c r="EE86" s="886"/>
      <c r="EF86" s="886"/>
      <c r="EG86" s="886"/>
      <c r="EH86" s="886"/>
      <c r="EI86" s="886"/>
      <c r="EJ86" s="807"/>
      <c r="EK86" s="807"/>
      <c r="EL86" s="886"/>
      <c r="EM86" s="551">
        <v>1</v>
      </c>
      <c r="EN86" s="2708">
        <v>1</v>
      </c>
      <c r="EO86" s="2708">
        <v>1</v>
      </c>
      <c r="EP86" s="2708">
        <v>1</v>
      </c>
      <c r="EQ86" s="2708">
        <v>1</v>
      </c>
      <c r="ER86" s="2708">
        <v>1</v>
      </c>
      <c r="ES86" s="807"/>
      <c r="ET86" s="2708">
        <v>1</v>
      </c>
      <c r="EU86" s="2708">
        <v>1</v>
      </c>
      <c r="EV86" s="807"/>
    </row>
    <row r="87" spans="1:153" s="813" customFormat="1" ht="15.75" hidden="1" outlineLevel="2">
      <c r="A87" s="943" t="s">
        <v>1231</v>
      </c>
      <c r="B87" s="819"/>
      <c r="C87" s="819"/>
      <c r="D87" s="951"/>
      <c r="E87" s="951"/>
      <c r="F87" s="819"/>
      <c r="G87" s="892">
        <v>6</v>
      </c>
      <c r="H87" s="892">
        <v>6</v>
      </c>
      <c r="I87" s="892">
        <v>6</v>
      </c>
      <c r="J87" s="892">
        <v>6</v>
      </c>
      <c r="K87" s="892">
        <v>6</v>
      </c>
      <c r="L87" s="892">
        <v>6</v>
      </c>
      <c r="M87" s="892">
        <v>6</v>
      </c>
      <c r="N87" s="892">
        <v>6</v>
      </c>
      <c r="O87" s="551">
        <v>0</v>
      </c>
      <c r="P87" s="551">
        <v>0</v>
      </c>
      <c r="Q87" s="551">
        <v>0</v>
      </c>
      <c r="R87" s="892" t="s">
        <v>1232</v>
      </c>
      <c r="S87" s="892" t="s">
        <v>1232</v>
      </c>
      <c r="T87" s="892" t="s">
        <v>1232</v>
      </c>
      <c r="U87" s="551">
        <v>0</v>
      </c>
      <c r="V87" s="551">
        <v>0</v>
      </c>
      <c r="W87" s="551">
        <v>0</v>
      </c>
      <c r="X87" s="550" t="s">
        <v>1232</v>
      </c>
      <c r="Y87" s="550" t="s">
        <v>1232</v>
      </c>
      <c r="Z87" s="550" t="s">
        <v>1232</v>
      </c>
      <c r="AA87" s="550" t="s">
        <v>1232</v>
      </c>
      <c r="AB87" s="550" t="s">
        <v>1232</v>
      </c>
      <c r="AC87" s="550" t="s">
        <v>1232</v>
      </c>
      <c r="AD87" s="551">
        <v>0</v>
      </c>
      <c r="AE87" s="551">
        <v>0</v>
      </c>
      <c r="AF87" s="550" t="s">
        <v>1232</v>
      </c>
      <c r="AG87" s="550" t="s">
        <v>1232</v>
      </c>
      <c r="AH87" s="550" t="s">
        <v>1232</v>
      </c>
      <c r="AI87" s="550" t="s">
        <v>1232</v>
      </c>
      <c r="AJ87" s="551">
        <v>0</v>
      </c>
      <c r="AK87" s="551">
        <v>0</v>
      </c>
      <c r="AL87" s="550" t="s">
        <v>1232</v>
      </c>
      <c r="AM87" s="550" t="s">
        <v>1232</v>
      </c>
      <c r="AN87" s="550" t="s">
        <v>1232</v>
      </c>
      <c r="AO87" s="550" t="s">
        <v>1232</v>
      </c>
      <c r="AP87" s="550" t="s">
        <v>1232</v>
      </c>
      <c r="AQ87" s="550" t="s">
        <v>1232</v>
      </c>
      <c r="AR87" s="551">
        <v>0</v>
      </c>
      <c r="AS87" s="551">
        <v>0</v>
      </c>
      <c r="AT87" s="550">
        <v>4</v>
      </c>
      <c r="AU87" s="550">
        <v>4</v>
      </c>
      <c r="AV87" s="550">
        <v>4</v>
      </c>
      <c r="AW87" s="550">
        <v>4</v>
      </c>
      <c r="AX87" s="550">
        <v>4</v>
      </c>
      <c r="AY87" s="550">
        <v>4</v>
      </c>
      <c r="AZ87" s="550">
        <v>4</v>
      </c>
      <c r="BA87" s="551">
        <v>0</v>
      </c>
      <c r="BB87" s="551">
        <v>0</v>
      </c>
      <c r="BC87" s="551">
        <v>0</v>
      </c>
      <c r="BD87" s="550">
        <v>4</v>
      </c>
      <c r="BE87" s="550">
        <v>4</v>
      </c>
      <c r="BF87" s="550">
        <v>4</v>
      </c>
      <c r="BG87" s="550">
        <v>4</v>
      </c>
      <c r="BH87" s="906">
        <v>4</v>
      </c>
      <c r="BI87" s="892">
        <v>6</v>
      </c>
      <c r="BJ87" s="892">
        <v>4</v>
      </c>
      <c r="BK87" s="892">
        <v>4</v>
      </c>
      <c r="BL87" s="892">
        <v>4</v>
      </c>
      <c r="BM87" s="892">
        <v>4</v>
      </c>
      <c r="BN87" s="892">
        <v>4</v>
      </c>
      <c r="BO87" s="892">
        <v>4</v>
      </c>
      <c r="BP87" s="892">
        <v>4</v>
      </c>
      <c r="BQ87" s="892">
        <v>4</v>
      </c>
      <c r="BR87" s="886"/>
      <c r="BS87" s="886"/>
      <c r="BT87" s="906" t="s">
        <v>1232</v>
      </c>
      <c r="BU87" s="886" t="s">
        <v>1232</v>
      </c>
      <c r="BV87" s="886"/>
      <c r="BW87" s="886" t="s">
        <v>1342</v>
      </c>
      <c r="BX87" s="886"/>
      <c r="BY87" s="886"/>
      <c r="BZ87" s="886"/>
      <c r="CA87" s="886"/>
      <c r="CB87" s="886"/>
      <c r="CC87" s="886"/>
      <c r="CD87" s="807"/>
      <c r="CE87" s="807"/>
      <c r="CF87" s="807"/>
      <c r="CG87" s="807"/>
      <c r="CH87" s="807"/>
      <c r="CI87" s="807"/>
      <c r="CJ87" s="807"/>
      <c r="CK87" s="807"/>
      <c r="CL87" s="886"/>
      <c r="CM87" s="886"/>
      <c r="CN87" s="886"/>
      <c r="CO87" s="886"/>
      <c r="CP87" s="886"/>
      <c r="CQ87" s="886"/>
      <c r="CR87" s="886"/>
      <c r="CS87" s="886"/>
      <c r="CT87" s="886"/>
      <c r="CU87" s="886"/>
      <c r="CV87" s="886"/>
      <c r="CW87" s="886"/>
      <c r="CX87" s="886"/>
      <c r="CY87" s="886"/>
      <c r="CZ87" s="1089"/>
      <c r="DA87" s="886"/>
      <c r="DB87" s="886"/>
      <c r="DC87" s="886"/>
      <c r="DD87" s="886"/>
      <c r="DE87" s="886"/>
      <c r="DF87" s="807"/>
      <c r="DG87" s="807"/>
      <c r="DH87" s="807"/>
      <c r="DI87" s="807"/>
      <c r="DJ87" s="807"/>
      <c r="DK87" s="807"/>
      <c r="DL87" s="807"/>
      <c r="DM87" s="807"/>
      <c r="DN87" s="807"/>
      <c r="DO87" s="807"/>
      <c r="DP87" s="807"/>
      <c r="DQ87" s="807"/>
      <c r="DR87" s="807"/>
      <c r="DS87" s="807"/>
      <c r="DT87" s="807"/>
      <c r="DU87" s="807"/>
      <c r="DV87" s="807"/>
      <c r="DW87" s="807"/>
      <c r="DX87" s="807"/>
      <c r="DY87" s="807"/>
      <c r="DZ87" s="807"/>
      <c r="EA87" s="886"/>
      <c r="EB87" s="886"/>
      <c r="EC87" s="886"/>
      <c r="ED87" s="886"/>
      <c r="EE87" s="886"/>
      <c r="EF87" s="886"/>
      <c r="EG87" s="886"/>
      <c r="EH87" s="886"/>
      <c r="EI87" s="886"/>
      <c r="EJ87" s="807"/>
      <c r="EK87" s="807"/>
      <c r="EL87" s="886"/>
      <c r="EM87" s="905">
        <v>4</v>
      </c>
      <c r="EN87" s="909">
        <v>4</v>
      </c>
      <c r="EO87" s="909">
        <v>4</v>
      </c>
      <c r="EP87" s="909">
        <v>4</v>
      </c>
      <c r="EQ87" s="909">
        <v>4</v>
      </c>
      <c r="ER87" s="909">
        <v>4</v>
      </c>
      <c r="ES87" s="807"/>
      <c r="ET87" s="909">
        <v>4</v>
      </c>
      <c r="EU87" s="909">
        <v>4</v>
      </c>
      <c r="EV87" s="807"/>
    </row>
    <row r="88" spans="1:153" s="813" customFormat="1" ht="15.75" hidden="1" outlineLevel="2">
      <c r="A88" s="944" t="s">
        <v>1230</v>
      </c>
      <c r="B88" s="817"/>
      <c r="C88" s="817"/>
      <c r="D88" s="817"/>
      <c r="E88" s="817"/>
      <c r="F88" s="817"/>
      <c r="G88" s="918">
        <v>0.9</v>
      </c>
      <c r="H88" s="918">
        <f>CEILING(0.505*1.18, 0.05)</f>
        <v>0.60000000000000009</v>
      </c>
      <c r="I88" s="918">
        <v>0.6</v>
      </c>
      <c r="J88" s="926">
        <f>H88</f>
        <v>0.60000000000000009</v>
      </c>
      <c r="K88" s="926">
        <f>I88</f>
        <v>0.6</v>
      </c>
      <c r="L88" s="918">
        <v>0.6</v>
      </c>
      <c r="M88" s="918">
        <v>0.6</v>
      </c>
      <c r="N88" s="918">
        <v>0.6</v>
      </c>
      <c r="O88" s="926">
        <v>0</v>
      </c>
      <c r="P88" s="926">
        <v>0</v>
      </c>
      <c r="Q88" s="926">
        <v>0</v>
      </c>
      <c r="R88" s="926">
        <f>G88</f>
        <v>0.9</v>
      </c>
      <c r="S88" s="926">
        <f>H88</f>
        <v>0.60000000000000009</v>
      </c>
      <c r="T88" s="926">
        <f>S88</f>
        <v>0.60000000000000009</v>
      </c>
      <c r="U88" s="926">
        <v>0</v>
      </c>
      <c r="V88" s="926">
        <v>0</v>
      </c>
      <c r="W88" s="926">
        <v>0</v>
      </c>
      <c r="X88" s="926">
        <f>R88</f>
        <v>0.9</v>
      </c>
      <c r="Y88" s="926">
        <f>S88</f>
        <v>0.60000000000000009</v>
      </c>
      <c r="Z88" s="926">
        <f>T88</f>
        <v>0.60000000000000009</v>
      </c>
      <c r="AA88" s="926">
        <f>Y88</f>
        <v>0.60000000000000009</v>
      </c>
      <c r="AB88" s="926">
        <v>0.6</v>
      </c>
      <c r="AC88" s="926">
        <v>0.6</v>
      </c>
      <c r="AD88" s="926">
        <v>0</v>
      </c>
      <c r="AE88" s="926">
        <v>0</v>
      </c>
      <c r="AF88" s="926">
        <f>X88</f>
        <v>0.9</v>
      </c>
      <c r="AG88" s="926">
        <f>Y88</f>
        <v>0.60000000000000009</v>
      </c>
      <c r="AH88" s="926">
        <f>AB88</f>
        <v>0.6</v>
      </c>
      <c r="AI88" s="926">
        <f>AC88</f>
        <v>0.6</v>
      </c>
      <c r="AJ88" s="926">
        <v>0</v>
      </c>
      <c r="AK88" s="926">
        <v>0</v>
      </c>
      <c r="AL88" s="926">
        <f t="shared" ref="AL88:AQ88" si="51">X88</f>
        <v>0.9</v>
      </c>
      <c r="AM88" s="926">
        <f t="shared" si="51"/>
        <v>0.60000000000000009</v>
      </c>
      <c r="AN88" s="926">
        <f t="shared" si="51"/>
        <v>0.60000000000000009</v>
      </c>
      <c r="AO88" s="926">
        <f t="shared" si="51"/>
        <v>0.60000000000000009</v>
      </c>
      <c r="AP88" s="926">
        <f t="shared" si="51"/>
        <v>0.6</v>
      </c>
      <c r="AQ88" s="926">
        <f t="shared" si="51"/>
        <v>0.6</v>
      </c>
      <c r="AR88" s="926">
        <v>0</v>
      </c>
      <c r="AS88" s="926">
        <v>0</v>
      </c>
      <c r="AT88" s="926">
        <v>0.9</v>
      </c>
      <c r="AU88" s="926">
        <v>0.6</v>
      </c>
      <c r="AV88" s="926">
        <v>0.6</v>
      </c>
      <c r="AW88" s="926">
        <v>0.6</v>
      </c>
      <c r="AX88" s="926">
        <v>0.6</v>
      </c>
      <c r="AY88" s="926">
        <v>0.6</v>
      </c>
      <c r="AZ88" s="926">
        <v>0.6</v>
      </c>
      <c r="BA88" s="926">
        <v>0</v>
      </c>
      <c r="BB88" s="926">
        <v>0</v>
      </c>
      <c r="BC88" s="926">
        <v>0</v>
      </c>
      <c r="BD88" s="926">
        <f>AU88</f>
        <v>0.6</v>
      </c>
      <c r="BE88" s="926">
        <f>AU88</f>
        <v>0.6</v>
      </c>
      <c r="BF88" s="926">
        <f>AV88</f>
        <v>0.6</v>
      </c>
      <c r="BG88" s="926">
        <f>AW88</f>
        <v>0.6</v>
      </c>
      <c r="BH88" s="918">
        <v>0.9</v>
      </c>
      <c r="BI88" s="918">
        <v>0.9</v>
      </c>
      <c r="BJ88" s="918">
        <f>CEILING(0.23*1.675*2, 0.05)</f>
        <v>0.8</v>
      </c>
      <c r="BK88" s="918">
        <v>0.6</v>
      </c>
      <c r="BL88" s="918">
        <v>0.6</v>
      </c>
      <c r="BM88" s="918">
        <v>0.6</v>
      </c>
      <c r="BN88" s="918">
        <f>CEILING(0.29*0.33*10, 0.05)</f>
        <v>1</v>
      </c>
      <c r="BO88" s="918">
        <f>CEILING(0.55*1.072, 0.05)</f>
        <v>0.60000000000000009</v>
      </c>
      <c r="BP88" s="918">
        <v>0.6</v>
      </c>
      <c r="BQ88" s="918">
        <v>0.6</v>
      </c>
      <c r="BR88" s="926"/>
      <c r="BS88" s="926"/>
      <c r="BT88" s="918">
        <v>0.9</v>
      </c>
      <c r="BU88" s="924">
        <v>0.6</v>
      </c>
      <c r="BV88" s="926"/>
      <c r="BW88" s="926">
        <v>0.6</v>
      </c>
      <c r="BX88" s="926"/>
      <c r="BY88" s="926"/>
      <c r="BZ88" s="926"/>
      <c r="CA88" s="926"/>
      <c r="CB88" s="926"/>
      <c r="CC88" s="926"/>
      <c r="CD88" s="926"/>
      <c r="CE88" s="926"/>
      <c r="CF88" s="926">
        <v>1</v>
      </c>
      <c r="CG88" s="926">
        <v>1</v>
      </c>
      <c r="CH88" s="926">
        <v>0.4</v>
      </c>
      <c r="CI88" s="926"/>
      <c r="CJ88" s="926">
        <v>1</v>
      </c>
      <c r="CK88" s="926">
        <v>0.4</v>
      </c>
      <c r="CL88" s="926"/>
      <c r="CM88" s="926"/>
      <c r="CN88" s="926"/>
      <c r="CO88" s="926"/>
      <c r="CP88" s="926"/>
      <c r="CQ88" s="926"/>
      <c r="CR88" s="926"/>
      <c r="CS88" s="926"/>
      <c r="CT88" s="926"/>
      <c r="CU88" s="926"/>
      <c r="CV88" s="926"/>
      <c r="CW88" s="926"/>
      <c r="CX88" s="926"/>
      <c r="CY88" s="926"/>
      <c r="CZ88" s="1094"/>
      <c r="DA88" s="926"/>
      <c r="DB88" s="926"/>
      <c r="DC88" s="926"/>
      <c r="DD88" s="926"/>
      <c r="DE88" s="926"/>
      <c r="DF88" s="926"/>
      <c r="DG88" s="926"/>
      <c r="DH88" s="926"/>
      <c r="DI88" s="926"/>
      <c r="DJ88" s="926"/>
      <c r="DK88" s="926"/>
      <c r="DL88" s="926"/>
      <c r="DM88" s="926"/>
      <c r="DN88" s="926"/>
      <c r="DO88" s="926"/>
      <c r="DP88" s="926"/>
      <c r="DQ88" s="926"/>
      <c r="DR88" s="926"/>
      <c r="DS88" s="926"/>
      <c r="DT88" s="926"/>
      <c r="DU88" s="926"/>
      <c r="DV88" s="926"/>
      <c r="DW88" s="926"/>
      <c r="DX88" s="926"/>
      <c r="DY88" s="926"/>
      <c r="DZ88" s="926"/>
      <c r="EA88" s="926"/>
      <c r="EB88" s="926"/>
      <c r="EC88" s="926"/>
      <c r="ED88" s="926"/>
      <c r="EE88" s="926"/>
      <c r="EF88" s="926"/>
      <c r="EG88" s="926"/>
      <c r="EH88" s="926"/>
      <c r="EI88" s="926"/>
      <c r="EJ88" s="926"/>
      <c r="EK88" s="926"/>
      <c r="EL88" s="926"/>
      <c r="EM88" s="926">
        <v>0.9</v>
      </c>
      <c r="EN88" s="2713">
        <v>0.9</v>
      </c>
      <c r="EO88" s="2713">
        <v>0.9</v>
      </c>
      <c r="EP88" s="2713">
        <v>0.9</v>
      </c>
      <c r="EQ88" s="2713">
        <v>0.9</v>
      </c>
      <c r="ER88" s="2713">
        <v>0.9</v>
      </c>
      <c r="ES88" s="2713"/>
      <c r="ET88" s="2713">
        <f>EN88</f>
        <v>0.9</v>
      </c>
      <c r="EU88" s="2713">
        <v>0.9</v>
      </c>
      <c r="EV88" s="2713"/>
    </row>
    <row r="89" spans="1:153" s="939" customFormat="1" ht="12" hidden="1" customHeight="1" outlineLevel="2">
      <c r="A89" s="945" t="s">
        <v>1254</v>
      </c>
      <c r="B89" s="937"/>
      <c r="C89" s="937"/>
      <c r="D89" s="952"/>
      <c r="E89" s="952"/>
      <c r="F89" s="937"/>
      <c r="G89" s="940">
        <f>CEILING(($B$76*G88*$F$2*$F$3+G166), 50)</f>
        <v>3050</v>
      </c>
      <c r="H89" s="940">
        <f>CEILING($B$76*H88*$F$2*$F$3, 50)</f>
        <v>1250</v>
      </c>
      <c r="I89" s="940">
        <f t="shared" ref="I89:N89" si="52">CEILING($B$76*I88*$F$2*$F$3, 50)</f>
        <v>1250</v>
      </c>
      <c r="J89" s="940">
        <f t="shared" si="52"/>
        <v>1250</v>
      </c>
      <c r="K89" s="940">
        <f t="shared" si="52"/>
        <v>1250</v>
      </c>
      <c r="L89" s="940">
        <f t="shared" si="52"/>
        <v>1250</v>
      </c>
      <c r="M89" s="940">
        <f t="shared" si="52"/>
        <v>1250</v>
      </c>
      <c r="N89" s="940">
        <f t="shared" si="52"/>
        <v>1250</v>
      </c>
      <c r="O89" s="940">
        <f t="shared" ref="O89:AS89" si="53">CEILING($B$75*2*O88*$F$2*$F$3, 50)</f>
        <v>0</v>
      </c>
      <c r="P89" s="940">
        <f t="shared" si="53"/>
        <v>0</v>
      </c>
      <c r="Q89" s="940">
        <f t="shared" si="53"/>
        <v>0</v>
      </c>
      <c r="R89" s="940">
        <f>CEILING($B$75*2*R88*$F$2*$F$3, 50)</f>
        <v>2300</v>
      </c>
      <c r="S89" s="940">
        <f>CEILING($B$75*2*S88*$F$2*$F$3, 50)</f>
        <v>1550</v>
      </c>
      <c r="T89" s="940">
        <f>CEILING($B$75*2*T88*$F$2*$F$3, 50)</f>
        <v>1550</v>
      </c>
      <c r="U89" s="940">
        <f t="shared" si="53"/>
        <v>0</v>
      </c>
      <c r="V89" s="940">
        <f t="shared" si="53"/>
        <v>0</v>
      </c>
      <c r="W89" s="940">
        <f t="shared" si="53"/>
        <v>0</v>
      </c>
      <c r="X89" s="940">
        <f t="shared" si="53"/>
        <v>2300</v>
      </c>
      <c r="Y89" s="940">
        <f t="shared" si="53"/>
        <v>1550</v>
      </c>
      <c r="Z89" s="940">
        <f t="shared" si="53"/>
        <v>1550</v>
      </c>
      <c r="AA89" s="940">
        <f t="shared" si="53"/>
        <v>1550</v>
      </c>
      <c r="AB89" s="940">
        <f t="shared" si="53"/>
        <v>1550</v>
      </c>
      <c r="AC89" s="940">
        <f t="shared" si="53"/>
        <v>1550</v>
      </c>
      <c r="AD89" s="940">
        <f t="shared" si="53"/>
        <v>0</v>
      </c>
      <c r="AE89" s="940">
        <f t="shared" si="53"/>
        <v>0</v>
      </c>
      <c r="AF89" s="940">
        <f t="shared" si="53"/>
        <v>2300</v>
      </c>
      <c r="AG89" s="940">
        <f t="shared" si="53"/>
        <v>1550</v>
      </c>
      <c r="AH89" s="940">
        <f t="shared" si="53"/>
        <v>1550</v>
      </c>
      <c r="AI89" s="940">
        <f t="shared" si="53"/>
        <v>1550</v>
      </c>
      <c r="AJ89" s="940">
        <f t="shared" si="53"/>
        <v>0</v>
      </c>
      <c r="AK89" s="940">
        <f t="shared" si="53"/>
        <v>0</v>
      </c>
      <c r="AL89" s="940">
        <f t="shared" si="53"/>
        <v>2300</v>
      </c>
      <c r="AM89" s="940">
        <f t="shared" si="53"/>
        <v>1550</v>
      </c>
      <c r="AN89" s="940">
        <f t="shared" si="53"/>
        <v>1550</v>
      </c>
      <c r="AO89" s="940">
        <f t="shared" si="53"/>
        <v>1550</v>
      </c>
      <c r="AP89" s="940">
        <f t="shared" si="53"/>
        <v>1550</v>
      </c>
      <c r="AQ89" s="940">
        <f t="shared" si="53"/>
        <v>1550</v>
      </c>
      <c r="AR89" s="940">
        <f t="shared" si="53"/>
        <v>0</v>
      </c>
      <c r="AS89" s="940">
        <f t="shared" si="53"/>
        <v>0</v>
      </c>
      <c r="AT89" s="940">
        <f>CEILING($B$75*AT88*$F$2*$F$3, 50)</f>
        <v>1150</v>
      </c>
      <c r="AU89" s="940">
        <f t="shared" ref="AU89:DG89" si="54">CEILING($B$75*AU88*$F$2*$F$3, 50)</f>
        <v>800</v>
      </c>
      <c r="AV89" s="940">
        <f t="shared" si="54"/>
        <v>800</v>
      </c>
      <c r="AW89" s="940">
        <f t="shared" si="54"/>
        <v>800</v>
      </c>
      <c r="AX89" s="940">
        <f t="shared" si="54"/>
        <v>800</v>
      </c>
      <c r="AY89" s="940">
        <f t="shared" si="54"/>
        <v>800</v>
      </c>
      <c r="AZ89" s="940">
        <f t="shared" si="54"/>
        <v>800</v>
      </c>
      <c r="BA89" s="940">
        <f t="shared" si="54"/>
        <v>0</v>
      </c>
      <c r="BB89" s="940">
        <f t="shared" si="54"/>
        <v>0</v>
      </c>
      <c r="BC89" s="940">
        <f t="shared" si="54"/>
        <v>0</v>
      </c>
      <c r="BD89" s="940">
        <f t="shared" si="54"/>
        <v>800</v>
      </c>
      <c r="BE89" s="940">
        <f t="shared" si="54"/>
        <v>800</v>
      </c>
      <c r="BF89" s="940">
        <f t="shared" si="54"/>
        <v>800</v>
      </c>
      <c r="BG89" s="940">
        <f t="shared" si="54"/>
        <v>800</v>
      </c>
      <c r="BH89" s="940">
        <f>CEILING(($B$75*BH88*$F$2*$F$3+BH166), 50)</f>
        <v>1900</v>
      </c>
      <c r="BI89" s="940">
        <f>CEILING(($B$76*BI88*$F$2*$F$3+BI166), 50)</f>
        <v>2650</v>
      </c>
      <c r="BJ89" s="940">
        <f>CEILING($B$75*BJ88*$F$2*$F$3, 50)</f>
        <v>1050</v>
      </c>
      <c r="BK89" s="940">
        <f>CEILING($B$75*BK88*$F$2*$F$3, 50)</f>
        <v>800</v>
      </c>
      <c r="BL89" s="940">
        <f t="shared" si="54"/>
        <v>800</v>
      </c>
      <c r="BM89" s="940">
        <f t="shared" si="54"/>
        <v>800</v>
      </c>
      <c r="BN89" s="940">
        <f t="shared" si="54"/>
        <v>1300</v>
      </c>
      <c r="BO89" s="940">
        <f t="shared" si="54"/>
        <v>800</v>
      </c>
      <c r="BP89" s="940">
        <f t="shared" si="54"/>
        <v>800</v>
      </c>
      <c r="BQ89" s="940">
        <f t="shared" si="54"/>
        <v>800</v>
      </c>
      <c r="BR89" s="940">
        <f t="shared" si="54"/>
        <v>0</v>
      </c>
      <c r="BS89" s="940">
        <f t="shared" si="54"/>
        <v>0</v>
      </c>
      <c r="BT89" s="940">
        <f t="shared" ref="BT89:BY89" si="55">CEILING($B$75*BT88*$F$2*$F$3, 50)</f>
        <v>1150</v>
      </c>
      <c r="BU89" s="940">
        <f t="shared" si="55"/>
        <v>800</v>
      </c>
      <c r="BV89" s="940">
        <f t="shared" si="55"/>
        <v>0</v>
      </c>
      <c r="BW89" s="940">
        <f t="shared" si="55"/>
        <v>800</v>
      </c>
      <c r="BX89" s="940">
        <f t="shared" si="55"/>
        <v>0</v>
      </c>
      <c r="BY89" s="940">
        <f t="shared" si="55"/>
        <v>0</v>
      </c>
      <c r="BZ89" s="940">
        <f t="shared" si="54"/>
        <v>0</v>
      </c>
      <c r="CA89" s="940">
        <f t="shared" si="54"/>
        <v>0</v>
      </c>
      <c r="CB89" s="940">
        <f t="shared" si="54"/>
        <v>0</v>
      </c>
      <c r="CC89" s="940">
        <f t="shared" si="54"/>
        <v>0</v>
      </c>
      <c r="CD89" s="940">
        <f t="shared" si="54"/>
        <v>0</v>
      </c>
      <c r="CE89" s="940">
        <f t="shared" si="54"/>
        <v>0</v>
      </c>
      <c r="CF89" s="940">
        <f t="shared" si="54"/>
        <v>1300</v>
      </c>
      <c r="CG89" s="940">
        <f t="shared" si="54"/>
        <v>1300</v>
      </c>
      <c r="CH89" s="940">
        <f t="shared" si="54"/>
        <v>550</v>
      </c>
      <c r="CI89" s="940">
        <f t="shared" si="54"/>
        <v>0</v>
      </c>
      <c r="CJ89" s="940">
        <f t="shared" si="54"/>
        <v>1300</v>
      </c>
      <c r="CK89" s="940">
        <f t="shared" si="54"/>
        <v>550</v>
      </c>
      <c r="CL89" s="940">
        <f t="shared" si="54"/>
        <v>0</v>
      </c>
      <c r="CM89" s="940">
        <f t="shared" si="54"/>
        <v>0</v>
      </c>
      <c r="CN89" s="940">
        <f t="shared" si="54"/>
        <v>0</v>
      </c>
      <c r="CO89" s="940">
        <f t="shared" si="54"/>
        <v>0</v>
      </c>
      <c r="CP89" s="940">
        <f t="shared" si="54"/>
        <v>0</v>
      </c>
      <c r="CQ89" s="940">
        <f t="shared" si="54"/>
        <v>0</v>
      </c>
      <c r="CR89" s="940">
        <f t="shared" si="54"/>
        <v>0</v>
      </c>
      <c r="CS89" s="940">
        <f t="shared" si="54"/>
        <v>0</v>
      </c>
      <c r="CT89" s="940">
        <f t="shared" si="54"/>
        <v>0</v>
      </c>
      <c r="CU89" s="940">
        <f t="shared" si="54"/>
        <v>0</v>
      </c>
      <c r="CV89" s="940">
        <f t="shared" si="54"/>
        <v>0</v>
      </c>
      <c r="CW89" s="940">
        <f t="shared" si="54"/>
        <v>0</v>
      </c>
      <c r="CX89" s="940">
        <f t="shared" si="54"/>
        <v>0</v>
      </c>
      <c r="CY89" s="940">
        <f t="shared" si="54"/>
        <v>0</v>
      </c>
      <c r="CZ89" s="1095"/>
      <c r="DA89" s="940">
        <f t="shared" si="54"/>
        <v>0</v>
      </c>
      <c r="DB89" s="940">
        <f t="shared" si="54"/>
        <v>0</v>
      </c>
      <c r="DC89" s="940">
        <f t="shared" si="54"/>
        <v>0</v>
      </c>
      <c r="DD89" s="940">
        <f t="shared" si="54"/>
        <v>0</v>
      </c>
      <c r="DE89" s="940">
        <f t="shared" si="54"/>
        <v>0</v>
      </c>
      <c r="DF89" s="940">
        <f t="shared" si="54"/>
        <v>0</v>
      </c>
      <c r="DG89" s="940">
        <f t="shared" si="54"/>
        <v>0</v>
      </c>
      <c r="DH89" s="940">
        <f t="shared" ref="DH89:EV89" si="56">CEILING($B$75*DH88*$F$2*$F$3, 50)</f>
        <v>0</v>
      </c>
      <c r="DI89" s="940">
        <f t="shared" si="56"/>
        <v>0</v>
      </c>
      <c r="DJ89" s="940">
        <f t="shared" si="56"/>
        <v>0</v>
      </c>
      <c r="DK89" s="940">
        <f t="shared" si="56"/>
        <v>0</v>
      </c>
      <c r="DL89" s="940">
        <f t="shared" si="56"/>
        <v>0</v>
      </c>
      <c r="DM89" s="940">
        <f t="shared" si="56"/>
        <v>0</v>
      </c>
      <c r="DN89" s="940">
        <f t="shared" si="56"/>
        <v>0</v>
      </c>
      <c r="DO89" s="940">
        <f t="shared" si="56"/>
        <v>0</v>
      </c>
      <c r="DP89" s="940">
        <f t="shared" si="56"/>
        <v>0</v>
      </c>
      <c r="DQ89" s="940">
        <f t="shared" si="56"/>
        <v>0</v>
      </c>
      <c r="DR89" s="940">
        <f t="shared" si="56"/>
        <v>0</v>
      </c>
      <c r="DS89" s="940">
        <f t="shared" si="56"/>
        <v>0</v>
      </c>
      <c r="DT89" s="940">
        <f t="shared" si="56"/>
        <v>0</v>
      </c>
      <c r="DU89" s="940">
        <f t="shared" si="56"/>
        <v>0</v>
      </c>
      <c r="DV89" s="940">
        <f t="shared" si="56"/>
        <v>0</v>
      </c>
      <c r="DW89" s="940">
        <f t="shared" si="56"/>
        <v>0</v>
      </c>
      <c r="DX89" s="940">
        <f t="shared" si="56"/>
        <v>0</v>
      </c>
      <c r="DY89" s="940">
        <f t="shared" si="56"/>
        <v>0</v>
      </c>
      <c r="DZ89" s="940">
        <f t="shared" si="56"/>
        <v>0</v>
      </c>
      <c r="EA89" s="940">
        <f t="shared" si="56"/>
        <v>0</v>
      </c>
      <c r="EB89" s="940">
        <f t="shared" si="56"/>
        <v>0</v>
      </c>
      <c r="EC89" s="940">
        <f t="shared" si="56"/>
        <v>0</v>
      </c>
      <c r="ED89" s="940">
        <f t="shared" si="56"/>
        <v>0</v>
      </c>
      <c r="EE89" s="940">
        <f t="shared" si="56"/>
        <v>0</v>
      </c>
      <c r="EF89" s="940">
        <f t="shared" si="56"/>
        <v>0</v>
      </c>
      <c r="EG89" s="940">
        <f t="shared" si="56"/>
        <v>0</v>
      </c>
      <c r="EH89" s="940">
        <f t="shared" si="56"/>
        <v>0</v>
      </c>
      <c r="EI89" s="940">
        <f t="shared" si="56"/>
        <v>0</v>
      </c>
      <c r="EJ89" s="940">
        <f t="shared" si="56"/>
        <v>0</v>
      </c>
      <c r="EK89" s="940">
        <f t="shared" si="56"/>
        <v>0</v>
      </c>
      <c r="EL89" s="940">
        <f t="shared" si="56"/>
        <v>0</v>
      </c>
      <c r="EM89" s="940">
        <f t="shared" si="56"/>
        <v>1150</v>
      </c>
      <c r="EN89" s="2714">
        <f t="shared" si="56"/>
        <v>1150</v>
      </c>
      <c r="EO89" s="2714">
        <f t="shared" si="56"/>
        <v>1150</v>
      </c>
      <c r="EP89" s="2714">
        <f t="shared" si="56"/>
        <v>1150</v>
      </c>
      <c r="EQ89" s="2714">
        <f t="shared" si="56"/>
        <v>1150</v>
      </c>
      <c r="ER89" s="2714">
        <f t="shared" si="56"/>
        <v>1150</v>
      </c>
      <c r="ES89" s="2714">
        <f t="shared" si="56"/>
        <v>0</v>
      </c>
      <c r="ET89" s="2714">
        <f t="shared" si="56"/>
        <v>1150</v>
      </c>
      <c r="EU89" s="2714">
        <f t="shared" si="56"/>
        <v>1150</v>
      </c>
      <c r="EV89" s="2714">
        <f t="shared" si="56"/>
        <v>0</v>
      </c>
      <c r="EW89" s="813"/>
    </row>
    <row r="90" spans="1:153" s="25" customFormat="1" ht="15.75" hidden="1" outlineLevel="2">
      <c r="A90" s="5261" t="s">
        <v>33</v>
      </c>
      <c r="B90" s="4203" t="s">
        <v>32</v>
      </c>
      <c r="C90" s="932" t="s">
        <v>216</v>
      </c>
      <c r="D90" s="739"/>
      <c r="E90" s="739"/>
      <c r="F90" s="953">
        <v>0</v>
      </c>
      <c r="G90" s="893">
        <f>CEILING($F$90+G89, 50)*G86</f>
        <v>3050</v>
      </c>
      <c r="H90" s="893">
        <f>CEILING($F$90+H89, 50)*H86</f>
        <v>1250</v>
      </c>
      <c r="I90" s="893">
        <f t="shared" ref="I90:BS90" si="57">CEILING($F$90+I89, 50)*I86</f>
        <v>1250</v>
      </c>
      <c r="J90" s="893">
        <f t="shared" si="57"/>
        <v>1250</v>
      </c>
      <c r="K90" s="893">
        <f t="shared" si="57"/>
        <v>1250</v>
      </c>
      <c r="L90" s="893">
        <f t="shared" si="57"/>
        <v>1250</v>
      </c>
      <c r="M90" s="893">
        <f t="shared" si="57"/>
        <v>1250</v>
      </c>
      <c r="N90" s="893">
        <f t="shared" si="57"/>
        <v>1250</v>
      </c>
      <c r="O90" s="893">
        <f t="shared" si="57"/>
        <v>0</v>
      </c>
      <c r="P90" s="893">
        <f t="shared" si="57"/>
        <v>0</v>
      </c>
      <c r="Q90" s="893">
        <f t="shared" si="57"/>
        <v>0</v>
      </c>
      <c r="R90" s="893">
        <f>CEILING(($F$90+R89), 50)*R86</f>
        <v>2300</v>
      </c>
      <c r="S90" s="893">
        <f>CEILING($F$90+S89, 50)*S86</f>
        <v>1550</v>
      </c>
      <c r="T90" s="893">
        <f>CEILING($F$90+T89, 50)*T86</f>
        <v>1550</v>
      </c>
      <c r="U90" s="893">
        <f t="shared" si="57"/>
        <v>0</v>
      </c>
      <c r="V90" s="893">
        <f t="shared" si="57"/>
        <v>0</v>
      </c>
      <c r="W90" s="893">
        <f t="shared" si="57"/>
        <v>0</v>
      </c>
      <c r="X90" s="893"/>
      <c r="Y90" s="893"/>
      <c r="Z90" s="893"/>
      <c r="AA90" s="893"/>
      <c r="AB90" s="893"/>
      <c r="AC90" s="893"/>
      <c r="AD90" s="893">
        <f t="shared" si="57"/>
        <v>0</v>
      </c>
      <c r="AE90" s="893">
        <f t="shared" si="57"/>
        <v>0</v>
      </c>
      <c r="AF90" s="893">
        <f t="shared" si="57"/>
        <v>2300</v>
      </c>
      <c r="AG90" s="893">
        <f t="shared" si="57"/>
        <v>1550</v>
      </c>
      <c r="AH90" s="893">
        <f t="shared" si="57"/>
        <v>1550</v>
      </c>
      <c r="AI90" s="893">
        <f t="shared" si="57"/>
        <v>1550</v>
      </c>
      <c r="AJ90" s="893">
        <f t="shared" si="57"/>
        <v>0</v>
      </c>
      <c r="AK90" s="893">
        <f t="shared" si="57"/>
        <v>0</v>
      </c>
      <c r="AL90" s="893">
        <f t="shared" si="57"/>
        <v>2300</v>
      </c>
      <c r="AM90" s="893">
        <f t="shared" si="57"/>
        <v>1550</v>
      </c>
      <c r="AN90" s="893">
        <f t="shared" si="57"/>
        <v>1550</v>
      </c>
      <c r="AO90" s="893">
        <f t="shared" si="57"/>
        <v>1550</v>
      </c>
      <c r="AP90" s="893">
        <f t="shared" si="57"/>
        <v>1550</v>
      </c>
      <c r="AQ90" s="893">
        <f t="shared" si="57"/>
        <v>1550</v>
      </c>
      <c r="AR90" s="893">
        <f t="shared" si="57"/>
        <v>0</v>
      </c>
      <c r="AS90" s="893">
        <f t="shared" si="57"/>
        <v>0</v>
      </c>
      <c r="AT90" s="893">
        <f t="shared" si="57"/>
        <v>1150</v>
      </c>
      <c r="AU90" s="893">
        <f t="shared" si="57"/>
        <v>800</v>
      </c>
      <c r="AV90" s="893">
        <f t="shared" si="57"/>
        <v>800</v>
      </c>
      <c r="AW90" s="893">
        <f t="shared" si="57"/>
        <v>800</v>
      </c>
      <c r="AX90" s="893">
        <f t="shared" si="57"/>
        <v>800</v>
      </c>
      <c r="AY90" s="893">
        <f t="shared" si="57"/>
        <v>800</v>
      </c>
      <c r="AZ90" s="893">
        <f t="shared" si="57"/>
        <v>800</v>
      </c>
      <c r="BA90" s="893">
        <f t="shared" si="57"/>
        <v>0</v>
      </c>
      <c r="BB90" s="893">
        <f t="shared" si="57"/>
        <v>0</v>
      </c>
      <c r="BC90" s="893">
        <f t="shared" si="57"/>
        <v>0</v>
      </c>
      <c r="BD90" s="893">
        <f t="shared" si="57"/>
        <v>800</v>
      </c>
      <c r="BE90" s="893">
        <f t="shared" si="57"/>
        <v>800</v>
      </c>
      <c r="BF90" s="893">
        <f t="shared" si="57"/>
        <v>800</v>
      </c>
      <c r="BG90" s="893">
        <f t="shared" si="57"/>
        <v>800</v>
      </c>
      <c r="BH90" s="893">
        <f t="shared" si="57"/>
        <v>1900</v>
      </c>
      <c r="BI90" s="893">
        <f t="shared" si="57"/>
        <v>2650</v>
      </c>
      <c r="BJ90" s="893">
        <f>CEILING($F$90+BJ89, 50)*BJ86</f>
        <v>1050</v>
      </c>
      <c r="BK90" s="893">
        <f>CEILING($F$90+BK89, 50)*BK86</f>
        <v>800</v>
      </c>
      <c r="BL90" s="893">
        <f t="shared" si="57"/>
        <v>800</v>
      </c>
      <c r="BM90" s="893">
        <f t="shared" si="57"/>
        <v>800</v>
      </c>
      <c r="BN90" s="893"/>
      <c r="BO90" s="893">
        <f t="shared" si="57"/>
        <v>800</v>
      </c>
      <c r="BP90" s="893">
        <f t="shared" si="57"/>
        <v>800</v>
      </c>
      <c r="BQ90" s="893">
        <f t="shared" si="57"/>
        <v>800</v>
      </c>
      <c r="BR90" s="893">
        <f t="shared" si="57"/>
        <v>0</v>
      </c>
      <c r="BS90" s="893">
        <f t="shared" si="57"/>
        <v>0</v>
      </c>
      <c r="BT90" s="893"/>
      <c r="BU90" s="893"/>
      <c r="BV90" s="893">
        <f>CEILING($F$90+BV89, 50)*BV86</f>
        <v>0</v>
      </c>
      <c r="BW90" s="893"/>
      <c r="BX90" s="893">
        <f>CEILING($F$90+BX89, 50)*BX86</f>
        <v>0</v>
      </c>
      <c r="BY90" s="893">
        <f>CEILING($F$90+BY89, 50)*BY86</f>
        <v>0</v>
      </c>
      <c r="BZ90" s="893">
        <f t="shared" ref="BZ90:EF90" si="58">CEILING($F$90+BZ89, 50)*BZ86</f>
        <v>0</v>
      </c>
      <c r="CA90" s="893">
        <f t="shared" si="58"/>
        <v>0</v>
      </c>
      <c r="CB90" s="893">
        <f t="shared" si="58"/>
        <v>0</v>
      </c>
      <c r="CC90" s="893">
        <f t="shared" si="58"/>
        <v>0</v>
      </c>
      <c r="CD90" s="893">
        <f t="shared" si="58"/>
        <v>0</v>
      </c>
      <c r="CE90" s="893">
        <f t="shared" si="58"/>
        <v>0</v>
      </c>
      <c r="CF90" s="893"/>
      <c r="CG90" s="893">
        <f t="shared" si="58"/>
        <v>1300</v>
      </c>
      <c r="CH90" s="893">
        <f t="shared" si="58"/>
        <v>550</v>
      </c>
      <c r="CI90" s="893">
        <f t="shared" si="58"/>
        <v>0</v>
      </c>
      <c r="CJ90" s="893">
        <f t="shared" si="58"/>
        <v>1300</v>
      </c>
      <c r="CK90" s="893">
        <f t="shared" si="58"/>
        <v>550</v>
      </c>
      <c r="CL90" s="893">
        <f t="shared" si="58"/>
        <v>0</v>
      </c>
      <c r="CM90" s="893">
        <f t="shared" si="58"/>
        <v>0</v>
      </c>
      <c r="CN90" s="893">
        <f t="shared" si="58"/>
        <v>0</v>
      </c>
      <c r="CO90" s="893">
        <f t="shared" si="58"/>
        <v>0</v>
      </c>
      <c r="CP90" s="893">
        <f t="shared" si="58"/>
        <v>0</v>
      </c>
      <c r="CQ90" s="893">
        <f t="shared" si="58"/>
        <v>0</v>
      </c>
      <c r="CR90" s="893">
        <f t="shared" si="58"/>
        <v>0</v>
      </c>
      <c r="CS90" s="893">
        <f t="shared" si="58"/>
        <v>0</v>
      </c>
      <c r="CT90" s="893">
        <f t="shared" si="58"/>
        <v>0</v>
      </c>
      <c r="CU90" s="893">
        <f t="shared" si="58"/>
        <v>0</v>
      </c>
      <c r="CV90" s="893">
        <f t="shared" si="58"/>
        <v>0</v>
      </c>
      <c r="CW90" s="893">
        <f t="shared" si="58"/>
        <v>0</v>
      </c>
      <c r="CX90" s="893">
        <f t="shared" si="58"/>
        <v>0</v>
      </c>
      <c r="CY90" s="893">
        <f t="shared" si="58"/>
        <v>0</v>
      </c>
      <c r="CZ90" s="1043"/>
      <c r="DA90" s="893">
        <f t="shared" si="58"/>
        <v>0</v>
      </c>
      <c r="DB90" s="893">
        <f t="shared" si="58"/>
        <v>0</v>
      </c>
      <c r="DC90" s="893">
        <f t="shared" si="58"/>
        <v>0</v>
      </c>
      <c r="DD90" s="893">
        <f t="shared" si="58"/>
        <v>0</v>
      </c>
      <c r="DE90" s="893">
        <f t="shared" si="58"/>
        <v>0</v>
      </c>
      <c r="DF90" s="893">
        <f t="shared" si="58"/>
        <v>0</v>
      </c>
      <c r="DG90" s="893">
        <f t="shared" si="58"/>
        <v>0</v>
      </c>
      <c r="DH90" s="893">
        <f t="shared" si="58"/>
        <v>0</v>
      </c>
      <c r="DI90" s="893">
        <f t="shared" si="58"/>
        <v>0</v>
      </c>
      <c r="DJ90" s="893">
        <f t="shared" si="58"/>
        <v>0</v>
      </c>
      <c r="DK90" s="893">
        <f t="shared" si="58"/>
        <v>0</v>
      </c>
      <c r="DL90" s="893">
        <f t="shared" si="58"/>
        <v>0</v>
      </c>
      <c r="DM90" s="893">
        <f t="shared" si="58"/>
        <v>0</v>
      </c>
      <c r="DN90" s="893">
        <f t="shared" si="58"/>
        <v>0</v>
      </c>
      <c r="DO90" s="893">
        <f t="shared" si="58"/>
        <v>0</v>
      </c>
      <c r="DP90" s="893">
        <f t="shared" si="58"/>
        <v>0</v>
      </c>
      <c r="DQ90" s="893">
        <f t="shared" si="58"/>
        <v>0</v>
      </c>
      <c r="DR90" s="893">
        <f t="shared" si="58"/>
        <v>0</v>
      </c>
      <c r="DS90" s="893">
        <f t="shared" si="58"/>
        <v>0</v>
      </c>
      <c r="DT90" s="893">
        <f t="shared" si="58"/>
        <v>0</v>
      </c>
      <c r="DU90" s="893">
        <f t="shared" si="58"/>
        <v>0</v>
      </c>
      <c r="DV90" s="893">
        <f t="shared" si="58"/>
        <v>0</v>
      </c>
      <c r="DW90" s="893">
        <f t="shared" si="58"/>
        <v>0</v>
      </c>
      <c r="DX90" s="893">
        <f t="shared" si="58"/>
        <v>0</v>
      </c>
      <c r="DY90" s="893">
        <f t="shared" si="58"/>
        <v>0</v>
      </c>
      <c r="DZ90" s="893">
        <f t="shared" si="58"/>
        <v>0</v>
      </c>
      <c r="EA90" s="893">
        <f t="shared" si="58"/>
        <v>0</v>
      </c>
      <c r="EB90" s="893">
        <f t="shared" si="58"/>
        <v>0</v>
      </c>
      <c r="EC90" s="893">
        <f t="shared" si="58"/>
        <v>0</v>
      </c>
      <c r="ED90" s="893">
        <f t="shared" si="58"/>
        <v>0</v>
      </c>
      <c r="EE90" s="893">
        <f t="shared" si="58"/>
        <v>0</v>
      </c>
      <c r="EF90" s="893">
        <f t="shared" si="58"/>
        <v>0</v>
      </c>
      <c r="EG90" s="893">
        <f t="shared" ref="EG90:EV90" si="59">CEILING($F$90+EG89, 50)*EG86</f>
        <v>0</v>
      </c>
      <c r="EH90" s="893">
        <f t="shared" si="59"/>
        <v>0</v>
      </c>
      <c r="EI90" s="893">
        <f t="shared" si="59"/>
        <v>0</v>
      </c>
      <c r="EJ90" s="893">
        <f t="shared" si="59"/>
        <v>0</v>
      </c>
      <c r="EK90" s="893">
        <f t="shared" si="59"/>
        <v>0</v>
      </c>
      <c r="EL90" s="893">
        <f t="shared" si="59"/>
        <v>0</v>
      </c>
      <c r="EM90" s="893">
        <f t="shared" si="59"/>
        <v>1150</v>
      </c>
      <c r="EN90" s="2715">
        <f t="shared" si="59"/>
        <v>1150</v>
      </c>
      <c r="EO90" s="2715">
        <f t="shared" si="59"/>
        <v>1150</v>
      </c>
      <c r="EP90" s="2715">
        <f t="shared" si="59"/>
        <v>1150</v>
      </c>
      <c r="EQ90" s="2715">
        <f t="shared" si="59"/>
        <v>1150</v>
      </c>
      <c r="ER90" s="2715">
        <f t="shared" si="59"/>
        <v>1150</v>
      </c>
      <c r="ES90" s="2715">
        <f t="shared" si="59"/>
        <v>0</v>
      </c>
      <c r="ET90" s="2715">
        <f t="shared" si="59"/>
        <v>1150</v>
      </c>
      <c r="EU90" s="2715">
        <f t="shared" si="59"/>
        <v>1150</v>
      </c>
      <c r="EV90" s="2715">
        <f t="shared" si="59"/>
        <v>0</v>
      </c>
      <c r="EW90" s="15"/>
    </row>
    <row r="91" spans="1:153" s="25" customFormat="1" ht="15.75" hidden="1" outlineLevel="2">
      <c r="A91" s="5262"/>
      <c r="B91" s="4204"/>
      <c r="C91" s="934"/>
      <c r="D91" s="549"/>
      <c r="E91" s="563" t="s">
        <v>1263</v>
      </c>
      <c r="F91" s="928">
        <f>B79*F2*F3</f>
        <v>573.75</v>
      </c>
      <c r="G91" s="931">
        <f>CEILING($F$91*G88, 50)*G86</f>
        <v>550</v>
      </c>
      <c r="H91" s="931">
        <f t="shared" ref="H91:BS91" si="60">CEILING($F$91*H88, 50)*H86</f>
        <v>350</v>
      </c>
      <c r="I91" s="931">
        <f t="shared" si="60"/>
        <v>350</v>
      </c>
      <c r="J91" s="931">
        <f t="shared" si="60"/>
        <v>350</v>
      </c>
      <c r="K91" s="931">
        <f t="shared" si="60"/>
        <v>350</v>
      </c>
      <c r="L91" s="931">
        <f t="shared" si="60"/>
        <v>350</v>
      </c>
      <c r="M91" s="931">
        <f t="shared" si="60"/>
        <v>350</v>
      </c>
      <c r="N91" s="931">
        <f t="shared" si="60"/>
        <v>350</v>
      </c>
      <c r="O91" s="931">
        <f t="shared" si="60"/>
        <v>0</v>
      </c>
      <c r="P91" s="931">
        <f t="shared" si="60"/>
        <v>0</v>
      </c>
      <c r="Q91" s="931">
        <f t="shared" si="60"/>
        <v>0</v>
      </c>
      <c r="R91" s="931">
        <f>CEILING($F$91*R88, 50)*R86</f>
        <v>550</v>
      </c>
      <c r="S91" s="931">
        <f>CEILING($F$91*S88, 50)*S86</f>
        <v>350</v>
      </c>
      <c r="T91" s="931">
        <f>CEILING($F$91*T88, 50)*T86</f>
        <v>350</v>
      </c>
      <c r="U91" s="931">
        <f t="shared" si="60"/>
        <v>0</v>
      </c>
      <c r="V91" s="931">
        <f t="shared" si="60"/>
        <v>0</v>
      </c>
      <c r="W91" s="931">
        <f t="shared" si="60"/>
        <v>0</v>
      </c>
      <c r="X91" s="931"/>
      <c r="Y91" s="931"/>
      <c r="Z91" s="931"/>
      <c r="AA91" s="931"/>
      <c r="AB91" s="931"/>
      <c r="AC91" s="931"/>
      <c r="AD91" s="931">
        <f t="shared" si="60"/>
        <v>0</v>
      </c>
      <c r="AE91" s="931">
        <f t="shared" si="60"/>
        <v>0</v>
      </c>
      <c r="AF91" s="931">
        <f t="shared" si="60"/>
        <v>550</v>
      </c>
      <c r="AG91" s="931">
        <f t="shared" si="60"/>
        <v>350</v>
      </c>
      <c r="AH91" s="931">
        <f t="shared" si="60"/>
        <v>350</v>
      </c>
      <c r="AI91" s="931">
        <f t="shared" si="60"/>
        <v>350</v>
      </c>
      <c r="AJ91" s="931">
        <f t="shared" si="60"/>
        <v>0</v>
      </c>
      <c r="AK91" s="931">
        <f t="shared" si="60"/>
        <v>0</v>
      </c>
      <c r="AL91" s="931">
        <f t="shared" si="60"/>
        <v>550</v>
      </c>
      <c r="AM91" s="931">
        <f t="shared" si="60"/>
        <v>350</v>
      </c>
      <c r="AN91" s="931">
        <f t="shared" si="60"/>
        <v>350</v>
      </c>
      <c r="AO91" s="931">
        <f t="shared" si="60"/>
        <v>350</v>
      </c>
      <c r="AP91" s="931">
        <f t="shared" si="60"/>
        <v>350</v>
      </c>
      <c r="AQ91" s="931">
        <f t="shared" si="60"/>
        <v>350</v>
      </c>
      <c r="AR91" s="931">
        <f t="shared" si="60"/>
        <v>0</v>
      </c>
      <c r="AS91" s="931">
        <f t="shared" si="60"/>
        <v>0</v>
      </c>
      <c r="AT91" s="931">
        <f t="shared" si="60"/>
        <v>550</v>
      </c>
      <c r="AU91" s="931">
        <f t="shared" si="60"/>
        <v>350</v>
      </c>
      <c r="AV91" s="931">
        <f t="shared" si="60"/>
        <v>350</v>
      </c>
      <c r="AW91" s="931">
        <f t="shared" si="60"/>
        <v>350</v>
      </c>
      <c r="AX91" s="931">
        <f t="shared" si="60"/>
        <v>350</v>
      </c>
      <c r="AY91" s="931">
        <f t="shared" si="60"/>
        <v>350</v>
      </c>
      <c r="AZ91" s="931">
        <f t="shared" si="60"/>
        <v>350</v>
      </c>
      <c r="BA91" s="931">
        <f t="shared" si="60"/>
        <v>0</v>
      </c>
      <c r="BB91" s="931">
        <f t="shared" si="60"/>
        <v>0</v>
      </c>
      <c r="BC91" s="931">
        <f t="shared" si="60"/>
        <v>0</v>
      </c>
      <c r="BD91" s="931">
        <f t="shared" si="60"/>
        <v>350</v>
      </c>
      <c r="BE91" s="931">
        <f t="shared" si="60"/>
        <v>350</v>
      </c>
      <c r="BF91" s="931">
        <f t="shared" si="60"/>
        <v>350</v>
      </c>
      <c r="BG91" s="931">
        <f t="shared" si="60"/>
        <v>350</v>
      </c>
      <c r="BH91" s="931">
        <f t="shared" si="60"/>
        <v>550</v>
      </c>
      <c r="BI91" s="931">
        <f t="shared" si="60"/>
        <v>550</v>
      </c>
      <c r="BJ91" s="931">
        <f>CEILING($F$91*BJ88, 50)*BJ86</f>
        <v>500</v>
      </c>
      <c r="BK91" s="931">
        <f>CEILING($F$91*BK88, 50)*BK86</f>
        <v>350</v>
      </c>
      <c r="BL91" s="931">
        <f t="shared" si="60"/>
        <v>350</v>
      </c>
      <c r="BM91" s="931">
        <f t="shared" si="60"/>
        <v>350</v>
      </c>
      <c r="BN91" s="931">
        <f t="shared" si="60"/>
        <v>600</v>
      </c>
      <c r="BO91" s="931">
        <f t="shared" si="60"/>
        <v>350</v>
      </c>
      <c r="BP91" s="931">
        <f t="shared" si="60"/>
        <v>350</v>
      </c>
      <c r="BQ91" s="931">
        <f t="shared" si="60"/>
        <v>350</v>
      </c>
      <c r="BR91" s="931">
        <f t="shared" si="60"/>
        <v>0</v>
      </c>
      <c r="BS91" s="931">
        <f t="shared" si="60"/>
        <v>0</v>
      </c>
      <c r="BT91" s="931">
        <f t="shared" ref="BT91:BY91" si="61">CEILING($F$91*BT88, 50)*BT86</f>
        <v>550</v>
      </c>
      <c r="BU91" s="931">
        <f t="shared" si="61"/>
        <v>350</v>
      </c>
      <c r="BV91" s="931">
        <f t="shared" si="61"/>
        <v>0</v>
      </c>
      <c r="BW91" s="931">
        <f t="shared" si="61"/>
        <v>350</v>
      </c>
      <c r="BX91" s="931">
        <f t="shared" si="61"/>
        <v>0</v>
      </c>
      <c r="BY91" s="931">
        <f t="shared" si="61"/>
        <v>0</v>
      </c>
      <c r="BZ91" s="931">
        <f t="shared" ref="BZ91:EF91" si="62">CEILING($F$91*BZ88, 50)*BZ86</f>
        <v>0</v>
      </c>
      <c r="CA91" s="931">
        <f t="shared" si="62"/>
        <v>0</v>
      </c>
      <c r="CB91" s="931">
        <f t="shared" si="62"/>
        <v>0</v>
      </c>
      <c r="CC91" s="931">
        <f t="shared" si="62"/>
        <v>0</v>
      </c>
      <c r="CD91" s="931">
        <f t="shared" si="62"/>
        <v>0</v>
      </c>
      <c r="CE91" s="931">
        <f t="shared" si="62"/>
        <v>0</v>
      </c>
      <c r="CF91" s="931">
        <f t="shared" si="62"/>
        <v>600</v>
      </c>
      <c r="CG91" s="931">
        <f t="shared" si="62"/>
        <v>600</v>
      </c>
      <c r="CH91" s="931">
        <f t="shared" si="62"/>
        <v>250</v>
      </c>
      <c r="CI91" s="931">
        <f t="shared" si="62"/>
        <v>0</v>
      </c>
      <c r="CJ91" s="931">
        <f t="shared" si="62"/>
        <v>600</v>
      </c>
      <c r="CK91" s="931">
        <f t="shared" si="62"/>
        <v>250</v>
      </c>
      <c r="CL91" s="931">
        <f t="shared" si="62"/>
        <v>0</v>
      </c>
      <c r="CM91" s="931">
        <f t="shared" si="62"/>
        <v>0</v>
      </c>
      <c r="CN91" s="931">
        <f t="shared" si="62"/>
        <v>0</v>
      </c>
      <c r="CO91" s="931">
        <f t="shared" si="62"/>
        <v>0</v>
      </c>
      <c r="CP91" s="931">
        <f t="shared" si="62"/>
        <v>0</v>
      </c>
      <c r="CQ91" s="931">
        <f t="shared" si="62"/>
        <v>0</v>
      </c>
      <c r="CR91" s="931">
        <f t="shared" si="62"/>
        <v>0</v>
      </c>
      <c r="CS91" s="931">
        <f t="shared" si="62"/>
        <v>0</v>
      </c>
      <c r="CT91" s="931">
        <f t="shared" si="62"/>
        <v>0</v>
      </c>
      <c r="CU91" s="931">
        <f t="shared" si="62"/>
        <v>0</v>
      </c>
      <c r="CV91" s="931">
        <f t="shared" si="62"/>
        <v>0</v>
      </c>
      <c r="CW91" s="931">
        <f t="shared" si="62"/>
        <v>0</v>
      </c>
      <c r="CX91" s="931">
        <f t="shared" si="62"/>
        <v>0</v>
      </c>
      <c r="CY91" s="931">
        <f t="shared" si="62"/>
        <v>0</v>
      </c>
      <c r="CZ91" s="1096"/>
      <c r="DA91" s="931">
        <f t="shared" si="62"/>
        <v>0</v>
      </c>
      <c r="DB91" s="931">
        <f t="shared" si="62"/>
        <v>0</v>
      </c>
      <c r="DC91" s="931">
        <f t="shared" si="62"/>
        <v>0</v>
      </c>
      <c r="DD91" s="931">
        <f t="shared" si="62"/>
        <v>0</v>
      </c>
      <c r="DE91" s="931">
        <f t="shared" si="62"/>
        <v>0</v>
      </c>
      <c r="DF91" s="931">
        <f t="shared" si="62"/>
        <v>0</v>
      </c>
      <c r="DG91" s="931">
        <f t="shared" si="62"/>
        <v>0</v>
      </c>
      <c r="DH91" s="931">
        <f t="shared" si="62"/>
        <v>0</v>
      </c>
      <c r="DI91" s="931">
        <f t="shared" si="62"/>
        <v>0</v>
      </c>
      <c r="DJ91" s="931">
        <f t="shared" si="62"/>
        <v>0</v>
      </c>
      <c r="DK91" s="931">
        <f t="shared" si="62"/>
        <v>0</v>
      </c>
      <c r="DL91" s="931">
        <f t="shared" si="62"/>
        <v>0</v>
      </c>
      <c r="DM91" s="931">
        <f t="shared" si="62"/>
        <v>0</v>
      </c>
      <c r="DN91" s="931">
        <f t="shared" si="62"/>
        <v>0</v>
      </c>
      <c r="DO91" s="931">
        <f t="shared" si="62"/>
        <v>0</v>
      </c>
      <c r="DP91" s="931">
        <f t="shared" si="62"/>
        <v>0</v>
      </c>
      <c r="DQ91" s="931">
        <f t="shared" si="62"/>
        <v>0</v>
      </c>
      <c r="DR91" s="931">
        <f t="shared" si="62"/>
        <v>0</v>
      </c>
      <c r="DS91" s="931">
        <f t="shared" si="62"/>
        <v>0</v>
      </c>
      <c r="DT91" s="931">
        <f t="shared" si="62"/>
        <v>0</v>
      </c>
      <c r="DU91" s="931">
        <f t="shared" si="62"/>
        <v>0</v>
      </c>
      <c r="DV91" s="931">
        <f t="shared" si="62"/>
        <v>0</v>
      </c>
      <c r="DW91" s="931">
        <f t="shared" si="62"/>
        <v>0</v>
      </c>
      <c r="DX91" s="931">
        <f t="shared" si="62"/>
        <v>0</v>
      </c>
      <c r="DY91" s="931">
        <f t="shared" si="62"/>
        <v>0</v>
      </c>
      <c r="DZ91" s="931">
        <f t="shared" si="62"/>
        <v>0</v>
      </c>
      <c r="EA91" s="931">
        <f t="shared" si="62"/>
        <v>0</v>
      </c>
      <c r="EB91" s="931">
        <f t="shared" si="62"/>
        <v>0</v>
      </c>
      <c r="EC91" s="931">
        <f t="shared" si="62"/>
        <v>0</v>
      </c>
      <c r="ED91" s="931">
        <f t="shared" si="62"/>
        <v>0</v>
      </c>
      <c r="EE91" s="931">
        <f t="shared" si="62"/>
        <v>0</v>
      </c>
      <c r="EF91" s="931">
        <f t="shared" si="62"/>
        <v>0</v>
      </c>
      <c r="EG91" s="931">
        <f t="shared" ref="EG91:ET91" si="63">CEILING($F$91*EG88, 50)*EG86</f>
        <v>0</v>
      </c>
      <c r="EH91" s="931">
        <f t="shared" si="63"/>
        <v>0</v>
      </c>
      <c r="EI91" s="931">
        <f t="shared" si="63"/>
        <v>0</v>
      </c>
      <c r="EJ91" s="931">
        <f t="shared" si="63"/>
        <v>0</v>
      </c>
      <c r="EK91" s="931">
        <f t="shared" si="63"/>
        <v>0</v>
      </c>
      <c r="EL91" s="931">
        <f t="shared" si="63"/>
        <v>0</v>
      </c>
      <c r="EM91" s="931">
        <f t="shared" si="63"/>
        <v>550</v>
      </c>
      <c r="EN91" s="2716">
        <f t="shared" si="63"/>
        <v>550</v>
      </c>
      <c r="EO91" s="2716">
        <f t="shared" si="63"/>
        <v>550</v>
      </c>
      <c r="EP91" s="2716">
        <f t="shared" si="63"/>
        <v>550</v>
      </c>
      <c r="EQ91" s="15"/>
      <c r="ER91" s="15"/>
      <c r="ES91" s="2716">
        <f t="shared" si="63"/>
        <v>0</v>
      </c>
      <c r="ET91" s="2716">
        <f t="shared" si="63"/>
        <v>550</v>
      </c>
      <c r="EU91" s="2716">
        <f>CEILING(ET91*EU88, 50)*EU86</f>
        <v>500</v>
      </c>
      <c r="EV91" s="2716">
        <f>CEILING(EU91*EV88, 50)*EV86</f>
        <v>0</v>
      </c>
      <c r="EW91" s="15"/>
    </row>
    <row r="92" spans="1:153" s="25" customFormat="1" ht="15.75" hidden="1" outlineLevel="2">
      <c r="A92" s="5263"/>
      <c r="B92" s="4205"/>
      <c r="C92" s="932"/>
      <c r="D92" s="739"/>
      <c r="E92" s="889" t="s">
        <v>1264</v>
      </c>
      <c r="F92" s="953">
        <f>B80*F2*F3</f>
        <v>1032.75</v>
      </c>
      <c r="G92" s="893">
        <f>G91*2</f>
        <v>1100</v>
      </c>
      <c r="H92" s="991">
        <f t="shared" ref="H92:BS92" si="64">H91*2</f>
        <v>700</v>
      </c>
      <c r="I92" s="991">
        <f t="shared" si="64"/>
        <v>700</v>
      </c>
      <c r="J92" s="991">
        <f t="shared" si="64"/>
        <v>700</v>
      </c>
      <c r="K92" s="991">
        <f t="shared" si="64"/>
        <v>700</v>
      </c>
      <c r="L92" s="991">
        <f t="shared" si="64"/>
        <v>700</v>
      </c>
      <c r="M92" s="991">
        <f t="shared" si="64"/>
        <v>700</v>
      </c>
      <c r="N92" s="991">
        <f t="shared" si="64"/>
        <v>700</v>
      </c>
      <c r="O92" s="991">
        <f t="shared" si="64"/>
        <v>0</v>
      </c>
      <c r="P92" s="991">
        <f t="shared" si="64"/>
        <v>0</v>
      </c>
      <c r="Q92" s="991">
        <f t="shared" si="64"/>
        <v>0</v>
      </c>
      <c r="R92" s="991">
        <f>R91*2</f>
        <v>1100</v>
      </c>
      <c r="S92" s="991">
        <f>S91*2</f>
        <v>700</v>
      </c>
      <c r="T92" s="991">
        <f>T91*2</f>
        <v>700</v>
      </c>
      <c r="U92" s="991">
        <f t="shared" si="64"/>
        <v>0</v>
      </c>
      <c r="V92" s="991">
        <f t="shared" si="64"/>
        <v>0</v>
      </c>
      <c r="W92" s="991">
        <f t="shared" si="64"/>
        <v>0</v>
      </c>
      <c r="X92" s="991"/>
      <c r="Y92" s="991"/>
      <c r="Z92" s="991"/>
      <c r="AA92" s="991"/>
      <c r="AB92" s="991"/>
      <c r="AC92" s="991"/>
      <c r="AD92" s="991">
        <f t="shared" si="64"/>
        <v>0</v>
      </c>
      <c r="AE92" s="991">
        <f t="shared" si="64"/>
        <v>0</v>
      </c>
      <c r="AF92" s="991">
        <f t="shared" si="64"/>
        <v>1100</v>
      </c>
      <c r="AG92" s="991">
        <f t="shared" si="64"/>
        <v>700</v>
      </c>
      <c r="AH92" s="991">
        <f t="shared" si="64"/>
        <v>700</v>
      </c>
      <c r="AI92" s="991">
        <f t="shared" si="64"/>
        <v>700</v>
      </c>
      <c r="AJ92" s="991">
        <f t="shared" si="64"/>
        <v>0</v>
      </c>
      <c r="AK92" s="991">
        <f t="shared" si="64"/>
        <v>0</v>
      </c>
      <c r="AL92" s="991">
        <f t="shared" si="64"/>
        <v>1100</v>
      </c>
      <c r="AM92" s="991">
        <f t="shared" si="64"/>
        <v>700</v>
      </c>
      <c r="AN92" s="991">
        <f t="shared" si="64"/>
        <v>700</v>
      </c>
      <c r="AO92" s="991">
        <f t="shared" si="64"/>
        <v>700</v>
      </c>
      <c r="AP92" s="991">
        <f t="shared" si="64"/>
        <v>700</v>
      </c>
      <c r="AQ92" s="991">
        <f t="shared" si="64"/>
        <v>700</v>
      </c>
      <c r="AR92" s="991">
        <f t="shared" si="64"/>
        <v>0</v>
      </c>
      <c r="AS92" s="991">
        <f t="shared" si="64"/>
        <v>0</v>
      </c>
      <c r="AT92" s="991">
        <f t="shared" si="64"/>
        <v>1100</v>
      </c>
      <c r="AU92" s="991">
        <f t="shared" si="64"/>
        <v>700</v>
      </c>
      <c r="AV92" s="991">
        <f t="shared" si="64"/>
        <v>700</v>
      </c>
      <c r="AW92" s="991">
        <f t="shared" si="64"/>
        <v>700</v>
      </c>
      <c r="AX92" s="991">
        <f t="shared" si="64"/>
        <v>700</v>
      </c>
      <c r="AY92" s="991">
        <f t="shared" si="64"/>
        <v>700</v>
      </c>
      <c r="AZ92" s="991">
        <f t="shared" si="64"/>
        <v>700</v>
      </c>
      <c r="BA92" s="991">
        <f t="shared" si="64"/>
        <v>0</v>
      </c>
      <c r="BB92" s="991">
        <f t="shared" si="64"/>
        <v>0</v>
      </c>
      <c r="BC92" s="991">
        <f t="shared" si="64"/>
        <v>0</v>
      </c>
      <c r="BD92" s="991">
        <f t="shared" si="64"/>
        <v>700</v>
      </c>
      <c r="BE92" s="991">
        <f t="shared" si="64"/>
        <v>700</v>
      </c>
      <c r="BF92" s="991">
        <f t="shared" si="64"/>
        <v>700</v>
      </c>
      <c r="BG92" s="991">
        <f t="shared" si="64"/>
        <v>700</v>
      </c>
      <c r="BH92" s="991">
        <f t="shared" si="64"/>
        <v>1100</v>
      </c>
      <c r="BI92" s="991">
        <f t="shared" si="64"/>
        <v>1100</v>
      </c>
      <c r="BJ92" s="991">
        <f>BJ91*2</f>
        <v>1000</v>
      </c>
      <c r="BK92" s="991">
        <f>BK91*2</f>
        <v>700</v>
      </c>
      <c r="BL92" s="991">
        <f t="shared" si="64"/>
        <v>700</v>
      </c>
      <c r="BM92" s="991">
        <f t="shared" si="64"/>
        <v>700</v>
      </c>
      <c r="BN92" s="991">
        <f t="shared" si="64"/>
        <v>1200</v>
      </c>
      <c r="BO92" s="991">
        <f t="shared" si="64"/>
        <v>700</v>
      </c>
      <c r="BP92" s="991">
        <f t="shared" si="64"/>
        <v>700</v>
      </c>
      <c r="BQ92" s="991">
        <f t="shared" si="64"/>
        <v>700</v>
      </c>
      <c r="BR92" s="991">
        <f t="shared" si="64"/>
        <v>0</v>
      </c>
      <c r="BS92" s="991">
        <f t="shared" si="64"/>
        <v>0</v>
      </c>
      <c r="BT92" s="991">
        <f t="shared" ref="BT92:BY92" si="65">BT91*2</f>
        <v>1100</v>
      </c>
      <c r="BU92" s="991">
        <f t="shared" si="65"/>
        <v>700</v>
      </c>
      <c r="BV92" s="991">
        <f t="shared" si="65"/>
        <v>0</v>
      </c>
      <c r="BW92" s="991">
        <f t="shared" si="65"/>
        <v>700</v>
      </c>
      <c r="BX92" s="991">
        <f t="shared" si="65"/>
        <v>0</v>
      </c>
      <c r="BY92" s="991">
        <f t="shared" si="65"/>
        <v>0</v>
      </c>
      <c r="BZ92" s="991">
        <f t="shared" ref="BZ92:EF92" si="66">BZ91*2</f>
        <v>0</v>
      </c>
      <c r="CA92" s="991">
        <f t="shared" si="66"/>
        <v>0</v>
      </c>
      <c r="CB92" s="991">
        <f t="shared" si="66"/>
        <v>0</v>
      </c>
      <c r="CC92" s="991">
        <f t="shared" si="66"/>
        <v>0</v>
      </c>
      <c r="CD92" s="991">
        <f t="shared" si="66"/>
        <v>0</v>
      </c>
      <c r="CE92" s="991">
        <f t="shared" si="66"/>
        <v>0</v>
      </c>
      <c r="CF92" s="991">
        <f t="shared" si="66"/>
        <v>1200</v>
      </c>
      <c r="CG92" s="991">
        <f t="shared" si="66"/>
        <v>1200</v>
      </c>
      <c r="CH92" s="991">
        <f t="shared" si="66"/>
        <v>500</v>
      </c>
      <c r="CI92" s="991">
        <f t="shared" si="66"/>
        <v>0</v>
      </c>
      <c r="CJ92" s="991">
        <f t="shared" si="66"/>
        <v>1200</v>
      </c>
      <c r="CK92" s="991">
        <f t="shared" si="66"/>
        <v>500</v>
      </c>
      <c r="CL92" s="991">
        <f t="shared" si="66"/>
        <v>0</v>
      </c>
      <c r="CM92" s="991">
        <f t="shared" si="66"/>
        <v>0</v>
      </c>
      <c r="CN92" s="991">
        <f t="shared" si="66"/>
        <v>0</v>
      </c>
      <c r="CO92" s="991">
        <f t="shared" si="66"/>
        <v>0</v>
      </c>
      <c r="CP92" s="991">
        <f t="shared" si="66"/>
        <v>0</v>
      </c>
      <c r="CQ92" s="991">
        <f t="shared" si="66"/>
        <v>0</v>
      </c>
      <c r="CR92" s="991">
        <f t="shared" si="66"/>
        <v>0</v>
      </c>
      <c r="CS92" s="991">
        <f t="shared" si="66"/>
        <v>0</v>
      </c>
      <c r="CT92" s="991">
        <f t="shared" si="66"/>
        <v>0</v>
      </c>
      <c r="CU92" s="991">
        <f t="shared" si="66"/>
        <v>0</v>
      </c>
      <c r="CV92" s="991">
        <f t="shared" si="66"/>
        <v>0</v>
      </c>
      <c r="CW92" s="991">
        <f t="shared" si="66"/>
        <v>0</v>
      </c>
      <c r="CX92" s="991">
        <f t="shared" si="66"/>
        <v>0</v>
      </c>
      <c r="CY92" s="991">
        <f t="shared" si="66"/>
        <v>0</v>
      </c>
      <c r="CZ92" s="1043"/>
      <c r="DA92" s="991">
        <f t="shared" si="66"/>
        <v>0</v>
      </c>
      <c r="DB92" s="991">
        <f t="shared" si="66"/>
        <v>0</v>
      </c>
      <c r="DC92" s="991">
        <f t="shared" si="66"/>
        <v>0</v>
      </c>
      <c r="DD92" s="991">
        <f t="shared" si="66"/>
        <v>0</v>
      </c>
      <c r="DE92" s="991">
        <f t="shared" si="66"/>
        <v>0</v>
      </c>
      <c r="DF92" s="991">
        <f t="shared" si="66"/>
        <v>0</v>
      </c>
      <c r="DG92" s="991">
        <f t="shared" si="66"/>
        <v>0</v>
      </c>
      <c r="DH92" s="991">
        <f t="shared" si="66"/>
        <v>0</v>
      </c>
      <c r="DI92" s="991">
        <f t="shared" si="66"/>
        <v>0</v>
      </c>
      <c r="DJ92" s="991">
        <f t="shared" si="66"/>
        <v>0</v>
      </c>
      <c r="DK92" s="991">
        <f t="shared" si="66"/>
        <v>0</v>
      </c>
      <c r="DL92" s="991">
        <f t="shared" si="66"/>
        <v>0</v>
      </c>
      <c r="DM92" s="991">
        <f t="shared" si="66"/>
        <v>0</v>
      </c>
      <c r="DN92" s="991">
        <f t="shared" si="66"/>
        <v>0</v>
      </c>
      <c r="DO92" s="991">
        <f t="shared" si="66"/>
        <v>0</v>
      </c>
      <c r="DP92" s="991">
        <f t="shared" si="66"/>
        <v>0</v>
      </c>
      <c r="DQ92" s="991">
        <f t="shared" si="66"/>
        <v>0</v>
      </c>
      <c r="DR92" s="991">
        <f t="shared" si="66"/>
        <v>0</v>
      </c>
      <c r="DS92" s="991">
        <f t="shared" si="66"/>
        <v>0</v>
      </c>
      <c r="DT92" s="991">
        <f t="shared" si="66"/>
        <v>0</v>
      </c>
      <c r="DU92" s="991">
        <f t="shared" si="66"/>
        <v>0</v>
      </c>
      <c r="DV92" s="991">
        <f t="shared" si="66"/>
        <v>0</v>
      </c>
      <c r="DW92" s="991">
        <f t="shared" si="66"/>
        <v>0</v>
      </c>
      <c r="DX92" s="991">
        <f t="shared" si="66"/>
        <v>0</v>
      </c>
      <c r="DY92" s="991">
        <f t="shared" si="66"/>
        <v>0</v>
      </c>
      <c r="DZ92" s="991">
        <f t="shared" si="66"/>
        <v>0</v>
      </c>
      <c r="EA92" s="991">
        <f t="shared" si="66"/>
        <v>0</v>
      </c>
      <c r="EB92" s="991">
        <f t="shared" si="66"/>
        <v>0</v>
      </c>
      <c r="EC92" s="991">
        <f t="shared" si="66"/>
        <v>0</v>
      </c>
      <c r="ED92" s="991">
        <f t="shared" si="66"/>
        <v>0</v>
      </c>
      <c r="EE92" s="991">
        <f t="shared" si="66"/>
        <v>0</v>
      </c>
      <c r="EF92" s="991">
        <f t="shared" si="66"/>
        <v>0</v>
      </c>
      <c r="EG92" s="991">
        <f t="shared" ref="EG92:ET92" si="67">EG91*2</f>
        <v>0</v>
      </c>
      <c r="EH92" s="991">
        <f t="shared" si="67"/>
        <v>0</v>
      </c>
      <c r="EI92" s="991">
        <f t="shared" si="67"/>
        <v>0</v>
      </c>
      <c r="EJ92" s="991">
        <f t="shared" si="67"/>
        <v>0</v>
      </c>
      <c r="EK92" s="991">
        <f t="shared" si="67"/>
        <v>0</v>
      </c>
      <c r="EL92" s="991">
        <f t="shared" si="67"/>
        <v>0</v>
      </c>
      <c r="EM92" s="991">
        <f t="shared" si="67"/>
        <v>1100</v>
      </c>
      <c r="EN92" s="2715">
        <f t="shared" si="67"/>
        <v>1100</v>
      </c>
      <c r="EO92" s="2715">
        <f t="shared" si="67"/>
        <v>1100</v>
      </c>
      <c r="EP92" s="2715">
        <f t="shared" si="67"/>
        <v>1100</v>
      </c>
      <c r="EQ92" s="2716">
        <f>CEILING($F$91*EQ88, 50)*EQ86</f>
        <v>550</v>
      </c>
      <c r="ER92" s="2716">
        <f>CEILING($F$91*ER88, 50)*ER86</f>
        <v>550</v>
      </c>
      <c r="ES92" s="2715">
        <f t="shared" si="67"/>
        <v>0</v>
      </c>
      <c r="ET92" s="2715">
        <f t="shared" si="67"/>
        <v>1100</v>
      </c>
      <c r="EU92" s="2715">
        <f>CEILING($F$92+EU89, 50)*EU86</f>
        <v>2200</v>
      </c>
      <c r="EV92" s="2715">
        <f>CEILING($F$92+EV89, 50)*EV86</f>
        <v>0</v>
      </c>
      <c r="EW92" s="15"/>
    </row>
    <row r="93" spans="1:153" s="25" customFormat="1" ht="24" hidden="1" customHeight="1" outlineLevel="2">
      <c r="A93" s="5264" t="s">
        <v>213</v>
      </c>
      <c r="B93" s="930" t="s">
        <v>260</v>
      </c>
      <c r="C93" s="934" t="s">
        <v>217</v>
      </c>
      <c r="D93" s="549"/>
      <c r="E93" s="563" t="s">
        <v>1269</v>
      </c>
      <c r="F93" s="928">
        <f>(B83+B79)*F2*F3</f>
        <v>3213.0000000000005</v>
      </c>
      <c r="G93" s="931">
        <f>CEILING($F$93+G89, 50)*G86</f>
        <v>6300</v>
      </c>
      <c r="H93" s="931">
        <f>CEILING($F$93+H89, 50)*H86</f>
        <v>4500</v>
      </c>
      <c r="I93" s="931">
        <f t="shared" ref="I93:BS93" si="68">CEILING($F$93+I89, 50)*I86</f>
        <v>4500</v>
      </c>
      <c r="J93" s="931">
        <f t="shared" si="68"/>
        <v>4500</v>
      </c>
      <c r="K93" s="931">
        <f t="shared" si="68"/>
        <v>4500</v>
      </c>
      <c r="L93" s="931">
        <f t="shared" si="68"/>
        <v>4500</v>
      </c>
      <c r="M93" s="931">
        <f t="shared" si="68"/>
        <v>4500</v>
      </c>
      <c r="N93" s="931">
        <f t="shared" si="68"/>
        <v>4500</v>
      </c>
      <c r="O93" s="931">
        <f t="shared" si="68"/>
        <v>0</v>
      </c>
      <c r="P93" s="931">
        <f t="shared" si="68"/>
        <v>0</v>
      </c>
      <c r="Q93" s="931">
        <f t="shared" si="68"/>
        <v>0</v>
      </c>
      <c r="R93" s="931">
        <f>CEILING($F$93+R89, 50)*R86</f>
        <v>5550</v>
      </c>
      <c r="S93" s="931">
        <f>CEILING($F$93+S89, 50)*S86</f>
        <v>4800</v>
      </c>
      <c r="T93" s="931">
        <f>CEILING($F$93+T89, 50)*T86</f>
        <v>4800</v>
      </c>
      <c r="U93" s="931">
        <f t="shared" si="68"/>
        <v>0</v>
      </c>
      <c r="V93" s="931">
        <f t="shared" si="68"/>
        <v>0</v>
      </c>
      <c r="W93" s="931">
        <f t="shared" si="68"/>
        <v>0</v>
      </c>
      <c r="X93" s="931"/>
      <c r="Y93" s="931"/>
      <c r="Z93" s="931"/>
      <c r="AA93" s="931"/>
      <c r="AB93" s="931"/>
      <c r="AC93" s="931"/>
      <c r="AD93" s="931">
        <f t="shared" si="68"/>
        <v>0</v>
      </c>
      <c r="AE93" s="931">
        <f t="shared" si="68"/>
        <v>0</v>
      </c>
      <c r="AF93" s="931">
        <f t="shared" si="68"/>
        <v>5550</v>
      </c>
      <c r="AG93" s="931">
        <f t="shared" si="68"/>
        <v>4800</v>
      </c>
      <c r="AH93" s="931">
        <f t="shared" si="68"/>
        <v>4800</v>
      </c>
      <c r="AI93" s="931">
        <f t="shared" si="68"/>
        <v>4800</v>
      </c>
      <c r="AJ93" s="931">
        <f t="shared" si="68"/>
        <v>0</v>
      </c>
      <c r="AK93" s="931">
        <f t="shared" si="68"/>
        <v>0</v>
      </c>
      <c r="AL93" s="931">
        <f t="shared" si="68"/>
        <v>5550</v>
      </c>
      <c r="AM93" s="931">
        <f t="shared" si="68"/>
        <v>4800</v>
      </c>
      <c r="AN93" s="931">
        <f t="shared" si="68"/>
        <v>4800</v>
      </c>
      <c r="AO93" s="931">
        <f t="shared" si="68"/>
        <v>4800</v>
      </c>
      <c r="AP93" s="931">
        <f t="shared" si="68"/>
        <v>4800</v>
      </c>
      <c r="AQ93" s="931">
        <f t="shared" si="68"/>
        <v>4800</v>
      </c>
      <c r="AR93" s="931">
        <f t="shared" si="68"/>
        <v>0</v>
      </c>
      <c r="AS93" s="931">
        <f t="shared" si="68"/>
        <v>0</v>
      </c>
      <c r="AT93" s="931">
        <f t="shared" si="68"/>
        <v>4400</v>
      </c>
      <c r="AU93" s="931">
        <f t="shared" si="68"/>
        <v>4050</v>
      </c>
      <c r="AV93" s="931">
        <f t="shared" si="68"/>
        <v>4050</v>
      </c>
      <c r="AW93" s="931">
        <f t="shared" si="68"/>
        <v>4050</v>
      </c>
      <c r="AX93" s="931">
        <f t="shared" si="68"/>
        <v>4050</v>
      </c>
      <c r="AY93" s="931">
        <f t="shared" si="68"/>
        <v>4050</v>
      </c>
      <c r="AZ93" s="931">
        <f t="shared" si="68"/>
        <v>4050</v>
      </c>
      <c r="BA93" s="931">
        <f t="shared" si="68"/>
        <v>0</v>
      </c>
      <c r="BB93" s="931">
        <f t="shared" si="68"/>
        <v>0</v>
      </c>
      <c r="BC93" s="931">
        <f t="shared" si="68"/>
        <v>0</v>
      </c>
      <c r="BD93" s="931">
        <f t="shared" si="68"/>
        <v>4050</v>
      </c>
      <c r="BE93" s="931">
        <f t="shared" si="68"/>
        <v>4050</v>
      </c>
      <c r="BF93" s="931">
        <f t="shared" si="68"/>
        <v>4050</v>
      </c>
      <c r="BG93" s="931">
        <f t="shared" si="68"/>
        <v>4050</v>
      </c>
      <c r="BH93" s="931">
        <f t="shared" si="68"/>
        <v>5150</v>
      </c>
      <c r="BI93" s="931">
        <f t="shared" si="68"/>
        <v>5900</v>
      </c>
      <c r="BJ93" s="931">
        <f>CEILING($F$93+BJ89, 50)*BJ86</f>
        <v>4300</v>
      </c>
      <c r="BK93" s="931">
        <f>CEILING($F$93+BK89, 50)*BK86</f>
        <v>4050</v>
      </c>
      <c r="BL93" s="931">
        <f t="shared" si="68"/>
        <v>4050</v>
      </c>
      <c r="BM93" s="931">
        <f t="shared" si="68"/>
        <v>4050</v>
      </c>
      <c r="BN93" s="931"/>
      <c r="BO93" s="931">
        <f t="shared" si="68"/>
        <v>4050</v>
      </c>
      <c r="BP93" s="931">
        <f t="shared" si="68"/>
        <v>4050</v>
      </c>
      <c r="BQ93" s="931">
        <f t="shared" si="68"/>
        <v>4050</v>
      </c>
      <c r="BR93" s="931">
        <f t="shared" si="68"/>
        <v>0</v>
      </c>
      <c r="BS93" s="931">
        <f t="shared" si="68"/>
        <v>0</v>
      </c>
      <c r="BT93" s="931"/>
      <c r="BU93" s="931"/>
      <c r="BV93" s="931">
        <f>CEILING($F$93+BV89, 50)*BV86</f>
        <v>0</v>
      </c>
      <c r="BW93" s="931"/>
      <c r="BX93" s="931">
        <f>CEILING($F$93+BX89, 50)*BX86</f>
        <v>0</v>
      </c>
      <c r="BY93" s="931">
        <f>CEILING($F$93+BY89, 50)*BY86</f>
        <v>0</v>
      </c>
      <c r="BZ93" s="931">
        <f t="shared" ref="BZ93:EF93" si="69">CEILING($F$93+BZ89, 50)*BZ86</f>
        <v>0</v>
      </c>
      <c r="CA93" s="931">
        <f t="shared" si="69"/>
        <v>0</v>
      </c>
      <c r="CB93" s="931">
        <f t="shared" si="69"/>
        <v>0</v>
      </c>
      <c r="CC93" s="931">
        <f t="shared" si="69"/>
        <v>0</v>
      </c>
      <c r="CD93" s="931">
        <f t="shared" si="69"/>
        <v>0</v>
      </c>
      <c r="CE93" s="931">
        <f t="shared" si="69"/>
        <v>0</v>
      </c>
      <c r="CL93" s="931">
        <f t="shared" si="69"/>
        <v>0</v>
      </c>
      <c r="CM93" s="931">
        <f t="shared" si="69"/>
        <v>0</v>
      </c>
      <c r="CN93" s="931">
        <f t="shared" si="69"/>
        <v>0</v>
      </c>
      <c r="CO93" s="931">
        <f t="shared" si="69"/>
        <v>0</v>
      </c>
      <c r="CP93" s="931">
        <f t="shared" si="69"/>
        <v>0</v>
      </c>
      <c r="CQ93" s="931">
        <f t="shared" si="69"/>
        <v>0</v>
      </c>
      <c r="CR93" s="931">
        <f t="shared" si="69"/>
        <v>0</v>
      </c>
      <c r="CS93" s="931">
        <f t="shared" si="69"/>
        <v>0</v>
      </c>
      <c r="CT93" s="931">
        <f t="shared" si="69"/>
        <v>0</v>
      </c>
      <c r="CU93" s="931">
        <f t="shared" si="69"/>
        <v>0</v>
      </c>
      <c r="CV93" s="931">
        <f t="shared" si="69"/>
        <v>0</v>
      </c>
      <c r="CW93" s="931">
        <f t="shared" si="69"/>
        <v>0</v>
      </c>
      <c r="CX93" s="931">
        <f t="shared" si="69"/>
        <v>0</v>
      </c>
      <c r="CY93" s="931">
        <f t="shared" si="69"/>
        <v>0</v>
      </c>
      <c r="CZ93" s="1096"/>
      <c r="DA93" s="931">
        <f t="shared" si="69"/>
        <v>0</v>
      </c>
      <c r="DB93" s="931">
        <f t="shared" si="69"/>
        <v>0</v>
      </c>
      <c r="DC93" s="931">
        <f t="shared" si="69"/>
        <v>0</v>
      </c>
      <c r="DD93" s="931">
        <f t="shared" si="69"/>
        <v>0</v>
      </c>
      <c r="DE93" s="931">
        <f t="shared" si="69"/>
        <v>0</v>
      </c>
      <c r="DF93" s="931">
        <f t="shared" si="69"/>
        <v>0</v>
      </c>
      <c r="DG93" s="931">
        <f t="shared" si="69"/>
        <v>0</v>
      </c>
      <c r="DH93" s="931">
        <f t="shared" si="69"/>
        <v>0</v>
      </c>
      <c r="DI93" s="931">
        <f t="shared" si="69"/>
        <v>0</v>
      </c>
      <c r="DJ93" s="931">
        <f t="shared" si="69"/>
        <v>0</v>
      </c>
      <c r="DK93" s="931">
        <f t="shared" si="69"/>
        <v>0</v>
      </c>
      <c r="DL93" s="931">
        <f t="shared" si="69"/>
        <v>0</v>
      </c>
      <c r="DM93" s="931">
        <f t="shared" si="69"/>
        <v>0</v>
      </c>
      <c r="DN93" s="931">
        <f t="shared" si="69"/>
        <v>0</v>
      </c>
      <c r="DO93" s="931">
        <f t="shared" si="69"/>
        <v>0</v>
      </c>
      <c r="DP93" s="931">
        <f t="shared" si="69"/>
        <v>0</v>
      </c>
      <c r="DQ93" s="931">
        <f t="shared" si="69"/>
        <v>0</v>
      </c>
      <c r="DR93" s="931">
        <f t="shared" si="69"/>
        <v>0</v>
      </c>
      <c r="DS93" s="931">
        <f t="shared" si="69"/>
        <v>0</v>
      </c>
      <c r="DT93" s="931">
        <f t="shared" si="69"/>
        <v>0</v>
      </c>
      <c r="DU93" s="931">
        <f t="shared" si="69"/>
        <v>0</v>
      </c>
      <c r="DV93" s="931">
        <f t="shared" si="69"/>
        <v>0</v>
      </c>
      <c r="DW93" s="931">
        <f t="shared" si="69"/>
        <v>0</v>
      </c>
      <c r="DX93" s="931">
        <f t="shared" si="69"/>
        <v>0</v>
      </c>
      <c r="DY93" s="931">
        <f t="shared" si="69"/>
        <v>0</v>
      </c>
      <c r="DZ93" s="931">
        <f t="shared" si="69"/>
        <v>0</v>
      </c>
      <c r="EA93" s="931">
        <f t="shared" si="69"/>
        <v>0</v>
      </c>
      <c r="EB93" s="931">
        <f t="shared" si="69"/>
        <v>0</v>
      </c>
      <c r="EC93" s="931">
        <f t="shared" si="69"/>
        <v>0</v>
      </c>
      <c r="ED93" s="931">
        <f t="shared" si="69"/>
        <v>0</v>
      </c>
      <c r="EE93" s="931">
        <f t="shared" si="69"/>
        <v>0</v>
      </c>
      <c r="EF93" s="931">
        <f t="shared" si="69"/>
        <v>0</v>
      </c>
      <c r="EG93" s="931">
        <f t="shared" ref="EG93:EV93" si="70">CEILING($F$93+EG89, 50)*EG86</f>
        <v>0</v>
      </c>
      <c r="EH93" s="931">
        <f t="shared" si="70"/>
        <v>0</v>
      </c>
      <c r="EI93" s="931">
        <f t="shared" si="70"/>
        <v>0</v>
      </c>
      <c r="EJ93" s="931">
        <f t="shared" si="70"/>
        <v>0</v>
      </c>
      <c r="EK93" s="931">
        <f t="shared" si="70"/>
        <v>0</v>
      </c>
      <c r="EL93" s="931">
        <f t="shared" si="70"/>
        <v>0</v>
      </c>
      <c r="EM93" s="931">
        <f t="shared" si="70"/>
        <v>4400</v>
      </c>
      <c r="EN93" s="2716">
        <f t="shared" si="70"/>
        <v>4400</v>
      </c>
      <c r="EO93" s="2716">
        <f t="shared" si="70"/>
        <v>4400</v>
      </c>
      <c r="EP93" s="2716">
        <f t="shared" si="70"/>
        <v>4400</v>
      </c>
      <c r="EQ93" s="2716">
        <f t="shared" si="70"/>
        <v>4400</v>
      </c>
      <c r="ER93" s="2716">
        <f t="shared" si="70"/>
        <v>4400</v>
      </c>
      <c r="ES93" s="2716">
        <f t="shared" si="70"/>
        <v>0</v>
      </c>
      <c r="ET93" s="2716">
        <f t="shared" si="70"/>
        <v>4400</v>
      </c>
      <c r="EU93" s="2716">
        <f t="shared" si="70"/>
        <v>4400</v>
      </c>
      <c r="EV93" s="2716">
        <f t="shared" si="70"/>
        <v>0</v>
      </c>
      <c r="EW93" s="15"/>
    </row>
    <row r="94" spans="1:153" s="25" customFormat="1" ht="36" hidden="1" outlineLevel="2">
      <c r="A94" s="5265"/>
      <c r="B94" s="930" t="s">
        <v>225</v>
      </c>
      <c r="C94" s="934" t="s">
        <v>217</v>
      </c>
      <c r="D94" s="549"/>
      <c r="E94" s="891" t="s">
        <v>1270</v>
      </c>
      <c r="F94" s="928">
        <f>(B79+B83+B82)*F2*F3</f>
        <v>5508</v>
      </c>
      <c r="G94" s="931">
        <f t="shared" ref="G94:BS94" si="71">CEILING($F$94+G89, 50)*G86</f>
        <v>8600</v>
      </c>
      <c r="H94" s="931">
        <f>CEILING($F$94+H89, 50)*H86</f>
        <v>6800</v>
      </c>
      <c r="I94" s="931">
        <f t="shared" si="71"/>
        <v>6800</v>
      </c>
      <c r="J94" s="931">
        <f t="shared" si="71"/>
        <v>6800</v>
      </c>
      <c r="K94" s="931">
        <f t="shared" si="71"/>
        <v>6800</v>
      </c>
      <c r="L94" s="931">
        <f t="shared" si="71"/>
        <v>6800</v>
      </c>
      <c r="M94" s="931">
        <v>0</v>
      </c>
      <c r="N94" s="931">
        <v>0</v>
      </c>
      <c r="O94" s="931">
        <f t="shared" si="71"/>
        <v>0</v>
      </c>
      <c r="P94" s="931">
        <f t="shared" si="71"/>
        <v>0</v>
      </c>
      <c r="Q94" s="931">
        <f t="shared" si="71"/>
        <v>0</v>
      </c>
      <c r="R94" s="931">
        <f>CEILING($F$94+R89, 50)*R86</f>
        <v>7850</v>
      </c>
      <c r="S94" s="931">
        <f>CEILING($F$94+S89, 50)*S86</f>
        <v>7100</v>
      </c>
      <c r="T94" s="931">
        <f>CEILING($F$94+T89, 50)*T86</f>
        <v>7100</v>
      </c>
      <c r="U94" s="931">
        <f t="shared" si="71"/>
        <v>0</v>
      </c>
      <c r="V94" s="931">
        <f t="shared" si="71"/>
        <v>0</v>
      </c>
      <c r="W94" s="931">
        <f t="shared" si="71"/>
        <v>0</v>
      </c>
      <c r="X94" s="931"/>
      <c r="Y94" s="931"/>
      <c r="Z94" s="931"/>
      <c r="AA94" s="931"/>
      <c r="AB94" s="931"/>
      <c r="AC94" s="931"/>
      <c r="AD94" s="931">
        <f t="shared" si="71"/>
        <v>0</v>
      </c>
      <c r="AE94" s="931">
        <f t="shared" si="71"/>
        <v>0</v>
      </c>
      <c r="AF94" s="931">
        <f t="shared" si="71"/>
        <v>7850</v>
      </c>
      <c r="AG94" s="931">
        <f t="shared" si="71"/>
        <v>7100</v>
      </c>
      <c r="AH94" s="931">
        <f t="shared" si="71"/>
        <v>7100</v>
      </c>
      <c r="AI94" s="931">
        <f t="shared" si="71"/>
        <v>7100</v>
      </c>
      <c r="AJ94" s="931">
        <f t="shared" si="71"/>
        <v>0</v>
      </c>
      <c r="AK94" s="931">
        <f t="shared" si="71"/>
        <v>0</v>
      </c>
      <c r="AL94" s="931">
        <f t="shared" si="71"/>
        <v>7850</v>
      </c>
      <c r="AM94" s="931">
        <f t="shared" si="71"/>
        <v>7100</v>
      </c>
      <c r="AN94" s="931">
        <f t="shared" si="71"/>
        <v>7100</v>
      </c>
      <c r="AO94" s="931">
        <f t="shared" si="71"/>
        <v>7100</v>
      </c>
      <c r="AP94" s="931">
        <f t="shared" si="71"/>
        <v>7100</v>
      </c>
      <c r="AQ94" s="931">
        <f t="shared" si="71"/>
        <v>7100</v>
      </c>
      <c r="AR94" s="931">
        <f t="shared" si="71"/>
        <v>0</v>
      </c>
      <c r="AS94" s="931">
        <f t="shared" si="71"/>
        <v>0</v>
      </c>
      <c r="AT94" s="931">
        <f t="shared" si="71"/>
        <v>6700</v>
      </c>
      <c r="AU94" s="931">
        <f t="shared" si="71"/>
        <v>6350</v>
      </c>
      <c r="AV94" s="931">
        <f t="shared" si="71"/>
        <v>6350</v>
      </c>
      <c r="AW94" s="931">
        <f t="shared" si="71"/>
        <v>6350</v>
      </c>
      <c r="AX94" s="931">
        <f t="shared" si="71"/>
        <v>6350</v>
      </c>
      <c r="AY94" s="931">
        <f t="shared" si="71"/>
        <v>6350</v>
      </c>
      <c r="AZ94" s="931">
        <f t="shared" si="71"/>
        <v>6350</v>
      </c>
      <c r="BA94" s="931">
        <f t="shared" si="71"/>
        <v>0</v>
      </c>
      <c r="BB94" s="931">
        <f t="shared" si="71"/>
        <v>0</v>
      </c>
      <c r="BC94" s="931">
        <f t="shared" si="71"/>
        <v>0</v>
      </c>
      <c r="BD94" s="931">
        <f t="shared" si="71"/>
        <v>6350</v>
      </c>
      <c r="BE94" s="931">
        <f t="shared" si="71"/>
        <v>6350</v>
      </c>
      <c r="BF94" s="931">
        <f t="shared" si="71"/>
        <v>6350</v>
      </c>
      <c r="BG94" s="931">
        <f t="shared" si="71"/>
        <v>6350</v>
      </c>
      <c r="BH94" s="931">
        <f t="shared" si="71"/>
        <v>7450</v>
      </c>
      <c r="BI94" s="931">
        <f t="shared" si="71"/>
        <v>8200</v>
      </c>
      <c r="BJ94" s="931">
        <f>CEILING($F$94+BJ89, 50)*BJ86</f>
        <v>6600</v>
      </c>
      <c r="BK94" s="931">
        <f>CEILING($F$94+BK89, 50)*BK86</f>
        <v>6350</v>
      </c>
      <c r="BL94" s="931">
        <f t="shared" si="71"/>
        <v>6350</v>
      </c>
      <c r="BM94" s="931">
        <f t="shared" si="71"/>
        <v>6350</v>
      </c>
      <c r="BN94" s="931"/>
      <c r="BO94" s="931">
        <f t="shared" si="71"/>
        <v>6350</v>
      </c>
      <c r="BP94" s="931">
        <f t="shared" si="71"/>
        <v>6350</v>
      </c>
      <c r="BQ94" s="931">
        <f t="shared" si="71"/>
        <v>6350</v>
      </c>
      <c r="BR94" s="931">
        <f t="shared" si="71"/>
        <v>0</v>
      </c>
      <c r="BS94" s="931">
        <f t="shared" si="71"/>
        <v>0</v>
      </c>
      <c r="BT94" s="931"/>
      <c r="BU94" s="931"/>
      <c r="BV94" s="931">
        <f>CEILING($F$94+BV89, 50)*BV86</f>
        <v>0</v>
      </c>
      <c r="BW94" s="931"/>
      <c r="BX94" s="931">
        <f>CEILING($F$94+BX89, 50)*BX86</f>
        <v>0</v>
      </c>
      <c r="BY94" s="931">
        <f>CEILING($F$94+BY89, 50)*BY86</f>
        <v>0</v>
      </c>
      <c r="BZ94" s="931">
        <f t="shared" ref="BZ94:EF94" si="72">CEILING($F$94+BZ89, 50)*BZ86</f>
        <v>0</v>
      </c>
      <c r="CA94" s="931">
        <f t="shared" si="72"/>
        <v>0</v>
      </c>
      <c r="CB94" s="931">
        <f t="shared" si="72"/>
        <v>0</v>
      </c>
      <c r="CC94" s="931">
        <f t="shared" si="72"/>
        <v>0</v>
      </c>
      <c r="CD94" s="931">
        <f t="shared" si="72"/>
        <v>0</v>
      </c>
      <c r="CE94" s="931">
        <f t="shared" si="72"/>
        <v>0</v>
      </c>
      <c r="CL94" s="931">
        <f t="shared" si="72"/>
        <v>0</v>
      </c>
      <c r="CM94" s="931">
        <f t="shared" si="72"/>
        <v>0</v>
      </c>
      <c r="CN94" s="931">
        <f t="shared" si="72"/>
        <v>0</v>
      </c>
      <c r="CO94" s="931">
        <f t="shared" si="72"/>
        <v>0</v>
      </c>
      <c r="CP94" s="931">
        <f t="shared" si="72"/>
        <v>0</v>
      </c>
      <c r="CQ94" s="931">
        <f t="shared" si="72"/>
        <v>0</v>
      </c>
      <c r="CR94" s="931">
        <f t="shared" si="72"/>
        <v>0</v>
      </c>
      <c r="CS94" s="931">
        <f t="shared" si="72"/>
        <v>0</v>
      </c>
      <c r="CT94" s="931">
        <f t="shared" si="72"/>
        <v>0</v>
      </c>
      <c r="CU94" s="931">
        <f t="shared" si="72"/>
        <v>0</v>
      </c>
      <c r="CV94" s="931">
        <f t="shared" si="72"/>
        <v>0</v>
      </c>
      <c r="CW94" s="931">
        <f t="shared" si="72"/>
        <v>0</v>
      </c>
      <c r="CX94" s="931">
        <f t="shared" si="72"/>
        <v>0</v>
      </c>
      <c r="CY94" s="931">
        <f t="shared" si="72"/>
        <v>0</v>
      </c>
      <c r="CZ94" s="1096"/>
      <c r="DA94" s="931">
        <f t="shared" si="72"/>
        <v>0</v>
      </c>
      <c r="DB94" s="931">
        <f t="shared" si="72"/>
        <v>0</v>
      </c>
      <c r="DC94" s="931">
        <f t="shared" si="72"/>
        <v>0</v>
      </c>
      <c r="DD94" s="931">
        <f t="shared" si="72"/>
        <v>0</v>
      </c>
      <c r="DE94" s="931">
        <f t="shared" si="72"/>
        <v>0</v>
      </c>
      <c r="DF94" s="931">
        <f t="shared" si="72"/>
        <v>0</v>
      </c>
      <c r="DG94" s="931">
        <f t="shared" si="72"/>
        <v>0</v>
      </c>
      <c r="DH94" s="931">
        <f t="shared" si="72"/>
        <v>0</v>
      </c>
      <c r="DI94" s="931">
        <f t="shared" si="72"/>
        <v>0</v>
      </c>
      <c r="DJ94" s="931">
        <f t="shared" si="72"/>
        <v>0</v>
      </c>
      <c r="DK94" s="931">
        <f t="shared" si="72"/>
        <v>0</v>
      </c>
      <c r="DL94" s="931">
        <f t="shared" si="72"/>
        <v>0</v>
      </c>
      <c r="DM94" s="931">
        <f t="shared" si="72"/>
        <v>0</v>
      </c>
      <c r="DN94" s="931">
        <f t="shared" si="72"/>
        <v>0</v>
      </c>
      <c r="DO94" s="931">
        <f t="shared" si="72"/>
        <v>0</v>
      </c>
      <c r="DP94" s="931">
        <f t="shared" si="72"/>
        <v>0</v>
      </c>
      <c r="DQ94" s="931">
        <f t="shared" si="72"/>
        <v>0</v>
      </c>
      <c r="DR94" s="931">
        <f t="shared" si="72"/>
        <v>0</v>
      </c>
      <c r="DS94" s="931">
        <f t="shared" si="72"/>
        <v>0</v>
      </c>
      <c r="DT94" s="931">
        <f t="shared" si="72"/>
        <v>0</v>
      </c>
      <c r="DU94" s="931">
        <f t="shared" si="72"/>
        <v>0</v>
      </c>
      <c r="DV94" s="931">
        <f t="shared" si="72"/>
        <v>0</v>
      </c>
      <c r="DW94" s="931">
        <f t="shared" si="72"/>
        <v>0</v>
      </c>
      <c r="DX94" s="931">
        <f t="shared" si="72"/>
        <v>0</v>
      </c>
      <c r="DY94" s="931">
        <f t="shared" si="72"/>
        <v>0</v>
      </c>
      <c r="DZ94" s="931">
        <f t="shared" si="72"/>
        <v>0</v>
      </c>
      <c r="EA94" s="931">
        <f t="shared" si="72"/>
        <v>0</v>
      </c>
      <c r="EB94" s="931">
        <f t="shared" si="72"/>
        <v>0</v>
      </c>
      <c r="EC94" s="931">
        <f t="shared" si="72"/>
        <v>0</v>
      </c>
      <c r="ED94" s="931">
        <f t="shared" si="72"/>
        <v>0</v>
      </c>
      <c r="EE94" s="931">
        <f t="shared" si="72"/>
        <v>0</v>
      </c>
      <c r="EF94" s="931">
        <f t="shared" si="72"/>
        <v>0</v>
      </c>
      <c r="EG94" s="931">
        <f t="shared" ref="EG94:EV94" si="73">CEILING($F$94+EG89, 50)*EG86</f>
        <v>0</v>
      </c>
      <c r="EH94" s="931">
        <f t="shared" si="73"/>
        <v>0</v>
      </c>
      <c r="EI94" s="931">
        <f t="shared" si="73"/>
        <v>0</v>
      </c>
      <c r="EJ94" s="931">
        <f t="shared" si="73"/>
        <v>0</v>
      </c>
      <c r="EK94" s="931">
        <f t="shared" si="73"/>
        <v>0</v>
      </c>
      <c r="EL94" s="931">
        <f t="shared" si="73"/>
        <v>0</v>
      </c>
      <c r="EM94" s="931">
        <f t="shared" si="73"/>
        <v>6700</v>
      </c>
      <c r="EN94" s="2716">
        <f t="shared" si="73"/>
        <v>6700</v>
      </c>
      <c r="EO94" s="2716">
        <f t="shared" si="73"/>
        <v>6700</v>
      </c>
      <c r="EP94" s="2716">
        <f t="shared" si="73"/>
        <v>6700</v>
      </c>
      <c r="EQ94" s="2716">
        <f t="shared" si="73"/>
        <v>6700</v>
      </c>
      <c r="ER94" s="2716">
        <f t="shared" si="73"/>
        <v>6700</v>
      </c>
      <c r="ES94" s="2716">
        <f t="shared" si="73"/>
        <v>0</v>
      </c>
      <c r="ET94" s="2716">
        <f t="shared" si="73"/>
        <v>6700</v>
      </c>
      <c r="EU94" s="2716">
        <f t="shared" si="73"/>
        <v>6700</v>
      </c>
      <c r="EV94" s="2716">
        <f t="shared" si="73"/>
        <v>0</v>
      </c>
      <c r="EW94" s="15"/>
    </row>
    <row r="95" spans="1:153" s="25" customFormat="1" ht="36" hidden="1" outlineLevel="2">
      <c r="A95" s="946" t="s">
        <v>215</v>
      </c>
      <c r="B95" s="942" t="s">
        <v>214</v>
      </c>
      <c r="C95" s="932" t="s">
        <v>1274</v>
      </c>
      <c r="D95" s="889" t="s">
        <v>434</v>
      </c>
      <c r="E95" s="889" t="s">
        <v>1272</v>
      </c>
      <c r="F95" s="953">
        <f>(B79+B84)*F2*F3</f>
        <v>3672</v>
      </c>
      <c r="G95" s="893">
        <f>CEILING($F$95+G89, 50)*G86</f>
        <v>6750</v>
      </c>
      <c r="H95" s="893">
        <f>CEILING($F$95+H89, 50)*H86</f>
        <v>4950</v>
      </c>
      <c r="I95" s="893">
        <f t="shared" ref="I95:BS95" si="74">CEILING($F$95+I89, 50)*I86</f>
        <v>4950</v>
      </c>
      <c r="J95" s="893">
        <f t="shared" si="74"/>
        <v>4950</v>
      </c>
      <c r="K95" s="893">
        <f t="shared" si="74"/>
        <v>4950</v>
      </c>
      <c r="L95" s="893">
        <f t="shared" si="74"/>
        <v>4950</v>
      </c>
      <c r="M95" s="893">
        <v>0</v>
      </c>
      <c r="N95" s="893">
        <v>0</v>
      </c>
      <c r="O95" s="893">
        <f t="shared" si="74"/>
        <v>0</v>
      </c>
      <c r="P95" s="893">
        <f t="shared" si="74"/>
        <v>0</v>
      </c>
      <c r="Q95" s="893">
        <f t="shared" si="74"/>
        <v>0</v>
      </c>
      <c r="R95" s="893">
        <f>CEILING($F$95+R89, 50)*R86</f>
        <v>6000</v>
      </c>
      <c r="S95" s="893">
        <f>CEILING($F$95+S89, 50)*S86</f>
        <v>5250</v>
      </c>
      <c r="T95" s="893">
        <f>CEILING($F$95+T89, 50)*T86</f>
        <v>5250</v>
      </c>
      <c r="U95" s="893">
        <f t="shared" si="74"/>
        <v>0</v>
      </c>
      <c r="V95" s="893">
        <f t="shared" si="74"/>
        <v>0</v>
      </c>
      <c r="W95" s="893">
        <f t="shared" si="74"/>
        <v>0</v>
      </c>
      <c r="X95" s="893">
        <f t="shared" si="74"/>
        <v>6000</v>
      </c>
      <c r="Y95" s="893">
        <f t="shared" si="74"/>
        <v>5250</v>
      </c>
      <c r="Z95" s="893">
        <f t="shared" si="74"/>
        <v>5250</v>
      </c>
      <c r="AA95" s="893">
        <f t="shared" si="74"/>
        <v>5250</v>
      </c>
      <c r="AB95" s="893">
        <f t="shared" si="74"/>
        <v>5250</v>
      </c>
      <c r="AC95" s="893">
        <f t="shared" si="74"/>
        <v>5250</v>
      </c>
      <c r="AD95" s="893">
        <f t="shared" si="74"/>
        <v>0</v>
      </c>
      <c r="AE95" s="893">
        <f t="shared" si="74"/>
        <v>0</v>
      </c>
      <c r="AF95" s="893">
        <f t="shared" si="74"/>
        <v>6000</v>
      </c>
      <c r="AG95" s="893">
        <f t="shared" si="74"/>
        <v>5250</v>
      </c>
      <c r="AH95" s="893">
        <f t="shared" si="74"/>
        <v>5250</v>
      </c>
      <c r="AI95" s="893">
        <f t="shared" si="74"/>
        <v>5250</v>
      </c>
      <c r="AJ95" s="893">
        <f t="shared" si="74"/>
        <v>0</v>
      </c>
      <c r="AK95" s="893">
        <f t="shared" si="74"/>
        <v>0</v>
      </c>
      <c r="AL95" s="893">
        <f t="shared" si="74"/>
        <v>6000</v>
      </c>
      <c r="AM95" s="893">
        <f t="shared" si="74"/>
        <v>5250</v>
      </c>
      <c r="AN95" s="893">
        <f t="shared" si="74"/>
        <v>5250</v>
      </c>
      <c r="AO95" s="893">
        <f t="shared" si="74"/>
        <v>5250</v>
      </c>
      <c r="AP95" s="893">
        <f t="shared" si="74"/>
        <v>5250</v>
      </c>
      <c r="AQ95" s="893">
        <f t="shared" si="74"/>
        <v>5250</v>
      </c>
      <c r="AR95" s="893">
        <f t="shared" si="74"/>
        <v>0</v>
      </c>
      <c r="AS95" s="893">
        <f t="shared" si="74"/>
        <v>0</v>
      </c>
      <c r="AT95" s="893">
        <f t="shared" si="74"/>
        <v>4850</v>
      </c>
      <c r="AU95" s="893">
        <f t="shared" si="74"/>
        <v>4500</v>
      </c>
      <c r="AV95" s="893">
        <f t="shared" si="74"/>
        <v>4500</v>
      </c>
      <c r="AW95" s="893">
        <f t="shared" si="74"/>
        <v>4500</v>
      </c>
      <c r="AX95" s="893">
        <f t="shared" si="74"/>
        <v>4500</v>
      </c>
      <c r="AY95" s="893">
        <f t="shared" si="74"/>
        <v>4500</v>
      </c>
      <c r="AZ95" s="893">
        <f t="shared" si="74"/>
        <v>4500</v>
      </c>
      <c r="BA95" s="893">
        <f t="shared" si="74"/>
        <v>0</v>
      </c>
      <c r="BB95" s="893">
        <f t="shared" si="74"/>
        <v>0</v>
      </c>
      <c r="BC95" s="893">
        <f t="shared" si="74"/>
        <v>0</v>
      </c>
      <c r="BD95" s="893">
        <f t="shared" si="74"/>
        <v>4500</v>
      </c>
      <c r="BE95" s="893">
        <f t="shared" si="74"/>
        <v>4500</v>
      </c>
      <c r="BF95" s="893">
        <f t="shared" si="74"/>
        <v>4500</v>
      </c>
      <c r="BG95" s="893">
        <f t="shared" si="74"/>
        <v>4500</v>
      </c>
      <c r="BH95" s="893">
        <f t="shared" si="74"/>
        <v>5600</v>
      </c>
      <c r="BI95" s="893">
        <f t="shared" si="74"/>
        <v>6350</v>
      </c>
      <c r="BJ95" s="893">
        <f>CEILING($F$95+BJ89, 50)*BJ86</f>
        <v>4750</v>
      </c>
      <c r="BK95" s="893">
        <f>CEILING($F$95+BK89, 50)*BK86</f>
        <v>4500</v>
      </c>
      <c r="BL95" s="893">
        <f t="shared" si="74"/>
        <v>4500</v>
      </c>
      <c r="BM95" s="893">
        <f t="shared" si="74"/>
        <v>4500</v>
      </c>
      <c r="BN95" s="893"/>
      <c r="BO95" s="893">
        <f t="shared" si="74"/>
        <v>4500</v>
      </c>
      <c r="BP95" s="893">
        <f t="shared" si="74"/>
        <v>4500</v>
      </c>
      <c r="BQ95" s="893">
        <f t="shared" si="74"/>
        <v>4500</v>
      </c>
      <c r="BR95" s="893">
        <f t="shared" si="74"/>
        <v>0</v>
      </c>
      <c r="BS95" s="893">
        <f t="shared" si="74"/>
        <v>0</v>
      </c>
      <c r="BT95" s="893"/>
      <c r="BU95" s="893"/>
      <c r="BV95" s="893">
        <f>CEILING($F$95+BV89, 50)*BV86</f>
        <v>0</v>
      </c>
      <c r="BW95" s="893"/>
      <c r="BX95" s="893">
        <f>CEILING($F$95+BX89, 50)*BX86</f>
        <v>0</v>
      </c>
      <c r="BY95" s="893">
        <f>CEILING($F$95+BY89, 50)*BY86</f>
        <v>0</v>
      </c>
      <c r="BZ95" s="893">
        <f t="shared" ref="BZ95:EF95" si="75">CEILING($F$95+BZ89, 50)*BZ86</f>
        <v>0</v>
      </c>
      <c r="CA95" s="893">
        <f t="shared" si="75"/>
        <v>0</v>
      </c>
      <c r="CB95" s="893">
        <f t="shared" si="75"/>
        <v>0</v>
      </c>
      <c r="CC95" s="893">
        <f t="shared" si="75"/>
        <v>0</v>
      </c>
      <c r="CD95" s="893">
        <f t="shared" si="75"/>
        <v>0</v>
      </c>
      <c r="CE95" s="893">
        <f t="shared" si="75"/>
        <v>0</v>
      </c>
      <c r="CF95" s="893">
        <f t="shared" si="75"/>
        <v>5000</v>
      </c>
      <c r="CG95" s="893">
        <f t="shared" si="75"/>
        <v>5000</v>
      </c>
      <c r="CH95" s="893">
        <f t="shared" si="75"/>
        <v>4250</v>
      </c>
      <c r="CI95" s="893">
        <f t="shared" si="75"/>
        <v>0</v>
      </c>
      <c r="CJ95" s="893">
        <f t="shared" si="75"/>
        <v>5000</v>
      </c>
      <c r="CK95" s="893">
        <f t="shared" si="75"/>
        <v>4250</v>
      </c>
      <c r="CL95" s="893">
        <f t="shared" si="75"/>
        <v>0</v>
      </c>
      <c r="CM95" s="893">
        <f t="shared" si="75"/>
        <v>0</v>
      </c>
      <c r="CN95" s="893">
        <f t="shared" si="75"/>
        <v>0</v>
      </c>
      <c r="CO95" s="893">
        <f t="shared" si="75"/>
        <v>0</v>
      </c>
      <c r="CP95" s="893">
        <f t="shared" si="75"/>
        <v>0</v>
      </c>
      <c r="CQ95" s="893">
        <f t="shared" si="75"/>
        <v>0</v>
      </c>
      <c r="CR95" s="893">
        <f t="shared" si="75"/>
        <v>0</v>
      </c>
      <c r="CS95" s="893">
        <f t="shared" si="75"/>
        <v>0</v>
      </c>
      <c r="CT95" s="893">
        <f t="shared" si="75"/>
        <v>0</v>
      </c>
      <c r="CU95" s="893">
        <f t="shared" si="75"/>
        <v>0</v>
      </c>
      <c r="CV95" s="893">
        <f t="shared" si="75"/>
        <v>0</v>
      </c>
      <c r="CW95" s="893">
        <f t="shared" si="75"/>
        <v>0</v>
      </c>
      <c r="CX95" s="893">
        <f t="shared" si="75"/>
        <v>0</v>
      </c>
      <c r="CY95" s="893">
        <f t="shared" si="75"/>
        <v>0</v>
      </c>
      <c r="CZ95" s="1043"/>
      <c r="DA95" s="893">
        <f t="shared" si="75"/>
        <v>0</v>
      </c>
      <c r="DB95" s="893">
        <f t="shared" si="75"/>
        <v>0</v>
      </c>
      <c r="DC95" s="893">
        <f t="shared" si="75"/>
        <v>0</v>
      </c>
      <c r="DD95" s="893">
        <f t="shared" si="75"/>
        <v>0</v>
      </c>
      <c r="DE95" s="893">
        <f t="shared" si="75"/>
        <v>0</v>
      </c>
      <c r="DF95" s="893">
        <f t="shared" si="75"/>
        <v>0</v>
      </c>
      <c r="DG95" s="893">
        <f t="shared" si="75"/>
        <v>0</v>
      </c>
      <c r="DH95" s="893">
        <f t="shared" si="75"/>
        <v>0</v>
      </c>
      <c r="DI95" s="893">
        <f t="shared" si="75"/>
        <v>0</v>
      </c>
      <c r="DJ95" s="893">
        <f t="shared" si="75"/>
        <v>0</v>
      </c>
      <c r="DK95" s="893">
        <f t="shared" si="75"/>
        <v>0</v>
      </c>
      <c r="DL95" s="893">
        <f t="shared" si="75"/>
        <v>0</v>
      </c>
      <c r="DM95" s="893">
        <f t="shared" si="75"/>
        <v>0</v>
      </c>
      <c r="DN95" s="893">
        <f t="shared" si="75"/>
        <v>0</v>
      </c>
      <c r="DO95" s="893">
        <f t="shared" si="75"/>
        <v>0</v>
      </c>
      <c r="DP95" s="893">
        <f t="shared" si="75"/>
        <v>0</v>
      </c>
      <c r="DQ95" s="893">
        <f t="shared" si="75"/>
        <v>0</v>
      </c>
      <c r="DR95" s="893">
        <f t="shared" si="75"/>
        <v>0</v>
      </c>
      <c r="DS95" s="893">
        <f t="shared" si="75"/>
        <v>0</v>
      </c>
      <c r="DT95" s="893">
        <f t="shared" si="75"/>
        <v>0</v>
      </c>
      <c r="DU95" s="893">
        <f t="shared" si="75"/>
        <v>0</v>
      </c>
      <c r="DV95" s="893">
        <f t="shared" si="75"/>
        <v>0</v>
      </c>
      <c r="DW95" s="893">
        <f t="shared" si="75"/>
        <v>0</v>
      </c>
      <c r="DX95" s="893">
        <f t="shared" si="75"/>
        <v>0</v>
      </c>
      <c r="DY95" s="893">
        <f t="shared" si="75"/>
        <v>0</v>
      </c>
      <c r="DZ95" s="893">
        <f t="shared" si="75"/>
        <v>0</v>
      </c>
      <c r="EA95" s="893">
        <f t="shared" si="75"/>
        <v>0</v>
      </c>
      <c r="EB95" s="893">
        <f t="shared" si="75"/>
        <v>0</v>
      </c>
      <c r="EC95" s="893">
        <f t="shared" si="75"/>
        <v>0</v>
      </c>
      <c r="ED95" s="893">
        <f t="shared" si="75"/>
        <v>0</v>
      </c>
      <c r="EE95" s="893">
        <f t="shared" si="75"/>
        <v>0</v>
      </c>
      <c r="EF95" s="893">
        <f t="shared" si="75"/>
        <v>0</v>
      </c>
      <c r="EG95" s="893">
        <f t="shared" ref="EG95:EV95" si="76">CEILING($F$95+EG89, 50)*EG86</f>
        <v>0</v>
      </c>
      <c r="EH95" s="893">
        <f t="shared" si="76"/>
        <v>0</v>
      </c>
      <c r="EI95" s="893">
        <f t="shared" si="76"/>
        <v>0</v>
      </c>
      <c r="EJ95" s="893">
        <f t="shared" si="76"/>
        <v>0</v>
      </c>
      <c r="EK95" s="893">
        <f t="shared" si="76"/>
        <v>0</v>
      </c>
      <c r="EL95" s="893">
        <f t="shared" si="76"/>
        <v>0</v>
      </c>
      <c r="EM95" s="893">
        <f t="shared" si="76"/>
        <v>4850</v>
      </c>
      <c r="EN95" s="2715">
        <f t="shared" si="76"/>
        <v>4850</v>
      </c>
      <c r="EO95" s="2715">
        <f t="shared" si="76"/>
        <v>4850</v>
      </c>
      <c r="EP95" s="2715">
        <f t="shared" si="76"/>
        <v>4850</v>
      </c>
      <c r="EQ95" s="2715">
        <f t="shared" si="76"/>
        <v>4850</v>
      </c>
      <c r="ER95" s="2715">
        <f t="shared" si="76"/>
        <v>4850</v>
      </c>
      <c r="ES95" s="2715">
        <f t="shared" si="76"/>
        <v>0</v>
      </c>
      <c r="ET95" s="2715">
        <f t="shared" si="76"/>
        <v>4850</v>
      </c>
      <c r="EU95" s="2715">
        <f t="shared" si="76"/>
        <v>4850</v>
      </c>
      <c r="EV95" s="2715">
        <f t="shared" si="76"/>
        <v>0</v>
      </c>
      <c r="EW95" s="15"/>
    </row>
    <row r="96" spans="1:153" s="242" customFormat="1" ht="27.75" hidden="1" customHeight="1" outlineLevel="2">
      <c r="A96" s="990" t="s">
        <v>1316</v>
      </c>
      <c r="B96" s="5233" t="s">
        <v>1311</v>
      </c>
      <c r="C96" s="5234"/>
      <c r="D96" s="903"/>
      <c r="E96" s="903"/>
      <c r="F96" s="903"/>
      <c r="G96" s="934"/>
      <c r="H96" s="894"/>
      <c r="I96" s="894"/>
      <c r="J96" s="894"/>
      <c r="K96" s="894"/>
      <c r="L96" s="894"/>
      <c r="M96" s="894"/>
      <c r="N96" s="894"/>
      <c r="O96" s="550"/>
      <c r="P96" s="550"/>
      <c r="Q96" s="550"/>
      <c r="R96" s="550"/>
      <c r="S96" s="550"/>
      <c r="T96" s="550"/>
      <c r="U96" s="550"/>
      <c r="V96" s="550"/>
      <c r="W96" s="550"/>
      <c r="X96" s="550"/>
      <c r="Y96" s="550"/>
      <c r="Z96" s="550"/>
      <c r="AA96" s="550"/>
      <c r="AB96" s="550"/>
      <c r="AC96" s="550"/>
      <c r="AD96" s="550"/>
      <c r="AE96" s="550"/>
      <c r="AF96" s="550"/>
      <c r="AG96" s="550"/>
      <c r="AH96" s="550"/>
      <c r="AI96" s="550"/>
      <c r="AJ96" s="550"/>
      <c r="AK96" s="550"/>
      <c r="AL96" s="550"/>
      <c r="AM96" s="550"/>
      <c r="AN96" s="550"/>
      <c r="AO96" s="550"/>
      <c r="AP96" s="550"/>
      <c r="AQ96" s="550"/>
      <c r="AR96" s="550"/>
      <c r="AS96" s="550"/>
      <c r="AT96" s="550"/>
      <c r="AU96" s="550"/>
      <c r="AV96" s="550"/>
      <c r="AW96" s="550"/>
      <c r="AX96" s="550"/>
      <c r="AY96" s="550"/>
      <c r="AZ96" s="550"/>
      <c r="BA96" s="550"/>
      <c r="BB96" s="550"/>
      <c r="BC96" s="550"/>
      <c r="BD96" s="550"/>
      <c r="BE96" s="550"/>
      <c r="BF96" s="550"/>
      <c r="BG96" s="550"/>
      <c r="BH96" s="550"/>
      <c r="BI96" s="550"/>
      <c r="BJ96" s="550"/>
      <c r="BK96" s="550"/>
      <c r="BL96" s="550"/>
      <c r="BM96" s="550"/>
      <c r="BN96" s="550"/>
      <c r="BO96" s="550"/>
      <c r="BP96" s="550"/>
      <c r="BQ96" s="550"/>
      <c r="BR96" s="550"/>
      <c r="BS96" s="550"/>
      <c r="BT96" s="998">
        <f>CEILING(BI93/3, 50)</f>
        <v>2000</v>
      </c>
      <c r="BU96" s="550" t="s">
        <v>4</v>
      </c>
      <c r="BV96" s="550"/>
      <c r="BW96" s="550" t="s">
        <v>4</v>
      </c>
      <c r="BX96" s="550"/>
      <c r="BY96" s="550" t="s">
        <v>4</v>
      </c>
      <c r="BZ96" s="550"/>
      <c r="CA96" s="550"/>
      <c r="CB96" s="550" t="s">
        <v>4</v>
      </c>
      <c r="CC96" s="550" t="s">
        <v>4</v>
      </c>
      <c r="CD96" s="550"/>
      <c r="CE96" s="550"/>
      <c r="CF96" s="550"/>
      <c r="CG96" s="550"/>
      <c r="CH96" s="550"/>
      <c r="CI96" s="550"/>
      <c r="CJ96" s="550"/>
      <c r="CK96" s="550"/>
      <c r="CL96" s="550"/>
      <c r="CM96" s="550"/>
      <c r="CN96" s="550"/>
      <c r="CO96" s="550"/>
      <c r="CP96" s="550"/>
      <c r="CQ96" s="550"/>
      <c r="CR96" s="550"/>
      <c r="CS96" s="550"/>
      <c r="CT96" s="550"/>
      <c r="CU96" s="550"/>
      <c r="CV96" s="550"/>
      <c r="CW96" s="550"/>
      <c r="CX96" s="550"/>
      <c r="CY96" s="550"/>
      <c r="CZ96" s="980"/>
      <c r="DA96" s="550"/>
      <c r="DB96" s="550"/>
      <c r="DC96" s="550"/>
      <c r="DD96" s="550"/>
      <c r="DE96" s="550"/>
      <c r="DF96" s="550"/>
      <c r="DG96" s="550"/>
      <c r="DH96" s="550"/>
      <c r="DI96" s="550"/>
      <c r="DJ96" s="550"/>
      <c r="DK96" s="550"/>
      <c r="DL96" s="550"/>
      <c r="DM96" s="550"/>
      <c r="DN96" s="550"/>
      <c r="DO96" s="550"/>
      <c r="DP96" s="550"/>
      <c r="DQ96" s="550"/>
      <c r="DR96" s="550"/>
      <c r="DS96" s="550"/>
      <c r="DT96" s="550"/>
      <c r="DU96" s="550"/>
      <c r="DV96" s="550"/>
      <c r="DW96" s="550"/>
      <c r="DX96" s="550"/>
      <c r="DY96" s="550"/>
      <c r="DZ96" s="550"/>
      <c r="EA96" s="550"/>
      <c r="EB96" s="550"/>
      <c r="EC96" s="550"/>
      <c r="ED96" s="550"/>
      <c r="EE96" s="550"/>
      <c r="EF96" s="550"/>
      <c r="EG96" s="550"/>
      <c r="EH96" s="550"/>
      <c r="EI96" s="550"/>
      <c r="EJ96" s="550"/>
      <c r="EK96" s="550"/>
      <c r="EL96" s="550"/>
      <c r="EM96" s="550"/>
      <c r="EN96" s="2704"/>
      <c r="EO96" s="2704"/>
      <c r="EP96" s="2704"/>
      <c r="EQ96" s="2704"/>
      <c r="ER96" s="2704"/>
      <c r="ES96" s="2704"/>
      <c r="ET96" s="2704"/>
      <c r="EU96" s="2704"/>
      <c r="EV96" s="2704"/>
      <c r="EW96" s="441"/>
    </row>
    <row r="97" spans="1:153" s="242" customFormat="1" ht="27.75" hidden="1" customHeight="1" outlineLevel="2">
      <c r="A97" s="990" t="s">
        <v>1317</v>
      </c>
      <c r="B97" s="5233" t="s">
        <v>1318</v>
      </c>
      <c r="C97" s="5234"/>
      <c r="D97" s="990"/>
      <c r="E97" s="990"/>
      <c r="F97" s="990"/>
      <c r="G97" s="934"/>
      <c r="H97" s="992"/>
      <c r="I97" s="992"/>
      <c r="J97" s="992"/>
      <c r="K97" s="992"/>
      <c r="L97" s="992"/>
      <c r="M97" s="992"/>
      <c r="N97" s="992"/>
      <c r="O97" s="550"/>
      <c r="P97" s="550"/>
      <c r="Q97" s="550"/>
      <c r="R97" s="550"/>
      <c r="S97" s="550"/>
      <c r="T97" s="550"/>
      <c r="U97" s="550"/>
      <c r="V97" s="550"/>
      <c r="W97" s="550"/>
      <c r="X97" s="550"/>
      <c r="Y97" s="550"/>
      <c r="Z97" s="550"/>
      <c r="AA97" s="550"/>
      <c r="AB97" s="550"/>
      <c r="AC97" s="550"/>
      <c r="AD97" s="550"/>
      <c r="AE97" s="550"/>
      <c r="AF97" s="550"/>
      <c r="AG97" s="550"/>
      <c r="AH97" s="550"/>
      <c r="AI97" s="550"/>
      <c r="AJ97" s="550"/>
      <c r="AK97" s="550"/>
      <c r="AL97" s="550"/>
      <c r="AM97" s="550"/>
      <c r="AN97" s="550"/>
      <c r="AO97" s="550"/>
      <c r="AP97" s="550"/>
      <c r="AQ97" s="550"/>
      <c r="AR97" s="550"/>
      <c r="AS97" s="550"/>
      <c r="AT97" s="550"/>
      <c r="AU97" s="550"/>
      <c r="AV97" s="550"/>
      <c r="AW97" s="550"/>
      <c r="AX97" s="550"/>
      <c r="AY97" s="550"/>
      <c r="AZ97" s="550"/>
      <c r="BA97" s="550"/>
      <c r="BB97" s="550"/>
      <c r="BC97" s="550"/>
      <c r="BD97" s="550"/>
      <c r="BE97" s="550"/>
      <c r="BF97" s="550"/>
      <c r="BG97" s="550"/>
      <c r="BH97" s="550"/>
      <c r="BI97" s="550"/>
      <c r="BJ97" s="550"/>
      <c r="BK97" s="550"/>
      <c r="BL97" s="550"/>
      <c r="BM97" s="550"/>
      <c r="BN97" s="550"/>
      <c r="BO97" s="550"/>
      <c r="BP97" s="550"/>
      <c r="BQ97" s="550"/>
      <c r="BR97" s="550"/>
      <c r="BS97" s="550"/>
      <c r="BT97" s="998"/>
      <c r="BU97" s="550" t="s">
        <v>4</v>
      </c>
      <c r="BV97" s="550"/>
      <c r="BW97" s="550" t="s">
        <v>4</v>
      </c>
      <c r="BX97" s="550"/>
      <c r="BY97" s="550" t="s">
        <v>4</v>
      </c>
      <c r="BZ97" s="550"/>
      <c r="CA97" s="550"/>
      <c r="CB97" s="550" t="s">
        <v>4</v>
      </c>
      <c r="CC97" s="550" t="s">
        <v>4</v>
      </c>
      <c r="CD97" s="550"/>
      <c r="CE97" s="550"/>
      <c r="CF97" s="931">
        <f t="shared" ref="CF97:CK97" si="77">CEILING($F$93+CF89, 50)*CF86</f>
        <v>4550</v>
      </c>
      <c r="CG97" s="931">
        <f t="shared" si="77"/>
        <v>4550</v>
      </c>
      <c r="CH97" s="931">
        <f t="shared" si="77"/>
        <v>3800</v>
      </c>
      <c r="CI97" s="931">
        <f t="shared" si="77"/>
        <v>0</v>
      </c>
      <c r="CJ97" s="931">
        <f t="shared" si="77"/>
        <v>4550</v>
      </c>
      <c r="CK97" s="931">
        <f t="shared" si="77"/>
        <v>3800</v>
      </c>
      <c r="CL97" s="550"/>
      <c r="CM97" s="550"/>
      <c r="CN97" s="550"/>
      <c r="CO97" s="550"/>
      <c r="CP97" s="550"/>
      <c r="CQ97" s="550"/>
      <c r="CR97" s="550"/>
      <c r="CS97" s="550"/>
      <c r="CT97" s="550"/>
      <c r="CU97" s="550"/>
      <c r="CV97" s="550"/>
      <c r="CW97" s="550"/>
      <c r="CX97" s="550"/>
      <c r="CY97" s="550"/>
      <c r="CZ97" s="980"/>
      <c r="DA97" s="550"/>
      <c r="DB97" s="550"/>
      <c r="DC97" s="550"/>
      <c r="DD97" s="550"/>
      <c r="DE97" s="550"/>
      <c r="DF97" s="550"/>
      <c r="DG97" s="550"/>
      <c r="DH97" s="550"/>
      <c r="DI97" s="550"/>
      <c r="DJ97" s="550"/>
      <c r="DK97" s="550"/>
      <c r="DL97" s="550"/>
      <c r="DM97" s="550"/>
      <c r="DN97" s="550"/>
      <c r="DO97" s="550"/>
      <c r="DP97" s="550"/>
      <c r="DQ97" s="550"/>
      <c r="DR97" s="550"/>
      <c r="DS97" s="550"/>
      <c r="DT97" s="550"/>
      <c r="DU97" s="550"/>
      <c r="DV97" s="550"/>
      <c r="DW97" s="550"/>
      <c r="DX97" s="550"/>
      <c r="DY97" s="550"/>
      <c r="DZ97" s="550"/>
      <c r="EA97" s="550"/>
      <c r="EB97" s="550"/>
      <c r="EC97" s="550"/>
      <c r="ED97" s="550"/>
      <c r="EE97" s="550"/>
      <c r="EF97" s="550"/>
      <c r="EG97" s="550"/>
      <c r="EH97" s="550"/>
      <c r="EI97" s="550"/>
      <c r="EJ97" s="550"/>
      <c r="EK97" s="550"/>
      <c r="EL97" s="550"/>
      <c r="EM97" s="550"/>
      <c r="EN97" s="2704"/>
      <c r="EO97" s="2704"/>
      <c r="EP97" s="2704"/>
      <c r="EQ97" s="2704"/>
      <c r="ER97" s="2704"/>
      <c r="ES97" s="2704"/>
      <c r="ET97" s="2704"/>
      <c r="EU97" s="2704"/>
      <c r="EV97" s="2704"/>
      <c r="EW97" s="441"/>
    </row>
    <row r="98" spans="1:153" s="242" customFormat="1" ht="24" hidden="1" customHeight="1" outlineLevel="2">
      <c r="A98" s="990" t="s">
        <v>1315</v>
      </c>
      <c r="B98" s="5233" t="s">
        <v>1312</v>
      </c>
      <c r="C98" s="5234"/>
      <c r="D98" s="891"/>
      <c r="E98" s="891"/>
      <c r="F98" s="891"/>
      <c r="G98" s="891"/>
      <c r="H98" s="894"/>
      <c r="I98" s="894"/>
      <c r="J98" s="894"/>
      <c r="K98" s="894"/>
      <c r="L98" s="894"/>
      <c r="M98" s="894"/>
      <c r="N98" s="894"/>
      <c r="O98" s="550"/>
      <c r="P98" s="550"/>
      <c r="Q98" s="550"/>
      <c r="R98" s="550"/>
      <c r="S98" s="550"/>
      <c r="T98" s="550"/>
      <c r="U98" s="550"/>
      <c r="V98" s="550"/>
      <c r="W98" s="550"/>
      <c r="X98" s="550"/>
      <c r="Y98" s="550"/>
      <c r="Z98" s="550"/>
      <c r="AA98" s="550"/>
      <c r="AB98" s="550"/>
      <c r="AC98" s="550"/>
      <c r="AD98" s="550"/>
      <c r="AE98" s="550"/>
      <c r="AF98" s="550"/>
      <c r="AG98" s="550"/>
      <c r="AH98" s="550"/>
      <c r="AI98" s="550"/>
      <c r="AJ98" s="550"/>
      <c r="AK98" s="550"/>
      <c r="AL98" s="550"/>
      <c r="AM98" s="550"/>
      <c r="AN98" s="550"/>
      <c r="AO98" s="550"/>
      <c r="AP98" s="550"/>
      <c r="AQ98" s="550"/>
      <c r="AR98" s="550"/>
      <c r="AS98" s="550"/>
      <c r="AT98" s="550"/>
      <c r="AU98" s="550"/>
      <c r="AV98" s="550"/>
      <c r="AW98" s="550"/>
      <c r="AX98" s="550"/>
      <c r="AY98" s="550"/>
      <c r="AZ98" s="550"/>
      <c r="BA98" s="550"/>
      <c r="BB98" s="550"/>
      <c r="BC98" s="550"/>
      <c r="BD98" s="550"/>
      <c r="BE98" s="550"/>
      <c r="BF98" s="550"/>
      <c r="BG98" s="550"/>
      <c r="BH98" s="550"/>
      <c r="BI98" s="550"/>
      <c r="BJ98" s="550"/>
      <c r="BK98" s="550"/>
      <c r="BL98" s="550"/>
      <c r="BM98" s="550"/>
      <c r="BN98" s="550"/>
      <c r="BO98" s="550"/>
      <c r="BP98" s="550"/>
      <c r="BQ98" s="550"/>
      <c r="BR98" s="550"/>
      <c r="BS98" s="550"/>
      <c r="BT98" s="998"/>
      <c r="BU98" s="550"/>
      <c r="BV98" s="550"/>
      <c r="BW98" s="550"/>
      <c r="BX98" s="550"/>
      <c r="BY98" s="550"/>
      <c r="BZ98" s="550"/>
      <c r="CA98" s="550"/>
      <c r="CB98" s="550"/>
      <c r="CC98" s="550"/>
      <c r="CD98" s="550"/>
      <c r="CE98" s="550"/>
      <c r="CF98" s="931">
        <f t="shared" ref="CF98:CK98" si="78">CEILING($F$94+CF89, 50)*CF86</f>
        <v>6850</v>
      </c>
      <c r="CG98" s="931">
        <f t="shared" si="78"/>
        <v>6850</v>
      </c>
      <c r="CH98" s="931">
        <f t="shared" si="78"/>
        <v>6100</v>
      </c>
      <c r="CI98" s="931">
        <f t="shared" si="78"/>
        <v>0</v>
      </c>
      <c r="CJ98" s="931">
        <f t="shared" si="78"/>
        <v>6850</v>
      </c>
      <c r="CK98" s="931">
        <f t="shared" si="78"/>
        <v>6100</v>
      </c>
      <c r="CL98" s="550"/>
      <c r="CM98" s="550"/>
      <c r="CN98" s="550"/>
      <c r="CO98" s="550"/>
      <c r="CP98" s="550"/>
      <c r="CQ98" s="550"/>
      <c r="CR98" s="550"/>
      <c r="CS98" s="550"/>
      <c r="CT98" s="550"/>
      <c r="CU98" s="550"/>
      <c r="CV98" s="550"/>
      <c r="CW98" s="550"/>
      <c r="CX98" s="550"/>
      <c r="CY98" s="550"/>
      <c r="CZ98" s="980"/>
      <c r="DA98" s="550"/>
      <c r="DB98" s="550"/>
      <c r="DC98" s="550"/>
      <c r="DD98" s="550"/>
      <c r="DE98" s="550"/>
      <c r="DF98" s="550"/>
      <c r="DG98" s="550"/>
      <c r="DH98" s="550"/>
      <c r="DI98" s="550"/>
      <c r="DJ98" s="550"/>
      <c r="DK98" s="550"/>
      <c r="DL98" s="550"/>
      <c r="DM98" s="550"/>
      <c r="DN98" s="550"/>
      <c r="DO98" s="550"/>
      <c r="DP98" s="550"/>
      <c r="DQ98" s="550"/>
      <c r="DR98" s="550"/>
      <c r="DS98" s="550"/>
      <c r="DT98" s="550"/>
      <c r="DU98" s="550"/>
      <c r="DV98" s="550"/>
      <c r="DW98" s="550"/>
      <c r="DX98" s="550"/>
      <c r="DY98" s="550"/>
      <c r="DZ98" s="550"/>
      <c r="EA98" s="550"/>
      <c r="EB98" s="550"/>
      <c r="EC98" s="550"/>
      <c r="ED98" s="550"/>
      <c r="EE98" s="550"/>
      <c r="EF98" s="550"/>
      <c r="EG98" s="550"/>
      <c r="EH98" s="550"/>
      <c r="EI98" s="550"/>
      <c r="EJ98" s="550"/>
      <c r="EK98" s="550"/>
      <c r="EL98" s="550"/>
      <c r="EM98" s="550"/>
      <c r="EN98" s="2704"/>
      <c r="EO98" s="2704"/>
      <c r="EP98" s="2704"/>
      <c r="EQ98" s="2704"/>
      <c r="ER98" s="2704"/>
      <c r="ES98" s="2704"/>
      <c r="ET98" s="2704"/>
      <c r="EU98" s="2704"/>
      <c r="EV98" s="2704"/>
      <c r="EW98" s="441"/>
    </row>
    <row r="99" spans="1:153" s="242" customFormat="1" ht="15.75" hidden="1" customHeight="1" outlineLevel="2">
      <c r="A99" s="990" t="s">
        <v>1314</v>
      </c>
      <c r="B99" s="5274" t="s">
        <v>1313</v>
      </c>
      <c r="C99" s="5275"/>
      <c r="D99" s="935"/>
      <c r="E99" s="935"/>
      <c r="F99" s="935"/>
      <c r="G99" s="934"/>
      <c r="H99" s="894"/>
      <c r="I99" s="894"/>
      <c r="J99" s="894"/>
      <c r="K99" s="894"/>
      <c r="L99" s="894"/>
      <c r="M99" s="894"/>
      <c r="N99" s="894"/>
      <c r="O99" s="550"/>
      <c r="P99" s="550"/>
      <c r="Q99" s="550"/>
      <c r="R99" s="550"/>
      <c r="S99" s="550"/>
      <c r="T99" s="550"/>
      <c r="U99" s="550"/>
      <c r="V99" s="550"/>
      <c r="W99" s="550"/>
      <c r="X99" s="550"/>
      <c r="Y99" s="550"/>
      <c r="Z99" s="550"/>
      <c r="AA99" s="550"/>
      <c r="AB99" s="550"/>
      <c r="AC99" s="550"/>
      <c r="AD99" s="550"/>
      <c r="AE99" s="550"/>
      <c r="AF99" s="550"/>
      <c r="AG99" s="550"/>
      <c r="AH99" s="550"/>
      <c r="AI99" s="550"/>
      <c r="AJ99" s="550"/>
      <c r="AK99" s="550"/>
      <c r="AL99" s="550"/>
      <c r="AM99" s="550"/>
      <c r="AN99" s="550"/>
      <c r="AO99" s="550"/>
      <c r="AP99" s="550"/>
      <c r="AQ99" s="550"/>
      <c r="AR99" s="550"/>
      <c r="AS99" s="550"/>
      <c r="AT99" s="550"/>
      <c r="AU99" s="550"/>
      <c r="AV99" s="550"/>
      <c r="AW99" s="550"/>
      <c r="AX99" s="550"/>
      <c r="AY99" s="550"/>
      <c r="AZ99" s="550"/>
      <c r="BA99" s="550"/>
      <c r="BB99" s="550"/>
      <c r="BC99" s="550"/>
      <c r="BD99" s="550"/>
      <c r="BE99" s="550"/>
      <c r="BF99" s="550"/>
      <c r="BG99" s="550"/>
      <c r="BH99" s="550"/>
      <c r="BI99" s="550"/>
      <c r="BJ99" s="550"/>
      <c r="BK99" s="550"/>
      <c r="BL99" s="550"/>
      <c r="BM99" s="550"/>
      <c r="BN99" s="550"/>
      <c r="BO99" s="550"/>
      <c r="BP99" s="550"/>
      <c r="BQ99" s="550"/>
      <c r="BR99" s="550"/>
      <c r="BS99" s="550"/>
      <c r="BT99" s="998"/>
      <c r="BU99" s="550"/>
      <c r="BV99" s="550"/>
      <c r="BW99" s="550"/>
      <c r="BX99" s="550"/>
      <c r="BY99" s="550"/>
      <c r="BZ99" s="550"/>
      <c r="CA99" s="550"/>
      <c r="CB99" s="550"/>
      <c r="CC99" s="550"/>
      <c r="CD99" s="550"/>
      <c r="CE99" s="550"/>
      <c r="CF99" s="998">
        <f>CF98*1.5</f>
        <v>10275</v>
      </c>
      <c r="CG99" s="998"/>
      <c r="CH99" s="998"/>
      <c r="CI99" s="998"/>
      <c r="CJ99" s="998">
        <f>CJ98*1.5</f>
        <v>10275</v>
      </c>
      <c r="CK99" s="550"/>
      <c r="CL99" s="550"/>
      <c r="CM99" s="550"/>
      <c r="CN99" s="550"/>
      <c r="CO99" s="550"/>
      <c r="CP99" s="550"/>
      <c r="CQ99" s="550"/>
      <c r="CR99" s="550"/>
      <c r="CS99" s="550"/>
      <c r="CT99" s="550"/>
      <c r="CU99" s="550"/>
      <c r="CV99" s="550"/>
      <c r="CW99" s="550"/>
      <c r="CX99" s="550"/>
      <c r="CY99" s="550"/>
      <c r="CZ99" s="980"/>
      <c r="DA99" s="550"/>
      <c r="DB99" s="550"/>
      <c r="DC99" s="550"/>
      <c r="DD99" s="550"/>
      <c r="DE99" s="550"/>
      <c r="DF99" s="550"/>
      <c r="DG99" s="550"/>
      <c r="DH99" s="550"/>
      <c r="DI99" s="550"/>
      <c r="DJ99" s="550"/>
      <c r="DK99" s="550"/>
      <c r="DL99" s="550"/>
      <c r="DM99" s="550"/>
      <c r="DN99" s="550"/>
      <c r="DO99" s="550"/>
      <c r="DP99" s="550"/>
      <c r="DQ99" s="550"/>
      <c r="DR99" s="550"/>
      <c r="DS99" s="550"/>
      <c r="DT99" s="550"/>
      <c r="DU99" s="550"/>
      <c r="DV99" s="550"/>
      <c r="DW99" s="550"/>
      <c r="DX99" s="550"/>
      <c r="DY99" s="550"/>
      <c r="DZ99" s="550"/>
      <c r="EA99" s="550"/>
      <c r="EB99" s="550"/>
      <c r="EC99" s="550"/>
      <c r="ED99" s="550"/>
      <c r="EE99" s="550"/>
      <c r="EF99" s="550"/>
      <c r="EG99" s="550"/>
      <c r="EH99" s="550"/>
      <c r="EI99" s="550"/>
      <c r="EJ99" s="550"/>
      <c r="EK99" s="550"/>
      <c r="EL99" s="550"/>
      <c r="EM99" s="550"/>
      <c r="EN99" s="2704"/>
      <c r="EO99" s="2704"/>
      <c r="EP99" s="2704"/>
      <c r="EQ99" s="2704"/>
      <c r="ER99" s="2704"/>
      <c r="ES99" s="2704"/>
      <c r="ET99" s="2704"/>
      <c r="EU99" s="2704"/>
      <c r="EV99" s="2704"/>
      <c r="EW99" s="441"/>
    </row>
    <row r="100" spans="1:153" s="25" customFormat="1" ht="15" hidden="1" customHeight="1" outlineLevel="1">
      <c r="A100" s="895" t="s">
        <v>1255</v>
      </c>
      <c r="B100" s="5231" t="s">
        <v>1303</v>
      </c>
      <c r="C100" s="5232"/>
      <c r="D100" s="896"/>
      <c r="E100" s="896"/>
      <c r="F100" s="896"/>
      <c r="G100" s="242"/>
      <c r="H100" s="242"/>
      <c r="I100" s="242"/>
      <c r="J100" s="242"/>
      <c r="K100" s="242"/>
      <c r="L100" s="242"/>
      <c r="M100" s="242"/>
      <c r="N100" s="242"/>
      <c r="O100" s="242"/>
      <c r="P100" s="242"/>
      <c r="Q100" s="242"/>
      <c r="R100" s="242"/>
      <c r="S100" s="242"/>
      <c r="T100" s="242"/>
      <c r="U100" s="242"/>
      <c r="V100" s="242"/>
      <c r="W100" s="242"/>
      <c r="X100" s="242"/>
      <c r="Y100" s="242"/>
      <c r="Z100" s="242"/>
      <c r="AA100" s="242"/>
      <c r="AB100" s="242"/>
      <c r="AC100" s="242"/>
      <c r="AD100" s="242"/>
      <c r="AE100" s="242"/>
      <c r="AF100" s="242"/>
      <c r="AG100" s="242"/>
      <c r="AH100" s="242"/>
      <c r="AI100" s="242"/>
      <c r="AJ100" s="242"/>
      <c r="AL100" s="242"/>
      <c r="AM100" s="242"/>
      <c r="AN100" s="242"/>
      <c r="AO100" s="242"/>
      <c r="AP100" s="242"/>
      <c r="AQ100" s="242"/>
      <c r="AR100" s="242"/>
      <c r="AS100" s="242"/>
      <c r="AT100" s="242"/>
      <c r="AU100" s="242"/>
      <c r="AV100" s="242"/>
      <c r="AW100" s="242"/>
      <c r="AX100" s="242"/>
      <c r="AY100" s="242"/>
      <c r="AZ100" s="242"/>
      <c r="BA100" s="242"/>
      <c r="BB100" s="242"/>
      <c r="BC100" s="242"/>
      <c r="BD100" s="242"/>
      <c r="BE100" s="242"/>
      <c r="BF100" s="242"/>
      <c r="BG100" s="242"/>
      <c r="BH100" s="242"/>
      <c r="BI100" s="242"/>
      <c r="BJ100" s="242"/>
      <c r="BK100" s="242"/>
      <c r="BL100" s="242"/>
      <c r="BM100" s="242"/>
      <c r="BN100" s="242"/>
      <c r="BO100" s="242"/>
      <c r="BP100" s="242"/>
      <c r="BQ100" s="242"/>
      <c r="BR100" s="242"/>
      <c r="BS100" s="242"/>
      <c r="BT100" s="242"/>
      <c r="BU100" s="242"/>
      <c r="BV100" s="242"/>
      <c r="BW100" s="242"/>
      <c r="BX100" s="242"/>
      <c r="BY100" s="242"/>
      <c r="BZ100" s="242"/>
      <c r="CA100" s="242"/>
      <c r="CB100" s="242"/>
      <c r="CC100" s="242"/>
      <c r="CD100" s="242"/>
      <c r="CE100" s="242"/>
      <c r="CF100" s="242"/>
      <c r="CG100" s="242"/>
      <c r="CH100" s="242"/>
      <c r="CI100" s="242"/>
      <c r="CJ100" s="242"/>
      <c r="CK100" s="242"/>
      <c r="CL100" s="242"/>
      <c r="CM100" s="242"/>
      <c r="CN100" s="242"/>
      <c r="CO100" s="242"/>
      <c r="CP100" s="242"/>
      <c r="CQ100" s="242"/>
      <c r="CR100" s="242"/>
      <c r="CS100" s="242"/>
      <c r="CT100" s="242"/>
      <c r="CU100" s="242"/>
      <c r="CV100" s="242"/>
      <c r="CW100" s="242"/>
      <c r="CX100" s="242"/>
      <c r="CY100" s="242"/>
      <c r="CZ100" s="242"/>
      <c r="DA100" s="242"/>
      <c r="DB100" s="242"/>
      <c r="DC100" s="242"/>
      <c r="DD100" s="242"/>
      <c r="DE100" s="242"/>
      <c r="DF100" s="242"/>
      <c r="DG100" s="242"/>
      <c r="DH100" s="242"/>
      <c r="DI100" s="242"/>
      <c r="DJ100" s="242"/>
      <c r="DK100" s="242"/>
      <c r="DL100" s="242"/>
      <c r="DM100" s="242"/>
      <c r="DN100" s="242"/>
      <c r="DO100" s="242"/>
      <c r="DP100" s="242"/>
      <c r="DQ100" s="242"/>
      <c r="DR100" s="242"/>
      <c r="DS100" s="242"/>
      <c r="DT100" s="242"/>
      <c r="DU100" s="242"/>
      <c r="DV100" s="242"/>
      <c r="DW100" s="242"/>
      <c r="DX100" s="242"/>
      <c r="DY100" s="242"/>
      <c r="DZ100" s="242"/>
      <c r="EA100" s="242"/>
      <c r="EB100" s="242"/>
      <c r="EC100" s="242"/>
      <c r="ED100" s="242"/>
      <c r="EE100" s="242"/>
      <c r="EF100" s="242"/>
      <c r="EG100" s="242"/>
      <c r="EH100" s="242"/>
      <c r="EI100" s="242"/>
      <c r="EJ100" s="242"/>
      <c r="EK100" s="242"/>
      <c r="EL100" s="242"/>
      <c r="EM100" s="242"/>
      <c r="EN100" s="441"/>
      <c r="EO100" s="441"/>
      <c r="EP100" s="441"/>
      <c r="EQ100" s="441"/>
      <c r="ER100" s="441"/>
      <c r="ES100" s="441"/>
      <c r="ET100" s="441"/>
      <c r="EU100" s="441"/>
      <c r="EV100" s="441"/>
      <c r="EW100" s="15"/>
    </row>
    <row r="101" spans="1:153" hidden="1" outlineLevel="2">
      <c r="A101" s="960" t="s">
        <v>1250</v>
      </c>
      <c r="B101" s="955">
        <v>44652</v>
      </c>
      <c r="C101" s="955">
        <v>44487</v>
      </c>
      <c r="D101" s="955">
        <v>43647</v>
      </c>
      <c r="E101" s="896"/>
      <c r="F101" s="896"/>
      <c r="G101" s="589"/>
      <c r="H101" s="242"/>
      <c r="I101" s="589"/>
      <c r="J101" s="589"/>
      <c r="K101" s="589"/>
      <c r="L101" s="589"/>
      <c r="M101" s="589"/>
      <c r="N101" s="589"/>
      <c r="O101" s="589"/>
      <c r="P101" s="589"/>
      <c r="Q101" s="589"/>
      <c r="R101" s="589"/>
      <c r="S101" s="589"/>
      <c r="T101" s="589"/>
      <c r="U101" s="589"/>
      <c r="V101" s="589"/>
      <c r="W101" s="589"/>
      <c r="X101" s="589"/>
      <c r="Y101" s="589"/>
      <c r="Z101" s="589"/>
      <c r="AA101" s="589"/>
      <c r="AB101" s="589"/>
      <c r="AC101" s="589"/>
      <c r="AD101" s="589"/>
      <c r="AE101" s="589"/>
      <c r="AF101" s="589"/>
      <c r="AG101" s="589"/>
      <c r="AH101" s="589"/>
      <c r="AI101" s="589"/>
      <c r="AJ101" s="589"/>
      <c r="AL101" s="589"/>
      <c r="AM101" s="589"/>
      <c r="AN101" s="589"/>
      <c r="AO101" s="589"/>
      <c r="AP101" s="589"/>
      <c r="AQ101" s="589"/>
      <c r="AR101" s="589"/>
      <c r="AS101" s="589"/>
      <c r="AT101" s="589"/>
      <c r="AU101" s="589"/>
      <c r="AV101" s="589"/>
      <c r="AW101" s="589"/>
      <c r="AX101" s="589"/>
      <c r="AY101" s="589"/>
      <c r="AZ101" s="589"/>
      <c r="BA101" s="589"/>
      <c r="BB101" s="589"/>
      <c r="BC101" s="589"/>
      <c r="BD101" s="589"/>
      <c r="BE101" s="589"/>
      <c r="BF101" s="589"/>
      <c r="BG101" s="589"/>
      <c r="BH101" s="589"/>
      <c r="BI101" s="589"/>
      <c r="BJ101" s="589"/>
      <c r="BK101" s="589"/>
      <c r="BL101" s="589"/>
      <c r="BM101" s="589"/>
      <c r="BN101" s="589"/>
      <c r="BO101" s="589"/>
      <c r="BP101" s="589"/>
      <c r="BQ101" s="589"/>
      <c r="BR101" s="589"/>
      <c r="BS101" s="589"/>
      <c r="BT101" s="589"/>
      <c r="BU101" s="589"/>
      <c r="BV101" s="589"/>
      <c r="BW101" s="589"/>
      <c r="BX101" s="589"/>
      <c r="BY101" s="589"/>
      <c r="BZ101" s="589"/>
      <c r="CA101" s="589"/>
      <c r="CB101" s="589"/>
      <c r="CC101" s="589"/>
      <c r="CD101" s="589"/>
      <c r="CE101" s="589"/>
      <c r="CF101" s="589"/>
      <c r="CG101" s="589"/>
      <c r="CH101" s="589"/>
      <c r="CI101" s="589"/>
      <c r="CJ101" s="589"/>
      <c r="CK101" s="589"/>
      <c r="CL101" s="589"/>
      <c r="CM101" s="589"/>
      <c r="CN101" s="589"/>
      <c r="CO101" s="589"/>
      <c r="CP101" s="589"/>
      <c r="CQ101" s="589"/>
      <c r="CR101" s="589"/>
      <c r="CS101" s="589"/>
      <c r="CT101" s="589"/>
      <c r="CU101" s="589"/>
      <c r="CV101" s="589"/>
      <c r="CW101" s="589"/>
      <c r="CX101" s="589"/>
      <c r="CY101" s="589"/>
      <c r="CZ101" s="589"/>
      <c r="DA101" s="589"/>
      <c r="DB101" s="589"/>
      <c r="DC101" s="589"/>
      <c r="DD101" s="589"/>
      <c r="DE101" s="589"/>
      <c r="DF101" s="589"/>
      <c r="DG101" s="589"/>
      <c r="DH101" s="589"/>
      <c r="DI101" s="589"/>
      <c r="DJ101" s="589"/>
      <c r="DK101" s="589"/>
      <c r="DL101" s="589"/>
      <c r="DM101" s="589"/>
      <c r="DN101" s="589"/>
      <c r="DO101" s="589"/>
      <c r="DP101" s="589"/>
      <c r="DQ101" s="589"/>
      <c r="DR101" s="589"/>
      <c r="DS101" s="589"/>
      <c r="DT101" s="589"/>
      <c r="DU101" s="589"/>
      <c r="DV101" s="589"/>
      <c r="DW101" s="589"/>
      <c r="DX101" s="589"/>
      <c r="DY101" s="589"/>
      <c r="DZ101" s="589"/>
      <c r="EA101" s="589"/>
      <c r="EB101" s="589"/>
      <c r="EC101" s="589"/>
      <c r="ED101" s="589"/>
      <c r="EE101" s="589"/>
      <c r="EF101" s="589"/>
      <c r="EG101" s="589"/>
      <c r="EH101" s="589"/>
      <c r="EI101" s="589"/>
      <c r="EJ101" s="589"/>
      <c r="EK101" s="589"/>
      <c r="EL101" s="589"/>
      <c r="EM101" s="589"/>
      <c r="EN101" s="2597"/>
      <c r="EO101" s="2597"/>
      <c r="EP101" s="2597"/>
      <c r="EQ101" s="2597"/>
      <c r="ER101" s="2597"/>
      <c r="ES101" s="2597"/>
      <c r="ET101" s="2597"/>
      <c r="EU101" s="2597"/>
      <c r="EV101" s="2597"/>
      <c r="EW101" s="2597"/>
    </row>
    <row r="102" spans="1:153" hidden="1" outlineLevel="2">
      <c r="A102" s="961" t="s">
        <v>1278</v>
      </c>
      <c r="B102" s="962">
        <f>CEILING(C102*1.1, 50)</f>
        <v>250</v>
      </c>
      <c r="C102" s="962">
        <f>D102*1.05</f>
        <v>210</v>
      </c>
      <c r="D102" s="959">
        <v>200</v>
      </c>
      <c r="E102" s="896"/>
      <c r="F102" s="896"/>
      <c r="G102" s="589"/>
      <c r="H102" s="242"/>
      <c r="I102" s="589"/>
      <c r="J102" s="589"/>
      <c r="K102" s="589"/>
      <c r="L102" s="589"/>
      <c r="M102" s="589"/>
      <c r="N102" s="589"/>
      <c r="O102" s="589"/>
      <c r="P102" s="589"/>
      <c r="Q102" s="589"/>
      <c r="R102" s="589"/>
      <c r="S102" s="589"/>
      <c r="T102" s="589"/>
      <c r="U102" s="589"/>
      <c r="V102" s="589"/>
      <c r="W102" s="589"/>
      <c r="X102" s="589"/>
      <c r="Y102" s="589"/>
      <c r="Z102" s="589"/>
      <c r="AA102" s="589"/>
      <c r="AB102" s="589"/>
      <c r="AC102" s="589"/>
      <c r="AD102" s="589"/>
      <c r="AE102" s="589"/>
      <c r="AF102" s="589"/>
      <c r="AG102" s="589"/>
      <c r="AH102" s="589"/>
      <c r="AI102" s="589"/>
      <c r="AJ102" s="589"/>
      <c r="AL102" s="589"/>
      <c r="AM102" s="589"/>
      <c r="AN102" s="589"/>
      <c r="AO102" s="589"/>
      <c r="AP102" s="589"/>
      <c r="AQ102" s="589"/>
      <c r="AR102" s="589"/>
      <c r="AS102" s="589"/>
      <c r="AT102" s="589"/>
      <c r="AU102" s="589"/>
      <c r="AV102" s="589"/>
      <c r="AW102" s="589"/>
      <c r="AX102" s="589"/>
      <c r="AY102" s="589"/>
      <c r="AZ102" s="589"/>
      <c r="BA102" s="589"/>
      <c r="BB102" s="589"/>
      <c r="BC102" s="589"/>
      <c r="BD102" s="589"/>
      <c r="BE102" s="589"/>
      <c r="BF102" s="589"/>
      <c r="BG102" s="589"/>
      <c r="BH102" s="589"/>
      <c r="BI102" s="589"/>
      <c r="BJ102" s="589"/>
      <c r="BK102" s="589"/>
      <c r="BL102" s="589"/>
      <c r="BM102" s="589"/>
      <c r="BN102" s="589"/>
      <c r="BO102" s="589"/>
      <c r="BP102" s="589"/>
      <c r="BQ102" s="589"/>
      <c r="BR102" s="589"/>
      <c r="BS102" s="589"/>
      <c r="BT102" s="589"/>
      <c r="BU102" s="589"/>
      <c r="BV102" s="589"/>
      <c r="BW102" s="589"/>
      <c r="BX102" s="589"/>
      <c r="BY102" s="589"/>
      <c r="BZ102" s="589"/>
      <c r="CA102" s="589"/>
      <c r="CB102" s="589"/>
      <c r="CC102" s="589"/>
      <c r="CD102" s="589"/>
      <c r="CE102" s="589"/>
      <c r="CF102" s="589"/>
      <c r="CG102" s="589"/>
      <c r="CH102" s="589"/>
      <c r="CI102" s="589"/>
      <c r="CJ102" s="589"/>
      <c r="CK102" s="589"/>
      <c r="CL102" s="589"/>
      <c r="CM102" s="589"/>
      <c r="CN102" s="589"/>
      <c r="CO102" s="589"/>
      <c r="CP102" s="589"/>
      <c r="CQ102" s="589"/>
      <c r="CR102" s="589"/>
      <c r="CS102" s="589"/>
      <c r="CT102" s="589"/>
      <c r="CU102" s="589"/>
      <c r="CV102" s="589"/>
      <c r="CW102" s="589"/>
      <c r="CX102" s="589"/>
      <c r="CY102" s="589"/>
      <c r="CZ102" s="589"/>
      <c r="DA102" s="589"/>
      <c r="DB102" s="589"/>
      <c r="DC102" s="589"/>
      <c r="DD102" s="589"/>
      <c r="DE102" s="589"/>
      <c r="DF102" s="589"/>
      <c r="DG102" s="589"/>
      <c r="DH102" s="589"/>
      <c r="DI102" s="589"/>
      <c r="DJ102" s="589"/>
      <c r="DK102" s="589"/>
      <c r="DL102" s="589"/>
      <c r="DM102" s="589"/>
      <c r="DN102" s="589"/>
      <c r="DO102" s="589"/>
      <c r="DP102" s="589"/>
      <c r="DQ102" s="589"/>
      <c r="DR102" s="589"/>
      <c r="DS102" s="589"/>
      <c r="DT102" s="589"/>
      <c r="DU102" s="589"/>
      <c r="DV102" s="589"/>
      <c r="DW102" s="589"/>
      <c r="DX102" s="589"/>
      <c r="DY102" s="589"/>
      <c r="DZ102" s="589"/>
      <c r="EA102" s="589"/>
      <c r="EB102" s="589"/>
      <c r="EC102" s="589"/>
      <c r="ED102" s="589"/>
      <c r="EE102" s="589"/>
      <c r="EF102" s="589"/>
      <c r="EG102" s="589"/>
      <c r="EH102" s="589"/>
      <c r="EI102" s="589"/>
      <c r="EJ102" s="589"/>
      <c r="EK102" s="589"/>
      <c r="EL102" s="589"/>
      <c r="EM102" s="589"/>
      <c r="EN102" s="2597"/>
      <c r="EO102" s="2597"/>
      <c r="EP102" s="2597"/>
      <c r="EQ102" s="2597"/>
      <c r="ER102" s="2597"/>
      <c r="ES102" s="2597"/>
      <c r="ET102" s="2597"/>
      <c r="EU102" s="2597"/>
      <c r="EV102" s="2597"/>
      <c r="EW102" s="2597"/>
    </row>
    <row r="103" spans="1:153" hidden="1" outlineLevel="2">
      <c r="A103" s="961" t="s">
        <v>1279</v>
      </c>
      <c r="B103" s="962">
        <f>CEILING(C103*1.1, 50)</f>
        <v>350</v>
      </c>
      <c r="C103" s="962">
        <f>D103*1.05</f>
        <v>315</v>
      </c>
      <c r="D103" s="959">
        <v>300</v>
      </c>
      <c r="E103" s="896"/>
      <c r="F103" s="896"/>
      <c r="G103" s="589"/>
      <c r="H103" s="242"/>
      <c r="I103" s="589"/>
      <c r="J103" s="589"/>
      <c r="K103" s="589"/>
      <c r="L103" s="589"/>
      <c r="M103" s="589"/>
      <c r="N103" s="589"/>
      <c r="O103" s="589"/>
      <c r="P103" s="589"/>
      <c r="Q103" s="589"/>
      <c r="R103" s="589"/>
      <c r="S103" s="589"/>
      <c r="T103" s="589"/>
      <c r="U103" s="589"/>
      <c r="V103" s="589"/>
      <c r="W103" s="589"/>
      <c r="X103" s="589"/>
      <c r="Y103" s="589"/>
      <c r="Z103" s="589"/>
      <c r="AA103" s="589"/>
      <c r="AB103" s="589"/>
      <c r="AC103" s="589"/>
      <c r="AD103" s="589"/>
      <c r="AE103" s="589"/>
      <c r="AF103" s="589"/>
      <c r="AG103" s="589"/>
      <c r="AH103" s="589"/>
      <c r="AI103" s="589"/>
      <c r="AJ103" s="589"/>
      <c r="AL103" s="589"/>
      <c r="AM103" s="589"/>
      <c r="AN103" s="589"/>
      <c r="AO103" s="589"/>
      <c r="AP103" s="589"/>
      <c r="AQ103" s="589"/>
      <c r="AR103" s="589"/>
      <c r="AS103" s="589"/>
      <c r="AT103" s="589"/>
      <c r="AU103" s="589"/>
      <c r="AV103" s="589"/>
      <c r="AW103" s="589"/>
      <c r="AX103" s="589"/>
      <c r="AY103" s="589"/>
      <c r="AZ103" s="589"/>
      <c r="BA103" s="589"/>
      <c r="BB103" s="589"/>
      <c r="BC103" s="589"/>
      <c r="BD103" s="589"/>
      <c r="BE103" s="589"/>
      <c r="BF103" s="589"/>
      <c r="BG103" s="589"/>
      <c r="BH103" s="589"/>
      <c r="BI103" s="589"/>
      <c r="BJ103" s="589"/>
      <c r="BK103" s="589"/>
      <c r="BL103" s="589"/>
      <c r="BM103" s="589"/>
      <c r="BN103" s="589"/>
      <c r="BO103" s="589"/>
      <c r="BP103" s="589"/>
      <c r="BQ103" s="589"/>
      <c r="BR103" s="589"/>
      <c r="BS103" s="589"/>
      <c r="BT103" s="589"/>
      <c r="BU103" s="589"/>
      <c r="BV103" s="589"/>
      <c r="BW103" s="589"/>
      <c r="BX103" s="589"/>
      <c r="BY103" s="589"/>
      <c r="BZ103" s="589"/>
      <c r="CA103" s="589"/>
      <c r="CB103" s="589"/>
      <c r="CC103" s="589"/>
      <c r="CD103" s="589"/>
      <c r="CE103" s="589"/>
      <c r="CF103" s="589"/>
      <c r="CG103" s="589"/>
      <c r="CH103" s="589"/>
      <c r="CI103" s="589"/>
      <c r="CJ103" s="589"/>
      <c r="CK103" s="589"/>
      <c r="CL103" s="589"/>
      <c r="CM103" s="589"/>
      <c r="CN103" s="589"/>
      <c r="CO103" s="589"/>
      <c r="CP103" s="589"/>
      <c r="CQ103" s="589"/>
      <c r="CR103" s="589"/>
      <c r="CS103" s="589"/>
      <c r="CT103" s="589"/>
      <c r="CU103" s="589"/>
      <c r="CV103" s="589"/>
      <c r="CW103" s="589"/>
      <c r="CX103" s="589"/>
      <c r="CY103" s="589"/>
      <c r="CZ103" s="589"/>
      <c r="DA103" s="589"/>
      <c r="DB103" s="589"/>
      <c r="DC103" s="589"/>
      <c r="DD103" s="589"/>
      <c r="DE103" s="589"/>
      <c r="DF103" s="589"/>
      <c r="DG103" s="589"/>
      <c r="DH103" s="589"/>
      <c r="DI103" s="589"/>
      <c r="DJ103" s="589"/>
      <c r="DK103" s="589"/>
      <c r="DL103" s="589"/>
      <c r="DM103" s="589"/>
      <c r="DN103" s="589"/>
      <c r="DO103" s="589"/>
      <c r="DP103" s="589"/>
      <c r="DQ103" s="589"/>
      <c r="DR103" s="589"/>
      <c r="DS103" s="589"/>
      <c r="DT103" s="589"/>
      <c r="DU103" s="589"/>
      <c r="DV103" s="589"/>
      <c r="DW103" s="589"/>
      <c r="DX103" s="589"/>
      <c r="DY103" s="589"/>
      <c r="DZ103" s="589"/>
      <c r="EA103" s="589"/>
      <c r="EB103" s="589"/>
      <c r="EC103" s="589"/>
      <c r="ED103" s="589"/>
      <c r="EE103" s="589"/>
      <c r="EF103" s="589"/>
      <c r="EG103" s="589"/>
      <c r="EH103" s="589"/>
      <c r="EI103" s="589"/>
      <c r="EJ103" s="589"/>
      <c r="EK103" s="589"/>
      <c r="EL103" s="589"/>
      <c r="EM103" s="589"/>
      <c r="EN103" s="2597"/>
      <c r="EO103" s="2597"/>
      <c r="EP103" s="2597"/>
      <c r="EQ103" s="2597"/>
      <c r="ER103" s="2597"/>
      <c r="ES103" s="2597"/>
      <c r="ET103" s="2597"/>
      <c r="EU103" s="2597"/>
      <c r="EV103" s="2597"/>
      <c r="EW103" s="2597"/>
    </row>
    <row r="104" spans="1:153" s="813" customFormat="1" ht="36" hidden="1" customHeight="1" outlineLevel="2" collapsed="1">
      <c r="A104" s="4823" t="s">
        <v>39</v>
      </c>
      <c r="B104" s="4823"/>
      <c r="C104" s="4823" t="s">
        <v>212</v>
      </c>
      <c r="D104" s="4823"/>
      <c r="E104" s="927" t="s">
        <v>1271</v>
      </c>
      <c r="F104" s="927" t="s">
        <v>1261</v>
      </c>
      <c r="G104" s="824" t="s">
        <v>1099</v>
      </c>
      <c r="H104" s="824" t="str">
        <f>H85</f>
        <v>Rimini2 (Римини)</v>
      </c>
      <c r="I104" s="824" t="s">
        <v>1100</v>
      </c>
      <c r="J104" s="824" t="s">
        <v>1101</v>
      </c>
      <c r="K104" s="824" t="s">
        <v>1102</v>
      </c>
      <c r="L104" s="824" t="s">
        <v>1103</v>
      </c>
      <c r="M104" s="824" t="s">
        <v>1104</v>
      </c>
      <c r="N104" s="824" t="s">
        <v>1105</v>
      </c>
      <c r="O104" s="807" t="s">
        <v>1109</v>
      </c>
      <c r="P104" s="807" t="s">
        <v>1110</v>
      </c>
      <c r="Q104" s="807" t="s">
        <v>1111</v>
      </c>
      <c r="R104" s="807" t="s">
        <v>1107</v>
      </c>
      <c r="S104" s="807" t="s">
        <v>1106</v>
      </c>
      <c r="T104" s="807" t="s">
        <v>1108</v>
      </c>
      <c r="U104" s="817" t="s">
        <v>324</v>
      </c>
      <c r="V104" s="817" t="s">
        <v>323</v>
      </c>
      <c r="W104" s="817" t="s">
        <v>1076</v>
      </c>
      <c r="X104" s="816" t="s">
        <v>364</v>
      </c>
      <c r="Y104" s="816" t="s">
        <v>365</v>
      </c>
      <c r="Z104" s="816" t="s">
        <v>366</v>
      </c>
      <c r="AA104" s="816" t="s">
        <v>367</v>
      </c>
      <c r="AB104" s="816" t="s">
        <v>368</v>
      </c>
      <c r="AC104" s="816" t="s">
        <v>369</v>
      </c>
      <c r="AD104" s="816" t="s">
        <v>370</v>
      </c>
      <c r="AE104" s="816" t="s">
        <v>371</v>
      </c>
      <c r="AF104" s="886" t="s">
        <v>325</v>
      </c>
      <c r="AG104" s="886" t="s">
        <v>326</v>
      </c>
      <c r="AH104" s="886" t="s">
        <v>327</v>
      </c>
      <c r="AI104" s="886" t="s">
        <v>328</v>
      </c>
      <c r="AJ104" s="886" t="s">
        <v>329</v>
      </c>
      <c r="AK104" s="886" t="s">
        <v>743</v>
      </c>
      <c r="AL104" s="817" t="s">
        <v>744</v>
      </c>
      <c r="AM104" s="817" t="s">
        <v>745</v>
      </c>
      <c r="AN104" s="817" t="s">
        <v>922</v>
      </c>
      <c r="AO104" s="817" t="s">
        <v>900</v>
      </c>
      <c r="AP104" s="817" t="s">
        <v>746</v>
      </c>
      <c r="AQ104" s="817" t="s">
        <v>747</v>
      </c>
      <c r="AR104" s="817" t="s">
        <v>769</v>
      </c>
      <c r="AS104" s="817" t="s">
        <v>770</v>
      </c>
      <c r="AT104" s="807" t="s">
        <v>330</v>
      </c>
      <c r="AU104" s="807" t="s">
        <v>331</v>
      </c>
      <c r="AV104" s="807" t="s">
        <v>332</v>
      </c>
      <c r="AW104" s="807" t="s">
        <v>333</v>
      </c>
      <c r="AX104" s="807" t="s">
        <v>334</v>
      </c>
      <c r="AY104" s="825" t="s">
        <v>335</v>
      </c>
      <c r="AZ104" s="825" t="s">
        <v>336</v>
      </c>
      <c r="BA104" s="826" t="s">
        <v>337</v>
      </c>
      <c r="BB104" s="826" t="s">
        <v>338</v>
      </c>
      <c r="BC104" s="826" t="s">
        <v>339</v>
      </c>
      <c r="BD104" s="827" t="s">
        <v>340</v>
      </c>
      <c r="BE104" s="827" t="s">
        <v>341</v>
      </c>
      <c r="BF104" s="827" t="s">
        <v>342</v>
      </c>
      <c r="BG104" s="827" t="s">
        <v>343</v>
      </c>
      <c r="BH104" s="905" t="s">
        <v>1228</v>
      </c>
      <c r="BI104" s="892" t="s">
        <v>1229</v>
      </c>
      <c r="BJ104" s="886" t="s">
        <v>1113</v>
      </c>
      <c r="BK104" s="886" t="s">
        <v>1112</v>
      </c>
      <c r="BL104" s="886" t="s">
        <v>1114</v>
      </c>
      <c r="BM104" s="886" t="s">
        <v>1115</v>
      </c>
      <c r="BN104" s="886" t="s">
        <v>457</v>
      </c>
      <c r="BO104" s="807" t="s">
        <v>1077</v>
      </c>
      <c r="BP104" s="807" t="s">
        <v>1078</v>
      </c>
      <c r="BQ104" s="807" t="s">
        <v>1116</v>
      </c>
      <c r="BR104" s="886" t="s">
        <v>48</v>
      </c>
      <c r="BS104" s="886" t="s">
        <v>1117</v>
      </c>
      <c r="BT104" s="886" t="s">
        <v>1122</v>
      </c>
      <c r="BU104" s="886" t="s">
        <v>1127</v>
      </c>
      <c r="BV104" s="886" t="s">
        <v>1120</v>
      </c>
      <c r="BW104" s="886" t="s">
        <v>1125</v>
      </c>
      <c r="BX104" s="886" t="s">
        <v>1121</v>
      </c>
      <c r="BY104" s="886" t="s">
        <v>1126</v>
      </c>
      <c r="BZ104" s="886" t="s">
        <v>1118</v>
      </c>
      <c r="CA104" s="886" t="s">
        <v>1119</v>
      </c>
      <c r="CB104" s="886" t="s">
        <v>1123</v>
      </c>
      <c r="CC104" s="886" t="s">
        <v>1124</v>
      </c>
      <c r="CD104" s="807" t="s">
        <v>1128</v>
      </c>
      <c r="CE104" s="807" t="s">
        <v>1129</v>
      </c>
      <c r="CF104" s="807" t="s">
        <v>1130</v>
      </c>
      <c r="CG104" s="807" t="s">
        <v>1131</v>
      </c>
      <c r="CH104" s="807" t="s">
        <v>1132</v>
      </c>
      <c r="CI104" s="807" t="s">
        <v>1133</v>
      </c>
      <c r="CJ104" s="807" t="s">
        <v>1134</v>
      </c>
      <c r="CK104" s="807" t="s">
        <v>1135</v>
      </c>
      <c r="CL104" s="886" t="s">
        <v>394</v>
      </c>
      <c r="CM104" s="886" t="s">
        <v>395</v>
      </c>
      <c r="CN104" s="886" t="s">
        <v>396</v>
      </c>
      <c r="CO104" s="886" t="s">
        <v>397</v>
      </c>
      <c r="CP104" s="886" t="s">
        <v>1136</v>
      </c>
      <c r="CQ104" s="886" t="s">
        <v>1137</v>
      </c>
      <c r="CR104" s="886" t="s">
        <v>1138</v>
      </c>
      <c r="CS104" s="886" t="s">
        <v>1194</v>
      </c>
      <c r="CT104" s="886" t="s">
        <v>1193</v>
      </c>
      <c r="CU104" s="886" t="s">
        <v>1195</v>
      </c>
      <c r="CV104" s="886" t="s">
        <v>1139</v>
      </c>
      <c r="CW104" s="886" t="s">
        <v>1140</v>
      </c>
      <c r="CX104" s="886" t="s">
        <v>1141</v>
      </c>
      <c r="CY104" s="886" t="s">
        <v>1142</v>
      </c>
      <c r="CZ104" s="1089"/>
      <c r="DA104" s="886" t="s">
        <v>1143</v>
      </c>
      <c r="DB104" s="886" t="s">
        <v>1144</v>
      </c>
      <c r="DC104" s="886" t="s">
        <v>321</v>
      </c>
      <c r="DD104" s="886"/>
      <c r="DE104" s="886"/>
      <c r="DF104" s="807" t="s">
        <v>1079</v>
      </c>
      <c r="DG104" s="807" t="s">
        <v>1080</v>
      </c>
      <c r="DH104" s="807" t="s">
        <v>1081</v>
      </c>
      <c r="DI104" s="807" t="s">
        <v>1082</v>
      </c>
      <c r="DJ104" s="807" t="s">
        <v>1083</v>
      </c>
      <c r="DK104" s="807" t="s">
        <v>1084</v>
      </c>
      <c r="DL104" s="807" t="s">
        <v>1085</v>
      </c>
      <c r="DM104" s="807" t="s">
        <v>1086</v>
      </c>
      <c r="DN104" s="807" t="s">
        <v>1087</v>
      </c>
      <c r="DO104" s="807" t="s">
        <v>1088</v>
      </c>
      <c r="DP104" s="807" t="s">
        <v>1089</v>
      </c>
      <c r="DQ104" s="807" t="s">
        <v>1090</v>
      </c>
      <c r="DR104" s="807" t="s">
        <v>1091</v>
      </c>
      <c r="DS104" s="807" t="s">
        <v>1092</v>
      </c>
      <c r="DT104" s="807" t="s">
        <v>1093</v>
      </c>
      <c r="DU104" s="807" t="s">
        <v>351</v>
      </c>
      <c r="DV104" s="807" t="s">
        <v>352</v>
      </c>
      <c r="DW104" s="807" t="s">
        <v>353</v>
      </c>
      <c r="DX104" s="807" t="s">
        <v>354</v>
      </c>
      <c r="DY104" s="807" t="s">
        <v>355</v>
      </c>
      <c r="DZ104" s="807" t="s">
        <v>356</v>
      </c>
      <c r="EA104" s="886" t="s">
        <v>345</v>
      </c>
      <c r="EB104" s="886" t="s">
        <v>346</v>
      </c>
      <c r="EC104" s="886" t="s">
        <v>347</v>
      </c>
      <c r="ED104" s="886" t="s">
        <v>348</v>
      </c>
      <c r="EE104" s="886" t="s">
        <v>349</v>
      </c>
      <c r="EF104" s="886" t="s">
        <v>350</v>
      </c>
      <c r="EG104" s="886" t="s">
        <v>357</v>
      </c>
      <c r="EH104" s="886" t="s">
        <v>358</v>
      </c>
      <c r="EI104" s="886" t="s">
        <v>359</v>
      </c>
      <c r="EJ104" s="807" t="s">
        <v>441</v>
      </c>
      <c r="EK104" s="807" t="s">
        <v>442</v>
      </c>
      <c r="EL104" s="886" t="s">
        <v>307</v>
      </c>
      <c r="EM104" s="886" t="s">
        <v>1145</v>
      </c>
      <c r="EN104" s="2596" t="s">
        <v>1146</v>
      </c>
      <c r="EO104" s="2596" t="s">
        <v>1147</v>
      </c>
      <c r="EP104" s="2596" t="s">
        <v>1148</v>
      </c>
      <c r="EQ104" s="2596" t="s">
        <v>1149</v>
      </c>
      <c r="ER104" s="2596" t="s">
        <v>1150</v>
      </c>
      <c r="ES104" s="807" t="s">
        <v>1094</v>
      </c>
      <c r="ET104" s="807" t="s">
        <v>1095</v>
      </c>
      <c r="EU104" s="807" t="s">
        <v>1096</v>
      </c>
      <c r="EV104" s="807" t="s">
        <v>1097</v>
      </c>
    </row>
    <row r="105" spans="1:153" s="813" customFormat="1" ht="15.75" hidden="1" outlineLevel="2">
      <c r="A105" s="943" t="s">
        <v>1262</v>
      </c>
      <c r="B105" s="819"/>
      <c r="C105" s="819"/>
      <c r="D105" s="951"/>
      <c r="E105" s="951"/>
      <c r="F105" s="951"/>
      <c r="G105" s="551">
        <v>1</v>
      </c>
      <c r="H105" s="551">
        <v>1</v>
      </c>
      <c r="I105" s="551">
        <v>1</v>
      </c>
      <c r="J105" s="551">
        <f>IF(J106,1,0)</f>
        <v>0</v>
      </c>
      <c r="K105" s="551">
        <f>IF(K106,1,0)</f>
        <v>0</v>
      </c>
      <c r="L105" s="551">
        <v>1</v>
      </c>
      <c r="M105" s="551">
        <v>1</v>
      </c>
      <c r="N105" s="551">
        <v>1</v>
      </c>
      <c r="O105" s="551">
        <v>0</v>
      </c>
      <c r="P105" s="551">
        <v>0</v>
      </c>
      <c r="Q105" s="551">
        <v>0</v>
      </c>
      <c r="R105" s="551">
        <v>0</v>
      </c>
      <c r="S105" s="551">
        <v>0</v>
      </c>
      <c r="T105" s="551">
        <v>0</v>
      </c>
      <c r="U105" s="551">
        <v>0</v>
      </c>
      <c r="V105" s="551">
        <v>0</v>
      </c>
      <c r="W105" s="551">
        <v>0</v>
      </c>
      <c r="X105" s="551">
        <v>0</v>
      </c>
      <c r="Y105" s="551">
        <v>0</v>
      </c>
      <c r="Z105" s="551">
        <v>0</v>
      </c>
      <c r="AA105" s="551">
        <v>0</v>
      </c>
      <c r="AB105" s="551">
        <v>0</v>
      </c>
      <c r="AC105" s="551">
        <v>0</v>
      </c>
      <c r="AD105" s="551">
        <v>0</v>
      </c>
      <c r="AE105" s="551">
        <v>0</v>
      </c>
      <c r="AF105" s="551">
        <v>0</v>
      </c>
      <c r="AG105" s="551">
        <v>0</v>
      </c>
      <c r="AH105" s="551">
        <v>0</v>
      </c>
      <c r="AI105" s="551">
        <v>0</v>
      </c>
      <c r="AJ105" s="551">
        <v>0</v>
      </c>
      <c r="AK105" s="551">
        <v>0</v>
      </c>
      <c r="AL105" s="551">
        <v>0</v>
      </c>
      <c r="AM105" s="551">
        <v>0</v>
      </c>
      <c r="AN105" s="551">
        <v>0</v>
      </c>
      <c r="AO105" s="551">
        <v>0</v>
      </c>
      <c r="AP105" s="551">
        <v>0</v>
      </c>
      <c r="AQ105" s="551">
        <v>0</v>
      </c>
      <c r="AR105" s="551">
        <v>0</v>
      </c>
      <c r="AS105" s="551">
        <v>0</v>
      </c>
      <c r="AT105" s="551">
        <v>0</v>
      </c>
      <c r="AU105" s="551">
        <v>0</v>
      </c>
      <c r="AV105" s="551">
        <v>0</v>
      </c>
      <c r="AW105" s="551">
        <v>0</v>
      </c>
      <c r="AX105" s="551">
        <v>0</v>
      </c>
      <c r="AY105" s="551">
        <v>0</v>
      </c>
      <c r="AZ105" s="551">
        <v>0</v>
      </c>
      <c r="BA105" s="551">
        <v>0</v>
      </c>
      <c r="BB105" s="551">
        <v>0</v>
      </c>
      <c r="BC105" s="551">
        <v>0</v>
      </c>
      <c r="BD105" s="551">
        <v>0</v>
      </c>
      <c r="BE105" s="551">
        <v>0</v>
      </c>
      <c r="BF105" s="551">
        <v>0</v>
      </c>
      <c r="BG105" s="551">
        <v>0</v>
      </c>
      <c r="BH105" s="551">
        <v>0</v>
      </c>
      <c r="BI105" s="551">
        <v>0</v>
      </c>
      <c r="BJ105" s="551">
        <v>1</v>
      </c>
      <c r="BK105" s="551">
        <v>0</v>
      </c>
      <c r="BL105" s="551">
        <v>0</v>
      </c>
      <c r="BM105" s="551">
        <v>0</v>
      </c>
      <c r="BN105" s="551">
        <v>0</v>
      </c>
      <c r="BO105" s="551">
        <v>0</v>
      </c>
      <c r="BP105" s="551">
        <v>0</v>
      </c>
      <c r="BQ105" s="551">
        <v>0</v>
      </c>
      <c r="BR105" s="551">
        <v>0</v>
      </c>
      <c r="BS105" s="551">
        <v>0</v>
      </c>
      <c r="BT105" s="551">
        <v>0</v>
      </c>
      <c r="BU105" s="551">
        <v>0</v>
      </c>
      <c r="BV105" s="551">
        <v>0</v>
      </c>
      <c r="BW105" s="551">
        <v>0</v>
      </c>
      <c r="BX105" s="551">
        <v>0</v>
      </c>
      <c r="BY105" s="551">
        <v>0</v>
      </c>
      <c r="BZ105" s="551">
        <v>0</v>
      </c>
      <c r="CA105" s="551">
        <v>0</v>
      </c>
      <c r="CB105" s="551">
        <v>0</v>
      </c>
      <c r="CC105" s="551">
        <v>0</v>
      </c>
      <c r="CD105" s="551">
        <v>0</v>
      </c>
      <c r="CE105" s="551">
        <v>0</v>
      </c>
      <c r="CF105" s="551">
        <v>0</v>
      </c>
      <c r="CG105" s="551">
        <v>0</v>
      </c>
      <c r="CH105" s="551">
        <v>0</v>
      </c>
      <c r="CI105" s="551">
        <v>0</v>
      </c>
      <c r="CJ105" s="551">
        <v>0</v>
      </c>
      <c r="CK105" s="551">
        <v>0</v>
      </c>
      <c r="CL105" s="551">
        <v>0</v>
      </c>
      <c r="CM105" s="551">
        <v>0</v>
      </c>
      <c r="CN105" s="551">
        <v>0</v>
      </c>
      <c r="CO105" s="551">
        <v>0</v>
      </c>
      <c r="CP105" s="551">
        <v>0</v>
      </c>
      <c r="CQ105" s="551">
        <v>0</v>
      </c>
      <c r="CR105" s="551">
        <v>0</v>
      </c>
      <c r="CS105" s="551">
        <v>0</v>
      </c>
      <c r="CT105" s="551">
        <v>0</v>
      </c>
      <c r="CU105" s="551">
        <v>0</v>
      </c>
      <c r="CV105" s="551">
        <v>0</v>
      </c>
      <c r="CW105" s="551">
        <v>0</v>
      </c>
      <c r="CX105" s="551">
        <v>0</v>
      </c>
      <c r="CY105" s="551">
        <v>0</v>
      </c>
      <c r="CZ105" s="1083"/>
      <c r="DA105" s="551">
        <v>0</v>
      </c>
      <c r="DB105" s="551">
        <v>0</v>
      </c>
      <c r="DC105" s="551">
        <v>0</v>
      </c>
      <c r="DD105" s="551">
        <v>0</v>
      </c>
      <c r="DE105" s="551">
        <v>0</v>
      </c>
      <c r="DF105" s="551">
        <v>0</v>
      </c>
      <c r="DG105" s="551">
        <v>0</v>
      </c>
      <c r="DH105" s="551">
        <v>0</v>
      </c>
      <c r="DI105" s="551">
        <v>0</v>
      </c>
      <c r="DJ105" s="551">
        <v>0</v>
      </c>
      <c r="DK105" s="551">
        <v>0</v>
      </c>
      <c r="DL105" s="551">
        <v>0</v>
      </c>
      <c r="DM105" s="551">
        <v>0</v>
      </c>
      <c r="DN105" s="551">
        <v>0</v>
      </c>
      <c r="DO105" s="551">
        <v>0</v>
      </c>
      <c r="DP105" s="551">
        <v>0</v>
      </c>
      <c r="DQ105" s="551">
        <v>0</v>
      </c>
      <c r="DR105" s="551">
        <v>0</v>
      </c>
      <c r="DS105" s="551">
        <v>0</v>
      </c>
      <c r="DT105" s="551">
        <v>0</v>
      </c>
      <c r="DU105" s="551">
        <v>0</v>
      </c>
      <c r="DV105" s="551">
        <v>0</v>
      </c>
      <c r="DW105" s="551">
        <v>0</v>
      </c>
      <c r="DX105" s="551">
        <v>0</v>
      </c>
      <c r="DY105" s="551">
        <v>0</v>
      </c>
      <c r="DZ105" s="551">
        <v>0</v>
      </c>
      <c r="EA105" s="551">
        <v>0</v>
      </c>
      <c r="EB105" s="551">
        <v>0</v>
      </c>
      <c r="EC105" s="551">
        <v>0</v>
      </c>
      <c r="ED105" s="551">
        <v>0</v>
      </c>
      <c r="EE105" s="551">
        <v>0</v>
      </c>
      <c r="EF105" s="551">
        <v>0</v>
      </c>
      <c r="EG105" s="551">
        <v>0</v>
      </c>
      <c r="EH105" s="551">
        <v>0</v>
      </c>
      <c r="EI105" s="551">
        <v>0</v>
      </c>
      <c r="EJ105" s="551">
        <v>0</v>
      </c>
      <c r="EK105" s="551">
        <v>0</v>
      </c>
      <c r="EL105" s="551">
        <v>0</v>
      </c>
      <c r="EM105" s="551">
        <v>1</v>
      </c>
      <c r="EN105" s="2708">
        <v>1</v>
      </c>
      <c r="EO105" s="2708">
        <v>1</v>
      </c>
      <c r="EP105" s="2708">
        <v>1</v>
      </c>
      <c r="EQ105" s="2708"/>
      <c r="ER105" s="2708"/>
      <c r="ES105" s="807"/>
      <c r="ET105" s="2708"/>
      <c r="EU105" s="2708">
        <v>1</v>
      </c>
      <c r="EV105" s="807"/>
    </row>
    <row r="106" spans="1:153" s="813" customFormat="1" ht="15.75" hidden="1" outlineLevel="2">
      <c r="A106" s="943" t="s">
        <v>1231</v>
      </c>
      <c r="B106" s="819"/>
      <c r="C106" s="819"/>
      <c r="D106" s="951"/>
      <c r="E106" s="951"/>
      <c r="F106" s="951"/>
      <c r="G106" s="892">
        <v>8</v>
      </c>
      <c r="H106" s="892">
        <v>8</v>
      </c>
      <c r="I106" s="892">
        <v>8</v>
      </c>
      <c r="J106" s="551">
        <v>0</v>
      </c>
      <c r="K106" s="551">
        <v>0</v>
      </c>
      <c r="L106" s="892">
        <v>8</v>
      </c>
      <c r="M106" s="892">
        <v>8</v>
      </c>
      <c r="N106" s="892">
        <v>8</v>
      </c>
      <c r="O106" s="551">
        <v>0</v>
      </c>
      <c r="P106" s="551">
        <v>0</v>
      </c>
      <c r="Q106" s="551">
        <v>0</v>
      </c>
      <c r="R106" s="551">
        <v>0</v>
      </c>
      <c r="S106" s="551">
        <v>0</v>
      </c>
      <c r="T106" s="551">
        <v>0</v>
      </c>
      <c r="U106" s="551">
        <v>0</v>
      </c>
      <c r="V106" s="551">
        <v>0</v>
      </c>
      <c r="W106" s="551">
        <v>0</v>
      </c>
      <c r="X106" s="551">
        <v>0</v>
      </c>
      <c r="Y106" s="551">
        <v>0</v>
      </c>
      <c r="Z106" s="551">
        <v>0</v>
      </c>
      <c r="AA106" s="551">
        <v>0</v>
      </c>
      <c r="AB106" s="551">
        <v>0</v>
      </c>
      <c r="AC106" s="551">
        <v>0</v>
      </c>
      <c r="AD106" s="551">
        <v>0</v>
      </c>
      <c r="AE106" s="551">
        <v>0</v>
      </c>
      <c r="AF106" s="551">
        <v>0</v>
      </c>
      <c r="AG106" s="551">
        <v>0</v>
      </c>
      <c r="AH106" s="551">
        <v>0</v>
      </c>
      <c r="AI106" s="551">
        <v>0</v>
      </c>
      <c r="AJ106" s="551">
        <v>0</v>
      </c>
      <c r="AK106" s="551">
        <v>0</v>
      </c>
      <c r="AL106" s="551">
        <v>0</v>
      </c>
      <c r="AM106" s="551">
        <v>0</v>
      </c>
      <c r="AN106" s="551">
        <v>0</v>
      </c>
      <c r="AO106" s="551">
        <v>0</v>
      </c>
      <c r="AP106" s="551">
        <v>0</v>
      </c>
      <c r="AQ106" s="551">
        <v>0</v>
      </c>
      <c r="AR106" s="551">
        <v>0</v>
      </c>
      <c r="AS106" s="551">
        <v>0</v>
      </c>
      <c r="AT106" s="551">
        <v>0</v>
      </c>
      <c r="AU106" s="551">
        <v>0</v>
      </c>
      <c r="AV106" s="551">
        <v>0</v>
      </c>
      <c r="AW106" s="551">
        <v>0</v>
      </c>
      <c r="AX106" s="551">
        <v>0</v>
      </c>
      <c r="AY106" s="551">
        <v>0</v>
      </c>
      <c r="AZ106" s="551">
        <v>0</v>
      </c>
      <c r="BA106" s="551">
        <v>0</v>
      </c>
      <c r="BB106" s="551">
        <v>0</v>
      </c>
      <c r="BC106" s="551">
        <v>0</v>
      </c>
      <c r="BD106" s="551">
        <v>0</v>
      </c>
      <c r="BE106" s="551">
        <v>0</v>
      </c>
      <c r="BF106" s="551">
        <v>0</v>
      </c>
      <c r="BG106" s="551">
        <v>0</v>
      </c>
      <c r="BH106" s="551">
        <v>0</v>
      </c>
      <c r="BI106" s="551">
        <v>0</v>
      </c>
      <c r="BJ106" s="551">
        <v>6</v>
      </c>
      <c r="BK106" s="551">
        <v>0</v>
      </c>
      <c r="BL106" s="551">
        <v>0</v>
      </c>
      <c r="BM106" s="551">
        <v>0</v>
      </c>
      <c r="BN106" s="551">
        <v>0</v>
      </c>
      <c r="BO106" s="551">
        <v>0</v>
      </c>
      <c r="BP106" s="551">
        <v>0</v>
      </c>
      <c r="BQ106" s="551">
        <v>0</v>
      </c>
      <c r="BR106" s="551">
        <v>0</v>
      </c>
      <c r="BS106" s="551">
        <v>0</v>
      </c>
      <c r="BT106" s="551">
        <v>0</v>
      </c>
      <c r="BU106" s="551">
        <v>0</v>
      </c>
      <c r="BV106" s="551">
        <v>0</v>
      </c>
      <c r="BW106" s="551">
        <v>0</v>
      </c>
      <c r="BX106" s="551">
        <v>0</v>
      </c>
      <c r="BY106" s="551">
        <v>0</v>
      </c>
      <c r="BZ106" s="551">
        <v>0</v>
      </c>
      <c r="CA106" s="551">
        <v>0</v>
      </c>
      <c r="CB106" s="551">
        <v>0</v>
      </c>
      <c r="CC106" s="551">
        <v>0</v>
      </c>
      <c r="CD106" s="551">
        <v>0</v>
      </c>
      <c r="CE106" s="551">
        <v>0</v>
      </c>
      <c r="CF106" s="551">
        <v>0</v>
      </c>
      <c r="CG106" s="551">
        <v>0</v>
      </c>
      <c r="CH106" s="551">
        <v>0</v>
      </c>
      <c r="CI106" s="551">
        <v>0</v>
      </c>
      <c r="CJ106" s="551">
        <v>0</v>
      </c>
      <c r="CK106" s="551">
        <v>0</v>
      </c>
      <c r="CL106" s="551">
        <v>0</v>
      </c>
      <c r="CM106" s="551">
        <v>0</v>
      </c>
      <c r="CN106" s="551">
        <v>0</v>
      </c>
      <c r="CO106" s="551">
        <v>0</v>
      </c>
      <c r="CP106" s="551">
        <v>0</v>
      </c>
      <c r="CQ106" s="551">
        <v>0</v>
      </c>
      <c r="CR106" s="551">
        <v>0</v>
      </c>
      <c r="CS106" s="551">
        <v>0</v>
      </c>
      <c r="CT106" s="551">
        <v>0</v>
      </c>
      <c r="CU106" s="551">
        <v>0</v>
      </c>
      <c r="CV106" s="551">
        <v>0</v>
      </c>
      <c r="CW106" s="551">
        <v>0</v>
      </c>
      <c r="CX106" s="551">
        <v>0</v>
      </c>
      <c r="CY106" s="551">
        <v>0</v>
      </c>
      <c r="CZ106" s="1083"/>
      <c r="DA106" s="551">
        <v>0</v>
      </c>
      <c r="DB106" s="551">
        <v>0</v>
      </c>
      <c r="DC106" s="551">
        <v>0</v>
      </c>
      <c r="DD106" s="551">
        <v>0</v>
      </c>
      <c r="DE106" s="551">
        <v>0</v>
      </c>
      <c r="DF106" s="551">
        <v>0</v>
      </c>
      <c r="DG106" s="551">
        <v>0</v>
      </c>
      <c r="DH106" s="551">
        <v>0</v>
      </c>
      <c r="DI106" s="551">
        <v>0</v>
      </c>
      <c r="DJ106" s="551">
        <v>0</v>
      </c>
      <c r="DK106" s="551">
        <v>0</v>
      </c>
      <c r="DL106" s="551">
        <v>0</v>
      </c>
      <c r="DM106" s="551">
        <v>0</v>
      </c>
      <c r="DN106" s="551">
        <v>0</v>
      </c>
      <c r="DO106" s="551">
        <v>0</v>
      </c>
      <c r="DP106" s="551">
        <v>0</v>
      </c>
      <c r="DQ106" s="551">
        <v>0</v>
      </c>
      <c r="DR106" s="551">
        <v>0</v>
      </c>
      <c r="DS106" s="551">
        <v>0</v>
      </c>
      <c r="DT106" s="551">
        <v>0</v>
      </c>
      <c r="DU106" s="551">
        <v>0</v>
      </c>
      <c r="DV106" s="551">
        <v>0</v>
      </c>
      <c r="DW106" s="551">
        <v>0</v>
      </c>
      <c r="DX106" s="551">
        <v>0</v>
      </c>
      <c r="DY106" s="551">
        <v>0</v>
      </c>
      <c r="DZ106" s="551">
        <v>0</v>
      </c>
      <c r="EA106" s="551">
        <v>0</v>
      </c>
      <c r="EB106" s="551">
        <v>0</v>
      </c>
      <c r="EC106" s="551">
        <v>0</v>
      </c>
      <c r="ED106" s="551">
        <v>0</v>
      </c>
      <c r="EE106" s="551">
        <v>0</v>
      </c>
      <c r="EF106" s="551">
        <v>0</v>
      </c>
      <c r="EG106" s="551">
        <v>0</v>
      </c>
      <c r="EH106" s="551">
        <v>0</v>
      </c>
      <c r="EI106" s="551">
        <v>0</v>
      </c>
      <c r="EJ106" s="551">
        <v>0</v>
      </c>
      <c r="EK106" s="551">
        <v>0</v>
      </c>
      <c r="EL106" s="551">
        <v>0</v>
      </c>
      <c r="EM106" s="905">
        <v>4</v>
      </c>
      <c r="EN106" s="909">
        <v>4</v>
      </c>
      <c r="EO106" s="909">
        <v>4</v>
      </c>
      <c r="EP106" s="909">
        <v>4</v>
      </c>
      <c r="EQ106" s="909"/>
      <c r="ER106" s="909"/>
      <c r="ES106" s="807"/>
      <c r="ET106" s="909"/>
      <c r="EU106" s="909">
        <v>4</v>
      </c>
      <c r="EV106" s="807"/>
    </row>
    <row r="107" spans="1:153" s="813" customFormat="1" ht="15.75" hidden="1" outlineLevel="2">
      <c r="A107" s="944" t="s">
        <v>1230</v>
      </c>
      <c r="B107" s="817"/>
      <c r="C107" s="817"/>
      <c r="D107" s="817"/>
      <c r="E107" s="817"/>
      <c r="F107" s="817"/>
      <c r="G107" s="926">
        <f>G88</f>
        <v>0.9</v>
      </c>
      <c r="H107" s="926">
        <f>H88</f>
        <v>0.60000000000000009</v>
      </c>
      <c r="I107" s="926">
        <f>I88</f>
        <v>0.6</v>
      </c>
      <c r="J107" s="926"/>
      <c r="K107" s="926"/>
      <c r="L107" s="926">
        <f>L88</f>
        <v>0.6</v>
      </c>
      <c r="M107" s="926">
        <f>M88</f>
        <v>0.6</v>
      </c>
      <c r="N107" s="926">
        <f>N88</f>
        <v>0.6</v>
      </c>
      <c r="O107" s="926"/>
      <c r="P107" s="926"/>
      <c r="Q107" s="926"/>
      <c r="R107" s="926"/>
      <c r="S107" s="926"/>
      <c r="T107" s="926"/>
      <c r="U107" s="926"/>
      <c r="V107" s="926"/>
      <c r="W107" s="926"/>
      <c r="X107" s="926"/>
      <c r="Y107" s="926"/>
      <c r="Z107" s="926"/>
      <c r="AA107" s="926"/>
      <c r="AB107" s="926"/>
      <c r="AC107" s="926"/>
      <c r="AD107" s="926"/>
      <c r="AE107" s="926"/>
      <c r="AF107" s="926"/>
      <c r="AG107" s="926"/>
      <c r="AH107" s="926"/>
      <c r="AI107" s="926"/>
      <c r="AJ107" s="926"/>
      <c r="AK107" s="926"/>
      <c r="AL107" s="926"/>
      <c r="AM107" s="926"/>
      <c r="AN107" s="926"/>
      <c r="AO107" s="926"/>
      <c r="AP107" s="926"/>
      <c r="AQ107" s="926"/>
      <c r="AR107" s="926"/>
      <c r="AS107" s="926"/>
      <c r="AT107" s="926"/>
      <c r="AU107" s="926"/>
      <c r="AV107" s="926"/>
      <c r="AW107" s="926"/>
      <c r="AX107" s="926"/>
      <c r="AY107" s="926"/>
      <c r="AZ107" s="926"/>
      <c r="BA107" s="926"/>
      <c r="BB107" s="926"/>
      <c r="BC107" s="926"/>
      <c r="BD107" s="926"/>
      <c r="BE107" s="926"/>
      <c r="BF107" s="926"/>
      <c r="BG107" s="926"/>
      <c r="BH107" s="926"/>
      <c r="BI107" s="926"/>
      <c r="BJ107" s="926">
        <f>CEILING(0.23*1.675*2, 0.05)</f>
        <v>0.8</v>
      </c>
      <c r="BK107" s="926"/>
      <c r="BL107" s="926"/>
      <c r="BM107" s="926"/>
      <c r="BN107" s="926"/>
      <c r="BO107" s="926"/>
      <c r="BP107" s="926"/>
      <c r="BQ107" s="926"/>
      <c r="BR107" s="926"/>
      <c r="BS107" s="926"/>
      <c r="BT107" s="926"/>
      <c r="BU107" s="926"/>
      <c r="BV107" s="926"/>
      <c r="BW107" s="926"/>
      <c r="BX107" s="926"/>
      <c r="BY107" s="926"/>
      <c r="BZ107" s="926"/>
      <c r="CA107" s="926"/>
      <c r="CB107" s="926"/>
      <c r="CC107" s="926"/>
      <c r="CD107" s="926"/>
      <c r="CE107" s="926"/>
      <c r="CF107" s="926"/>
      <c r="CG107" s="926"/>
      <c r="CH107" s="926"/>
      <c r="CI107" s="926"/>
      <c r="CJ107" s="926"/>
      <c r="CK107" s="926"/>
      <c r="CL107" s="926"/>
      <c r="CM107" s="926"/>
      <c r="CN107" s="926"/>
      <c r="CO107" s="926"/>
      <c r="CP107" s="926"/>
      <c r="CQ107" s="926"/>
      <c r="CR107" s="926"/>
      <c r="CS107" s="926"/>
      <c r="CT107" s="926"/>
      <c r="CU107" s="926"/>
      <c r="CV107" s="926"/>
      <c r="CW107" s="926"/>
      <c r="CX107" s="926"/>
      <c r="CY107" s="926"/>
      <c r="CZ107" s="1094"/>
      <c r="DA107" s="926"/>
      <c r="DB107" s="926"/>
      <c r="DC107" s="926"/>
      <c r="DD107" s="926"/>
      <c r="DE107" s="926"/>
      <c r="DF107" s="926"/>
      <c r="DG107" s="926"/>
      <c r="DH107" s="926"/>
      <c r="DI107" s="926"/>
      <c r="DJ107" s="926"/>
      <c r="DK107" s="926"/>
      <c r="DL107" s="926"/>
      <c r="DM107" s="926"/>
      <c r="DN107" s="926"/>
      <c r="DO107" s="926"/>
      <c r="DP107" s="926"/>
      <c r="DQ107" s="926"/>
      <c r="DR107" s="926"/>
      <c r="DS107" s="926"/>
      <c r="DT107" s="926"/>
      <c r="DU107" s="926"/>
      <c r="DV107" s="926"/>
      <c r="DW107" s="926"/>
      <c r="DX107" s="926"/>
      <c r="DY107" s="926"/>
      <c r="DZ107" s="926"/>
      <c r="EA107" s="926"/>
      <c r="EB107" s="926"/>
      <c r="EC107" s="926"/>
      <c r="ED107" s="926"/>
      <c r="EE107" s="926"/>
      <c r="EF107" s="926"/>
      <c r="EG107" s="926"/>
      <c r="EH107" s="926"/>
      <c r="EI107" s="926"/>
      <c r="EJ107" s="926"/>
      <c r="EK107" s="926"/>
      <c r="EL107" s="926"/>
      <c r="EM107" s="926">
        <f>EM88</f>
        <v>0.9</v>
      </c>
      <c r="EN107" s="2713">
        <f>EN88</f>
        <v>0.9</v>
      </c>
      <c r="EO107" s="2713">
        <f>EO88</f>
        <v>0.9</v>
      </c>
      <c r="EP107" s="2713">
        <f>EP88</f>
        <v>0.9</v>
      </c>
      <c r="EQ107" s="2713"/>
      <c r="ER107" s="2713"/>
      <c r="ES107" s="2713"/>
      <c r="ET107" s="2713"/>
      <c r="EU107" s="2713">
        <v>0.9</v>
      </c>
      <c r="EV107" s="2713"/>
    </row>
    <row r="108" spans="1:153" s="939" customFormat="1" ht="12" hidden="1" customHeight="1" outlineLevel="2">
      <c r="A108" s="945" t="s">
        <v>1254</v>
      </c>
      <c r="B108" s="937"/>
      <c r="C108" s="937"/>
      <c r="D108" s="952"/>
      <c r="E108" s="952"/>
      <c r="F108" s="952"/>
      <c r="G108" s="940">
        <f t="shared" ref="G108:N108" si="79">CEILING($B$77*G107*$F$2*$F$3, 50)</f>
        <v>2300</v>
      </c>
      <c r="H108" s="940">
        <f>CEILING($B$77*H107*$F$2*$F$3, 50)</f>
        <v>1550</v>
      </c>
      <c r="I108" s="940">
        <f t="shared" si="79"/>
        <v>1550</v>
      </c>
      <c r="J108" s="940">
        <f t="shared" si="79"/>
        <v>0</v>
      </c>
      <c r="K108" s="940">
        <f t="shared" si="79"/>
        <v>0</v>
      </c>
      <c r="L108" s="940">
        <f t="shared" si="79"/>
        <v>1550</v>
      </c>
      <c r="M108" s="940">
        <f t="shared" si="79"/>
        <v>1550</v>
      </c>
      <c r="N108" s="940">
        <f t="shared" si="79"/>
        <v>1550</v>
      </c>
      <c r="O108" s="940">
        <f t="shared" ref="O108:BJ108" si="80">CEILING($B$77*O107*$F$2*$F$3, 50)</f>
        <v>0</v>
      </c>
      <c r="P108" s="940">
        <f t="shared" si="80"/>
        <v>0</v>
      </c>
      <c r="Q108" s="940">
        <f t="shared" si="80"/>
        <v>0</v>
      </c>
      <c r="R108" s="940">
        <f t="shared" si="80"/>
        <v>0</v>
      </c>
      <c r="S108" s="940">
        <f t="shared" si="80"/>
        <v>0</v>
      </c>
      <c r="T108" s="940">
        <f t="shared" si="80"/>
        <v>0</v>
      </c>
      <c r="U108" s="940">
        <f t="shared" si="80"/>
        <v>0</v>
      </c>
      <c r="V108" s="940">
        <f t="shared" si="80"/>
        <v>0</v>
      </c>
      <c r="W108" s="940">
        <f t="shared" si="80"/>
        <v>0</v>
      </c>
      <c r="X108" s="940">
        <f t="shared" si="80"/>
        <v>0</v>
      </c>
      <c r="Y108" s="940">
        <f t="shared" si="80"/>
        <v>0</v>
      </c>
      <c r="Z108" s="940">
        <f t="shared" si="80"/>
        <v>0</v>
      </c>
      <c r="AA108" s="940">
        <f t="shared" si="80"/>
        <v>0</v>
      </c>
      <c r="AB108" s="940">
        <f t="shared" si="80"/>
        <v>0</v>
      </c>
      <c r="AC108" s="940">
        <f t="shared" si="80"/>
        <v>0</v>
      </c>
      <c r="AD108" s="940">
        <f t="shared" si="80"/>
        <v>0</v>
      </c>
      <c r="AE108" s="940">
        <f t="shared" si="80"/>
        <v>0</v>
      </c>
      <c r="AF108" s="940">
        <f t="shared" si="80"/>
        <v>0</v>
      </c>
      <c r="AG108" s="940">
        <f t="shared" si="80"/>
        <v>0</v>
      </c>
      <c r="AH108" s="940">
        <f t="shared" si="80"/>
        <v>0</v>
      </c>
      <c r="AI108" s="940">
        <f t="shared" si="80"/>
        <v>0</v>
      </c>
      <c r="AJ108" s="940">
        <f t="shared" si="80"/>
        <v>0</v>
      </c>
      <c r="AK108" s="940">
        <f t="shared" si="80"/>
        <v>0</v>
      </c>
      <c r="AL108" s="940">
        <f t="shared" si="80"/>
        <v>0</v>
      </c>
      <c r="AM108" s="940">
        <f t="shared" si="80"/>
        <v>0</v>
      </c>
      <c r="AN108" s="940">
        <f t="shared" si="80"/>
        <v>0</v>
      </c>
      <c r="AO108" s="940">
        <f t="shared" si="80"/>
        <v>0</v>
      </c>
      <c r="AP108" s="940">
        <f t="shared" si="80"/>
        <v>0</v>
      </c>
      <c r="AQ108" s="940">
        <f t="shared" si="80"/>
        <v>0</v>
      </c>
      <c r="AR108" s="940">
        <f t="shared" si="80"/>
        <v>0</v>
      </c>
      <c r="AS108" s="940">
        <f t="shared" si="80"/>
        <v>0</v>
      </c>
      <c r="AT108" s="940">
        <f t="shared" si="80"/>
        <v>0</v>
      </c>
      <c r="AU108" s="940">
        <f t="shared" si="80"/>
        <v>0</v>
      </c>
      <c r="AV108" s="940">
        <f t="shared" si="80"/>
        <v>0</v>
      </c>
      <c r="AW108" s="940">
        <f t="shared" si="80"/>
        <v>0</v>
      </c>
      <c r="AX108" s="940">
        <f t="shared" si="80"/>
        <v>0</v>
      </c>
      <c r="AY108" s="940">
        <f t="shared" si="80"/>
        <v>0</v>
      </c>
      <c r="AZ108" s="940">
        <f t="shared" si="80"/>
        <v>0</v>
      </c>
      <c r="BA108" s="940">
        <f t="shared" si="80"/>
        <v>0</v>
      </c>
      <c r="BB108" s="940">
        <f t="shared" si="80"/>
        <v>0</v>
      </c>
      <c r="BC108" s="940">
        <f t="shared" si="80"/>
        <v>0</v>
      </c>
      <c r="BD108" s="940">
        <f t="shared" si="80"/>
        <v>0</v>
      </c>
      <c r="BE108" s="940">
        <f t="shared" si="80"/>
        <v>0</v>
      </c>
      <c r="BF108" s="940">
        <f t="shared" si="80"/>
        <v>0</v>
      </c>
      <c r="BG108" s="940">
        <f t="shared" si="80"/>
        <v>0</v>
      </c>
      <c r="BH108" s="940">
        <f t="shared" si="80"/>
        <v>0</v>
      </c>
      <c r="BI108" s="940">
        <f t="shared" si="80"/>
        <v>0</v>
      </c>
      <c r="BJ108" s="940">
        <f t="shared" si="80"/>
        <v>2050</v>
      </c>
      <c r="BK108" s="940">
        <f>CEILING($B$75*2*BK107*$F$2*$F$3, 50)</f>
        <v>0</v>
      </c>
      <c r="BL108" s="940">
        <f t="shared" ref="BL108:CC108" si="81">CEILING($B$75*2*BL107*$F$2*$F$3, 50)</f>
        <v>0</v>
      </c>
      <c r="BM108" s="940">
        <f t="shared" si="81"/>
        <v>0</v>
      </c>
      <c r="BN108" s="940">
        <f t="shared" si="81"/>
        <v>0</v>
      </c>
      <c r="BO108" s="940">
        <f t="shared" si="81"/>
        <v>0</v>
      </c>
      <c r="BP108" s="940">
        <f t="shared" si="81"/>
        <v>0</v>
      </c>
      <c r="BQ108" s="940">
        <f t="shared" si="81"/>
        <v>0</v>
      </c>
      <c r="BR108" s="940">
        <f t="shared" si="81"/>
        <v>0</v>
      </c>
      <c r="BS108" s="940">
        <f t="shared" si="81"/>
        <v>0</v>
      </c>
      <c r="BT108" s="940">
        <f t="shared" ref="BT108:BY108" si="82">CEILING($B$75*2*BT107*$F$2*$F$3, 50)</f>
        <v>0</v>
      </c>
      <c r="BU108" s="940">
        <f t="shared" si="82"/>
        <v>0</v>
      </c>
      <c r="BV108" s="940">
        <f t="shared" si="82"/>
        <v>0</v>
      </c>
      <c r="BW108" s="940">
        <f t="shared" si="82"/>
        <v>0</v>
      </c>
      <c r="BX108" s="940">
        <f t="shared" si="82"/>
        <v>0</v>
      </c>
      <c r="BY108" s="940">
        <f t="shared" si="82"/>
        <v>0</v>
      </c>
      <c r="BZ108" s="940">
        <f t="shared" si="81"/>
        <v>0</v>
      </c>
      <c r="CA108" s="940">
        <f t="shared" si="81"/>
        <v>0</v>
      </c>
      <c r="CB108" s="940">
        <f t="shared" si="81"/>
        <v>0</v>
      </c>
      <c r="CC108" s="940">
        <f t="shared" si="81"/>
        <v>0</v>
      </c>
      <c r="CD108" s="940">
        <f t="shared" ref="CD108:EL108" si="83">CEILING($B$75*2*CD107*$F$2*$F$3, 50)</f>
        <v>0</v>
      </c>
      <c r="CE108" s="940">
        <f t="shared" si="83"/>
        <v>0</v>
      </c>
      <c r="CF108" s="940">
        <f t="shared" si="83"/>
        <v>0</v>
      </c>
      <c r="CG108" s="940">
        <f t="shared" si="83"/>
        <v>0</v>
      </c>
      <c r="CH108" s="940">
        <f t="shared" si="83"/>
        <v>0</v>
      </c>
      <c r="CI108" s="940">
        <f t="shared" si="83"/>
        <v>0</v>
      </c>
      <c r="CJ108" s="940">
        <f t="shared" si="83"/>
        <v>0</v>
      </c>
      <c r="CK108" s="940">
        <f t="shared" si="83"/>
        <v>0</v>
      </c>
      <c r="CL108" s="940">
        <f t="shared" si="83"/>
        <v>0</v>
      </c>
      <c r="CM108" s="940">
        <f t="shared" si="83"/>
        <v>0</v>
      </c>
      <c r="CN108" s="940">
        <f t="shared" si="83"/>
        <v>0</v>
      </c>
      <c r="CO108" s="940">
        <f t="shared" si="83"/>
        <v>0</v>
      </c>
      <c r="CP108" s="940">
        <f t="shared" si="83"/>
        <v>0</v>
      </c>
      <c r="CQ108" s="940">
        <f t="shared" si="83"/>
        <v>0</v>
      </c>
      <c r="CR108" s="940">
        <f t="shared" si="83"/>
        <v>0</v>
      </c>
      <c r="CS108" s="940">
        <f t="shared" si="83"/>
        <v>0</v>
      </c>
      <c r="CT108" s="940">
        <f t="shared" si="83"/>
        <v>0</v>
      </c>
      <c r="CU108" s="940">
        <f t="shared" si="83"/>
        <v>0</v>
      </c>
      <c r="CV108" s="940">
        <f t="shared" si="83"/>
        <v>0</v>
      </c>
      <c r="CW108" s="940">
        <f t="shared" si="83"/>
        <v>0</v>
      </c>
      <c r="CX108" s="940">
        <f t="shared" si="83"/>
        <v>0</v>
      </c>
      <c r="CY108" s="940">
        <f t="shared" si="83"/>
        <v>0</v>
      </c>
      <c r="CZ108" s="1095"/>
      <c r="DA108" s="940">
        <f t="shared" si="83"/>
        <v>0</v>
      </c>
      <c r="DB108" s="940">
        <f t="shared" si="83"/>
        <v>0</v>
      </c>
      <c r="DC108" s="940">
        <f t="shared" si="83"/>
        <v>0</v>
      </c>
      <c r="DD108" s="940">
        <f t="shared" si="83"/>
        <v>0</v>
      </c>
      <c r="DE108" s="940">
        <f t="shared" si="83"/>
        <v>0</v>
      </c>
      <c r="DF108" s="940">
        <f t="shared" si="83"/>
        <v>0</v>
      </c>
      <c r="DG108" s="940">
        <f t="shared" si="83"/>
        <v>0</v>
      </c>
      <c r="DH108" s="940">
        <f t="shared" si="83"/>
        <v>0</v>
      </c>
      <c r="DI108" s="940">
        <f t="shared" si="83"/>
        <v>0</v>
      </c>
      <c r="DJ108" s="940">
        <f t="shared" si="83"/>
        <v>0</v>
      </c>
      <c r="DK108" s="940">
        <f t="shared" si="83"/>
        <v>0</v>
      </c>
      <c r="DL108" s="940">
        <f t="shared" si="83"/>
        <v>0</v>
      </c>
      <c r="DM108" s="940">
        <f t="shared" si="83"/>
        <v>0</v>
      </c>
      <c r="DN108" s="940">
        <f t="shared" si="83"/>
        <v>0</v>
      </c>
      <c r="DO108" s="940">
        <f t="shared" si="83"/>
        <v>0</v>
      </c>
      <c r="DP108" s="940">
        <f t="shared" si="83"/>
        <v>0</v>
      </c>
      <c r="DQ108" s="940">
        <f t="shared" si="83"/>
        <v>0</v>
      </c>
      <c r="DR108" s="940">
        <f t="shared" si="83"/>
        <v>0</v>
      </c>
      <c r="DS108" s="940">
        <f t="shared" si="83"/>
        <v>0</v>
      </c>
      <c r="DT108" s="940">
        <f t="shared" si="83"/>
        <v>0</v>
      </c>
      <c r="DU108" s="940">
        <f t="shared" si="83"/>
        <v>0</v>
      </c>
      <c r="DV108" s="940">
        <f t="shared" si="83"/>
        <v>0</v>
      </c>
      <c r="DW108" s="940">
        <f t="shared" si="83"/>
        <v>0</v>
      </c>
      <c r="DX108" s="940">
        <f t="shared" si="83"/>
        <v>0</v>
      </c>
      <c r="DY108" s="940">
        <f t="shared" si="83"/>
        <v>0</v>
      </c>
      <c r="DZ108" s="940">
        <f t="shared" si="83"/>
        <v>0</v>
      </c>
      <c r="EA108" s="940">
        <f t="shared" si="83"/>
        <v>0</v>
      </c>
      <c r="EB108" s="940">
        <f t="shared" si="83"/>
        <v>0</v>
      </c>
      <c r="EC108" s="940">
        <f t="shared" si="83"/>
        <v>0</v>
      </c>
      <c r="ED108" s="940">
        <f t="shared" si="83"/>
        <v>0</v>
      </c>
      <c r="EE108" s="940">
        <f t="shared" si="83"/>
        <v>0</v>
      </c>
      <c r="EF108" s="940">
        <f t="shared" si="83"/>
        <v>0</v>
      </c>
      <c r="EG108" s="940">
        <f t="shared" si="83"/>
        <v>0</v>
      </c>
      <c r="EH108" s="940">
        <f t="shared" si="83"/>
        <v>0</v>
      </c>
      <c r="EI108" s="940">
        <f t="shared" si="83"/>
        <v>0</v>
      </c>
      <c r="EJ108" s="940">
        <f t="shared" si="83"/>
        <v>0</v>
      </c>
      <c r="EK108" s="940">
        <f t="shared" si="83"/>
        <v>0</v>
      </c>
      <c r="EL108" s="940">
        <f t="shared" si="83"/>
        <v>0</v>
      </c>
      <c r="EM108" s="940">
        <f>CEILING($B$75*2*EM107*$F$2*$F$3, 50)</f>
        <v>2300</v>
      </c>
      <c r="EN108" s="2714">
        <f t="shared" ref="EN108:EV108" si="84">CEILING($B$75*EN107*$F$2*$F$3, 50)</f>
        <v>1150</v>
      </c>
      <c r="EO108" s="2714">
        <f t="shared" si="84"/>
        <v>1150</v>
      </c>
      <c r="EP108" s="2714">
        <f t="shared" si="84"/>
        <v>1150</v>
      </c>
      <c r="EQ108" s="2714">
        <f t="shared" si="84"/>
        <v>0</v>
      </c>
      <c r="ER108" s="2714">
        <f t="shared" si="84"/>
        <v>0</v>
      </c>
      <c r="ES108" s="2714">
        <f t="shared" si="84"/>
        <v>0</v>
      </c>
      <c r="ET108" s="2714">
        <f t="shared" si="84"/>
        <v>0</v>
      </c>
      <c r="EU108" s="2714">
        <f t="shared" si="84"/>
        <v>1150</v>
      </c>
      <c r="EV108" s="2714">
        <f t="shared" si="84"/>
        <v>0</v>
      </c>
      <c r="EW108" s="813"/>
    </row>
    <row r="109" spans="1:153" s="813" customFormat="1" ht="23.25" hidden="1" customHeight="1" outlineLevel="2">
      <c r="A109" s="944" t="s">
        <v>1277</v>
      </c>
      <c r="B109" s="817"/>
      <c r="C109" s="817"/>
      <c r="D109" s="817"/>
      <c r="E109" s="817"/>
      <c r="F109" s="817"/>
      <c r="G109" s="918">
        <f>0.52*2+1.655*2</f>
        <v>4.3499999999999996</v>
      </c>
      <c r="H109" s="918">
        <f>0.52*2+1.093*2</f>
        <v>3.226</v>
      </c>
      <c r="I109" s="918">
        <f>0.52*2+0.878*2+0.52*2+0.175*2</f>
        <v>4.1859999999999999</v>
      </c>
      <c r="J109" s="926"/>
      <c r="K109" s="926"/>
      <c r="L109" s="918">
        <f>(0.506*2+1.21175*2)</f>
        <v>3.4355000000000002</v>
      </c>
      <c r="M109" s="918">
        <f>(0.215*2+0.31925*2)*6</f>
        <v>6.4109999999999996</v>
      </c>
      <c r="N109" s="918">
        <f>(0.215*2+0.35325*2)*8</f>
        <v>9.0920000000000005</v>
      </c>
      <c r="O109" s="926"/>
      <c r="P109" s="926"/>
      <c r="Q109" s="926"/>
      <c r="R109" s="926"/>
      <c r="S109" s="926"/>
      <c r="T109" s="926"/>
      <c r="U109" s="926"/>
      <c r="V109" s="926"/>
      <c r="W109" s="926"/>
      <c r="X109" s="926"/>
      <c r="Y109" s="926"/>
      <c r="Z109" s="926"/>
      <c r="AA109" s="926"/>
      <c r="AB109" s="926"/>
      <c r="AC109" s="926"/>
      <c r="AD109" s="926"/>
      <c r="AE109" s="926"/>
      <c r="AF109" s="926"/>
      <c r="AG109" s="926"/>
      <c r="AH109" s="926"/>
      <c r="AI109" s="926"/>
      <c r="AJ109" s="926"/>
      <c r="AK109" s="926"/>
      <c r="AL109" s="926"/>
      <c r="AM109" s="926"/>
      <c r="AN109" s="926"/>
      <c r="AO109" s="926"/>
      <c r="AP109" s="926"/>
      <c r="AQ109" s="926"/>
      <c r="AR109" s="926"/>
      <c r="AS109" s="926"/>
      <c r="AT109" s="926"/>
      <c r="AU109" s="926"/>
      <c r="AV109" s="926"/>
      <c r="AW109" s="926"/>
      <c r="AX109" s="926"/>
      <c r="AY109" s="926"/>
      <c r="AZ109" s="926"/>
      <c r="BA109" s="926"/>
      <c r="BB109" s="926"/>
      <c r="BC109" s="926"/>
      <c r="BD109" s="926"/>
      <c r="BE109" s="926"/>
      <c r="BF109" s="926"/>
      <c r="BG109" s="926"/>
      <c r="BH109" s="926"/>
      <c r="BI109" s="926"/>
      <c r="BJ109" s="918">
        <f>0.52/3*2+1.655*4</f>
        <v>6.9666666666666668</v>
      </c>
      <c r="BK109" s="926">
        <v>0</v>
      </c>
      <c r="BL109" s="926">
        <v>0</v>
      </c>
      <c r="BM109" s="926">
        <v>0</v>
      </c>
      <c r="BN109" s="926">
        <v>0</v>
      </c>
      <c r="BO109" s="926">
        <v>0</v>
      </c>
      <c r="BP109" s="926">
        <v>0</v>
      </c>
      <c r="BQ109" s="926">
        <v>0</v>
      </c>
      <c r="BR109" s="926">
        <v>0</v>
      </c>
      <c r="BS109" s="926">
        <v>0</v>
      </c>
      <c r="BT109" s="926">
        <v>0</v>
      </c>
      <c r="BU109" s="926">
        <v>0</v>
      </c>
      <c r="BV109" s="926">
        <v>0</v>
      </c>
      <c r="BW109" s="926">
        <v>0</v>
      </c>
      <c r="BX109" s="926">
        <v>0</v>
      </c>
      <c r="BY109" s="926">
        <v>0</v>
      </c>
      <c r="BZ109" s="926">
        <v>0</v>
      </c>
      <c r="CA109" s="926">
        <v>0</v>
      </c>
      <c r="CB109" s="926">
        <v>0</v>
      </c>
      <c r="CC109" s="926">
        <v>0</v>
      </c>
      <c r="CD109" s="926">
        <v>0</v>
      </c>
      <c r="CE109" s="926">
        <v>0</v>
      </c>
      <c r="CF109" s="926">
        <v>0</v>
      </c>
      <c r="CG109" s="926">
        <v>0</v>
      </c>
      <c r="CH109" s="926">
        <v>0</v>
      </c>
      <c r="CI109" s="926">
        <v>0</v>
      </c>
      <c r="CJ109" s="926">
        <v>0</v>
      </c>
      <c r="CK109" s="926">
        <v>0</v>
      </c>
      <c r="CL109" s="926">
        <v>0</v>
      </c>
      <c r="CM109" s="926">
        <v>0</v>
      </c>
      <c r="CN109" s="926">
        <v>0</v>
      </c>
      <c r="CO109" s="926">
        <v>0</v>
      </c>
      <c r="CP109" s="926">
        <v>0</v>
      </c>
      <c r="CQ109" s="926">
        <v>0</v>
      </c>
      <c r="CR109" s="926">
        <v>0</v>
      </c>
      <c r="CS109" s="926">
        <v>0</v>
      </c>
      <c r="CT109" s="926">
        <v>0</v>
      </c>
      <c r="CU109" s="926">
        <v>0</v>
      </c>
      <c r="CV109" s="926">
        <v>0</v>
      </c>
      <c r="CW109" s="926">
        <v>0</v>
      </c>
      <c r="CX109" s="926">
        <v>0</v>
      </c>
      <c r="CY109" s="926">
        <v>0</v>
      </c>
      <c r="CZ109" s="1094"/>
      <c r="DA109" s="926">
        <v>0</v>
      </c>
      <c r="DB109" s="926">
        <v>0</v>
      </c>
      <c r="DC109" s="926">
        <v>0</v>
      </c>
      <c r="DD109" s="926">
        <v>0</v>
      </c>
      <c r="DE109" s="926">
        <v>0</v>
      </c>
      <c r="DF109" s="926">
        <v>0</v>
      </c>
      <c r="DG109" s="926">
        <v>0</v>
      </c>
      <c r="DH109" s="926">
        <v>0</v>
      </c>
      <c r="DI109" s="926">
        <v>0</v>
      </c>
      <c r="DJ109" s="926">
        <v>0</v>
      </c>
      <c r="DK109" s="926">
        <v>0</v>
      </c>
      <c r="DL109" s="926">
        <v>0</v>
      </c>
      <c r="DM109" s="926">
        <v>0</v>
      </c>
      <c r="DN109" s="926">
        <v>0</v>
      </c>
      <c r="DO109" s="926">
        <v>0</v>
      </c>
      <c r="DP109" s="926">
        <v>0</v>
      </c>
      <c r="DQ109" s="926">
        <v>0</v>
      </c>
      <c r="DR109" s="926">
        <v>0</v>
      </c>
      <c r="DS109" s="926">
        <v>0</v>
      </c>
      <c r="DT109" s="926">
        <v>0</v>
      </c>
      <c r="DU109" s="926">
        <v>0</v>
      </c>
      <c r="DV109" s="926">
        <v>0</v>
      </c>
      <c r="DW109" s="926">
        <v>0</v>
      </c>
      <c r="DX109" s="926">
        <v>0</v>
      </c>
      <c r="DY109" s="926">
        <v>0</v>
      </c>
      <c r="DZ109" s="926">
        <v>0</v>
      </c>
      <c r="EA109" s="926">
        <v>0</v>
      </c>
      <c r="EB109" s="926">
        <v>0</v>
      </c>
      <c r="EC109" s="926">
        <v>0</v>
      </c>
      <c r="ED109" s="926">
        <v>0</v>
      </c>
      <c r="EE109" s="926">
        <v>0</v>
      </c>
      <c r="EF109" s="926">
        <v>0</v>
      </c>
      <c r="EG109" s="926">
        <v>0</v>
      </c>
      <c r="EH109" s="926">
        <v>0</v>
      </c>
      <c r="EI109" s="926">
        <v>0</v>
      </c>
      <c r="EJ109" s="926">
        <v>0</v>
      </c>
      <c r="EK109" s="926">
        <v>0</v>
      </c>
      <c r="EL109" s="926">
        <v>0</v>
      </c>
      <c r="EM109" s="926">
        <f>(0.2455*2+0.39275*2)*8</f>
        <v>10.212</v>
      </c>
      <c r="EN109" s="2713">
        <f>(0.2455*2+0.3092*2)*10</f>
        <v>11.093999999999999</v>
      </c>
      <c r="EO109" s="2713">
        <f>(0.157*2+0.39275*2)*12</f>
        <v>13.193999999999999</v>
      </c>
      <c r="EP109" s="2713">
        <f>(0.34881+0.48327+0.24163)*12</f>
        <v>12.884519999999998</v>
      </c>
      <c r="EQ109" s="2713">
        <v>0</v>
      </c>
      <c r="ER109" s="2713">
        <v>0</v>
      </c>
      <c r="ES109" s="2713">
        <v>0</v>
      </c>
      <c r="ET109" s="2713">
        <v>0</v>
      </c>
      <c r="EU109" s="2713">
        <v>0</v>
      </c>
      <c r="EV109" s="2713">
        <v>0</v>
      </c>
    </row>
    <row r="110" spans="1:153" s="939" customFormat="1" ht="12" hidden="1" customHeight="1" outlineLevel="2">
      <c r="A110" s="945" t="s">
        <v>1280</v>
      </c>
      <c r="B110" s="937"/>
      <c r="C110" s="937"/>
      <c r="D110" s="952"/>
      <c r="E110" s="952"/>
      <c r="F110" s="952"/>
      <c r="G110" s="940">
        <f t="shared" ref="G110:N110" si="85">CEILING($B$103*G109*$F$2*$F$3, 50)</f>
        <v>3500</v>
      </c>
      <c r="H110" s="940">
        <f>CEILING($B$103*H109*$F$2*$F$3, 50)</f>
        <v>2600</v>
      </c>
      <c r="I110" s="940">
        <f t="shared" si="85"/>
        <v>3400</v>
      </c>
      <c r="J110" s="940">
        <f t="shared" si="85"/>
        <v>0</v>
      </c>
      <c r="K110" s="940">
        <f t="shared" si="85"/>
        <v>0</v>
      </c>
      <c r="L110" s="940">
        <f t="shared" si="85"/>
        <v>2800</v>
      </c>
      <c r="M110" s="940">
        <f t="shared" si="85"/>
        <v>5150</v>
      </c>
      <c r="N110" s="940">
        <f t="shared" si="85"/>
        <v>7350</v>
      </c>
      <c r="O110" s="940">
        <f t="shared" ref="O110:BJ110" si="86">CEILING($B$103*O109*$F$2*$F$3, 50)</f>
        <v>0</v>
      </c>
      <c r="P110" s="940">
        <f t="shared" si="86"/>
        <v>0</v>
      </c>
      <c r="Q110" s="940">
        <f t="shared" si="86"/>
        <v>0</v>
      </c>
      <c r="R110" s="940">
        <f t="shared" si="86"/>
        <v>0</v>
      </c>
      <c r="S110" s="940">
        <f t="shared" si="86"/>
        <v>0</v>
      </c>
      <c r="T110" s="940">
        <f t="shared" si="86"/>
        <v>0</v>
      </c>
      <c r="U110" s="940">
        <f t="shared" si="86"/>
        <v>0</v>
      </c>
      <c r="V110" s="940">
        <f t="shared" si="86"/>
        <v>0</v>
      </c>
      <c r="W110" s="940">
        <f t="shared" si="86"/>
        <v>0</v>
      </c>
      <c r="X110" s="940">
        <f t="shared" si="86"/>
        <v>0</v>
      </c>
      <c r="Y110" s="940">
        <f t="shared" si="86"/>
        <v>0</v>
      </c>
      <c r="Z110" s="940">
        <f t="shared" si="86"/>
        <v>0</v>
      </c>
      <c r="AA110" s="940">
        <f t="shared" si="86"/>
        <v>0</v>
      </c>
      <c r="AB110" s="940">
        <f t="shared" si="86"/>
        <v>0</v>
      </c>
      <c r="AC110" s="940">
        <f t="shared" si="86"/>
        <v>0</v>
      </c>
      <c r="AD110" s="940">
        <f t="shared" si="86"/>
        <v>0</v>
      </c>
      <c r="AE110" s="940">
        <f t="shared" si="86"/>
        <v>0</v>
      </c>
      <c r="AF110" s="940">
        <f t="shared" si="86"/>
        <v>0</v>
      </c>
      <c r="AG110" s="940">
        <f t="shared" si="86"/>
        <v>0</v>
      </c>
      <c r="AH110" s="940">
        <f t="shared" si="86"/>
        <v>0</v>
      </c>
      <c r="AI110" s="940">
        <f t="shared" si="86"/>
        <v>0</v>
      </c>
      <c r="AJ110" s="940">
        <f t="shared" si="86"/>
        <v>0</v>
      </c>
      <c r="AK110" s="940">
        <f t="shared" si="86"/>
        <v>0</v>
      </c>
      <c r="AL110" s="940">
        <f t="shared" si="86"/>
        <v>0</v>
      </c>
      <c r="AM110" s="940">
        <f t="shared" si="86"/>
        <v>0</v>
      </c>
      <c r="AN110" s="940">
        <f t="shared" si="86"/>
        <v>0</v>
      </c>
      <c r="AO110" s="940">
        <f t="shared" si="86"/>
        <v>0</v>
      </c>
      <c r="AP110" s="940">
        <f t="shared" si="86"/>
        <v>0</v>
      </c>
      <c r="AQ110" s="940">
        <f t="shared" si="86"/>
        <v>0</v>
      </c>
      <c r="AR110" s="940">
        <f t="shared" si="86"/>
        <v>0</v>
      </c>
      <c r="AS110" s="940">
        <f t="shared" si="86"/>
        <v>0</v>
      </c>
      <c r="AT110" s="940">
        <f t="shared" si="86"/>
        <v>0</v>
      </c>
      <c r="AU110" s="940">
        <f t="shared" si="86"/>
        <v>0</v>
      </c>
      <c r="AV110" s="940">
        <f t="shared" si="86"/>
        <v>0</v>
      </c>
      <c r="AW110" s="940">
        <f t="shared" si="86"/>
        <v>0</v>
      </c>
      <c r="AX110" s="940">
        <f t="shared" si="86"/>
        <v>0</v>
      </c>
      <c r="AY110" s="940">
        <f t="shared" si="86"/>
        <v>0</v>
      </c>
      <c r="AZ110" s="940">
        <f t="shared" si="86"/>
        <v>0</v>
      </c>
      <c r="BA110" s="940">
        <f t="shared" si="86"/>
        <v>0</v>
      </c>
      <c r="BB110" s="940">
        <f t="shared" si="86"/>
        <v>0</v>
      </c>
      <c r="BC110" s="940">
        <f t="shared" si="86"/>
        <v>0</v>
      </c>
      <c r="BD110" s="940">
        <f t="shared" si="86"/>
        <v>0</v>
      </c>
      <c r="BE110" s="940">
        <f t="shared" si="86"/>
        <v>0</v>
      </c>
      <c r="BF110" s="940">
        <f t="shared" si="86"/>
        <v>0</v>
      </c>
      <c r="BG110" s="940">
        <f t="shared" si="86"/>
        <v>0</v>
      </c>
      <c r="BH110" s="940">
        <f t="shared" si="86"/>
        <v>0</v>
      </c>
      <c r="BI110" s="940">
        <f t="shared" si="86"/>
        <v>0</v>
      </c>
      <c r="BJ110" s="940">
        <f t="shared" si="86"/>
        <v>5600</v>
      </c>
      <c r="BK110" s="940">
        <f t="shared" ref="BK110:CY110" si="87">CEILING($B$75*2*BK109*$F$2*$F$3, 50)</f>
        <v>0</v>
      </c>
      <c r="BL110" s="940">
        <f t="shared" si="87"/>
        <v>0</v>
      </c>
      <c r="BM110" s="940">
        <f t="shared" si="87"/>
        <v>0</v>
      </c>
      <c r="BN110" s="940">
        <f t="shared" si="87"/>
        <v>0</v>
      </c>
      <c r="BO110" s="940">
        <f t="shared" si="87"/>
        <v>0</v>
      </c>
      <c r="BP110" s="940">
        <f t="shared" si="87"/>
        <v>0</v>
      </c>
      <c r="BQ110" s="940">
        <f t="shared" si="87"/>
        <v>0</v>
      </c>
      <c r="BR110" s="940">
        <f t="shared" si="87"/>
        <v>0</v>
      </c>
      <c r="BS110" s="940">
        <f t="shared" si="87"/>
        <v>0</v>
      </c>
      <c r="BT110" s="940">
        <f t="shared" si="87"/>
        <v>0</v>
      </c>
      <c r="BU110" s="940">
        <f t="shared" si="87"/>
        <v>0</v>
      </c>
      <c r="BV110" s="940">
        <f t="shared" si="87"/>
        <v>0</v>
      </c>
      <c r="BW110" s="940">
        <f t="shared" si="87"/>
        <v>0</v>
      </c>
      <c r="BX110" s="940">
        <f t="shared" si="87"/>
        <v>0</v>
      </c>
      <c r="BY110" s="940">
        <f t="shared" si="87"/>
        <v>0</v>
      </c>
      <c r="BZ110" s="940">
        <f t="shared" si="87"/>
        <v>0</v>
      </c>
      <c r="CA110" s="940">
        <f t="shared" si="87"/>
        <v>0</v>
      </c>
      <c r="CB110" s="940">
        <f t="shared" si="87"/>
        <v>0</v>
      </c>
      <c r="CC110" s="940">
        <f t="shared" si="87"/>
        <v>0</v>
      </c>
      <c r="CD110" s="940">
        <f t="shared" si="87"/>
        <v>0</v>
      </c>
      <c r="CE110" s="940">
        <f t="shared" si="87"/>
        <v>0</v>
      </c>
      <c r="CF110" s="940">
        <f t="shared" si="87"/>
        <v>0</v>
      </c>
      <c r="CG110" s="940">
        <f t="shared" si="87"/>
        <v>0</v>
      </c>
      <c r="CH110" s="940">
        <f t="shared" si="87"/>
        <v>0</v>
      </c>
      <c r="CI110" s="940">
        <f t="shared" si="87"/>
        <v>0</v>
      </c>
      <c r="CJ110" s="940">
        <f t="shared" si="87"/>
        <v>0</v>
      </c>
      <c r="CK110" s="940">
        <f t="shared" si="87"/>
        <v>0</v>
      </c>
      <c r="CL110" s="940">
        <f t="shared" si="87"/>
        <v>0</v>
      </c>
      <c r="CM110" s="940">
        <f t="shared" si="87"/>
        <v>0</v>
      </c>
      <c r="CN110" s="940">
        <f t="shared" si="87"/>
        <v>0</v>
      </c>
      <c r="CO110" s="940">
        <f t="shared" si="87"/>
        <v>0</v>
      </c>
      <c r="CP110" s="940">
        <f t="shared" si="87"/>
        <v>0</v>
      </c>
      <c r="CQ110" s="940">
        <f t="shared" si="87"/>
        <v>0</v>
      </c>
      <c r="CR110" s="940">
        <f t="shared" si="87"/>
        <v>0</v>
      </c>
      <c r="CS110" s="940">
        <f t="shared" si="87"/>
        <v>0</v>
      </c>
      <c r="CT110" s="940">
        <f t="shared" si="87"/>
        <v>0</v>
      </c>
      <c r="CU110" s="940">
        <f t="shared" si="87"/>
        <v>0</v>
      </c>
      <c r="CV110" s="940">
        <f t="shared" si="87"/>
        <v>0</v>
      </c>
      <c r="CW110" s="940">
        <f t="shared" si="87"/>
        <v>0</v>
      </c>
      <c r="CX110" s="940">
        <f t="shared" si="87"/>
        <v>0</v>
      </c>
      <c r="CY110" s="940">
        <f t="shared" si="87"/>
        <v>0</v>
      </c>
      <c r="CZ110" s="1095"/>
      <c r="DA110" s="940">
        <f t="shared" ref="DA110:EL110" si="88">CEILING($B$75*2*DA109*$F$2*$F$3, 50)</f>
        <v>0</v>
      </c>
      <c r="DB110" s="940">
        <f t="shared" si="88"/>
        <v>0</v>
      </c>
      <c r="DC110" s="940">
        <f t="shared" si="88"/>
        <v>0</v>
      </c>
      <c r="DD110" s="940">
        <f t="shared" si="88"/>
        <v>0</v>
      </c>
      <c r="DE110" s="940">
        <f t="shared" si="88"/>
        <v>0</v>
      </c>
      <c r="DF110" s="940">
        <f t="shared" si="88"/>
        <v>0</v>
      </c>
      <c r="DG110" s="940">
        <f t="shared" si="88"/>
        <v>0</v>
      </c>
      <c r="DH110" s="940">
        <f t="shared" si="88"/>
        <v>0</v>
      </c>
      <c r="DI110" s="940">
        <f t="shared" si="88"/>
        <v>0</v>
      </c>
      <c r="DJ110" s="940">
        <f t="shared" si="88"/>
        <v>0</v>
      </c>
      <c r="DK110" s="940">
        <f t="shared" si="88"/>
        <v>0</v>
      </c>
      <c r="DL110" s="940">
        <f t="shared" si="88"/>
        <v>0</v>
      </c>
      <c r="DM110" s="940">
        <f t="shared" si="88"/>
        <v>0</v>
      </c>
      <c r="DN110" s="940">
        <f t="shared" si="88"/>
        <v>0</v>
      </c>
      <c r="DO110" s="940">
        <f t="shared" si="88"/>
        <v>0</v>
      </c>
      <c r="DP110" s="940">
        <f t="shared" si="88"/>
        <v>0</v>
      </c>
      <c r="DQ110" s="940">
        <f t="shared" si="88"/>
        <v>0</v>
      </c>
      <c r="DR110" s="940">
        <f t="shared" si="88"/>
        <v>0</v>
      </c>
      <c r="DS110" s="940">
        <f t="shared" si="88"/>
        <v>0</v>
      </c>
      <c r="DT110" s="940">
        <f t="shared" si="88"/>
        <v>0</v>
      </c>
      <c r="DU110" s="940">
        <f t="shared" si="88"/>
        <v>0</v>
      </c>
      <c r="DV110" s="940">
        <f t="shared" si="88"/>
        <v>0</v>
      </c>
      <c r="DW110" s="940">
        <f t="shared" si="88"/>
        <v>0</v>
      </c>
      <c r="DX110" s="940">
        <f t="shared" si="88"/>
        <v>0</v>
      </c>
      <c r="DY110" s="940">
        <f t="shared" si="88"/>
        <v>0</v>
      </c>
      <c r="DZ110" s="940">
        <f t="shared" si="88"/>
        <v>0</v>
      </c>
      <c r="EA110" s="940">
        <f t="shared" si="88"/>
        <v>0</v>
      </c>
      <c r="EB110" s="940">
        <f t="shared" si="88"/>
        <v>0</v>
      </c>
      <c r="EC110" s="940">
        <f t="shared" si="88"/>
        <v>0</v>
      </c>
      <c r="ED110" s="940">
        <f t="shared" si="88"/>
        <v>0</v>
      </c>
      <c r="EE110" s="940">
        <f t="shared" si="88"/>
        <v>0</v>
      </c>
      <c r="EF110" s="940">
        <f t="shared" si="88"/>
        <v>0</v>
      </c>
      <c r="EG110" s="940">
        <f t="shared" si="88"/>
        <v>0</v>
      </c>
      <c r="EH110" s="940">
        <f t="shared" si="88"/>
        <v>0</v>
      </c>
      <c r="EI110" s="940">
        <f t="shared" si="88"/>
        <v>0</v>
      </c>
      <c r="EJ110" s="940">
        <f t="shared" si="88"/>
        <v>0</v>
      </c>
      <c r="EK110" s="940">
        <f t="shared" si="88"/>
        <v>0</v>
      </c>
      <c r="EL110" s="940">
        <f t="shared" si="88"/>
        <v>0</v>
      </c>
      <c r="EM110" s="940">
        <f>CEILING($B$103*EM109*$F$2*$F$3, 50)</f>
        <v>8250</v>
      </c>
      <c r="EN110" s="2714">
        <f>CEILING($B$103*EN109*$F$2*$F$3, 50)</f>
        <v>8950</v>
      </c>
      <c r="EO110" s="2714">
        <f>CEILING($B$103*EO109*$F$2*$F$3, 50)</f>
        <v>10600</v>
      </c>
      <c r="EP110" s="2714">
        <f>CEILING($B$103*EP109*$F$2*$F$3, 50)</f>
        <v>10350</v>
      </c>
      <c r="EQ110" s="2714">
        <f t="shared" ref="EQ110:EV110" si="89">CEILING($B$75*EQ109*$F$2*$F$3, 50)</f>
        <v>0</v>
      </c>
      <c r="ER110" s="2714">
        <f t="shared" si="89"/>
        <v>0</v>
      </c>
      <c r="ES110" s="2714">
        <f t="shared" si="89"/>
        <v>0</v>
      </c>
      <c r="ET110" s="2714">
        <f t="shared" si="89"/>
        <v>0</v>
      </c>
      <c r="EU110" s="2714">
        <f t="shared" si="89"/>
        <v>0</v>
      </c>
      <c r="EV110" s="2714">
        <f t="shared" si="89"/>
        <v>0</v>
      </c>
      <c r="EW110" s="813"/>
    </row>
    <row r="111" spans="1:153" s="25" customFormat="1" ht="15.75" hidden="1" outlineLevel="2">
      <c r="A111" s="5235" t="s">
        <v>244</v>
      </c>
      <c r="B111" s="5236"/>
      <c r="C111" s="5237" t="s">
        <v>44</v>
      </c>
      <c r="D111" s="5236"/>
      <c r="E111" s="739"/>
      <c r="F111" s="953">
        <f>F90</f>
        <v>0</v>
      </c>
      <c r="G111" s="931">
        <f>CEILING(($F$111+G108+G110), 50)*G105</f>
        <v>5800</v>
      </c>
      <c r="H111" s="931">
        <f>CEILING(($F$111+H108+H110), 50)*H105</f>
        <v>4150</v>
      </c>
      <c r="I111" s="931">
        <f>CEILING(($F$111+I108+I110), 50)*I105</f>
        <v>4950</v>
      </c>
      <c r="J111" s="931">
        <f>CEILING(($F$111+J108+J110), 50)*J105</f>
        <v>0</v>
      </c>
      <c r="K111" s="931">
        <f>CEILING(($F$111+K108+K110), 50)*K105</f>
        <v>0</v>
      </c>
      <c r="L111" s="931">
        <f>FLOOR(($F$111+L108+L110), 1000)*L105</f>
        <v>4000</v>
      </c>
      <c r="M111" s="931">
        <f>FLOOR(($F$111+M108+M110), 1000)*M105</f>
        <v>6000</v>
      </c>
      <c r="N111" s="931">
        <f>FLOOR(($F$111+N108+N110), 1000)*N105</f>
        <v>8000</v>
      </c>
      <c r="O111" s="931">
        <f t="shared" ref="O111:BH111" si="90">CEILING(($F$111+O108+O110), 50)*O105</f>
        <v>0</v>
      </c>
      <c r="P111" s="931">
        <f t="shared" si="90"/>
        <v>0</v>
      </c>
      <c r="Q111" s="931">
        <f t="shared" si="90"/>
        <v>0</v>
      </c>
      <c r="R111" s="931">
        <f t="shared" si="90"/>
        <v>0</v>
      </c>
      <c r="S111" s="931">
        <f t="shared" si="90"/>
        <v>0</v>
      </c>
      <c r="T111" s="931">
        <f t="shared" si="90"/>
        <v>0</v>
      </c>
      <c r="U111" s="931">
        <f t="shared" si="90"/>
        <v>0</v>
      </c>
      <c r="V111" s="931">
        <f t="shared" si="90"/>
        <v>0</v>
      </c>
      <c r="W111" s="931">
        <f t="shared" si="90"/>
        <v>0</v>
      </c>
      <c r="X111" s="931">
        <f t="shared" si="90"/>
        <v>0</v>
      </c>
      <c r="Y111" s="931">
        <f t="shared" si="90"/>
        <v>0</v>
      </c>
      <c r="Z111" s="931">
        <f t="shared" si="90"/>
        <v>0</v>
      </c>
      <c r="AA111" s="931">
        <f t="shared" si="90"/>
        <v>0</v>
      </c>
      <c r="AB111" s="931">
        <f t="shared" si="90"/>
        <v>0</v>
      </c>
      <c r="AC111" s="931">
        <f t="shared" si="90"/>
        <v>0</v>
      </c>
      <c r="AD111" s="931">
        <f t="shared" si="90"/>
        <v>0</v>
      </c>
      <c r="AE111" s="931">
        <f t="shared" si="90"/>
        <v>0</v>
      </c>
      <c r="AF111" s="931">
        <f t="shared" si="90"/>
        <v>0</v>
      </c>
      <c r="AG111" s="931">
        <f t="shared" si="90"/>
        <v>0</v>
      </c>
      <c r="AH111" s="931">
        <f t="shared" si="90"/>
        <v>0</v>
      </c>
      <c r="AI111" s="931">
        <f t="shared" si="90"/>
        <v>0</v>
      </c>
      <c r="AJ111" s="931">
        <f t="shared" si="90"/>
        <v>0</v>
      </c>
      <c r="AK111" s="931">
        <f t="shared" si="90"/>
        <v>0</v>
      </c>
      <c r="AL111" s="931">
        <f t="shared" si="90"/>
        <v>0</v>
      </c>
      <c r="AM111" s="931">
        <f t="shared" si="90"/>
        <v>0</v>
      </c>
      <c r="AN111" s="931">
        <f t="shared" si="90"/>
        <v>0</v>
      </c>
      <c r="AO111" s="931">
        <f t="shared" si="90"/>
        <v>0</v>
      </c>
      <c r="AP111" s="931">
        <f t="shared" si="90"/>
        <v>0</v>
      </c>
      <c r="AQ111" s="931">
        <f t="shared" si="90"/>
        <v>0</v>
      </c>
      <c r="AR111" s="931">
        <f t="shared" si="90"/>
        <v>0</v>
      </c>
      <c r="AS111" s="931">
        <f t="shared" si="90"/>
        <v>0</v>
      </c>
      <c r="AT111" s="931">
        <f t="shared" si="90"/>
        <v>0</v>
      </c>
      <c r="AU111" s="931">
        <f t="shared" si="90"/>
        <v>0</v>
      </c>
      <c r="AV111" s="931">
        <f t="shared" si="90"/>
        <v>0</v>
      </c>
      <c r="AW111" s="931">
        <f t="shared" si="90"/>
        <v>0</v>
      </c>
      <c r="AX111" s="931">
        <f t="shared" si="90"/>
        <v>0</v>
      </c>
      <c r="AY111" s="931">
        <f t="shared" si="90"/>
        <v>0</v>
      </c>
      <c r="AZ111" s="931">
        <f t="shared" si="90"/>
        <v>0</v>
      </c>
      <c r="BA111" s="931">
        <f t="shared" si="90"/>
        <v>0</v>
      </c>
      <c r="BB111" s="931">
        <f t="shared" si="90"/>
        <v>0</v>
      </c>
      <c r="BC111" s="931">
        <f t="shared" si="90"/>
        <v>0</v>
      </c>
      <c r="BD111" s="931">
        <f t="shared" si="90"/>
        <v>0</v>
      </c>
      <c r="BE111" s="931">
        <f t="shared" si="90"/>
        <v>0</v>
      </c>
      <c r="BF111" s="931">
        <f t="shared" si="90"/>
        <v>0</v>
      </c>
      <c r="BG111" s="931">
        <f t="shared" si="90"/>
        <v>0</v>
      </c>
      <c r="BH111" s="931">
        <f t="shared" si="90"/>
        <v>0</v>
      </c>
      <c r="BI111" s="931">
        <f t="shared" ref="BI111:CY111" si="91">CEILING(($F$111+BI108+BI110), 50)*BI105</f>
        <v>0</v>
      </c>
      <c r="BJ111" s="931">
        <f t="shared" si="91"/>
        <v>7650</v>
      </c>
      <c r="BK111" s="931">
        <f t="shared" si="91"/>
        <v>0</v>
      </c>
      <c r="BL111" s="931">
        <f t="shared" si="91"/>
        <v>0</v>
      </c>
      <c r="BM111" s="931">
        <f t="shared" si="91"/>
        <v>0</v>
      </c>
      <c r="BN111" s="931">
        <f t="shared" si="91"/>
        <v>0</v>
      </c>
      <c r="BO111" s="931">
        <f t="shared" si="91"/>
        <v>0</v>
      </c>
      <c r="BP111" s="931">
        <f t="shared" si="91"/>
        <v>0</v>
      </c>
      <c r="BQ111" s="931">
        <f t="shared" si="91"/>
        <v>0</v>
      </c>
      <c r="BR111" s="931">
        <f t="shared" si="91"/>
        <v>0</v>
      </c>
      <c r="BS111" s="931">
        <f t="shared" si="91"/>
        <v>0</v>
      </c>
      <c r="BT111" s="931">
        <f t="shared" si="91"/>
        <v>0</v>
      </c>
      <c r="BU111" s="931">
        <f t="shared" si="91"/>
        <v>0</v>
      </c>
      <c r="BV111" s="931">
        <f t="shared" si="91"/>
        <v>0</v>
      </c>
      <c r="BW111" s="931">
        <f t="shared" si="91"/>
        <v>0</v>
      </c>
      <c r="BX111" s="931">
        <f t="shared" si="91"/>
        <v>0</v>
      </c>
      <c r="BY111" s="931">
        <f t="shared" si="91"/>
        <v>0</v>
      </c>
      <c r="BZ111" s="931">
        <f t="shared" si="91"/>
        <v>0</v>
      </c>
      <c r="CA111" s="931">
        <f t="shared" si="91"/>
        <v>0</v>
      </c>
      <c r="CB111" s="931">
        <f t="shared" si="91"/>
        <v>0</v>
      </c>
      <c r="CC111" s="931">
        <f t="shared" si="91"/>
        <v>0</v>
      </c>
      <c r="CD111" s="931">
        <f t="shared" si="91"/>
        <v>0</v>
      </c>
      <c r="CE111" s="931">
        <f t="shared" si="91"/>
        <v>0</v>
      </c>
      <c r="CF111" s="931">
        <f t="shared" si="91"/>
        <v>0</v>
      </c>
      <c r="CG111" s="931">
        <f t="shared" si="91"/>
        <v>0</v>
      </c>
      <c r="CH111" s="931">
        <f t="shared" si="91"/>
        <v>0</v>
      </c>
      <c r="CI111" s="931">
        <f t="shared" si="91"/>
        <v>0</v>
      </c>
      <c r="CJ111" s="931">
        <f t="shared" si="91"/>
        <v>0</v>
      </c>
      <c r="CK111" s="931">
        <f t="shared" si="91"/>
        <v>0</v>
      </c>
      <c r="CL111" s="931">
        <f t="shared" si="91"/>
        <v>0</v>
      </c>
      <c r="CM111" s="931">
        <f t="shared" si="91"/>
        <v>0</v>
      </c>
      <c r="CN111" s="931">
        <f t="shared" si="91"/>
        <v>0</v>
      </c>
      <c r="CO111" s="931">
        <f t="shared" si="91"/>
        <v>0</v>
      </c>
      <c r="CP111" s="931">
        <f t="shared" si="91"/>
        <v>0</v>
      </c>
      <c r="CQ111" s="931">
        <f t="shared" si="91"/>
        <v>0</v>
      </c>
      <c r="CR111" s="931">
        <f t="shared" si="91"/>
        <v>0</v>
      </c>
      <c r="CS111" s="931">
        <f t="shared" si="91"/>
        <v>0</v>
      </c>
      <c r="CT111" s="931">
        <f t="shared" si="91"/>
        <v>0</v>
      </c>
      <c r="CU111" s="931">
        <f t="shared" si="91"/>
        <v>0</v>
      </c>
      <c r="CV111" s="931">
        <f t="shared" si="91"/>
        <v>0</v>
      </c>
      <c r="CW111" s="931">
        <f t="shared" si="91"/>
        <v>0</v>
      </c>
      <c r="CX111" s="931">
        <f t="shared" si="91"/>
        <v>0</v>
      </c>
      <c r="CY111" s="931">
        <f t="shared" si="91"/>
        <v>0</v>
      </c>
      <c r="CZ111" s="1096"/>
      <c r="DA111" s="931">
        <f t="shared" ref="DA111:EV111" si="92">CEILING(($F$111+DA108+DA110), 50)*DA105</f>
        <v>0</v>
      </c>
      <c r="DB111" s="931">
        <f t="shared" si="92"/>
        <v>0</v>
      </c>
      <c r="DC111" s="931">
        <f t="shared" si="92"/>
        <v>0</v>
      </c>
      <c r="DD111" s="931">
        <f t="shared" si="92"/>
        <v>0</v>
      </c>
      <c r="DE111" s="931">
        <f t="shared" si="92"/>
        <v>0</v>
      </c>
      <c r="DF111" s="931">
        <f t="shared" si="92"/>
        <v>0</v>
      </c>
      <c r="DG111" s="931">
        <f t="shared" si="92"/>
        <v>0</v>
      </c>
      <c r="DH111" s="931">
        <f t="shared" si="92"/>
        <v>0</v>
      </c>
      <c r="DI111" s="931">
        <f t="shared" si="92"/>
        <v>0</v>
      </c>
      <c r="DJ111" s="931">
        <f t="shared" si="92"/>
        <v>0</v>
      </c>
      <c r="DK111" s="931">
        <f t="shared" si="92"/>
        <v>0</v>
      </c>
      <c r="DL111" s="931">
        <f t="shared" si="92"/>
        <v>0</v>
      </c>
      <c r="DM111" s="931">
        <f t="shared" si="92"/>
        <v>0</v>
      </c>
      <c r="DN111" s="931">
        <f t="shared" si="92"/>
        <v>0</v>
      </c>
      <c r="DO111" s="931">
        <f t="shared" si="92"/>
        <v>0</v>
      </c>
      <c r="DP111" s="931">
        <f t="shared" si="92"/>
        <v>0</v>
      </c>
      <c r="DQ111" s="931">
        <f t="shared" si="92"/>
        <v>0</v>
      </c>
      <c r="DR111" s="931">
        <f t="shared" si="92"/>
        <v>0</v>
      </c>
      <c r="DS111" s="931">
        <f t="shared" si="92"/>
        <v>0</v>
      </c>
      <c r="DT111" s="931">
        <f t="shared" si="92"/>
        <v>0</v>
      </c>
      <c r="DU111" s="931">
        <f t="shared" si="92"/>
        <v>0</v>
      </c>
      <c r="DV111" s="931">
        <f t="shared" si="92"/>
        <v>0</v>
      </c>
      <c r="DW111" s="931">
        <f t="shared" si="92"/>
        <v>0</v>
      </c>
      <c r="DX111" s="931">
        <f t="shared" si="92"/>
        <v>0</v>
      </c>
      <c r="DY111" s="931">
        <f t="shared" si="92"/>
        <v>0</v>
      </c>
      <c r="DZ111" s="931">
        <f t="shared" si="92"/>
        <v>0</v>
      </c>
      <c r="EA111" s="931">
        <f t="shared" si="92"/>
        <v>0</v>
      </c>
      <c r="EB111" s="931">
        <f t="shared" si="92"/>
        <v>0</v>
      </c>
      <c r="EC111" s="931">
        <f t="shared" si="92"/>
        <v>0</v>
      </c>
      <c r="ED111" s="931">
        <f t="shared" si="92"/>
        <v>0</v>
      </c>
      <c r="EE111" s="931">
        <f t="shared" si="92"/>
        <v>0</v>
      </c>
      <c r="EF111" s="931">
        <f t="shared" si="92"/>
        <v>0</v>
      </c>
      <c r="EG111" s="931">
        <f t="shared" si="92"/>
        <v>0</v>
      </c>
      <c r="EH111" s="931">
        <f t="shared" si="92"/>
        <v>0</v>
      </c>
      <c r="EI111" s="931">
        <f t="shared" si="92"/>
        <v>0</v>
      </c>
      <c r="EJ111" s="931">
        <f t="shared" si="92"/>
        <v>0</v>
      </c>
      <c r="EK111" s="931">
        <f t="shared" si="92"/>
        <v>0</v>
      </c>
      <c r="EL111" s="931">
        <f t="shared" si="92"/>
        <v>0</v>
      </c>
      <c r="EM111" s="931">
        <f t="shared" si="92"/>
        <v>10550</v>
      </c>
      <c r="EN111" s="2716">
        <f t="shared" si="92"/>
        <v>10100</v>
      </c>
      <c r="EO111" s="2716">
        <f t="shared" si="92"/>
        <v>11750</v>
      </c>
      <c r="EP111" s="2716">
        <f t="shared" si="92"/>
        <v>11500</v>
      </c>
      <c r="EQ111" s="2716">
        <f t="shared" si="92"/>
        <v>0</v>
      </c>
      <c r="ER111" s="2716">
        <f t="shared" si="92"/>
        <v>0</v>
      </c>
      <c r="ES111" s="2716">
        <f t="shared" si="92"/>
        <v>0</v>
      </c>
      <c r="ET111" s="2716">
        <f t="shared" si="92"/>
        <v>0</v>
      </c>
      <c r="EU111" s="2716">
        <f t="shared" si="92"/>
        <v>1150</v>
      </c>
      <c r="EV111" s="2716">
        <f t="shared" si="92"/>
        <v>0</v>
      </c>
      <c r="EW111" s="15"/>
    </row>
    <row r="112" spans="1:153" s="25" customFormat="1" ht="15.75" hidden="1" outlineLevel="2">
      <c r="A112" s="5236"/>
      <c r="B112" s="5236"/>
      <c r="C112" s="5238" t="s">
        <v>210</v>
      </c>
      <c r="D112" s="5239"/>
      <c r="E112" s="563" t="s">
        <v>1263</v>
      </c>
      <c r="F112" s="928">
        <f>F91</f>
        <v>573.75</v>
      </c>
      <c r="G112" s="931">
        <f t="shared" ref="G112:L112" si="93">CEILING(($F$112+G108+G110), 50)*G105</f>
        <v>6400</v>
      </c>
      <c r="H112" s="931">
        <f t="shared" si="93"/>
        <v>4750</v>
      </c>
      <c r="I112" s="931">
        <f t="shared" si="93"/>
        <v>5550</v>
      </c>
      <c r="J112" s="931">
        <f t="shared" si="93"/>
        <v>0</v>
      </c>
      <c r="K112" s="931">
        <f t="shared" si="93"/>
        <v>0</v>
      </c>
      <c r="L112" s="931">
        <f t="shared" si="93"/>
        <v>4950</v>
      </c>
      <c r="M112" s="931">
        <f>CEILING(($F$112+M108+M110), 500)*M105</f>
        <v>7500</v>
      </c>
      <c r="N112" s="931">
        <f>FLOOR(($F$112+N108+N110), 500)*N105</f>
        <v>9000</v>
      </c>
      <c r="O112" s="931">
        <f t="shared" ref="O112:BH112" si="94">CEILING(($F$112+O108+O110), 50)*O105</f>
        <v>0</v>
      </c>
      <c r="P112" s="931">
        <f t="shared" si="94"/>
        <v>0</v>
      </c>
      <c r="Q112" s="931">
        <f t="shared" si="94"/>
        <v>0</v>
      </c>
      <c r="R112" s="931">
        <f t="shared" si="94"/>
        <v>0</v>
      </c>
      <c r="S112" s="931">
        <f t="shared" si="94"/>
        <v>0</v>
      </c>
      <c r="T112" s="931">
        <f t="shared" si="94"/>
        <v>0</v>
      </c>
      <c r="U112" s="931">
        <f t="shared" si="94"/>
        <v>0</v>
      </c>
      <c r="V112" s="931">
        <f t="shared" si="94"/>
        <v>0</v>
      </c>
      <c r="W112" s="931">
        <f t="shared" si="94"/>
        <v>0</v>
      </c>
      <c r="X112" s="931">
        <f t="shared" si="94"/>
        <v>0</v>
      </c>
      <c r="Y112" s="931">
        <f t="shared" si="94"/>
        <v>0</v>
      </c>
      <c r="Z112" s="931">
        <f t="shared" si="94"/>
        <v>0</v>
      </c>
      <c r="AA112" s="931">
        <f t="shared" si="94"/>
        <v>0</v>
      </c>
      <c r="AB112" s="931">
        <f t="shared" si="94"/>
        <v>0</v>
      </c>
      <c r="AC112" s="931">
        <f t="shared" si="94"/>
        <v>0</v>
      </c>
      <c r="AD112" s="931">
        <f t="shared" si="94"/>
        <v>0</v>
      </c>
      <c r="AE112" s="931">
        <f t="shared" si="94"/>
        <v>0</v>
      </c>
      <c r="AF112" s="931">
        <f t="shared" si="94"/>
        <v>0</v>
      </c>
      <c r="AG112" s="931">
        <f t="shared" si="94"/>
        <v>0</v>
      </c>
      <c r="AH112" s="931">
        <f t="shared" si="94"/>
        <v>0</v>
      </c>
      <c r="AI112" s="931">
        <f t="shared" si="94"/>
        <v>0</v>
      </c>
      <c r="AJ112" s="931">
        <f t="shared" si="94"/>
        <v>0</v>
      </c>
      <c r="AK112" s="931">
        <f t="shared" si="94"/>
        <v>0</v>
      </c>
      <c r="AL112" s="931">
        <f t="shared" si="94"/>
        <v>0</v>
      </c>
      <c r="AM112" s="931">
        <f t="shared" si="94"/>
        <v>0</v>
      </c>
      <c r="AN112" s="931">
        <f t="shared" si="94"/>
        <v>0</v>
      </c>
      <c r="AO112" s="931">
        <f t="shared" si="94"/>
        <v>0</v>
      </c>
      <c r="AP112" s="931">
        <f t="shared" si="94"/>
        <v>0</v>
      </c>
      <c r="AQ112" s="931">
        <f t="shared" si="94"/>
        <v>0</v>
      </c>
      <c r="AR112" s="931">
        <f t="shared" si="94"/>
        <v>0</v>
      </c>
      <c r="AS112" s="931">
        <f t="shared" si="94"/>
        <v>0</v>
      </c>
      <c r="AT112" s="931">
        <f t="shared" si="94"/>
        <v>0</v>
      </c>
      <c r="AU112" s="931">
        <f t="shared" si="94"/>
        <v>0</v>
      </c>
      <c r="AV112" s="931">
        <f t="shared" si="94"/>
        <v>0</v>
      </c>
      <c r="AW112" s="931">
        <f t="shared" si="94"/>
        <v>0</v>
      </c>
      <c r="AX112" s="931">
        <f t="shared" si="94"/>
        <v>0</v>
      </c>
      <c r="AY112" s="931">
        <f t="shared" si="94"/>
        <v>0</v>
      </c>
      <c r="AZ112" s="931">
        <f t="shared" si="94"/>
        <v>0</v>
      </c>
      <c r="BA112" s="931">
        <f t="shared" si="94"/>
        <v>0</v>
      </c>
      <c r="BB112" s="931">
        <f t="shared" si="94"/>
        <v>0</v>
      </c>
      <c r="BC112" s="931">
        <f t="shared" si="94"/>
        <v>0</v>
      </c>
      <c r="BD112" s="931">
        <f t="shared" si="94"/>
        <v>0</v>
      </c>
      <c r="BE112" s="931">
        <f t="shared" si="94"/>
        <v>0</v>
      </c>
      <c r="BF112" s="931">
        <f t="shared" si="94"/>
        <v>0</v>
      </c>
      <c r="BG112" s="931">
        <f t="shared" si="94"/>
        <v>0</v>
      </c>
      <c r="BH112" s="931">
        <f t="shared" si="94"/>
        <v>0</v>
      </c>
      <c r="BI112" s="931">
        <f t="shared" ref="BI112:CD112" si="95">CEILING(($F$112+BI108+BI110), 50)*BI105</f>
        <v>0</v>
      </c>
      <c r="BJ112" s="931">
        <f>CEILING(($F$112+BJ108+BJ110), 50)*BJ105</f>
        <v>8250</v>
      </c>
      <c r="BK112" s="931">
        <f>CEILING(($F$112+BK108+BK110), 50)*BK105</f>
        <v>0</v>
      </c>
      <c r="BL112" s="931">
        <f t="shared" si="95"/>
        <v>0</v>
      </c>
      <c r="BM112" s="931">
        <f t="shared" si="95"/>
        <v>0</v>
      </c>
      <c r="BN112" s="931">
        <f t="shared" si="95"/>
        <v>0</v>
      </c>
      <c r="BO112" s="931">
        <f t="shared" si="95"/>
        <v>0</v>
      </c>
      <c r="BP112" s="931">
        <f t="shared" si="95"/>
        <v>0</v>
      </c>
      <c r="BQ112" s="931">
        <f t="shared" si="95"/>
        <v>0</v>
      </c>
      <c r="BR112" s="931">
        <f t="shared" si="95"/>
        <v>0</v>
      </c>
      <c r="BS112" s="931">
        <f t="shared" si="95"/>
        <v>0</v>
      </c>
      <c r="BT112" s="931">
        <f t="shared" ref="BT112:BY112" si="96">CEILING(($F$112+BT108+BT110), 50)*BT105</f>
        <v>0</v>
      </c>
      <c r="BU112" s="931">
        <f t="shared" si="96"/>
        <v>0</v>
      </c>
      <c r="BV112" s="931">
        <f t="shared" si="96"/>
        <v>0</v>
      </c>
      <c r="BW112" s="931">
        <f t="shared" si="96"/>
        <v>0</v>
      </c>
      <c r="BX112" s="931">
        <f t="shared" si="96"/>
        <v>0</v>
      </c>
      <c r="BY112" s="931">
        <f t="shared" si="96"/>
        <v>0</v>
      </c>
      <c r="BZ112" s="931">
        <f t="shared" si="95"/>
        <v>0</v>
      </c>
      <c r="CA112" s="931">
        <f t="shared" si="95"/>
        <v>0</v>
      </c>
      <c r="CB112" s="931">
        <f t="shared" si="95"/>
        <v>0</v>
      </c>
      <c r="CC112" s="931">
        <f t="shared" si="95"/>
        <v>0</v>
      </c>
      <c r="CD112" s="931">
        <f t="shared" si="95"/>
        <v>0</v>
      </c>
      <c r="CE112" s="931">
        <f t="shared" ref="CE112:EQ112" si="97">CEILING(($F$112+CE108+CE110), 50)*CE105</f>
        <v>0</v>
      </c>
      <c r="CF112" s="931">
        <f t="shared" si="97"/>
        <v>0</v>
      </c>
      <c r="CG112" s="931">
        <f t="shared" si="97"/>
        <v>0</v>
      </c>
      <c r="CH112" s="931">
        <f t="shared" si="97"/>
        <v>0</v>
      </c>
      <c r="CI112" s="931">
        <f t="shared" si="97"/>
        <v>0</v>
      </c>
      <c r="CJ112" s="931">
        <f t="shared" si="97"/>
        <v>0</v>
      </c>
      <c r="CK112" s="931">
        <f t="shared" si="97"/>
        <v>0</v>
      </c>
      <c r="CL112" s="931">
        <f t="shared" si="97"/>
        <v>0</v>
      </c>
      <c r="CM112" s="931">
        <f t="shared" si="97"/>
        <v>0</v>
      </c>
      <c r="CN112" s="931">
        <f t="shared" si="97"/>
        <v>0</v>
      </c>
      <c r="CO112" s="931">
        <f t="shared" si="97"/>
        <v>0</v>
      </c>
      <c r="CP112" s="931">
        <f t="shared" si="97"/>
        <v>0</v>
      </c>
      <c r="CQ112" s="931">
        <f t="shared" si="97"/>
        <v>0</v>
      </c>
      <c r="CR112" s="931">
        <f t="shared" si="97"/>
        <v>0</v>
      </c>
      <c r="CS112" s="931">
        <f t="shared" si="97"/>
        <v>0</v>
      </c>
      <c r="CT112" s="931">
        <f t="shared" si="97"/>
        <v>0</v>
      </c>
      <c r="CU112" s="931">
        <f t="shared" si="97"/>
        <v>0</v>
      </c>
      <c r="CV112" s="931">
        <f t="shared" si="97"/>
        <v>0</v>
      </c>
      <c r="CW112" s="931">
        <f t="shared" si="97"/>
        <v>0</v>
      </c>
      <c r="CX112" s="931">
        <f t="shared" si="97"/>
        <v>0</v>
      </c>
      <c r="CY112" s="931">
        <f t="shared" si="97"/>
        <v>0</v>
      </c>
      <c r="CZ112" s="1096"/>
      <c r="DA112" s="931">
        <f t="shared" si="97"/>
        <v>0</v>
      </c>
      <c r="DB112" s="931">
        <f t="shared" si="97"/>
        <v>0</v>
      </c>
      <c r="DC112" s="931">
        <f t="shared" si="97"/>
        <v>0</v>
      </c>
      <c r="DD112" s="931">
        <f t="shared" si="97"/>
        <v>0</v>
      </c>
      <c r="DE112" s="931">
        <f t="shared" si="97"/>
        <v>0</v>
      </c>
      <c r="DF112" s="931">
        <f t="shared" si="97"/>
        <v>0</v>
      </c>
      <c r="DG112" s="931">
        <f t="shared" si="97"/>
        <v>0</v>
      </c>
      <c r="DH112" s="931">
        <f t="shared" si="97"/>
        <v>0</v>
      </c>
      <c r="DI112" s="931">
        <f t="shared" si="97"/>
        <v>0</v>
      </c>
      <c r="DJ112" s="931">
        <f t="shared" si="97"/>
        <v>0</v>
      </c>
      <c r="DK112" s="931">
        <f t="shared" si="97"/>
        <v>0</v>
      </c>
      <c r="DL112" s="931">
        <f t="shared" si="97"/>
        <v>0</v>
      </c>
      <c r="DM112" s="931">
        <f t="shared" si="97"/>
        <v>0</v>
      </c>
      <c r="DN112" s="931">
        <f t="shared" si="97"/>
        <v>0</v>
      </c>
      <c r="DO112" s="931">
        <f t="shared" si="97"/>
        <v>0</v>
      </c>
      <c r="DP112" s="931">
        <f t="shared" si="97"/>
        <v>0</v>
      </c>
      <c r="DQ112" s="931">
        <f t="shared" si="97"/>
        <v>0</v>
      </c>
      <c r="DR112" s="931">
        <f t="shared" si="97"/>
        <v>0</v>
      </c>
      <c r="DS112" s="931">
        <f t="shared" si="97"/>
        <v>0</v>
      </c>
      <c r="DT112" s="931">
        <f t="shared" si="97"/>
        <v>0</v>
      </c>
      <c r="DU112" s="931">
        <f t="shared" si="97"/>
        <v>0</v>
      </c>
      <c r="DV112" s="931">
        <f t="shared" si="97"/>
        <v>0</v>
      </c>
      <c r="DW112" s="931">
        <f t="shared" si="97"/>
        <v>0</v>
      </c>
      <c r="DX112" s="931">
        <f t="shared" si="97"/>
        <v>0</v>
      </c>
      <c r="DY112" s="931">
        <f t="shared" si="97"/>
        <v>0</v>
      </c>
      <c r="DZ112" s="931">
        <f t="shared" si="97"/>
        <v>0</v>
      </c>
      <c r="EA112" s="931">
        <f t="shared" si="97"/>
        <v>0</v>
      </c>
      <c r="EB112" s="931">
        <f t="shared" si="97"/>
        <v>0</v>
      </c>
      <c r="EC112" s="931">
        <f t="shared" si="97"/>
        <v>0</v>
      </c>
      <c r="ED112" s="931">
        <f t="shared" si="97"/>
        <v>0</v>
      </c>
      <c r="EE112" s="931">
        <f t="shared" si="97"/>
        <v>0</v>
      </c>
      <c r="EF112" s="931">
        <f t="shared" si="97"/>
        <v>0</v>
      </c>
      <c r="EG112" s="931">
        <f t="shared" si="97"/>
        <v>0</v>
      </c>
      <c r="EH112" s="931">
        <f t="shared" si="97"/>
        <v>0</v>
      </c>
      <c r="EI112" s="931">
        <f t="shared" si="97"/>
        <v>0</v>
      </c>
      <c r="EJ112" s="931">
        <f t="shared" si="97"/>
        <v>0</v>
      </c>
      <c r="EK112" s="931">
        <f t="shared" si="97"/>
        <v>0</v>
      </c>
      <c r="EL112" s="931">
        <f t="shared" si="97"/>
        <v>0</v>
      </c>
      <c r="EM112" s="931">
        <f t="shared" si="97"/>
        <v>11150</v>
      </c>
      <c r="EN112" s="2716">
        <f t="shared" si="97"/>
        <v>10700</v>
      </c>
      <c r="EO112" s="2716">
        <f t="shared" si="97"/>
        <v>12350</v>
      </c>
      <c r="EP112" s="2716">
        <f t="shared" si="97"/>
        <v>12100</v>
      </c>
      <c r="EQ112" s="2716">
        <f t="shared" si="97"/>
        <v>0</v>
      </c>
      <c r="ER112" s="2716">
        <f>CEILING(($F$112+ER108+ER110), 50)*ER105</f>
        <v>0</v>
      </c>
      <c r="ES112" s="2716">
        <f>CEILING(($F$112+ES108+ES110), 50)*ES105</f>
        <v>0</v>
      </c>
      <c r="ET112" s="2716">
        <f>CEILING(($F$112+ET108+ET110), 50)*ET105</f>
        <v>0</v>
      </c>
      <c r="EU112" s="2716">
        <f>CEILING(($F$112+EU108+EU110), 50)*EU105</f>
        <v>1750</v>
      </c>
      <c r="EV112" s="2716">
        <f>CEILING(($F$112+EV108+EV110), 50)*EV105</f>
        <v>0</v>
      </c>
      <c r="EW112" s="15"/>
    </row>
    <row r="113" spans="1:153" s="25" customFormat="1" ht="15.75" hidden="1" outlineLevel="2">
      <c r="A113" s="5236"/>
      <c r="B113" s="5236"/>
      <c r="C113" s="4619" t="s">
        <v>243</v>
      </c>
      <c r="D113" s="5236"/>
      <c r="E113" s="889" t="s">
        <v>1264</v>
      </c>
      <c r="F113" s="953">
        <f>F92</f>
        <v>1032.75</v>
      </c>
      <c r="G113" s="931">
        <f t="shared" ref="G113:L113" si="98">CEILING(($F$113+G108+G110), 50)*G105</f>
        <v>6850</v>
      </c>
      <c r="H113" s="931">
        <f t="shared" si="98"/>
        <v>5200</v>
      </c>
      <c r="I113" s="931">
        <f t="shared" si="98"/>
        <v>6000</v>
      </c>
      <c r="J113" s="931">
        <f t="shared" si="98"/>
        <v>0</v>
      </c>
      <c r="K113" s="931">
        <f t="shared" si="98"/>
        <v>0</v>
      </c>
      <c r="L113" s="931">
        <f t="shared" si="98"/>
        <v>5400</v>
      </c>
      <c r="M113" s="931">
        <f>FLOOR(($F$113+M108+M110), 500)*M105</f>
        <v>7500</v>
      </c>
      <c r="N113" s="931">
        <f>FLOOR(($F$113+N108+N110), 500)*N105</f>
        <v>9500</v>
      </c>
      <c r="O113" s="931">
        <f t="shared" ref="O113:BH113" si="99">CEILING(($F$113+O108+O110), 50)*O105</f>
        <v>0</v>
      </c>
      <c r="P113" s="931">
        <f t="shared" si="99"/>
        <v>0</v>
      </c>
      <c r="Q113" s="931">
        <f t="shared" si="99"/>
        <v>0</v>
      </c>
      <c r="R113" s="931">
        <f t="shared" si="99"/>
        <v>0</v>
      </c>
      <c r="S113" s="931">
        <f t="shared" si="99"/>
        <v>0</v>
      </c>
      <c r="T113" s="931">
        <f t="shared" si="99"/>
        <v>0</v>
      </c>
      <c r="U113" s="931">
        <f t="shared" si="99"/>
        <v>0</v>
      </c>
      <c r="V113" s="931">
        <f t="shared" si="99"/>
        <v>0</v>
      </c>
      <c r="W113" s="931">
        <f t="shared" si="99"/>
        <v>0</v>
      </c>
      <c r="X113" s="931">
        <f t="shared" si="99"/>
        <v>0</v>
      </c>
      <c r="Y113" s="931">
        <f t="shared" si="99"/>
        <v>0</v>
      </c>
      <c r="Z113" s="931">
        <f t="shared" si="99"/>
        <v>0</v>
      </c>
      <c r="AA113" s="931">
        <f t="shared" si="99"/>
        <v>0</v>
      </c>
      <c r="AB113" s="931">
        <f t="shared" si="99"/>
        <v>0</v>
      </c>
      <c r="AC113" s="931">
        <f t="shared" si="99"/>
        <v>0</v>
      </c>
      <c r="AD113" s="931">
        <f t="shared" si="99"/>
        <v>0</v>
      </c>
      <c r="AE113" s="931">
        <f t="shared" si="99"/>
        <v>0</v>
      </c>
      <c r="AF113" s="931">
        <f t="shared" si="99"/>
        <v>0</v>
      </c>
      <c r="AG113" s="931">
        <f t="shared" si="99"/>
        <v>0</v>
      </c>
      <c r="AH113" s="931">
        <f t="shared" si="99"/>
        <v>0</v>
      </c>
      <c r="AI113" s="931">
        <f t="shared" si="99"/>
        <v>0</v>
      </c>
      <c r="AJ113" s="931">
        <f t="shared" si="99"/>
        <v>0</v>
      </c>
      <c r="AK113" s="931">
        <f t="shared" si="99"/>
        <v>0</v>
      </c>
      <c r="AL113" s="931">
        <f t="shared" si="99"/>
        <v>0</v>
      </c>
      <c r="AM113" s="931">
        <f t="shared" si="99"/>
        <v>0</v>
      </c>
      <c r="AN113" s="931">
        <f t="shared" si="99"/>
        <v>0</v>
      </c>
      <c r="AO113" s="931">
        <f t="shared" si="99"/>
        <v>0</v>
      </c>
      <c r="AP113" s="931">
        <f t="shared" si="99"/>
        <v>0</v>
      </c>
      <c r="AQ113" s="931">
        <f t="shared" si="99"/>
        <v>0</v>
      </c>
      <c r="AR113" s="931">
        <f t="shared" si="99"/>
        <v>0</v>
      </c>
      <c r="AS113" s="931">
        <f t="shared" si="99"/>
        <v>0</v>
      </c>
      <c r="AT113" s="931">
        <f t="shared" si="99"/>
        <v>0</v>
      </c>
      <c r="AU113" s="931">
        <f t="shared" si="99"/>
        <v>0</v>
      </c>
      <c r="AV113" s="931">
        <f t="shared" si="99"/>
        <v>0</v>
      </c>
      <c r="AW113" s="931">
        <f t="shared" si="99"/>
        <v>0</v>
      </c>
      <c r="AX113" s="931">
        <f t="shared" si="99"/>
        <v>0</v>
      </c>
      <c r="AY113" s="931">
        <f t="shared" si="99"/>
        <v>0</v>
      </c>
      <c r="AZ113" s="931">
        <f t="shared" si="99"/>
        <v>0</v>
      </c>
      <c r="BA113" s="931">
        <f t="shared" si="99"/>
        <v>0</v>
      </c>
      <c r="BB113" s="931">
        <f t="shared" si="99"/>
        <v>0</v>
      </c>
      <c r="BC113" s="931">
        <f t="shared" si="99"/>
        <v>0</v>
      </c>
      <c r="BD113" s="931">
        <f t="shared" si="99"/>
        <v>0</v>
      </c>
      <c r="BE113" s="931">
        <f t="shared" si="99"/>
        <v>0</v>
      </c>
      <c r="BF113" s="931">
        <f t="shared" si="99"/>
        <v>0</v>
      </c>
      <c r="BG113" s="931">
        <f t="shared" si="99"/>
        <v>0</v>
      </c>
      <c r="BH113" s="931">
        <f t="shared" si="99"/>
        <v>0</v>
      </c>
      <c r="BI113" s="931">
        <f t="shared" ref="BI113:CD113" si="100">CEILING(($F$113+BI108+BI110), 50)*BI105</f>
        <v>0</v>
      </c>
      <c r="BJ113" s="931">
        <f>CEILING(($F$113+BJ108+BJ110), 50)*BJ105</f>
        <v>8700</v>
      </c>
      <c r="BK113" s="931">
        <f>CEILING(($F$113+BK108+BK110), 50)*BK105</f>
        <v>0</v>
      </c>
      <c r="BL113" s="931">
        <f t="shared" si="100"/>
        <v>0</v>
      </c>
      <c r="BM113" s="931">
        <f t="shared" si="100"/>
        <v>0</v>
      </c>
      <c r="BN113" s="931">
        <f t="shared" si="100"/>
        <v>0</v>
      </c>
      <c r="BO113" s="931">
        <f t="shared" si="100"/>
        <v>0</v>
      </c>
      <c r="BP113" s="931">
        <f t="shared" si="100"/>
        <v>0</v>
      </c>
      <c r="BQ113" s="931">
        <f t="shared" si="100"/>
        <v>0</v>
      </c>
      <c r="BR113" s="931">
        <f t="shared" si="100"/>
        <v>0</v>
      </c>
      <c r="BS113" s="931">
        <f t="shared" si="100"/>
        <v>0</v>
      </c>
      <c r="BT113" s="931">
        <f t="shared" ref="BT113:BY113" si="101">CEILING(($F$113+BT108+BT110), 50)*BT105</f>
        <v>0</v>
      </c>
      <c r="BU113" s="931">
        <f t="shared" si="101"/>
        <v>0</v>
      </c>
      <c r="BV113" s="931">
        <f t="shared" si="101"/>
        <v>0</v>
      </c>
      <c r="BW113" s="931">
        <f t="shared" si="101"/>
        <v>0</v>
      </c>
      <c r="BX113" s="931">
        <f t="shared" si="101"/>
        <v>0</v>
      </c>
      <c r="BY113" s="931">
        <f t="shared" si="101"/>
        <v>0</v>
      </c>
      <c r="BZ113" s="931">
        <f t="shared" si="100"/>
        <v>0</v>
      </c>
      <c r="CA113" s="931">
        <f t="shared" si="100"/>
        <v>0</v>
      </c>
      <c r="CB113" s="931">
        <f t="shared" si="100"/>
        <v>0</v>
      </c>
      <c r="CC113" s="931">
        <f t="shared" si="100"/>
        <v>0</v>
      </c>
      <c r="CD113" s="931">
        <f t="shared" si="100"/>
        <v>0</v>
      </c>
      <c r="CE113" s="931">
        <f t="shared" ref="CE113:EQ113" si="102">CEILING(($F$113+CE108+CE110), 50)*CE105</f>
        <v>0</v>
      </c>
      <c r="CF113" s="931">
        <f t="shared" si="102"/>
        <v>0</v>
      </c>
      <c r="CG113" s="931">
        <f t="shared" si="102"/>
        <v>0</v>
      </c>
      <c r="CH113" s="931">
        <f t="shared" si="102"/>
        <v>0</v>
      </c>
      <c r="CI113" s="931">
        <f t="shared" si="102"/>
        <v>0</v>
      </c>
      <c r="CJ113" s="931">
        <f t="shared" si="102"/>
        <v>0</v>
      </c>
      <c r="CK113" s="931">
        <f t="shared" si="102"/>
        <v>0</v>
      </c>
      <c r="CL113" s="931">
        <f t="shared" si="102"/>
        <v>0</v>
      </c>
      <c r="CM113" s="931">
        <f t="shared" si="102"/>
        <v>0</v>
      </c>
      <c r="CN113" s="931">
        <f t="shared" si="102"/>
        <v>0</v>
      </c>
      <c r="CO113" s="931">
        <f t="shared" si="102"/>
        <v>0</v>
      </c>
      <c r="CP113" s="931">
        <f t="shared" si="102"/>
        <v>0</v>
      </c>
      <c r="CQ113" s="931">
        <f t="shared" si="102"/>
        <v>0</v>
      </c>
      <c r="CR113" s="931">
        <f t="shared" si="102"/>
        <v>0</v>
      </c>
      <c r="CS113" s="931">
        <f t="shared" si="102"/>
        <v>0</v>
      </c>
      <c r="CT113" s="931">
        <f t="shared" si="102"/>
        <v>0</v>
      </c>
      <c r="CU113" s="931">
        <f t="shared" si="102"/>
        <v>0</v>
      </c>
      <c r="CV113" s="931">
        <f t="shared" si="102"/>
        <v>0</v>
      </c>
      <c r="CW113" s="931">
        <f t="shared" si="102"/>
        <v>0</v>
      </c>
      <c r="CX113" s="931">
        <f t="shared" si="102"/>
        <v>0</v>
      </c>
      <c r="CY113" s="931">
        <f t="shared" si="102"/>
        <v>0</v>
      </c>
      <c r="CZ113" s="1096"/>
      <c r="DA113" s="931">
        <f t="shared" si="102"/>
        <v>0</v>
      </c>
      <c r="DB113" s="931">
        <f t="shared" si="102"/>
        <v>0</v>
      </c>
      <c r="DC113" s="931">
        <f t="shared" si="102"/>
        <v>0</v>
      </c>
      <c r="DD113" s="931">
        <f t="shared" si="102"/>
        <v>0</v>
      </c>
      <c r="DE113" s="931">
        <f t="shared" si="102"/>
        <v>0</v>
      </c>
      <c r="DF113" s="931">
        <f t="shared" si="102"/>
        <v>0</v>
      </c>
      <c r="DG113" s="931">
        <f t="shared" si="102"/>
        <v>0</v>
      </c>
      <c r="DH113" s="931">
        <f t="shared" si="102"/>
        <v>0</v>
      </c>
      <c r="DI113" s="931">
        <f t="shared" si="102"/>
        <v>0</v>
      </c>
      <c r="DJ113" s="931">
        <f t="shared" si="102"/>
        <v>0</v>
      </c>
      <c r="DK113" s="931">
        <f t="shared" si="102"/>
        <v>0</v>
      </c>
      <c r="DL113" s="931">
        <f t="shared" si="102"/>
        <v>0</v>
      </c>
      <c r="DM113" s="931">
        <f t="shared" si="102"/>
        <v>0</v>
      </c>
      <c r="DN113" s="931">
        <f t="shared" si="102"/>
        <v>0</v>
      </c>
      <c r="DO113" s="931">
        <f t="shared" si="102"/>
        <v>0</v>
      </c>
      <c r="DP113" s="931">
        <f t="shared" si="102"/>
        <v>0</v>
      </c>
      <c r="DQ113" s="931">
        <f t="shared" si="102"/>
        <v>0</v>
      </c>
      <c r="DR113" s="931">
        <f t="shared" si="102"/>
        <v>0</v>
      </c>
      <c r="DS113" s="931">
        <f t="shared" si="102"/>
        <v>0</v>
      </c>
      <c r="DT113" s="931">
        <f t="shared" si="102"/>
        <v>0</v>
      </c>
      <c r="DU113" s="931">
        <f t="shared" si="102"/>
        <v>0</v>
      </c>
      <c r="DV113" s="931">
        <f t="shared" si="102"/>
        <v>0</v>
      </c>
      <c r="DW113" s="931">
        <f t="shared" si="102"/>
        <v>0</v>
      </c>
      <c r="DX113" s="931">
        <f t="shared" si="102"/>
        <v>0</v>
      </c>
      <c r="DY113" s="931">
        <f t="shared" si="102"/>
        <v>0</v>
      </c>
      <c r="DZ113" s="931">
        <f t="shared" si="102"/>
        <v>0</v>
      </c>
      <c r="EA113" s="931">
        <f t="shared" si="102"/>
        <v>0</v>
      </c>
      <c r="EB113" s="931">
        <f t="shared" si="102"/>
        <v>0</v>
      </c>
      <c r="EC113" s="931">
        <f t="shared" si="102"/>
        <v>0</v>
      </c>
      <c r="ED113" s="931">
        <f t="shared" si="102"/>
        <v>0</v>
      </c>
      <c r="EE113" s="931">
        <f t="shared" si="102"/>
        <v>0</v>
      </c>
      <c r="EF113" s="931">
        <f t="shared" si="102"/>
        <v>0</v>
      </c>
      <c r="EG113" s="931">
        <f t="shared" si="102"/>
        <v>0</v>
      </c>
      <c r="EH113" s="931">
        <f t="shared" si="102"/>
        <v>0</v>
      </c>
      <c r="EI113" s="931">
        <f t="shared" si="102"/>
        <v>0</v>
      </c>
      <c r="EJ113" s="931">
        <f t="shared" si="102"/>
        <v>0</v>
      </c>
      <c r="EK113" s="931">
        <f t="shared" si="102"/>
        <v>0</v>
      </c>
      <c r="EL113" s="931">
        <f t="shared" si="102"/>
        <v>0</v>
      </c>
      <c r="EM113" s="931">
        <f t="shared" si="102"/>
        <v>11600</v>
      </c>
      <c r="EN113" s="2716">
        <f t="shared" si="102"/>
        <v>11150</v>
      </c>
      <c r="EO113" s="2716">
        <f t="shared" si="102"/>
        <v>12800</v>
      </c>
      <c r="EP113" s="2716">
        <f t="shared" si="102"/>
        <v>12550</v>
      </c>
      <c r="EQ113" s="2716">
        <f t="shared" si="102"/>
        <v>0</v>
      </c>
      <c r="ER113" s="2716">
        <f>CEILING(($F$113+ER108+ER110), 50)*ER105</f>
        <v>0</v>
      </c>
      <c r="ES113" s="2716">
        <f>CEILING(($F$113+ES108+ES110), 50)*ES105</f>
        <v>0</v>
      </c>
      <c r="ET113" s="2716">
        <f>CEILING(($F$113+ET108+ET110), 50)*ET105</f>
        <v>0</v>
      </c>
      <c r="EU113" s="2716">
        <f>CEILING(($F$113+EU108+EU110), 50)*EU105</f>
        <v>2200</v>
      </c>
      <c r="EV113" s="2716">
        <f>CEILING(($F$113+EV108+EV110), 50)*EV105</f>
        <v>0</v>
      </c>
      <c r="EW113" s="15"/>
    </row>
    <row r="114" spans="1:153" s="897" customFormat="1" ht="15" hidden="1" customHeight="1" outlineLevel="1">
      <c r="A114" s="895" t="s">
        <v>1256</v>
      </c>
      <c r="B114" s="5231" t="s">
        <v>1305</v>
      </c>
      <c r="C114" s="5232"/>
      <c r="D114" s="896"/>
      <c r="E114" s="896"/>
      <c r="F114" s="896"/>
      <c r="G114" s="242"/>
      <c r="H114" s="242"/>
      <c r="I114" s="242"/>
      <c r="J114" s="242"/>
      <c r="K114" s="242"/>
      <c r="L114" s="242"/>
      <c r="M114" s="242"/>
      <c r="N114" s="242"/>
      <c r="O114" s="242"/>
      <c r="P114" s="242"/>
      <c r="Q114" s="242"/>
      <c r="R114" s="242"/>
      <c r="S114" s="242"/>
      <c r="T114" s="242"/>
      <c r="U114" s="242"/>
      <c r="V114" s="242"/>
      <c r="W114" s="242"/>
      <c r="X114" s="242"/>
      <c r="Y114" s="242"/>
      <c r="Z114" s="242"/>
      <c r="AA114" s="242"/>
      <c r="AB114" s="242"/>
      <c r="AC114" s="242"/>
      <c r="AD114" s="242"/>
      <c r="AE114" s="242"/>
      <c r="AF114" s="242"/>
      <c r="AG114" s="242"/>
      <c r="AH114" s="242"/>
      <c r="AI114" s="242"/>
      <c r="AJ114" s="242"/>
      <c r="AL114" s="242"/>
      <c r="AM114" s="242"/>
      <c r="AN114" s="242"/>
      <c r="AO114" s="242"/>
      <c r="AP114" s="242"/>
      <c r="AQ114" s="242"/>
      <c r="AR114" s="242"/>
      <c r="AS114" s="242"/>
      <c r="AT114" s="242"/>
      <c r="AU114" s="242"/>
      <c r="AV114" s="242"/>
      <c r="AW114" s="242"/>
      <c r="AX114" s="242"/>
      <c r="AY114" s="242"/>
      <c r="AZ114" s="242"/>
      <c r="BA114" s="242"/>
      <c r="BB114" s="242"/>
      <c r="BC114" s="242"/>
      <c r="BD114" s="242"/>
      <c r="BE114" s="242"/>
      <c r="BF114" s="242"/>
      <c r="BG114" s="242"/>
      <c r="BH114" s="242"/>
      <c r="BI114" s="242"/>
      <c r="BJ114" s="242"/>
      <c r="BK114" s="242"/>
      <c r="BL114" s="242"/>
      <c r="BM114" s="242"/>
      <c r="BN114" s="242"/>
      <c r="BO114" s="242"/>
      <c r="BP114" s="242"/>
      <c r="BQ114" s="242"/>
      <c r="BR114" s="242"/>
      <c r="BS114" s="242"/>
      <c r="BT114" s="242"/>
      <c r="BU114" s="242"/>
      <c r="BV114" s="242"/>
      <c r="BW114" s="242"/>
      <c r="BX114" s="242"/>
      <c r="BY114" s="242"/>
      <c r="BZ114" s="242"/>
      <c r="CA114" s="242"/>
      <c r="CB114" s="242"/>
      <c r="CC114" s="242"/>
      <c r="CD114" s="242"/>
      <c r="CE114" s="242"/>
      <c r="CF114" s="242"/>
      <c r="CG114" s="242"/>
      <c r="CH114" s="242"/>
      <c r="CI114" s="242"/>
      <c r="CJ114" s="242"/>
      <c r="CK114" s="242"/>
      <c r="CL114" s="242"/>
      <c r="CM114" s="242"/>
      <c r="CN114" s="242"/>
      <c r="CO114" s="242"/>
      <c r="CP114" s="242"/>
      <c r="CQ114" s="242"/>
      <c r="CR114" s="242"/>
      <c r="CS114" s="242"/>
      <c r="CT114" s="242"/>
      <c r="CU114" s="242"/>
      <c r="CV114" s="242"/>
      <c r="CW114" s="242"/>
      <c r="CX114" s="242"/>
      <c r="CY114" s="242"/>
      <c r="CZ114" s="242"/>
      <c r="DA114" s="242"/>
      <c r="DB114" s="242"/>
      <c r="DC114" s="242"/>
      <c r="DD114" s="242"/>
      <c r="DE114" s="242"/>
      <c r="DF114" s="242"/>
      <c r="DG114" s="242"/>
      <c r="DH114" s="242"/>
      <c r="DI114" s="242"/>
      <c r="DJ114" s="242"/>
      <c r="DK114" s="242"/>
      <c r="DL114" s="242"/>
      <c r="DM114" s="242"/>
      <c r="DN114" s="242"/>
      <c r="DO114" s="242"/>
      <c r="DP114" s="242"/>
      <c r="DQ114" s="242"/>
      <c r="DR114" s="242"/>
      <c r="DS114" s="242"/>
      <c r="DT114" s="242"/>
      <c r="DU114" s="242"/>
      <c r="DV114" s="242"/>
      <c r="DW114" s="242"/>
      <c r="DX114" s="242"/>
      <c r="DY114" s="242"/>
      <c r="DZ114" s="242"/>
      <c r="EA114" s="242"/>
      <c r="EB114" s="242"/>
      <c r="EC114" s="242"/>
      <c r="ED114" s="242"/>
      <c r="EE114" s="242"/>
      <c r="EF114" s="242"/>
      <c r="EG114" s="242"/>
      <c r="EH114" s="242"/>
      <c r="EI114" s="242"/>
      <c r="EJ114" s="242"/>
      <c r="EK114" s="242"/>
      <c r="EL114" s="242"/>
      <c r="EM114" s="242"/>
      <c r="EN114" s="441"/>
      <c r="EO114" s="441"/>
      <c r="EP114" s="441"/>
      <c r="EQ114" s="441"/>
      <c r="ER114" s="441"/>
      <c r="ES114" s="441"/>
      <c r="ET114" s="441"/>
      <c r="EU114" s="441"/>
      <c r="EV114" s="441"/>
      <c r="EW114" s="15"/>
    </row>
    <row r="115" spans="1:153" s="897" customFormat="1" ht="15" hidden="1" customHeight="1" outlineLevel="2">
      <c r="A115" s="914" t="s">
        <v>1286</v>
      </c>
      <c r="B115" s="923">
        <v>44652</v>
      </c>
      <c r="C115" s="923">
        <v>44487</v>
      </c>
      <c r="D115" s="923">
        <v>43647</v>
      </c>
      <c r="E115" s="896"/>
      <c r="F115" s="896"/>
      <c r="G115" s="242"/>
      <c r="H115" s="242"/>
      <c r="I115" s="242"/>
      <c r="J115" s="242"/>
      <c r="K115" s="242"/>
      <c r="L115" s="242"/>
      <c r="M115" s="242"/>
      <c r="N115" s="242"/>
      <c r="O115" s="242"/>
      <c r="P115" s="242"/>
      <c r="Q115" s="242"/>
      <c r="R115" s="242"/>
      <c r="S115" s="242"/>
      <c r="T115" s="242"/>
      <c r="U115" s="242"/>
      <c r="V115" s="242"/>
      <c r="W115" s="242"/>
      <c r="X115" s="242"/>
      <c r="Y115" s="242"/>
      <c r="Z115" s="242"/>
      <c r="AA115" s="242"/>
      <c r="AB115" s="242"/>
      <c r="AC115" s="242"/>
      <c r="AD115" s="242"/>
      <c r="AE115" s="242"/>
      <c r="AF115" s="242"/>
      <c r="AG115" s="242"/>
      <c r="AH115" s="242"/>
      <c r="AI115" s="242"/>
      <c r="AJ115" s="242"/>
      <c r="AL115" s="242"/>
      <c r="AM115" s="242"/>
      <c r="AN115" s="242"/>
      <c r="AO115" s="242"/>
      <c r="AP115" s="242"/>
      <c r="AQ115" s="242"/>
      <c r="AR115" s="242"/>
      <c r="AS115" s="242"/>
      <c r="AT115" s="242"/>
      <c r="AU115" s="242"/>
      <c r="AV115" s="242"/>
      <c r="AW115" s="242"/>
      <c r="AX115" s="242"/>
      <c r="AY115" s="242"/>
      <c r="AZ115" s="242"/>
      <c r="BA115" s="242"/>
      <c r="BB115" s="242"/>
      <c r="BC115" s="242"/>
      <c r="BD115" s="242"/>
      <c r="BE115" s="242"/>
      <c r="BF115" s="242"/>
      <c r="BG115" s="242"/>
      <c r="BH115" s="242"/>
      <c r="BI115" s="242"/>
      <c r="BJ115" s="242"/>
      <c r="BK115" s="242"/>
      <c r="BL115" s="242"/>
      <c r="BM115" s="242"/>
      <c r="BN115" s="242"/>
      <c r="BO115" s="242"/>
      <c r="BP115" s="242"/>
      <c r="BQ115" s="242"/>
      <c r="BR115" s="242"/>
      <c r="BS115" s="242"/>
      <c r="BT115" s="242"/>
      <c r="BU115" s="242"/>
      <c r="BV115" s="242"/>
      <c r="BW115" s="242"/>
      <c r="BX115" s="242"/>
      <c r="BY115" s="242"/>
      <c r="BZ115" s="242"/>
      <c r="CA115" s="242"/>
      <c r="CB115" s="242"/>
      <c r="CC115" s="242"/>
      <c r="CD115" s="242"/>
      <c r="CE115" s="242"/>
      <c r="CF115" s="242"/>
      <c r="CG115" s="242"/>
      <c r="CH115" s="242"/>
      <c r="CI115" s="242"/>
      <c r="CJ115" s="242"/>
      <c r="CK115" s="242"/>
      <c r="CL115" s="242"/>
      <c r="CM115" s="242"/>
      <c r="CN115" s="242"/>
      <c r="CO115" s="242"/>
      <c r="CP115" s="242"/>
      <c r="CQ115" s="242"/>
      <c r="CR115" s="242"/>
      <c r="CS115" s="242"/>
      <c r="CT115" s="242"/>
      <c r="CU115" s="242"/>
      <c r="CV115" s="242"/>
      <c r="CW115" s="242"/>
      <c r="CX115" s="242"/>
      <c r="CY115" s="242"/>
      <c r="CZ115" s="242"/>
      <c r="DA115" s="242"/>
      <c r="DB115" s="242"/>
      <c r="DC115" s="242"/>
      <c r="DD115" s="242"/>
      <c r="DE115" s="242"/>
      <c r="DF115" s="242"/>
      <c r="DG115" s="242"/>
      <c r="DH115" s="242"/>
      <c r="DI115" s="242"/>
      <c r="DJ115" s="242"/>
      <c r="DK115" s="242"/>
      <c r="DL115" s="242"/>
      <c r="DM115" s="242"/>
      <c r="DN115" s="242"/>
      <c r="DO115" s="242"/>
      <c r="DP115" s="242"/>
      <c r="DQ115" s="242"/>
      <c r="DR115" s="242"/>
      <c r="DS115" s="242"/>
      <c r="DT115" s="242"/>
      <c r="DU115" s="242"/>
      <c r="DV115" s="242"/>
      <c r="DW115" s="242"/>
      <c r="DX115" s="242"/>
      <c r="DY115" s="242"/>
      <c r="DZ115" s="242"/>
      <c r="EA115" s="242"/>
      <c r="EB115" s="242"/>
      <c r="EC115" s="242"/>
      <c r="ED115" s="242"/>
      <c r="EE115" s="242"/>
      <c r="EF115" s="242"/>
      <c r="EG115" s="242"/>
      <c r="EH115" s="242"/>
      <c r="EI115" s="242"/>
      <c r="EJ115" s="242"/>
      <c r="EK115" s="242"/>
      <c r="EL115" s="242"/>
      <c r="EM115" s="242"/>
      <c r="EN115" s="441"/>
      <c r="EO115" s="441"/>
      <c r="EP115" s="441"/>
      <c r="EQ115" s="441"/>
      <c r="ER115" s="441"/>
      <c r="ES115" s="441"/>
      <c r="ET115" s="441"/>
      <c r="EU115" s="441"/>
      <c r="EV115" s="441"/>
      <c r="EW115" s="15"/>
    </row>
    <row r="116" spans="1:153" s="897" customFormat="1" ht="15" hidden="1" customHeight="1" outlineLevel="2">
      <c r="A116" s="974" t="s">
        <v>1281</v>
      </c>
      <c r="B116" s="916">
        <f>CEILING(C116*1.1, 50)</f>
        <v>1400</v>
      </c>
      <c r="C116" s="916">
        <f>D116*1.1</f>
        <v>1265</v>
      </c>
      <c r="D116" s="916">
        <v>1150</v>
      </c>
      <c r="E116" s="896"/>
      <c r="F116" s="896"/>
      <c r="G116" s="242"/>
      <c r="H116" s="242"/>
      <c r="I116" s="242"/>
      <c r="J116" s="242"/>
      <c r="K116" s="242"/>
      <c r="L116" s="242"/>
      <c r="M116" s="242"/>
      <c r="N116" s="242"/>
      <c r="O116" s="242"/>
      <c r="P116" s="242"/>
      <c r="Q116" s="242"/>
      <c r="R116" s="242"/>
      <c r="S116" s="242"/>
      <c r="T116" s="242"/>
      <c r="U116" s="242"/>
      <c r="V116" s="242"/>
      <c r="W116" s="242"/>
      <c r="X116" s="242"/>
      <c r="Y116" s="242"/>
      <c r="Z116" s="242"/>
      <c r="AA116" s="242"/>
      <c r="AB116" s="242"/>
      <c r="AC116" s="242"/>
      <c r="AD116" s="242"/>
      <c r="AE116" s="242"/>
      <c r="AF116" s="242"/>
      <c r="AG116" s="242"/>
      <c r="AH116" s="242"/>
      <c r="AI116" s="242"/>
      <c r="AJ116" s="242"/>
      <c r="AL116" s="242"/>
      <c r="AM116" s="242"/>
      <c r="AN116" s="242"/>
      <c r="AO116" s="242"/>
      <c r="AP116" s="242"/>
      <c r="AQ116" s="242"/>
      <c r="AR116" s="242"/>
      <c r="AS116" s="242"/>
      <c r="AT116" s="242"/>
      <c r="AU116" s="242"/>
      <c r="AV116" s="242"/>
      <c r="AW116" s="242"/>
      <c r="AX116" s="242"/>
      <c r="AY116" s="242"/>
      <c r="AZ116" s="242"/>
      <c r="BA116" s="242"/>
      <c r="BB116" s="242"/>
      <c r="BC116" s="242"/>
      <c r="BD116" s="242"/>
      <c r="BE116" s="242"/>
      <c r="BF116" s="242"/>
      <c r="BG116" s="242"/>
      <c r="BH116" s="242"/>
      <c r="BI116" s="242"/>
      <c r="BJ116" s="242"/>
      <c r="BK116" s="242"/>
      <c r="BL116" s="242"/>
      <c r="BM116" s="242"/>
      <c r="BN116" s="242"/>
      <c r="BO116" s="242"/>
      <c r="BP116" s="242"/>
      <c r="BQ116" s="242"/>
      <c r="BR116" s="242"/>
      <c r="BS116" s="242"/>
      <c r="BT116" s="242"/>
      <c r="BU116" s="242"/>
      <c r="BV116" s="242"/>
      <c r="BW116" s="242"/>
      <c r="BX116" s="242"/>
      <c r="BY116" s="242"/>
      <c r="BZ116" s="242"/>
      <c r="CA116" s="242"/>
      <c r="CB116" s="242"/>
      <c r="CC116" s="242"/>
      <c r="CD116" s="242"/>
      <c r="CE116" s="242"/>
      <c r="CF116" s="242"/>
      <c r="CG116" s="242"/>
      <c r="CH116" s="242"/>
      <c r="CI116" s="242"/>
      <c r="CJ116" s="242"/>
      <c r="CK116" s="242"/>
      <c r="CL116" s="242"/>
      <c r="CM116" s="242"/>
      <c r="CN116" s="242"/>
      <c r="CO116" s="242"/>
      <c r="CP116" s="242"/>
      <c r="CQ116" s="242"/>
      <c r="CR116" s="242"/>
      <c r="CS116" s="242"/>
      <c r="CT116" s="242"/>
      <c r="CU116" s="242"/>
      <c r="CV116" s="242"/>
      <c r="CW116" s="242"/>
      <c r="CX116" s="242"/>
      <c r="CY116" s="242"/>
      <c r="CZ116" s="242"/>
      <c r="DA116" s="242"/>
      <c r="DB116" s="242"/>
      <c r="DC116" s="242"/>
      <c r="DD116" s="242"/>
      <c r="DE116" s="242"/>
      <c r="DF116" s="242"/>
      <c r="DG116" s="242"/>
      <c r="DH116" s="242"/>
      <c r="DI116" s="242"/>
      <c r="DJ116" s="242"/>
      <c r="DK116" s="242"/>
      <c r="DL116" s="242"/>
      <c r="DM116" s="242"/>
      <c r="DN116" s="242"/>
      <c r="DO116" s="242"/>
      <c r="DP116" s="242"/>
      <c r="DQ116" s="242"/>
      <c r="DR116" s="242"/>
      <c r="DS116" s="242"/>
      <c r="DT116" s="242"/>
      <c r="DU116" s="242"/>
      <c r="DV116" s="242"/>
      <c r="DW116" s="242"/>
      <c r="DX116" s="242"/>
      <c r="DY116" s="242"/>
      <c r="DZ116" s="242"/>
      <c r="EA116" s="242"/>
      <c r="EB116" s="242"/>
      <c r="EC116" s="242"/>
      <c r="ED116" s="242"/>
      <c r="EE116" s="242"/>
      <c r="EF116" s="242"/>
      <c r="EG116" s="242"/>
      <c r="EH116" s="242"/>
      <c r="EI116" s="242"/>
      <c r="EJ116" s="242"/>
      <c r="EK116" s="242"/>
      <c r="EL116" s="242"/>
      <c r="EM116" s="242"/>
      <c r="EN116" s="441"/>
      <c r="EO116" s="441"/>
      <c r="EP116" s="441"/>
      <c r="EQ116" s="441"/>
      <c r="ER116" s="441"/>
      <c r="ES116" s="441"/>
      <c r="ET116" s="441"/>
      <c r="EU116" s="441"/>
      <c r="EV116" s="441"/>
      <c r="EW116" s="15"/>
    </row>
    <row r="117" spans="1:153" s="897" customFormat="1" ht="15" hidden="1" customHeight="1" outlineLevel="2">
      <c r="A117" s="915" t="s">
        <v>1283</v>
      </c>
      <c r="B117" s="916">
        <f>CEILING(C117*1.1, 50)</f>
        <v>1900</v>
      </c>
      <c r="C117" s="916">
        <f>D117*1.1</f>
        <v>1705.0000000000002</v>
      </c>
      <c r="D117" s="916">
        <v>1550</v>
      </c>
      <c r="E117" s="896"/>
      <c r="F117" s="896"/>
      <c r="G117" s="242"/>
      <c r="H117" s="242"/>
      <c r="I117" s="242"/>
      <c r="J117" s="242"/>
      <c r="K117" s="242"/>
      <c r="L117" s="242"/>
      <c r="M117" s="242"/>
      <c r="N117" s="242"/>
      <c r="O117" s="242"/>
      <c r="P117" s="242"/>
      <c r="Q117" s="242"/>
      <c r="R117" s="242"/>
      <c r="S117" s="242"/>
      <c r="T117" s="242"/>
      <c r="U117" s="242"/>
      <c r="V117" s="242"/>
      <c r="W117" s="242"/>
      <c r="X117" s="242"/>
      <c r="Y117" s="242"/>
      <c r="Z117" s="242"/>
      <c r="AA117" s="242"/>
      <c r="AB117" s="242"/>
      <c r="AC117" s="242"/>
      <c r="AD117" s="242"/>
      <c r="AE117" s="242"/>
      <c r="AF117" s="242"/>
      <c r="AG117" s="242"/>
      <c r="AH117" s="242"/>
      <c r="AI117" s="242"/>
      <c r="AJ117" s="242"/>
      <c r="AL117" s="242"/>
      <c r="AM117" s="242"/>
      <c r="AN117" s="242"/>
      <c r="AO117" s="242"/>
      <c r="AP117" s="242"/>
      <c r="AQ117" s="242"/>
      <c r="AR117" s="242"/>
      <c r="AS117" s="242"/>
      <c r="AT117" s="242"/>
      <c r="AU117" s="242"/>
      <c r="AV117" s="242"/>
      <c r="AW117" s="242"/>
      <c r="AX117" s="242"/>
      <c r="AY117" s="242"/>
      <c r="AZ117" s="242"/>
      <c r="BA117" s="242"/>
      <c r="BB117" s="242"/>
      <c r="BC117" s="242"/>
      <c r="BD117" s="242"/>
      <c r="BE117" s="242"/>
      <c r="BF117" s="242"/>
      <c r="BG117" s="242"/>
      <c r="BH117" s="242"/>
      <c r="BI117" s="242"/>
      <c r="BJ117" s="242"/>
      <c r="BK117" s="242"/>
      <c r="BL117" s="242"/>
      <c r="BM117" s="242"/>
      <c r="BN117" s="242"/>
      <c r="BO117" s="242"/>
      <c r="BP117" s="242"/>
      <c r="BQ117" s="242"/>
      <c r="BR117" s="242"/>
      <c r="BS117" s="242"/>
      <c r="BT117" s="242"/>
      <c r="BU117" s="242"/>
      <c r="BV117" s="242"/>
      <c r="BW117" s="242"/>
      <c r="BX117" s="242"/>
      <c r="BY117" s="242"/>
      <c r="BZ117" s="242"/>
      <c r="CA117" s="242"/>
      <c r="CB117" s="242"/>
      <c r="CC117" s="242"/>
      <c r="CD117" s="242"/>
      <c r="CE117" s="242"/>
      <c r="CF117" s="242"/>
      <c r="CG117" s="242"/>
      <c r="CH117" s="242"/>
      <c r="CI117" s="242"/>
      <c r="CJ117" s="242"/>
      <c r="CK117" s="242"/>
      <c r="CL117" s="242"/>
      <c r="CM117" s="242"/>
      <c r="CN117" s="242"/>
      <c r="CO117" s="242"/>
      <c r="CP117" s="242"/>
      <c r="CQ117" s="242"/>
      <c r="CR117" s="242"/>
      <c r="CS117" s="242"/>
      <c r="CT117" s="242"/>
      <c r="CU117" s="242"/>
      <c r="CV117" s="242"/>
      <c r="CW117" s="242"/>
      <c r="CX117" s="242"/>
      <c r="CY117" s="242"/>
      <c r="CZ117" s="242"/>
      <c r="DA117" s="242"/>
      <c r="DB117" s="242"/>
      <c r="DC117" s="242"/>
      <c r="DD117" s="242"/>
      <c r="DE117" s="242"/>
      <c r="DF117" s="242"/>
      <c r="DG117" s="242"/>
      <c r="DH117" s="242"/>
      <c r="DI117" s="242"/>
      <c r="DJ117" s="242"/>
      <c r="DK117" s="242"/>
      <c r="DL117" s="242"/>
      <c r="DM117" s="242"/>
      <c r="DN117" s="242"/>
      <c r="DO117" s="242"/>
      <c r="DP117" s="242"/>
      <c r="DQ117" s="242"/>
      <c r="DR117" s="242"/>
      <c r="DS117" s="242"/>
      <c r="DT117" s="242"/>
      <c r="DU117" s="242"/>
      <c r="DV117" s="242"/>
      <c r="DW117" s="242"/>
      <c r="DX117" s="242"/>
      <c r="DY117" s="242"/>
      <c r="DZ117" s="242"/>
      <c r="EA117" s="242"/>
      <c r="EB117" s="242"/>
      <c r="EC117" s="242"/>
      <c r="ED117" s="242"/>
      <c r="EE117" s="242"/>
      <c r="EF117" s="242"/>
      <c r="EG117" s="242"/>
      <c r="EH117" s="242"/>
      <c r="EI117" s="242"/>
      <c r="EJ117" s="242"/>
      <c r="EK117" s="242"/>
      <c r="EL117" s="242"/>
      <c r="EM117" s="242"/>
      <c r="EN117" s="441"/>
      <c r="EO117" s="441"/>
      <c r="EP117" s="441"/>
      <c r="EQ117" s="441"/>
      <c r="ER117" s="441"/>
      <c r="ES117" s="441"/>
      <c r="ET117" s="441"/>
      <c r="EU117" s="441"/>
      <c r="EV117" s="441"/>
      <c r="EW117" s="15"/>
    </row>
    <row r="118" spans="1:153" s="897" customFormat="1" ht="15" hidden="1" customHeight="1" outlineLevel="2">
      <c r="A118" s="974" t="s">
        <v>1282</v>
      </c>
      <c r="B118" s="916">
        <f>CEILING(C118*1.1, 50)</f>
        <v>1400</v>
      </c>
      <c r="C118" s="916">
        <f>D118*1.1</f>
        <v>1265</v>
      </c>
      <c r="D118" s="916">
        <f>D116</f>
        <v>1150</v>
      </c>
      <c r="E118" s="896"/>
      <c r="F118" s="896"/>
      <c r="G118" s="242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2"/>
      <c r="V118" s="242"/>
      <c r="W118" s="242"/>
      <c r="X118" s="242"/>
      <c r="Y118" s="242"/>
      <c r="Z118" s="242"/>
      <c r="AA118" s="242"/>
      <c r="AB118" s="242"/>
      <c r="AC118" s="242"/>
      <c r="AD118" s="242"/>
      <c r="AE118" s="242"/>
      <c r="AF118" s="242"/>
      <c r="AG118" s="242"/>
      <c r="AH118" s="242"/>
      <c r="AI118" s="242"/>
      <c r="AJ118" s="242"/>
      <c r="AL118" s="242"/>
      <c r="AM118" s="242"/>
      <c r="AN118" s="242"/>
      <c r="AO118" s="242"/>
      <c r="AP118" s="242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  <c r="CY118" s="242"/>
      <c r="CZ118" s="242"/>
      <c r="DA118" s="242"/>
      <c r="DB118" s="242"/>
      <c r="DC118" s="242"/>
      <c r="DD118" s="242"/>
      <c r="DE118" s="242"/>
      <c r="DF118" s="242"/>
      <c r="DG118" s="242"/>
      <c r="DH118" s="242"/>
      <c r="DI118" s="242"/>
      <c r="DJ118" s="242"/>
      <c r="DK118" s="242"/>
      <c r="DL118" s="242"/>
      <c r="DM118" s="242"/>
      <c r="DN118" s="242"/>
      <c r="DO118" s="242"/>
      <c r="DP118" s="242"/>
      <c r="DQ118" s="242"/>
      <c r="DR118" s="242"/>
      <c r="DS118" s="242"/>
      <c r="DT118" s="242"/>
      <c r="DU118" s="242"/>
      <c r="DV118" s="242"/>
      <c r="DW118" s="242"/>
      <c r="DX118" s="242"/>
      <c r="DY118" s="242"/>
      <c r="DZ118" s="242"/>
      <c r="EA118" s="242"/>
      <c r="EB118" s="242"/>
      <c r="EC118" s="242"/>
      <c r="ED118" s="242"/>
      <c r="EE118" s="242"/>
      <c r="EF118" s="242"/>
      <c r="EG118" s="242"/>
      <c r="EH118" s="242"/>
      <c r="EI118" s="242"/>
      <c r="EJ118" s="242"/>
      <c r="EK118" s="242"/>
      <c r="EL118" s="242"/>
      <c r="EM118" s="242"/>
      <c r="EN118" s="441"/>
      <c r="EO118" s="441"/>
      <c r="EP118" s="441"/>
      <c r="EQ118" s="441"/>
      <c r="ER118" s="441"/>
      <c r="ES118" s="441"/>
      <c r="ET118" s="441"/>
      <c r="EU118" s="441"/>
      <c r="EV118" s="441"/>
      <c r="EW118" s="15"/>
    </row>
    <row r="119" spans="1:153" s="897" customFormat="1" ht="15" hidden="1" customHeight="1" outlineLevel="2">
      <c r="A119" s="915" t="s">
        <v>1284</v>
      </c>
      <c r="B119" s="916">
        <f>CEILING(C119*1.1, 50)</f>
        <v>1900</v>
      </c>
      <c r="C119" s="916">
        <f>D119*1.1</f>
        <v>1705.0000000000002</v>
      </c>
      <c r="D119" s="916">
        <f>D117</f>
        <v>1550</v>
      </c>
      <c r="E119" s="242"/>
      <c r="F119" s="242"/>
      <c r="G119" s="242"/>
      <c r="H119" s="242"/>
      <c r="I119" s="242"/>
      <c r="J119" s="242"/>
      <c r="K119" s="242"/>
      <c r="L119" s="242"/>
      <c r="M119" s="242"/>
      <c r="N119" s="242"/>
      <c r="O119" s="242"/>
      <c r="P119" s="242"/>
      <c r="Q119" s="242"/>
      <c r="R119" s="242"/>
      <c r="S119" s="242"/>
      <c r="T119" s="242"/>
      <c r="U119" s="242"/>
      <c r="V119" s="242"/>
      <c r="W119" s="242"/>
      <c r="X119" s="242"/>
      <c r="Y119" s="242"/>
      <c r="Z119" s="242"/>
      <c r="AA119" s="242"/>
      <c r="AB119" s="242"/>
      <c r="AC119" s="242"/>
      <c r="AD119" s="242"/>
      <c r="AE119" s="242"/>
      <c r="AF119" s="242"/>
      <c r="AG119" s="242"/>
      <c r="AH119" s="242"/>
      <c r="AI119" s="242"/>
      <c r="AJ119" s="242"/>
      <c r="AL119" s="242"/>
      <c r="AM119" s="242"/>
      <c r="AN119" s="242"/>
      <c r="AO119" s="242"/>
      <c r="AP119" s="242"/>
      <c r="AQ119" s="242"/>
      <c r="AR119" s="242"/>
      <c r="AS119" s="242"/>
      <c r="AT119" s="242"/>
      <c r="AU119" s="242"/>
      <c r="AV119" s="242"/>
      <c r="AW119" s="242"/>
      <c r="AX119" s="242"/>
      <c r="AY119" s="242"/>
      <c r="AZ119" s="242"/>
      <c r="BA119" s="242"/>
      <c r="BB119" s="242"/>
      <c r="BC119" s="242"/>
      <c r="BD119" s="242"/>
      <c r="BE119" s="242"/>
      <c r="BF119" s="242"/>
      <c r="BG119" s="242"/>
      <c r="BH119" s="242"/>
      <c r="BI119" s="242"/>
      <c r="BJ119" s="242"/>
      <c r="BK119" s="242"/>
      <c r="BL119" s="242"/>
      <c r="BM119" s="242"/>
      <c r="BN119" s="242"/>
      <c r="BO119" s="242"/>
      <c r="BP119" s="242"/>
      <c r="BQ119" s="242"/>
      <c r="BR119" s="242"/>
      <c r="BS119" s="242"/>
      <c r="BT119" s="242"/>
      <c r="BU119" s="242"/>
      <c r="BV119" s="242"/>
      <c r="BW119" s="242"/>
      <c r="BX119" s="242"/>
      <c r="BY119" s="242"/>
      <c r="BZ119" s="242"/>
      <c r="CA119" s="242"/>
      <c r="CB119" s="242"/>
      <c r="CC119" s="242"/>
      <c r="CD119" s="242"/>
      <c r="CE119" s="242"/>
      <c r="CF119" s="242"/>
      <c r="CG119" s="242"/>
      <c r="CH119" s="242"/>
      <c r="CI119" s="242"/>
      <c r="CJ119" s="242"/>
      <c r="CK119" s="242"/>
      <c r="CL119" s="242"/>
      <c r="CM119" s="242"/>
      <c r="CN119" s="242"/>
      <c r="CO119" s="242"/>
      <c r="CP119" s="242"/>
      <c r="CQ119" s="242"/>
      <c r="CR119" s="242"/>
      <c r="CS119" s="242"/>
      <c r="CT119" s="242"/>
      <c r="CU119" s="242"/>
      <c r="CV119" s="242"/>
      <c r="CW119" s="242"/>
      <c r="CX119" s="242"/>
      <c r="CY119" s="242"/>
      <c r="CZ119" s="242"/>
      <c r="DA119" s="242"/>
      <c r="DB119" s="242"/>
      <c r="DC119" s="242"/>
      <c r="DD119" s="242"/>
      <c r="DE119" s="242"/>
      <c r="DF119" s="242"/>
      <c r="DG119" s="242"/>
      <c r="DH119" s="242"/>
      <c r="DI119" s="242"/>
      <c r="DJ119" s="242"/>
      <c r="DK119" s="242"/>
      <c r="DL119" s="242"/>
      <c r="DM119" s="242"/>
      <c r="DN119" s="242"/>
      <c r="DO119" s="242"/>
      <c r="DP119" s="242"/>
      <c r="DQ119" s="242"/>
      <c r="DR119" s="242"/>
      <c r="DS119" s="242"/>
      <c r="DT119" s="242"/>
      <c r="DU119" s="242"/>
      <c r="DV119" s="242"/>
      <c r="DW119" s="242"/>
      <c r="DX119" s="242"/>
      <c r="DY119" s="242"/>
      <c r="DZ119" s="242"/>
      <c r="EA119" s="242"/>
      <c r="EB119" s="242"/>
      <c r="EC119" s="242"/>
      <c r="ED119" s="242"/>
      <c r="EE119" s="242"/>
      <c r="EF119" s="242"/>
      <c r="EG119" s="242"/>
      <c r="EH119" s="242"/>
      <c r="EI119" s="242"/>
      <c r="EJ119" s="242"/>
      <c r="EK119" s="242"/>
      <c r="EL119" s="242"/>
      <c r="EM119" s="242"/>
      <c r="EN119" s="441"/>
      <c r="EO119" s="441"/>
      <c r="EP119" s="441"/>
      <c r="EQ119" s="441"/>
      <c r="ER119" s="441"/>
      <c r="ES119" s="441"/>
      <c r="ET119" s="441"/>
      <c r="EU119" s="441"/>
      <c r="EV119" s="441"/>
      <c r="EW119" s="15"/>
    </row>
    <row r="120" spans="1:153" s="897" customFormat="1" ht="15" hidden="1" customHeight="1" outlineLevel="2">
      <c r="A120" s="915" t="s">
        <v>1285</v>
      </c>
      <c r="B120" s="916">
        <f>CEILING(C120*1.1, 50)</f>
        <v>2150</v>
      </c>
      <c r="C120" s="916">
        <f>D120*1.1</f>
        <v>1925.0000000000002</v>
      </c>
      <c r="D120" s="916">
        <v>1750</v>
      </c>
      <c r="E120" s="242"/>
      <c r="F120" s="242"/>
      <c r="G120" s="242"/>
      <c r="H120" s="242"/>
      <c r="I120" s="242"/>
      <c r="J120" s="242"/>
      <c r="K120" s="242"/>
      <c r="L120" s="242"/>
      <c r="M120" s="242"/>
      <c r="N120" s="242"/>
      <c r="O120" s="242"/>
      <c r="P120" s="242"/>
      <c r="Q120" s="242"/>
      <c r="R120" s="242"/>
      <c r="S120" s="242"/>
      <c r="T120" s="242"/>
      <c r="U120" s="242"/>
      <c r="V120" s="242"/>
      <c r="W120" s="242"/>
      <c r="X120" s="242"/>
      <c r="Y120" s="242"/>
      <c r="Z120" s="242"/>
      <c r="AA120" s="242"/>
      <c r="AB120" s="242"/>
      <c r="AC120" s="242"/>
      <c r="AD120" s="242"/>
      <c r="AE120" s="242"/>
      <c r="AF120" s="242"/>
      <c r="AG120" s="242"/>
      <c r="AH120" s="242"/>
      <c r="AI120" s="242"/>
      <c r="AJ120" s="242"/>
      <c r="AL120" s="242"/>
      <c r="AM120" s="242"/>
      <c r="AN120" s="242"/>
      <c r="AO120" s="242"/>
      <c r="AP120" s="242"/>
      <c r="AQ120" s="242"/>
      <c r="AR120" s="242"/>
      <c r="AS120" s="242"/>
      <c r="AT120" s="242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242"/>
      <c r="DJ120" s="242"/>
      <c r="DK120" s="242"/>
      <c r="DL120" s="242"/>
      <c r="DM120" s="242"/>
      <c r="DN120" s="242"/>
      <c r="DO120" s="242"/>
      <c r="DP120" s="242"/>
      <c r="DQ120" s="242"/>
      <c r="DR120" s="242"/>
      <c r="DS120" s="242"/>
      <c r="DT120" s="242"/>
      <c r="DU120" s="242"/>
      <c r="DV120" s="242"/>
      <c r="DW120" s="242"/>
      <c r="DX120" s="242"/>
      <c r="DY120" s="242"/>
      <c r="DZ120" s="242"/>
      <c r="EA120" s="242"/>
      <c r="EB120" s="242"/>
      <c r="EC120" s="242"/>
      <c r="ED120" s="242"/>
      <c r="EE120" s="242"/>
      <c r="EF120" s="242"/>
      <c r="EG120" s="242"/>
      <c r="EH120" s="242"/>
      <c r="EI120" s="242"/>
      <c r="EJ120" s="242"/>
      <c r="EK120" s="242"/>
      <c r="EL120" s="242"/>
      <c r="EM120" s="242"/>
      <c r="EN120" s="441"/>
      <c r="EO120" s="441"/>
      <c r="EP120" s="441"/>
      <c r="EQ120" s="441"/>
      <c r="ER120" s="441"/>
      <c r="ES120" s="441"/>
      <c r="ET120" s="441"/>
      <c r="EU120" s="441"/>
      <c r="EV120" s="441"/>
      <c r="EW120" s="15"/>
    </row>
    <row r="121" spans="1:153" s="813" customFormat="1" ht="36" hidden="1" customHeight="1" outlineLevel="2" collapsed="1">
      <c r="A121" s="819"/>
      <c r="B121" s="819"/>
      <c r="C121" s="819"/>
      <c r="D121" s="819"/>
      <c r="E121" s="819"/>
      <c r="F121" s="819"/>
      <c r="G121" s="824" t="s">
        <v>1099</v>
      </c>
      <c r="H121" s="824" t="s">
        <v>1098</v>
      </c>
      <c r="I121" s="824" t="s">
        <v>1100</v>
      </c>
      <c r="J121" s="824" t="s">
        <v>1101</v>
      </c>
      <c r="K121" s="824" t="s">
        <v>1102</v>
      </c>
      <c r="L121" s="824" t="s">
        <v>1103</v>
      </c>
      <c r="M121" s="824" t="s">
        <v>1104</v>
      </c>
      <c r="N121" s="824" t="s">
        <v>1105</v>
      </c>
      <c r="O121" s="807" t="s">
        <v>1109</v>
      </c>
      <c r="P121" s="807" t="s">
        <v>1110</v>
      </c>
      <c r="Q121" s="807" t="s">
        <v>1111</v>
      </c>
      <c r="R121" s="807" t="s">
        <v>1107</v>
      </c>
      <c r="S121" s="807" t="s">
        <v>1106</v>
      </c>
      <c r="T121" s="807" t="s">
        <v>1108</v>
      </c>
      <c r="U121" s="817" t="s">
        <v>324</v>
      </c>
      <c r="V121" s="817" t="s">
        <v>323</v>
      </c>
      <c r="W121" s="817" t="s">
        <v>1076</v>
      </c>
      <c r="X121" s="816" t="s">
        <v>364</v>
      </c>
      <c r="Y121" s="816" t="s">
        <v>365</v>
      </c>
      <c r="Z121" s="816" t="s">
        <v>366</v>
      </c>
      <c r="AA121" s="816" t="s">
        <v>367</v>
      </c>
      <c r="AB121" s="816" t="s">
        <v>368</v>
      </c>
      <c r="AC121" s="816" t="s">
        <v>369</v>
      </c>
      <c r="AD121" s="816" t="s">
        <v>370</v>
      </c>
      <c r="AE121" s="816" t="s">
        <v>371</v>
      </c>
      <c r="AF121" s="886" t="s">
        <v>325</v>
      </c>
      <c r="AG121" s="886" t="s">
        <v>326</v>
      </c>
      <c r="AH121" s="886" t="s">
        <v>327</v>
      </c>
      <c r="AI121" s="886" t="s">
        <v>328</v>
      </c>
      <c r="AJ121" s="886" t="s">
        <v>329</v>
      </c>
      <c r="AK121" s="886" t="s">
        <v>743</v>
      </c>
      <c r="AL121" s="817" t="s">
        <v>744</v>
      </c>
      <c r="AM121" s="817" t="s">
        <v>745</v>
      </c>
      <c r="AN121" s="817" t="s">
        <v>922</v>
      </c>
      <c r="AO121" s="817" t="s">
        <v>900</v>
      </c>
      <c r="AP121" s="817" t="s">
        <v>746</v>
      </c>
      <c r="AQ121" s="817" t="s">
        <v>747</v>
      </c>
      <c r="AR121" s="817" t="s">
        <v>769</v>
      </c>
      <c r="AS121" s="817" t="s">
        <v>770</v>
      </c>
      <c r="AT121" s="807" t="s">
        <v>330</v>
      </c>
      <c r="AU121" s="807" t="s">
        <v>331</v>
      </c>
      <c r="AV121" s="807" t="s">
        <v>332</v>
      </c>
      <c r="AW121" s="807" t="s">
        <v>333</v>
      </c>
      <c r="AX121" s="807" t="s">
        <v>334</v>
      </c>
      <c r="AY121" s="825" t="s">
        <v>335</v>
      </c>
      <c r="AZ121" s="825" t="s">
        <v>336</v>
      </c>
      <c r="BA121" s="826" t="s">
        <v>337</v>
      </c>
      <c r="BB121" s="826" t="s">
        <v>338</v>
      </c>
      <c r="BC121" s="826" t="s">
        <v>339</v>
      </c>
      <c r="BD121" s="827" t="s">
        <v>340</v>
      </c>
      <c r="BE121" s="827" t="s">
        <v>341</v>
      </c>
      <c r="BF121" s="827" t="s">
        <v>342</v>
      </c>
      <c r="BG121" s="827" t="s">
        <v>343</v>
      </c>
      <c r="BH121" s="905" t="s">
        <v>1242</v>
      </c>
      <c r="BI121" s="892" t="s">
        <v>1243</v>
      </c>
      <c r="BJ121" s="886" t="s">
        <v>1113</v>
      </c>
      <c r="BK121" s="886" t="s">
        <v>1112</v>
      </c>
      <c r="BL121" s="886" t="s">
        <v>1114</v>
      </c>
      <c r="BM121" s="886" t="s">
        <v>1115</v>
      </c>
      <c r="BN121" s="886" t="s">
        <v>457</v>
      </c>
      <c r="BO121" s="807" t="s">
        <v>1077</v>
      </c>
      <c r="BP121" s="807" t="s">
        <v>1078</v>
      </c>
      <c r="BQ121" s="807" t="s">
        <v>1116</v>
      </c>
      <c r="BR121" s="886" t="s">
        <v>48</v>
      </c>
      <c r="BS121" s="886" t="s">
        <v>1117</v>
      </c>
      <c r="BT121" s="886" t="s">
        <v>1122</v>
      </c>
      <c r="BU121" s="886" t="s">
        <v>1127</v>
      </c>
      <c r="BV121" s="886" t="s">
        <v>1120</v>
      </c>
      <c r="BW121" s="886" t="s">
        <v>1125</v>
      </c>
      <c r="BX121" s="886" t="s">
        <v>1121</v>
      </c>
      <c r="BY121" s="886" t="s">
        <v>1126</v>
      </c>
      <c r="BZ121" s="886" t="s">
        <v>1118</v>
      </c>
      <c r="CA121" s="886" t="s">
        <v>1119</v>
      </c>
      <c r="CB121" s="886" t="s">
        <v>1123</v>
      </c>
      <c r="CC121" s="886" t="s">
        <v>1124</v>
      </c>
      <c r="CD121" s="807" t="s">
        <v>1128</v>
      </c>
      <c r="CE121" s="807" t="s">
        <v>1129</v>
      </c>
      <c r="CF121" s="807" t="s">
        <v>1130</v>
      </c>
      <c r="CG121" s="807" t="s">
        <v>1131</v>
      </c>
      <c r="CH121" s="807" t="s">
        <v>1132</v>
      </c>
      <c r="CI121" s="807" t="s">
        <v>1133</v>
      </c>
      <c r="CJ121" s="807" t="s">
        <v>1134</v>
      </c>
      <c r="CK121" s="807" t="s">
        <v>1135</v>
      </c>
      <c r="CL121" s="886" t="s">
        <v>394</v>
      </c>
      <c r="CM121" s="886" t="s">
        <v>395</v>
      </c>
      <c r="CN121" s="886" t="s">
        <v>396</v>
      </c>
      <c r="CO121" s="886" t="s">
        <v>397</v>
      </c>
      <c r="CP121" s="886" t="s">
        <v>1136</v>
      </c>
      <c r="CQ121" s="886" t="s">
        <v>1137</v>
      </c>
      <c r="CR121" s="886" t="s">
        <v>1138</v>
      </c>
      <c r="CS121" s="886" t="s">
        <v>1194</v>
      </c>
      <c r="CT121" s="886" t="s">
        <v>1193</v>
      </c>
      <c r="CU121" s="886" t="s">
        <v>1195</v>
      </c>
      <c r="CV121" s="886" t="s">
        <v>1139</v>
      </c>
      <c r="CW121" s="886" t="s">
        <v>1140</v>
      </c>
      <c r="CX121" s="886" t="s">
        <v>1141</v>
      </c>
      <c r="CY121" s="886" t="s">
        <v>1142</v>
      </c>
      <c r="CZ121" s="1016" t="s">
        <v>1196</v>
      </c>
      <c r="DA121" s="886" t="s">
        <v>1143</v>
      </c>
      <c r="DB121" s="886" t="s">
        <v>1144</v>
      </c>
      <c r="DC121" s="886" t="s">
        <v>321</v>
      </c>
      <c r="DD121" s="886"/>
      <c r="DE121" s="886"/>
      <c r="DF121" s="807" t="s">
        <v>1079</v>
      </c>
      <c r="DG121" s="807" t="s">
        <v>1080</v>
      </c>
      <c r="DH121" s="807" t="s">
        <v>1081</v>
      </c>
      <c r="DI121" s="807" t="s">
        <v>1082</v>
      </c>
      <c r="DJ121" s="807" t="s">
        <v>1083</v>
      </c>
      <c r="DK121" s="807" t="s">
        <v>1084</v>
      </c>
      <c r="DL121" s="807" t="s">
        <v>1085</v>
      </c>
      <c r="DM121" s="807" t="s">
        <v>1086</v>
      </c>
      <c r="DN121" s="807" t="s">
        <v>1087</v>
      </c>
      <c r="DO121" s="807" t="s">
        <v>1088</v>
      </c>
      <c r="DP121" s="807" t="s">
        <v>1089</v>
      </c>
      <c r="DQ121" s="807" t="s">
        <v>1090</v>
      </c>
      <c r="DR121" s="807" t="s">
        <v>1091</v>
      </c>
      <c r="DS121" s="807" t="s">
        <v>1092</v>
      </c>
      <c r="DT121" s="807" t="s">
        <v>1093</v>
      </c>
      <c r="DU121" s="807" t="s">
        <v>351</v>
      </c>
      <c r="DV121" s="807" t="s">
        <v>352</v>
      </c>
      <c r="DW121" s="807" t="s">
        <v>353</v>
      </c>
      <c r="DX121" s="807" t="s">
        <v>354</v>
      </c>
      <c r="DY121" s="807" t="s">
        <v>355</v>
      </c>
      <c r="DZ121" s="807" t="s">
        <v>356</v>
      </c>
      <c r="EA121" s="886" t="s">
        <v>345</v>
      </c>
      <c r="EB121" s="886" t="s">
        <v>346</v>
      </c>
      <c r="EC121" s="886" t="s">
        <v>347</v>
      </c>
      <c r="ED121" s="886" t="s">
        <v>348</v>
      </c>
      <c r="EE121" s="886" t="s">
        <v>349</v>
      </c>
      <c r="EF121" s="886" t="s">
        <v>350</v>
      </c>
      <c r="EG121" s="886" t="s">
        <v>357</v>
      </c>
      <c r="EH121" s="886" t="s">
        <v>358</v>
      </c>
      <c r="EI121" s="886" t="s">
        <v>359</v>
      </c>
      <c r="EJ121" s="807" t="s">
        <v>441</v>
      </c>
      <c r="EK121" s="807" t="s">
        <v>442</v>
      </c>
      <c r="EL121" s="886" t="s">
        <v>307</v>
      </c>
      <c r="EM121" s="886" t="s">
        <v>1145</v>
      </c>
      <c r="EN121" s="2596" t="s">
        <v>1146</v>
      </c>
      <c r="EO121" s="2596" t="s">
        <v>1147</v>
      </c>
      <c r="EP121" s="2596" t="s">
        <v>1148</v>
      </c>
      <c r="EQ121" s="2596" t="s">
        <v>1149</v>
      </c>
      <c r="ER121" s="2596" t="s">
        <v>1150</v>
      </c>
      <c r="ES121" s="807" t="s">
        <v>1094</v>
      </c>
      <c r="ET121" s="807" t="s">
        <v>1095</v>
      </c>
      <c r="EU121" s="815" t="s">
        <v>1096</v>
      </c>
      <c r="EV121" s="815" t="s">
        <v>1097</v>
      </c>
    </row>
    <row r="122" spans="1:153" s="813" customFormat="1" ht="15.75" hidden="1" outlineLevel="2">
      <c r="A122" s="5260" t="s">
        <v>1257</v>
      </c>
      <c r="B122" s="5260"/>
      <c r="C122" s="816"/>
      <c r="D122" s="816"/>
      <c r="E122" s="816"/>
      <c r="F122" s="816"/>
      <c r="G122" s="924">
        <v>0</v>
      </c>
      <c r="H122" s="924">
        <v>0</v>
      </c>
      <c r="I122" s="924">
        <v>0</v>
      </c>
      <c r="J122" s="924">
        <v>0</v>
      </c>
      <c r="K122" s="924">
        <v>0</v>
      </c>
      <c r="L122" s="924">
        <v>0</v>
      </c>
      <c r="M122" s="924">
        <v>0</v>
      </c>
      <c r="N122" s="924">
        <v>0</v>
      </c>
      <c r="O122" s="924">
        <v>0</v>
      </c>
      <c r="P122" s="924">
        <v>0</v>
      </c>
      <c r="Q122" s="924">
        <v>0</v>
      </c>
      <c r="R122" s="924">
        <v>0</v>
      </c>
      <c r="S122" s="924">
        <v>0</v>
      </c>
      <c r="T122" s="924">
        <v>0</v>
      </c>
      <c r="U122" s="924">
        <v>0</v>
      </c>
      <c r="V122" s="924">
        <v>0</v>
      </c>
      <c r="W122" s="924">
        <v>0</v>
      </c>
      <c r="X122" s="924">
        <v>0</v>
      </c>
      <c r="Y122" s="924">
        <v>0</v>
      </c>
      <c r="Z122" s="924">
        <v>0</v>
      </c>
      <c r="AA122" s="924">
        <v>0</v>
      </c>
      <c r="AB122" s="924">
        <v>0</v>
      </c>
      <c r="AC122" s="924">
        <v>0</v>
      </c>
      <c r="AD122" s="924">
        <v>0</v>
      </c>
      <c r="AE122" s="924">
        <v>0</v>
      </c>
      <c r="AF122" s="924">
        <v>0</v>
      </c>
      <c r="AG122" s="924">
        <v>0</v>
      </c>
      <c r="AH122" s="924">
        <v>0</v>
      </c>
      <c r="AI122" s="924">
        <v>0</v>
      </c>
      <c r="AJ122" s="924">
        <v>0</v>
      </c>
      <c r="AK122" s="924">
        <v>0</v>
      </c>
      <c r="AL122" s="924">
        <v>0</v>
      </c>
      <c r="AM122" s="924">
        <v>0</v>
      </c>
      <c r="AN122" s="924">
        <v>0</v>
      </c>
      <c r="AO122" s="924">
        <v>0</v>
      </c>
      <c r="AP122" s="924">
        <v>0</v>
      </c>
      <c r="AQ122" s="924">
        <v>0</v>
      </c>
      <c r="AR122" s="924">
        <v>0</v>
      </c>
      <c r="AS122" s="924">
        <v>0</v>
      </c>
      <c r="AT122" s="924">
        <v>0</v>
      </c>
      <c r="AU122" s="924">
        <v>0</v>
      </c>
      <c r="AV122" s="924">
        <v>0</v>
      </c>
      <c r="AW122" s="924">
        <v>0</v>
      </c>
      <c r="AX122" s="924">
        <v>0</v>
      </c>
      <c r="AY122" s="924">
        <v>0</v>
      </c>
      <c r="AZ122" s="924">
        <v>0</v>
      </c>
      <c r="BA122" s="924">
        <v>0</v>
      </c>
      <c r="BB122" s="924">
        <v>0</v>
      </c>
      <c r="BC122" s="924">
        <v>0</v>
      </c>
      <c r="BD122" s="924">
        <v>0</v>
      </c>
      <c r="BE122" s="924">
        <v>0</v>
      </c>
      <c r="BF122" s="924">
        <v>0</v>
      </c>
      <c r="BG122" s="924">
        <v>0</v>
      </c>
      <c r="BH122" s="924">
        <v>0</v>
      </c>
      <c r="BI122" s="924">
        <v>0</v>
      </c>
      <c r="BJ122" s="924">
        <v>0</v>
      </c>
      <c r="BK122" s="924">
        <v>0</v>
      </c>
      <c r="BL122" s="924">
        <v>0</v>
      </c>
      <c r="BM122" s="924">
        <v>0</v>
      </c>
      <c r="BN122" s="924">
        <v>0</v>
      </c>
      <c r="BO122" s="924">
        <v>0</v>
      </c>
      <c r="BP122" s="924">
        <v>0</v>
      </c>
      <c r="BQ122" s="924">
        <v>0</v>
      </c>
      <c r="BR122" s="924">
        <v>0</v>
      </c>
      <c r="BS122" s="924">
        <v>0</v>
      </c>
      <c r="BT122" s="924">
        <v>0</v>
      </c>
      <c r="BU122" s="924">
        <v>0</v>
      </c>
      <c r="BV122" s="924">
        <v>0</v>
      </c>
      <c r="BW122" s="924">
        <v>0.6</v>
      </c>
      <c r="BX122" s="924">
        <v>0</v>
      </c>
      <c r="BY122" s="924">
        <v>0.3</v>
      </c>
      <c r="BZ122" s="924">
        <v>0</v>
      </c>
      <c r="CA122" s="924">
        <v>0</v>
      </c>
      <c r="CB122" s="924">
        <v>0</v>
      </c>
      <c r="CC122" s="924">
        <v>0</v>
      </c>
      <c r="CD122" s="924">
        <v>0</v>
      </c>
      <c r="CE122" s="924">
        <v>0</v>
      </c>
      <c r="CF122" s="924">
        <v>0</v>
      </c>
      <c r="CG122" s="924">
        <v>0</v>
      </c>
      <c r="CH122" s="924">
        <v>0</v>
      </c>
      <c r="CI122" s="924">
        <v>0</v>
      </c>
      <c r="CJ122" s="924">
        <v>0</v>
      </c>
      <c r="CK122" s="924">
        <v>0</v>
      </c>
      <c r="CL122" s="924">
        <v>0</v>
      </c>
      <c r="CM122" s="924">
        <v>0</v>
      </c>
      <c r="CN122" s="924">
        <v>0</v>
      </c>
      <c r="CO122" s="924">
        <v>0</v>
      </c>
      <c r="CP122" s="924">
        <v>0</v>
      </c>
      <c r="CQ122" s="924">
        <v>0</v>
      </c>
      <c r="CR122" s="924">
        <v>0</v>
      </c>
      <c r="CS122" s="924">
        <v>0</v>
      </c>
      <c r="CT122" s="924">
        <v>0</v>
      </c>
      <c r="CU122" s="924">
        <v>0</v>
      </c>
      <c r="CV122" s="924">
        <v>0</v>
      </c>
      <c r="CW122" s="924">
        <v>0</v>
      </c>
      <c r="CX122" s="924">
        <v>0</v>
      </c>
      <c r="CY122" s="924">
        <v>0</v>
      </c>
      <c r="CZ122" s="1093"/>
      <c r="DA122" s="924">
        <v>0</v>
      </c>
      <c r="DB122" s="924">
        <v>0</v>
      </c>
      <c r="DC122" s="924">
        <v>0</v>
      </c>
      <c r="DD122" s="924">
        <v>0</v>
      </c>
      <c r="DE122" s="924">
        <v>0</v>
      </c>
      <c r="DF122" s="924">
        <v>0</v>
      </c>
      <c r="DG122" s="924">
        <v>0</v>
      </c>
      <c r="DH122" s="924">
        <v>0</v>
      </c>
      <c r="DI122" s="924">
        <v>0</v>
      </c>
      <c r="DJ122" s="924">
        <v>0</v>
      </c>
      <c r="DK122" s="924">
        <v>0</v>
      </c>
      <c r="DL122" s="924">
        <v>0</v>
      </c>
      <c r="DM122" s="924">
        <v>0</v>
      </c>
      <c r="DN122" s="924">
        <v>0</v>
      </c>
      <c r="DO122" s="924">
        <v>0</v>
      </c>
      <c r="DP122" s="924">
        <v>0</v>
      </c>
      <c r="DQ122" s="924">
        <v>0</v>
      </c>
      <c r="DR122" s="924">
        <v>0</v>
      </c>
      <c r="DS122" s="924">
        <v>0</v>
      </c>
      <c r="DT122" s="924">
        <v>0</v>
      </c>
      <c r="DU122" s="924">
        <v>0</v>
      </c>
      <c r="DV122" s="924">
        <v>0</v>
      </c>
      <c r="DW122" s="924">
        <v>0</v>
      </c>
      <c r="DX122" s="924">
        <v>0</v>
      </c>
      <c r="DY122" s="924">
        <v>0</v>
      </c>
      <c r="DZ122" s="924">
        <v>0</v>
      </c>
      <c r="EA122" s="924">
        <v>0</v>
      </c>
      <c r="EB122" s="924">
        <v>0</v>
      </c>
      <c r="EC122" s="924">
        <v>0</v>
      </c>
      <c r="ED122" s="924">
        <v>0</v>
      </c>
      <c r="EE122" s="924">
        <v>0</v>
      </c>
      <c r="EF122" s="924">
        <v>0</v>
      </c>
      <c r="EG122" s="924">
        <v>0</v>
      </c>
      <c r="EH122" s="924">
        <v>0</v>
      </c>
      <c r="EI122" s="924">
        <v>0</v>
      </c>
      <c r="EJ122" s="924">
        <v>0</v>
      </c>
      <c r="EK122" s="924">
        <v>0</v>
      </c>
      <c r="EL122" s="924">
        <v>0</v>
      </c>
      <c r="EM122" s="924">
        <v>0</v>
      </c>
      <c r="EN122" s="2711">
        <v>0</v>
      </c>
      <c r="EO122" s="2711">
        <v>0</v>
      </c>
      <c r="EP122" s="2711">
        <v>0</v>
      </c>
      <c r="EQ122" s="2711">
        <v>0</v>
      </c>
      <c r="ER122" s="2711">
        <v>0</v>
      </c>
      <c r="ES122" s="2711">
        <v>0</v>
      </c>
      <c r="ET122" s="2711">
        <v>0</v>
      </c>
      <c r="EU122" s="2711">
        <v>0</v>
      </c>
      <c r="EV122" s="2711">
        <v>0</v>
      </c>
    </row>
    <row r="123" spans="1:153" s="242" customFormat="1" ht="24" hidden="1" outlineLevel="2">
      <c r="A123" s="5252" t="s">
        <v>701</v>
      </c>
      <c r="B123" s="5252"/>
      <c r="C123" s="981" t="s">
        <v>227</v>
      </c>
      <c r="D123" s="979"/>
      <c r="E123" s="980"/>
      <c r="F123" s="977"/>
      <c r="G123" s="551">
        <f t="shared" ref="G123:BR123" si="103">CEILING($B$116*G122*$F$2*$F$3, 100)</f>
        <v>0</v>
      </c>
      <c r="H123" s="551">
        <f t="shared" si="103"/>
        <v>0</v>
      </c>
      <c r="I123" s="551">
        <f t="shared" si="103"/>
        <v>0</v>
      </c>
      <c r="J123" s="551">
        <f t="shared" si="103"/>
        <v>0</v>
      </c>
      <c r="K123" s="551">
        <f t="shared" si="103"/>
        <v>0</v>
      </c>
      <c r="L123" s="551">
        <f t="shared" si="103"/>
        <v>0</v>
      </c>
      <c r="M123" s="551">
        <f t="shared" si="103"/>
        <v>0</v>
      </c>
      <c r="N123" s="551">
        <f t="shared" si="103"/>
        <v>0</v>
      </c>
      <c r="O123" s="551">
        <f t="shared" si="103"/>
        <v>0</v>
      </c>
      <c r="P123" s="551">
        <f t="shared" si="103"/>
        <v>0</v>
      </c>
      <c r="Q123" s="551">
        <f t="shared" si="103"/>
        <v>0</v>
      </c>
      <c r="R123" s="551">
        <f t="shared" si="103"/>
        <v>0</v>
      </c>
      <c r="S123" s="551">
        <f t="shared" si="103"/>
        <v>0</v>
      </c>
      <c r="T123" s="551">
        <f t="shared" si="103"/>
        <v>0</v>
      </c>
      <c r="U123" s="551">
        <f t="shared" si="103"/>
        <v>0</v>
      </c>
      <c r="V123" s="551">
        <f t="shared" si="103"/>
        <v>0</v>
      </c>
      <c r="W123" s="551">
        <f t="shared" si="103"/>
        <v>0</v>
      </c>
      <c r="X123" s="551">
        <f t="shared" si="103"/>
        <v>0</v>
      </c>
      <c r="Y123" s="551">
        <f t="shared" si="103"/>
        <v>0</v>
      </c>
      <c r="Z123" s="551">
        <f t="shared" si="103"/>
        <v>0</v>
      </c>
      <c r="AA123" s="551">
        <f t="shared" si="103"/>
        <v>0</v>
      </c>
      <c r="AB123" s="551">
        <f t="shared" si="103"/>
        <v>0</v>
      </c>
      <c r="AC123" s="551">
        <f t="shared" si="103"/>
        <v>0</v>
      </c>
      <c r="AD123" s="551">
        <f t="shared" si="103"/>
        <v>0</v>
      </c>
      <c r="AE123" s="551">
        <f t="shared" si="103"/>
        <v>0</v>
      </c>
      <c r="AF123" s="551">
        <f t="shared" si="103"/>
        <v>0</v>
      </c>
      <c r="AG123" s="551">
        <f t="shared" si="103"/>
        <v>0</v>
      </c>
      <c r="AH123" s="551">
        <f t="shared" si="103"/>
        <v>0</v>
      </c>
      <c r="AI123" s="551">
        <f t="shared" si="103"/>
        <v>0</v>
      </c>
      <c r="AJ123" s="551">
        <f t="shared" si="103"/>
        <v>0</v>
      </c>
      <c r="AK123" s="551">
        <f t="shared" si="103"/>
        <v>0</v>
      </c>
      <c r="AL123" s="551">
        <f t="shared" si="103"/>
        <v>0</v>
      </c>
      <c r="AM123" s="551">
        <f t="shared" si="103"/>
        <v>0</v>
      </c>
      <c r="AN123" s="551">
        <f t="shared" si="103"/>
        <v>0</v>
      </c>
      <c r="AO123" s="551">
        <f t="shared" si="103"/>
        <v>0</v>
      </c>
      <c r="AP123" s="551">
        <f t="shared" si="103"/>
        <v>0</v>
      </c>
      <c r="AQ123" s="551">
        <f t="shared" si="103"/>
        <v>0</v>
      </c>
      <c r="AR123" s="551">
        <f t="shared" si="103"/>
        <v>0</v>
      </c>
      <c r="AS123" s="551">
        <f t="shared" si="103"/>
        <v>0</v>
      </c>
      <c r="AT123" s="551">
        <f t="shared" si="103"/>
        <v>0</v>
      </c>
      <c r="AU123" s="551">
        <f t="shared" si="103"/>
        <v>0</v>
      </c>
      <c r="AV123" s="551">
        <f t="shared" si="103"/>
        <v>0</v>
      </c>
      <c r="AW123" s="551">
        <f t="shared" si="103"/>
        <v>0</v>
      </c>
      <c r="AX123" s="551">
        <f t="shared" si="103"/>
        <v>0</v>
      </c>
      <c r="AY123" s="551">
        <f t="shared" si="103"/>
        <v>0</v>
      </c>
      <c r="AZ123" s="551">
        <f t="shared" si="103"/>
        <v>0</v>
      </c>
      <c r="BA123" s="551">
        <f t="shared" si="103"/>
        <v>0</v>
      </c>
      <c r="BB123" s="551">
        <f t="shared" si="103"/>
        <v>0</v>
      </c>
      <c r="BC123" s="551">
        <f t="shared" si="103"/>
        <v>0</v>
      </c>
      <c r="BD123" s="551">
        <f t="shared" si="103"/>
        <v>0</v>
      </c>
      <c r="BE123" s="551">
        <f t="shared" si="103"/>
        <v>0</v>
      </c>
      <c r="BF123" s="551">
        <f t="shared" si="103"/>
        <v>0</v>
      </c>
      <c r="BG123" s="551">
        <f t="shared" si="103"/>
        <v>0</v>
      </c>
      <c r="BH123" s="551">
        <f t="shared" si="103"/>
        <v>0</v>
      </c>
      <c r="BI123" s="551">
        <f t="shared" si="103"/>
        <v>0</v>
      </c>
      <c r="BJ123" s="551">
        <f t="shared" si="103"/>
        <v>0</v>
      </c>
      <c r="BK123" s="551">
        <f t="shared" si="103"/>
        <v>0</v>
      </c>
      <c r="BL123" s="551">
        <f t="shared" si="103"/>
        <v>0</v>
      </c>
      <c r="BM123" s="551">
        <f t="shared" si="103"/>
        <v>0</v>
      </c>
      <c r="BN123" s="551">
        <f t="shared" si="103"/>
        <v>0</v>
      </c>
      <c r="BO123" s="551">
        <f t="shared" si="103"/>
        <v>0</v>
      </c>
      <c r="BP123" s="551">
        <f t="shared" si="103"/>
        <v>0</v>
      </c>
      <c r="BQ123" s="551">
        <f t="shared" si="103"/>
        <v>0</v>
      </c>
      <c r="BR123" s="551">
        <f t="shared" si="103"/>
        <v>0</v>
      </c>
      <c r="BS123" s="551">
        <f t="shared" ref="BS123:CY123" si="104">CEILING($B$116*BS122*$F$2*$F$3, 100)</f>
        <v>0</v>
      </c>
      <c r="BT123" s="551">
        <f t="shared" si="104"/>
        <v>0</v>
      </c>
      <c r="BU123" s="551">
        <f t="shared" si="104"/>
        <v>0</v>
      </c>
      <c r="BV123" s="551">
        <f t="shared" si="104"/>
        <v>0</v>
      </c>
      <c r="BW123" s="551">
        <f t="shared" si="104"/>
        <v>2000</v>
      </c>
      <c r="BX123" s="551">
        <f t="shared" si="104"/>
        <v>0</v>
      </c>
      <c r="BY123" s="551">
        <f t="shared" si="104"/>
        <v>1000</v>
      </c>
      <c r="BZ123" s="551">
        <f t="shared" si="104"/>
        <v>0</v>
      </c>
      <c r="CA123" s="551">
        <f t="shared" si="104"/>
        <v>0</v>
      </c>
      <c r="CB123" s="551">
        <f t="shared" si="104"/>
        <v>0</v>
      </c>
      <c r="CC123" s="551">
        <f t="shared" si="104"/>
        <v>0</v>
      </c>
      <c r="CD123" s="551">
        <f t="shared" si="104"/>
        <v>0</v>
      </c>
      <c r="CE123" s="551">
        <f t="shared" si="104"/>
        <v>0</v>
      </c>
      <c r="CF123" s="551">
        <f t="shared" si="104"/>
        <v>0</v>
      </c>
      <c r="CG123" s="551">
        <f t="shared" si="104"/>
        <v>0</v>
      </c>
      <c r="CH123" s="551">
        <f t="shared" si="104"/>
        <v>0</v>
      </c>
      <c r="CI123" s="551">
        <f t="shared" si="104"/>
        <v>0</v>
      </c>
      <c r="CJ123" s="551">
        <f t="shared" si="104"/>
        <v>0</v>
      </c>
      <c r="CK123" s="551">
        <f t="shared" si="104"/>
        <v>0</v>
      </c>
      <c r="CL123" s="551">
        <f t="shared" si="104"/>
        <v>0</v>
      </c>
      <c r="CM123" s="551">
        <f t="shared" si="104"/>
        <v>0</v>
      </c>
      <c r="CN123" s="551">
        <f t="shared" si="104"/>
        <v>0</v>
      </c>
      <c r="CO123" s="551">
        <f t="shared" si="104"/>
        <v>0</v>
      </c>
      <c r="CP123" s="551">
        <f t="shared" si="104"/>
        <v>0</v>
      </c>
      <c r="CQ123" s="551">
        <f t="shared" si="104"/>
        <v>0</v>
      </c>
      <c r="CR123" s="551">
        <f t="shared" si="104"/>
        <v>0</v>
      </c>
      <c r="CS123" s="551">
        <f t="shared" si="104"/>
        <v>0</v>
      </c>
      <c r="CT123" s="551">
        <f t="shared" si="104"/>
        <v>0</v>
      </c>
      <c r="CU123" s="551">
        <f t="shared" si="104"/>
        <v>0</v>
      </c>
      <c r="CV123" s="551">
        <f t="shared" si="104"/>
        <v>0</v>
      </c>
      <c r="CW123" s="551">
        <f t="shared" si="104"/>
        <v>0</v>
      </c>
      <c r="CX123" s="551">
        <f t="shared" si="104"/>
        <v>0</v>
      </c>
      <c r="CY123" s="551">
        <f t="shared" si="104"/>
        <v>0</v>
      </c>
      <c r="CZ123" s="1083"/>
      <c r="DA123" s="551">
        <f t="shared" ref="DA123:ET123" si="105">CEILING($B$116*DA122*$F$2*$F$3, 100)</f>
        <v>0</v>
      </c>
      <c r="DB123" s="551">
        <f t="shared" si="105"/>
        <v>0</v>
      </c>
      <c r="DC123" s="551">
        <f t="shared" si="105"/>
        <v>0</v>
      </c>
      <c r="DD123" s="551">
        <f t="shared" si="105"/>
        <v>0</v>
      </c>
      <c r="DE123" s="551">
        <f t="shared" si="105"/>
        <v>0</v>
      </c>
      <c r="DF123" s="551">
        <f t="shared" si="105"/>
        <v>0</v>
      </c>
      <c r="DG123" s="551">
        <f t="shared" si="105"/>
        <v>0</v>
      </c>
      <c r="DH123" s="551">
        <f t="shared" si="105"/>
        <v>0</v>
      </c>
      <c r="DI123" s="551">
        <f t="shared" si="105"/>
        <v>0</v>
      </c>
      <c r="DJ123" s="551">
        <f t="shared" si="105"/>
        <v>0</v>
      </c>
      <c r="DK123" s="551">
        <f t="shared" si="105"/>
        <v>0</v>
      </c>
      <c r="DL123" s="551">
        <f t="shared" si="105"/>
        <v>0</v>
      </c>
      <c r="DM123" s="551">
        <f t="shared" si="105"/>
        <v>0</v>
      </c>
      <c r="DN123" s="551">
        <f t="shared" si="105"/>
        <v>0</v>
      </c>
      <c r="DO123" s="551">
        <f t="shared" si="105"/>
        <v>0</v>
      </c>
      <c r="DP123" s="551">
        <f t="shared" si="105"/>
        <v>0</v>
      </c>
      <c r="DQ123" s="551">
        <f t="shared" si="105"/>
        <v>0</v>
      </c>
      <c r="DR123" s="551">
        <f t="shared" si="105"/>
        <v>0</v>
      </c>
      <c r="DS123" s="551">
        <f t="shared" si="105"/>
        <v>0</v>
      </c>
      <c r="DT123" s="551">
        <f t="shared" si="105"/>
        <v>0</v>
      </c>
      <c r="DU123" s="551">
        <f t="shared" si="105"/>
        <v>0</v>
      </c>
      <c r="DV123" s="551">
        <f t="shared" si="105"/>
        <v>0</v>
      </c>
      <c r="DW123" s="551">
        <f t="shared" si="105"/>
        <v>0</v>
      </c>
      <c r="DX123" s="551">
        <f t="shared" si="105"/>
        <v>0</v>
      </c>
      <c r="DY123" s="551">
        <f t="shared" si="105"/>
        <v>0</v>
      </c>
      <c r="DZ123" s="551">
        <f t="shared" si="105"/>
        <v>0</v>
      </c>
      <c r="EA123" s="551">
        <f t="shared" si="105"/>
        <v>0</v>
      </c>
      <c r="EB123" s="551">
        <f t="shared" si="105"/>
        <v>0</v>
      </c>
      <c r="EC123" s="551">
        <f t="shared" si="105"/>
        <v>0</v>
      </c>
      <c r="ED123" s="551">
        <f t="shared" si="105"/>
        <v>0</v>
      </c>
      <c r="EE123" s="551">
        <f t="shared" si="105"/>
        <v>0</v>
      </c>
      <c r="EF123" s="551">
        <f t="shared" si="105"/>
        <v>0</v>
      </c>
      <c r="EG123" s="551">
        <f t="shared" si="105"/>
        <v>0</v>
      </c>
      <c r="EH123" s="551">
        <f t="shared" si="105"/>
        <v>0</v>
      </c>
      <c r="EI123" s="551">
        <f t="shared" si="105"/>
        <v>0</v>
      </c>
      <c r="EJ123" s="551">
        <f t="shared" si="105"/>
        <v>0</v>
      </c>
      <c r="EK123" s="551">
        <f t="shared" si="105"/>
        <v>0</v>
      </c>
      <c r="EL123" s="551">
        <f t="shared" si="105"/>
        <v>0</v>
      </c>
      <c r="EM123" s="551">
        <f t="shared" si="105"/>
        <v>0</v>
      </c>
      <c r="EN123" s="2708">
        <f t="shared" si="105"/>
        <v>0</v>
      </c>
      <c r="EO123" s="2708">
        <f t="shared" si="105"/>
        <v>0</v>
      </c>
      <c r="EP123" s="2708">
        <f t="shared" si="105"/>
        <v>0</v>
      </c>
      <c r="EQ123" s="2708">
        <f t="shared" si="105"/>
        <v>0</v>
      </c>
      <c r="ER123" s="2708">
        <f t="shared" si="105"/>
        <v>0</v>
      </c>
      <c r="ES123" s="2708">
        <f t="shared" si="105"/>
        <v>0</v>
      </c>
      <c r="ET123" s="2708">
        <f t="shared" si="105"/>
        <v>0</v>
      </c>
      <c r="EU123" s="2708">
        <f>CEILING($B$68*EU122*$F$2*$F$3, 100)</f>
        <v>0</v>
      </c>
      <c r="EV123" s="2708">
        <f>CEILING($B$68*EV122*$F$2*$F$3, 100)</f>
        <v>0</v>
      </c>
      <c r="EW123" s="441"/>
    </row>
    <row r="124" spans="1:153" s="242" customFormat="1" ht="15.75" hidden="1" outlineLevel="2">
      <c r="A124" s="5253"/>
      <c r="B124" s="5253"/>
      <c r="C124" s="981" t="s">
        <v>228</v>
      </c>
      <c r="D124" s="979"/>
      <c r="E124" s="980"/>
      <c r="F124" s="978"/>
      <c r="G124" s="551">
        <f t="shared" ref="G124:BR124" si="106">CEILING($B$117*G122*$F$2*$F$3, 100)</f>
        <v>0</v>
      </c>
      <c r="H124" s="551">
        <f t="shared" si="106"/>
        <v>0</v>
      </c>
      <c r="I124" s="551">
        <f t="shared" si="106"/>
        <v>0</v>
      </c>
      <c r="J124" s="551">
        <f t="shared" si="106"/>
        <v>0</v>
      </c>
      <c r="K124" s="551">
        <f t="shared" si="106"/>
        <v>0</v>
      </c>
      <c r="L124" s="551">
        <f t="shared" si="106"/>
        <v>0</v>
      </c>
      <c r="M124" s="551">
        <f t="shared" si="106"/>
        <v>0</v>
      </c>
      <c r="N124" s="551">
        <f t="shared" si="106"/>
        <v>0</v>
      </c>
      <c r="O124" s="551">
        <f t="shared" si="106"/>
        <v>0</v>
      </c>
      <c r="P124" s="551">
        <f t="shared" si="106"/>
        <v>0</v>
      </c>
      <c r="Q124" s="551">
        <f t="shared" si="106"/>
        <v>0</v>
      </c>
      <c r="R124" s="551">
        <f t="shared" si="106"/>
        <v>0</v>
      </c>
      <c r="S124" s="551">
        <f t="shared" si="106"/>
        <v>0</v>
      </c>
      <c r="T124" s="551">
        <f t="shared" si="106"/>
        <v>0</v>
      </c>
      <c r="U124" s="551">
        <f t="shared" si="106"/>
        <v>0</v>
      </c>
      <c r="V124" s="551">
        <f t="shared" si="106"/>
        <v>0</v>
      </c>
      <c r="W124" s="551">
        <f t="shared" si="106"/>
        <v>0</v>
      </c>
      <c r="X124" s="551">
        <f t="shared" si="106"/>
        <v>0</v>
      </c>
      <c r="Y124" s="551">
        <f t="shared" si="106"/>
        <v>0</v>
      </c>
      <c r="Z124" s="551">
        <f t="shared" si="106"/>
        <v>0</v>
      </c>
      <c r="AA124" s="551">
        <f t="shared" si="106"/>
        <v>0</v>
      </c>
      <c r="AB124" s="551">
        <f t="shared" si="106"/>
        <v>0</v>
      </c>
      <c r="AC124" s="551">
        <f t="shared" si="106"/>
        <v>0</v>
      </c>
      <c r="AD124" s="551">
        <f t="shared" si="106"/>
        <v>0</v>
      </c>
      <c r="AE124" s="551">
        <f t="shared" si="106"/>
        <v>0</v>
      </c>
      <c r="AF124" s="551">
        <f t="shared" si="106"/>
        <v>0</v>
      </c>
      <c r="AG124" s="551">
        <f t="shared" si="106"/>
        <v>0</v>
      </c>
      <c r="AH124" s="551">
        <f t="shared" si="106"/>
        <v>0</v>
      </c>
      <c r="AI124" s="551">
        <f t="shared" si="106"/>
        <v>0</v>
      </c>
      <c r="AJ124" s="551">
        <f t="shared" si="106"/>
        <v>0</v>
      </c>
      <c r="AK124" s="551">
        <f t="shared" si="106"/>
        <v>0</v>
      </c>
      <c r="AL124" s="551">
        <f t="shared" si="106"/>
        <v>0</v>
      </c>
      <c r="AM124" s="551">
        <f t="shared" si="106"/>
        <v>0</v>
      </c>
      <c r="AN124" s="551">
        <f t="shared" si="106"/>
        <v>0</v>
      </c>
      <c r="AO124" s="551">
        <f t="shared" si="106"/>
        <v>0</v>
      </c>
      <c r="AP124" s="551">
        <f t="shared" si="106"/>
        <v>0</v>
      </c>
      <c r="AQ124" s="551">
        <f t="shared" si="106"/>
        <v>0</v>
      </c>
      <c r="AR124" s="551">
        <f t="shared" si="106"/>
        <v>0</v>
      </c>
      <c r="AS124" s="551">
        <f t="shared" si="106"/>
        <v>0</v>
      </c>
      <c r="AT124" s="551">
        <f t="shared" si="106"/>
        <v>0</v>
      </c>
      <c r="AU124" s="551">
        <f t="shared" si="106"/>
        <v>0</v>
      </c>
      <c r="AV124" s="551">
        <f t="shared" si="106"/>
        <v>0</v>
      </c>
      <c r="AW124" s="551">
        <f t="shared" si="106"/>
        <v>0</v>
      </c>
      <c r="AX124" s="551">
        <f t="shared" si="106"/>
        <v>0</v>
      </c>
      <c r="AY124" s="551">
        <f t="shared" si="106"/>
        <v>0</v>
      </c>
      <c r="AZ124" s="551">
        <f t="shared" si="106"/>
        <v>0</v>
      </c>
      <c r="BA124" s="551">
        <f t="shared" si="106"/>
        <v>0</v>
      </c>
      <c r="BB124" s="551">
        <f t="shared" si="106"/>
        <v>0</v>
      </c>
      <c r="BC124" s="551">
        <f t="shared" si="106"/>
        <v>0</v>
      </c>
      <c r="BD124" s="551">
        <f t="shared" si="106"/>
        <v>0</v>
      </c>
      <c r="BE124" s="551">
        <f t="shared" si="106"/>
        <v>0</v>
      </c>
      <c r="BF124" s="551">
        <f t="shared" si="106"/>
        <v>0</v>
      </c>
      <c r="BG124" s="551">
        <f t="shared" si="106"/>
        <v>0</v>
      </c>
      <c r="BH124" s="551">
        <f t="shared" si="106"/>
        <v>0</v>
      </c>
      <c r="BI124" s="551">
        <f t="shared" si="106"/>
        <v>0</v>
      </c>
      <c r="BJ124" s="551">
        <f t="shared" si="106"/>
        <v>0</v>
      </c>
      <c r="BK124" s="551">
        <f t="shared" si="106"/>
        <v>0</v>
      </c>
      <c r="BL124" s="551">
        <f t="shared" si="106"/>
        <v>0</v>
      </c>
      <c r="BM124" s="551">
        <f t="shared" si="106"/>
        <v>0</v>
      </c>
      <c r="BN124" s="551">
        <f t="shared" si="106"/>
        <v>0</v>
      </c>
      <c r="BO124" s="551">
        <f t="shared" si="106"/>
        <v>0</v>
      </c>
      <c r="BP124" s="551">
        <f t="shared" si="106"/>
        <v>0</v>
      </c>
      <c r="BQ124" s="551">
        <f t="shared" si="106"/>
        <v>0</v>
      </c>
      <c r="BR124" s="551">
        <f t="shared" si="106"/>
        <v>0</v>
      </c>
      <c r="BS124" s="551">
        <f>CEILING($B$117*BS122*$F$2*$F$3, 100)</f>
        <v>0</v>
      </c>
      <c r="BT124" s="551">
        <f>CEILING($B$117*BT122*$F$2*$F$3, 100)</f>
        <v>0</v>
      </c>
      <c r="BU124" s="551">
        <f>CEILING($B$117*BU122*$F$2*$F$3, 100)</f>
        <v>0</v>
      </c>
      <c r="BV124" s="551">
        <f>CEILING($B$117*BV122*$F$2*$F$3, 100)</f>
        <v>0</v>
      </c>
      <c r="BW124" s="551">
        <f>CEILING($B$117*BW122*$F$2*$F$3, 100)</f>
        <v>2700</v>
      </c>
      <c r="BX124" s="551">
        <f t="shared" ref="BX124:EJ124" si="107">CEILING($B$117*BX122*$F$2*$F$3, 100)</f>
        <v>0</v>
      </c>
      <c r="BY124" s="551">
        <f t="shared" si="107"/>
        <v>1400</v>
      </c>
      <c r="BZ124" s="551">
        <f t="shared" si="107"/>
        <v>0</v>
      </c>
      <c r="CA124" s="551">
        <f t="shared" si="107"/>
        <v>0</v>
      </c>
      <c r="CB124" s="551">
        <f t="shared" si="107"/>
        <v>0</v>
      </c>
      <c r="CC124" s="551">
        <f t="shared" si="107"/>
        <v>0</v>
      </c>
      <c r="CD124" s="551">
        <f t="shared" si="107"/>
        <v>0</v>
      </c>
      <c r="CE124" s="551">
        <f t="shared" si="107"/>
        <v>0</v>
      </c>
      <c r="CF124" s="551">
        <f t="shared" si="107"/>
        <v>0</v>
      </c>
      <c r="CG124" s="551">
        <f t="shared" si="107"/>
        <v>0</v>
      </c>
      <c r="CH124" s="551">
        <f t="shared" si="107"/>
        <v>0</v>
      </c>
      <c r="CI124" s="551">
        <f t="shared" si="107"/>
        <v>0</v>
      </c>
      <c r="CJ124" s="551">
        <f t="shared" si="107"/>
        <v>0</v>
      </c>
      <c r="CK124" s="551">
        <f t="shared" si="107"/>
        <v>0</v>
      </c>
      <c r="CL124" s="551">
        <f t="shared" si="107"/>
        <v>0</v>
      </c>
      <c r="CM124" s="551">
        <f t="shared" si="107"/>
        <v>0</v>
      </c>
      <c r="CN124" s="551">
        <f t="shared" si="107"/>
        <v>0</v>
      </c>
      <c r="CO124" s="551">
        <f t="shared" si="107"/>
        <v>0</v>
      </c>
      <c r="CP124" s="551">
        <f t="shared" si="107"/>
        <v>0</v>
      </c>
      <c r="CQ124" s="551">
        <f t="shared" si="107"/>
        <v>0</v>
      </c>
      <c r="CR124" s="551">
        <f t="shared" si="107"/>
        <v>0</v>
      </c>
      <c r="CS124" s="551">
        <f t="shared" si="107"/>
        <v>0</v>
      </c>
      <c r="CT124" s="551">
        <f t="shared" si="107"/>
        <v>0</v>
      </c>
      <c r="CU124" s="551">
        <f t="shared" si="107"/>
        <v>0</v>
      </c>
      <c r="CV124" s="551">
        <f t="shared" si="107"/>
        <v>0</v>
      </c>
      <c r="CW124" s="551">
        <f t="shared" si="107"/>
        <v>0</v>
      </c>
      <c r="CX124" s="551">
        <f t="shared" si="107"/>
        <v>0</v>
      </c>
      <c r="CY124" s="551">
        <f t="shared" si="107"/>
        <v>0</v>
      </c>
      <c r="CZ124" s="1083"/>
      <c r="DA124" s="551">
        <f t="shared" si="107"/>
        <v>0</v>
      </c>
      <c r="DB124" s="551">
        <f t="shared" si="107"/>
        <v>0</v>
      </c>
      <c r="DC124" s="551">
        <f t="shared" si="107"/>
        <v>0</v>
      </c>
      <c r="DD124" s="551">
        <f t="shared" si="107"/>
        <v>0</v>
      </c>
      <c r="DE124" s="551">
        <f t="shared" si="107"/>
        <v>0</v>
      </c>
      <c r="DF124" s="551">
        <f t="shared" si="107"/>
        <v>0</v>
      </c>
      <c r="DG124" s="551">
        <f t="shared" si="107"/>
        <v>0</v>
      </c>
      <c r="DH124" s="551">
        <f t="shared" si="107"/>
        <v>0</v>
      </c>
      <c r="DI124" s="551">
        <f t="shared" si="107"/>
        <v>0</v>
      </c>
      <c r="DJ124" s="551">
        <f t="shared" si="107"/>
        <v>0</v>
      </c>
      <c r="DK124" s="551">
        <f t="shared" si="107"/>
        <v>0</v>
      </c>
      <c r="DL124" s="551">
        <f t="shared" si="107"/>
        <v>0</v>
      </c>
      <c r="DM124" s="551">
        <f t="shared" si="107"/>
        <v>0</v>
      </c>
      <c r="DN124" s="551">
        <f t="shared" si="107"/>
        <v>0</v>
      </c>
      <c r="DO124" s="551">
        <f t="shared" si="107"/>
        <v>0</v>
      </c>
      <c r="DP124" s="551">
        <f t="shared" si="107"/>
        <v>0</v>
      </c>
      <c r="DQ124" s="551">
        <f t="shared" si="107"/>
        <v>0</v>
      </c>
      <c r="DR124" s="551">
        <f t="shared" si="107"/>
        <v>0</v>
      </c>
      <c r="DS124" s="551">
        <f t="shared" si="107"/>
        <v>0</v>
      </c>
      <c r="DT124" s="551">
        <f t="shared" si="107"/>
        <v>0</v>
      </c>
      <c r="DU124" s="551">
        <f t="shared" si="107"/>
        <v>0</v>
      </c>
      <c r="DV124" s="551">
        <f t="shared" si="107"/>
        <v>0</v>
      </c>
      <c r="DW124" s="551">
        <f t="shared" si="107"/>
        <v>0</v>
      </c>
      <c r="DX124" s="551">
        <f t="shared" si="107"/>
        <v>0</v>
      </c>
      <c r="DY124" s="551">
        <f t="shared" si="107"/>
        <v>0</v>
      </c>
      <c r="DZ124" s="551">
        <f t="shared" si="107"/>
        <v>0</v>
      </c>
      <c r="EA124" s="551">
        <f t="shared" si="107"/>
        <v>0</v>
      </c>
      <c r="EB124" s="551">
        <f t="shared" si="107"/>
        <v>0</v>
      </c>
      <c r="EC124" s="551">
        <f t="shared" si="107"/>
        <v>0</v>
      </c>
      <c r="ED124" s="551">
        <f t="shared" si="107"/>
        <v>0</v>
      </c>
      <c r="EE124" s="551">
        <f t="shared" si="107"/>
        <v>0</v>
      </c>
      <c r="EF124" s="551">
        <f t="shared" si="107"/>
        <v>0</v>
      </c>
      <c r="EG124" s="551">
        <f t="shared" si="107"/>
        <v>0</v>
      </c>
      <c r="EH124" s="551">
        <f t="shared" si="107"/>
        <v>0</v>
      </c>
      <c r="EI124" s="551">
        <f t="shared" si="107"/>
        <v>0</v>
      </c>
      <c r="EJ124" s="551">
        <f t="shared" si="107"/>
        <v>0</v>
      </c>
      <c r="EK124" s="551">
        <f t="shared" ref="EK124:ET124" si="108">CEILING($B$117*EK122*$F$2*$F$3, 100)</f>
        <v>0</v>
      </c>
      <c r="EL124" s="551">
        <f t="shared" si="108"/>
        <v>0</v>
      </c>
      <c r="EM124" s="551">
        <f t="shared" si="108"/>
        <v>0</v>
      </c>
      <c r="EN124" s="2708">
        <f t="shared" si="108"/>
        <v>0</v>
      </c>
      <c r="EO124" s="2708">
        <f t="shared" si="108"/>
        <v>0</v>
      </c>
      <c r="EP124" s="2708">
        <f t="shared" si="108"/>
        <v>0</v>
      </c>
      <c r="EQ124" s="2708">
        <f t="shared" si="108"/>
        <v>0</v>
      </c>
      <c r="ER124" s="2708">
        <f t="shared" si="108"/>
        <v>0</v>
      </c>
      <c r="ES124" s="2708">
        <f t="shared" si="108"/>
        <v>0</v>
      </c>
      <c r="ET124" s="2708">
        <f t="shared" si="108"/>
        <v>0</v>
      </c>
      <c r="EU124" s="2708"/>
      <c r="EV124" s="2708"/>
      <c r="EW124" s="441"/>
    </row>
    <row r="125" spans="1:153" s="813" customFormat="1" ht="15.75" hidden="1" customHeight="1" outlineLevel="2">
      <c r="A125" s="5260" t="s">
        <v>1258</v>
      </c>
      <c r="B125" s="5260"/>
      <c r="C125" s="816"/>
      <c r="D125" s="816"/>
      <c r="E125" s="816"/>
      <c r="F125" s="816"/>
      <c r="G125" s="924">
        <v>0</v>
      </c>
      <c r="H125" s="924">
        <v>0</v>
      </c>
      <c r="I125" s="924">
        <v>0</v>
      </c>
      <c r="J125" s="924">
        <v>0</v>
      </c>
      <c r="K125" s="924">
        <v>0</v>
      </c>
      <c r="L125" s="924">
        <v>0</v>
      </c>
      <c r="M125" s="924">
        <v>0</v>
      </c>
      <c r="N125" s="924">
        <v>0</v>
      </c>
      <c r="O125" s="924">
        <v>0</v>
      </c>
      <c r="P125" s="924">
        <v>0</v>
      </c>
      <c r="Q125" s="924">
        <v>0</v>
      </c>
      <c r="R125" s="924">
        <v>0</v>
      </c>
      <c r="S125" s="924">
        <v>0</v>
      </c>
      <c r="T125" s="924">
        <v>0</v>
      </c>
      <c r="U125" s="924">
        <v>0</v>
      </c>
      <c r="V125" s="924">
        <v>0</v>
      </c>
      <c r="W125" s="924">
        <v>0</v>
      </c>
      <c r="X125" s="924">
        <v>0</v>
      </c>
      <c r="Y125" s="924">
        <v>0</v>
      </c>
      <c r="Z125" s="924">
        <v>0</v>
      </c>
      <c r="AA125" s="924">
        <v>0</v>
      </c>
      <c r="AB125" s="924">
        <v>0</v>
      </c>
      <c r="AC125" s="924">
        <v>0</v>
      </c>
      <c r="AD125" s="924">
        <v>0</v>
      </c>
      <c r="AE125" s="924">
        <v>0</v>
      </c>
      <c r="AF125" s="924">
        <v>0</v>
      </c>
      <c r="AG125" s="924">
        <v>0</v>
      </c>
      <c r="AH125" s="924">
        <v>0</v>
      </c>
      <c r="AI125" s="924">
        <v>0</v>
      </c>
      <c r="AJ125" s="924">
        <v>0</v>
      </c>
      <c r="AK125" s="924">
        <v>0</v>
      </c>
      <c r="AL125" s="924">
        <v>0</v>
      </c>
      <c r="AM125" s="924">
        <v>0</v>
      </c>
      <c r="AN125" s="924">
        <v>0</v>
      </c>
      <c r="AO125" s="924">
        <v>0</v>
      </c>
      <c r="AP125" s="924">
        <v>0</v>
      </c>
      <c r="AQ125" s="924">
        <v>0</v>
      </c>
      <c r="AR125" s="924">
        <v>0</v>
      </c>
      <c r="AS125" s="924">
        <v>0</v>
      </c>
      <c r="AT125" s="924">
        <v>0</v>
      </c>
      <c r="AU125" s="924">
        <v>0</v>
      </c>
      <c r="AV125" s="924">
        <v>0</v>
      </c>
      <c r="AW125" s="924">
        <v>0</v>
      </c>
      <c r="AX125" s="924">
        <v>0</v>
      </c>
      <c r="AY125" s="924">
        <v>0</v>
      </c>
      <c r="AZ125" s="924">
        <v>0</v>
      </c>
      <c r="BA125" s="924">
        <v>0</v>
      </c>
      <c r="BB125" s="924">
        <v>0</v>
      </c>
      <c r="BC125" s="924">
        <v>0</v>
      </c>
      <c r="BD125" s="924">
        <v>0</v>
      </c>
      <c r="BE125" s="924">
        <v>0</v>
      </c>
      <c r="BF125" s="924">
        <v>0</v>
      </c>
      <c r="BG125" s="924">
        <v>0</v>
      </c>
      <c r="BH125" s="924">
        <v>0</v>
      </c>
      <c r="BI125" s="924">
        <v>0</v>
      </c>
      <c r="BJ125" s="924">
        <v>0</v>
      </c>
      <c r="BK125" s="924">
        <v>0</v>
      </c>
      <c r="BL125" s="924">
        <v>0</v>
      </c>
      <c r="BM125" s="924">
        <v>0</v>
      </c>
      <c r="BN125" s="924">
        <v>0</v>
      </c>
      <c r="BO125" s="924">
        <v>0</v>
      </c>
      <c r="BP125" s="924">
        <v>0</v>
      </c>
      <c r="BQ125" s="924">
        <v>0</v>
      </c>
      <c r="BR125" s="924">
        <v>0</v>
      </c>
      <c r="BS125" s="924">
        <v>0</v>
      </c>
      <c r="BT125" s="924">
        <f>BH88</f>
        <v>0.9</v>
      </c>
      <c r="BU125" s="924">
        <v>0.6</v>
      </c>
      <c r="BV125" s="924">
        <v>0</v>
      </c>
      <c r="BW125" s="924">
        <v>0</v>
      </c>
      <c r="BX125" s="924">
        <v>0</v>
      </c>
      <c r="BY125" s="924">
        <v>0</v>
      </c>
      <c r="BZ125" s="924">
        <v>0</v>
      </c>
      <c r="CA125" s="924">
        <v>0</v>
      </c>
      <c r="CB125" s="924">
        <v>0.9</v>
      </c>
      <c r="CC125" s="924">
        <v>0.3</v>
      </c>
      <c r="CD125" s="924">
        <v>0</v>
      </c>
      <c r="CE125" s="924">
        <v>0</v>
      </c>
      <c r="CF125" s="924">
        <v>1</v>
      </c>
      <c r="CG125" s="924">
        <v>0</v>
      </c>
      <c r="CH125" s="924">
        <v>0.4</v>
      </c>
      <c r="CI125" s="924"/>
      <c r="CJ125" s="924">
        <v>1</v>
      </c>
      <c r="CK125" s="924">
        <v>0.4</v>
      </c>
      <c r="CL125" s="924">
        <v>0</v>
      </c>
      <c r="CM125" s="924">
        <v>0</v>
      </c>
      <c r="CN125" s="924">
        <v>0</v>
      </c>
      <c r="CO125" s="924">
        <v>0</v>
      </c>
      <c r="CP125" s="924">
        <v>0</v>
      </c>
      <c r="CQ125" s="924">
        <v>0</v>
      </c>
      <c r="CR125" s="924">
        <v>0</v>
      </c>
      <c r="CS125" s="924">
        <v>0</v>
      </c>
      <c r="CT125" s="924">
        <v>0</v>
      </c>
      <c r="CU125" s="924">
        <v>0</v>
      </c>
      <c r="CV125" s="924">
        <v>0</v>
      </c>
      <c r="CW125" s="924">
        <v>0</v>
      </c>
      <c r="CX125" s="924">
        <v>0</v>
      </c>
      <c r="CY125" s="924">
        <v>0</v>
      </c>
      <c r="CZ125" s="1093"/>
      <c r="DA125" s="924">
        <v>0</v>
      </c>
      <c r="DB125" s="924">
        <v>0</v>
      </c>
      <c r="DC125" s="924">
        <v>0</v>
      </c>
      <c r="DD125" s="924">
        <v>0</v>
      </c>
      <c r="DE125" s="924">
        <v>0</v>
      </c>
      <c r="DF125" s="924">
        <v>0</v>
      </c>
      <c r="DG125" s="924">
        <v>0</v>
      </c>
      <c r="DH125" s="924">
        <v>0</v>
      </c>
      <c r="DI125" s="924">
        <v>0</v>
      </c>
      <c r="DJ125" s="924">
        <v>0</v>
      </c>
      <c r="DK125" s="924">
        <v>0</v>
      </c>
      <c r="DL125" s="924">
        <v>0</v>
      </c>
      <c r="DM125" s="924">
        <v>0</v>
      </c>
      <c r="DN125" s="924">
        <v>0</v>
      </c>
      <c r="DO125" s="924">
        <v>0</v>
      </c>
      <c r="DP125" s="924">
        <v>0</v>
      </c>
      <c r="DQ125" s="924">
        <v>0</v>
      </c>
      <c r="DR125" s="924">
        <v>0</v>
      </c>
      <c r="DS125" s="924">
        <v>0</v>
      </c>
      <c r="DT125" s="924">
        <v>0</v>
      </c>
      <c r="DU125" s="924">
        <v>0</v>
      </c>
      <c r="DV125" s="924">
        <v>0</v>
      </c>
      <c r="DW125" s="924">
        <v>0</v>
      </c>
      <c r="DX125" s="924">
        <v>0</v>
      </c>
      <c r="DY125" s="924">
        <v>0</v>
      </c>
      <c r="DZ125" s="924">
        <v>0</v>
      </c>
      <c r="EA125" s="924">
        <v>0</v>
      </c>
      <c r="EB125" s="924">
        <v>0</v>
      </c>
      <c r="EC125" s="924">
        <v>0</v>
      </c>
      <c r="ED125" s="924">
        <v>0</v>
      </c>
      <c r="EE125" s="924">
        <v>0</v>
      </c>
      <c r="EF125" s="924">
        <v>0</v>
      </c>
      <c r="EG125" s="924">
        <v>0</v>
      </c>
      <c r="EH125" s="924">
        <v>0</v>
      </c>
      <c r="EI125" s="924">
        <v>0</v>
      </c>
      <c r="EJ125" s="924">
        <v>0</v>
      </c>
      <c r="EK125" s="924">
        <v>0</v>
      </c>
      <c r="EL125" s="924">
        <v>0</v>
      </c>
      <c r="EM125" s="924">
        <v>0</v>
      </c>
      <c r="EN125" s="2711">
        <v>0</v>
      </c>
      <c r="EO125" s="2711">
        <v>0</v>
      </c>
      <c r="EP125" s="2711">
        <v>0</v>
      </c>
      <c r="EQ125" s="2711">
        <v>0</v>
      </c>
      <c r="ER125" s="2711">
        <v>0</v>
      </c>
      <c r="ES125" s="2711">
        <v>0</v>
      </c>
      <c r="ET125" s="2711">
        <v>0</v>
      </c>
      <c r="EU125" s="2711">
        <v>0</v>
      </c>
      <c r="EV125" s="2711">
        <v>0</v>
      </c>
    </row>
    <row r="126" spans="1:153" s="242" customFormat="1" ht="24" hidden="1" customHeight="1" outlineLevel="2">
      <c r="A126" s="5254" t="s">
        <v>702</v>
      </c>
      <c r="B126" s="5255"/>
      <c r="C126" s="975" t="s">
        <v>227</v>
      </c>
      <c r="D126" s="976"/>
      <c r="E126" s="976"/>
      <c r="F126" s="982"/>
      <c r="G126" s="970">
        <f t="shared" ref="G126:AL126" si="109">CEILING($B$68*G125*$F$2*$F$3, 100)</f>
        <v>0</v>
      </c>
      <c r="H126" s="970">
        <f t="shared" si="109"/>
        <v>0</v>
      </c>
      <c r="I126" s="970">
        <f t="shared" si="109"/>
        <v>0</v>
      </c>
      <c r="J126" s="970">
        <f t="shared" si="109"/>
        <v>0</v>
      </c>
      <c r="K126" s="970">
        <f t="shared" si="109"/>
        <v>0</v>
      </c>
      <c r="L126" s="970">
        <f t="shared" si="109"/>
        <v>0</v>
      </c>
      <c r="M126" s="970">
        <f t="shared" si="109"/>
        <v>0</v>
      </c>
      <c r="N126" s="970">
        <f t="shared" si="109"/>
        <v>0</v>
      </c>
      <c r="O126" s="970">
        <f t="shared" si="109"/>
        <v>0</v>
      </c>
      <c r="P126" s="970">
        <f t="shared" si="109"/>
        <v>0</v>
      </c>
      <c r="Q126" s="970">
        <f t="shared" si="109"/>
        <v>0</v>
      </c>
      <c r="R126" s="970">
        <f t="shared" si="109"/>
        <v>0</v>
      </c>
      <c r="S126" s="970">
        <f t="shared" si="109"/>
        <v>0</v>
      </c>
      <c r="T126" s="970">
        <f t="shared" si="109"/>
        <v>0</v>
      </c>
      <c r="U126" s="970">
        <f t="shared" si="109"/>
        <v>0</v>
      </c>
      <c r="V126" s="970">
        <f t="shared" si="109"/>
        <v>0</v>
      </c>
      <c r="W126" s="970">
        <f t="shared" si="109"/>
        <v>0</v>
      </c>
      <c r="X126" s="970">
        <f t="shared" si="109"/>
        <v>0</v>
      </c>
      <c r="Y126" s="970">
        <f t="shared" si="109"/>
        <v>0</v>
      </c>
      <c r="Z126" s="970">
        <f t="shared" si="109"/>
        <v>0</v>
      </c>
      <c r="AA126" s="970">
        <f t="shared" si="109"/>
        <v>0</v>
      </c>
      <c r="AB126" s="970">
        <f t="shared" si="109"/>
        <v>0</v>
      </c>
      <c r="AC126" s="970">
        <f t="shared" si="109"/>
        <v>0</v>
      </c>
      <c r="AD126" s="970">
        <f t="shared" si="109"/>
        <v>0</v>
      </c>
      <c r="AE126" s="970">
        <f t="shared" si="109"/>
        <v>0</v>
      </c>
      <c r="AF126" s="970">
        <f t="shared" si="109"/>
        <v>0</v>
      </c>
      <c r="AG126" s="970">
        <f t="shared" si="109"/>
        <v>0</v>
      </c>
      <c r="AH126" s="970">
        <f t="shared" si="109"/>
        <v>0</v>
      </c>
      <c r="AI126" s="970">
        <f t="shared" si="109"/>
        <v>0</v>
      </c>
      <c r="AJ126" s="970">
        <f t="shared" si="109"/>
        <v>0</v>
      </c>
      <c r="AK126" s="970">
        <f t="shared" si="109"/>
        <v>0</v>
      </c>
      <c r="AL126" s="970">
        <f t="shared" si="109"/>
        <v>0</v>
      </c>
      <c r="AM126" s="970">
        <f t="shared" ref="AM126:BR126" si="110">CEILING($B$68*AM125*$F$2*$F$3, 100)</f>
        <v>0</v>
      </c>
      <c r="AN126" s="970">
        <f t="shared" si="110"/>
        <v>0</v>
      </c>
      <c r="AO126" s="970">
        <f t="shared" si="110"/>
        <v>0</v>
      </c>
      <c r="AP126" s="970">
        <f t="shared" si="110"/>
        <v>0</v>
      </c>
      <c r="AQ126" s="970">
        <f t="shared" si="110"/>
        <v>0</v>
      </c>
      <c r="AR126" s="970">
        <f t="shared" si="110"/>
        <v>0</v>
      </c>
      <c r="AS126" s="970">
        <f t="shared" si="110"/>
        <v>0</v>
      </c>
      <c r="AT126" s="970">
        <f t="shared" si="110"/>
        <v>0</v>
      </c>
      <c r="AU126" s="970">
        <f t="shared" si="110"/>
        <v>0</v>
      </c>
      <c r="AV126" s="970">
        <f t="shared" si="110"/>
        <v>0</v>
      </c>
      <c r="AW126" s="970">
        <f t="shared" si="110"/>
        <v>0</v>
      </c>
      <c r="AX126" s="970">
        <f t="shared" si="110"/>
        <v>0</v>
      </c>
      <c r="AY126" s="970">
        <f t="shared" si="110"/>
        <v>0</v>
      </c>
      <c r="AZ126" s="970">
        <f t="shared" si="110"/>
        <v>0</v>
      </c>
      <c r="BA126" s="970">
        <f t="shared" si="110"/>
        <v>0</v>
      </c>
      <c r="BB126" s="970">
        <f t="shared" si="110"/>
        <v>0</v>
      </c>
      <c r="BC126" s="970">
        <f t="shared" si="110"/>
        <v>0</v>
      </c>
      <c r="BD126" s="970">
        <f t="shared" si="110"/>
        <v>0</v>
      </c>
      <c r="BE126" s="970">
        <f t="shared" si="110"/>
        <v>0</v>
      </c>
      <c r="BF126" s="970">
        <f t="shared" si="110"/>
        <v>0</v>
      </c>
      <c r="BG126" s="970">
        <f t="shared" si="110"/>
        <v>0</v>
      </c>
      <c r="BH126" s="970">
        <f t="shared" si="110"/>
        <v>0</v>
      </c>
      <c r="BI126" s="970">
        <f t="shared" si="110"/>
        <v>0</v>
      </c>
      <c r="BJ126" s="970">
        <f t="shared" si="110"/>
        <v>0</v>
      </c>
      <c r="BK126" s="970">
        <f t="shared" si="110"/>
        <v>0</v>
      </c>
      <c r="BL126" s="970">
        <f t="shared" si="110"/>
        <v>0</v>
      </c>
      <c r="BM126" s="970">
        <f t="shared" si="110"/>
        <v>0</v>
      </c>
      <c r="BN126" s="970">
        <f t="shared" si="110"/>
        <v>0</v>
      </c>
      <c r="BO126" s="970">
        <f t="shared" si="110"/>
        <v>0</v>
      </c>
      <c r="BP126" s="970">
        <f t="shared" si="110"/>
        <v>0</v>
      </c>
      <c r="BQ126" s="970">
        <f t="shared" si="110"/>
        <v>0</v>
      </c>
      <c r="BR126" s="970">
        <f t="shared" si="110"/>
        <v>0</v>
      </c>
      <c r="BS126" s="970">
        <f>CEILING($B$68*BS125*$F$2*$F$3, 100)</f>
        <v>0</v>
      </c>
      <c r="BT126" s="1039">
        <f>CEILING($B$118*BT125*$F$2*$F$3, 100)</f>
        <v>2900</v>
      </c>
      <c r="BU126" s="1039">
        <f>CEILING($B$118*BU125*$F$2*$F$3, 100)</f>
        <v>2000</v>
      </c>
      <c r="BV126" s="970">
        <f>CEILING($B$68*BV125*$F$2*$F$3, 100)</f>
        <v>0</v>
      </c>
      <c r="BW126" s="1039">
        <f>CEILING($B$118*BW125*$F$2*$F$3, 100)</f>
        <v>0</v>
      </c>
      <c r="BX126" s="970">
        <f>CEILING($B$68*BX125*$F$2*$F$3, 100)</f>
        <v>0</v>
      </c>
      <c r="BY126" s="1039">
        <f>CEILING($B$118*BY125*$F$2*$F$3, 100)</f>
        <v>0</v>
      </c>
      <c r="BZ126" s="970">
        <f>CEILING($B$68*BZ125*$F$2*$F$3, 100)</f>
        <v>0</v>
      </c>
      <c r="CA126" s="970">
        <f>CEILING($B$68*CA125*$F$2*$F$3, 100)</f>
        <v>0</v>
      </c>
      <c r="CB126" s="1039">
        <f t="shared" ref="CB126:CK126" si="111">CEILING($B$118*CB125*$F$2*$F$3, 100)</f>
        <v>2900</v>
      </c>
      <c r="CC126" s="1039">
        <f t="shared" si="111"/>
        <v>1000</v>
      </c>
      <c r="CD126" s="1039">
        <f t="shared" si="111"/>
        <v>0</v>
      </c>
      <c r="CE126" s="1039">
        <f t="shared" si="111"/>
        <v>0</v>
      </c>
      <c r="CF126" s="1039">
        <f t="shared" si="111"/>
        <v>3300</v>
      </c>
      <c r="CG126" s="1039">
        <f t="shared" si="111"/>
        <v>0</v>
      </c>
      <c r="CH126" s="1039">
        <f t="shared" si="111"/>
        <v>1300</v>
      </c>
      <c r="CI126" s="1039">
        <f t="shared" si="111"/>
        <v>0</v>
      </c>
      <c r="CJ126" s="1039">
        <f t="shared" si="111"/>
        <v>3300</v>
      </c>
      <c r="CK126" s="1039">
        <f t="shared" si="111"/>
        <v>1300</v>
      </c>
      <c r="CL126" s="970">
        <f t="shared" ref="CL126:CY126" si="112">CEILING($B$68*CL125*$F$2*$F$3, 100)</f>
        <v>0</v>
      </c>
      <c r="CM126" s="970">
        <f t="shared" si="112"/>
        <v>0</v>
      </c>
      <c r="CN126" s="970">
        <f t="shared" si="112"/>
        <v>0</v>
      </c>
      <c r="CO126" s="970">
        <f t="shared" si="112"/>
        <v>0</v>
      </c>
      <c r="CP126" s="970">
        <f t="shared" si="112"/>
        <v>0</v>
      </c>
      <c r="CQ126" s="970">
        <f t="shared" si="112"/>
        <v>0</v>
      </c>
      <c r="CR126" s="970">
        <f t="shared" si="112"/>
        <v>0</v>
      </c>
      <c r="CS126" s="970">
        <f t="shared" si="112"/>
        <v>0</v>
      </c>
      <c r="CT126" s="970">
        <f t="shared" si="112"/>
        <v>0</v>
      </c>
      <c r="CU126" s="970">
        <f t="shared" si="112"/>
        <v>0</v>
      </c>
      <c r="CV126" s="970">
        <f t="shared" si="112"/>
        <v>0</v>
      </c>
      <c r="CW126" s="970">
        <f t="shared" si="112"/>
        <v>0</v>
      </c>
      <c r="CX126" s="970">
        <f t="shared" si="112"/>
        <v>0</v>
      </c>
      <c r="CY126" s="970">
        <f t="shared" si="112"/>
        <v>0</v>
      </c>
      <c r="CZ126" s="1039"/>
      <c r="DA126" s="970">
        <f t="shared" ref="DA126:EV126" si="113">CEILING($B$68*DA125*$F$2*$F$3, 100)</f>
        <v>0</v>
      </c>
      <c r="DB126" s="970">
        <f t="shared" si="113"/>
        <v>0</v>
      </c>
      <c r="DC126" s="970">
        <f t="shared" si="113"/>
        <v>0</v>
      </c>
      <c r="DD126" s="970">
        <f t="shared" si="113"/>
        <v>0</v>
      </c>
      <c r="DE126" s="970">
        <f t="shared" si="113"/>
        <v>0</v>
      </c>
      <c r="DF126" s="970">
        <f t="shared" si="113"/>
        <v>0</v>
      </c>
      <c r="DG126" s="970">
        <f t="shared" si="113"/>
        <v>0</v>
      </c>
      <c r="DH126" s="970">
        <f t="shared" si="113"/>
        <v>0</v>
      </c>
      <c r="DI126" s="970">
        <f t="shared" si="113"/>
        <v>0</v>
      </c>
      <c r="DJ126" s="970">
        <f t="shared" si="113"/>
        <v>0</v>
      </c>
      <c r="DK126" s="970">
        <f t="shared" si="113"/>
        <v>0</v>
      </c>
      <c r="DL126" s="970">
        <f t="shared" si="113"/>
        <v>0</v>
      </c>
      <c r="DM126" s="970">
        <f t="shared" si="113"/>
        <v>0</v>
      </c>
      <c r="DN126" s="970">
        <f t="shared" si="113"/>
        <v>0</v>
      </c>
      <c r="DO126" s="970">
        <f t="shared" si="113"/>
        <v>0</v>
      </c>
      <c r="DP126" s="970">
        <f t="shared" si="113"/>
        <v>0</v>
      </c>
      <c r="DQ126" s="970">
        <f t="shared" si="113"/>
        <v>0</v>
      </c>
      <c r="DR126" s="970">
        <f t="shared" si="113"/>
        <v>0</v>
      </c>
      <c r="DS126" s="970">
        <f t="shared" si="113"/>
        <v>0</v>
      </c>
      <c r="DT126" s="970">
        <f t="shared" si="113"/>
        <v>0</v>
      </c>
      <c r="DU126" s="970">
        <f t="shared" si="113"/>
        <v>0</v>
      </c>
      <c r="DV126" s="970">
        <f t="shared" si="113"/>
        <v>0</v>
      </c>
      <c r="DW126" s="970">
        <f t="shared" si="113"/>
        <v>0</v>
      </c>
      <c r="DX126" s="970">
        <f t="shared" si="113"/>
        <v>0</v>
      </c>
      <c r="DY126" s="970">
        <f t="shared" si="113"/>
        <v>0</v>
      </c>
      <c r="DZ126" s="970">
        <f t="shared" si="113"/>
        <v>0</v>
      </c>
      <c r="EA126" s="970">
        <f t="shared" si="113"/>
        <v>0</v>
      </c>
      <c r="EB126" s="970">
        <f t="shared" si="113"/>
        <v>0</v>
      </c>
      <c r="EC126" s="970">
        <f t="shared" si="113"/>
        <v>0</v>
      </c>
      <c r="ED126" s="970">
        <f t="shared" si="113"/>
        <v>0</v>
      </c>
      <c r="EE126" s="970">
        <f t="shared" si="113"/>
        <v>0</v>
      </c>
      <c r="EF126" s="970">
        <f t="shared" si="113"/>
        <v>0</v>
      </c>
      <c r="EG126" s="970">
        <f t="shared" si="113"/>
        <v>0</v>
      </c>
      <c r="EH126" s="970">
        <f t="shared" si="113"/>
        <v>0</v>
      </c>
      <c r="EI126" s="970">
        <f t="shared" si="113"/>
        <v>0</v>
      </c>
      <c r="EJ126" s="970">
        <f t="shared" si="113"/>
        <v>0</v>
      </c>
      <c r="EK126" s="970">
        <f t="shared" si="113"/>
        <v>0</v>
      </c>
      <c r="EL126" s="970">
        <f t="shared" si="113"/>
        <v>0</v>
      </c>
      <c r="EM126" s="970">
        <f t="shared" si="113"/>
        <v>0</v>
      </c>
      <c r="EN126" s="2717">
        <f t="shared" si="113"/>
        <v>0</v>
      </c>
      <c r="EO126" s="2717">
        <f t="shared" si="113"/>
        <v>0</v>
      </c>
      <c r="EP126" s="2717">
        <f t="shared" si="113"/>
        <v>0</v>
      </c>
      <c r="EQ126" s="2717">
        <f t="shared" si="113"/>
        <v>0</v>
      </c>
      <c r="ER126" s="2717">
        <f t="shared" si="113"/>
        <v>0</v>
      </c>
      <c r="ES126" s="2717">
        <f t="shared" si="113"/>
        <v>0</v>
      </c>
      <c r="ET126" s="2717">
        <f t="shared" si="113"/>
        <v>0</v>
      </c>
      <c r="EU126" s="2718">
        <f t="shared" si="113"/>
        <v>0</v>
      </c>
      <c r="EV126" s="2708">
        <f t="shared" si="113"/>
        <v>0</v>
      </c>
      <c r="EW126" s="441"/>
    </row>
    <row r="127" spans="1:153" s="242" customFormat="1" ht="15.75" hidden="1" customHeight="1" outlineLevel="2">
      <c r="A127" s="5256"/>
      <c r="B127" s="5257"/>
      <c r="C127" s="975" t="s">
        <v>228</v>
      </c>
      <c r="D127" s="976"/>
      <c r="E127" s="976"/>
      <c r="F127" s="983"/>
      <c r="G127" s="970"/>
      <c r="H127" s="970"/>
      <c r="I127" s="970"/>
      <c r="J127" s="970"/>
      <c r="K127" s="970"/>
      <c r="L127" s="970"/>
      <c r="M127" s="970"/>
      <c r="N127" s="970"/>
      <c r="O127" s="970"/>
      <c r="P127" s="970"/>
      <c r="Q127" s="970"/>
      <c r="R127" s="970"/>
      <c r="S127" s="970"/>
      <c r="T127" s="970"/>
      <c r="U127" s="970"/>
      <c r="V127" s="970"/>
      <c r="W127" s="970"/>
      <c r="X127" s="970"/>
      <c r="Y127" s="970"/>
      <c r="Z127" s="970"/>
      <c r="AA127" s="970"/>
      <c r="AB127" s="970"/>
      <c r="AC127" s="970"/>
      <c r="AD127" s="970"/>
      <c r="AE127" s="970"/>
      <c r="AF127" s="970"/>
      <c r="AG127" s="970"/>
      <c r="AH127" s="970"/>
      <c r="AI127" s="970"/>
      <c r="AJ127" s="970"/>
      <c r="AK127" s="970"/>
      <c r="AL127" s="970"/>
      <c r="AM127" s="970"/>
      <c r="AN127" s="970"/>
      <c r="AO127" s="970"/>
      <c r="AP127" s="970"/>
      <c r="AQ127" s="970"/>
      <c r="AR127" s="970"/>
      <c r="AS127" s="970"/>
      <c r="AT127" s="970"/>
      <c r="AU127" s="970"/>
      <c r="AV127" s="970"/>
      <c r="AW127" s="970"/>
      <c r="AX127" s="970"/>
      <c r="AY127" s="970"/>
      <c r="AZ127" s="970"/>
      <c r="BA127" s="970"/>
      <c r="BB127" s="970"/>
      <c r="BC127" s="970"/>
      <c r="BD127" s="970"/>
      <c r="BE127" s="970"/>
      <c r="BF127" s="970"/>
      <c r="BG127" s="970"/>
      <c r="BH127" s="970"/>
      <c r="BI127" s="970"/>
      <c r="BJ127" s="970"/>
      <c r="BK127" s="970"/>
      <c r="BL127" s="970"/>
      <c r="BM127" s="970"/>
      <c r="BN127" s="970"/>
      <c r="BO127" s="970"/>
      <c r="BP127" s="970"/>
      <c r="BQ127" s="970"/>
      <c r="BR127" s="970"/>
      <c r="BS127" s="970"/>
      <c r="BT127" s="1039">
        <f>CEILING($B$119*BT125*$F$2*$F$3, 100)</f>
        <v>4000</v>
      </c>
      <c r="BU127" s="1039">
        <f>CEILING($B$119*BU125*$F$2*$F$3, 100)</f>
        <v>2700</v>
      </c>
      <c r="BV127" s="970"/>
      <c r="BW127" s="1039">
        <f>CEILING($B$119*BW125*$F$2*$F$3, 100)</f>
        <v>0</v>
      </c>
      <c r="BX127" s="970"/>
      <c r="BY127" s="1039">
        <f>CEILING($B$119*BY125*$F$2*$F$3, 100)</f>
        <v>0</v>
      </c>
      <c r="BZ127" s="970"/>
      <c r="CA127" s="970"/>
      <c r="CB127" s="1039">
        <f>CEILING($B$119*CB125*$F$2*$F$3, 100)</f>
        <v>4000</v>
      </c>
      <c r="CC127" s="1039">
        <f>CEILING($B$119*CC125*$F$2*$F$3, 100)</f>
        <v>1400</v>
      </c>
      <c r="CD127" s="1039">
        <f>CEILING($B$119*CD125*$F$2*$F$3, 100)</f>
        <v>0</v>
      </c>
      <c r="CE127" s="1039">
        <f t="shared" ref="CE127:CK127" si="114">CEILING($B$119*CE125*$F$2*$F$3, 100)</f>
        <v>0</v>
      </c>
      <c r="CF127" s="1039">
        <f t="shared" si="114"/>
        <v>4400</v>
      </c>
      <c r="CG127" s="1039">
        <f t="shared" si="114"/>
        <v>0</v>
      </c>
      <c r="CH127" s="1039">
        <f t="shared" si="114"/>
        <v>1800</v>
      </c>
      <c r="CI127" s="1039">
        <f t="shared" si="114"/>
        <v>0</v>
      </c>
      <c r="CJ127" s="1039">
        <f t="shared" si="114"/>
        <v>4400</v>
      </c>
      <c r="CK127" s="1039">
        <f t="shared" si="114"/>
        <v>1800</v>
      </c>
      <c r="CL127" s="970"/>
      <c r="CM127" s="970"/>
      <c r="CN127" s="970"/>
      <c r="CO127" s="970"/>
      <c r="CP127" s="970"/>
      <c r="CQ127" s="970"/>
      <c r="CR127" s="970"/>
      <c r="CS127" s="970"/>
      <c r="CT127" s="970"/>
      <c r="CU127" s="970"/>
      <c r="CV127" s="970"/>
      <c r="CW127" s="970"/>
      <c r="CX127" s="970"/>
      <c r="CY127" s="970"/>
      <c r="CZ127" s="1039"/>
      <c r="DA127" s="970"/>
      <c r="DB127" s="970"/>
      <c r="DC127" s="970"/>
      <c r="DD127" s="970"/>
      <c r="DE127" s="970"/>
      <c r="DF127" s="970"/>
      <c r="DG127" s="970"/>
      <c r="DH127" s="970"/>
      <c r="DI127" s="970"/>
      <c r="DJ127" s="970"/>
      <c r="DK127" s="970"/>
      <c r="DL127" s="970"/>
      <c r="DM127" s="970"/>
      <c r="DN127" s="970"/>
      <c r="DO127" s="970"/>
      <c r="DP127" s="970"/>
      <c r="DQ127" s="970"/>
      <c r="DR127" s="970"/>
      <c r="DS127" s="970"/>
      <c r="DT127" s="970"/>
      <c r="DU127" s="970"/>
      <c r="DV127" s="970"/>
      <c r="DW127" s="970"/>
      <c r="DX127" s="970"/>
      <c r="DY127" s="970"/>
      <c r="DZ127" s="970"/>
      <c r="EA127" s="970"/>
      <c r="EB127" s="970"/>
      <c r="EC127" s="970"/>
      <c r="ED127" s="970"/>
      <c r="EE127" s="970"/>
      <c r="EF127" s="970"/>
      <c r="EG127" s="970"/>
      <c r="EH127" s="970"/>
      <c r="EI127" s="970"/>
      <c r="EJ127" s="970"/>
      <c r="EK127" s="970"/>
      <c r="EL127" s="970"/>
      <c r="EM127" s="970"/>
      <c r="EN127" s="2717"/>
      <c r="EO127" s="2717"/>
      <c r="EP127" s="2717"/>
      <c r="EQ127" s="2717"/>
      <c r="ER127" s="2717"/>
      <c r="ES127" s="2717"/>
      <c r="ET127" s="2717"/>
      <c r="EU127" s="2719"/>
      <c r="EV127" s="2719"/>
      <c r="EW127" s="441"/>
    </row>
    <row r="128" spans="1:153" s="242" customFormat="1" ht="15.75" hidden="1" customHeight="1" outlineLevel="2">
      <c r="A128" s="5258"/>
      <c r="B128" s="5259"/>
      <c r="C128" s="975" t="s">
        <v>1287</v>
      </c>
      <c r="D128" s="976"/>
      <c r="E128" s="976"/>
      <c r="F128" s="983"/>
      <c r="G128" s="970"/>
      <c r="H128" s="970"/>
      <c r="I128" s="970"/>
      <c r="J128" s="970"/>
      <c r="K128" s="970"/>
      <c r="L128" s="970"/>
      <c r="M128" s="970"/>
      <c r="N128" s="970"/>
      <c r="O128" s="970"/>
      <c r="P128" s="970"/>
      <c r="Q128" s="970"/>
      <c r="R128" s="970"/>
      <c r="S128" s="970"/>
      <c r="T128" s="970"/>
      <c r="U128" s="970"/>
      <c r="V128" s="970"/>
      <c r="W128" s="970"/>
      <c r="X128" s="970"/>
      <c r="Y128" s="970"/>
      <c r="Z128" s="970"/>
      <c r="AA128" s="970"/>
      <c r="AB128" s="970"/>
      <c r="AC128" s="970"/>
      <c r="AD128" s="970"/>
      <c r="AE128" s="970"/>
      <c r="AF128" s="970"/>
      <c r="AG128" s="970"/>
      <c r="AH128" s="970"/>
      <c r="AI128" s="970"/>
      <c r="AJ128" s="970"/>
      <c r="AK128" s="970"/>
      <c r="AL128" s="970"/>
      <c r="AM128" s="970"/>
      <c r="AN128" s="970"/>
      <c r="AO128" s="970"/>
      <c r="AP128" s="970"/>
      <c r="AQ128" s="970"/>
      <c r="AR128" s="970"/>
      <c r="AS128" s="970"/>
      <c r="AT128" s="970"/>
      <c r="AU128" s="970"/>
      <c r="AV128" s="970"/>
      <c r="AW128" s="970"/>
      <c r="AX128" s="970"/>
      <c r="AY128" s="970"/>
      <c r="AZ128" s="970"/>
      <c r="BA128" s="970"/>
      <c r="BB128" s="970"/>
      <c r="BC128" s="970"/>
      <c r="BD128" s="970"/>
      <c r="BE128" s="970"/>
      <c r="BF128" s="970"/>
      <c r="BG128" s="970"/>
      <c r="BH128" s="970"/>
      <c r="BI128" s="970"/>
      <c r="BJ128" s="970"/>
      <c r="BK128" s="970"/>
      <c r="BL128" s="970"/>
      <c r="BM128" s="970"/>
      <c r="BN128" s="970"/>
      <c r="BO128" s="970"/>
      <c r="BP128" s="970"/>
      <c r="BQ128" s="970"/>
      <c r="BR128" s="970"/>
      <c r="BS128" s="970"/>
      <c r="BT128" s="1039">
        <f>CEILING($B$120*BT125*$F$2*$F$3, 100)</f>
        <v>4500</v>
      </c>
      <c r="BU128" s="1039">
        <f>CEILING($B$120*BU125*$F$2*$F$3, 100)</f>
        <v>3000</v>
      </c>
      <c r="BV128" s="970"/>
      <c r="BW128" s="1039">
        <f>CEILING($B$120*BW125*$F$2*$F$3, 100)</f>
        <v>0</v>
      </c>
      <c r="BX128" s="970"/>
      <c r="BY128" s="1039">
        <f>CEILING($B$120*BY125*$F$2*$F$3, 100)</f>
        <v>0</v>
      </c>
      <c r="BZ128" s="970"/>
      <c r="CA128" s="970"/>
      <c r="CB128" s="1039">
        <f>CEILING($B$120*CB125*$F$2*$F$3, 100)</f>
        <v>4500</v>
      </c>
      <c r="CC128" s="1039">
        <f>CEILING($B$120*CC125*$F$2*$F$3, 100)</f>
        <v>1500</v>
      </c>
      <c r="CD128" s="1039">
        <f>CEILING($B$120*CD125*$F$2*$F$3, 100)</f>
        <v>0</v>
      </c>
      <c r="CE128" s="1039">
        <f t="shared" ref="CE128:CK128" si="115">CEILING($B$120*CE125*$F$2*$F$3, 100)</f>
        <v>0</v>
      </c>
      <c r="CF128" s="1039">
        <f t="shared" si="115"/>
        <v>5000</v>
      </c>
      <c r="CG128" s="1039">
        <f t="shared" si="115"/>
        <v>0</v>
      </c>
      <c r="CH128" s="1039">
        <f t="shared" si="115"/>
        <v>2000</v>
      </c>
      <c r="CI128" s="1039">
        <f t="shared" si="115"/>
        <v>0</v>
      </c>
      <c r="CJ128" s="1039">
        <f t="shared" si="115"/>
        <v>5000</v>
      </c>
      <c r="CK128" s="1039">
        <f t="shared" si="115"/>
        <v>2000</v>
      </c>
      <c r="CL128" s="970"/>
      <c r="CM128" s="970"/>
      <c r="CN128" s="970"/>
      <c r="CO128" s="970"/>
      <c r="CP128" s="970"/>
      <c r="CQ128" s="970"/>
      <c r="CR128" s="970"/>
      <c r="CS128" s="970"/>
      <c r="CT128" s="970"/>
      <c r="CU128" s="970"/>
      <c r="CV128" s="970"/>
      <c r="CW128" s="970"/>
      <c r="CX128" s="970"/>
      <c r="CY128" s="970"/>
      <c r="CZ128" s="1039"/>
      <c r="DA128" s="970"/>
      <c r="DB128" s="970"/>
      <c r="DC128" s="970"/>
      <c r="DD128" s="970"/>
      <c r="DE128" s="970"/>
      <c r="DF128" s="970"/>
      <c r="DG128" s="970"/>
      <c r="DH128" s="970"/>
      <c r="DI128" s="970"/>
      <c r="DJ128" s="970"/>
      <c r="DK128" s="970"/>
      <c r="DL128" s="970"/>
      <c r="DM128" s="970"/>
      <c r="DN128" s="970"/>
      <c r="DO128" s="970"/>
      <c r="DP128" s="970"/>
      <c r="DQ128" s="970"/>
      <c r="DR128" s="970"/>
      <c r="DS128" s="970"/>
      <c r="DT128" s="970"/>
      <c r="DU128" s="970"/>
      <c r="DV128" s="970"/>
      <c r="DW128" s="970"/>
      <c r="DX128" s="970"/>
      <c r="DY128" s="970"/>
      <c r="DZ128" s="970"/>
      <c r="EA128" s="970"/>
      <c r="EB128" s="970"/>
      <c r="EC128" s="970"/>
      <c r="ED128" s="970"/>
      <c r="EE128" s="970"/>
      <c r="EF128" s="970"/>
      <c r="EG128" s="970"/>
      <c r="EH128" s="970"/>
      <c r="EI128" s="970"/>
      <c r="EJ128" s="970"/>
      <c r="EK128" s="970"/>
      <c r="EL128" s="970"/>
      <c r="EM128" s="970"/>
      <c r="EN128" s="2717"/>
      <c r="EO128" s="2717"/>
      <c r="EP128" s="2717"/>
      <c r="EQ128" s="2717"/>
      <c r="ER128" s="2717"/>
      <c r="ES128" s="2717"/>
      <c r="ET128" s="2717"/>
      <c r="EU128" s="2719"/>
      <c r="EV128" s="2719"/>
      <c r="EW128" s="441"/>
    </row>
    <row r="129" spans="1:153" s="242" customFormat="1" ht="15.75" hidden="1" customHeight="1" outlineLevel="2">
      <c r="A129" s="887"/>
      <c r="B129" s="887"/>
      <c r="C129" s="887"/>
      <c r="D129" s="887"/>
      <c r="E129" s="887"/>
      <c r="F129" s="887"/>
      <c r="G129" s="929"/>
      <c r="H129" s="929"/>
      <c r="I129" s="929"/>
      <c r="J129" s="929"/>
      <c r="K129" s="929"/>
      <c r="L129" s="929"/>
      <c r="M129" s="929"/>
      <c r="N129" s="929"/>
      <c r="O129" s="929"/>
      <c r="P129" s="929"/>
      <c r="Q129" s="929"/>
      <c r="R129" s="929"/>
      <c r="S129" s="929"/>
      <c r="T129" s="929"/>
      <c r="U129" s="929"/>
      <c r="V129" s="929"/>
      <c r="W129" s="929"/>
      <c r="X129" s="929"/>
      <c r="Y129" s="929"/>
      <c r="Z129" s="929"/>
      <c r="AA129" s="929"/>
      <c r="AB129" s="929"/>
      <c r="AC129" s="929"/>
      <c r="AD129" s="929"/>
      <c r="AE129" s="929"/>
      <c r="AF129" s="929"/>
      <c r="AG129" s="929"/>
      <c r="AH129" s="929"/>
      <c r="AI129" s="929"/>
      <c r="AJ129" s="929"/>
      <c r="AK129" s="929"/>
      <c r="AL129" s="929"/>
      <c r="AM129" s="929"/>
      <c r="AN129" s="929"/>
      <c r="AO129" s="929"/>
      <c r="AP129" s="929"/>
      <c r="AQ129" s="929"/>
      <c r="AR129" s="929"/>
      <c r="AS129" s="929"/>
      <c r="AT129" s="929"/>
      <c r="AU129" s="929"/>
      <c r="AV129" s="929"/>
      <c r="AW129" s="929"/>
      <c r="AX129" s="929"/>
      <c r="AY129" s="929"/>
      <c r="AZ129" s="929"/>
      <c r="BA129" s="929"/>
      <c r="BB129" s="929"/>
      <c r="BC129" s="929"/>
      <c r="BD129" s="929"/>
      <c r="BE129" s="929"/>
      <c r="BF129" s="929"/>
      <c r="BG129" s="929"/>
      <c r="BH129" s="929"/>
      <c r="BI129" s="929"/>
      <c r="BJ129" s="929"/>
      <c r="BK129" s="929"/>
      <c r="BL129" s="929"/>
      <c r="BM129" s="929"/>
      <c r="BN129" s="929"/>
      <c r="BO129" s="929"/>
      <c r="BP129" s="929"/>
      <c r="BQ129" s="929"/>
      <c r="BR129" s="929"/>
      <c r="BS129" s="929"/>
      <c r="BT129" s="929"/>
      <c r="BU129" s="929"/>
      <c r="BV129" s="929"/>
      <c r="BW129" s="929"/>
      <c r="BX129" s="929"/>
      <c r="BY129" s="929"/>
      <c r="BZ129" s="929"/>
      <c r="CA129" s="929"/>
      <c r="CB129" s="929"/>
      <c r="CC129" s="929"/>
      <c r="CD129" s="929"/>
      <c r="CE129" s="929"/>
      <c r="CF129" s="929"/>
      <c r="CG129" s="929"/>
      <c r="CH129" s="929"/>
      <c r="CI129" s="929"/>
      <c r="CJ129" s="929"/>
      <c r="CK129" s="929"/>
      <c r="CL129" s="929"/>
      <c r="CM129" s="929"/>
      <c r="CN129" s="929"/>
      <c r="CO129" s="929"/>
      <c r="CP129" s="929"/>
      <c r="CQ129" s="929"/>
      <c r="CR129" s="929"/>
      <c r="CS129" s="929"/>
      <c r="CT129" s="929"/>
      <c r="CU129" s="929"/>
      <c r="CV129" s="929"/>
      <c r="CW129" s="929"/>
      <c r="CX129" s="929"/>
      <c r="CY129" s="929"/>
      <c r="CZ129" s="929"/>
      <c r="DA129" s="929"/>
      <c r="DB129" s="929"/>
      <c r="DC129" s="929"/>
      <c r="DD129" s="929"/>
      <c r="DE129" s="929"/>
      <c r="DF129" s="929"/>
      <c r="DG129" s="929"/>
      <c r="DH129" s="929"/>
      <c r="DI129" s="929"/>
      <c r="DJ129" s="929"/>
      <c r="DK129" s="929"/>
      <c r="DL129" s="929"/>
      <c r="DM129" s="929"/>
      <c r="DN129" s="929"/>
      <c r="DO129" s="929"/>
      <c r="DP129" s="929"/>
      <c r="DQ129" s="929"/>
      <c r="DR129" s="929"/>
      <c r="DS129" s="929"/>
      <c r="DT129" s="929"/>
      <c r="DU129" s="929"/>
      <c r="DV129" s="929"/>
      <c r="DW129" s="929"/>
      <c r="DX129" s="929"/>
      <c r="DY129" s="929"/>
      <c r="DZ129" s="929"/>
      <c r="EA129" s="929"/>
      <c r="EB129" s="929"/>
      <c r="EC129" s="929"/>
      <c r="ED129" s="929"/>
      <c r="EE129" s="929"/>
      <c r="EF129" s="929"/>
      <c r="EG129" s="929"/>
      <c r="EH129" s="929"/>
      <c r="EI129" s="929"/>
      <c r="EJ129" s="929"/>
      <c r="EK129" s="929"/>
      <c r="EL129" s="929"/>
      <c r="EM129" s="929"/>
      <c r="EN129" s="2719"/>
      <c r="EO129" s="2719"/>
      <c r="EP129" s="2719"/>
      <c r="EQ129" s="2719"/>
      <c r="ER129" s="2719"/>
      <c r="ES129" s="2719"/>
      <c r="ET129" s="2719"/>
      <c r="EU129" s="2719"/>
      <c r="EV129" s="2719"/>
      <c r="EW129" s="441"/>
    </row>
    <row r="130" spans="1:153" s="897" customFormat="1" ht="15" hidden="1" customHeight="1" outlineLevel="1">
      <c r="A130" s="895" t="s">
        <v>1288</v>
      </c>
      <c r="B130" s="5231" t="s">
        <v>1291</v>
      </c>
      <c r="C130" s="5232"/>
      <c r="D130" s="896"/>
      <c r="E130" s="896"/>
      <c r="F130" s="896"/>
      <c r="G130" s="242"/>
      <c r="H130" s="242"/>
      <c r="I130" s="242"/>
      <c r="J130" s="242"/>
      <c r="K130" s="242"/>
      <c r="L130" s="242"/>
      <c r="M130" s="242"/>
      <c r="N130" s="242"/>
      <c r="O130" s="242"/>
      <c r="P130" s="242"/>
      <c r="Q130" s="242"/>
      <c r="R130" s="242"/>
      <c r="S130" s="242"/>
      <c r="T130" s="242"/>
      <c r="U130" s="242"/>
      <c r="V130" s="242"/>
      <c r="W130" s="242"/>
      <c r="X130" s="242"/>
      <c r="Y130" s="242"/>
      <c r="Z130" s="242"/>
      <c r="AA130" s="242"/>
      <c r="AB130" s="242"/>
      <c r="AC130" s="242"/>
      <c r="AD130" s="242"/>
      <c r="AE130" s="242"/>
      <c r="AF130" s="242"/>
      <c r="AG130" s="242"/>
      <c r="AH130" s="242"/>
      <c r="AI130" s="242"/>
      <c r="AJ130" s="242"/>
      <c r="AL130" s="242"/>
      <c r="AM130" s="242"/>
      <c r="AN130" s="242"/>
      <c r="AO130" s="242"/>
      <c r="AP130" s="242"/>
      <c r="AQ130" s="242"/>
      <c r="AR130" s="242"/>
      <c r="AS130" s="242"/>
      <c r="AT130" s="242"/>
      <c r="AU130" s="242"/>
      <c r="AV130" s="242"/>
      <c r="AW130" s="242"/>
      <c r="AX130" s="242"/>
      <c r="AY130" s="242"/>
      <c r="AZ130" s="242"/>
      <c r="BA130" s="242"/>
      <c r="BB130" s="242"/>
      <c r="BC130" s="242"/>
      <c r="BD130" s="242"/>
      <c r="BE130" s="242"/>
      <c r="BF130" s="242"/>
      <c r="BG130" s="242"/>
      <c r="BH130" s="242"/>
      <c r="BI130" s="242"/>
      <c r="BJ130" s="242"/>
      <c r="BK130" s="242"/>
      <c r="BL130" s="242"/>
      <c r="BM130" s="242"/>
      <c r="BN130" s="242"/>
      <c r="BO130" s="242"/>
      <c r="BP130" s="242"/>
      <c r="BQ130" s="242"/>
      <c r="BR130" s="242"/>
      <c r="BS130" s="242"/>
      <c r="BT130" s="242"/>
      <c r="BU130" s="242"/>
      <c r="BV130" s="242"/>
      <c r="BW130" s="242"/>
      <c r="BX130" s="242"/>
      <c r="BY130" s="242"/>
      <c r="BZ130" s="242"/>
      <c r="CA130" s="242"/>
      <c r="CB130" s="242"/>
      <c r="CC130" s="242"/>
      <c r="CD130" s="242"/>
      <c r="CE130" s="242"/>
      <c r="CF130" s="242"/>
      <c r="CG130" s="242"/>
      <c r="CH130" s="242"/>
      <c r="CI130" s="242"/>
      <c r="CJ130" s="242"/>
      <c r="CK130" s="242"/>
      <c r="CL130" s="242"/>
      <c r="CM130" s="242"/>
      <c r="CN130" s="242"/>
      <c r="CO130" s="242"/>
      <c r="CP130" s="242"/>
      <c r="CQ130" s="242"/>
      <c r="CR130" s="242"/>
      <c r="CS130" s="242"/>
      <c r="CT130" s="242"/>
      <c r="CU130" s="242"/>
      <c r="CV130" s="242"/>
      <c r="CW130" s="242"/>
      <c r="CX130" s="242"/>
      <c r="CY130" s="242"/>
      <c r="CZ130" s="242"/>
      <c r="DA130" s="242"/>
      <c r="DB130" s="242"/>
      <c r="DC130" s="242"/>
      <c r="DD130" s="242"/>
      <c r="DE130" s="242"/>
      <c r="DF130" s="242"/>
      <c r="DG130" s="242"/>
      <c r="DH130" s="242"/>
      <c r="DI130" s="242"/>
      <c r="DJ130" s="242"/>
      <c r="DK130" s="242"/>
      <c r="DL130" s="242"/>
      <c r="DM130" s="242"/>
      <c r="DN130" s="242"/>
      <c r="DO130" s="242"/>
      <c r="DP130" s="242"/>
      <c r="DQ130" s="242"/>
      <c r="DR130" s="242"/>
      <c r="DS130" s="242"/>
      <c r="DT130" s="242"/>
      <c r="DU130" s="242"/>
      <c r="DV130" s="242"/>
      <c r="DW130" s="242"/>
      <c r="DX130" s="242"/>
      <c r="DY130" s="242"/>
      <c r="DZ130" s="242"/>
      <c r="EA130" s="242"/>
      <c r="EB130" s="242"/>
      <c r="EC130" s="242"/>
      <c r="ED130" s="242"/>
      <c r="EE130" s="242"/>
      <c r="EF130" s="242"/>
      <c r="EG130" s="242"/>
      <c r="EH130" s="242"/>
      <c r="EI130" s="242"/>
      <c r="EJ130" s="242"/>
      <c r="EK130" s="242"/>
      <c r="EL130" s="242"/>
      <c r="EM130" s="242"/>
      <c r="EN130" s="441"/>
      <c r="EO130" s="441"/>
      <c r="EP130" s="441"/>
      <c r="EQ130" s="441"/>
      <c r="ER130" s="441"/>
      <c r="ES130" s="441"/>
      <c r="ET130" s="441"/>
      <c r="EU130" s="441"/>
      <c r="EV130" s="441"/>
      <c r="EW130" s="15"/>
    </row>
    <row r="131" spans="1:153" s="897" customFormat="1" ht="15" hidden="1" customHeight="1" outlineLevel="2">
      <c r="A131" s="986" t="s">
        <v>1289</v>
      </c>
      <c r="B131" s="923">
        <v>44652</v>
      </c>
      <c r="C131" s="923">
        <v>44487</v>
      </c>
      <c r="D131" s="923">
        <v>43647</v>
      </c>
      <c r="E131" s="242"/>
      <c r="F131" s="242"/>
      <c r="G131" s="242"/>
      <c r="H131" s="242"/>
      <c r="I131" s="242"/>
      <c r="J131" s="242"/>
      <c r="K131" s="242"/>
      <c r="L131" s="242"/>
      <c r="M131" s="242"/>
      <c r="N131" s="242"/>
      <c r="O131" s="242"/>
      <c r="P131" s="242"/>
      <c r="Q131" s="242"/>
      <c r="R131" s="242"/>
      <c r="S131" s="242"/>
      <c r="T131" s="242"/>
      <c r="U131" s="242"/>
      <c r="V131" s="242"/>
      <c r="W131" s="242"/>
      <c r="X131" s="242"/>
      <c r="Y131" s="242"/>
      <c r="Z131" s="242"/>
      <c r="AA131" s="242"/>
      <c r="AB131" s="242"/>
      <c r="AC131" s="242"/>
      <c r="AD131" s="242"/>
      <c r="AE131" s="242"/>
      <c r="AF131" s="242"/>
      <c r="AG131" s="242"/>
      <c r="AH131" s="242"/>
      <c r="AI131" s="242"/>
      <c r="AJ131" s="242"/>
      <c r="AL131" s="242"/>
      <c r="AM131" s="242"/>
      <c r="AN131" s="242"/>
      <c r="AO131" s="242"/>
      <c r="AP131" s="242"/>
      <c r="AQ131" s="242"/>
      <c r="AR131" s="242"/>
      <c r="AS131" s="242"/>
      <c r="AT131" s="242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441"/>
      <c r="EO131" s="441"/>
      <c r="EP131" s="441"/>
      <c r="EQ131" s="441"/>
      <c r="ER131" s="441"/>
      <c r="ES131" s="441"/>
      <c r="ET131" s="441"/>
      <c r="EU131" s="441"/>
      <c r="EV131" s="441"/>
      <c r="EW131" s="15"/>
    </row>
    <row r="132" spans="1:153" s="897" customFormat="1" ht="15" hidden="1" customHeight="1" outlineLevel="2">
      <c r="A132" s="985" t="s">
        <v>1290</v>
      </c>
      <c r="B132" s="916">
        <f>CEILING(C132*1.1, 50)</f>
        <v>1400</v>
      </c>
      <c r="C132" s="916">
        <f>D132*1.1</f>
        <v>1246.3000000000002</v>
      </c>
      <c r="D132" s="984">
        <v>1133</v>
      </c>
      <c r="E132" s="242"/>
      <c r="F132" s="242"/>
      <c r="G132" s="242"/>
      <c r="H132" s="242"/>
      <c r="I132" s="242"/>
      <c r="J132" s="242"/>
      <c r="K132" s="242"/>
      <c r="L132" s="242"/>
      <c r="M132" s="242"/>
      <c r="N132" s="242"/>
      <c r="O132" s="242"/>
      <c r="P132" s="242"/>
      <c r="Q132" s="242"/>
      <c r="R132" s="242"/>
      <c r="S132" s="242"/>
      <c r="T132" s="242"/>
      <c r="U132" s="242"/>
      <c r="V132" s="242"/>
      <c r="W132" s="242"/>
      <c r="X132" s="242"/>
      <c r="Y132" s="242"/>
      <c r="Z132" s="242"/>
      <c r="AA132" s="242"/>
      <c r="AB132" s="242"/>
      <c r="AC132" s="242"/>
      <c r="AD132" s="242"/>
      <c r="AE132" s="242"/>
      <c r="AF132" s="242"/>
      <c r="AG132" s="242"/>
      <c r="AH132" s="242"/>
      <c r="AI132" s="242"/>
      <c r="AJ132" s="242"/>
      <c r="AL132" s="242"/>
      <c r="AM132" s="242"/>
      <c r="AN132" s="242"/>
      <c r="AO132" s="242"/>
      <c r="AP132" s="242"/>
      <c r="AQ132" s="242"/>
      <c r="AR132" s="242"/>
      <c r="AS132" s="242"/>
      <c r="AT132" s="242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441"/>
      <c r="EO132" s="441"/>
      <c r="EP132" s="441"/>
      <c r="EQ132" s="441"/>
      <c r="ER132" s="441"/>
      <c r="ES132" s="441"/>
      <c r="ET132" s="441"/>
      <c r="EU132" s="441"/>
      <c r="EV132" s="441"/>
      <c r="EW132" s="15"/>
    </row>
    <row r="133" spans="1:153" s="897" customFormat="1" ht="15" hidden="1" customHeight="1" outlineLevel="2">
      <c r="A133" s="985" t="s">
        <v>1248</v>
      </c>
      <c r="B133" s="916">
        <f>CEILING(C133*1.1, 50)</f>
        <v>2850</v>
      </c>
      <c r="C133" s="916">
        <f>D133*1.1</f>
        <v>2566.3000000000002</v>
      </c>
      <c r="D133" s="916">
        <v>2333</v>
      </c>
      <c r="E133" s="242"/>
      <c r="F133" s="242"/>
      <c r="G133" s="242"/>
      <c r="H133" s="242"/>
      <c r="I133" s="242"/>
      <c r="J133" s="242"/>
      <c r="K133" s="242"/>
      <c r="L133" s="242"/>
      <c r="M133" s="242"/>
      <c r="N133" s="242"/>
      <c r="O133" s="242"/>
      <c r="P133" s="242"/>
      <c r="Q133" s="242"/>
      <c r="R133" s="242"/>
      <c r="S133" s="242"/>
      <c r="T133" s="242"/>
      <c r="U133" s="242"/>
      <c r="V133" s="242"/>
      <c r="W133" s="242"/>
      <c r="X133" s="242"/>
      <c r="Y133" s="242"/>
      <c r="Z133" s="242"/>
      <c r="AA133" s="242"/>
      <c r="AB133" s="242"/>
      <c r="AC133" s="242"/>
      <c r="AD133" s="242"/>
      <c r="AE133" s="242"/>
      <c r="AF133" s="242"/>
      <c r="AG133" s="242"/>
      <c r="AH133" s="242"/>
      <c r="AI133" s="242"/>
      <c r="AJ133" s="242"/>
      <c r="AL133" s="242"/>
      <c r="AM133" s="242"/>
      <c r="AN133" s="242"/>
      <c r="AO133" s="242"/>
      <c r="AP133" s="242"/>
      <c r="AQ133" s="242"/>
      <c r="AR133" s="242"/>
      <c r="AS133" s="242"/>
      <c r="AT133" s="242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441"/>
      <c r="EO133" s="441"/>
      <c r="EP133" s="441"/>
      <c r="EQ133" s="441"/>
      <c r="ER133" s="441"/>
      <c r="ES133" s="441"/>
      <c r="ET133" s="441"/>
      <c r="EU133" s="441"/>
      <c r="EV133" s="441"/>
      <c r="EW133" s="15"/>
    </row>
    <row r="134" spans="1:153" s="813" customFormat="1" ht="36" hidden="1" customHeight="1" outlineLevel="2" collapsed="1">
      <c r="A134" s="819"/>
      <c r="B134" s="819"/>
      <c r="C134" s="819"/>
      <c r="D134" s="819"/>
      <c r="E134" s="819"/>
      <c r="F134" s="819"/>
      <c r="G134" s="824" t="s">
        <v>1099</v>
      </c>
      <c r="H134" s="824" t="s">
        <v>1098</v>
      </c>
      <c r="I134" s="824" t="s">
        <v>1100</v>
      </c>
      <c r="J134" s="824" t="s">
        <v>1101</v>
      </c>
      <c r="K134" s="824" t="s">
        <v>1102</v>
      </c>
      <c r="L134" s="824" t="s">
        <v>1103</v>
      </c>
      <c r="M134" s="824" t="s">
        <v>1104</v>
      </c>
      <c r="N134" s="824" t="s">
        <v>1105</v>
      </c>
      <c r="O134" s="807" t="s">
        <v>1109</v>
      </c>
      <c r="P134" s="807" t="s">
        <v>1110</v>
      </c>
      <c r="Q134" s="807" t="s">
        <v>1111</v>
      </c>
      <c r="R134" s="807" t="s">
        <v>1107</v>
      </c>
      <c r="S134" s="807" t="s">
        <v>1106</v>
      </c>
      <c r="T134" s="807" t="s">
        <v>1108</v>
      </c>
      <c r="U134" s="817" t="s">
        <v>324</v>
      </c>
      <c r="V134" s="817" t="s">
        <v>323</v>
      </c>
      <c r="W134" s="817" t="s">
        <v>1076</v>
      </c>
      <c r="X134" s="816" t="s">
        <v>364</v>
      </c>
      <c r="Y134" s="816" t="s">
        <v>365</v>
      </c>
      <c r="Z134" s="816" t="s">
        <v>366</v>
      </c>
      <c r="AA134" s="816" t="s">
        <v>367</v>
      </c>
      <c r="AB134" s="816" t="s">
        <v>368</v>
      </c>
      <c r="AC134" s="816" t="s">
        <v>369</v>
      </c>
      <c r="AD134" s="816" t="s">
        <v>370</v>
      </c>
      <c r="AE134" s="816" t="s">
        <v>371</v>
      </c>
      <c r="AF134" s="886" t="s">
        <v>325</v>
      </c>
      <c r="AG134" s="886" t="s">
        <v>326</v>
      </c>
      <c r="AH134" s="886" t="s">
        <v>327</v>
      </c>
      <c r="AI134" s="886" t="s">
        <v>328</v>
      </c>
      <c r="AJ134" s="886" t="s">
        <v>329</v>
      </c>
      <c r="AK134" s="886" t="s">
        <v>743</v>
      </c>
      <c r="AL134" s="817" t="s">
        <v>744</v>
      </c>
      <c r="AM134" s="817" t="s">
        <v>745</v>
      </c>
      <c r="AN134" s="817" t="s">
        <v>922</v>
      </c>
      <c r="AO134" s="817" t="s">
        <v>900</v>
      </c>
      <c r="AP134" s="817" t="s">
        <v>746</v>
      </c>
      <c r="AQ134" s="817" t="s">
        <v>747</v>
      </c>
      <c r="AR134" s="817" t="s">
        <v>769</v>
      </c>
      <c r="AS134" s="817" t="s">
        <v>770</v>
      </c>
      <c r="AT134" s="807" t="s">
        <v>330</v>
      </c>
      <c r="AU134" s="807" t="s">
        <v>331</v>
      </c>
      <c r="AV134" s="807" t="s">
        <v>332</v>
      </c>
      <c r="AW134" s="807" t="s">
        <v>333</v>
      </c>
      <c r="AX134" s="807" t="s">
        <v>334</v>
      </c>
      <c r="AY134" s="825" t="s">
        <v>335</v>
      </c>
      <c r="AZ134" s="825" t="s">
        <v>336</v>
      </c>
      <c r="BA134" s="826" t="s">
        <v>337</v>
      </c>
      <c r="BB134" s="826" t="s">
        <v>338</v>
      </c>
      <c r="BC134" s="826" t="s">
        <v>339</v>
      </c>
      <c r="BD134" s="827" t="s">
        <v>340</v>
      </c>
      <c r="BE134" s="827" t="s">
        <v>341</v>
      </c>
      <c r="BF134" s="827" t="s">
        <v>342</v>
      </c>
      <c r="BG134" s="827" t="s">
        <v>343</v>
      </c>
      <c r="BH134" s="905" t="s">
        <v>1242</v>
      </c>
      <c r="BI134" s="892" t="s">
        <v>1243</v>
      </c>
      <c r="BJ134" s="886" t="s">
        <v>1113</v>
      </c>
      <c r="BK134" s="886" t="s">
        <v>1112</v>
      </c>
      <c r="BL134" s="886" t="s">
        <v>1114</v>
      </c>
      <c r="BM134" s="886" t="s">
        <v>1115</v>
      </c>
      <c r="BN134" s="886" t="s">
        <v>457</v>
      </c>
      <c r="BO134" s="807" t="s">
        <v>1077</v>
      </c>
      <c r="BP134" s="807" t="s">
        <v>1078</v>
      </c>
      <c r="BQ134" s="807" t="s">
        <v>1116</v>
      </c>
      <c r="BR134" s="886" t="s">
        <v>48</v>
      </c>
      <c r="BS134" s="886" t="s">
        <v>1117</v>
      </c>
      <c r="BT134" s="886" t="s">
        <v>1122</v>
      </c>
      <c r="BU134" s="886" t="s">
        <v>1127</v>
      </c>
      <c r="BV134" s="886" t="s">
        <v>1120</v>
      </c>
      <c r="BW134" s="886" t="s">
        <v>1125</v>
      </c>
      <c r="BX134" s="886" t="s">
        <v>1121</v>
      </c>
      <c r="BY134" s="886" t="s">
        <v>1126</v>
      </c>
      <c r="BZ134" s="886" t="s">
        <v>1118</v>
      </c>
      <c r="CA134" s="886" t="s">
        <v>1119</v>
      </c>
      <c r="CB134" s="886" t="s">
        <v>1123</v>
      </c>
      <c r="CC134" s="886" t="s">
        <v>1124</v>
      </c>
      <c r="CD134" s="807" t="s">
        <v>1128</v>
      </c>
      <c r="CE134" s="807" t="s">
        <v>1129</v>
      </c>
      <c r="CF134" s="807" t="s">
        <v>1130</v>
      </c>
      <c r="CG134" s="807" t="s">
        <v>1131</v>
      </c>
      <c r="CH134" s="807" t="s">
        <v>1132</v>
      </c>
      <c r="CI134" s="807" t="s">
        <v>1133</v>
      </c>
      <c r="CJ134" s="807" t="s">
        <v>1134</v>
      </c>
      <c r="CK134" s="807" t="s">
        <v>1135</v>
      </c>
      <c r="CL134" s="886" t="s">
        <v>394</v>
      </c>
      <c r="CM134" s="886" t="s">
        <v>395</v>
      </c>
      <c r="CN134" s="886" t="s">
        <v>396</v>
      </c>
      <c r="CO134" s="886" t="s">
        <v>397</v>
      </c>
      <c r="CP134" s="886" t="s">
        <v>1136</v>
      </c>
      <c r="CQ134" s="886" t="s">
        <v>1137</v>
      </c>
      <c r="CR134" s="886" t="s">
        <v>1138</v>
      </c>
      <c r="CS134" s="886" t="s">
        <v>1194</v>
      </c>
      <c r="CT134" s="886" t="s">
        <v>1193</v>
      </c>
      <c r="CU134" s="886" t="s">
        <v>1195</v>
      </c>
      <c r="CV134" s="886" t="s">
        <v>1139</v>
      </c>
      <c r="CW134" s="886" t="s">
        <v>1140</v>
      </c>
      <c r="CX134" s="886" t="s">
        <v>1141</v>
      </c>
      <c r="CY134" s="886" t="s">
        <v>1142</v>
      </c>
      <c r="CZ134" s="1016" t="s">
        <v>1196</v>
      </c>
      <c r="DA134" s="886" t="s">
        <v>1143</v>
      </c>
      <c r="DB134" s="886" t="s">
        <v>1144</v>
      </c>
      <c r="DC134" s="886" t="s">
        <v>321</v>
      </c>
      <c r="DD134" s="886"/>
      <c r="DE134" s="886"/>
      <c r="DF134" s="807" t="s">
        <v>1079</v>
      </c>
      <c r="DG134" s="807" t="s">
        <v>1080</v>
      </c>
      <c r="DH134" s="807" t="s">
        <v>1081</v>
      </c>
      <c r="DI134" s="807" t="s">
        <v>1082</v>
      </c>
      <c r="DJ134" s="807" t="s">
        <v>1083</v>
      </c>
      <c r="DK134" s="807" t="s">
        <v>1084</v>
      </c>
      <c r="DL134" s="807" t="s">
        <v>1085</v>
      </c>
      <c r="DM134" s="807" t="s">
        <v>1086</v>
      </c>
      <c r="DN134" s="807" t="s">
        <v>1087</v>
      </c>
      <c r="DO134" s="807" t="s">
        <v>1088</v>
      </c>
      <c r="DP134" s="807" t="s">
        <v>1089</v>
      </c>
      <c r="DQ134" s="807" t="s">
        <v>1090</v>
      </c>
      <c r="DR134" s="807" t="s">
        <v>1091</v>
      </c>
      <c r="DS134" s="807" t="s">
        <v>1092</v>
      </c>
      <c r="DT134" s="807" t="s">
        <v>1093</v>
      </c>
      <c r="DU134" s="807" t="s">
        <v>351</v>
      </c>
      <c r="DV134" s="807" t="s">
        <v>352</v>
      </c>
      <c r="DW134" s="807" t="s">
        <v>353</v>
      </c>
      <c r="DX134" s="807" t="s">
        <v>354</v>
      </c>
      <c r="DY134" s="807" t="s">
        <v>355</v>
      </c>
      <c r="DZ134" s="807" t="s">
        <v>356</v>
      </c>
      <c r="EA134" s="886" t="s">
        <v>345</v>
      </c>
      <c r="EB134" s="886" t="s">
        <v>346</v>
      </c>
      <c r="EC134" s="886" t="s">
        <v>347</v>
      </c>
      <c r="ED134" s="886" t="s">
        <v>348</v>
      </c>
      <c r="EE134" s="886" t="s">
        <v>349</v>
      </c>
      <c r="EF134" s="886" t="s">
        <v>350</v>
      </c>
      <c r="EG134" s="886" t="s">
        <v>357</v>
      </c>
      <c r="EH134" s="886" t="s">
        <v>358</v>
      </c>
      <c r="EI134" s="886" t="s">
        <v>359</v>
      </c>
      <c r="EJ134" s="807" t="s">
        <v>441</v>
      </c>
      <c r="EK134" s="807" t="s">
        <v>442</v>
      </c>
      <c r="EL134" s="886" t="s">
        <v>307</v>
      </c>
      <c r="EM134" s="886" t="s">
        <v>1145</v>
      </c>
      <c r="EN134" s="2596" t="s">
        <v>1146</v>
      </c>
      <c r="EO134" s="2596" t="s">
        <v>1147</v>
      </c>
      <c r="EP134" s="2596" t="s">
        <v>1148</v>
      </c>
      <c r="EQ134" s="2596" t="s">
        <v>1149</v>
      </c>
      <c r="ER134" s="2596" t="s">
        <v>1150</v>
      </c>
      <c r="ES134" s="807" t="s">
        <v>1094</v>
      </c>
      <c r="ET134" s="807" t="s">
        <v>1095</v>
      </c>
      <c r="EU134" s="815" t="s">
        <v>1096</v>
      </c>
      <c r="EV134" s="815" t="s">
        <v>1097</v>
      </c>
    </row>
    <row r="135" spans="1:153" s="813" customFormat="1" ht="15.75" hidden="1" outlineLevel="2">
      <c r="A135" s="5260" t="s">
        <v>1259</v>
      </c>
      <c r="B135" s="5260"/>
      <c r="C135" s="816"/>
      <c r="D135" s="816"/>
      <c r="E135" s="816"/>
      <c r="F135" s="816"/>
      <c r="G135" s="924">
        <v>0</v>
      </c>
      <c r="H135" s="924">
        <v>0</v>
      </c>
      <c r="I135" s="924">
        <v>0</v>
      </c>
      <c r="J135" s="924">
        <v>0</v>
      </c>
      <c r="K135" s="924">
        <v>0</v>
      </c>
      <c r="L135" s="924">
        <v>0</v>
      </c>
      <c r="M135" s="924">
        <v>0</v>
      </c>
      <c r="N135" s="924">
        <v>0</v>
      </c>
      <c r="O135" s="924">
        <v>0</v>
      </c>
      <c r="P135" s="924">
        <v>0</v>
      </c>
      <c r="Q135" s="924">
        <v>0</v>
      </c>
      <c r="R135" s="924">
        <v>0</v>
      </c>
      <c r="S135" s="924">
        <v>0</v>
      </c>
      <c r="T135" s="924">
        <v>0</v>
      </c>
      <c r="U135" s="924">
        <v>0</v>
      </c>
      <c r="V135" s="924">
        <v>0</v>
      </c>
      <c r="W135" s="924">
        <v>0</v>
      </c>
      <c r="X135" s="924">
        <v>0</v>
      </c>
      <c r="Y135" s="924">
        <v>0</v>
      </c>
      <c r="Z135" s="924">
        <v>0</v>
      </c>
      <c r="AA135" s="924">
        <v>0</v>
      </c>
      <c r="AB135" s="924">
        <v>0</v>
      </c>
      <c r="AC135" s="924">
        <v>0</v>
      </c>
      <c r="AD135" s="924">
        <v>0</v>
      </c>
      <c r="AE135" s="924">
        <v>0</v>
      </c>
      <c r="AF135" s="924">
        <v>0</v>
      </c>
      <c r="AG135" s="924">
        <v>0</v>
      </c>
      <c r="AH135" s="924">
        <v>0</v>
      </c>
      <c r="AI135" s="924">
        <v>0</v>
      </c>
      <c r="AJ135" s="924">
        <v>0</v>
      </c>
      <c r="AK135" s="924">
        <v>0</v>
      </c>
      <c r="AL135" s="924">
        <v>0</v>
      </c>
      <c r="AM135" s="924">
        <v>0</v>
      </c>
      <c r="AN135" s="924">
        <v>0</v>
      </c>
      <c r="AO135" s="924">
        <v>0</v>
      </c>
      <c r="AP135" s="924">
        <v>0</v>
      </c>
      <c r="AQ135" s="924">
        <v>0</v>
      </c>
      <c r="AR135" s="924">
        <v>0</v>
      </c>
      <c r="AS135" s="924">
        <v>0</v>
      </c>
      <c r="AT135" s="924">
        <v>0</v>
      </c>
      <c r="AU135" s="924">
        <v>0</v>
      </c>
      <c r="AV135" s="924">
        <v>0</v>
      </c>
      <c r="AW135" s="924">
        <v>0</v>
      </c>
      <c r="AX135" s="924">
        <v>0</v>
      </c>
      <c r="AY135" s="924">
        <v>0</v>
      </c>
      <c r="AZ135" s="924">
        <v>0</v>
      </c>
      <c r="BA135" s="924">
        <v>0</v>
      </c>
      <c r="BB135" s="924">
        <v>0</v>
      </c>
      <c r="BC135" s="924">
        <v>0</v>
      </c>
      <c r="BD135" s="924">
        <v>0</v>
      </c>
      <c r="BE135" s="924">
        <v>0</v>
      </c>
      <c r="BF135" s="924">
        <v>0</v>
      </c>
      <c r="BG135" s="924">
        <v>0</v>
      </c>
      <c r="BH135" s="924">
        <v>0</v>
      </c>
      <c r="BI135" s="924">
        <v>0</v>
      </c>
      <c r="BJ135" s="924">
        <v>0</v>
      </c>
      <c r="BK135" s="924">
        <v>0</v>
      </c>
      <c r="BL135" s="924">
        <v>0</v>
      </c>
      <c r="BM135" s="924">
        <v>0</v>
      </c>
      <c r="BN135" s="924">
        <v>0</v>
      </c>
      <c r="BO135" s="924">
        <v>0</v>
      </c>
      <c r="BP135" s="924">
        <v>0</v>
      </c>
      <c r="BQ135" s="924">
        <v>0</v>
      </c>
      <c r="BR135" s="924">
        <v>0</v>
      </c>
      <c r="BS135" s="924">
        <v>0</v>
      </c>
      <c r="BT135" s="924">
        <v>0</v>
      </c>
      <c r="BU135" s="924">
        <v>1</v>
      </c>
      <c r="BV135" s="924">
        <v>0</v>
      </c>
      <c r="BW135" s="924">
        <v>0</v>
      </c>
      <c r="BX135" s="924">
        <v>0</v>
      </c>
      <c r="BY135" s="924">
        <v>0</v>
      </c>
      <c r="BZ135" s="924">
        <v>0</v>
      </c>
      <c r="CA135" s="924">
        <v>0</v>
      </c>
      <c r="CB135" s="924">
        <v>0</v>
      </c>
      <c r="CC135" s="924">
        <v>0</v>
      </c>
      <c r="CD135" s="924">
        <v>0</v>
      </c>
      <c r="CE135" s="924">
        <v>0</v>
      </c>
      <c r="CF135" s="924">
        <v>0</v>
      </c>
      <c r="CG135" s="924">
        <v>0</v>
      </c>
      <c r="CH135" s="924">
        <v>0</v>
      </c>
      <c r="CI135" s="924">
        <v>0</v>
      </c>
      <c r="CJ135" s="924">
        <v>0</v>
      </c>
      <c r="CK135" s="924">
        <v>0</v>
      </c>
      <c r="CL135" s="924">
        <v>0</v>
      </c>
      <c r="CM135" s="924">
        <v>0</v>
      </c>
      <c r="CN135" s="924">
        <v>0</v>
      </c>
      <c r="CO135" s="924">
        <v>0</v>
      </c>
      <c r="CP135" s="924">
        <v>0</v>
      </c>
      <c r="CQ135" s="924">
        <v>0</v>
      </c>
      <c r="CR135" s="924">
        <v>0</v>
      </c>
      <c r="CS135" s="924">
        <v>0</v>
      </c>
      <c r="CT135" s="924">
        <v>0</v>
      </c>
      <c r="CU135" s="924">
        <v>0</v>
      </c>
      <c r="CV135" s="924">
        <v>0</v>
      </c>
      <c r="CW135" s="924">
        <v>0</v>
      </c>
      <c r="CX135" s="924">
        <v>0</v>
      </c>
      <c r="CY135" s="924">
        <v>0</v>
      </c>
      <c r="CZ135" s="1093"/>
      <c r="DA135" s="924">
        <v>1</v>
      </c>
      <c r="DB135" s="924">
        <v>1</v>
      </c>
      <c r="DC135" s="924">
        <v>0</v>
      </c>
      <c r="DD135" s="924">
        <v>0</v>
      </c>
      <c r="DE135" s="924">
        <v>0</v>
      </c>
      <c r="DF135" s="924">
        <v>0</v>
      </c>
      <c r="DG135" s="924">
        <v>0</v>
      </c>
      <c r="DH135" s="924">
        <v>0</v>
      </c>
      <c r="DI135" s="924">
        <v>0</v>
      </c>
      <c r="DJ135" s="924">
        <v>0</v>
      </c>
      <c r="DK135" s="924">
        <v>0</v>
      </c>
      <c r="DL135" s="924">
        <v>0</v>
      </c>
      <c r="DM135" s="924">
        <v>0</v>
      </c>
      <c r="DN135" s="924">
        <v>0</v>
      </c>
      <c r="DO135" s="924">
        <v>0</v>
      </c>
      <c r="DP135" s="924">
        <v>0</v>
      </c>
      <c r="DQ135" s="924">
        <v>0</v>
      </c>
      <c r="DR135" s="924">
        <v>0</v>
      </c>
      <c r="DS135" s="924">
        <v>0</v>
      </c>
      <c r="DT135" s="924">
        <v>0</v>
      </c>
      <c r="DU135" s="924">
        <v>0</v>
      </c>
      <c r="DV135" s="924">
        <v>0</v>
      </c>
      <c r="DW135" s="924">
        <v>0</v>
      </c>
      <c r="DX135" s="924">
        <v>0</v>
      </c>
      <c r="DY135" s="924">
        <v>0</v>
      </c>
      <c r="DZ135" s="924">
        <v>0</v>
      </c>
      <c r="EA135" s="924">
        <v>0</v>
      </c>
      <c r="EB135" s="924">
        <v>0</v>
      </c>
      <c r="EC135" s="924">
        <v>0</v>
      </c>
      <c r="ED135" s="924">
        <v>0</v>
      </c>
      <c r="EE135" s="924">
        <v>0</v>
      </c>
      <c r="EF135" s="924">
        <v>0</v>
      </c>
      <c r="EG135" s="924">
        <v>0</v>
      </c>
      <c r="EH135" s="924">
        <v>0</v>
      </c>
      <c r="EI135" s="924">
        <v>0</v>
      </c>
      <c r="EJ135" s="924">
        <v>0</v>
      </c>
      <c r="EK135" s="924">
        <v>0</v>
      </c>
      <c r="EL135" s="924">
        <v>0</v>
      </c>
      <c r="EM135" s="924">
        <v>0</v>
      </c>
      <c r="EN135" s="2711">
        <v>0</v>
      </c>
      <c r="EO135" s="2711">
        <v>0</v>
      </c>
      <c r="EP135" s="2711">
        <v>0</v>
      </c>
      <c r="EQ135" s="2711">
        <v>0</v>
      </c>
      <c r="ER135" s="2711">
        <v>0</v>
      </c>
      <c r="ES135" s="2711">
        <v>0</v>
      </c>
      <c r="ET135" s="2711">
        <v>0</v>
      </c>
      <c r="EU135" s="2711">
        <v>0</v>
      </c>
      <c r="EV135" s="2711">
        <v>0</v>
      </c>
    </row>
    <row r="136" spans="1:153" s="242" customFormat="1" ht="15.75" hidden="1" outlineLevel="2">
      <c r="A136" s="5268" t="s">
        <v>1260</v>
      </c>
      <c r="B136" s="5269"/>
      <c r="C136" s="981" t="s">
        <v>439</v>
      </c>
      <c r="D136" s="972"/>
      <c r="F136" s="972"/>
      <c r="G136" s="551">
        <f t="shared" ref="G136:BR136" si="116">CEILING($B$132*G135*$F$2*$F$3, 100)</f>
        <v>0</v>
      </c>
      <c r="H136" s="551">
        <f t="shared" si="116"/>
        <v>0</v>
      </c>
      <c r="I136" s="551">
        <f t="shared" si="116"/>
        <v>0</v>
      </c>
      <c r="J136" s="551">
        <f t="shared" si="116"/>
        <v>0</v>
      </c>
      <c r="K136" s="551">
        <f t="shared" si="116"/>
        <v>0</v>
      </c>
      <c r="L136" s="551">
        <f t="shared" si="116"/>
        <v>0</v>
      </c>
      <c r="M136" s="551">
        <f t="shared" si="116"/>
        <v>0</v>
      </c>
      <c r="N136" s="551">
        <f t="shared" si="116"/>
        <v>0</v>
      </c>
      <c r="O136" s="551">
        <f t="shared" si="116"/>
        <v>0</v>
      </c>
      <c r="P136" s="551">
        <f t="shared" si="116"/>
        <v>0</v>
      </c>
      <c r="Q136" s="551">
        <f t="shared" si="116"/>
        <v>0</v>
      </c>
      <c r="R136" s="551">
        <f>CEILING($B$132*R135*$F$2*$F$3, 100)</f>
        <v>0</v>
      </c>
      <c r="S136" s="551">
        <f>CEILING($B$132*S135*$F$2*$F$3, 100)</f>
        <v>0</v>
      </c>
      <c r="T136" s="551">
        <f>CEILING($B$132*T135*$F$2*$F$3, 100)</f>
        <v>0</v>
      </c>
      <c r="U136" s="551">
        <f t="shared" si="116"/>
        <v>0</v>
      </c>
      <c r="V136" s="551">
        <f t="shared" si="116"/>
        <v>0</v>
      </c>
      <c r="W136" s="551">
        <f t="shared" si="116"/>
        <v>0</v>
      </c>
      <c r="X136" s="551">
        <f t="shared" si="116"/>
        <v>0</v>
      </c>
      <c r="Y136" s="551">
        <f t="shared" si="116"/>
        <v>0</v>
      </c>
      <c r="Z136" s="551">
        <f t="shared" si="116"/>
        <v>0</v>
      </c>
      <c r="AA136" s="551">
        <f t="shared" si="116"/>
        <v>0</v>
      </c>
      <c r="AB136" s="551">
        <f t="shared" si="116"/>
        <v>0</v>
      </c>
      <c r="AC136" s="551">
        <f t="shared" si="116"/>
        <v>0</v>
      </c>
      <c r="AD136" s="551">
        <f t="shared" si="116"/>
        <v>0</v>
      </c>
      <c r="AE136" s="551">
        <f t="shared" si="116"/>
        <v>0</v>
      </c>
      <c r="AF136" s="551">
        <f t="shared" si="116"/>
        <v>0</v>
      </c>
      <c r="AG136" s="551">
        <f t="shared" si="116"/>
        <v>0</v>
      </c>
      <c r="AH136" s="551">
        <f t="shared" si="116"/>
        <v>0</v>
      </c>
      <c r="AI136" s="551">
        <f t="shared" si="116"/>
        <v>0</v>
      </c>
      <c r="AJ136" s="551">
        <f t="shared" si="116"/>
        <v>0</v>
      </c>
      <c r="AK136" s="551">
        <f t="shared" si="116"/>
        <v>0</v>
      </c>
      <c r="AL136" s="551">
        <f t="shared" si="116"/>
        <v>0</v>
      </c>
      <c r="AM136" s="551">
        <f t="shared" si="116"/>
        <v>0</v>
      </c>
      <c r="AN136" s="551">
        <f t="shared" si="116"/>
        <v>0</v>
      </c>
      <c r="AO136" s="551">
        <f t="shared" si="116"/>
        <v>0</v>
      </c>
      <c r="AP136" s="551">
        <f t="shared" si="116"/>
        <v>0</v>
      </c>
      <c r="AQ136" s="551">
        <f t="shared" si="116"/>
        <v>0</v>
      </c>
      <c r="AR136" s="551">
        <f t="shared" si="116"/>
        <v>0</v>
      </c>
      <c r="AS136" s="551">
        <f t="shared" si="116"/>
        <v>0</v>
      </c>
      <c r="AT136" s="551">
        <f t="shared" si="116"/>
        <v>0</v>
      </c>
      <c r="AU136" s="551">
        <f t="shared" si="116"/>
        <v>0</v>
      </c>
      <c r="AV136" s="551">
        <f t="shared" si="116"/>
        <v>0</v>
      </c>
      <c r="AW136" s="551">
        <f t="shared" si="116"/>
        <v>0</v>
      </c>
      <c r="AX136" s="551">
        <f t="shared" si="116"/>
        <v>0</v>
      </c>
      <c r="AY136" s="551">
        <f t="shared" si="116"/>
        <v>0</v>
      </c>
      <c r="AZ136" s="551">
        <f t="shared" si="116"/>
        <v>0</v>
      </c>
      <c r="BA136" s="551">
        <f t="shared" si="116"/>
        <v>0</v>
      </c>
      <c r="BB136" s="551">
        <f t="shared" si="116"/>
        <v>0</v>
      </c>
      <c r="BC136" s="551">
        <f t="shared" si="116"/>
        <v>0</v>
      </c>
      <c r="BD136" s="551">
        <f t="shared" si="116"/>
        <v>0</v>
      </c>
      <c r="BE136" s="551">
        <f t="shared" si="116"/>
        <v>0</v>
      </c>
      <c r="BF136" s="551">
        <f t="shared" si="116"/>
        <v>0</v>
      </c>
      <c r="BG136" s="551">
        <f t="shared" si="116"/>
        <v>0</v>
      </c>
      <c r="BH136" s="551">
        <f t="shared" si="116"/>
        <v>0</v>
      </c>
      <c r="BI136" s="551">
        <f t="shared" si="116"/>
        <v>0</v>
      </c>
      <c r="BJ136" s="551">
        <f>CEILING($B$132*BJ135*$F$2*$F$3, 100)</f>
        <v>0</v>
      </c>
      <c r="BK136" s="551">
        <f>CEILING($B$132*BK135*$F$2*$F$3, 100)</f>
        <v>0</v>
      </c>
      <c r="BL136" s="551">
        <f t="shared" si="116"/>
        <v>0</v>
      </c>
      <c r="BM136" s="551">
        <f t="shared" si="116"/>
        <v>0</v>
      </c>
      <c r="BN136" s="551">
        <f t="shared" si="116"/>
        <v>0</v>
      </c>
      <c r="BO136" s="551">
        <f t="shared" si="116"/>
        <v>0</v>
      </c>
      <c r="BP136" s="551">
        <f t="shared" si="116"/>
        <v>0</v>
      </c>
      <c r="BQ136" s="551">
        <f t="shared" si="116"/>
        <v>0</v>
      </c>
      <c r="BR136" s="551">
        <f t="shared" si="116"/>
        <v>0</v>
      </c>
      <c r="BS136" s="551">
        <f t="shared" ref="BS136:CY136" si="117">CEILING($B$132*BS135*$F$2*$F$3, 100)</f>
        <v>0</v>
      </c>
      <c r="BT136" s="551">
        <f t="shared" ref="BT136:BY136" si="118">CEILING($B$132*BT135*$F$2*$F$3, 100)</f>
        <v>0</v>
      </c>
      <c r="BU136" s="551">
        <f t="shared" si="118"/>
        <v>3300</v>
      </c>
      <c r="BV136" s="551">
        <f t="shared" si="118"/>
        <v>0</v>
      </c>
      <c r="BW136" s="551">
        <f t="shared" si="118"/>
        <v>0</v>
      </c>
      <c r="BX136" s="551">
        <f t="shared" si="118"/>
        <v>0</v>
      </c>
      <c r="BY136" s="551">
        <f t="shared" si="118"/>
        <v>0</v>
      </c>
      <c r="BZ136" s="551">
        <f t="shared" si="117"/>
        <v>0</v>
      </c>
      <c r="CA136" s="551">
        <f t="shared" si="117"/>
        <v>0</v>
      </c>
      <c r="CB136" s="551">
        <f t="shared" si="117"/>
        <v>0</v>
      </c>
      <c r="CC136" s="551">
        <f t="shared" si="117"/>
        <v>0</v>
      </c>
      <c r="CD136" s="551">
        <f t="shared" si="117"/>
        <v>0</v>
      </c>
      <c r="CE136" s="551">
        <f t="shared" si="117"/>
        <v>0</v>
      </c>
      <c r="CF136" s="551">
        <f t="shared" si="117"/>
        <v>0</v>
      </c>
      <c r="CG136" s="551">
        <f t="shared" si="117"/>
        <v>0</v>
      </c>
      <c r="CH136" s="551">
        <f t="shared" si="117"/>
        <v>0</v>
      </c>
      <c r="CI136" s="551">
        <f t="shared" si="117"/>
        <v>0</v>
      </c>
      <c r="CJ136" s="551">
        <f t="shared" si="117"/>
        <v>0</v>
      </c>
      <c r="CK136" s="551">
        <f t="shared" si="117"/>
        <v>0</v>
      </c>
      <c r="CL136" s="551">
        <f t="shared" si="117"/>
        <v>0</v>
      </c>
      <c r="CM136" s="551">
        <f t="shared" si="117"/>
        <v>0</v>
      </c>
      <c r="CN136" s="551">
        <f t="shared" si="117"/>
        <v>0</v>
      </c>
      <c r="CO136" s="551">
        <f t="shared" si="117"/>
        <v>0</v>
      </c>
      <c r="CP136" s="551">
        <f t="shared" si="117"/>
        <v>0</v>
      </c>
      <c r="CQ136" s="551">
        <f t="shared" si="117"/>
        <v>0</v>
      </c>
      <c r="CR136" s="551">
        <f t="shared" si="117"/>
        <v>0</v>
      </c>
      <c r="CS136" s="551">
        <f t="shared" si="117"/>
        <v>0</v>
      </c>
      <c r="CT136" s="551">
        <f t="shared" si="117"/>
        <v>0</v>
      </c>
      <c r="CU136" s="551">
        <f t="shared" si="117"/>
        <v>0</v>
      </c>
      <c r="CV136" s="551">
        <f t="shared" si="117"/>
        <v>0</v>
      </c>
      <c r="CW136" s="551">
        <f t="shared" si="117"/>
        <v>0</v>
      </c>
      <c r="CX136" s="551">
        <f t="shared" si="117"/>
        <v>0</v>
      </c>
      <c r="CY136" s="551">
        <f t="shared" si="117"/>
        <v>0</v>
      </c>
      <c r="CZ136" s="1083"/>
      <c r="DA136" s="551">
        <f>CEILING($B$132*DA135*$F$2*$F$3, 100)</f>
        <v>3300</v>
      </c>
      <c r="DB136" s="551">
        <f>CEILING($B$132*DB135*$F$2*$F$3, 100)</f>
        <v>3300</v>
      </c>
      <c r="DC136" s="551">
        <f t="shared" ref="DC136:ET136" si="119">CEILING($B$132*DC135*$F$2*$F$3, 100)</f>
        <v>0</v>
      </c>
      <c r="DD136" s="551">
        <f t="shared" si="119"/>
        <v>0</v>
      </c>
      <c r="DE136" s="551">
        <f t="shared" si="119"/>
        <v>0</v>
      </c>
      <c r="DF136" s="551">
        <f t="shared" si="119"/>
        <v>0</v>
      </c>
      <c r="DG136" s="551">
        <f t="shared" si="119"/>
        <v>0</v>
      </c>
      <c r="DH136" s="551">
        <f t="shared" si="119"/>
        <v>0</v>
      </c>
      <c r="DI136" s="551">
        <f t="shared" si="119"/>
        <v>0</v>
      </c>
      <c r="DJ136" s="551">
        <f t="shared" si="119"/>
        <v>0</v>
      </c>
      <c r="DK136" s="551">
        <f t="shared" si="119"/>
        <v>0</v>
      </c>
      <c r="DL136" s="551">
        <f t="shared" si="119"/>
        <v>0</v>
      </c>
      <c r="DM136" s="551">
        <f t="shared" si="119"/>
        <v>0</v>
      </c>
      <c r="DN136" s="551">
        <f t="shared" si="119"/>
        <v>0</v>
      </c>
      <c r="DO136" s="551">
        <f t="shared" si="119"/>
        <v>0</v>
      </c>
      <c r="DP136" s="551">
        <f t="shared" si="119"/>
        <v>0</v>
      </c>
      <c r="DQ136" s="551">
        <f t="shared" si="119"/>
        <v>0</v>
      </c>
      <c r="DR136" s="551">
        <f t="shared" si="119"/>
        <v>0</v>
      </c>
      <c r="DS136" s="551">
        <f t="shared" si="119"/>
        <v>0</v>
      </c>
      <c r="DT136" s="551">
        <f t="shared" si="119"/>
        <v>0</v>
      </c>
      <c r="DU136" s="551">
        <f t="shared" si="119"/>
        <v>0</v>
      </c>
      <c r="DV136" s="551">
        <f t="shared" si="119"/>
        <v>0</v>
      </c>
      <c r="DW136" s="551">
        <f t="shared" si="119"/>
        <v>0</v>
      </c>
      <c r="DX136" s="551">
        <f t="shared" si="119"/>
        <v>0</v>
      </c>
      <c r="DY136" s="551">
        <f t="shared" si="119"/>
        <v>0</v>
      </c>
      <c r="DZ136" s="551">
        <f t="shared" si="119"/>
        <v>0</v>
      </c>
      <c r="EA136" s="551">
        <f t="shared" si="119"/>
        <v>0</v>
      </c>
      <c r="EB136" s="551">
        <f t="shared" si="119"/>
        <v>0</v>
      </c>
      <c r="EC136" s="551">
        <f t="shared" si="119"/>
        <v>0</v>
      </c>
      <c r="ED136" s="551">
        <f t="shared" si="119"/>
        <v>0</v>
      </c>
      <c r="EE136" s="551">
        <f t="shared" si="119"/>
        <v>0</v>
      </c>
      <c r="EF136" s="551">
        <f t="shared" si="119"/>
        <v>0</v>
      </c>
      <c r="EG136" s="551">
        <f t="shared" si="119"/>
        <v>0</v>
      </c>
      <c r="EH136" s="551">
        <f t="shared" si="119"/>
        <v>0</v>
      </c>
      <c r="EI136" s="551">
        <f t="shared" si="119"/>
        <v>0</v>
      </c>
      <c r="EJ136" s="551">
        <f t="shared" si="119"/>
        <v>0</v>
      </c>
      <c r="EK136" s="551">
        <f t="shared" si="119"/>
        <v>0</v>
      </c>
      <c r="EL136" s="551">
        <f t="shared" si="119"/>
        <v>0</v>
      </c>
      <c r="EM136" s="551">
        <f t="shared" si="119"/>
        <v>0</v>
      </c>
      <c r="EN136" s="2708">
        <f t="shared" si="119"/>
        <v>0</v>
      </c>
      <c r="EO136" s="2708">
        <f t="shared" si="119"/>
        <v>0</v>
      </c>
      <c r="EP136" s="2708">
        <f t="shared" si="119"/>
        <v>0</v>
      </c>
      <c r="EQ136" s="2708">
        <f t="shared" si="119"/>
        <v>0</v>
      </c>
      <c r="ER136" s="2708">
        <f t="shared" si="119"/>
        <v>0</v>
      </c>
      <c r="ES136" s="2708">
        <f t="shared" si="119"/>
        <v>0</v>
      </c>
      <c r="ET136" s="2708">
        <f t="shared" si="119"/>
        <v>0</v>
      </c>
      <c r="EU136" s="2708">
        <f>CEILING($B$68*EU135*$F$2*$F$3, 100)</f>
        <v>0</v>
      </c>
      <c r="EV136" s="2708">
        <f>CEILING($B$68*EV135*$F$2*$F$3, 100)</f>
        <v>0</v>
      </c>
      <c r="EW136" s="441"/>
    </row>
    <row r="137" spans="1:153" s="242" customFormat="1" ht="15.75" hidden="1" outlineLevel="2">
      <c r="A137" s="5270"/>
      <c r="B137" s="5271"/>
      <c r="C137" s="981" t="s">
        <v>722</v>
      </c>
      <c r="D137" s="971"/>
      <c r="E137" s="981"/>
      <c r="F137" s="971"/>
      <c r="G137" s="551">
        <f t="shared" ref="G137:BR137" si="120">CEILING($B$133*G135*$F$2*$F$3, 100)</f>
        <v>0</v>
      </c>
      <c r="H137" s="551">
        <f t="shared" si="120"/>
        <v>0</v>
      </c>
      <c r="I137" s="551">
        <f t="shared" si="120"/>
        <v>0</v>
      </c>
      <c r="J137" s="551">
        <f t="shared" si="120"/>
        <v>0</v>
      </c>
      <c r="K137" s="551">
        <f t="shared" si="120"/>
        <v>0</v>
      </c>
      <c r="L137" s="551">
        <f t="shared" si="120"/>
        <v>0</v>
      </c>
      <c r="M137" s="551">
        <f t="shared" si="120"/>
        <v>0</v>
      </c>
      <c r="N137" s="551">
        <f t="shared" si="120"/>
        <v>0</v>
      </c>
      <c r="O137" s="551">
        <f t="shared" si="120"/>
        <v>0</v>
      </c>
      <c r="P137" s="551">
        <f t="shared" si="120"/>
        <v>0</v>
      </c>
      <c r="Q137" s="551">
        <f t="shared" si="120"/>
        <v>0</v>
      </c>
      <c r="R137" s="551">
        <f>CEILING($B$133*R135*$F$2*$F$3, 100)</f>
        <v>0</v>
      </c>
      <c r="S137" s="551">
        <f>CEILING($B$133*S135*$F$2*$F$3, 100)</f>
        <v>0</v>
      </c>
      <c r="T137" s="551">
        <f>CEILING($B$133*T135*$F$2*$F$3, 100)</f>
        <v>0</v>
      </c>
      <c r="U137" s="551">
        <f t="shared" si="120"/>
        <v>0</v>
      </c>
      <c r="V137" s="551">
        <f t="shared" si="120"/>
        <v>0</v>
      </c>
      <c r="W137" s="551">
        <f t="shared" si="120"/>
        <v>0</v>
      </c>
      <c r="X137" s="551">
        <f t="shared" si="120"/>
        <v>0</v>
      </c>
      <c r="Y137" s="551">
        <f t="shared" si="120"/>
        <v>0</v>
      </c>
      <c r="Z137" s="551">
        <f t="shared" si="120"/>
        <v>0</v>
      </c>
      <c r="AA137" s="551">
        <f t="shared" si="120"/>
        <v>0</v>
      </c>
      <c r="AB137" s="551">
        <f t="shared" si="120"/>
        <v>0</v>
      </c>
      <c r="AC137" s="551">
        <f t="shared" si="120"/>
        <v>0</v>
      </c>
      <c r="AD137" s="551">
        <f t="shared" si="120"/>
        <v>0</v>
      </c>
      <c r="AE137" s="551">
        <f t="shared" si="120"/>
        <v>0</v>
      </c>
      <c r="AF137" s="551">
        <f t="shared" si="120"/>
        <v>0</v>
      </c>
      <c r="AG137" s="551">
        <f t="shared" si="120"/>
        <v>0</v>
      </c>
      <c r="AH137" s="551">
        <f t="shared" si="120"/>
        <v>0</v>
      </c>
      <c r="AI137" s="551">
        <f t="shared" si="120"/>
        <v>0</v>
      </c>
      <c r="AJ137" s="551">
        <f t="shared" si="120"/>
        <v>0</v>
      </c>
      <c r="AK137" s="551">
        <f t="shared" si="120"/>
        <v>0</v>
      </c>
      <c r="AL137" s="551">
        <f t="shared" si="120"/>
        <v>0</v>
      </c>
      <c r="AM137" s="551">
        <f t="shared" si="120"/>
        <v>0</v>
      </c>
      <c r="AN137" s="551">
        <f t="shared" si="120"/>
        <v>0</v>
      </c>
      <c r="AO137" s="551">
        <f t="shared" si="120"/>
        <v>0</v>
      </c>
      <c r="AP137" s="551">
        <f t="shared" si="120"/>
        <v>0</v>
      </c>
      <c r="AQ137" s="551">
        <f t="shared" si="120"/>
        <v>0</v>
      </c>
      <c r="AR137" s="551">
        <f t="shared" si="120"/>
        <v>0</v>
      </c>
      <c r="AS137" s="551">
        <f t="shared" si="120"/>
        <v>0</v>
      </c>
      <c r="AT137" s="551">
        <f t="shared" si="120"/>
        <v>0</v>
      </c>
      <c r="AU137" s="551">
        <f t="shared" si="120"/>
        <v>0</v>
      </c>
      <c r="AV137" s="551">
        <f t="shared" si="120"/>
        <v>0</v>
      </c>
      <c r="AW137" s="551">
        <f t="shared" si="120"/>
        <v>0</v>
      </c>
      <c r="AX137" s="551">
        <f t="shared" si="120"/>
        <v>0</v>
      </c>
      <c r="AY137" s="551">
        <f t="shared" si="120"/>
        <v>0</v>
      </c>
      <c r="AZ137" s="551">
        <f t="shared" si="120"/>
        <v>0</v>
      </c>
      <c r="BA137" s="551">
        <f t="shared" si="120"/>
        <v>0</v>
      </c>
      <c r="BB137" s="551">
        <f t="shared" si="120"/>
        <v>0</v>
      </c>
      <c r="BC137" s="551">
        <f t="shared" si="120"/>
        <v>0</v>
      </c>
      <c r="BD137" s="551">
        <f t="shared" si="120"/>
        <v>0</v>
      </c>
      <c r="BE137" s="551">
        <f t="shared" si="120"/>
        <v>0</v>
      </c>
      <c r="BF137" s="551">
        <f t="shared" si="120"/>
        <v>0</v>
      </c>
      <c r="BG137" s="551">
        <f t="shared" si="120"/>
        <v>0</v>
      </c>
      <c r="BH137" s="551">
        <f t="shared" si="120"/>
        <v>0</v>
      </c>
      <c r="BI137" s="551">
        <f t="shared" si="120"/>
        <v>0</v>
      </c>
      <c r="BJ137" s="551">
        <f>CEILING($B$133*BJ135*$F$2*$F$3, 100)</f>
        <v>0</v>
      </c>
      <c r="BK137" s="551">
        <f>CEILING($B$133*BK135*$F$2*$F$3, 100)</f>
        <v>0</v>
      </c>
      <c r="BL137" s="551">
        <f t="shared" si="120"/>
        <v>0</v>
      </c>
      <c r="BM137" s="551">
        <f t="shared" si="120"/>
        <v>0</v>
      </c>
      <c r="BN137" s="551">
        <f t="shared" si="120"/>
        <v>0</v>
      </c>
      <c r="BO137" s="551">
        <f t="shared" si="120"/>
        <v>0</v>
      </c>
      <c r="BP137" s="551">
        <f t="shared" si="120"/>
        <v>0</v>
      </c>
      <c r="BQ137" s="551">
        <f t="shared" si="120"/>
        <v>0</v>
      </c>
      <c r="BR137" s="551">
        <f t="shared" si="120"/>
        <v>0</v>
      </c>
      <c r="BS137" s="551">
        <f t="shared" ref="BS137:CY137" si="121">CEILING($B$133*BS135*$F$2*$F$3, 100)</f>
        <v>0</v>
      </c>
      <c r="BT137" s="551">
        <f t="shared" ref="BT137:BY137" si="122">CEILING($B$133*BT135*$F$2*$F$3, 100)</f>
        <v>0</v>
      </c>
      <c r="BU137" s="551">
        <f t="shared" si="122"/>
        <v>6600</v>
      </c>
      <c r="BV137" s="551">
        <f t="shared" si="122"/>
        <v>0</v>
      </c>
      <c r="BW137" s="551">
        <f t="shared" si="122"/>
        <v>0</v>
      </c>
      <c r="BX137" s="551">
        <f t="shared" si="122"/>
        <v>0</v>
      </c>
      <c r="BY137" s="551">
        <f t="shared" si="122"/>
        <v>0</v>
      </c>
      <c r="BZ137" s="551">
        <f t="shared" si="121"/>
        <v>0</v>
      </c>
      <c r="CA137" s="551">
        <f t="shared" si="121"/>
        <v>0</v>
      </c>
      <c r="CB137" s="551">
        <f t="shared" si="121"/>
        <v>0</v>
      </c>
      <c r="CC137" s="551">
        <f t="shared" si="121"/>
        <v>0</v>
      </c>
      <c r="CD137" s="551">
        <f t="shared" si="121"/>
        <v>0</v>
      </c>
      <c r="CE137" s="551">
        <f t="shared" si="121"/>
        <v>0</v>
      </c>
      <c r="CF137" s="551">
        <f t="shared" si="121"/>
        <v>0</v>
      </c>
      <c r="CG137" s="551">
        <f t="shared" si="121"/>
        <v>0</v>
      </c>
      <c r="CH137" s="551">
        <f t="shared" si="121"/>
        <v>0</v>
      </c>
      <c r="CI137" s="551">
        <f t="shared" si="121"/>
        <v>0</v>
      </c>
      <c r="CJ137" s="551">
        <f t="shared" si="121"/>
        <v>0</v>
      </c>
      <c r="CK137" s="551">
        <f t="shared" si="121"/>
        <v>0</v>
      </c>
      <c r="CL137" s="551">
        <f t="shared" si="121"/>
        <v>0</v>
      </c>
      <c r="CM137" s="551">
        <f t="shared" si="121"/>
        <v>0</v>
      </c>
      <c r="CN137" s="551">
        <f t="shared" si="121"/>
        <v>0</v>
      </c>
      <c r="CO137" s="551">
        <f t="shared" si="121"/>
        <v>0</v>
      </c>
      <c r="CP137" s="551">
        <f t="shared" si="121"/>
        <v>0</v>
      </c>
      <c r="CQ137" s="551">
        <f t="shared" si="121"/>
        <v>0</v>
      </c>
      <c r="CR137" s="551">
        <f t="shared" si="121"/>
        <v>0</v>
      </c>
      <c r="CS137" s="551">
        <f t="shared" si="121"/>
        <v>0</v>
      </c>
      <c r="CT137" s="551">
        <f t="shared" si="121"/>
        <v>0</v>
      </c>
      <c r="CU137" s="551">
        <f t="shared" si="121"/>
        <v>0</v>
      </c>
      <c r="CV137" s="551">
        <f t="shared" si="121"/>
        <v>0</v>
      </c>
      <c r="CW137" s="551">
        <f t="shared" si="121"/>
        <v>0</v>
      </c>
      <c r="CX137" s="551">
        <f t="shared" si="121"/>
        <v>0</v>
      </c>
      <c r="CY137" s="551">
        <f t="shared" si="121"/>
        <v>0</v>
      </c>
      <c r="CZ137" s="1083"/>
      <c r="DA137" s="551">
        <f>CEILING($B$133*DA135*$F$2*$F$3, 100)</f>
        <v>6600</v>
      </c>
      <c r="DB137" s="551">
        <f>CEILING($B$133*DB135*$F$2*$F$3, 100)</f>
        <v>6600</v>
      </c>
      <c r="DC137" s="551">
        <f t="shared" ref="DC137:ET137" si="123">CEILING($B$133*DC135*$F$2*$F$3, 100)</f>
        <v>0</v>
      </c>
      <c r="DD137" s="551">
        <f t="shared" si="123"/>
        <v>0</v>
      </c>
      <c r="DE137" s="551">
        <f t="shared" si="123"/>
        <v>0</v>
      </c>
      <c r="DF137" s="551">
        <f t="shared" si="123"/>
        <v>0</v>
      </c>
      <c r="DG137" s="551">
        <f t="shared" si="123"/>
        <v>0</v>
      </c>
      <c r="DH137" s="551">
        <f t="shared" si="123"/>
        <v>0</v>
      </c>
      <c r="DI137" s="551">
        <f t="shared" si="123"/>
        <v>0</v>
      </c>
      <c r="DJ137" s="551">
        <f t="shared" si="123"/>
        <v>0</v>
      </c>
      <c r="DK137" s="551">
        <f t="shared" si="123"/>
        <v>0</v>
      </c>
      <c r="DL137" s="551">
        <f t="shared" si="123"/>
        <v>0</v>
      </c>
      <c r="DM137" s="551">
        <f t="shared" si="123"/>
        <v>0</v>
      </c>
      <c r="DN137" s="551">
        <f t="shared" si="123"/>
        <v>0</v>
      </c>
      <c r="DO137" s="551">
        <f t="shared" si="123"/>
        <v>0</v>
      </c>
      <c r="DP137" s="551">
        <f t="shared" si="123"/>
        <v>0</v>
      </c>
      <c r="DQ137" s="551">
        <f t="shared" si="123"/>
        <v>0</v>
      </c>
      <c r="DR137" s="551">
        <f t="shared" si="123"/>
        <v>0</v>
      </c>
      <c r="DS137" s="551">
        <f t="shared" si="123"/>
        <v>0</v>
      </c>
      <c r="DT137" s="551">
        <f t="shared" si="123"/>
        <v>0</v>
      </c>
      <c r="DU137" s="551">
        <f t="shared" si="123"/>
        <v>0</v>
      </c>
      <c r="DV137" s="551">
        <f t="shared" si="123"/>
        <v>0</v>
      </c>
      <c r="DW137" s="551">
        <f t="shared" si="123"/>
        <v>0</v>
      </c>
      <c r="DX137" s="551">
        <f t="shared" si="123"/>
        <v>0</v>
      </c>
      <c r="DY137" s="551">
        <f t="shared" si="123"/>
        <v>0</v>
      </c>
      <c r="DZ137" s="551">
        <f t="shared" si="123"/>
        <v>0</v>
      </c>
      <c r="EA137" s="551">
        <f t="shared" si="123"/>
        <v>0</v>
      </c>
      <c r="EB137" s="551">
        <f t="shared" si="123"/>
        <v>0</v>
      </c>
      <c r="EC137" s="551">
        <f t="shared" si="123"/>
        <v>0</v>
      </c>
      <c r="ED137" s="551">
        <f t="shared" si="123"/>
        <v>0</v>
      </c>
      <c r="EE137" s="551">
        <f t="shared" si="123"/>
        <v>0</v>
      </c>
      <c r="EF137" s="551">
        <f t="shared" si="123"/>
        <v>0</v>
      </c>
      <c r="EG137" s="551">
        <f t="shared" si="123"/>
        <v>0</v>
      </c>
      <c r="EH137" s="551">
        <f t="shared" si="123"/>
        <v>0</v>
      </c>
      <c r="EI137" s="551">
        <f t="shared" si="123"/>
        <v>0</v>
      </c>
      <c r="EJ137" s="551">
        <f t="shared" si="123"/>
        <v>0</v>
      </c>
      <c r="EK137" s="551">
        <f t="shared" si="123"/>
        <v>0</v>
      </c>
      <c r="EL137" s="551">
        <f t="shared" si="123"/>
        <v>0</v>
      </c>
      <c r="EM137" s="551">
        <f t="shared" si="123"/>
        <v>0</v>
      </c>
      <c r="EN137" s="2708">
        <f t="shared" si="123"/>
        <v>0</v>
      </c>
      <c r="EO137" s="2708">
        <f t="shared" si="123"/>
        <v>0</v>
      </c>
      <c r="EP137" s="2708">
        <f t="shared" si="123"/>
        <v>0</v>
      </c>
      <c r="EQ137" s="2708">
        <f t="shared" si="123"/>
        <v>0</v>
      </c>
      <c r="ER137" s="2708">
        <f t="shared" si="123"/>
        <v>0</v>
      </c>
      <c r="ES137" s="2708">
        <f t="shared" si="123"/>
        <v>0</v>
      </c>
      <c r="ET137" s="2708">
        <f t="shared" si="123"/>
        <v>0</v>
      </c>
      <c r="EU137" s="2708"/>
      <c r="EV137" s="2708"/>
      <c r="EW137" s="441"/>
    </row>
    <row r="138" spans="1:153" s="897" customFormat="1" ht="15" hidden="1" customHeight="1" outlineLevel="1">
      <c r="A138" s="895" t="s">
        <v>55</v>
      </c>
      <c r="B138" s="5231" t="s">
        <v>1305</v>
      </c>
      <c r="C138" s="5232"/>
      <c r="D138" s="896"/>
      <c r="E138" s="896"/>
      <c r="F138" s="896"/>
      <c r="G138" s="242"/>
      <c r="H138" s="242"/>
      <c r="I138" s="242"/>
      <c r="J138" s="242"/>
      <c r="K138" s="242"/>
      <c r="L138" s="242"/>
      <c r="M138" s="242"/>
      <c r="N138" s="242"/>
      <c r="O138" s="242"/>
      <c r="P138" s="242"/>
      <c r="Q138" s="242"/>
      <c r="R138" s="242"/>
      <c r="S138" s="242"/>
      <c r="T138" s="242"/>
      <c r="U138" s="242"/>
      <c r="V138" s="242"/>
      <c r="W138" s="242"/>
      <c r="X138" s="242"/>
      <c r="Y138" s="242"/>
      <c r="Z138" s="242"/>
      <c r="AA138" s="242"/>
      <c r="AB138" s="242"/>
      <c r="AC138" s="242"/>
      <c r="AD138" s="242"/>
      <c r="AE138" s="242"/>
      <c r="AF138" s="242"/>
      <c r="AG138" s="242"/>
      <c r="AH138" s="242"/>
      <c r="AI138" s="242"/>
      <c r="AJ138" s="242"/>
      <c r="AL138" s="242"/>
      <c r="AM138" s="242"/>
      <c r="AN138" s="242"/>
      <c r="AO138" s="242"/>
      <c r="AP138" s="242"/>
      <c r="AQ138" s="242"/>
      <c r="AR138" s="242"/>
      <c r="AS138" s="242"/>
      <c r="AT138" s="242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441"/>
      <c r="EO138" s="441"/>
      <c r="EP138" s="441"/>
      <c r="EQ138" s="441"/>
      <c r="ER138" s="441"/>
      <c r="ES138" s="441"/>
      <c r="ET138" s="441"/>
      <c r="EU138" s="441"/>
      <c r="EV138" s="441"/>
      <c r="EW138" s="15"/>
    </row>
    <row r="139" spans="1:153" s="897" customFormat="1" ht="15" hidden="1" customHeight="1" outlineLevel="2">
      <c r="A139" s="914" t="s">
        <v>1249</v>
      </c>
      <c r="B139" s="923">
        <v>44652</v>
      </c>
      <c r="C139" s="923">
        <v>44487</v>
      </c>
      <c r="D139" s="923">
        <v>43647</v>
      </c>
      <c r="E139" s="242"/>
      <c r="F139" s="242"/>
      <c r="G139" s="242"/>
      <c r="H139" s="242"/>
      <c r="I139" s="242"/>
      <c r="J139" s="242"/>
      <c r="K139" s="242"/>
      <c r="L139" s="242"/>
      <c r="M139" s="242"/>
      <c r="N139" s="242"/>
      <c r="O139" s="242"/>
      <c r="P139" s="242"/>
      <c r="Q139" s="242"/>
      <c r="R139" s="242"/>
      <c r="S139" s="242"/>
      <c r="T139" s="242"/>
      <c r="U139" s="242"/>
      <c r="V139" s="242"/>
      <c r="W139" s="242"/>
      <c r="X139" s="242"/>
      <c r="Y139" s="242"/>
      <c r="Z139" s="242"/>
      <c r="AA139" s="242"/>
      <c r="AB139" s="242"/>
      <c r="AC139" s="242"/>
      <c r="AD139" s="242"/>
      <c r="AE139" s="242"/>
      <c r="AF139" s="242"/>
      <c r="AG139" s="242"/>
      <c r="AH139" s="242"/>
      <c r="AI139" s="242"/>
      <c r="AJ139" s="242"/>
      <c r="AL139" s="242"/>
      <c r="AM139" s="242"/>
      <c r="AN139" s="242"/>
      <c r="AO139" s="242"/>
      <c r="AP139" s="242"/>
      <c r="AQ139" s="242"/>
      <c r="AR139" s="242"/>
      <c r="AS139" s="242"/>
      <c r="AT139" s="242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441"/>
      <c r="EO139" s="441"/>
      <c r="EP139" s="441"/>
      <c r="EQ139" s="441"/>
      <c r="ER139" s="441"/>
      <c r="ES139" s="441"/>
      <c r="ET139" s="441"/>
      <c r="EU139" s="441"/>
      <c r="EV139" s="441"/>
      <c r="EW139" s="15"/>
    </row>
    <row r="140" spans="1:153" s="897" customFormat="1" ht="15" hidden="1" customHeight="1" outlineLevel="2">
      <c r="A140" s="902" t="s">
        <v>1292</v>
      </c>
      <c r="B140" s="987">
        <f>CEILING(C140*1.1, 50)</f>
        <v>800</v>
      </c>
      <c r="C140" s="987">
        <f>D140*1.1</f>
        <v>693</v>
      </c>
      <c r="D140" s="987">
        <v>630</v>
      </c>
      <c r="E140" s="242"/>
      <c r="F140" s="242"/>
      <c r="G140" s="242"/>
      <c r="H140" s="242"/>
      <c r="I140" s="242"/>
      <c r="J140" s="242"/>
      <c r="K140" s="242"/>
      <c r="L140" s="242"/>
      <c r="M140" s="242"/>
      <c r="N140" s="242"/>
      <c r="O140" s="242"/>
      <c r="P140" s="242"/>
      <c r="Q140" s="242"/>
      <c r="R140" s="242"/>
      <c r="S140" s="242"/>
      <c r="T140" s="242"/>
      <c r="U140" s="242"/>
      <c r="V140" s="242"/>
      <c r="W140" s="242"/>
      <c r="X140" s="242"/>
      <c r="Y140" s="242"/>
      <c r="Z140" s="242"/>
      <c r="AA140" s="242"/>
      <c r="AB140" s="242"/>
      <c r="AC140" s="242"/>
      <c r="AD140" s="242"/>
      <c r="AE140" s="242"/>
      <c r="AF140" s="242"/>
      <c r="AG140" s="242"/>
      <c r="AH140" s="242"/>
      <c r="AI140" s="242"/>
      <c r="AJ140" s="242"/>
      <c r="AL140" s="242"/>
      <c r="AM140" s="242"/>
      <c r="AN140" s="242"/>
      <c r="AO140" s="242"/>
      <c r="AP140" s="242"/>
      <c r="AQ140" s="242"/>
      <c r="AR140" s="242"/>
      <c r="AS140" s="242"/>
      <c r="AT140" s="242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441"/>
      <c r="EO140" s="441"/>
      <c r="EP140" s="441"/>
      <c r="EQ140" s="441"/>
      <c r="ER140" s="441"/>
      <c r="ES140" s="441"/>
      <c r="ET140" s="441"/>
      <c r="EU140" s="441"/>
      <c r="EV140" s="441"/>
      <c r="EW140" s="15"/>
    </row>
    <row r="141" spans="1:153" s="897" customFormat="1" ht="15" hidden="1" customHeight="1" outlineLevel="2">
      <c r="A141" s="902" t="s">
        <v>1293</v>
      </c>
      <c r="B141" s="987">
        <f>CEILING(C141*1.1, 50)</f>
        <v>200</v>
      </c>
      <c r="C141" s="987">
        <f>D141*1.1</f>
        <v>165</v>
      </c>
      <c r="D141" s="987">
        <v>150</v>
      </c>
      <c r="E141" s="242"/>
      <c r="F141" s="242"/>
      <c r="G141" s="242"/>
      <c r="H141" s="242"/>
      <c r="I141" s="242"/>
      <c r="J141" s="242"/>
      <c r="K141" s="242"/>
      <c r="L141" s="242"/>
      <c r="M141" s="242"/>
      <c r="N141" s="242"/>
      <c r="O141" s="242"/>
      <c r="P141" s="242"/>
      <c r="Q141" s="242"/>
      <c r="R141" s="242"/>
      <c r="S141" s="242"/>
      <c r="T141" s="242"/>
      <c r="U141" s="242"/>
      <c r="V141" s="242"/>
      <c r="W141" s="242"/>
      <c r="X141" s="242"/>
      <c r="Y141" s="242"/>
      <c r="Z141" s="242"/>
      <c r="AA141" s="242"/>
      <c r="AB141" s="242"/>
      <c r="AC141" s="242"/>
      <c r="AD141" s="242"/>
      <c r="AE141" s="242"/>
      <c r="AF141" s="242"/>
      <c r="AG141" s="242"/>
      <c r="AH141" s="242"/>
      <c r="AI141" s="242"/>
      <c r="AJ141" s="242"/>
      <c r="AL141" s="242"/>
      <c r="AM141" s="242"/>
      <c r="AN141" s="242"/>
      <c r="AO141" s="242"/>
      <c r="AP141" s="242"/>
      <c r="AQ141" s="242"/>
      <c r="AR141" s="242"/>
      <c r="AS141" s="242"/>
      <c r="AT141" s="242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441"/>
      <c r="EO141" s="441"/>
      <c r="EP141" s="441"/>
      <c r="EQ141" s="441"/>
      <c r="ER141" s="441"/>
      <c r="ES141" s="441"/>
      <c r="ET141" s="441"/>
      <c r="EU141" s="441"/>
      <c r="EV141" s="441"/>
      <c r="EW141" s="15"/>
    </row>
    <row r="142" spans="1:153" s="897" customFormat="1" ht="15" hidden="1" customHeight="1" outlineLevel="2">
      <c r="A142" s="902" t="s">
        <v>1294</v>
      </c>
      <c r="B142" s="987">
        <f>CEILING(C142*1.1, 50)</f>
        <v>950</v>
      </c>
      <c r="C142" s="987">
        <f>D142*1.1</f>
        <v>825.00000000000011</v>
      </c>
      <c r="D142" s="987">
        <v>750</v>
      </c>
      <c r="E142" s="242"/>
      <c r="F142" s="242"/>
      <c r="G142" s="242"/>
      <c r="H142" s="242"/>
      <c r="I142" s="242"/>
      <c r="J142" s="242"/>
      <c r="K142" s="242"/>
      <c r="L142" s="242"/>
      <c r="M142" s="242"/>
      <c r="N142" s="242"/>
      <c r="O142" s="242"/>
      <c r="P142" s="242"/>
      <c r="Q142" s="242"/>
      <c r="R142" s="242"/>
      <c r="S142" s="242"/>
      <c r="T142" s="242"/>
      <c r="U142" s="242"/>
      <c r="V142" s="242"/>
      <c r="W142" s="242"/>
      <c r="X142" s="242"/>
      <c r="Y142" s="242"/>
      <c r="Z142" s="242"/>
      <c r="AA142" s="242"/>
      <c r="AB142" s="242"/>
      <c r="AC142" s="242"/>
      <c r="AD142" s="242"/>
      <c r="AE142" s="242"/>
      <c r="AF142" s="242"/>
      <c r="AG142" s="242"/>
      <c r="AH142" s="242"/>
      <c r="AI142" s="242"/>
      <c r="AJ142" s="242"/>
      <c r="AL142" s="242"/>
      <c r="AM142" s="242"/>
      <c r="AN142" s="242"/>
      <c r="AO142" s="242"/>
      <c r="AP142" s="242"/>
      <c r="AQ142" s="242"/>
      <c r="AR142" s="242"/>
      <c r="AS142" s="242"/>
      <c r="AT142" s="242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441"/>
      <c r="EO142" s="441"/>
      <c r="EP142" s="441"/>
      <c r="EQ142" s="441"/>
      <c r="ER142" s="441"/>
      <c r="ES142" s="441"/>
      <c r="ET142" s="441"/>
      <c r="EU142" s="441"/>
      <c r="EV142" s="441"/>
      <c r="EW142" s="15"/>
    </row>
    <row r="143" spans="1:153" s="897" customFormat="1" ht="15" hidden="1" customHeight="1" outlineLevel="2">
      <c r="A143" s="902" t="s">
        <v>1295</v>
      </c>
      <c r="B143" s="987">
        <f>CEILING(C143*1.1, 50)</f>
        <v>1900</v>
      </c>
      <c r="C143" s="987">
        <f>SUM(C140:C142)</f>
        <v>1683</v>
      </c>
      <c r="D143" s="987">
        <f>SUM(D140:D142)</f>
        <v>1530</v>
      </c>
      <c r="E143" s="242"/>
      <c r="F143" s="242"/>
      <c r="G143" s="242"/>
      <c r="H143" s="242"/>
      <c r="I143" s="242"/>
      <c r="J143" s="242"/>
      <c r="K143" s="242"/>
      <c r="L143" s="242"/>
      <c r="M143" s="242"/>
      <c r="N143" s="242"/>
      <c r="O143" s="242"/>
      <c r="P143" s="242"/>
      <c r="Q143" s="242"/>
      <c r="R143" s="242"/>
      <c r="S143" s="242"/>
      <c r="T143" s="242"/>
      <c r="U143" s="242"/>
      <c r="V143" s="242"/>
      <c r="W143" s="242"/>
      <c r="X143" s="242"/>
      <c r="Y143" s="242"/>
      <c r="Z143" s="242"/>
      <c r="AA143" s="242"/>
      <c r="AB143" s="242"/>
      <c r="AC143" s="242"/>
      <c r="AD143" s="242"/>
      <c r="AE143" s="242"/>
      <c r="AF143" s="242"/>
      <c r="AG143" s="242"/>
      <c r="AH143" s="242"/>
      <c r="AI143" s="242"/>
      <c r="AJ143" s="242"/>
      <c r="AL143" s="242"/>
      <c r="AM143" s="242"/>
      <c r="AN143" s="242"/>
      <c r="AO143" s="242"/>
      <c r="AP143" s="242"/>
      <c r="AQ143" s="242"/>
      <c r="AR143" s="242"/>
      <c r="AS143" s="242"/>
      <c r="AT143" s="242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441"/>
      <c r="EO143" s="441"/>
      <c r="EP143" s="441"/>
      <c r="EQ143" s="441"/>
      <c r="ER143" s="441"/>
      <c r="ES143" s="441"/>
      <c r="ET143" s="441"/>
      <c r="EU143" s="441"/>
      <c r="EV143" s="441"/>
      <c r="EW143" s="15"/>
    </row>
    <row r="144" spans="1:153" s="813" customFormat="1" ht="36" hidden="1" customHeight="1" outlineLevel="2" collapsed="1">
      <c r="A144" s="819"/>
      <c r="B144" s="819"/>
      <c r="C144" s="819"/>
      <c r="D144" s="819"/>
      <c r="E144" s="819"/>
      <c r="F144" s="819"/>
      <c r="G144" s="824" t="s">
        <v>1099</v>
      </c>
      <c r="H144" s="824" t="s">
        <v>1098</v>
      </c>
      <c r="I144" s="824" t="s">
        <v>1100</v>
      </c>
      <c r="J144" s="824" t="s">
        <v>1101</v>
      </c>
      <c r="K144" s="824" t="s">
        <v>1102</v>
      </c>
      <c r="L144" s="824" t="s">
        <v>1103</v>
      </c>
      <c r="M144" s="824" t="s">
        <v>1104</v>
      </c>
      <c r="N144" s="824" t="s">
        <v>1105</v>
      </c>
      <c r="O144" s="807" t="s">
        <v>1109</v>
      </c>
      <c r="P144" s="807" t="s">
        <v>1110</v>
      </c>
      <c r="Q144" s="807" t="s">
        <v>1111</v>
      </c>
      <c r="R144" s="807" t="s">
        <v>1107</v>
      </c>
      <c r="S144" s="807" t="s">
        <v>1106</v>
      </c>
      <c r="T144" s="807" t="s">
        <v>1108</v>
      </c>
      <c r="U144" s="817" t="s">
        <v>324</v>
      </c>
      <c r="V144" s="817" t="s">
        <v>323</v>
      </c>
      <c r="W144" s="817" t="s">
        <v>1076</v>
      </c>
      <c r="X144" s="816" t="s">
        <v>364</v>
      </c>
      <c r="Y144" s="816" t="s">
        <v>365</v>
      </c>
      <c r="Z144" s="816" t="s">
        <v>366</v>
      </c>
      <c r="AA144" s="816" t="s">
        <v>367</v>
      </c>
      <c r="AB144" s="816" t="s">
        <v>368</v>
      </c>
      <c r="AC144" s="816" t="s">
        <v>369</v>
      </c>
      <c r="AD144" s="816" t="s">
        <v>370</v>
      </c>
      <c r="AE144" s="816" t="s">
        <v>371</v>
      </c>
      <c r="AF144" s="886" t="s">
        <v>325</v>
      </c>
      <c r="AG144" s="886" t="s">
        <v>326</v>
      </c>
      <c r="AH144" s="886" t="s">
        <v>327</v>
      </c>
      <c r="AI144" s="886" t="s">
        <v>328</v>
      </c>
      <c r="AJ144" s="886" t="s">
        <v>329</v>
      </c>
      <c r="AK144" s="886" t="s">
        <v>743</v>
      </c>
      <c r="AL144" s="817" t="s">
        <v>744</v>
      </c>
      <c r="AM144" s="817" t="s">
        <v>745</v>
      </c>
      <c r="AN144" s="817" t="s">
        <v>922</v>
      </c>
      <c r="AO144" s="817" t="s">
        <v>900</v>
      </c>
      <c r="AP144" s="817" t="s">
        <v>746</v>
      </c>
      <c r="AQ144" s="817" t="s">
        <v>747</v>
      </c>
      <c r="AR144" s="817" t="s">
        <v>769</v>
      </c>
      <c r="AS144" s="817" t="s">
        <v>770</v>
      </c>
      <c r="AT144" s="807" t="s">
        <v>330</v>
      </c>
      <c r="AU144" s="807" t="s">
        <v>331</v>
      </c>
      <c r="AV144" s="807" t="s">
        <v>332</v>
      </c>
      <c r="AW144" s="807" t="s">
        <v>333</v>
      </c>
      <c r="AX144" s="807" t="s">
        <v>334</v>
      </c>
      <c r="AY144" s="825" t="s">
        <v>335</v>
      </c>
      <c r="AZ144" s="825" t="s">
        <v>336</v>
      </c>
      <c r="BA144" s="826" t="s">
        <v>337</v>
      </c>
      <c r="BB144" s="826" t="s">
        <v>338</v>
      </c>
      <c r="BC144" s="826" t="s">
        <v>339</v>
      </c>
      <c r="BD144" s="827" t="s">
        <v>340</v>
      </c>
      <c r="BE144" s="827" t="s">
        <v>341</v>
      </c>
      <c r="BF144" s="827" t="s">
        <v>342</v>
      </c>
      <c r="BG144" s="827" t="s">
        <v>343</v>
      </c>
      <c r="BH144" s="905" t="s">
        <v>1242</v>
      </c>
      <c r="BI144" s="892" t="s">
        <v>1243</v>
      </c>
      <c r="BJ144" s="886" t="s">
        <v>1113</v>
      </c>
      <c r="BK144" s="886" t="s">
        <v>1112</v>
      </c>
      <c r="BL144" s="886" t="s">
        <v>1114</v>
      </c>
      <c r="BM144" s="886" t="s">
        <v>1115</v>
      </c>
      <c r="BN144" s="886" t="s">
        <v>457</v>
      </c>
      <c r="BO144" s="807" t="s">
        <v>1077</v>
      </c>
      <c r="BP144" s="807" t="s">
        <v>1078</v>
      </c>
      <c r="BQ144" s="807" t="s">
        <v>1116</v>
      </c>
      <c r="BR144" s="886" t="s">
        <v>48</v>
      </c>
      <c r="BS144" s="886" t="s">
        <v>1117</v>
      </c>
      <c r="BT144" s="886" t="s">
        <v>1122</v>
      </c>
      <c r="BU144" s="886" t="s">
        <v>1127</v>
      </c>
      <c r="BV144" s="886" t="s">
        <v>1120</v>
      </c>
      <c r="BW144" s="886" t="s">
        <v>1125</v>
      </c>
      <c r="BX144" s="886" t="s">
        <v>1121</v>
      </c>
      <c r="BY144" s="886" t="s">
        <v>1126</v>
      </c>
      <c r="BZ144" s="886" t="s">
        <v>1118</v>
      </c>
      <c r="CA144" s="886" t="s">
        <v>1119</v>
      </c>
      <c r="CB144" s="886" t="s">
        <v>1123</v>
      </c>
      <c r="CC144" s="886" t="s">
        <v>1124</v>
      </c>
      <c r="CD144" s="807" t="s">
        <v>1128</v>
      </c>
      <c r="CE144" s="807" t="s">
        <v>1129</v>
      </c>
      <c r="CF144" s="807" t="s">
        <v>1130</v>
      </c>
      <c r="CG144" s="807" t="s">
        <v>1131</v>
      </c>
      <c r="CH144" s="807" t="s">
        <v>1132</v>
      </c>
      <c r="CI144" s="807" t="s">
        <v>1133</v>
      </c>
      <c r="CJ144" s="807" t="s">
        <v>1134</v>
      </c>
      <c r="CK144" s="807" t="s">
        <v>1135</v>
      </c>
      <c r="CL144" s="886" t="s">
        <v>394</v>
      </c>
      <c r="CM144" s="886" t="s">
        <v>395</v>
      </c>
      <c r="CN144" s="886" t="s">
        <v>396</v>
      </c>
      <c r="CO144" s="886" t="s">
        <v>397</v>
      </c>
      <c r="CP144" s="886" t="s">
        <v>1136</v>
      </c>
      <c r="CQ144" s="886" t="s">
        <v>1137</v>
      </c>
      <c r="CR144" s="886" t="s">
        <v>1138</v>
      </c>
      <c r="CS144" s="988" t="s">
        <v>1299</v>
      </c>
      <c r="CT144" s="886" t="s">
        <v>1193</v>
      </c>
      <c r="CU144" s="886" t="s">
        <v>1195</v>
      </c>
      <c r="CV144" s="886" t="s">
        <v>1139</v>
      </c>
      <c r="CW144" s="886" t="s">
        <v>1140</v>
      </c>
      <c r="CX144" s="886" t="s">
        <v>1141</v>
      </c>
      <c r="CY144" s="886" t="s">
        <v>1142</v>
      </c>
      <c r="CZ144" s="1016" t="s">
        <v>1196</v>
      </c>
      <c r="DA144" s="886" t="s">
        <v>1143</v>
      </c>
      <c r="DB144" s="886" t="s">
        <v>1144</v>
      </c>
      <c r="DC144" s="886" t="s">
        <v>321</v>
      </c>
      <c r="DD144" s="988" t="s">
        <v>1300</v>
      </c>
      <c r="DE144" s="886"/>
      <c r="DF144" s="807" t="s">
        <v>1079</v>
      </c>
      <c r="DG144" s="807" t="s">
        <v>1080</v>
      </c>
      <c r="DH144" s="807" t="s">
        <v>1081</v>
      </c>
      <c r="DI144" s="807" t="s">
        <v>1082</v>
      </c>
      <c r="DJ144" s="807" t="s">
        <v>1083</v>
      </c>
      <c r="DK144" s="807" t="s">
        <v>1084</v>
      </c>
      <c r="DL144" s="807" t="s">
        <v>1085</v>
      </c>
      <c r="DM144" s="807" t="s">
        <v>1086</v>
      </c>
      <c r="DN144" s="807" t="s">
        <v>1087</v>
      </c>
      <c r="DO144" s="807" t="s">
        <v>1088</v>
      </c>
      <c r="DP144" s="807" t="s">
        <v>1089</v>
      </c>
      <c r="DQ144" s="807" t="s">
        <v>1090</v>
      </c>
      <c r="DR144" s="807" t="s">
        <v>1091</v>
      </c>
      <c r="DS144" s="807" t="s">
        <v>1092</v>
      </c>
      <c r="DT144" s="807" t="s">
        <v>1093</v>
      </c>
      <c r="DU144" s="807" t="s">
        <v>351</v>
      </c>
      <c r="DV144" s="807" t="s">
        <v>352</v>
      </c>
      <c r="DW144" s="807" t="s">
        <v>353</v>
      </c>
      <c r="DX144" s="807" t="s">
        <v>354</v>
      </c>
      <c r="DY144" s="807" t="s">
        <v>355</v>
      </c>
      <c r="DZ144" s="807" t="s">
        <v>356</v>
      </c>
      <c r="EA144" s="886" t="s">
        <v>345</v>
      </c>
      <c r="EB144" s="886" t="s">
        <v>346</v>
      </c>
      <c r="EC144" s="886" t="s">
        <v>347</v>
      </c>
      <c r="ED144" s="886" t="s">
        <v>348</v>
      </c>
      <c r="EE144" s="886" t="s">
        <v>349</v>
      </c>
      <c r="EF144" s="886" t="s">
        <v>350</v>
      </c>
      <c r="EG144" s="886" t="s">
        <v>357</v>
      </c>
      <c r="EH144" s="886" t="s">
        <v>358</v>
      </c>
      <c r="EI144" s="886" t="s">
        <v>359</v>
      </c>
      <c r="EJ144" s="807" t="s">
        <v>441</v>
      </c>
      <c r="EK144" s="807" t="s">
        <v>442</v>
      </c>
      <c r="EL144" s="886" t="s">
        <v>307</v>
      </c>
      <c r="EM144" s="886" t="s">
        <v>1145</v>
      </c>
      <c r="EN144" s="2596" t="s">
        <v>1146</v>
      </c>
      <c r="EO144" s="2596" t="s">
        <v>1147</v>
      </c>
      <c r="EP144" s="2596" t="s">
        <v>1148</v>
      </c>
      <c r="EQ144" s="2596" t="s">
        <v>1149</v>
      </c>
      <c r="ER144" s="2596" t="s">
        <v>1150</v>
      </c>
      <c r="ES144" s="807" t="s">
        <v>1094</v>
      </c>
      <c r="ET144" s="807" t="s">
        <v>1095</v>
      </c>
      <c r="EU144" s="807" t="s">
        <v>1096</v>
      </c>
      <c r="EV144" s="807" t="s">
        <v>1097</v>
      </c>
    </row>
    <row r="145" spans="1:153" s="813" customFormat="1" ht="15.75" hidden="1" outlineLevel="2">
      <c r="A145" s="5260" t="s">
        <v>1298</v>
      </c>
      <c r="B145" s="5260"/>
      <c r="C145" s="816"/>
      <c r="D145" s="816"/>
      <c r="E145" s="816"/>
      <c r="F145" s="816"/>
      <c r="G145" s="924">
        <v>0</v>
      </c>
      <c r="H145" s="924">
        <v>0</v>
      </c>
      <c r="I145" s="924">
        <v>0</v>
      </c>
      <c r="J145" s="924">
        <v>0</v>
      </c>
      <c r="K145" s="924">
        <v>0</v>
      </c>
      <c r="L145" s="924">
        <v>0</v>
      </c>
      <c r="M145" s="924">
        <v>0</v>
      </c>
      <c r="N145" s="924">
        <v>0</v>
      </c>
      <c r="O145" s="924">
        <v>0</v>
      </c>
      <c r="P145" s="924">
        <v>0</v>
      </c>
      <c r="Q145" s="924">
        <v>0</v>
      </c>
      <c r="R145" s="924">
        <v>0</v>
      </c>
      <c r="S145" s="924">
        <v>0</v>
      </c>
      <c r="T145" s="924">
        <v>0</v>
      </c>
      <c r="U145" s="924">
        <v>0</v>
      </c>
      <c r="V145" s="924">
        <v>0</v>
      </c>
      <c r="W145" s="924">
        <v>0</v>
      </c>
      <c r="X145" s="924">
        <v>0</v>
      </c>
      <c r="Y145" s="924">
        <v>0</v>
      </c>
      <c r="Z145" s="924">
        <v>0</v>
      </c>
      <c r="AA145" s="924">
        <v>0</v>
      </c>
      <c r="AB145" s="924">
        <v>0</v>
      </c>
      <c r="AC145" s="924">
        <v>0</v>
      </c>
      <c r="AD145" s="924">
        <v>0</v>
      </c>
      <c r="AE145" s="924">
        <v>0</v>
      </c>
      <c r="AF145" s="924">
        <v>0</v>
      </c>
      <c r="AG145" s="924">
        <v>0</v>
      </c>
      <c r="AH145" s="924">
        <v>0</v>
      </c>
      <c r="AI145" s="924">
        <v>0</v>
      </c>
      <c r="AJ145" s="924">
        <v>0</v>
      </c>
      <c r="AK145" s="924">
        <v>0</v>
      </c>
      <c r="AL145" s="924">
        <v>0</v>
      </c>
      <c r="AM145" s="924">
        <v>0</v>
      </c>
      <c r="AN145" s="924">
        <v>0</v>
      </c>
      <c r="AO145" s="924">
        <v>0</v>
      </c>
      <c r="AP145" s="924">
        <v>0</v>
      </c>
      <c r="AQ145" s="924">
        <v>0</v>
      </c>
      <c r="AR145" s="924">
        <v>0</v>
      </c>
      <c r="AS145" s="924">
        <v>0</v>
      </c>
      <c r="AT145" s="924">
        <v>0</v>
      </c>
      <c r="AU145" s="924">
        <v>0</v>
      </c>
      <c r="AV145" s="924">
        <v>0</v>
      </c>
      <c r="AW145" s="924">
        <v>0</v>
      </c>
      <c r="AX145" s="924">
        <v>0</v>
      </c>
      <c r="AY145" s="924">
        <v>0</v>
      </c>
      <c r="AZ145" s="924">
        <v>0</v>
      </c>
      <c r="BA145" s="924">
        <v>0</v>
      </c>
      <c r="BB145" s="924">
        <v>0</v>
      </c>
      <c r="BC145" s="924">
        <v>0</v>
      </c>
      <c r="BD145" s="924">
        <v>0</v>
      </c>
      <c r="BE145" s="924">
        <v>0</v>
      </c>
      <c r="BF145" s="924">
        <v>0</v>
      </c>
      <c r="BG145" s="924">
        <v>0</v>
      </c>
      <c r="BH145" s="924">
        <v>0</v>
      </c>
      <c r="BI145" s="924">
        <v>0</v>
      </c>
      <c r="BJ145" s="924">
        <v>0</v>
      </c>
      <c r="BK145" s="924">
        <v>0</v>
      </c>
      <c r="BL145" s="924">
        <v>0</v>
      </c>
      <c r="BM145" s="924">
        <v>0</v>
      </c>
      <c r="BN145" s="924">
        <v>0</v>
      </c>
      <c r="BO145" s="924">
        <v>0</v>
      </c>
      <c r="BP145" s="924">
        <v>0</v>
      </c>
      <c r="BQ145" s="924">
        <v>0</v>
      </c>
      <c r="BR145" s="924">
        <v>0</v>
      </c>
      <c r="BS145" s="924">
        <v>0</v>
      </c>
      <c r="BT145" s="924">
        <v>0</v>
      </c>
      <c r="BU145" s="924">
        <v>1</v>
      </c>
      <c r="BV145" s="924">
        <v>0</v>
      </c>
      <c r="BW145" s="924">
        <v>0</v>
      </c>
      <c r="BX145" s="924">
        <v>0</v>
      </c>
      <c r="BY145" s="924">
        <v>0</v>
      </c>
      <c r="BZ145" s="924">
        <v>0</v>
      </c>
      <c r="CA145" s="924">
        <v>0</v>
      </c>
      <c r="CB145" s="924">
        <v>0</v>
      </c>
      <c r="CC145" s="924">
        <v>0</v>
      </c>
      <c r="CD145" s="924">
        <v>0</v>
      </c>
      <c r="CE145" s="924">
        <v>0</v>
      </c>
      <c r="CF145" s="924">
        <v>0</v>
      </c>
      <c r="CG145" s="924">
        <v>1.2</v>
      </c>
      <c r="CH145" s="924">
        <v>0</v>
      </c>
      <c r="CI145" s="924">
        <v>0</v>
      </c>
      <c r="CJ145" s="924">
        <v>0</v>
      </c>
      <c r="CK145" s="924">
        <v>0</v>
      </c>
      <c r="CL145" s="924">
        <v>0</v>
      </c>
      <c r="CM145" s="924">
        <v>0</v>
      </c>
      <c r="CN145" s="924">
        <v>0</v>
      </c>
      <c r="CO145" s="924">
        <v>0</v>
      </c>
      <c r="CP145" s="924">
        <f>CP61</f>
        <v>1.6</v>
      </c>
      <c r="CQ145" s="924">
        <f t="shared" ref="CQ145:CZ145" si="124">CQ61*2</f>
        <v>0</v>
      </c>
      <c r="CR145" s="924">
        <f t="shared" si="124"/>
        <v>0</v>
      </c>
      <c r="CS145" s="924">
        <f t="shared" si="124"/>
        <v>0</v>
      </c>
      <c r="CT145" s="924">
        <f t="shared" si="124"/>
        <v>0</v>
      </c>
      <c r="CU145" s="924">
        <f t="shared" si="124"/>
        <v>0</v>
      </c>
      <c r="CV145" s="924">
        <v>0.6</v>
      </c>
      <c r="CW145" s="924">
        <v>1.2</v>
      </c>
      <c r="CX145" s="924">
        <v>0.6</v>
      </c>
      <c r="CY145" s="924">
        <f>CW145</f>
        <v>1.2</v>
      </c>
      <c r="CZ145" s="924">
        <f t="shared" si="124"/>
        <v>2.56</v>
      </c>
      <c r="DA145" s="924">
        <v>0</v>
      </c>
      <c r="DB145" s="924">
        <v>0</v>
      </c>
      <c r="DC145" s="924">
        <v>0</v>
      </c>
      <c r="DD145" s="989">
        <f>CS145-CV145</f>
        <v>-0.6</v>
      </c>
      <c r="DE145" s="924">
        <v>0</v>
      </c>
      <c r="DF145" s="924">
        <v>0</v>
      </c>
      <c r="DG145" s="924">
        <v>0</v>
      </c>
      <c r="DH145" s="924">
        <v>0</v>
      </c>
      <c r="DI145" s="924">
        <v>0</v>
      </c>
      <c r="DJ145" s="924">
        <v>0</v>
      </c>
      <c r="DK145" s="924">
        <v>0</v>
      </c>
      <c r="DL145" s="924">
        <v>0</v>
      </c>
      <c r="DM145" s="924">
        <v>0</v>
      </c>
      <c r="DN145" s="924">
        <v>0</v>
      </c>
      <c r="DO145" s="924">
        <v>0</v>
      </c>
      <c r="DP145" s="924">
        <v>0</v>
      </c>
      <c r="DQ145" s="924">
        <v>0</v>
      </c>
      <c r="DR145" s="924">
        <v>0</v>
      </c>
      <c r="DS145" s="924">
        <v>0</v>
      </c>
      <c r="DT145" s="924">
        <v>0</v>
      </c>
      <c r="DU145" s="924">
        <v>0</v>
      </c>
      <c r="DV145" s="924">
        <v>0</v>
      </c>
      <c r="DW145" s="924">
        <v>0</v>
      </c>
      <c r="DX145" s="924">
        <v>0</v>
      </c>
      <c r="DY145" s="924">
        <v>0</v>
      </c>
      <c r="DZ145" s="924">
        <v>0</v>
      </c>
      <c r="EA145" s="924">
        <v>0</v>
      </c>
      <c r="EB145" s="924">
        <v>0</v>
      </c>
      <c r="EC145" s="924">
        <v>0</v>
      </c>
      <c r="ED145" s="924">
        <v>0</v>
      </c>
      <c r="EE145" s="924">
        <v>0</v>
      </c>
      <c r="EF145" s="924">
        <v>0</v>
      </c>
      <c r="EG145" s="924">
        <v>0</v>
      </c>
      <c r="EH145" s="924">
        <v>0</v>
      </c>
      <c r="EI145" s="924">
        <v>0</v>
      </c>
      <c r="EJ145" s="924">
        <v>0</v>
      </c>
      <c r="EK145" s="924">
        <v>0</v>
      </c>
      <c r="EL145" s="924">
        <v>0</v>
      </c>
      <c r="EM145" s="924">
        <v>0</v>
      </c>
      <c r="EN145" s="2711">
        <v>0</v>
      </c>
      <c r="EO145" s="2711">
        <v>0</v>
      </c>
      <c r="EP145" s="2711">
        <v>0</v>
      </c>
      <c r="EQ145" s="2711">
        <v>0</v>
      </c>
      <c r="ER145" s="2711">
        <v>0</v>
      </c>
      <c r="ES145" s="2711">
        <v>0</v>
      </c>
      <c r="ET145" s="2711">
        <v>0</v>
      </c>
      <c r="EU145" s="2711">
        <v>0</v>
      </c>
      <c r="EV145" s="2711">
        <v>0</v>
      </c>
    </row>
    <row r="146" spans="1:153" s="242" customFormat="1" ht="24" hidden="1" outlineLevel="2">
      <c r="A146" s="5268" t="s">
        <v>81</v>
      </c>
      <c r="B146" s="5269"/>
      <c r="C146" s="936" t="s">
        <v>1296</v>
      </c>
      <c r="D146" s="934"/>
      <c r="E146" s="934"/>
      <c r="F146" s="934"/>
      <c r="G146" s="551">
        <f t="shared" ref="G146:AL146" si="125">CEILING($B$68*G145*$F$2*$F$3, 100)</f>
        <v>0</v>
      </c>
      <c r="H146" s="551">
        <f t="shared" si="125"/>
        <v>0</v>
      </c>
      <c r="I146" s="551">
        <f t="shared" si="125"/>
        <v>0</v>
      </c>
      <c r="J146" s="551">
        <f t="shared" si="125"/>
        <v>0</v>
      </c>
      <c r="K146" s="551">
        <f t="shared" si="125"/>
        <v>0</v>
      </c>
      <c r="L146" s="551">
        <f t="shared" si="125"/>
        <v>0</v>
      </c>
      <c r="M146" s="551">
        <f t="shared" si="125"/>
        <v>0</v>
      </c>
      <c r="N146" s="551">
        <f t="shared" si="125"/>
        <v>0</v>
      </c>
      <c r="O146" s="551">
        <f t="shared" si="125"/>
        <v>0</v>
      </c>
      <c r="P146" s="551">
        <f t="shared" si="125"/>
        <v>0</v>
      </c>
      <c r="Q146" s="551">
        <f t="shared" si="125"/>
        <v>0</v>
      </c>
      <c r="R146" s="551">
        <f t="shared" si="125"/>
        <v>0</v>
      </c>
      <c r="S146" s="551">
        <f t="shared" si="125"/>
        <v>0</v>
      </c>
      <c r="T146" s="551">
        <f t="shared" si="125"/>
        <v>0</v>
      </c>
      <c r="U146" s="551">
        <f t="shared" si="125"/>
        <v>0</v>
      </c>
      <c r="V146" s="551">
        <f t="shared" si="125"/>
        <v>0</v>
      </c>
      <c r="W146" s="551">
        <f t="shared" si="125"/>
        <v>0</v>
      </c>
      <c r="X146" s="551">
        <f t="shared" si="125"/>
        <v>0</v>
      </c>
      <c r="Y146" s="551">
        <f t="shared" si="125"/>
        <v>0</v>
      </c>
      <c r="Z146" s="551">
        <f t="shared" si="125"/>
        <v>0</v>
      </c>
      <c r="AA146" s="551">
        <f t="shared" si="125"/>
        <v>0</v>
      </c>
      <c r="AB146" s="551">
        <f t="shared" si="125"/>
        <v>0</v>
      </c>
      <c r="AC146" s="551">
        <f t="shared" si="125"/>
        <v>0</v>
      </c>
      <c r="AD146" s="551">
        <f t="shared" si="125"/>
        <v>0</v>
      </c>
      <c r="AE146" s="551">
        <f t="shared" si="125"/>
        <v>0</v>
      </c>
      <c r="AF146" s="551">
        <f t="shared" si="125"/>
        <v>0</v>
      </c>
      <c r="AG146" s="551">
        <f t="shared" si="125"/>
        <v>0</v>
      </c>
      <c r="AH146" s="551">
        <f t="shared" si="125"/>
        <v>0</v>
      </c>
      <c r="AI146" s="551">
        <f t="shared" si="125"/>
        <v>0</v>
      </c>
      <c r="AJ146" s="551">
        <f t="shared" si="125"/>
        <v>0</v>
      </c>
      <c r="AK146" s="551">
        <f t="shared" si="125"/>
        <v>0</v>
      </c>
      <c r="AL146" s="551">
        <f t="shared" si="125"/>
        <v>0</v>
      </c>
      <c r="AM146" s="551">
        <f t="shared" ref="AM146:BR146" si="126">CEILING($B$68*AM145*$F$2*$F$3, 100)</f>
        <v>0</v>
      </c>
      <c r="AN146" s="551">
        <f t="shared" si="126"/>
        <v>0</v>
      </c>
      <c r="AO146" s="551">
        <f t="shared" si="126"/>
        <v>0</v>
      </c>
      <c r="AP146" s="551">
        <f t="shared" si="126"/>
        <v>0</v>
      </c>
      <c r="AQ146" s="551">
        <f t="shared" si="126"/>
        <v>0</v>
      </c>
      <c r="AR146" s="551">
        <f t="shared" si="126"/>
        <v>0</v>
      </c>
      <c r="AS146" s="551">
        <f t="shared" si="126"/>
        <v>0</v>
      </c>
      <c r="AT146" s="551">
        <f t="shared" si="126"/>
        <v>0</v>
      </c>
      <c r="AU146" s="551">
        <f t="shared" si="126"/>
        <v>0</v>
      </c>
      <c r="AV146" s="551">
        <f t="shared" si="126"/>
        <v>0</v>
      </c>
      <c r="AW146" s="551">
        <f t="shared" si="126"/>
        <v>0</v>
      </c>
      <c r="AX146" s="551">
        <f t="shared" si="126"/>
        <v>0</v>
      </c>
      <c r="AY146" s="551">
        <f t="shared" si="126"/>
        <v>0</v>
      </c>
      <c r="AZ146" s="551">
        <f t="shared" si="126"/>
        <v>0</v>
      </c>
      <c r="BA146" s="551">
        <f t="shared" si="126"/>
        <v>0</v>
      </c>
      <c r="BB146" s="551">
        <f t="shared" si="126"/>
        <v>0</v>
      </c>
      <c r="BC146" s="551">
        <f t="shared" si="126"/>
        <v>0</v>
      </c>
      <c r="BD146" s="551">
        <f t="shared" si="126"/>
        <v>0</v>
      </c>
      <c r="BE146" s="551">
        <f t="shared" si="126"/>
        <v>0</v>
      </c>
      <c r="BF146" s="551">
        <f t="shared" si="126"/>
        <v>0</v>
      </c>
      <c r="BG146" s="551">
        <f t="shared" si="126"/>
        <v>0</v>
      </c>
      <c r="BH146" s="551">
        <f t="shared" si="126"/>
        <v>0</v>
      </c>
      <c r="BI146" s="551">
        <f t="shared" si="126"/>
        <v>0</v>
      </c>
      <c r="BJ146" s="551">
        <f t="shared" si="126"/>
        <v>0</v>
      </c>
      <c r="BK146" s="551">
        <f t="shared" si="126"/>
        <v>0</v>
      </c>
      <c r="BL146" s="551">
        <f t="shared" si="126"/>
        <v>0</v>
      </c>
      <c r="BM146" s="551">
        <f t="shared" si="126"/>
        <v>0</v>
      </c>
      <c r="BN146" s="551">
        <f t="shared" si="126"/>
        <v>0</v>
      </c>
      <c r="BO146" s="551">
        <f t="shared" si="126"/>
        <v>0</v>
      </c>
      <c r="BP146" s="551">
        <f t="shared" si="126"/>
        <v>0</v>
      </c>
      <c r="BQ146" s="551">
        <f t="shared" si="126"/>
        <v>0</v>
      </c>
      <c r="BR146" s="551">
        <f t="shared" si="126"/>
        <v>0</v>
      </c>
      <c r="BS146" s="551">
        <f t="shared" ref="BS146:CF146" si="127">CEILING($B$68*BS145*$F$2*$F$3, 100)</f>
        <v>0</v>
      </c>
      <c r="BT146" s="551">
        <f t="shared" si="127"/>
        <v>0</v>
      </c>
      <c r="BU146" s="551">
        <f t="shared" si="127"/>
        <v>1900</v>
      </c>
      <c r="BV146" s="551">
        <f t="shared" si="127"/>
        <v>0</v>
      </c>
      <c r="BW146" s="551">
        <f t="shared" si="127"/>
        <v>0</v>
      </c>
      <c r="BX146" s="551">
        <f t="shared" si="127"/>
        <v>0</v>
      </c>
      <c r="BY146" s="551">
        <f t="shared" si="127"/>
        <v>0</v>
      </c>
      <c r="BZ146" s="551">
        <f t="shared" si="127"/>
        <v>0</v>
      </c>
      <c r="CA146" s="551">
        <f t="shared" si="127"/>
        <v>0</v>
      </c>
      <c r="CB146" s="551">
        <f t="shared" si="127"/>
        <v>0</v>
      </c>
      <c r="CC146" s="551">
        <f t="shared" si="127"/>
        <v>0</v>
      </c>
      <c r="CD146" s="551">
        <f t="shared" si="127"/>
        <v>0</v>
      </c>
      <c r="CE146" s="551">
        <f t="shared" si="127"/>
        <v>0</v>
      </c>
      <c r="CF146" s="551">
        <f t="shared" si="127"/>
        <v>0</v>
      </c>
      <c r="CG146" s="551">
        <f>CEILING($B$143*CG145*$F$2*$F$3, 100)</f>
        <v>5300</v>
      </c>
      <c r="CH146" s="551">
        <f t="shared" ref="CH146:DA146" si="128">CEILING($B$143*CH145*$F$2*$F$3, 100)</f>
        <v>0</v>
      </c>
      <c r="CI146" s="551">
        <f t="shared" si="128"/>
        <v>0</v>
      </c>
      <c r="CJ146" s="551">
        <f t="shared" si="128"/>
        <v>0</v>
      </c>
      <c r="CK146" s="551">
        <f t="shared" si="128"/>
        <v>0</v>
      </c>
      <c r="CL146" s="551">
        <f t="shared" si="128"/>
        <v>0</v>
      </c>
      <c r="CM146" s="551">
        <f t="shared" si="128"/>
        <v>0</v>
      </c>
      <c r="CN146" s="551">
        <f t="shared" si="128"/>
        <v>0</v>
      </c>
      <c r="CO146" s="551">
        <f t="shared" si="128"/>
        <v>0</v>
      </c>
      <c r="CP146" s="551">
        <f t="shared" si="128"/>
        <v>7000</v>
      </c>
      <c r="CQ146" s="551">
        <f t="shared" si="128"/>
        <v>0</v>
      </c>
      <c r="CR146" s="551">
        <f t="shared" si="128"/>
        <v>0</v>
      </c>
      <c r="CS146" s="938">
        <f t="shared" si="128"/>
        <v>0</v>
      </c>
      <c r="CT146" s="551">
        <f t="shared" si="128"/>
        <v>0</v>
      </c>
      <c r="CU146" s="551">
        <f t="shared" si="128"/>
        <v>0</v>
      </c>
      <c r="CV146" s="551">
        <f t="shared" si="128"/>
        <v>2700</v>
      </c>
      <c r="CW146" s="551">
        <f t="shared" si="128"/>
        <v>5300</v>
      </c>
      <c r="CX146" s="551">
        <f t="shared" si="128"/>
        <v>2700</v>
      </c>
      <c r="CY146" s="551">
        <f t="shared" si="128"/>
        <v>5300</v>
      </c>
      <c r="CZ146" s="551">
        <f>CEILING($B$143*CZ145*$F$2*$F$3, 100)</f>
        <v>11200</v>
      </c>
      <c r="DA146" s="551">
        <f t="shared" si="128"/>
        <v>0</v>
      </c>
      <c r="DB146" s="551">
        <f t="shared" ref="DB146:EV146" si="129">CEILING($B$143*DB145*$F$2*$F$3, 100)</f>
        <v>0</v>
      </c>
      <c r="DC146" s="551">
        <f t="shared" si="129"/>
        <v>0</v>
      </c>
      <c r="DD146" s="938" t="e">
        <f t="shared" si="129"/>
        <v>#NUM!</v>
      </c>
      <c r="DE146" s="551">
        <f t="shared" si="129"/>
        <v>0</v>
      </c>
      <c r="DF146" s="551">
        <f t="shared" si="129"/>
        <v>0</v>
      </c>
      <c r="DG146" s="551">
        <f t="shared" si="129"/>
        <v>0</v>
      </c>
      <c r="DH146" s="551">
        <f t="shared" si="129"/>
        <v>0</v>
      </c>
      <c r="DI146" s="551">
        <f t="shared" si="129"/>
        <v>0</v>
      </c>
      <c r="DJ146" s="551">
        <f t="shared" si="129"/>
        <v>0</v>
      </c>
      <c r="DK146" s="551">
        <f t="shared" si="129"/>
        <v>0</v>
      </c>
      <c r="DL146" s="551">
        <f t="shared" si="129"/>
        <v>0</v>
      </c>
      <c r="DM146" s="551">
        <f t="shared" si="129"/>
        <v>0</v>
      </c>
      <c r="DN146" s="551">
        <f t="shared" si="129"/>
        <v>0</v>
      </c>
      <c r="DO146" s="551">
        <f t="shared" si="129"/>
        <v>0</v>
      </c>
      <c r="DP146" s="551">
        <f t="shared" si="129"/>
        <v>0</v>
      </c>
      <c r="DQ146" s="551">
        <f t="shared" si="129"/>
        <v>0</v>
      </c>
      <c r="DR146" s="551">
        <f t="shared" si="129"/>
        <v>0</v>
      </c>
      <c r="DS146" s="551">
        <f t="shared" si="129"/>
        <v>0</v>
      </c>
      <c r="DT146" s="551">
        <f t="shared" si="129"/>
        <v>0</v>
      </c>
      <c r="DU146" s="551">
        <f t="shared" si="129"/>
        <v>0</v>
      </c>
      <c r="DV146" s="551">
        <f t="shared" si="129"/>
        <v>0</v>
      </c>
      <c r="DW146" s="551">
        <f t="shared" si="129"/>
        <v>0</v>
      </c>
      <c r="DX146" s="551">
        <f t="shared" si="129"/>
        <v>0</v>
      </c>
      <c r="DY146" s="551">
        <f t="shared" si="129"/>
        <v>0</v>
      </c>
      <c r="DZ146" s="551">
        <f t="shared" si="129"/>
        <v>0</v>
      </c>
      <c r="EA146" s="551">
        <f t="shared" si="129"/>
        <v>0</v>
      </c>
      <c r="EB146" s="551">
        <f t="shared" si="129"/>
        <v>0</v>
      </c>
      <c r="EC146" s="551">
        <f t="shared" si="129"/>
        <v>0</v>
      </c>
      <c r="ED146" s="551">
        <f t="shared" si="129"/>
        <v>0</v>
      </c>
      <c r="EE146" s="551">
        <f t="shared" si="129"/>
        <v>0</v>
      </c>
      <c r="EF146" s="551">
        <f t="shared" si="129"/>
        <v>0</v>
      </c>
      <c r="EG146" s="551">
        <f t="shared" si="129"/>
        <v>0</v>
      </c>
      <c r="EH146" s="551">
        <f t="shared" si="129"/>
        <v>0</v>
      </c>
      <c r="EI146" s="551">
        <f t="shared" si="129"/>
        <v>0</v>
      </c>
      <c r="EJ146" s="551">
        <f t="shared" si="129"/>
        <v>0</v>
      </c>
      <c r="EK146" s="551">
        <f t="shared" si="129"/>
        <v>0</v>
      </c>
      <c r="EL146" s="551">
        <f t="shared" si="129"/>
        <v>0</v>
      </c>
      <c r="EM146" s="551">
        <f t="shared" si="129"/>
        <v>0</v>
      </c>
      <c r="EN146" s="2708">
        <f t="shared" si="129"/>
        <v>0</v>
      </c>
      <c r="EO146" s="2708">
        <f t="shared" si="129"/>
        <v>0</v>
      </c>
      <c r="EP146" s="2708">
        <f t="shared" si="129"/>
        <v>0</v>
      </c>
      <c r="EQ146" s="2708">
        <f t="shared" si="129"/>
        <v>0</v>
      </c>
      <c r="ER146" s="2708">
        <f t="shared" si="129"/>
        <v>0</v>
      </c>
      <c r="ES146" s="2708">
        <f t="shared" si="129"/>
        <v>0</v>
      </c>
      <c r="ET146" s="2708">
        <f t="shared" si="129"/>
        <v>0</v>
      </c>
      <c r="EU146" s="2708">
        <f t="shared" si="129"/>
        <v>0</v>
      </c>
      <c r="EV146" s="2708">
        <f t="shared" si="129"/>
        <v>0</v>
      </c>
      <c r="EW146" s="441"/>
    </row>
    <row r="147" spans="1:153" s="242" customFormat="1" ht="15.75" hidden="1" outlineLevel="2">
      <c r="A147" s="5270"/>
      <c r="B147" s="5271"/>
      <c r="C147" s="936" t="s">
        <v>1297</v>
      </c>
      <c r="D147" s="891"/>
      <c r="E147" s="891"/>
      <c r="F147" s="891"/>
      <c r="G147" s="551">
        <f t="shared" ref="G147:BR147" si="130">CEILING(G146*0.3, 50)</f>
        <v>0</v>
      </c>
      <c r="H147" s="551">
        <f t="shared" si="130"/>
        <v>0</v>
      </c>
      <c r="I147" s="551">
        <f t="shared" si="130"/>
        <v>0</v>
      </c>
      <c r="J147" s="551">
        <f t="shared" si="130"/>
        <v>0</v>
      </c>
      <c r="K147" s="551">
        <f t="shared" si="130"/>
        <v>0</v>
      </c>
      <c r="L147" s="551">
        <f t="shared" si="130"/>
        <v>0</v>
      </c>
      <c r="M147" s="551">
        <f t="shared" si="130"/>
        <v>0</v>
      </c>
      <c r="N147" s="551">
        <f t="shared" si="130"/>
        <v>0</v>
      </c>
      <c r="O147" s="551">
        <f t="shared" si="130"/>
        <v>0</v>
      </c>
      <c r="P147" s="551">
        <f t="shared" si="130"/>
        <v>0</v>
      </c>
      <c r="Q147" s="551">
        <f t="shared" si="130"/>
        <v>0</v>
      </c>
      <c r="R147" s="551">
        <f>CEILING(R146*0.3, 50)</f>
        <v>0</v>
      </c>
      <c r="S147" s="551">
        <f>CEILING(S146*0.3, 50)</f>
        <v>0</v>
      </c>
      <c r="T147" s="551">
        <f>CEILING(T146*0.3, 50)</f>
        <v>0</v>
      </c>
      <c r="U147" s="551">
        <f t="shared" si="130"/>
        <v>0</v>
      </c>
      <c r="V147" s="551">
        <f t="shared" si="130"/>
        <v>0</v>
      </c>
      <c r="W147" s="551">
        <f t="shared" si="130"/>
        <v>0</v>
      </c>
      <c r="X147" s="551">
        <f t="shared" si="130"/>
        <v>0</v>
      </c>
      <c r="Y147" s="551">
        <f t="shared" si="130"/>
        <v>0</v>
      </c>
      <c r="Z147" s="551">
        <f t="shared" si="130"/>
        <v>0</v>
      </c>
      <c r="AA147" s="551">
        <f t="shared" si="130"/>
        <v>0</v>
      </c>
      <c r="AB147" s="551">
        <f t="shared" si="130"/>
        <v>0</v>
      </c>
      <c r="AC147" s="551">
        <f t="shared" si="130"/>
        <v>0</v>
      </c>
      <c r="AD147" s="551">
        <f t="shared" si="130"/>
        <v>0</v>
      </c>
      <c r="AE147" s="551">
        <f t="shared" si="130"/>
        <v>0</v>
      </c>
      <c r="AF147" s="551">
        <f t="shared" si="130"/>
        <v>0</v>
      </c>
      <c r="AG147" s="551">
        <f t="shared" si="130"/>
        <v>0</v>
      </c>
      <c r="AH147" s="551">
        <f t="shared" si="130"/>
        <v>0</v>
      </c>
      <c r="AI147" s="551">
        <f t="shared" si="130"/>
        <v>0</v>
      </c>
      <c r="AJ147" s="551">
        <f t="shared" si="130"/>
        <v>0</v>
      </c>
      <c r="AK147" s="551">
        <f t="shared" si="130"/>
        <v>0</v>
      </c>
      <c r="AL147" s="551">
        <f t="shared" si="130"/>
        <v>0</v>
      </c>
      <c r="AM147" s="551">
        <f t="shared" si="130"/>
        <v>0</v>
      </c>
      <c r="AN147" s="551">
        <f t="shared" si="130"/>
        <v>0</v>
      </c>
      <c r="AO147" s="551">
        <f t="shared" si="130"/>
        <v>0</v>
      </c>
      <c r="AP147" s="551">
        <f t="shared" si="130"/>
        <v>0</v>
      </c>
      <c r="AQ147" s="551">
        <f t="shared" si="130"/>
        <v>0</v>
      </c>
      <c r="AR147" s="551">
        <f t="shared" si="130"/>
        <v>0</v>
      </c>
      <c r="AS147" s="551">
        <f t="shared" si="130"/>
        <v>0</v>
      </c>
      <c r="AT147" s="551">
        <f t="shared" si="130"/>
        <v>0</v>
      </c>
      <c r="AU147" s="551">
        <f t="shared" si="130"/>
        <v>0</v>
      </c>
      <c r="AV147" s="551">
        <f t="shared" si="130"/>
        <v>0</v>
      </c>
      <c r="AW147" s="551">
        <f t="shared" si="130"/>
        <v>0</v>
      </c>
      <c r="AX147" s="551">
        <f t="shared" si="130"/>
        <v>0</v>
      </c>
      <c r="AY147" s="551">
        <f t="shared" si="130"/>
        <v>0</v>
      </c>
      <c r="AZ147" s="551">
        <f t="shared" si="130"/>
        <v>0</v>
      </c>
      <c r="BA147" s="551">
        <f t="shared" si="130"/>
        <v>0</v>
      </c>
      <c r="BB147" s="551">
        <f t="shared" si="130"/>
        <v>0</v>
      </c>
      <c r="BC147" s="551">
        <f t="shared" si="130"/>
        <v>0</v>
      </c>
      <c r="BD147" s="551">
        <f t="shared" si="130"/>
        <v>0</v>
      </c>
      <c r="BE147" s="551">
        <f t="shared" si="130"/>
        <v>0</v>
      </c>
      <c r="BF147" s="551">
        <f t="shared" si="130"/>
        <v>0</v>
      </c>
      <c r="BG147" s="551">
        <f t="shared" si="130"/>
        <v>0</v>
      </c>
      <c r="BH147" s="551">
        <f t="shared" si="130"/>
        <v>0</v>
      </c>
      <c r="BI147" s="551">
        <f t="shared" si="130"/>
        <v>0</v>
      </c>
      <c r="BJ147" s="551">
        <f>CEILING(BJ146*0.3, 50)</f>
        <v>0</v>
      </c>
      <c r="BK147" s="551">
        <f>CEILING(BK146*0.3, 50)</f>
        <v>0</v>
      </c>
      <c r="BL147" s="551">
        <f t="shared" si="130"/>
        <v>0</v>
      </c>
      <c r="BM147" s="551">
        <f t="shared" si="130"/>
        <v>0</v>
      </c>
      <c r="BN147" s="551">
        <f t="shared" si="130"/>
        <v>0</v>
      </c>
      <c r="BO147" s="551">
        <f t="shared" si="130"/>
        <v>0</v>
      </c>
      <c r="BP147" s="551">
        <f t="shared" si="130"/>
        <v>0</v>
      </c>
      <c r="BQ147" s="551">
        <f t="shared" si="130"/>
        <v>0</v>
      </c>
      <c r="BR147" s="551">
        <f t="shared" si="130"/>
        <v>0</v>
      </c>
      <c r="BS147" s="551">
        <f t="shared" ref="BS147:CF147" si="131">CEILING(BS146*0.3, 50)</f>
        <v>0</v>
      </c>
      <c r="BT147" s="551">
        <f t="shared" ref="BT147:BY147" si="132">CEILING(BT146*0.3, 50)</f>
        <v>0</v>
      </c>
      <c r="BU147" s="551">
        <f t="shared" si="132"/>
        <v>600</v>
      </c>
      <c r="BV147" s="551">
        <f t="shared" si="132"/>
        <v>0</v>
      </c>
      <c r="BW147" s="551">
        <f t="shared" si="132"/>
        <v>0</v>
      </c>
      <c r="BX147" s="551">
        <f t="shared" si="132"/>
        <v>0</v>
      </c>
      <c r="BY147" s="551">
        <f t="shared" si="132"/>
        <v>0</v>
      </c>
      <c r="BZ147" s="551">
        <f t="shared" si="131"/>
        <v>0</v>
      </c>
      <c r="CA147" s="551">
        <f t="shared" si="131"/>
        <v>0</v>
      </c>
      <c r="CB147" s="551">
        <f t="shared" si="131"/>
        <v>0</v>
      </c>
      <c r="CC147" s="551">
        <f t="shared" si="131"/>
        <v>0</v>
      </c>
      <c r="CD147" s="551">
        <f t="shared" si="131"/>
        <v>0</v>
      </c>
      <c r="CE147" s="551">
        <f t="shared" si="131"/>
        <v>0</v>
      </c>
      <c r="CF147" s="551">
        <f t="shared" si="131"/>
        <v>0</v>
      </c>
      <c r="CG147" s="551">
        <f>CEILING(CG146*0.3, 50)</f>
        <v>1600</v>
      </c>
      <c r="CH147" s="551">
        <f t="shared" ref="CH147:ET147" si="133">CEILING(CH146*0.3, 50)</f>
        <v>0</v>
      </c>
      <c r="CI147" s="551">
        <f t="shared" si="133"/>
        <v>0</v>
      </c>
      <c r="CJ147" s="551">
        <f t="shared" si="133"/>
        <v>0</v>
      </c>
      <c r="CK147" s="551">
        <f t="shared" si="133"/>
        <v>0</v>
      </c>
      <c r="CL147" s="551">
        <f t="shared" si="133"/>
        <v>0</v>
      </c>
      <c r="CM147" s="551">
        <f t="shared" si="133"/>
        <v>0</v>
      </c>
      <c r="CN147" s="551">
        <f t="shared" si="133"/>
        <v>0</v>
      </c>
      <c r="CO147" s="551">
        <f t="shared" si="133"/>
        <v>0</v>
      </c>
      <c r="CP147" s="551">
        <f t="shared" si="133"/>
        <v>2100</v>
      </c>
      <c r="CQ147" s="551">
        <f t="shared" si="133"/>
        <v>0</v>
      </c>
      <c r="CR147" s="551">
        <f t="shared" si="133"/>
        <v>0</v>
      </c>
      <c r="CS147" s="938">
        <f t="shared" si="133"/>
        <v>0</v>
      </c>
      <c r="CT147" s="551">
        <f t="shared" si="133"/>
        <v>0</v>
      </c>
      <c r="CU147" s="551">
        <f t="shared" si="133"/>
        <v>0</v>
      </c>
      <c r="CV147" s="551">
        <f t="shared" si="133"/>
        <v>850</v>
      </c>
      <c r="CW147" s="551">
        <f t="shared" si="133"/>
        <v>1600</v>
      </c>
      <c r="CX147" s="551">
        <f t="shared" si="133"/>
        <v>850</v>
      </c>
      <c r="CY147" s="551">
        <f t="shared" si="133"/>
        <v>1600</v>
      </c>
      <c r="CZ147" s="551">
        <f>CEILING(CZ146*0.3, 50)</f>
        <v>3400</v>
      </c>
      <c r="DA147" s="551">
        <f t="shared" si="133"/>
        <v>0</v>
      </c>
      <c r="DB147" s="551">
        <f t="shared" si="133"/>
        <v>0</v>
      </c>
      <c r="DC147" s="551">
        <f t="shared" si="133"/>
        <v>0</v>
      </c>
      <c r="DD147" s="938" t="e">
        <f t="shared" si="133"/>
        <v>#NUM!</v>
      </c>
      <c r="DE147" s="551">
        <f t="shared" si="133"/>
        <v>0</v>
      </c>
      <c r="DF147" s="551">
        <f t="shared" si="133"/>
        <v>0</v>
      </c>
      <c r="DG147" s="551">
        <f t="shared" si="133"/>
        <v>0</v>
      </c>
      <c r="DH147" s="551">
        <f t="shared" si="133"/>
        <v>0</v>
      </c>
      <c r="DI147" s="551">
        <f t="shared" si="133"/>
        <v>0</v>
      </c>
      <c r="DJ147" s="551">
        <f t="shared" si="133"/>
        <v>0</v>
      </c>
      <c r="DK147" s="551">
        <f t="shared" si="133"/>
        <v>0</v>
      </c>
      <c r="DL147" s="551">
        <f t="shared" si="133"/>
        <v>0</v>
      </c>
      <c r="DM147" s="551">
        <f t="shared" si="133"/>
        <v>0</v>
      </c>
      <c r="DN147" s="551">
        <f t="shared" si="133"/>
        <v>0</v>
      </c>
      <c r="DO147" s="551">
        <f t="shared" si="133"/>
        <v>0</v>
      </c>
      <c r="DP147" s="551">
        <f t="shared" si="133"/>
        <v>0</v>
      </c>
      <c r="DQ147" s="551">
        <f t="shared" si="133"/>
        <v>0</v>
      </c>
      <c r="DR147" s="551">
        <f t="shared" si="133"/>
        <v>0</v>
      </c>
      <c r="DS147" s="551">
        <f t="shared" si="133"/>
        <v>0</v>
      </c>
      <c r="DT147" s="551">
        <f t="shared" si="133"/>
        <v>0</v>
      </c>
      <c r="DU147" s="551">
        <f t="shared" si="133"/>
        <v>0</v>
      </c>
      <c r="DV147" s="551">
        <f t="shared" si="133"/>
        <v>0</v>
      </c>
      <c r="DW147" s="551">
        <f t="shared" si="133"/>
        <v>0</v>
      </c>
      <c r="DX147" s="551">
        <f t="shared" si="133"/>
        <v>0</v>
      </c>
      <c r="DY147" s="551">
        <f t="shared" si="133"/>
        <v>0</v>
      </c>
      <c r="DZ147" s="551">
        <f t="shared" si="133"/>
        <v>0</v>
      </c>
      <c r="EA147" s="551">
        <f t="shared" si="133"/>
        <v>0</v>
      </c>
      <c r="EB147" s="551">
        <f t="shared" si="133"/>
        <v>0</v>
      </c>
      <c r="EC147" s="551">
        <f t="shared" si="133"/>
        <v>0</v>
      </c>
      <c r="ED147" s="551">
        <f t="shared" si="133"/>
        <v>0</v>
      </c>
      <c r="EE147" s="551">
        <f t="shared" si="133"/>
        <v>0</v>
      </c>
      <c r="EF147" s="551">
        <f t="shared" si="133"/>
        <v>0</v>
      </c>
      <c r="EG147" s="551">
        <f t="shared" si="133"/>
        <v>0</v>
      </c>
      <c r="EH147" s="551">
        <f t="shared" si="133"/>
        <v>0</v>
      </c>
      <c r="EI147" s="551">
        <f t="shared" si="133"/>
        <v>0</v>
      </c>
      <c r="EJ147" s="551">
        <f t="shared" si="133"/>
        <v>0</v>
      </c>
      <c r="EK147" s="551">
        <f t="shared" si="133"/>
        <v>0</v>
      </c>
      <c r="EL147" s="551">
        <f t="shared" si="133"/>
        <v>0</v>
      </c>
      <c r="EM147" s="551">
        <f t="shared" si="133"/>
        <v>0</v>
      </c>
      <c r="EN147" s="2708">
        <f t="shared" si="133"/>
        <v>0</v>
      </c>
      <c r="EO147" s="2708">
        <f t="shared" si="133"/>
        <v>0</v>
      </c>
      <c r="EP147" s="2708">
        <f t="shared" si="133"/>
        <v>0</v>
      </c>
      <c r="EQ147" s="2708">
        <f t="shared" si="133"/>
        <v>0</v>
      </c>
      <c r="ER147" s="2708">
        <f t="shared" si="133"/>
        <v>0</v>
      </c>
      <c r="ES147" s="2708">
        <f t="shared" si="133"/>
        <v>0</v>
      </c>
      <c r="ET147" s="2708">
        <f t="shared" si="133"/>
        <v>0</v>
      </c>
      <c r="EU147" s="2708">
        <f>CEILING(EU146*0.3, 50)</f>
        <v>0</v>
      </c>
      <c r="EV147" s="2708">
        <f>CEILING(EV146*0.3, 50)</f>
        <v>0</v>
      </c>
      <c r="EW147" s="441"/>
    </row>
    <row r="148" spans="1:153" s="25" customFormat="1" ht="15" hidden="1" customHeight="1" outlineLevel="1">
      <c r="A148" s="895" t="s">
        <v>1309</v>
      </c>
      <c r="B148" s="5231" t="s">
        <v>1306</v>
      </c>
      <c r="C148" s="5232"/>
      <c r="D148" s="947" t="s">
        <v>1307</v>
      </c>
      <c r="E148" s="898"/>
      <c r="F148" s="898"/>
      <c r="G148" s="898"/>
      <c r="H148" s="898"/>
      <c r="I148" s="898"/>
      <c r="J148" s="898"/>
      <c r="K148" s="898"/>
      <c r="L148" s="898"/>
      <c r="M148" s="898"/>
      <c r="N148" s="898"/>
      <c r="O148" s="242"/>
      <c r="P148" s="242"/>
      <c r="Q148" s="242"/>
      <c r="R148" s="242"/>
      <c r="S148" s="242"/>
      <c r="T148" s="242"/>
      <c r="U148" s="242"/>
      <c r="V148" s="242"/>
      <c r="W148" s="242"/>
      <c r="X148" s="242"/>
      <c r="Y148" s="242"/>
      <c r="Z148" s="242"/>
      <c r="AA148" s="242"/>
      <c r="AB148" s="242"/>
      <c r="AC148" s="242"/>
      <c r="AD148" s="242"/>
      <c r="AE148" s="242"/>
      <c r="AF148" s="242"/>
      <c r="AG148" s="242"/>
      <c r="AH148" s="242"/>
      <c r="AI148" s="242"/>
      <c r="AJ148" s="242"/>
      <c r="AL148" s="242"/>
      <c r="AM148" s="242"/>
      <c r="AN148" s="242"/>
      <c r="AO148" s="242"/>
      <c r="AP148" s="242"/>
      <c r="AQ148" s="242"/>
      <c r="AR148" s="242"/>
      <c r="AS148" s="242"/>
      <c r="AT148" s="242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441"/>
      <c r="EO148" s="441"/>
      <c r="EP148" s="441"/>
      <c r="EQ148" s="441"/>
      <c r="ER148" s="441"/>
      <c r="ES148" s="441"/>
      <c r="ET148" s="441"/>
      <c r="EU148" s="441"/>
      <c r="EV148" s="441"/>
      <c r="EW148" s="15"/>
    </row>
    <row r="149" spans="1:153" s="925" customFormat="1" hidden="1" outlineLevel="2">
      <c r="A149" s="954" t="s">
        <v>1276</v>
      </c>
      <c r="B149" s="955">
        <v>44652</v>
      </c>
      <c r="C149" s="955">
        <v>44487</v>
      </c>
      <c r="D149" s="955">
        <v>43647</v>
      </c>
      <c r="E149" s="994"/>
      <c r="F149" s="947"/>
    </row>
    <row r="150" spans="1:153" hidden="1" outlineLevel="2">
      <c r="A150" s="956" t="s">
        <v>1251</v>
      </c>
      <c r="B150" s="957">
        <f>CEILING(C150*1.1, 50)</f>
        <v>1000</v>
      </c>
      <c r="C150" s="957">
        <f>D150*1.15</f>
        <v>896.99999999999989</v>
      </c>
      <c r="D150" s="958">
        <v>780</v>
      </c>
      <c r="E150" s="993">
        <f>C150-C75</f>
        <v>416.99999999999989</v>
      </c>
      <c r="F150" s="896"/>
      <c r="G150" s="589"/>
      <c r="H150" s="589"/>
      <c r="I150" s="589"/>
      <c r="J150" s="589"/>
      <c r="K150" s="589"/>
      <c r="L150" s="589"/>
      <c r="M150" s="589"/>
      <c r="N150" s="589"/>
      <c r="O150" s="589"/>
      <c r="P150" s="589"/>
      <c r="Q150" s="589"/>
      <c r="R150" s="589"/>
      <c r="S150" s="589"/>
      <c r="T150" s="589"/>
      <c r="U150" s="589"/>
      <c r="V150" s="589"/>
      <c r="W150" s="589"/>
      <c r="X150" s="589"/>
      <c r="Y150" s="589"/>
      <c r="Z150" s="589"/>
      <c r="AA150" s="589"/>
      <c r="AB150" s="589"/>
      <c r="AC150" s="589"/>
      <c r="AD150" s="589"/>
      <c r="AE150" s="589"/>
      <c r="AF150" s="589"/>
      <c r="AG150" s="589"/>
      <c r="AH150" s="589"/>
      <c r="AI150" s="589"/>
      <c r="AJ150" s="589"/>
      <c r="AL150" s="589"/>
      <c r="AM150" s="589"/>
      <c r="AN150" s="589"/>
      <c r="AO150" s="589"/>
      <c r="AP150" s="589"/>
      <c r="AQ150" s="589"/>
      <c r="AR150" s="589"/>
      <c r="AS150" s="589"/>
      <c r="AT150" s="589"/>
      <c r="AU150" s="589"/>
      <c r="AV150" s="589"/>
      <c r="AW150" s="589"/>
      <c r="AX150" s="589"/>
      <c r="AY150" s="589"/>
      <c r="AZ150" s="589"/>
      <c r="BA150" s="589"/>
      <c r="BB150" s="589"/>
      <c r="BC150" s="589"/>
      <c r="BD150" s="589"/>
      <c r="BE150" s="589"/>
      <c r="BF150" s="589"/>
      <c r="BG150" s="589"/>
      <c r="BH150" s="589"/>
      <c r="BI150" s="589"/>
      <c r="BJ150" s="589"/>
      <c r="BK150" s="589"/>
      <c r="BL150" s="589"/>
      <c r="BM150" s="589"/>
      <c r="BN150" s="589"/>
      <c r="BO150" s="589"/>
      <c r="BP150" s="589"/>
      <c r="BQ150" s="589"/>
      <c r="BR150" s="589"/>
      <c r="BS150" s="589"/>
      <c r="BT150" s="589"/>
      <c r="BU150" s="589"/>
      <c r="BV150" s="589"/>
      <c r="BW150" s="589"/>
      <c r="BX150" s="589"/>
      <c r="BY150" s="589"/>
      <c r="BZ150" s="589"/>
      <c r="CA150" s="589"/>
      <c r="CB150" s="589"/>
      <c r="CC150" s="589"/>
      <c r="CD150" s="589"/>
      <c r="CE150" s="589"/>
      <c r="CF150" s="589"/>
      <c r="CG150" s="589"/>
      <c r="CH150" s="589"/>
      <c r="CI150" s="589"/>
      <c r="CJ150" s="589"/>
      <c r="CK150" s="589"/>
      <c r="CL150" s="589"/>
      <c r="CM150" s="589"/>
      <c r="CN150" s="589"/>
      <c r="CO150" s="589"/>
      <c r="CP150" s="589"/>
      <c r="CQ150" s="589"/>
      <c r="CR150" s="589"/>
      <c r="CS150" s="589"/>
      <c r="CT150" s="589"/>
      <c r="CU150" s="589"/>
      <c r="CV150" s="589"/>
      <c r="CW150" s="589"/>
      <c r="CX150" s="589"/>
      <c r="CY150" s="589"/>
      <c r="CZ150" s="589"/>
      <c r="DA150" s="589"/>
      <c r="DB150" s="589"/>
      <c r="DC150" s="589"/>
      <c r="DD150" s="589"/>
      <c r="DE150" s="589"/>
      <c r="DF150" s="589"/>
      <c r="DG150" s="589"/>
      <c r="DH150" s="589"/>
      <c r="DI150" s="589"/>
      <c r="DJ150" s="589"/>
      <c r="DK150" s="589"/>
      <c r="DL150" s="589"/>
      <c r="DM150" s="589"/>
      <c r="DN150" s="589"/>
      <c r="DO150" s="589"/>
      <c r="DP150" s="589"/>
      <c r="DQ150" s="589"/>
      <c r="DR150" s="589"/>
      <c r="DS150" s="589"/>
      <c r="DT150" s="589"/>
      <c r="DU150" s="589"/>
      <c r="DV150" s="589"/>
      <c r="DW150" s="589"/>
      <c r="DX150" s="589"/>
      <c r="DY150" s="589"/>
      <c r="DZ150" s="589"/>
      <c r="EA150" s="589"/>
      <c r="EB150" s="589"/>
      <c r="EC150" s="589"/>
      <c r="ED150" s="589"/>
      <c r="EE150" s="589"/>
      <c r="EF150" s="589"/>
      <c r="EG150" s="589"/>
      <c r="EH150" s="589"/>
      <c r="EI150" s="589"/>
      <c r="EJ150" s="589"/>
      <c r="EK150" s="589"/>
      <c r="EL150" s="589"/>
      <c r="EM150" s="589"/>
      <c r="EN150" s="2597"/>
      <c r="EO150" s="2597"/>
      <c r="EP150" s="2597"/>
      <c r="EQ150" s="2597"/>
      <c r="ER150" s="2597"/>
      <c r="ES150" s="2597"/>
      <c r="ET150" s="2597"/>
      <c r="EU150" s="2597"/>
      <c r="EV150" s="2597"/>
      <c r="EW150" s="2597"/>
    </row>
    <row r="151" spans="1:153" s="102" customFormat="1" hidden="1" outlineLevel="2">
      <c r="A151" s="956" t="s">
        <v>1252</v>
      </c>
      <c r="B151" s="957">
        <f>CEILING(C151*1.1, 50)</f>
        <v>1250</v>
      </c>
      <c r="C151" s="957">
        <f>D151*1.15</f>
        <v>1115.5</v>
      </c>
      <c r="D151" s="958">
        <v>970</v>
      </c>
      <c r="E151" s="993">
        <f>C151-C76</f>
        <v>335.5</v>
      </c>
      <c r="F151" s="908"/>
      <c r="EN151" s="2712"/>
      <c r="EO151" s="2712"/>
      <c r="EP151" s="2712"/>
      <c r="EQ151" s="2712"/>
      <c r="ER151" s="2712"/>
      <c r="ES151" s="2712"/>
      <c r="ET151" s="2712"/>
      <c r="EU151" s="2712"/>
      <c r="EV151" s="2712"/>
      <c r="EW151" s="2712"/>
    </row>
    <row r="152" spans="1:153" s="102" customFormat="1" hidden="1" outlineLevel="2">
      <c r="A152" s="956" t="s">
        <v>1253</v>
      </c>
      <c r="B152" s="957">
        <f>CEILING(C152*1.1, 50)</f>
        <v>1600</v>
      </c>
      <c r="C152" s="957">
        <f>D152*1.15</f>
        <v>1449</v>
      </c>
      <c r="D152" s="959">
        <v>1260</v>
      </c>
      <c r="E152" s="993">
        <f>C152-C77</f>
        <v>465</v>
      </c>
      <c r="F152" s="908"/>
      <c r="EN152" s="2712"/>
      <c r="EO152" s="2712"/>
      <c r="EP152" s="2712"/>
      <c r="EQ152" s="2712"/>
      <c r="ER152" s="2712"/>
      <c r="ES152" s="2712"/>
      <c r="ET152" s="2712"/>
      <c r="EU152" s="2712"/>
      <c r="EV152" s="2712"/>
      <c r="EW152" s="2712"/>
    </row>
    <row r="153" spans="1:153" s="933" customFormat="1" ht="36" hidden="1" customHeight="1" outlineLevel="2" collapsed="1">
      <c r="A153" s="711"/>
      <c r="B153" s="711"/>
      <c r="C153" s="711"/>
      <c r="D153" s="711"/>
      <c r="E153" s="711"/>
      <c r="F153" s="711"/>
      <c r="G153" s="711" t="s">
        <v>1099</v>
      </c>
      <c r="H153" s="711" t="s">
        <v>1098</v>
      </c>
      <c r="I153" s="711" t="s">
        <v>1100</v>
      </c>
      <c r="J153" s="711" t="s">
        <v>1101</v>
      </c>
      <c r="K153" s="711" t="s">
        <v>1102</v>
      </c>
      <c r="L153" s="711" t="s">
        <v>1103</v>
      </c>
      <c r="M153" s="711" t="s">
        <v>1104</v>
      </c>
      <c r="N153" s="711" t="s">
        <v>1105</v>
      </c>
      <c r="O153" s="711" t="s">
        <v>1109</v>
      </c>
      <c r="P153" s="711" t="s">
        <v>1110</v>
      </c>
      <c r="Q153" s="711" t="s">
        <v>1111</v>
      </c>
      <c r="R153" s="711" t="s">
        <v>1107</v>
      </c>
      <c r="S153" s="711" t="s">
        <v>1106</v>
      </c>
      <c r="T153" s="711" t="s">
        <v>1108</v>
      </c>
      <c r="U153" s="711" t="s">
        <v>324</v>
      </c>
      <c r="V153" s="711" t="s">
        <v>323</v>
      </c>
      <c r="W153" s="711" t="s">
        <v>1076</v>
      </c>
      <c r="X153" s="711" t="s">
        <v>364</v>
      </c>
      <c r="Y153" s="711" t="s">
        <v>365</v>
      </c>
      <c r="Z153" s="711" t="s">
        <v>366</v>
      </c>
      <c r="AA153" s="711" t="s">
        <v>367</v>
      </c>
      <c r="AB153" s="711" t="s">
        <v>368</v>
      </c>
      <c r="AC153" s="711" t="s">
        <v>369</v>
      </c>
      <c r="AD153" s="711" t="s">
        <v>370</v>
      </c>
      <c r="AE153" s="711" t="s">
        <v>371</v>
      </c>
      <c r="AF153" s="711" t="s">
        <v>325</v>
      </c>
      <c r="AG153" s="711" t="s">
        <v>326</v>
      </c>
      <c r="AH153" s="711" t="s">
        <v>327</v>
      </c>
      <c r="AI153" s="711" t="s">
        <v>328</v>
      </c>
      <c r="AJ153" s="711" t="s">
        <v>329</v>
      </c>
      <c r="AK153" s="711" t="s">
        <v>743</v>
      </c>
      <c r="AL153" s="711" t="s">
        <v>744</v>
      </c>
      <c r="AM153" s="711" t="s">
        <v>745</v>
      </c>
      <c r="AN153" s="711" t="s">
        <v>922</v>
      </c>
      <c r="AO153" s="711" t="s">
        <v>900</v>
      </c>
      <c r="AP153" s="711" t="s">
        <v>746</v>
      </c>
      <c r="AQ153" s="711" t="s">
        <v>747</v>
      </c>
      <c r="AR153" s="711" t="s">
        <v>769</v>
      </c>
      <c r="AS153" s="711" t="s">
        <v>770</v>
      </c>
      <c r="AT153" s="711" t="s">
        <v>330</v>
      </c>
      <c r="AU153" s="711" t="s">
        <v>331</v>
      </c>
      <c r="AV153" s="711" t="s">
        <v>332</v>
      </c>
      <c r="AW153" s="711" t="s">
        <v>333</v>
      </c>
      <c r="AX153" s="711" t="s">
        <v>334</v>
      </c>
      <c r="AY153" s="711" t="s">
        <v>335</v>
      </c>
      <c r="AZ153" s="711" t="s">
        <v>336</v>
      </c>
      <c r="BA153" s="711" t="s">
        <v>337</v>
      </c>
      <c r="BB153" s="711" t="s">
        <v>338</v>
      </c>
      <c r="BC153" s="711" t="s">
        <v>339</v>
      </c>
      <c r="BD153" s="711" t="s">
        <v>340</v>
      </c>
      <c r="BE153" s="711" t="s">
        <v>341</v>
      </c>
      <c r="BF153" s="711" t="s">
        <v>342</v>
      </c>
      <c r="BG153" s="711" t="s">
        <v>343</v>
      </c>
      <c r="BH153" s="905" t="s">
        <v>1242</v>
      </c>
      <c r="BI153" s="892" t="s">
        <v>1243</v>
      </c>
      <c r="BJ153" s="711" t="s">
        <v>1113</v>
      </c>
      <c r="BK153" s="711" t="s">
        <v>1112</v>
      </c>
      <c r="BL153" s="711" t="s">
        <v>1114</v>
      </c>
      <c r="BM153" s="711" t="s">
        <v>1115</v>
      </c>
      <c r="BN153" s="711" t="s">
        <v>457</v>
      </c>
      <c r="BO153" s="711" t="s">
        <v>1077</v>
      </c>
      <c r="BP153" s="711" t="s">
        <v>1078</v>
      </c>
      <c r="BQ153" s="711" t="s">
        <v>1116</v>
      </c>
      <c r="BR153" s="711" t="s">
        <v>48</v>
      </c>
      <c r="BS153" s="711" t="s">
        <v>1117</v>
      </c>
      <c r="BT153" s="711" t="s">
        <v>1122</v>
      </c>
      <c r="BU153" s="711" t="s">
        <v>1127</v>
      </c>
      <c r="BV153" s="711" t="s">
        <v>1120</v>
      </c>
      <c r="BW153" s="711" t="s">
        <v>1125</v>
      </c>
      <c r="BX153" s="711" t="s">
        <v>1121</v>
      </c>
      <c r="BY153" s="711" t="s">
        <v>1126</v>
      </c>
      <c r="BZ153" s="711" t="s">
        <v>1118</v>
      </c>
      <c r="CA153" s="711" t="s">
        <v>1119</v>
      </c>
      <c r="CB153" s="711" t="s">
        <v>1123</v>
      </c>
      <c r="CC153" s="711" t="s">
        <v>1124</v>
      </c>
      <c r="CD153" s="711" t="s">
        <v>1128</v>
      </c>
      <c r="CE153" s="711" t="s">
        <v>1129</v>
      </c>
      <c r="CF153" s="711" t="s">
        <v>1130</v>
      </c>
      <c r="CG153" s="711" t="s">
        <v>1131</v>
      </c>
      <c r="CH153" s="711" t="s">
        <v>1132</v>
      </c>
      <c r="CI153" s="711" t="s">
        <v>1133</v>
      </c>
      <c r="CJ153" s="711" t="s">
        <v>1134</v>
      </c>
      <c r="CK153" s="711" t="s">
        <v>1135</v>
      </c>
      <c r="CL153" s="711" t="s">
        <v>394</v>
      </c>
      <c r="CM153" s="711" t="s">
        <v>395</v>
      </c>
      <c r="CN153" s="711" t="s">
        <v>396</v>
      </c>
      <c r="CO153" s="711" t="s">
        <v>397</v>
      </c>
      <c r="CP153" s="711" t="s">
        <v>1136</v>
      </c>
      <c r="CQ153" s="711" t="s">
        <v>1137</v>
      </c>
      <c r="CR153" s="711" t="s">
        <v>1138</v>
      </c>
      <c r="CS153" s="711" t="s">
        <v>1194</v>
      </c>
      <c r="CT153" s="711" t="s">
        <v>1193</v>
      </c>
      <c r="CU153" s="711" t="s">
        <v>1195</v>
      </c>
      <c r="CV153" s="711" t="s">
        <v>1139</v>
      </c>
      <c r="CW153" s="711" t="s">
        <v>1140</v>
      </c>
      <c r="CX153" s="711" t="s">
        <v>1141</v>
      </c>
      <c r="CY153" s="711" t="s">
        <v>1142</v>
      </c>
      <c r="CZ153" s="1016" t="s">
        <v>1196</v>
      </c>
      <c r="DA153" s="711" t="s">
        <v>1143</v>
      </c>
      <c r="DB153" s="711" t="s">
        <v>1144</v>
      </c>
      <c r="DC153" s="711" t="s">
        <v>321</v>
      </c>
      <c r="DD153" s="711"/>
      <c r="DE153" s="711"/>
      <c r="DF153" s="711" t="s">
        <v>1079</v>
      </c>
      <c r="DG153" s="711" t="s">
        <v>1080</v>
      </c>
      <c r="DH153" s="711" t="s">
        <v>1081</v>
      </c>
      <c r="DI153" s="711" t="s">
        <v>1082</v>
      </c>
      <c r="DJ153" s="711" t="s">
        <v>1083</v>
      </c>
      <c r="DK153" s="711" t="s">
        <v>1084</v>
      </c>
      <c r="DL153" s="711" t="s">
        <v>1085</v>
      </c>
      <c r="DM153" s="711" t="s">
        <v>1086</v>
      </c>
      <c r="DN153" s="711" t="s">
        <v>1087</v>
      </c>
      <c r="DO153" s="711" t="s">
        <v>1088</v>
      </c>
      <c r="DP153" s="711" t="s">
        <v>1089</v>
      </c>
      <c r="DQ153" s="711" t="s">
        <v>1090</v>
      </c>
      <c r="DR153" s="711" t="s">
        <v>1091</v>
      </c>
      <c r="DS153" s="711" t="s">
        <v>1092</v>
      </c>
      <c r="DT153" s="711" t="s">
        <v>1093</v>
      </c>
      <c r="DU153" s="711" t="s">
        <v>351</v>
      </c>
      <c r="DV153" s="711" t="s">
        <v>352</v>
      </c>
      <c r="DW153" s="711" t="s">
        <v>353</v>
      </c>
      <c r="DX153" s="711" t="s">
        <v>354</v>
      </c>
      <c r="DY153" s="711" t="s">
        <v>355</v>
      </c>
      <c r="DZ153" s="711" t="s">
        <v>356</v>
      </c>
      <c r="EA153" s="711" t="s">
        <v>345</v>
      </c>
      <c r="EB153" s="711" t="s">
        <v>346</v>
      </c>
      <c r="EC153" s="711" t="s">
        <v>347</v>
      </c>
      <c r="ED153" s="711" t="s">
        <v>348</v>
      </c>
      <c r="EE153" s="711" t="s">
        <v>349</v>
      </c>
      <c r="EF153" s="711" t="s">
        <v>350</v>
      </c>
      <c r="EG153" s="711" t="s">
        <v>357</v>
      </c>
      <c r="EH153" s="711" t="s">
        <v>358</v>
      </c>
      <c r="EI153" s="711" t="s">
        <v>359</v>
      </c>
      <c r="EJ153" s="711" t="s">
        <v>441</v>
      </c>
      <c r="EK153" s="711" t="s">
        <v>442</v>
      </c>
      <c r="EL153" s="711" t="s">
        <v>307</v>
      </c>
      <c r="EM153" s="711" t="s">
        <v>1145</v>
      </c>
      <c r="EN153" s="711" t="s">
        <v>1146</v>
      </c>
      <c r="EO153" s="711" t="s">
        <v>1147</v>
      </c>
      <c r="EP153" s="711" t="s">
        <v>1148</v>
      </c>
      <c r="EQ153" s="711" t="s">
        <v>1149</v>
      </c>
      <c r="ER153" s="711" t="s">
        <v>1150</v>
      </c>
      <c r="ES153" s="711" t="s">
        <v>1094</v>
      </c>
      <c r="ET153" s="711" t="s">
        <v>1095</v>
      </c>
      <c r="EU153" s="711" t="s">
        <v>1096</v>
      </c>
      <c r="EV153" s="711" t="s">
        <v>1097</v>
      </c>
    </row>
    <row r="154" spans="1:153" s="813" customFormat="1" ht="15.75" hidden="1" outlineLevel="2">
      <c r="A154" s="943" t="s">
        <v>1262</v>
      </c>
      <c r="B154" s="819"/>
      <c r="C154" s="819"/>
      <c r="D154" s="951"/>
      <c r="E154" s="951"/>
      <c r="F154" s="819"/>
      <c r="G154" s="551">
        <v>1</v>
      </c>
      <c r="H154" s="551">
        <v>1</v>
      </c>
      <c r="I154" s="551">
        <v>1</v>
      </c>
      <c r="J154" s="551">
        <v>1</v>
      </c>
      <c r="K154" s="551">
        <v>1</v>
      </c>
      <c r="L154" s="551">
        <v>1</v>
      </c>
      <c r="M154" s="551">
        <v>1</v>
      </c>
      <c r="N154" s="551">
        <v>1</v>
      </c>
      <c r="O154" s="551">
        <f t="shared" ref="O154:W154" si="134">IF(O156,1,0)</f>
        <v>0</v>
      </c>
      <c r="P154" s="551">
        <f t="shared" si="134"/>
        <v>0</v>
      </c>
      <c r="Q154" s="551">
        <f t="shared" si="134"/>
        <v>0</v>
      </c>
      <c r="R154" s="551">
        <v>1</v>
      </c>
      <c r="S154" s="551">
        <v>1</v>
      </c>
      <c r="T154" s="551">
        <v>1</v>
      </c>
      <c r="U154" s="551">
        <f t="shared" si="134"/>
        <v>0</v>
      </c>
      <c r="V154" s="551">
        <f t="shared" si="134"/>
        <v>0</v>
      </c>
      <c r="W154" s="551">
        <f t="shared" si="134"/>
        <v>0</v>
      </c>
      <c r="X154" s="551">
        <v>1</v>
      </c>
      <c r="Y154" s="551">
        <v>1</v>
      </c>
      <c r="Z154" s="551">
        <v>1</v>
      </c>
      <c r="AA154" s="551">
        <v>1</v>
      </c>
      <c r="AB154" s="551">
        <v>1</v>
      </c>
      <c r="AC154" s="551">
        <v>1</v>
      </c>
      <c r="AD154" s="551">
        <v>0</v>
      </c>
      <c r="AE154" s="551">
        <v>0</v>
      </c>
      <c r="AF154" s="551">
        <v>1</v>
      </c>
      <c r="AG154" s="551">
        <v>1</v>
      </c>
      <c r="AH154" s="551">
        <v>1</v>
      </c>
      <c r="AI154" s="551">
        <v>1</v>
      </c>
      <c r="AJ154" s="551">
        <v>0</v>
      </c>
      <c r="AK154" s="551">
        <v>0</v>
      </c>
      <c r="AL154" s="551">
        <v>1</v>
      </c>
      <c r="AM154" s="551">
        <v>1</v>
      </c>
      <c r="AN154" s="551">
        <v>1</v>
      </c>
      <c r="AO154" s="551">
        <v>1</v>
      </c>
      <c r="AP154" s="551">
        <v>1</v>
      </c>
      <c r="AQ154" s="551">
        <v>1</v>
      </c>
      <c r="AR154" s="551">
        <v>0</v>
      </c>
      <c r="AS154" s="551">
        <v>0</v>
      </c>
      <c r="AT154" s="551">
        <v>1</v>
      </c>
      <c r="AU154" s="551">
        <v>1</v>
      </c>
      <c r="AV154" s="551">
        <v>1</v>
      </c>
      <c r="AW154" s="551">
        <v>1</v>
      </c>
      <c r="AX154" s="551">
        <v>1</v>
      </c>
      <c r="AY154" s="551">
        <v>1</v>
      </c>
      <c r="AZ154" s="551">
        <v>1</v>
      </c>
      <c r="BA154" s="551">
        <v>0</v>
      </c>
      <c r="BB154" s="551">
        <v>0</v>
      </c>
      <c r="BC154" s="551">
        <v>0</v>
      </c>
      <c r="BD154" s="551">
        <v>1</v>
      </c>
      <c r="BE154" s="551">
        <v>1</v>
      </c>
      <c r="BF154" s="551">
        <v>1</v>
      </c>
      <c r="BG154" s="551">
        <v>1</v>
      </c>
      <c r="BH154" s="551">
        <v>1</v>
      </c>
      <c r="BI154" s="551">
        <v>1</v>
      </c>
      <c r="BJ154" s="551">
        <v>1</v>
      </c>
      <c r="BK154" s="551">
        <v>1</v>
      </c>
      <c r="BL154" s="551">
        <v>1</v>
      </c>
      <c r="BM154" s="551">
        <v>1</v>
      </c>
      <c r="BN154" s="551">
        <v>1</v>
      </c>
      <c r="BO154" s="551">
        <v>1</v>
      </c>
      <c r="BP154" s="551">
        <v>1</v>
      </c>
      <c r="BQ154" s="551">
        <v>1</v>
      </c>
      <c r="BR154" s="907"/>
      <c r="BS154" s="907"/>
      <c r="BT154" s="907"/>
      <c r="BU154" s="907"/>
      <c r="BV154" s="907"/>
      <c r="BW154" s="907"/>
      <c r="BX154" s="907"/>
      <c r="BY154" s="907"/>
      <c r="BZ154" s="907"/>
      <c r="CA154" s="907"/>
      <c r="CB154" s="907"/>
      <c r="CC154" s="907"/>
      <c r="CD154" s="807"/>
      <c r="CE154" s="807"/>
      <c r="CF154" s="807"/>
      <c r="CG154" s="807"/>
      <c r="CH154" s="807"/>
      <c r="CI154" s="807"/>
      <c r="CJ154" s="807"/>
      <c r="CK154" s="807"/>
      <c r="CL154" s="907"/>
      <c r="CM154" s="907"/>
      <c r="CN154" s="907"/>
      <c r="CO154" s="907"/>
      <c r="CP154" s="907"/>
      <c r="CQ154" s="907"/>
      <c r="CR154" s="907"/>
      <c r="CS154" s="907"/>
      <c r="CT154" s="907"/>
      <c r="CU154" s="907"/>
      <c r="CV154" s="907"/>
      <c r="CW154" s="907"/>
      <c r="CX154" s="907"/>
      <c r="CY154" s="907"/>
      <c r="CZ154" s="1089"/>
      <c r="DA154" s="907"/>
      <c r="DB154" s="907"/>
      <c r="DC154" s="907"/>
      <c r="DD154" s="907"/>
      <c r="DE154" s="907"/>
      <c r="DF154" s="807"/>
      <c r="DG154" s="807"/>
      <c r="DH154" s="807"/>
      <c r="DI154" s="807"/>
      <c r="DJ154" s="807"/>
      <c r="DK154" s="807"/>
      <c r="DL154" s="807"/>
      <c r="DM154" s="807"/>
      <c r="DN154" s="807"/>
      <c r="DO154" s="807"/>
      <c r="DP154" s="807"/>
      <c r="DQ154" s="807"/>
      <c r="DR154" s="807"/>
      <c r="DS154" s="807"/>
      <c r="DT154" s="807"/>
      <c r="DU154" s="807"/>
      <c r="DV154" s="807"/>
      <c r="DW154" s="807"/>
      <c r="DX154" s="807"/>
      <c r="DY154" s="807"/>
      <c r="DZ154" s="807"/>
      <c r="EA154" s="907"/>
      <c r="EB154" s="907"/>
      <c r="EC154" s="907"/>
      <c r="ED154" s="907"/>
      <c r="EE154" s="907"/>
      <c r="EF154" s="907"/>
      <c r="EG154" s="907"/>
      <c r="EH154" s="907"/>
      <c r="EI154" s="907"/>
      <c r="EJ154" s="807"/>
      <c r="EK154" s="807"/>
      <c r="EL154" s="907"/>
      <c r="EM154" s="551">
        <v>1</v>
      </c>
      <c r="EN154" s="2708">
        <v>1</v>
      </c>
      <c r="EO154" s="2708">
        <v>1</v>
      </c>
      <c r="EP154" s="2708">
        <v>1</v>
      </c>
      <c r="EQ154" s="2708">
        <v>1</v>
      </c>
      <c r="ER154" s="2708">
        <v>1</v>
      </c>
      <c r="ES154" s="807"/>
      <c r="ET154" s="2708">
        <v>1</v>
      </c>
      <c r="EU154" s="2708">
        <v>1</v>
      </c>
      <c r="EV154" s="807"/>
    </row>
    <row r="155" spans="1:153" s="813" customFormat="1" ht="15.75" hidden="1" outlineLevel="2">
      <c r="A155" s="943" t="s">
        <v>1231</v>
      </c>
      <c r="B155" s="819"/>
      <c r="C155" s="819"/>
      <c r="D155" s="951"/>
      <c r="E155" s="951"/>
      <c r="F155" s="819"/>
      <c r="G155" s="909">
        <v>6</v>
      </c>
      <c r="H155" s="909">
        <v>6</v>
      </c>
      <c r="I155" s="909">
        <v>6</v>
      </c>
      <c r="J155" s="909">
        <v>6</v>
      </c>
      <c r="K155" s="909">
        <v>6</v>
      </c>
      <c r="L155" s="909">
        <v>6</v>
      </c>
      <c r="M155" s="909">
        <v>6</v>
      </c>
      <c r="N155" s="909">
        <v>6</v>
      </c>
      <c r="O155" s="551">
        <v>0</v>
      </c>
      <c r="P155" s="551">
        <v>0</v>
      </c>
      <c r="Q155" s="551">
        <v>0</v>
      </c>
      <c r="R155" s="909" t="s">
        <v>1232</v>
      </c>
      <c r="S155" s="909" t="s">
        <v>1232</v>
      </c>
      <c r="T155" s="909" t="s">
        <v>1232</v>
      </c>
      <c r="U155" s="551">
        <v>0</v>
      </c>
      <c r="V155" s="551">
        <v>0</v>
      </c>
      <c r="W155" s="551">
        <v>0</v>
      </c>
      <c r="X155" s="550" t="s">
        <v>1232</v>
      </c>
      <c r="Y155" s="550" t="s">
        <v>1232</v>
      </c>
      <c r="Z155" s="550" t="s">
        <v>1232</v>
      </c>
      <c r="AA155" s="550" t="s">
        <v>1232</v>
      </c>
      <c r="AB155" s="550" t="s">
        <v>1232</v>
      </c>
      <c r="AC155" s="550" t="s">
        <v>1232</v>
      </c>
      <c r="AD155" s="551">
        <v>0</v>
      </c>
      <c r="AE155" s="551">
        <v>0</v>
      </c>
      <c r="AF155" s="550" t="s">
        <v>1232</v>
      </c>
      <c r="AG155" s="550" t="s">
        <v>1232</v>
      </c>
      <c r="AH155" s="550" t="s">
        <v>1232</v>
      </c>
      <c r="AI155" s="550" t="s">
        <v>1232</v>
      </c>
      <c r="AJ155" s="551">
        <v>0</v>
      </c>
      <c r="AK155" s="551">
        <v>0</v>
      </c>
      <c r="AL155" s="550" t="s">
        <v>1232</v>
      </c>
      <c r="AM155" s="550" t="s">
        <v>1232</v>
      </c>
      <c r="AN155" s="550" t="s">
        <v>1232</v>
      </c>
      <c r="AO155" s="550" t="s">
        <v>1232</v>
      </c>
      <c r="AP155" s="550" t="s">
        <v>1232</v>
      </c>
      <c r="AQ155" s="550" t="s">
        <v>1232</v>
      </c>
      <c r="AR155" s="551">
        <v>0</v>
      </c>
      <c r="AS155" s="551">
        <v>0</v>
      </c>
      <c r="AT155" s="550">
        <v>4</v>
      </c>
      <c r="AU155" s="550">
        <v>4</v>
      </c>
      <c r="AV155" s="550">
        <v>4</v>
      </c>
      <c r="AW155" s="550">
        <v>4</v>
      </c>
      <c r="AX155" s="550">
        <v>4</v>
      </c>
      <c r="AY155" s="550">
        <v>4</v>
      </c>
      <c r="AZ155" s="550">
        <v>4</v>
      </c>
      <c r="BA155" s="551">
        <v>0</v>
      </c>
      <c r="BB155" s="551">
        <v>0</v>
      </c>
      <c r="BC155" s="551">
        <v>0</v>
      </c>
      <c r="BD155" s="550">
        <v>4</v>
      </c>
      <c r="BE155" s="550">
        <v>4</v>
      </c>
      <c r="BF155" s="550">
        <v>4</v>
      </c>
      <c r="BG155" s="550">
        <v>4</v>
      </c>
      <c r="BH155" s="906">
        <v>4</v>
      </c>
      <c r="BI155" s="909">
        <v>6</v>
      </c>
      <c r="BJ155" s="909">
        <v>4</v>
      </c>
      <c r="BK155" s="909">
        <v>4</v>
      </c>
      <c r="BL155" s="909">
        <v>4</v>
      </c>
      <c r="BM155" s="909">
        <v>4</v>
      </c>
      <c r="BN155" s="909">
        <v>4</v>
      </c>
      <c r="BO155" s="909">
        <v>4</v>
      </c>
      <c r="BP155" s="909">
        <v>4</v>
      </c>
      <c r="BQ155" s="909">
        <v>4</v>
      </c>
      <c r="BR155" s="907"/>
      <c r="BS155" s="907"/>
      <c r="BT155" s="907"/>
      <c r="BU155" s="907"/>
      <c r="BV155" s="907"/>
      <c r="BW155" s="907"/>
      <c r="BX155" s="907"/>
      <c r="BY155" s="907"/>
      <c r="BZ155" s="907"/>
      <c r="CA155" s="907"/>
      <c r="CB155" s="907"/>
      <c r="CC155" s="907"/>
      <c r="CD155" s="807"/>
      <c r="CE155" s="807"/>
      <c r="CF155" s="807"/>
      <c r="CG155" s="807"/>
      <c r="CH155" s="807"/>
      <c r="CI155" s="807"/>
      <c r="CJ155" s="807"/>
      <c r="CK155" s="807"/>
      <c r="CL155" s="907"/>
      <c r="CM155" s="907"/>
      <c r="CN155" s="907"/>
      <c r="CO155" s="907"/>
      <c r="CP155" s="907"/>
      <c r="CQ155" s="907"/>
      <c r="CR155" s="907"/>
      <c r="CS155" s="907"/>
      <c r="CT155" s="907"/>
      <c r="CU155" s="907"/>
      <c r="CV155" s="907"/>
      <c r="CW155" s="907"/>
      <c r="CX155" s="907"/>
      <c r="CY155" s="907"/>
      <c r="CZ155" s="1089"/>
      <c r="DA155" s="907"/>
      <c r="DB155" s="907"/>
      <c r="DC155" s="907"/>
      <c r="DD155" s="907"/>
      <c r="DE155" s="907"/>
      <c r="DF155" s="807"/>
      <c r="DG155" s="807"/>
      <c r="DH155" s="807"/>
      <c r="DI155" s="807"/>
      <c r="DJ155" s="807"/>
      <c r="DK155" s="807"/>
      <c r="DL155" s="807"/>
      <c r="DM155" s="807"/>
      <c r="DN155" s="807"/>
      <c r="DO155" s="807"/>
      <c r="DP155" s="807"/>
      <c r="DQ155" s="807"/>
      <c r="DR155" s="807"/>
      <c r="DS155" s="807"/>
      <c r="DT155" s="807"/>
      <c r="DU155" s="807"/>
      <c r="DV155" s="807"/>
      <c r="DW155" s="807"/>
      <c r="DX155" s="807"/>
      <c r="DY155" s="807"/>
      <c r="DZ155" s="807"/>
      <c r="EA155" s="907"/>
      <c r="EB155" s="907"/>
      <c r="EC155" s="907"/>
      <c r="ED155" s="907"/>
      <c r="EE155" s="907"/>
      <c r="EF155" s="907"/>
      <c r="EG155" s="907"/>
      <c r="EH155" s="907"/>
      <c r="EI155" s="907"/>
      <c r="EJ155" s="807"/>
      <c r="EK155" s="807"/>
      <c r="EL155" s="907"/>
      <c r="EM155" s="905">
        <v>4</v>
      </c>
      <c r="EN155" s="909">
        <v>4</v>
      </c>
      <c r="EO155" s="909">
        <v>4</v>
      </c>
      <c r="EP155" s="909">
        <v>4</v>
      </c>
      <c r="EQ155" s="909">
        <v>4</v>
      </c>
      <c r="ER155" s="909">
        <v>4</v>
      </c>
      <c r="ES155" s="807"/>
      <c r="ET155" s="909">
        <v>4</v>
      </c>
      <c r="EU155" s="909">
        <v>4</v>
      </c>
      <c r="EV155" s="807"/>
    </row>
    <row r="156" spans="1:153" s="813" customFormat="1" ht="15.75" hidden="1" outlineLevel="2">
      <c r="A156" s="944" t="s">
        <v>1230</v>
      </c>
      <c r="B156" s="817"/>
      <c r="C156" s="817"/>
      <c r="D156" s="817"/>
      <c r="E156" s="817"/>
      <c r="F156" s="817"/>
      <c r="G156" s="918">
        <f>G88</f>
        <v>0.9</v>
      </c>
      <c r="H156" s="918">
        <f t="shared" ref="H156:BS156" si="135">H88</f>
        <v>0.60000000000000009</v>
      </c>
      <c r="I156" s="918">
        <f t="shared" si="135"/>
        <v>0.6</v>
      </c>
      <c r="J156" s="918">
        <f t="shared" si="135"/>
        <v>0.60000000000000009</v>
      </c>
      <c r="K156" s="918">
        <f t="shared" si="135"/>
        <v>0.6</v>
      </c>
      <c r="L156" s="918">
        <f t="shared" si="135"/>
        <v>0.6</v>
      </c>
      <c r="M156" s="918">
        <f t="shared" si="135"/>
        <v>0.6</v>
      </c>
      <c r="N156" s="918">
        <f t="shared" si="135"/>
        <v>0.6</v>
      </c>
      <c r="O156" s="918">
        <f t="shared" si="135"/>
        <v>0</v>
      </c>
      <c r="P156" s="918">
        <f t="shared" si="135"/>
        <v>0</v>
      </c>
      <c r="Q156" s="918">
        <f t="shared" si="135"/>
        <v>0</v>
      </c>
      <c r="R156" s="918">
        <f t="shared" si="135"/>
        <v>0.9</v>
      </c>
      <c r="S156" s="918">
        <f t="shared" si="135"/>
        <v>0.60000000000000009</v>
      </c>
      <c r="T156" s="918">
        <f t="shared" si="135"/>
        <v>0.60000000000000009</v>
      </c>
      <c r="U156" s="918">
        <f t="shared" si="135"/>
        <v>0</v>
      </c>
      <c r="V156" s="918">
        <f t="shared" si="135"/>
        <v>0</v>
      </c>
      <c r="W156" s="918">
        <f t="shared" si="135"/>
        <v>0</v>
      </c>
      <c r="X156" s="918">
        <f t="shared" si="135"/>
        <v>0.9</v>
      </c>
      <c r="Y156" s="918">
        <f t="shared" si="135"/>
        <v>0.60000000000000009</v>
      </c>
      <c r="Z156" s="918">
        <f t="shared" si="135"/>
        <v>0.60000000000000009</v>
      </c>
      <c r="AA156" s="918">
        <f t="shared" si="135"/>
        <v>0.60000000000000009</v>
      </c>
      <c r="AB156" s="918">
        <f t="shared" si="135"/>
        <v>0.6</v>
      </c>
      <c r="AC156" s="918">
        <f t="shared" si="135"/>
        <v>0.6</v>
      </c>
      <c r="AD156" s="918">
        <f t="shared" si="135"/>
        <v>0</v>
      </c>
      <c r="AE156" s="918">
        <f t="shared" si="135"/>
        <v>0</v>
      </c>
      <c r="AF156" s="918">
        <f t="shared" si="135"/>
        <v>0.9</v>
      </c>
      <c r="AG156" s="918">
        <f t="shared" si="135"/>
        <v>0.60000000000000009</v>
      </c>
      <c r="AH156" s="918">
        <f t="shared" si="135"/>
        <v>0.6</v>
      </c>
      <c r="AI156" s="918">
        <f t="shared" si="135"/>
        <v>0.6</v>
      </c>
      <c r="AJ156" s="918">
        <f t="shared" si="135"/>
        <v>0</v>
      </c>
      <c r="AK156" s="918">
        <f t="shared" si="135"/>
        <v>0</v>
      </c>
      <c r="AL156" s="918">
        <f t="shared" si="135"/>
        <v>0.9</v>
      </c>
      <c r="AM156" s="918">
        <f t="shared" si="135"/>
        <v>0.60000000000000009</v>
      </c>
      <c r="AN156" s="918">
        <f t="shared" si="135"/>
        <v>0.60000000000000009</v>
      </c>
      <c r="AO156" s="918">
        <f t="shared" si="135"/>
        <v>0.60000000000000009</v>
      </c>
      <c r="AP156" s="918">
        <f t="shared" si="135"/>
        <v>0.6</v>
      </c>
      <c r="AQ156" s="918">
        <f t="shared" si="135"/>
        <v>0.6</v>
      </c>
      <c r="AR156" s="918">
        <f t="shared" si="135"/>
        <v>0</v>
      </c>
      <c r="AS156" s="918">
        <f t="shared" si="135"/>
        <v>0</v>
      </c>
      <c r="AT156" s="918">
        <f t="shared" si="135"/>
        <v>0.9</v>
      </c>
      <c r="AU156" s="918">
        <f t="shared" si="135"/>
        <v>0.6</v>
      </c>
      <c r="AV156" s="918">
        <f t="shared" si="135"/>
        <v>0.6</v>
      </c>
      <c r="AW156" s="918">
        <f t="shared" si="135"/>
        <v>0.6</v>
      </c>
      <c r="AX156" s="918">
        <f t="shared" si="135"/>
        <v>0.6</v>
      </c>
      <c r="AY156" s="918">
        <f t="shared" si="135"/>
        <v>0.6</v>
      </c>
      <c r="AZ156" s="918">
        <f t="shared" si="135"/>
        <v>0.6</v>
      </c>
      <c r="BA156" s="918">
        <f t="shared" si="135"/>
        <v>0</v>
      </c>
      <c r="BB156" s="918">
        <f t="shared" si="135"/>
        <v>0</v>
      </c>
      <c r="BC156" s="918">
        <f t="shared" si="135"/>
        <v>0</v>
      </c>
      <c r="BD156" s="918">
        <f t="shared" si="135"/>
        <v>0.6</v>
      </c>
      <c r="BE156" s="918">
        <f t="shared" si="135"/>
        <v>0.6</v>
      </c>
      <c r="BF156" s="918">
        <f t="shared" si="135"/>
        <v>0.6</v>
      </c>
      <c r="BG156" s="918">
        <f t="shared" si="135"/>
        <v>0.6</v>
      </c>
      <c r="BH156" s="918">
        <f t="shared" si="135"/>
        <v>0.9</v>
      </c>
      <c r="BI156" s="918">
        <f t="shared" si="135"/>
        <v>0.9</v>
      </c>
      <c r="BJ156" s="918">
        <f t="shared" si="135"/>
        <v>0.8</v>
      </c>
      <c r="BK156" s="918">
        <f t="shared" si="135"/>
        <v>0.6</v>
      </c>
      <c r="BL156" s="918">
        <f t="shared" si="135"/>
        <v>0.6</v>
      </c>
      <c r="BM156" s="918">
        <f t="shared" si="135"/>
        <v>0.6</v>
      </c>
      <c r="BN156" s="918">
        <f t="shared" si="135"/>
        <v>1</v>
      </c>
      <c r="BO156" s="918">
        <f t="shared" si="135"/>
        <v>0.60000000000000009</v>
      </c>
      <c r="BP156" s="918">
        <f t="shared" si="135"/>
        <v>0.6</v>
      </c>
      <c r="BQ156" s="918">
        <f t="shared" si="135"/>
        <v>0.6</v>
      </c>
      <c r="BR156" s="918">
        <f t="shared" si="135"/>
        <v>0</v>
      </c>
      <c r="BS156" s="918">
        <f t="shared" si="135"/>
        <v>0</v>
      </c>
      <c r="BT156" s="918">
        <f t="shared" ref="BT156:EE156" si="136">BT88</f>
        <v>0.9</v>
      </c>
      <c r="BU156" s="918">
        <f t="shared" si="136"/>
        <v>0.6</v>
      </c>
      <c r="BV156" s="918">
        <f t="shared" si="136"/>
        <v>0</v>
      </c>
      <c r="BW156" s="918">
        <f t="shared" si="136"/>
        <v>0.6</v>
      </c>
      <c r="BX156" s="918">
        <f t="shared" si="136"/>
        <v>0</v>
      </c>
      <c r="BY156" s="918">
        <f t="shared" si="136"/>
        <v>0</v>
      </c>
      <c r="BZ156" s="918">
        <f t="shared" si="136"/>
        <v>0</v>
      </c>
      <c r="CA156" s="918">
        <f t="shared" si="136"/>
        <v>0</v>
      </c>
      <c r="CB156" s="918">
        <f t="shared" si="136"/>
        <v>0</v>
      </c>
      <c r="CC156" s="918">
        <f t="shared" si="136"/>
        <v>0</v>
      </c>
      <c r="CD156" s="918">
        <f t="shared" si="136"/>
        <v>0</v>
      </c>
      <c r="CE156" s="918">
        <f t="shared" si="136"/>
        <v>0</v>
      </c>
      <c r="CF156" s="918">
        <f t="shared" si="136"/>
        <v>1</v>
      </c>
      <c r="CG156" s="918">
        <f t="shared" si="136"/>
        <v>1</v>
      </c>
      <c r="CH156" s="918">
        <f t="shared" si="136"/>
        <v>0.4</v>
      </c>
      <c r="CI156" s="918">
        <f t="shared" si="136"/>
        <v>0</v>
      </c>
      <c r="CJ156" s="918">
        <f t="shared" si="136"/>
        <v>1</v>
      </c>
      <c r="CK156" s="918">
        <f t="shared" si="136"/>
        <v>0.4</v>
      </c>
      <c r="CL156" s="918">
        <f t="shared" si="136"/>
        <v>0</v>
      </c>
      <c r="CM156" s="918">
        <f t="shared" si="136"/>
        <v>0</v>
      </c>
      <c r="CN156" s="918">
        <f t="shared" si="136"/>
        <v>0</v>
      </c>
      <c r="CO156" s="918">
        <f t="shared" si="136"/>
        <v>0</v>
      </c>
      <c r="CP156" s="918">
        <f t="shared" si="136"/>
        <v>0</v>
      </c>
      <c r="CQ156" s="918">
        <f t="shared" si="136"/>
        <v>0</v>
      </c>
      <c r="CR156" s="918">
        <f t="shared" si="136"/>
        <v>0</v>
      </c>
      <c r="CS156" s="918">
        <f t="shared" si="136"/>
        <v>0</v>
      </c>
      <c r="CT156" s="918">
        <f t="shared" si="136"/>
        <v>0</v>
      </c>
      <c r="CU156" s="918">
        <f t="shared" si="136"/>
        <v>0</v>
      </c>
      <c r="CV156" s="918">
        <f t="shared" si="136"/>
        <v>0</v>
      </c>
      <c r="CW156" s="918">
        <f t="shared" si="136"/>
        <v>0</v>
      </c>
      <c r="CX156" s="918">
        <f t="shared" si="136"/>
        <v>0</v>
      </c>
      <c r="CY156" s="918">
        <f t="shared" si="136"/>
        <v>0</v>
      </c>
      <c r="CZ156" s="918">
        <f t="shared" si="136"/>
        <v>0</v>
      </c>
      <c r="DA156" s="918">
        <f t="shared" si="136"/>
        <v>0</v>
      </c>
      <c r="DB156" s="918">
        <f t="shared" si="136"/>
        <v>0</v>
      </c>
      <c r="DC156" s="918">
        <f t="shared" si="136"/>
        <v>0</v>
      </c>
      <c r="DD156" s="918">
        <f t="shared" si="136"/>
        <v>0</v>
      </c>
      <c r="DE156" s="918">
        <f t="shared" si="136"/>
        <v>0</v>
      </c>
      <c r="DF156" s="918">
        <f t="shared" si="136"/>
        <v>0</v>
      </c>
      <c r="DG156" s="918">
        <f t="shared" si="136"/>
        <v>0</v>
      </c>
      <c r="DH156" s="918">
        <f t="shared" si="136"/>
        <v>0</v>
      </c>
      <c r="DI156" s="918">
        <f t="shared" si="136"/>
        <v>0</v>
      </c>
      <c r="DJ156" s="918">
        <f t="shared" si="136"/>
        <v>0</v>
      </c>
      <c r="DK156" s="918">
        <f t="shared" si="136"/>
        <v>0</v>
      </c>
      <c r="DL156" s="918">
        <f t="shared" si="136"/>
        <v>0</v>
      </c>
      <c r="DM156" s="918">
        <f t="shared" si="136"/>
        <v>0</v>
      </c>
      <c r="DN156" s="918">
        <f t="shared" si="136"/>
        <v>0</v>
      </c>
      <c r="DO156" s="918">
        <f t="shared" si="136"/>
        <v>0</v>
      </c>
      <c r="DP156" s="918">
        <f t="shared" si="136"/>
        <v>0</v>
      </c>
      <c r="DQ156" s="918">
        <f t="shared" si="136"/>
        <v>0</v>
      </c>
      <c r="DR156" s="918">
        <f t="shared" si="136"/>
        <v>0</v>
      </c>
      <c r="DS156" s="918">
        <f t="shared" si="136"/>
        <v>0</v>
      </c>
      <c r="DT156" s="918">
        <f t="shared" si="136"/>
        <v>0</v>
      </c>
      <c r="DU156" s="918">
        <f t="shared" si="136"/>
        <v>0</v>
      </c>
      <c r="DV156" s="918">
        <f t="shared" si="136"/>
        <v>0</v>
      </c>
      <c r="DW156" s="918">
        <f t="shared" si="136"/>
        <v>0</v>
      </c>
      <c r="DX156" s="918">
        <f t="shared" si="136"/>
        <v>0</v>
      </c>
      <c r="DY156" s="918">
        <f t="shared" si="136"/>
        <v>0</v>
      </c>
      <c r="DZ156" s="918">
        <f t="shared" si="136"/>
        <v>0</v>
      </c>
      <c r="EA156" s="918">
        <f t="shared" si="136"/>
        <v>0</v>
      </c>
      <c r="EB156" s="918">
        <f t="shared" si="136"/>
        <v>0</v>
      </c>
      <c r="EC156" s="918">
        <f t="shared" si="136"/>
        <v>0</v>
      </c>
      <c r="ED156" s="918">
        <f t="shared" si="136"/>
        <v>0</v>
      </c>
      <c r="EE156" s="918">
        <f t="shared" si="136"/>
        <v>0</v>
      </c>
      <c r="EF156" s="918">
        <f t="shared" ref="EF156:EV156" si="137">EF88</f>
        <v>0</v>
      </c>
      <c r="EG156" s="918">
        <f t="shared" si="137"/>
        <v>0</v>
      </c>
      <c r="EH156" s="918">
        <f t="shared" si="137"/>
        <v>0</v>
      </c>
      <c r="EI156" s="918">
        <f t="shared" si="137"/>
        <v>0</v>
      </c>
      <c r="EJ156" s="918">
        <f t="shared" si="137"/>
        <v>0</v>
      </c>
      <c r="EK156" s="918">
        <f t="shared" si="137"/>
        <v>0</v>
      </c>
      <c r="EL156" s="918">
        <f t="shared" si="137"/>
        <v>0</v>
      </c>
      <c r="EM156" s="918">
        <f t="shared" si="137"/>
        <v>0.9</v>
      </c>
      <c r="EN156" s="2707">
        <f t="shared" si="137"/>
        <v>0.9</v>
      </c>
      <c r="EO156" s="2707">
        <f t="shared" si="137"/>
        <v>0.9</v>
      </c>
      <c r="EP156" s="2707">
        <f t="shared" si="137"/>
        <v>0.9</v>
      </c>
      <c r="EQ156" s="2707">
        <f t="shared" si="137"/>
        <v>0.9</v>
      </c>
      <c r="ER156" s="2707">
        <f t="shared" si="137"/>
        <v>0.9</v>
      </c>
      <c r="ES156" s="2707">
        <f t="shared" si="137"/>
        <v>0</v>
      </c>
      <c r="ET156" s="2707">
        <f t="shared" si="137"/>
        <v>0.9</v>
      </c>
      <c r="EU156" s="2707">
        <f t="shared" si="137"/>
        <v>0.9</v>
      </c>
      <c r="EV156" s="2707">
        <f t="shared" si="137"/>
        <v>0</v>
      </c>
    </row>
    <row r="157" spans="1:153" s="939" customFormat="1" ht="12" hidden="1" customHeight="1" outlineLevel="2">
      <c r="A157" s="5276" t="s">
        <v>224</v>
      </c>
      <c r="B157" s="5276"/>
      <c r="C157" s="5276" t="s">
        <v>484</v>
      </c>
      <c r="D157" s="5276"/>
      <c r="E157" s="5276"/>
      <c r="F157" s="5276"/>
      <c r="G157" s="940">
        <f>CEILING($D$151*G156*$F$2*$F$3, 50)</f>
        <v>2050</v>
      </c>
      <c r="H157" s="940">
        <f t="shared" ref="H157:N157" si="138">CEILING($D$151*H156*$F$2*$F$3, 50)</f>
        <v>1350</v>
      </c>
      <c r="I157" s="940">
        <f t="shared" si="138"/>
        <v>1350</v>
      </c>
      <c r="J157" s="940">
        <f t="shared" si="138"/>
        <v>1350</v>
      </c>
      <c r="K157" s="940">
        <f t="shared" si="138"/>
        <v>1350</v>
      </c>
      <c r="L157" s="940">
        <f t="shared" si="138"/>
        <v>1350</v>
      </c>
      <c r="M157" s="940">
        <f t="shared" si="138"/>
        <v>1350</v>
      </c>
      <c r="N157" s="940">
        <f t="shared" si="138"/>
        <v>1350</v>
      </c>
      <c r="O157" s="940">
        <f t="shared" ref="O157:AS157" si="139">CEILING($D$150*2*O156*$F$2*$F$3, 50)</f>
        <v>0</v>
      </c>
      <c r="P157" s="940">
        <f t="shared" si="139"/>
        <v>0</v>
      </c>
      <c r="Q157" s="940">
        <f t="shared" si="139"/>
        <v>0</v>
      </c>
      <c r="R157" s="940">
        <f>CEILING($D$150*2*R156*$F$2*$F$3, 50)</f>
        <v>3250</v>
      </c>
      <c r="S157" s="940">
        <f>CEILING($D$150*2*S156*$F$2*$F$3, 50)</f>
        <v>2150</v>
      </c>
      <c r="T157" s="940">
        <f>CEILING($D$150*2*T156*$F$2*$F$3, 50)</f>
        <v>2150</v>
      </c>
      <c r="U157" s="940">
        <f t="shared" si="139"/>
        <v>0</v>
      </c>
      <c r="V157" s="940">
        <f t="shared" si="139"/>
        <v>0</v>
      </c>
      <c r="W157" s="940">
        <f t="shared" si="139"/>
        <v>0</v>
      </c>
      <c r="X157" s="940">
        <f t="shared" si="139"/>
        <v>3250</v>
      </c>
      <c r="Y157" s="940">
        <f t="shared" si="139"/>
        <v>2150</v>
      </c>
      <c r="Z157" s="940">
        <f t="shared" si="139"/>
        <v>2150</v>
      </c>
      <c r="AA157" s="940">
        <f t="shared" si="139"/>
        <v>2150</v>
      </c>
      <c r="AB157" s="940">
        <f t="shared" si="139"/>
        <v>2150</v>
      </c>
      <c r="AC157" s="940">
        <f t="shared" si="139"/>
        <v>2150</v>
      </c>
      <c r="AD157" s="940">
        <f t="shared" si="139"/>
        <v>0</v>
      </c>
      <c r="AE157" s="940">
        <f t="shared" si="139"/>
        <v>0</v>
      </c>
      <c r="AF157" s="940">
        <f t="shared" si="139"/>
        <v>3250</v>
      </c>
      <c r="AG157" s="940">
        <f t="shared" si="139"/>
        <v>2150</v>
      </c>
      <c r="AH157" s="940">
        <f t="shared" si="139"/>
        <v>2150</v>
      </c>
      <c r="AI157" s="940">
        <f t="shared" si="139"/>
        <v>2150</v>
      </c>
      <c r="AJ157" s="940">
        <f t="shared" si="139"/>
        <v>0</v>
      </c>
      <c r="AK157" s="940">
        <f t="shared" si="139"/>
        <v>0</v>
      </c>
      <c r="AL157" s="940">
        <f t="shared" si="139"/>
        <v>3250</v>
      </c>
      <c r="AM157" s="940">
        <f t="shared" si="139"/>
        <v>2150</v>
      </c>
      <c r="AN157" s="940">
        <f t="shared" si="139"/>
        <v>2150</v>
      </c>
      <c r="AO157" s="940">
        <f t="shared" si="139"/>
        <v>2150</v>
      </c>
      <c r="AP157" s="940">
        <f t="shared" si="139"/>
        <v>2150</v>
      </c>
      <c r="AQ157" s="940">
        <f t="shared" si="139"/>
        <v>2150</v>
      </c>
      <c r="AR157" s="940">
        <f t="shared" si="139"/>
        <v>0</v>
      </c>
      <c r="AS157" s="940">
        <f t="shared" si="139"/>
        <v>0</v>
      </c>
      <c r="AT157" s="940">
        <f>CEILING($D$150*AT156*$F$2*$F$3, 50)</f>
        <v>1650</v>
      </c>
      <c r="AU157" s="940">
        <f t="shared" ref="AU157:DG157" si="140">CEILING($D$150*AU156*$F$2*$F$3, 50)</f>
        <v>1100</v>
      </c>
      <c r="AV157" s="940">
        <f t="shared" si="140"/>
        <v>1100</v>
      </c>
      <c r="AW157" s="940">
        <f t="shared" si="140"/>
        <v>1100</v>
      </c>
      <c r="AX157" s="940">
        <f t="shared" si="140"/>
        <v>1100</v>
      </c>
      <c r="AY157" s="940">
        <f t="shared" si="140"/>
        <v>1100</v>
      </c>
      <c r="AZ157" s="940">
        <f t="shared" si="140"/>
        <v>1100</v>
      </c>
      <c r="BA157" s="940">
        <f t="shared" si="140"/>
        <v>0</v>
      </c>
      <c r="BB157" s="940">
        <f t="shared" si="140"/>
        <v>0</v>
      </c>
      <c r="BC157" s="940">
        <f t="shared" si="140"/>
        <v>0</v>
      </c>
      <c r="BD157" s="940">
        <f t="shared" si="140"/>
        <v>1100</v>
      </c>
      <c r="BE157" s="940">
        <f t="shared" si="140"/>
        <v>1100</v>
      </c>
      <c r="BF157" s="940">
        <f t="shared" si="140"/>
        <v>1100</v>
      </c>
      <c r="BG157" s="940">
        <f t="shared" si="140"/>
        <v>1100</v>
      </c>
      <c r="BH157" s="940">
        <f t="shared" si="140"/>
        <v>1650</v>
      </c>
      <c r="BI157" s="940">
        <f t="shared" si="140"/>
        <v>1650</v>
      </c>
      <c r="BJ157" s="940">
        <f>CEILING($D$150*BJ156*$F$2*$F$3, 50)</f>
        <v>1450</v>
      </c>
      <c r="BK157" s="940">
        <f>CEILING($D$150*BK156*$F$2*$F$3, 50)</f>
        <v>1100</v>
      </c>
      <c r="BL157" s="940">
        <f t="shared" si="140"/>
        <v>1100</v>
      </c>
      <c r="BM157" s="940">
        <f t="shared" si="140"/>
        <v>1100</v>
      </c>
      <c r="BN157" s="940">
        <f t="shared" si="140"/>
        <v>1800</v>
      </c>
      <c r="BO157" s="940">
        <f t="shared" si="140"/>
        <v>1100</v>
      </c>
      <c r="BP157" s="940">
        <f t="shared" si="140"/>
        <v>1100</v>
      </c>
      <c r="BQ157" s="940">
        <f t="shared" si="140"/>
        <v>1100</v>
      </c>
      <c r="BR157" s="940">
        <f t="shared" si="140"/>
        <v>0</v>
      </c>
      <c r="BS157" s="940">
        <f t="shared" si="140"/>
        <v>0</v>
      </c>
      <c r="BT157" s="940">
        <f t="shared" ref="BT157:BY157" si="141">CEILING($D$150*BT156*$F$2*$F$3, 50)</f>
        <v>1650</v>
      </c>
      <c r="BU157" s="940">
        <f t="shared" si="141"/>
        <v>1100</v>
      </c>
      <c r="BV157" s="940">
        <f t="shared" si="141"/>
        <v>0</v>
      </c>
      <c r="BW157" s="940">
        <f t="shared" si="141"/>
        <v>1100</v>
      </c>
      <c r="BX157" s="940">
        <f t="shared" si="141"/>
        <v>0</v>
      </c>
      <c r="BY157" s="940">
        <f t="shared" si="141"/>
        <v>0</v>
      </c>
      <c r="BZ157" s="940">
        <f t="shared" si="140"/>
        <v>0</v>
      </c>
      <c r="CA157" s="940">
        <f t="shared" si="140"/>
        <v>0</v>
      </c>
      <c r="CB157" s="940">
        <f t="shared" si="140"/>
        <v>0</v>
      </c>
      <c r="CC157" s="940">
        <f t="shared" si="140"/>
        <v>0</v>
      </c>
      <c r="CD157" s="940">
        <f t="shared" si="140"/>
        <v>0</v>
      </c>
      <c r="CE157" s="940">
        <f t="shared" si="140"/>
        <v>0</v>
      </c>
      <c r="CF157" s="940">
        <f t="shared" si="140"/>
        <v>1800</v>
      </c>
      <c r="CG157" s="940">
        <f t="shared" si="140"/>
        <v>1800</v>
      </c>
      <c r="CH157" s="940">
        <f t="shared" si="140"/>
        <v>750</v>
      </c>
      <c r="CI157" s="940">
        <f t="shared" si="140"/>
        <v>0</v>
      </c>
      <c r="CJ157" s="940">
        <f t="shared" si="140"/>
        <v>1800</v>
      </c>
      <c r="CK157" s="940">
        <f t="shared" si="140"/>
        <v>750</v>
      </c>
      <c r="CL157" s="940">
        <f t="shared" si="140"/>
        <v>0</v>
      </c>
      <c r="CM157" s="940">
        <f t="shared" si="140"/>
        <v>0</v>
      </c>
      <c r="CN157" s="940">
        <f t="shared" si="140"/>
        <v>0</v>
      </c>
      <c r="CO157" s="940">
        <f t="shared" si="140"/>
        <v>0</v>
      </c>
      <c r="CP157" s="940">
        <f t="shared" si="140"/>
        <v>0</v>
      </c>
      <c r="CQ157" s="940">
        <f t="shared" si="140"/>
        <v>0</v>
      </c>
      <c r="CR157" s="940">
        <f t="shared" si="140"/>
        <v>0</v>
      </c>
      <c r="CS157" s="940">
        <f t="shared" si="140"/>
        <v>0</v>
      </c>
      <c r="CT157" s="940">
        <f t="shared" si="140"/>
        <v>0</v>
      </c>
      <c r="CU157" s="940">
        <f t="shared" si="140"/>
        <v>0</v>
      </c>
      <c r="CV157" s="940">
        <f t="shared" si="140"/>
        <v>0</v>
      </c>
      <c r="CW157" s="940">
        <f t="shared" si="140"/>
        <v>0</v>
      </c>
      <c r="CX157" s="940">
        <f t="shared" si="140"/>
        <v>0</v>
      </c>
      <c r="CY157" s="940">
        <f t="shared" si="140"/>
        <v>0</v>
      </c>
      <c r="CZ157" s="1095"/>
      <c r="DA157" s="940">
        <f t="shared" si="140"/>
        <v>0</v>
      </c>
      <c r="DB157" s="940">
        <f t="shared" si="140"/>
        <v>0</v>
      </c>
      <c r="DC157" s="940">
        <f t="shared" si="140"/>
        <v>0</v>
      </c>
      <c r="DD157" s="940">
        <f t="shared" si="140"/>
        <v>0</v>
      </c>
      <c r="DE157" s="940">
        <f t="shared" si="140"/>
        <v>0</v>
      </c>
      <c r="DF157" s="940">
        <f t="shared" si="140"/>
        <v>0</v>
      </c>
      <c r="DG157" s="940">
        <f t="shared" si="140"/>
        <v>0</v>
      </c>
      <c r="DH157" s="940">
        <f t="shared" ref="DH157:EV157" si="142">CEILING($D$150*DH156*$F$2*$F$3, 50)</f>
        <v>0</v>
      </c>
      <c r="DI157" s="940">
        <f t="shared" si="142"/>
        <v>0</v>
      </c>
      <c r="DJ157" s="940">
        <f t="shared" si="142"/>
        <v>0</v>
      </c>
      <c r="DK157" s="940">
        <f t="shared" si="142"/>
        <v>0</v>
      </c>
      <c r="DL157" s="940">
        <f t="shared" si="142"/>
        <v>0</v>
      </c>
      <c r="DM157" s="940">
        <f t="shared" si="142"/>
        <v>0</v>
      </c>
      <c r="DN157" s="940">
        <f t="shared" si="142"/>
        <v>0</v>
      </c>
      <c r="DO157" s="940">
        <f t="shared" si="142"/>
        <v>0</v>
      </c>
      <c r="DP157" s="940">
        <f t="shared" si="142"/>
        <v>0</v>
      </c>
      <c r="DQ157" s="940">
        <f t="shared" si="142"/>
        <v>0</v>
      </c>
      <c r="DR157" s="940">
        <f t="shared" si="142"/>
        <v>0</v>
      </c>
      <c r="DS157" s="940">
        <f t="shared" si="142"/>
        <v>0</v>
      </c>
      <c r="DT157" s="940">
        <f t="shared" si="142"/>
        <v>0</v>
      </c>
      <c r="DU157" s="940">
        <f t="shared" si="142"/>
        <v>0</v>
      </c>
      <c r="DV157" s="940">
        <f t="shared" si="142"/>
        <v>0</v>
      </c>
      <c r="DW157" s="940">
        <f t="shared" si="142"/>
        <v>0</v>
      </c>
      <c r="DX157" s="940">
        <f t="shared" si="142"/>
        <v>0</v>
      </c>
      <c r="DY157" s="940">
        <f t="shared" si="142"/>
        <v>0</v>
      </c>
      <c r="DZ157" s="940">
        <f t="shared" si="142"/>
        <v>0</v>
      </c>
      <c r="EA157" s="940">
        <f t="shared" si="142"/>
        <v>0</v>
      </c>
      <c r="EB157" s="940">
        <f t="shared" si="142"/>
        <v>0</v>
      </c>
      <c r="EC157" s="940">
        <f t="shared" si="142"/>
        <v>0</v>
      </c>
      <c r="ED157" s="940">
        <f t="shared" si="142"/>
        <v>0</v>
      </c>
      <c r="EE157" s="940">
        <f t="shared" si="142"/>
        <v>0</v>
      </c>
      <c r="EF157" s="940">
        <f t="shared" si="142"/>
        <v>0</v>
      </c>
      <c r="EG157" s="940">
        <f t="shared" si="142"/>
        <v>0</v>
      </c>
      <c r="EH157" s="940">
        <f t="shared" si="142"/>
        <v>0</v>
      </c>
      <c r="EI157" s="940">
        <f t="shared" si="142"/>
        <v>0</v>
      </c>
      <c r="EJ157" s="940">
        <f t="shared" si="142"/>
        <v>0</v>
      </c>
      <c r="EK157" s="940">
        <f t="shared" si="142"/>
        <v>0</v>
      </c>
      <c r="EL157" s="940">
        <f t="shared" si="142"/>
        <v>0</v>
      </c>
      <c r="EM157" s="940">
        <f t="shared" si="142"/>
        <v>1650</v>
      </c>
      <c r="EN157" s="2714">
        <f t="shared" si="142"/>
        <v>1650</v>
      </c>
      <c r="EO157" s="2714">
        <f t="shared" si="142"/>
        <v>1650</v>
      </c>
      <c r="EP157" s="2714">
        <f t="shared" si="142"/>
        <v>1650</v>
      </c>
      <c r="EQ157" s="2714">
        <f t="shared" si="142"/>
        <v>1650</v>
      </c>
      <c r="ER157" s="2714">
        <f t="shared" si="142"/>
        <v>1650</v>
      </c>
      <c r="ES157" s="2714">
        <f t="shared" si="142"/>
        <v>0</v>
      </c>
      <c r="ET157" s="2714">
        <f t="shared" si="142"/>
        <v>1650</v>
      </c>
      <c r="EU157" s="2714">
        <f t="shared" si="142"/>
        <v>1650</v>
      </c>
      <c r="EV157" s="2714">
        <f t="shared" si="142"/>
        <v>0</v>
      </c>
      <c r="EW157" s="813"/>
    </row>
    <row r="158" spans="1:153" s="242" customFormat="1" ht="15.75" hidden="1" outlineLevel="2">
      <c r="G158" s="894"/>
      <c r="H158" s="894"/>
      <c r="I158" s="894"/>
      <c r="J158" s="894"/>
      <c r="K158" s="894"/>
      <c r="L158" s="894"/>
      <c r="M158" s="894"/>
      <c r="N158" s="894"/>
      <c r="O158" s="550"/>
      <c r="P158" s="550"/>
      <c r="Q158" s="550"/>
      <c r="R158" s="550"/>
      <c r="S158" s="550"/>
      <c r="T158" s="550"/>
      <c r="U158" s="550"/>
      <c r="V158" s="550"/>
      <c r="W158" s="550"/>
      <c r="X158" s="550"/>
      <c r="Y158" s="550"/>
      <c r="Z158" s="550"/>
      <c r="AA158" s="550"/>
      <c r="AB158" s="550"/>
      <c r="AC158" s="550"/>
      <c r="AD158" s="550"/>
      <c r="AE158" s="550"/>
      <c r="AF158" s="550"/>
      <c r="AG158" s="550"/>
      <c r="AH158" s="550"/>
      <c r="AI158" s="550"/>
      <c r="AJ158" s="550"/>
      <c r="AK158" s="550"/>
      <c r="AL158" s="550"/>
      <c r="AM158" s="550"/>
      <c r="AN158" s="550"/>
      <c r="AO158" s="550"/>
      <c r="AP158" s="550"/>
      <c r="AQ158" s="550"/>
      <c r="AR158" s="550"/>
      <c r="AS158" s="550"/>
      <c r="AT158" s="550"/>
      <c r="AU158" s="550"/>
      <c r="AV158" s="550"/>
      <c r="AW158" s="550"/>
      <c r="AX158" s="550"/>
      <c r="AY158" s="550"/>
      <c r="AZ158" s="550"/>
      <c r="BA158" s="550"/>
      <c r="BB158" s="550"/>
      <c r="BC158" s="550"/>
      <c r="BD158" s="550"/>
      <c r="BE158" s="550"/>
      <c r="BF158" s="550"/>
      <c r="BG158" s="550"/>
      <c r="BH158" s="550"/>
      <c r="BI158" s="550"/>
      <c r="BJ158" s="550"/>
      <c r="BK158" s="550"/>
      <c r="BL158" s="550"/>
      <c r="BM158" s="550"/>
      <c r="BN158" s="550"/>
      <c r="BO158" s="550"/>
      <c r="BP158" s="550"/>
      <c r="BQ158" s="550"/>
      <c r="BR158" s="550"/>
      <c r="BS158" s="550"/>
      <c r="BT158" s="550"/>
      <c r="BU158" s="550"/>
      <c r="BV158" s="550"/>
      <c r="BW158" s="550"/>
      <c r="BX158" s="550"/>
      <c r="BY158" s="550"/>
      <c r="BZ158" s="550"/>
      <c r="CA158" s="550"/>
      <c r="CB158" s="550"/>
      <c r="CC158" s="550"/>
      <c r="CD158" s="550"/>
      <c r="CE158" s="550"/>
      <c r="CF158" s="550"/>
      <c r="CG158" s="550"/>
      <c r="CH158" s="550"/>
      <c r="CI158" s="550"/>
      <c r="CJ158" s="550"/>
      <c r="CK158" s="550"/>
      <c r="CL158" s="550"/>
      <c r="CM158" s="550"/>
      <c r="CN158" s="550"/>
      <c r="CO158" s="550"/>
      <c r="CP158" s="550"/>
      <c r="CQ158" s="550"/>
      <c r="CR158" s="550"/>
      <c r="CS158" s="550"/>
      <c r="CT158" s="550"/>
      <c r="CU158" s="550"/>
      <c r="CV158" s="550"/>
      <c r="CW158" s="550"/>
      <c r="CX158" s="550"/>
      <c r="CY158" s="550"/>
      <c r="CZ158" s="980"/>
      <c r="DA158" s="550"/>
      <c r="DB158" s="550"/>
      <c r="DC158" s="550"/>
      <c r="DD158" s="550"/>
      <c r="DE158" s="550"/>
      <c r="DF158" s="550"/>
      <c r="DG158" s="550"/>
      <c r="DH158" s="550"/>
      <c r="DI158" s="550"/>
      <c r="DJ158" s="550"/>
      <c r="DK158" s="550"/>
      <c r="DL158" s="550"/>
      <c r="DM158" s="550"/>
      <c r="DN158" s="550"/>
      <c r="DO158" s="550"/>
      <c r="DP158" s="550"/>
      <c r="DQ158" s="550"/>
      <c r="DR158" s="550"/>
      <c r="DS158" s="550"/>
      <c r="DT158" s="550"/>
      <c r="DU158" s="550"/>
      <c r="DV158" s="550"/>
      <c r="DW158" s="550"/>
      <c r="DX158" s="550"/>
      <c r="DY158" s="550"/>
      <c r="DZ158" s="550"/>
      <c r="EA158" s="550"/>
      <c r="EB158" s="550"/>
      <c r="EC158" s="550"/>
      <c r="ED158" s="550"/>
      <c r="EE158" s="550"/>
      <c r="EF158" s="550"/>
      <c r="EG158" s="550"/>
      <c r="EH158" s="550"/>
      <c r="EI158" s="550"/>
      <c r="EJ158" s="550"/>
      <c r="EK158" s="550"/>
      <c r="EL158" s="550"/>
      <c r="EM158" s="550"/>
      <c r="EN158" s="2704"/>
      <c r="EO158" s="2704"/>
      <c r="EP158" s="2704"/>
      <c r="EQ158" s="2704"/>
      <c r="ER158" s="2704"/>
      <c r="ES158" s="2704"/>
      <c r="ET158" s="2704"/>
      <c r="EU158" s="2704"/>
      <c r="EV158" s="2704"/>
      <c r="EW158" s="441"/>
    </row>
    <row r="159" spans="1:153" s="897" customFormat="1" ht="15" hidden="1" customHeight="1" outlineLevel="1">
      <c r="A159" s="895" t="s">
        <v>1310</v>
      </c>
      <c r="B159" s="5231" t="s">
        <v>1305</v>
      </c>
      <c r="C159" s="5232"/>
      <c r="D159" s="947"/>
      <c r="E159" s="898"/>
      <c r="F159" s="898"/>
      <c r="G159" s="898"/>
      <c r="H159" s="898"/>
      <c r="I159" s="898"/>
      <c r="J159" s="898"/>
      <c r="K159" s="898"/>
      <c r="L159" s="898"/>
      <c r="M159" s="898"/>
      <c r="N159" s="898"/>
      <c r="O159" s="242"/>
      <c r="P159" s="242"/>
      <c r="Q159" s="242"/>
      <c r="R159" s="242"/>
      <c r="S159" s="242"/>
      <c r="T159" s="242"/>
      <c r="U159" s="242"/>
      <c r="V159" s="242"/>
      <c r="W159" s="242"/>
      <c r="X159" s="242"/>
      <c r="Y159" s="242"/>
      <c r="Z159" s="242"/>
      <c r="AA159" s="242"/>
      <c r="AB159" s="242"/>
      <c r="AC159" s="242"/>
      <c r="AD159" s="242"/>
      <c r="AE159" s="242"/>
      <c r="AF159" s="242"/>
      <c r="AG159" s="242"/>
      <c r="AH159" s="242"/>
      <c r="AI159" s="242"/>
      <c r="AJ159" s="242"/>
      <c r="AL159" s="242"/>
      <c r="AM159" s="242"/>
      <c r="AN159" s="242"/>
      <c r="AO159" s="242"/>
      <c r="AP159" s="242"/>
      <c r="AQ159" s="242"/>
      <c r="AR159" s="242"/>
      <c r="AS159" s="242"/>
      <c r="AT159" s="242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441"/>
      <c r="EO159" s="441"/>
      <c r="EP159" s="441"/>
      <c r="EQ159" s="441"/>
      <c r="ER159" s="441"/>
      <c r="ES159" s="441"/>
      <c r="ET159" s="441"/>
      <c r="EU159" s="441"/>
      <c r="EV159" s="441"/>
      <c r="EW159" s="15"/>
    </row>
    <row r="160" spans="1:153" s="925" customFormat="1" hidden="1" outlineLevel="2">
      <c r="A160" s="995" t="s">
        <v>1308</v>
      </c>
      <c r="B160" s="955">
        <v>44652</v>
      </c>
      <c r="C160" s="955">
        <v>44487</v>
      </c>
      <c r="D160" s="955">
        <v>43647</v>
      </c>
      <c r="E160" s="947"/>
      <c r="F160" s="947"/>
    </row>
    <row r="161" spans="1:153" hidden="1" outlineLevel="2">
      <c r="A161" s="985" t="s">
        <v>222</v>
      </c>
      <c r="B161" s="996">
        <f>CEILING(C161*1.1, 50)</f>
        <v>350</v>
      </c>
      <c r="C161" s="996">
        <f>D161*1.15</f>
        <v>287.5</v>
      </c>
      <c r="D161" s="996">
        <v>250</v>
      </c>
      <c r="E161" s="589"/>
      <c r="F161" s="589"/>
      <c r="G161" s="589"/>
      <c r="H161" s="589"/>
      <c r="I161" s="589"/>
      <c r="J161" s="589"/>
      <c r="K161" s="589"/>
      <c r="L161" s="589"/>
      <c r="M161" s="589"/>
      <c r="N161" s="589"/>
      <c r="O161" s="589"/>
      <c r="P161" s="589"/>
      <c r="Q161" s="589"/>
      <c r="R161" s="589"/>
      <c r="S161" s="589"/>
      <c r="T161" s="589"/>
      <c r="U161" s="589"/>
      <c r="V161" s="589"/>
      <c r="W161" s="589"/>
      <c r="X161" s="589"/>
      <c r="Y161" s="589"/>
      <c r="Z161" s="589"/>
      <c r="AA161" s="589"/>
      <c r="AB161" s="589"/>
      <c r="AC161" s="589"/>
      <c r="AD161" s="589"/>
      <c r="AE161" s="589"/>
      <c r="AF161" s="589"/>
      <c r="AG161" s="589"/>
      <c r="AH161" s="589"/>
      <c r="AI161" s="589"/>
      <c r="AJ161" s="589"/>
      <c r="AL161" s="589"/>
      <c r="AM161" s="589"/>
      <c r="AN161" s="589"/>
      <c r="AO161" s="589"/>
      <c r="AP161" s="589"/>
      <c r="AQ161" s="589"/>
      <c r="AR161" s="589"/>
      <c r="AS161" s="589"/>
      <c r="AT161" s="589"/>
      <c r="AU161" s="589"/>
      <c r="AV161" s="589"/>
      <c r="AW161" s="589"/>
      <c r="AX161" s="589"/>
      <c r="AY161" s="589"/>
      <c r="AZ161" s="589"/>
      <c r="BA161" s="589"/>
      <c r="BB161" s="589"/>
      <c r="BC161" s="589"/>
      <c r="BD161" s="589"/>
      <c r="BE161" s="589"/>
      <c r="BF161" s="589"/>
      <c r="BG161" s="589"/>
      <c r="BH161" s="589"/>
      <c r="BI161" s="589"/>
      <c r="BJ161" s="589"/>
      <c r="BK161" s="589"/>
      <c r="BL161" s="589"/>
      <c r="BM161" s="589"/>
      <c r="BN161" s="589"/>
      <c r="BO161" s="589"/>
      <c r="BP161" s="589"/>
      <c r="BQ161" s="589"/>
      <c r="BR161" s="589"/>
      <c r="BS161" s="589"/>
      <c r="BT161" s="589"/>
      <c r="BU161" s="589"/>
      <c r="BV161" s="589"/>
      <c r="BW161" s="589"/>
      <c r="BX161" s="589"/>
      <c r="BY161" s="589"/>
      <c r="BZ161" s="589"/>
      <c r="CA161" s="589"/>
      <c r="CB161" s="589"/>
      <c r="CC161" s="589"/>
      <c r="CD161" s="589"/>
      <c r="CE161" s="589"/>
      <c r="CF161" s="589"/>
      <c r="CG161" s="589"/>
      <c r="CH161" s="589"/>
      <c r="CI161" s="589"/>
      <c r="CJ161" s="589"/>
      <c r="CK161" s="589"/>
      <c r="CL161" s="589"/>
      <c r="CM161" s="589"/>
      <c r="CN161" s="589"/>
      <c r="CO161" s="589"/>
      <c r="CP161" s="589"/>
      <c r="CQ161" s="589"/>
      <c r="CR161" s="589"/>
      <c r="CS161" s="589"/>
      <c r="CT161" s="589"/>
      <c r="CU161" s="589"/>
      <c r="CV161" s="589"/>
      <c r="CW161" s="589"/>
      <c r="CX161" s="589"/>
      <c r="CY161" s="589"/>
      <c r="CZ161" s="589"/>
      <c r="DA161" s="589"/>
      <c r="DB161" s="589"/>
      <c r="DC161" s="589"/>
      <c r="DD161" s="589"/>
      <c r="DE161" s="589"/>
      <c r="DF161" s="589"/>
      <c r="DG161" s="589"/>
      <c r="DH161" s="589"/>
      <c r="DI161" s="589"/>
      <c r="DJ161" s="589"/>
      <c r="DK161" s="589"/>
      <c r="DL161" s="589"/>
      <c r="DM161" s="589"/>
      <c r="DN161" s="589"/>
      <c r="DO161" s="589"/>
      <c r="DP161" s="589"/>
      <c r="DQ161" s="589"/>
      <c r="DR161" s="589"/>
      <c r="DS161" s="589"/>
      <c r="DT161" s="589"/>
      <c r="DU161" s="589"/>
      <c r="DV161" s="589"/>
      <c r="DW161" s="589"/>
      <c r="DX161" s="589"/>
      <c r="DY161" s="589"/>
      <c r="DZ161" s="589"/>
      <c r="EA161" s="589"/>
      <c r="EB161" s="589"/>
      <c r="EC161" s="589"/>
      <c r="ED161" s="589"/>
      <c r="EE161" s="589"/>
      <c r="EF161" s="589"/>
      <c r="EG161" s="589"/>
      <c r="EH161" s="589"/>
      <c r="EI161" s="589"/>
      <c r="EJ161" s="589"/>
      <c r="EK161" s="589"/>
      <c r="EL161" s="589"/>
      <c r="EM161" s="589"/>
      <c r="EN161" s="2597"/>
      <c r="EO161" s="2597"/>
      <c r="EP161" s="2597"/>
      <c r="EQ161" s="2597"/>
      <c r="ER161" s="2597"/>
      <c r="ES161" s="2597"/>
      <c r="ET161" s="2597"/>
      <c r="EU161" s="2597"/>
      <c r="EV161" s="2597"/>
      <c r="EW161" s="2597"/>
    </row>
    <row r="162" spans="1:153" hidden="1" outlineLevel="2">
      <c r="A162" s="985" t="s">
        <v>223</v>
      </c>
      <c r="B162" s="996">
        <f>CEILING(C162*1.1, 50)</f>
        <v>550</v>
      </c>
      <c r="C162" s="996">
        <f>D162*1.15</f>
        <v>494.49999999999994</v>
      </c>
      <c r="D162" s="996">
        <v>430</v>
      </c>
      <c r="E162" s="589"/>
      <c r="F162" s="589"/>
      <c r="G162" s="589"/>
      <c r="H162" s="589"/>
      <c r="I162" s="589"/>
      <c r="J162" s="589"/>
      <c r="K162" s="589"/>
      <c r="L162" s="589"/>
      <c r="M162" s="589"/>
      <c r="N162" s="589"/>
      <c r="O162" s="589"/>
      <c r="P162" s="589"/>
      <c r="Q162" s="589"/>
      <c r="R162" s="589"/>
      <c r="S162" s="589"/>
      <c r="T162" s="589"/>
      <c r="U162" s="589"/>
      <c r="V162" s="589"/>
      <c r="W162" s="589"/>
      <c r="X162" s="589"/>
      <c r="Y162" s="589"/>
      <c r="Z162" s="589"/>
      <c r="AA162" s="589"/>
      <c r="AB162" s="589"/>
      <c r="AC162" s="589"/>
      <c r="AD162" s="589"/>
      <c r="AE162" s="589"/>
      <c r="AF162" s="589"/>
      <c r="AG162" s="589"/>
      <c r="AH162" s="589"/>
      <c r="AI162" s="589"/>
      <c r="AJ162" s="589"/>
      <c r="AL162" s="589"/>
      <c r="AM162" s="589"/>
      <c r="AN162" s="589"/>
      <c r="AO162" s="589"/>
      <c r="AP162" s="589"/>
      <c r="AQ162" s="589"/>
      <c r="AR162" s="589"/>
      <c r="AS162" s="589"/>
      <c r="AT162" s="589"/>
      <c r="AU162" s="589"/>
      <c r="AV162" s="589"/>
      <c r="AW162" s="589"/>
      <c r="AX162" s="589"/>
      <c r="AY162" s="589"/>
      <c r="AZ162" s="589"/>
      <c r="BA162" s="589"/>
      <c r="BB162" s="589"/>
      <c r="BC162" s="589"/>
      <c r="BD162" s="589"/>
      <c r="BE162" s="589"/>
      <c r="BF162" s="589"/>
      <c r="BG162" s="589"/>
      <c r="BH162" s="589"/>
      <c r="BI162" s="589"/>
      <c r="BJ162" s="589"/>
      <c r="BK162" s="589"/>
      <c r="BL162" s="589"/>
      <c r="BM162" s="589"/>
      <c r="BN162" s="589"/>
      <c r="BO162" s="589"/>
      <c r="BP162" s="589"/>
      <c r="BQ162" s="589"/>
      <c r="BR162" s="589"/>
      <c r="BS162" s="589"/>
      <c r="BT162" s="589"/>
      <c r="BU162" s="589"/>
      <c r="BV162" s="589"/>
      <c r="BW162" s="589"/>
      <c r="BX162" s="589"/>
      <c r="BY162" s="589"/>
      <c r="BZ162" s="589"/>
      <c r="CA162" s="589"/>
      <c r="CB162" s="589"/>
      <c r="CC162" s="589"/>
      <c r="CD162" s="589"/>
      <c r="CE162" s="589"/>
      <c r="CF162" s="589"/>
      <c r="CG162" s="589"/>
      <c r="CH162" s="589"/>
      <c r="CI162" s="589"/>
      <c r="CJ162" s="589"/>
      <c r="CK162" s="589"/>
      <c r="CL162" s="589"/>
      <c r="CM162" s="589"/>
      <c r="CN162" s="589"/>
      <c r="CO162" s="589"/>
      <c r="CP162" s="589"/>
      <c r="CQ162" s="589"/>
      <c r="CR162" s="589"/>
      <c r="CS162" s="589"/>
      <c r="CT162" s="589"/>
      <c r="CU162" s="589"/>
      <c r="CV162" s="589"/>
      <c r="CW162" s="589"/>
      <c r="CX162" s="589"/>
      <c r="CY162" s="589"/>
      <c r="CZ162" s="589"/>
      <c r="DA162" s="589"/>
      <c r="DB162" s="589"/>
      <c r="DC162" s="589"/>
      <c r="DD162" s="589"/>
      <c r="DE162" s="589"/>
      <c r="DF162" s="589"/>
      <c r="DG162" s="589"/>
      <c r="DH162" s="589"/>
      <c r="DI162" s="589"/>
      <c r="DJ162" s="589"/>
      <c r="DK162" s="589"/>
      <c r="DL162" s="589"/>
      <c r="DM162" s="589"/>
      <c r="DN162" s="589"/>
      <c r="DO162" s="589"/>
      <c r="DP162" s="589"/>
      <c r="DQ162" s="589"/>
      <c r="DR162" s="589"/>
      <c r="DS162" s="589"/>
      <c r="DT162" s="589"/>
      <c r="DU162" s="589"/>
      <c r="DV162" s="589"/>
      <c r="DW162" s="589"/>
      <c r="DX162" s="589"/>
      <c r="DY162" s="589"/>
      <c r="DZ162" s="589"/>
      <c r="EA162" s="589"/>
      <c r="EB162" s="589"/>
      <c r="EC162" s="589"/>
      <c r="ED162" s="589"/>
      <c r="EE162" s="589"/>
      <c r="EF162" s="589"/>
      <c r="EG162" s="589"/>
      <c r="EH162" s="589"/>
      <c r="EI162" s="589"/>
      <c r="EJ162" s="589"/>
      <c r="EK162" s="589"/>
      <c r="EL162" s="589"/>
      <c r="EM162" s="589"/>
      <c r="EN162" s="2597"/>
      <c r="EO162" s="2597"/>
      <c r="EP162" s="2597"/>
      <c r="EQ162" s="2597"/>
      <c r="ER162" s="2597"/>
      <c r="ES162" s="2597"/>
      <c r="ET162" s="2597"/>
      <c r="EU162" s="2597"/>
      <c r="EV162" s="2597"/>
      <c r="EW162" s="2597"/>
    </row>
    <row r="163" spans="1:153" s="813" customFormat="1" ht="15.75" hidden="1" outlineLevel="2">
      <c r="A163" s="943" t="s">
        <v>1262</v>
      </c>
      <c r="B163" s="819"/>
      <c r="C163" s="819"/>
      <c r="D163" s="951"/>
      <c r="E163" s="951"/>
      <c r="F163" s="819"/>
      <c r="G163" s="551">
        <v>1</v>
      </c>
      <c r="H163" s="551">
        <v>1</v>
      </c>
      <c r="I163" s="551">
        <v>1</v>
      </c>
      <c r="J163" s="551">
        <v>1</v>
      </c>
      <c r="K163" s="551">
        <v>1</v>
      </c>
      <c r="L163" s="551">
        <v>1</v>
      </c>
      <c r="M163" s="551">
        <v>1</v>
      </c>
      <c r="N163" s="551">
        <v>1</v>
      </c>
      <c r="O163" s="551">
        <f t="shared" ref="O163:W163" si="143">IF(O165,1,0)</f>
        <v>0</v>
      </c>
      <c r="P163" s="551">
        <f t="shared" si="143"/>
        <v>0</v>
      </c>
      <c r="Q163" s="551">
        <f t="shared" si="143"/>
        <v>0</v>
      </c>
      <c r="R163" s="551">
        <v>1</v>
      </c>
      <c r="S163" s="551">
        <v>1</v>
      </c>
      <c r="T163" s="551">
        <v>1</v>
      </c>
      <c r="U163" s="551">
        <f t="shared" si="143"/>
        <v>0</v>
      </c>
      <c r="V163" s="551">
        <f t="shared" si="143"/>
        <v>0</v>
      </c>
      <c r="W163" s="551">
        <f t="shared" si="143"/>
        <v>0</v>
      </c>
      <c r="X163" s="551">
        <v>1</v>
      </c>
      <c r="Y163" s="551">
        <v>1</v>
      </c>
      <c r="Z163" s="551">
        <v>1</v>
      </c>
      <c r="AA163" s="551">
        <v>1</v>
      </c>
      <c r="AB163" s="551">
        <v>1</v>
      </c>
      <c r="AC163" s="551">
        <v>1</v>
      </c>
      <c r="AD163" s="551">
        <v>0</v>
      </c>
      <c r="AE163" s="551">
        <v>0</v>
      </c>
      <c r="AF163" s="551">
        <v>1</v>
      </c>
      <c r="AG163" s="551">
        <v>1</v>
      </c>
      <c r="AH163" s="551">
        <v>1</v>
      </c>
      <c r="AI163" s="551">
        <v>1</v>
      </c>
      <c r="AJ163" s="551">
        <v>0</v>
      </c>
      <c r="AK163" s="551">
        <v>0</v>
      </c>
      <c r="AL163" s="551">
        <v>1</v>
      </c>
      <c r="AM163" s="551">
        <v>1</v>
      </c>
      <c r="AN163" s="551">
        <v>1</v>
      </c>
      <c r="AO163" s="551">
        <v>1</v>
      </c>
      <c r="AP163" s="551">
        <v>1</v>
      </c>
      <c r="AQ163" s="551">
        <v>1</v>
      </c>
      <c r="AR163" s="551">
        <v>0</v>
      </c>
      <c r="AS163" s="551">
        <v>0</v>
      </c>
      <c r="AT163" s="551">
        <v>1</v>
      </c>
      <c r="AU163" s="551">
        <v>1</v>
      </c>
      <c r="AV163" s="551">
        <v>1</v>
      </c>
      <c r="AW163" s="551">
        <v>1</v>
      </c>
      <c r="AX163" s="551">
        <v>1</v>
      </c>
      <c r="AY163" s="551">
        <v>1</v>
      </c>
      <c r="AZ163" s="551">
        <v>1</v>
      </c>
      <c r="BA163" s="551">
        <v>0</v>
      </c>
      <c r="BB163" s="551">
        <v>0</v>
      </c>
      <c r="BC163" s="551">
        <v>0</v>
      </c>
      <c r="BD163" s="551">
        <v>1</v>
      </c>
      <c r="BE163" s="551">
        <v>1</v>
      </c>
      <c r="BF163" s="551">
        <v>1</v>
      </c>
      <c r="BG163" s="551">
        <v>1</v>
      </c>
      <c r="BH163" s="551">
        <v>1</v>
      </c>
      <c r="BI163" s="551">
        <v>1</v>
      </c>
      <c r="BJ163" s="551">
        <v>1</v>
      </c>
      <c r="BK163" s="551">
        <v>1</v>
      </c>
      <c r="BL163" s="551">
        <v>1</v>
      </c>
      <c r="BM163" s="551">
        <v>1</v>
      </c>
      <c r="BN163" s="551">
        <v>1</v>
      </c>
      <c r="BO163" s="551">
        <v>1</v>
      </c>
      <c r="BP163" s="551">
        <v>1</v>
      </c>
      <c r="BQ163" s="551">
        <v>1</v>
      </c>
      <c r="BR163" s="907"/>
      <c r="BS163" s="907"/>
      <c r="BT163" s="907"/>
      <c r="BU163" s="907"/>
      <c r="BV163" s="907"/>
      <c r="BW163" s="907"/>
      <c r="BX163" s="907"/>
      <c r="BY163" s="907"/>
      <c r="BZ163" s="907"/>
      <c r="CA163" s="907"/>
      <c r="CB163" s="907"/>
      <c r="CC163" s="907"/>
      <c r="CD163" s="807"/>
      <c r="CE163" s="807"/>
      <c r="CF163" s="807"/>
      <c r="CG163" s="807"/>
      <c r="CH163" s="807"/>
      <c r="CI163" s="807"/>
      <c r="CJ163" s="807"/>
      <c r="CK163" s="807"/>
      <c r="CL163" s="907"/>
      <c r="CM163" s="907"/>
      <c r="CN163" s="907"/>
      <c r="CO163" s="907"/>
      <c r="CP163" s="907"/>
      <c r="CQ163" s="907"/>
      <c r="CR163" s="907"/>
      <c r="CS163" s="907"/>
      <c r="CT163" s="907"/>
      <c r="CU163" s="907"/>
      <c r="CV163" s="907"/>
      <c r="CW163" s="907"/>
      <c r="CX163" s="907"/>
      <c r="CY163" s="907"/>
      <c r="CZ163" s="1089"/>
      <c r="DA163" s="907"/>
      <c r="DB163" s="907"/>
      <c r="DC163" s="907"/>
      <c r="DD163" s="907"/>
      <c r="DE163" s="907"/>
      <c r="DF163" s="807"/>
      <c r="DG163" s="807"/>
      <c r="DH163" s="807"/>
      <c r="DI163" s="807"/>
      <c r="DJ163" s="807"/>
      <c r="DK163" s="807"/>
      <c r="DL163" s="807"/>
      <c r="DM163" s="807"/>
      <c r="DN163" s="807"/>
      <c r="DO163" s="807"/>
      <c r="DP163" s="807"/>
      <c r="DQ163" s="807"/>
      <c r="DR163" s="807"/>
      <c r="DS163" s="807"/>
      <c r="DT163" s="807"/>
      <c r="DU163" s="807"/>
      <c r="DV163" s="807"/>
      <c r="DW163" s="807"/>
      <c r="DX163" s="807"/>
      <c r="DY163" s="807"/>
      <c r="DZ163" s="807"/>
      <c r="EA163" s="907"/>
      <c r="EB163" s="907"/>
      <c r="EC163" s="907"/>
      <c r="ED163" s="907"/>
      <c r="EE163" s="907"/>
      <c r="EF163" s="907"/>
      <c r="EG163" s="907"/>
      <c r="EH163" s="907"/>
      <c r="EI163" s="907"/>
      <c r="EJ163" s="807"/>
      <c r="EK163" s="807"/>
      <c r="EL163" s="907"/>
      <c r="EM163" s="551">
        <v>1</v>
      </c>
      <c r="EN163" s="2708">
        <v>1</v>
      </c>
      <c r="EO163" s="2708">
        <v>1</v>
      </c>
      <c r="EP163" s="2708">
        <v>1</v>
      </c>
      <c r="EQ163" s="2708">
        <v>1</v>
      </c>
      <c r="ER163" s="2708">
        <v>1</v>
      </c>
      <c r="ES163" s="807"/>
      <c r="ET163" s="2708">
        <v>1</v>
      </c>
      <c r="EU163" s="2708">
        <v>1</v>
      </c>
      <c r="EV163" s="807"/>
    </row>
    <row r="164" spans="1:153" s="813" customFormat="1" ht="15.75" hidden="1" outlineLevel="2">
      <c r="A164" s="943" t="s">
        <v>1231</v>
      </c>
      <c r="B164" s="819"/>
      <c r="C164" s="819"/>
      <c r="D164" s="951"/>
      <c r="E164" s="951"/>
      <c r="F164" s="819"/>
      <c r="G164" s="909">
        <v>6</v>
      </c>
      <c r="H164" s="909">
        <v>6</v>
      </c>
      <c r="I164" s="909">
        <v>6</v>
      </c>
      <c r="J164" s="909">
        <v>6</v>
      </c>
      <c r="K164" s="909">
        <v>6</v>
      </c>
      <c r="L164" s="909">
        <v>6</v>
      </c>
      <c r="M164" s="909">
        <v>6</v>
      </c>
      <c r="N164" s="909">
        <v>6</v>
      </c>
      <c r="O164" s="551">
        <v>0</v>
      </c>
      <c r="P164" s="551">
        <v>0</v>
      </c>
      <c r="Q164" s="551">
        <v>0</v>
      </c>
      <c r="R164" s="909" t="s">
        <v>1232</v>
      </c>
      <c r="S164" s="909" t="s">
        <v>1232</v>
      </c>
      <c r="T164" s="909" t="s">
        <v>1232</v>
      </c>
      <c r="U164" s="551">
        <v>0</v>
      </c>
      <c r="V164" s="551">
        <v>0</v>
      </c>
      <c r="W164" s="551">
        <v>0</v>
      </c>
      <c r="X164" s="550" t="s">
        <v>1232</v>
      </c>
      <c r="Y164" s="550" t="s">
        <v>1232</v>
      </c>
      <c r="Z164" s="550" t="s">
        <v>1232</v>
      </c>
      <c r="AA164" s="550" t="s">
        <v>1232</v>
      </c>
      <c r="AB164" s="550" t="s">
        <v>1232</v>
      </c>
      <c r="AC164" s="550" t="s">
        <v>1232</v>
      </c>
      <c r="AD164" s="551">
        <v>0</v>
      </c>
      <c r="AE164" s="551">
        <v>0</v>
      </c>
      <c r="AF164" s="550" t="s">
        <v>1232</v>
      </c>
      <c r="AG164" s="550" t="s">
        <v>1232</v>
      </c>
      <c r="AH164" s="550" t="s">
        <v>1232</v>
      </c>
      <c r="AI164" s="550" t="s">
        <v>1232</v>
      </c>
      <c r="AJ164" s="551">
        <v>0</v>
      </c>
      <c r="AK164" s="551">
        <v>0</v>
      </c>
      <c r="AL164" s="550" t="s">
        <v>1232</v>
      </c>
      <c r="AM164" s="550" t="s">
        <v>1232</v>
      </c>
      <c r="AN164" s="550" t="s">
        <v>1232</v>
      </c>
      <c r="AO164" s="550" t="s">
        <v>1232</v>
      </c>
      <c r="AP164" s="550" t="s">
        <v>1232</v>
      </c>
      <c r="AQ164" s="550" t="s">
        <v>1232</v>
      </c>
      <c r="AR164" s="551">
        <v>0</v>
      </c>
      <c r="AS164" s="551">
        <v>0</v>
      </c>
      <c r="AT164" s="550">
        <v>4</v>
      </c>
      <c r="AU164" s="550">
        <v>4</v>
      </c>
      <c r="AV164" s="550">
        <v>4</v>
      </c>
      <c r="AW164" s="550">
        <v>4</v>
      </c>
      <c r="AX164" s="550">
        <v>4</v>
      </c>
      <c r="AY164" s="550">
        <v>4</v>
      </c>
      <c r="AZ164" s="550">
        <v>4</v>
      </c>
      <c r="BA164" s="551">
        <v>0</v>
      </c>
      <c r="BB164" s="551">
        <v>0</v>
      </c>
      <c r="BC164" s="551">
        <v>0</v>
      </c>
      <c r="BD164" s="550">
        <v>4</v>
      </c>
      <c r="BE164" s="550">
        <v>4</v>
      </c>
      <c r="BF164" s="550">
        <v>4</v>
      </c>
      <c r="BG164" s="550">
        <v>4</v>
      </c>
      <c r="BH164" s="906">
        <v>4</v>
      </c>
      <c r="BI164" s="909">
        <v>6</v>
      </c>
      <c r="BJ164" s="909">
        <v>4</v>
      </c>
      <c r="BK164" s="909">
        <v>4</v>
      </c>
      <c r="BL164" s="909">
        <v>4</v>
      </c>
      <c r="BM164" s="909">
        <v>4</v>
      </c>
      <c r="BN164" s="909">
        <v>4</v>
      </c>
      <c r="BO164" s="909">
        <v>4</v>
      </c>
      <c r="BP164" s="909">
        <v>4</v>
      </c>
      <c r="BQ164" s="909">
        <v>4</v>
      </c>
      <c r="BR164" s="907"/>
      <c r="BS164" s="907"/>
      <c r="BT164" s="907"/>
      <c r="BU164" s="907"/>
      <c r="BV164" s="907"/>
      <c r="BW164" s="907"/>
      <c r="BX164" s="907"/>
      <c r="BY164" s="907"/>
      <c r="BZ164" s="907"/>
      <c r="CA164" s="907"/>
      <c r="CB164" s="907"/>
      <c r="CC164" s="907"/>
      <c r="CD164" s="807"/>
      <c r="CE164" s="807"/>
      <c r="CF164" s="807"/>
      <c r="CG164" s="807"/>
      <c r="CH164" s="807"/>
      <c r="CI164" s="807"/>
      <c r="CJ164" s="807"/>
      <c r="CK164" s="807"/>
      <c r="CL164" s="907"/>
      <c r="CM164" s="907"/>
      <c r="CN164" s="907"/>
      <c r="CO164" s="907"/>
      <c r="CP164" s="907"/>
      <c r="CQ164" s="907"/>
      <c r="CR164" s="907"/>
      <c r="CS164" s="907"/>
      <c r="CT164" s="907"/>
      <c r="CU164" s="907"/>
      <c r="CV164" s="907"/>
      <c r="CW164" s="907"/>
      <c r="CX164" s="907"/>
      <c r="CY164" s="907"/>
      <c r="CZ164" s="1089"/>
      <c r="DA164" s="907"/>
      <c r="DB164" s="907"/>
      <c r="DC164" s="907"/>
      <c r="DD164" s="907"/>
      <c r="DE164" s="907"/>
      <c r="DF164" s="807"/>
      <c r="DG164" s="807"/>
      <c r="DH164" s="807"/>
      <c r="DI164" s="807"/>
      <c r="DJ164" s="807"/>
      <c r="DK164" s="807"/>
      <c r="DL164" s="807"/>
      <c r="DM164" s="807"/>
      <c r="DN164" s="807"/>
      <c r="DO164" s="807"/>
      <c r="DP164" s="807"/>
      <c r="DQ164" s="807"/>
      <c r="DR164" s="807"/>
      <c r="DS164" s="807"/>
      <c r="DT164" s="807"/>
      <c r="DU164" s="807"/>
      <c r="DV164" s="807"/>
      <c r="DW164" s="807"/>
      <c r="DX164" s="807"/>
      <c r="DY164" s="807"/>
      <c r="DZ164" s="807"/>
      <c r="EA164" s="907"/>
      <c r="EB164" s="907"/>
      <c r="EC164" s="907"/>
      <c r="ED164" s="907"/>
      <c r="EE164" s="907"/>
      <c r="EF164" s="907"/>
      <c r="EG164" s="907"/>
      <c r="EH164" s="907"/>
      <c r="EI164" s="907"/>
      <c r="EJ164" s="807"/>
      <c r="EK164" s="807"/>
      <c r="EL164" s="907"/>
      <c r="EM164" s="905">
        <v>4</v>
      </c>
      <c r="EN164" s="909">
        <v>4</v>
      </c>
      <c r="EO164" s="909">
        <v>4</v>
      </c>
      <c r="EP164" s="909">
        <v>4</v>
      </c>
      <c r="EQ164" s="909">
        <v>4</v>
      </c>
      <c r="ER164" s="909">
        <v>4</v>
      </c>
      <c r="ES164" s="807"/>
      <c r="ET164" s="909">
        <v>4</v>
      </c>
      <c r="EU164" s="909">
        <v>4</v>
      </c>
      <c r="EV164" s="807"/>
    </row>
    <row r="165" spans="1:153" s="813" customFormat="1" ht="15.75" hidden="1" outlineLevel="2">
      <c r="A165" s="944" t="s">
        <v>1230</v>
      </c>
      <c r="B165" s="817"/>
      <c r="C165" s="817"/>
      <c r="D165" s="817"/>
      <c r="E165" s="817"/>
      <c r="F165" s="817"/>
      <c r="G165" s="918">
        <f>G156</f>
        <v>0.9</v>
      </c>
      <c r="H165" s="918">
        <f t="shared" ref="H165:BS165" si="144">H156</f>
        <v>0.60000000000000009</v>
      </c>
      <c r="I165" s="918">
        <f t="shared" si="144"/>
        <v>0.6</v>
      </c>
      <c r="J165" s="918">
        <f t="shared" si="144"/>
        <v>0.60000000000000009</v>
      </c>
      <c r="K165" s="918">
        <f t="shared" si="144"/>
        <v>0.6</v>
      </c>
      <c r="L165" s="918">
        <f t="shared" si="144"/>
        <v>0.6</v>
      </c>
      <c r="M165" s="918">
        <f t="shared" si="144"/>
        <v>0.6</v>
      </c>
      <c r="N165" s="918">
        <f t="shared" si="144"/>
        <v>0.6</v>
      </c>
      <c r="O165" s="918">
        <f t="shared" si="144"/>
        <v>0</v>
      </c>
      <c r="P165" s="918">
        <f t="shared" si="144"/>
        <v>0</v>
      </c>
      <c r="Q165" s="918">
        <f t="shared" si="144"/>
        <v>0</v>
      </c>
      <c r="R165" s="918">
        <f t="shared" si="144"/>
        <v>0.9</v>
      </c>
      <c r="S165" s="918">
        <f t="shared" si="144"/>
        <v>0.60000000000000009</v>
      </c>
      <c r="T165" s="918">
        <f t="shared" si="144"/>
        <v>0.60000000000000009</v>
      </c>
      <c r="U165" s="918">
        <f t="shared" si="144"/>
        <v>0</v>
      </c>
      <c r="V165" s="918">
        <f t="shared" si="144"/>
        <v>0</v>
      </c>
      <c r="W165" s="918">
        <f t="shared" si="144"/>
        <v>0</v>
      </c>
      <c r="X165" s="918">
        <f t="shared" si="144"/>
        <v>0.9</v>
      </c>
      <c r="Y165" s="918">
        <f t="shared" si="144"/>
        <v>0.60000000000000009</v>
      </c>
      <c r="Z165" s="918">
        <f t="shared" si="144"/>
        <v>0.60000000000000009</v>
      </c>
      <c r="AA165" s="918">
        <f t="shared" si="144"/>
        <v>0.60000000000000009</v>
      </c>
      <c r="AB165" s="918">
        <f t="shared" si="144"/>
        <v>0.6</v>
      </c>
      <c r="AC165" s="918">
        <f t="shared" si="144"/>
        <v>0.6</v>
      </c>
      <c r="AD165" s="918">
        <f t="shared" si="144"/>
        <v>0</v>
      </c>
      <c r="AE165" s="918">
        <f t="shared" si="144"/>
        <v>0</v>
      </c>
      <c r="AF165" s="918">
        <f t="shared" si="144"/>
        <v>0.9</v>
      </c>
      <c r="AG165" s="918">
        <f t="shared" si="144"/>
        <v>0.60000000000000009</v>
      </c>
      <c r="AH165" s="918">
        <f t="shared" si="144"/>
        <v>0.6</v>
      </c>
      <c r="AI165" s="918">
        <f t="shared" si="144"/>
        <v>0.6</v>
      </c>
      <c r="AJ165" s="918">
        <f t="shared" si="144"/>
        <v>0</v>
      </c>
      <c r="AK165" s="918">
        <f t="shared" si="144"/>
        <v>0</v>
      </c>
      <c r="AL165" s="918">
        <f t="shared" si="144"/>
        <v>0.9</v>
      </c>
      <c r="AM165" s="918">
        <f t="shared" si="144"/>
        <v>0.60000000000000009</v>
      </c>
      <c r="AN165" s="918">
        <f t="shared" si="144"/>
        <v>0.60000000000000009</v>
      </c>
      <c r="AO165" s="918">
        <f t="shared" si="144"/>
        <v>0.60000000000000009</v>
      </c>
      <c r="AP165" s="918">
        <f t="shared" si="144"/>
        <v>0.6</v>
      </c>
      <c r="AQ165" s="918">
        <f t="shared" si="144"/>
        <v>0.6</v>
      </c>
      <c r="AR165" s="918">
        <f t="shared" si="144"/>
        <v>0</v>
      </c>
      <c r="AS165" s="918">
        <f t="shared" si="144"/>
        <v>0</v>
      </c>
      <c r="AT165" s="918">
        <f t="shared" si="144"/>
        <v>0.9</v>
      </c>
      <c r="AU165" s="918">
        <f t="shared" si="144"/>
        <v>0.6</v>
      </c>
      <c r="AV165" s="918">
        <f t="shared" si="144"/>
        <v>0.6</v>
      </c>
      <c r="AW165" s="918">
        <f t="shared" si="144"/>
        <v>0.6</v>
      </c>
      <c r="AX165" s="918">
        <f t="shared" si="144"/>
        <v>0.6</v>
      </c>
      <c r="AY165" s="918">
        <f t="shared" si="144"/>
        <v>0.6</v>
      </c>
      <c r="AZ165" s="918">
        <f t="shared" si="144"/>
        <v>0.6</v>
      </c>
      <c r="BA165" s="918">
        <f t="shared" si="144"/>
        <v>0</v>
      </c>
      <c r="BB165" s="918">
        <f t="shared" si="144"/>
        <v>0</v>
      </c>
      <c r="BC165" s="918">
        <f t="shared" si="144"/>
        <v>0</v>
      </c>
      <c r="BD165" s="918">
        <f t="shared" si="144"/>
        <v>0.6</v>
      </c>
      <c r="BE165" s="918">
        <f t="shared" si="144"/>
        <v>0.6</v>
      </c>
      <c r="BF165" s="918">
        <f t="shared" si="144"/>
        <v>0.6</v>
      </c>
      <c r="BG165" s="918">
        <f t="shared" si="144"/>
        <v>0.6</v>
      </c>
      <c r="BH165" s="918">
        <f t="shared" si="144"/>
        <v>0.9</v>
      </c>
      <c r="BI165" s="918">
        <f t="shared" si="144"/>
        <v>0.9</v>
      </c>
      <c r="BJ165" s="918">
        <f t="shared" si="144"/>
        <v>0.8</v>
      </c>
      <c r="BK165" s="918">
        <f t="shared" si="144"/>
        <v>0.6</v>
      </c>
      <c r="BL165" s="918">
        <f t="shared" si="144"/>
        <v>0.6</v>
      </c>
      <c r="BM165" s="918">
        <f t="shared" si="144"/>
        <v>0.6</v>
      </c>
      <c r="BN165" s="918">
        <f t="shared" si="144"/>
        <v>1</v>
      </c>
      <c r="BO165" s="918">
        <f t="shared" si="144"/>
        <v>0.60000000000000009</v>
      </c>
      <c r="BP165" s="918">
        <f t="shared" si="144"/>
        <v>0.6</v>
      </c>
      <c r="BQ165" s="918">
        <f t="shared" si="144"/>
        <v>0.6</v>
      </c>
      <c r="BR165" s="918">
        <f t="shared" si="144"/>
        <v>0</v>
      </c>
      <c r="BS165" s="918">
        <f t="shared" si="144"/>
        <v>0</v>
      </c>
      <c r="BT165" s="918">
        <f t="shared" ref="BT165:EE165" si="145">BT156</f>
        <v>0.9</v>
      </c>
      <c r="BU165" s="918">
        <f t="shared" si="145"/>
        <v>0.6</v>
      </c>
      <c r="BV165" s="918">
        <f t="shared" si="145"/>
        <v>0</v>
      </c>
      <c r="BW165" s="918">
        <f t="shared" si="145"/>
        <v>0.6</v>
      </c>
      <c r="BX165" s="918">
        <f t="shared" si="145"/>
        <v>0</v>
      </c>
      <c r="BY165" s="918">
        <f t="shared" si="145"/>
        <v>0</v>
      </c>
      <c r="BZ165" s="918">
        <f t="shared" si="145"/>
        <v>0</v>
      </c>
      <c r="CA165" s="918">
        <f t="shared" si="145"/>
        <v>0</v>
      </c>
      <c r="CB165" s="918">
        <f t="shared" si="145"/>
        <v>0</v>
      </c>
      <c r="CC165" s="918">
        <f t="shared" si="145"/>
        <v>0</v>
      </c>
      <c r="CD165" s="918">
        <f t="shared" si="145"/>
        <v>0</v>
      </c>
      <c r="CE165" s="918">
        <f t="shared" si="145"/>
        <v>0</v>
      </c>
      <c r="CF165" s="918">
        <f t="shared" si="145"/>
        <v>1</v>
      </c>
      <c r="CG165" s="918">
        <f t="shared" si="145"/>
        <v>1</v>
      </c>
      <c r="CH165" s="918">
        <f t="shared" si="145"/>
        <v>0.4</v>
      </c>
      <c r="CI165" s="918">
        <f t="shared" si="145"/>
        <v>0</v>
      </c>
      <c r="CJ165" s="918">
        <f t="shared" si="145"/>
        <v>1</v>
      </c>
      <c r="CK165" s="918">
        <f t="shared" si="145"/>
        <v>0.4</v>
      </c>
      <c r="CL165" s="918">
        <f t="shared" si="145"/>
        <v>0</v>
      </c>
      <c r="CM165" s="918">
        <f t="shared" si="145"/>
        <v>0</v>
      </c>
      <c r="CN165" s="918">
        <f t="shared" si="145"/>
        <v>0</v>
      </c>
      <c r="CO165" s="918">
        <f t="shared" si="145"/>
        <v>0</v>
      </c>
      <c r="CP165" s="918">
        <f t="shared" si="145"/>
        <v>0</v>
      </c>
      <c r="CQ165" s="918">
        <f t="shared" si="145"/>
        <v>0</v>
      </c>
      <c r="CR165" s="918">
        <f t="shared" si="145"/>
        <v>0</v>
      </c>
      <c r="CS165" s="918">
        <f t="shared" si="145"/>
        <v>0</v>
      </c>
      <c r="CT165" s="918">
        <f t="shared" si="145"/>
        <v>0</v>
      </c>
      <c r="CU165" s="918">
        <f t="shared" si="145"/>
        <v>0</v>
      </c>
      <c r="CV165" s="918">
        <f t="shared" si="145"/>
        <v>0</v>
      </c>
      <c r="CW165" s="918">
        <f t="shared" si="145"/>
        <v>0</v>
      </c>
      <c r="CX165" s="918">
        <f t="shared" si="145"/>
        <v>0</v>
      </c>
      <c r="CY165" s="918">
        <f t="shared" si="145"/>
        <v>0</v>
      </c>
      <c r="CZ165" s="918">
        <f t="shared" si="145"/>
        <v>0</v>
      </c>
      <c r="DA165" s="918">
        <f t="shared" si="145"/>
        <v>0</v>
      </c>
      <c r="DB165" s="918">
        <f t="shared" si="145"/>
        <v>0</v>
      </c>
      <c r="DC165" s="918">
        <f t="shared" si="145"/>
        <v>0</v>
      </c>
      <c r="DD165" s="918">
        <f t="shared" si="145"/>
        <v>0</v>
      </c>
      <c r="DE165" s="918">
        <f t="shared" si="145"/>
        <v>0</v>
      </c>
      <c r="DF165" s="918">
        <f t="shared" si="145"/>
        <v>0</v>
      </c>
      <c r="DG165" s="918">
        <f t="shared" si="145"/>
        <v>0</v>
      </c>
      <c r="DH165" s="918">
        <f t="shared" si="145"/>
        <v>0</v>
      </c>
      <c r="DI165" s="918">
        <f t="shared" si="145"/>
        <v>0</v>
      </c>
      <c r="DJ165" s="918">
        <f t="shared" si="145"/>
        <v>0</v>
      </c>
      <c r="DK165" s="918">
        <f t="shared" si="145"/>
        <v>0</v>
      </c>
      <c r="DL165" s="918">
        <f t="shared" si="145"/>
        <v>0</v>
      </c>
      <c r="DM165" s="918">
        <f t="shared" si="145"/>
        <v>0</v>
      </c>
      <c r="DN165" s="918">
        <f t="shared" si="145"/>
        <v>0</v>
      </c>
      <c r="DO165" s="918">
        <f t="shared" si="145"/>
        <v>0</v>
      </c>
      <c r="DP165" s="918">
        <f t="shared" si="145"/>
        <v>0</v>
      </c>
      <c r="DQ165" s="918">
        <f t="shared" si="145"/>
        <v>0</v>
      </c>
      <c r="DR165" s="918">
        <f t="shared" si="145"/>
        <v>0</v>
      </c>
      <c r="DS165" s="918">
        <f t="shared" si="145"/>
        <v>0</v>
      </c>
      <c r="DT165" s="918">
        <f t="shared" si="145"/>
        <v>0</v>
      </c>
      <c r="DU165" s="918">
        <f t="shared" si="145"/>
        <v>0</v>
      </c>
      <c r="DV165" s="918">
        <f t="shared" si="145"/>
        <v>0</v>
      </c>
      <c r="DW165" s="918">
        <f t="shared" si="145"/>
        <v>0</v>
      </c>
      <c r="DX165" s="918">
        <f t="shared" si="145"/>
        <v>0</v>
      </c>
      <c r="DY165" s="918">
        <f t="shared" si="145"/>
        <v>0</v>
      </c>
      <c r="DZ165" s="918">
        <f t="shared" si="145"/>
        <v>0</v>
      </c>
      <c r="EA165" s="918">
        <f t="shared" si="145"/>
        <v>0</v>
      </c>
      <c r="EB165" s="918">
        <f t="shared" si="145"/>
        <v>0</v>
      </c>
      <c r="EC165" s="918">
        <f t="shared" si="145"/>
        <v>0</v>
      </c>
      <c r="ED165" s="918">
        <f t="shared" si="145"/>
        <v>0</v>
      </c>
      <c r="EE165" s="918">
        <f t="shared" si="145"/>
        <v>0</v>
      </c>
      <c r="EF165" s="918">
        <f t="shared" ref="EF165:EV165" si="146">EF156</f>
        <v>0</v>
      </c>
      <c r="EG165" s="918">
        <f t="shared" si="146"/>
        <v>0</v>
      </c>
      <c r="EH165" s="918">
        <f t="shared" si="146"/>
        <v>0</v>
      </c>
      <c r="EI165" s="918">
        <f t="shared" si="146"/>
        <v>0</v>
      </c>
      <c r="EJ165" s="918">
        <f t="shared" si="146"/>
        <v>0</v>
      </c>
      <c r="EK165" s="918">
        <f t="shared" si="146"/>
        <v>0</v>
      </c>
      <c r="EL165" s="918">
        <f t="shared" si="146"/>
        <v>0</v>
      </c>
      <c r="EM165" s="918">
        <f t="shared" si="146"/>
        <v>0.9</v>
      </c>
      <c r="EN165" s="2707">
        <f t="shared" si="146"/>
        <v>0.9</v>
      </c>
      <c r="EO165" s="2707">
        <f t="shared" si="146"/>
        <v>0.9</v>
      </c>
      <c r="EP165" s="2707">
        <f t="shared" si="146"/>
        <v>0.9</v>
      </c>
      <c r="EQ165" s="2707">
        <f t="shared" si="146"/>
        <v>0.9</v>
      </c>
      <c r="ER165" s="2707">
        <f t="shared" si="146"/>
        <v>0.9</v>
      </c>
      <c r="ES165" s="2707">
        <f t="shared" si="146"/>
        <v>0</v>
      </c>
      <c r="ET165" s="2707">
        <f t="shared" si="146"/>
        <v>0.9</v>
      </c>
      <c r="EU165" s="2707">
        <f t="shared" si="146"/>
        <v>0.9</v>
      </c>
      <c r="EV165" s="2707">
        <f t="shared" si="146"/>
        <v>0</v>
      </c>
    </row>
    <row r="166" spans="1:153" s="939" customFormat="1" ht="23.25" hidden="1" customHeight="1" outlineLevel="2">
      <c r="A166" s="5276" t="s">
        <v>363</v>
      </c>
      <c r="B166" s="5276"/>
      <c r="C166" s="5276" t="s">
        <v>485</v>
      </c>
      <c r="D166" s="5276"/>
      <c r="E166" s="5276"/>
      <c r="F166" s="5276"/>
      <c r="G166" s="940">
        <f>CEILING($B$162*G165*$F$2*$F$3, 50)</f>
        <v>1150</v>
      </c>
      <c r="H166" s="940">
        <f t="shared" ref="H166:N166" si="147">CEILING($B$162*H165*$F$2*$F$3, 50)</f>
        <v>800</v>
      </c>
      <c r="I166" s="940">
        <f t="shared" si="147"/>
        <v>800</v>
      </c>
      <c r="J166" s="940">
        <f t="shared" si="147"/>
        <v>800</v>
      </c>
      <c r="K166" s="940">
        <f t="shared" si="147"/>
        <v>800</v>
      </c>
      <c r="L166" s="940">
        <f t="shared" si="147"/>
        <v>800</v>
      </c>
      <c r="M166" s="940">
        <f t="shared" si="147"/>
        <v>800</v>
      </c>
      <c r="N166" s="940">
        <f t="shared" si="147"/>
        <v>800</v>
      </c>
      <c r="O166" s="940">
        <f t="shared" ref="O166:AS166" si="148">CEILING($B$161*2*O165*$F$2*$F$3, 50)</f>
        <v>0</v>
      </c>
      <c r="P166" s="940">
        <f t="shared" si="148"/>
        <v>0</v>
      </c>
      <c r="Q166" s="940">
        <f t="shared" si="148"/>
        <v>0</v>
      </c>
      <c r="R166" s="940">
        <f>CEILING($B$161*2*R165*$F$2*$F$3, 50)</f>
        <v>1450</v>
      </c>
      <c r="S166" s="940">
        <f>CEILING($B$161*2*S165*$F$2*$F$3, 50)</f>
        <v>1000</v>
      </c>
      <c r="T166" s="940">
        <f>CEILING($B$161*2*T165*$F$2*$F$3, 50)</f>
        <v>1000</v>
      </c>
      <c r="U166" s="940">
        <f t="shared" si="148"/>
        <v>0</v>
      </c>
      <c r="V166" s="940">
        <f t="shared" si="148"/>
        <v>0</v>
      </c>
      <c r="W166" s="940">
        <f t="shared" si="148"/>
        <v>0</v>
      </c>
      <c r="X166" s="940">
        <f t="shared" si="148"/>
        <v>1450</v>
      </c>
      <c r="Y166" s="940">
        <f t="shared" si="148"/>
        <v>1000</v>
      </c>
      <c r="Z166" s="940">
        <f t="shared" si="148"/>
        <v>1000</v>
      </c>
      <c r="AA166" s="940">
        <f t="shared" si="148"/>
        <v>1000</v>
      </c>
      <c r="AB166" s="940">
        <f t="shared" si="148"/>
        <v>1000</v>
      </c>
      <c r="AC166" s="940">
        <f t="shared" si="148"/>
        <v>1000</v>
      </c>
      <c r="AD166" s="940">
        <f t="shared" si="148"/>
        <v>0</v>
      </c>
      <c r="AE166" s="940">
        <f t="shared" si="148"/>
        <v>0</v>
      </c>
      <c r="AF166" s="940">
        <f t="shared" si="148"/>
        <v>1450</v>
      </c>
      <c r="AG166" s="940">
        <f t="shared" si="148"/>
        <v>1000</v>
      </c>
      <c r="AH166" s="940">
        <f t="shared" si="148"/>
        <v>1000</v>
      </c>
      <c r="AI166" s="940">
        <f t="shared" si="148"/>
        <v>1000</v>
      </c>
      <c r="AJ166" s="940">
        <f t="shared" si="148"/>
        <v>0</v>
      </c>
      <c r="AK166" s="940">
        <f t="shared" si="148"/>
        <v>0</v>
      </c>
      <c r="AL166" s="940">
        <f t="shared" si="148"/>
        <v>1450</v>
      </c>
      <c r="AM166" s="940">
        <f t="shared" si="148"/>
        <v>1000</v>
      </c>
      <c r="AN166" s="940">
        <f t="shared" si="148"/>
        <v>1000</v>
      </c>
      <c r="AO166" s="940">
        <f t="shared" si="148"/>
        <v>1000</v>
      </c>
      <c r="AP166" s="940">
        <f t="shared" si="148"/>
        <v>1000</v>
      </c>
      <c r="AQ166" s="940">
        <f t="shared" si="148"/>
        <v>1000</v>
      </c>
      <c r="AR166" s="940">
        <f t="shared" si="148"/>
        <v>0</v>
      </c>
      <c r="AS166" s="940">
        <f t="shared" si="148"/>
        <v>0</v>
      </c>
      <c r="AT166" s="940">
        <f>CEILING($B$161*AT165*$F$2*$F$3, 50)</f>
        <v>750</v>
      </c>
      <c r="AU166" s="940">
        <f t="shared" ref="AU166:DG166" si="149">CEILING($B$161*AU165*$F$2*$F$3, 50)</f>
        <v>500</v>
      </c>
      <c r="AV166" s="940">
        <f t="shared" si="149"/>
        <v>500</v>
      </c>
      <c r="AW166" s="940">
        <f t="shared" si="149"/>
        <v>500</v>
      </c>
      <c r="AX166" s="940">
        <f t="shared" si="149"/>
        <v>500</v>
      </c>
      <c r="AY166" s="940">
        <f t="shared" si="149"/>
        <v>500</v>
      </c>
      <c r="AZ166" s="940">
        <f t="shared" si="149"/>
        <v>500</v>
      </c>
      <c r="BA166" s="940">
        <f t="shared" si="149"/>
        <v>0</v>
      </c>
      <c r="BB166" s="940">
        <f t="shared" si="149"/>
        <v>0</v>
      </c>
      <c r="BC166" s="940">
        <f t="shared" si="149"/>
        <v>0</v>
      </c>
      <c r="BD166" s="940">
        <f t="shared" si="149"/>
        <v>500</v>
      </c>
      <c r="BE166" s="940">
        <f t="shared" si="149"/>
        <v>500</v>
      </c>
      <c r="BF166" s="940">
        <f t="shared" si="149"/>
        <v>500</v>
      </c>
      <c r="BG166" s="940">
        <f t="shared" si="149"/>
        <v>500</v>
      </c>
      <c r="BH166" s="940">
        <f t="shared" si="149"/>
        <v>750</v>
      </c>
      <c r="BI166" s="940">
        <f t="shared" si="149"/>
        <v>750</v>
      </c>
      <c r="BJ166" s="940">
        <f>CEILING($B$161*BJ165*$F$2*$F$3, 50)</f>
        <v>650</v>
      </c>
      <c r="BK166" s="940">
        <f>CEILING($B$161*BK165*$F$2*$F$3, 50)</f>
        <v>500</v>
      </c>
      <c r="BL166" s="940">
        <f t="shared" si="149"/>
        <v>500</v>
      </c>
      <c r="BM166" s="940">
        <f t="shared" si="149"/>
        <v>500</v>
      </c>
      <c r="BN166" s="940">
        <f t="shared" si="149"/>
        <v>850</v>
      </c>
      <c r="BO166" s="940">
        <f t="shared" si="149"/>
        <v>500</v>
      </c>
      <c r="BP166" s="940">
        <f t="shared" si="149"/>
        <v>500</v>
      </c>
      <c r="BQ166" s="940">
        <f t="shared" si="149"/>
        <v>500</v>
      </c>
      <c r="BR166" s="940">
        <f t="shared" si="149"/>
        <v>0</v>
      </c>
      <c r="BS166" s="940">
        <f t="shared" si="149"/>
        <v>0</v>
      </c>
      <c r="BT166" s="940">
        <f t="shared" ref="BT166:BY166" si="150">CEILING($B$161*BT165*$F$2*$F$3, 50)</f>
        <v>750</v>
      </c>
      <c r="BU166" s="940">
        <f t="shared" si="150"/>
        <v>500</v>
      </c>
      <c r="BV166" s="940">
        <f t="shared" si="150"/>
        <v>0</v>
      </c>
      <c r="BW166" s="940">
        <f t="shared" si="150"/>
        <v>500</v>
      </c>
      <c r="BX166" s="940">
        <f t="shared" si="150"/>
        <v>0</v>
      </c>
      <c r="BY166" s="940">
        <f t="shared" si="150"/>
        <v>0</v>
      </c>
      <c r="BZ166" s="940">
        <f t="shared" si="149"/>
        <v>0</v>
      </c>
      <c r="CA166" s="940">
        <f t="shared" si="149"/>
        <v>0</v>
      </c>
      <c r="CB166" s="940">
        <f t="shared" si="149"/>
        <v>0</v>
      </c>
      <c r="CC166" s="940">
        <f t="shared" si="149"/>
        <v>0</v>
      </c>
      <c r="CD166" s="940">
        <f t="shared" si="149"/>
        <v>0</v>
      </c>
      <c r="CE166" s="940">
        <f t="shared" si="149"/>
        <v>0</v>
      </c>
      <c r="CF166" s="940">
        <f t="shared" si="149"/>
        <v>850</v>
      </c>
      <c r="CG166" s="940">
        <f t="shared" si="149"/>
        <v>850</v>
      </c>
      <c r="CH166" s="940">
        <f t="shared" si="149"/>
        <v>350</v>
      </c>
      <c r="CI166" s="940">
        <f t="shared" si="149"/>
        <v>0</v>
      </c>
      <c r="CJ166" s="940">
        <f t="shared" si="149"/>
        <v>850</v>
      </c>
      <c r="CK166" s="940">
        <f t="shared" si="149"/>
        <v>350</v>
      </c>
      <c r="CL166" s="940">
        <f t="shared" si="149"/>
        <v>0</v>
      </c>
      <c r="CM166" s="940">
        <f t="shared" si="149"/>
        <v>0</v>
      </c>
      <c r="CN166" s="940">
        <f t="shared" si="149"/>
        <v>0</v>
      </c>
      <c r="CO166" s="940">
        <f t="shared" si="149"/>
        <v>0</v>
      </c>
      <c r="CP166" s="940">
        <f t="shared" si="149"/>
        <v>0</v>
      </c>
      <c r="CQ166" s="940">
        <f t="shared" si="149"/>
        <v>0</v>
      </c>
      <c r="CR166" s="940">
        <f t="shared" si="149"/>
        <v>0</v>
      </c>
      <c r="CS166" s="940">
        <f t="shared" si="149"/>
        <v>0</v>
      </c>
      <c r="CT166" s="940">
        <f t="shared" si="149"/>
        <v>0</v>
      </c>
      <c r="CU166" s="940">
        <f t="shared" si="149"/>
        <v>0</v>
      </c>
      <c r="CV166" s="940">
        <f t="shared" si="149"/>
        <v>0</v>
      </c>
      <c r="CW166" s="940">
        <f t="shared" si="149"/>
        <v>0</v>
      </c>
      <c r="CX166" s="940">
        <f t="shared" si="149"/>
        <v>0</v>
      </c>
      <c r="CY166" s="940">
        <f t="shared" si="149"/>
        <v>0</v>
      </c>
      <c r="CZ166" s="1095"/>
      <c r="DA166" s="940">
        <f t="shared" si="149"/>
        <v>0</v>
      </c>
      <c r="DB166" s="940">
        <f t="shared" si="149"/>
        <v>0</v>
      </c>
      <c r="DC166" s="940">
        <f t="shared" si="149"/>
        <v>0</v>
      </c>
      <c r="DD166" s="940">
        <f t="shared" si="149"/>
        <v>0</v>
      </c>
      <c r="DE166" s="940">
        <f t="shared" si="149"/>
        <v>0</v>
      </c>
      <c r="DF166" s="940">
        <f t="shared" si="149"/>
        <v>0</v>
      </c>
      <c r="DG166" s="940">
        <f t="shared" si="149"/>
        <v>0</v>
      </c>
      <c r="DH166" s="940">
        <f t="shared" ref="DH166:ET166" si="151">CEILING($B$161*DH165*$F$2*$F$3, 50)</f>
        <v>0</v>
      </c>
      <c r="DI166" s="940">
        <f t="shared" si="151"/>
        <v>0</v>
      </c>
      <c r="DJ166" s="940">
        <f t="shared" si="151"/>
        <v>0</v>
      </c>
      <c r="DK166" s="940">
        <f t="shared" si="151"/>
        <v>0</v>
      </c>
      <c r="DL166" s="940">
        <f t="shared" si="151"/>
        <v>0</v>
      </c>
      <c r="DM166" s="940">
        <f t="shared" si="151"/>
        <v>0</v>
      </c>
      <c r="DN166" s="940">
        <f t="shared" si="151"/>
        <v>0</v>
      </c>
      <c r="DO166" s="940">
        <f t="shared" si="151"/>
        <v>0</v>
      </c>
      <c r="DP166" s="940">
        <f t="shared" si="151"/>
        <v>0</v>
      </c>
      <c r="DQ166" s="940">
        <f t="shared" si="151"/>
        <v>0</v>
      </c>
      <c r="DR166" s="940">
        <f t="shared" si="151"/>
        <v>0</v>
      </c>
      <c r="DS166" s="940">
        <f t="shared" si="151"/>
        <v>0</v>
      </c>
      <c r="DT166" s="940">
        <f t="shared" si="151"/>
        <v>0</v>
      </c>
      <c r="DU166" s="940">
        <f t="shared" si="151"/>
        <v>0</v>
      </c>
      <c r="DV166" s="940">
        <f t="shared" si="151"/>
        <v>0</v>
      </c>
      <c r="DW166" s="940">
        <f t="shared" si="151"/>
        <v>0</v>
      </c>
      <c r="DX166" s="940">
        <f t="shared" si="151"/>
        <v>0</v>
      </c>
      <c r="DY166" s="940">
        <f t="shared" si="151"/>
        <v>0</v>
      </c>
      <c r="DZ166" s="940">
        <f t="shared" si="151"/>
        <v>0</v>
      </c>
      <c r="EA166" s="940">
        <f t="shared" si="151"/>
        <v>0</v>
      </c>
      <c r="EB166" s="940">
        <f t="shared" si="151"/>
        <v>0</v>
      </c>
      <c r="EC166" s="940">
        <f t="shared" si="151"/>
        <v>0</v>
      </c>
      <c r="ED166" s="940">
        <f t="shared" si="151"/>
        <v>0</v>
      </c>
      <c r="EE166" s="940">
        <f t="shared" si="151"/>
        <v>0</v>
      </c>
      <c r="EF166" s="940">
        <f t="shared" si="151"/>
        <v>0</v>
      </c>
      <c r="EG166" s="940">
        <f t="shared" si="151"/>
        <v>0</v>
      </c>
      <c r="EH166" s="940">
        <f t="shared" si="151"/>
        <v>0</v>
      </c>
      <c r="EI166" s="940">
        <f t="shared" si="151"/>
        <v>0</v>
      </c>
      <c r="EJ166" s="940">
        <f t="shared" si="151"/>
        <v>0</v>
      </c>
      <c r="EK166" s="940">
        <f t="shared" si="151"/>
        <v>0</v>
      </c>
      <c r="EL166" s="940">
        <f t="shared" si="151"/>
        <v>0</v>
      </c>
      <c r="EM166" s="940">
        <f t="shared" si="151"/>
        <v>750</v>
      </c>
      <c r="EN166" s="2714">
        <f t="shared" si="151"/>
        <v>750</v>
      </c>
      <c r="EO166" s="2714">
        <f t="shared" si="151"/>
        <v>750</v>
      </c>
      <c r="EP166" s="2714">
        <f t="shared" si="151"/>
        <v>750</v>
      </c>
      <c r="EQ166" s="2714">
        <f t="shared" si="151"/>
        <v>750</v>
      </c>
      <c r="ER166" s="2714">
        <f t="shared" si="151"/>
        <v>750</v>
      </c>
      <c r="ES166" s="2714">
        <f t="shared" si="151"/>
        <v>0</v>
      </c>
      <c r="ET166" s="2714">
        <f t="shared" si="151"/>
        <v>750</v>
      </c>
      <c r="EU166" s="2714">
        <f>CEILING($D$150*EU165*$F$2*$F$3, 50)</f>
        <v>1650</v>
      </c>
      <c r="EV166" s="2714">
        <f>CEILING($D$150*EV165*$F$2*$F$3, 50)</f>
        <v>0</v>
      </c>
      <c r="EW166" s="813"/>
    </row>
    <row r="167" spans="1:153" s="242" customFormat="1" ht="15" hidden="1" customHeight="1" outlineLevel="1">
      <c r="D167" s="745"/>
      <c r="E167" s="745"/>
      <c r="F167" s="745"/>
      <c r="EN167" s="441"/>
      <c r="EO167" s="441"/>
      <c r="EP167" s="441"/>
      <c r="EQ167" s="441"/>
      <c r="ER167" s="441"/>
      <c r="ES167" s="441"/>
      <c r="ET167" s="441"/>
      <c r="EU167" s="441"/>
      <c r="EV167" s="441"/>
      <c r="EW167" s="441"/>
    </row>
    <row r="168" spans="1:153" s="242" customFormat="1" ht="15" hidden="1" customHeight="1" outlineLevel="1">
      <c r="D168" s="745"/>
      <c r="E168" s="745"/>
      <c r="F168" s="745"/>
      <c r="EN168" s="441"/>
      <c r="EO168" s="441"/>
      <c r="EP168" s="441"/>
      <c r="EQ168" s="441"/>
      <c r="ER168" s="441"/>
      <c r="ES168" s="441"/>
      <c r="ET168" s="441"/>
      <c r="EU168" s="441"/>
      <c r="EV168" s="441"/>
      <c r="EW168" s="441"/>
    </row>
    <row r="169" spans="1:153" s="25" customFormat="1" ht="15" hidden="1" customHeight="1" outlineLevel="1">
      <c r="D169" s="896"/>
      <c r="E169" s="896"/>
      <c r="F169" s="896"/>
      <c r="G169" s="242"/>
      <c r="H169" s="242"/>
      <c r="I169" s="242"/>
      <c r="J169" s="242"/>
      <c r="K169" s="242"/>
      <c r="L169" s="242"/>
      <c r="M169" s="242"/>
      <c r="N169" s="242"/>
      <c r="O169" s="242"/>
      <c r="P169" s="242"/>
      <c r="Q169" s="242"/>
      <c r="R169" s="242"/>
      <c r="S169" s="242"/>
      <c r="T169" s="242"/>
      <c r="U169" s="242"/>
      <c r="V169" s="242"/>
      <c r="W169" s="242"/>
      <c r="X169" s="242"/>
      <c r="Y169" s="242"/>
      <c r="Z169" s="242"/>
      <c r="AA169" s="242"/>
      <c r="AB169" s="242"/>
      <c r="AC169" s="242"/>
      <c r="AD169" s="242"/>
      <c r="AE169" s="242"/>
      <c r="AF169" s="242"/>
      <c r="AG169" s="242"/>
      <c r="AH169" s="242"/>
      <c r="AI169" s="242"/>
      <c r="AJ169" s="242"/>
      <c r="AL169" s="242"/>
      <c r="AM169" s="242"/>
      <c r="AN169" s="242"/>
      <c r="AO169" s="242"/>
      <c r="AP169" s="242"/>
      <c r="AQ169" s="242"/>
      <c r="AR169" s="242"/>
      <c r="AS169" s="242"/>
      <c r="AT169" s="242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441"/>
      <c r="EO169" s="441"/>
      <c r="EP169" s="441"/>
      <c r="EQ169" s="441"/>
      <c r="ER169" s="441"/>
      <c r="ES169" s="441"/>
      <c r="ET169" s="441"/>
      <c r="EU169" s="441"/>
      <c r="EV169" s="441"/>
      <c r="EW169" s="15"/>
    </row>
    <row r="170" spans="1:153" s="25" customFormat="1" hidden="1" outlineLevel="1">
      <c r="D170" s="896"/>
      <c r="E170" s="896"/>
      <c r="F170" s="896"/>
      <c r="G170" s="242"/>
      <c r="H170" s="242"/>
      <c r="I170" s="242"/>
      <c r="J170" s="242"/>
      <c r="K170" s="242"/>
      <c r="L170" s="242"/>
      <c r="M170" s="242"/>
      <c r="N170" s="242"/>
      <c r="O170" s="242"/>
      <c r="P170" s="899"/>
      <c r="Q170" s="242"/>
      <c r="R170" s="242"/>
      <c r="S170" s="899"/>
      <c r="T170" s="242"/>
      <c r="U170" s="899"/>
      <c r="V170" s="899"/>
      <c r="W170" s="899"/>
      <c r="X170" s="900"/>
      <c r="Y170" s="242"/>
      <c r="Z170" s="242"/>
      <c r="AA170" s="242"/>
      <c r="AB170" s="242"/>
      <c r="AC170" s="242"/>
      <c r="AD170" s="242"/>
      <c r="AE170" s="242"/>
      <c r="AF170" s="242"/>
      <c r="AG170" s="242"/>
      <c r="AH170" s="242"/>
      <c r="AI170" s="242"/>
      <c r="AJ170" s="242"/>
      <c r="AL170" s="242"/>
      <c r="AM170" s="242"/>
      <c r="AN170" s="242"/>
      <c r="AO170" s="242"/>
      <c r="AP170" s="242"/>
      <c r="AQ170" s="242"/>
      <c r="AR170" s="242"/>
      <c r="AS170" s="242"/>
      <c r="AT170" s="242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441"/>
      <c r="EO170" s="441"/>
      <c r="EP170" s="441"/>
      <c r="EQ170" s="441"/>
      <c r="ER170" s="441"/>
      <c r="ES170" s="441"/>
      <c r="ET170" s="441"/>
      <c r="EU170" s="441"/>
      <c r="EV170" s="441"/>
      <c r="EW170" s="15"/>
    </row>
    <row r="171" spans="1:153" hidden="1" outlineLevel="1">
      <c r="A171" s="589" t="s">
        <v>2626</v>
      </c>
      <c r="EN171" s="68"/>
      <c r="EO171" s="68"/>
      <c r="EP171" s="68"/>
      <c r="EQ171" s="68"/>
      <c r="ER171" s="68"/>
      <c r="ES171" s="68"/>
      <c r="ET171" s="68"/>
      <c r="EU171" s="68"/>
      <c r="EV171" s="68"/>
      <c r="EW171" s="2597"/>
    </row>
    <row r="172" spans="1:153" hidden="1" outlineLevel="1">
      <c r="A172" s="589" t="s">
        <v>2702</v>
      </c>
      <c r="B172" s="2876">
        <v>44939</v>
      </c>
      <c r="C172" s="3403" t="s">
        <v>3067</v>
      </c>
    </row>
    <row r="173" spans="1:153" hidden="1" outlineLevel="2">
      <c r="A173" s="22" t="s">
        <v>2703</v>
      </c>
      <c r="D173" s="589"/>
      <c r="E173" s="130">
        <f>E175/D175</f>
        <v>1.375</v>
      </c>
      <c r="F173" s="130">
        <f>F175/D175</f>
        <v>1.625</v>
      </c>
      <c r="G173" s="589"/>
      <c r="H173" s="589"/>
      <c r="I173" s="589"/>
    </row>
    <row r="174" spans="1:153" hidden="1" outlineLevel="2">
      <c r="A174" s="2830"/>
      <c r="B174" s="2830" t="s">
        <v>2656</v>
      </c>
      <c r="C174" s="2830" t="s">
        <v>2704</v>
      </c>
      <c r="D174" s="2830" t="s">
        <v>436</v>
      </c>
      <c r="E174" s="2830" t="s">
        <v>2636</v>
      </c>
      <c r="F174" s="2830" t="s">
        <v>361</v>
      </c>
      <c r="G174" s="589"/>
      <c r="H174" s="589"/>
      <c r="I174" s="589"/>
    </row>
    <row r="175" spans="1:153" hidden="1" outlineLevel="2">
      <c r="A175" s="2831">
        <v>1</v>
      </c>
      <c r="B175" s="2832" t="s">
        <v>2705</v>
      </c>
      <c r="C175" s="2833">
        <v>3000</v>
      </c>
      <c r="D175" s="2833">
        <v>4000</v>
      </c>
      <c r="E175" s="2833">
        <v>5500</v>
      </c>
      <c r="F175" s="2833">
        <v>6500</v>
      </c>
      <c r="G175" s="589"/>
      <c r="H175" s="589"/>
      <c r="I175" s="589"/>
    </row>
    <row r="176" spans="1:153" hidden="1" outlineLevel="2">
      <c r="A176" s="2831">
        <v>2</v>
      </c>
      <c r="B176" s="2832" t="s">
        <v>2706</v>
      </c>
      <c r="C176" s="2832"/>
      <c r="D176" s="2833">
        <v>2500</v>
      </c>
      <c r="E176" s="2833">
        <v>3300</v>
      </c>
      <c r="F176" s="2833">
        <v>4000</v>
      </c>
      <c r="G176" s="589"/>
      <c r="H176" s="589"/>
      <c r="I176" s="589"/>
    </row>
    <row r="177" spans="1:9" hidden="1" outlineLevel="2">
      <c r="A177" s="22"/>
      <c r="D177" s="589"/>
      <c r="E177" s="130">
        <f>E176/D176</f>
        <v>1.32</v>
      </c>
      <c r="F177" s="130">
        <f>F176/D176</f>
        <v>1.6</v>
      </c>
      <c r="G177" s="589"/>
      <c r="H177" s="589"/>
      <c r="I177" s="589"/>
    </row>
    <row r="178" spans="1:9" hidden="1" outlineLevel="2">
      <c r="A178" s="22"/>
      <c r="B178" s="589" t="s">
        <v>909</v>
      </c>
      <c r="C178" s="589" t="s">
        <v>2707</v>
      </c>
      <c r="D178" s="589"/>
      <c r="E178" s="589"/>
      <c r="F178" s="589"/>
      <c r="G178" s="1276">
        <f>D175/2*0.4</f>
        <v>800</v>
      </c>
      <c r="H178" s="589"/>
      <c r="I178" s="589"/>
    </row>
    <row r="179" spans="1:9" hidden="1" outlineLevel="2">
      <c r="A179" s="22"/>
      <c r="B179" s="589" t="s">
        <v>2708</v>
      </c>
      <c r="C179" s="589" t="s">
        <v>2709</v>
      </c>
      <c r="D179" s="589"/>
      <c r="E179" s="589"/>
      <c r="F179" s="589"/>
      <c r="G179" s="1276">
        <f>G178*0.25</f>
        <v>200</v>
      </c>
      <c r="H179" s="589" t="s">
        <v>2710</v>
      </c>
      <c r="I179" s="589"/>
    </row>
    <row r="180" spans="1:9" hidden="1" outlineLevel="2">
      <c r="E180" s="2841">
        <f>E181/D181</f>
        <v>1.375</v>
      </c>
      <c r="F180" s="2841">
        <f>F181/D181</f>
        <v>1.625</v>
      </c>
    </row>
    <row r="181" spans="1:9" hidden="1" outlineLevel="2" collapsed="1">
      <c r="B181" s="2834" t="s">
        <v>2713</v>
      </c>
      <c r="C181" s="2785">
        <f>(C175/2)*0.42</f>
        <v>630</v>
      </c>
      <c r="D181" s="2785">
        <f>(D175/2)*0.42</f>
        <v>840</v>
      </c>
      <c r="E181" s="2785">
        <f>(E175/2)*0.42</f>
        <v>1155</v>
      </c>
      <c r="F181" s="2785">
        <f>(F175/2)*0.42</f>
        <v>1365</v>
      </c>
      <c r="G181" s="69" t="s">
        <v>2744</v>
      </c>
    </row>
    <row r="182" spans="1:9" hidden="1" outlineLevel="2">
      <c r="B182" s="2834" t="s">
        <v>2714</v>
      </c>
      <c r="C182" s="2785">
        <f>(C176/2)*0.4</f>
        <v>0</v>
      </c>
      <c r="D182" s="2785">
        <f>(D176/2)*0.42</f>
        <v>525</v>
      </c>
      <c r="E182" s="2785">
        <f>(E176/2)*0.42</f>
        <v>693</v>
      </c>
      <c r="F182" s="2785">
        <f>(F176/2)*0.42</f>
        <v>840</v>
      </c>
    </row>
    <row r="183" spans="1:9" hidden="1" outlineLevel="2">
      <c r="B183" s="2834" t="s">
        <v>2711</v>
      </c>
      <c r="C183" s="2785">
        <f>CEILING(C181*0.32,10)</f>
        <v>210</v>
      </c>
      <c r="D183" s="2785">
        <f>CEILING(D181*0.3,10)</f>
        <v>260</v>
      </c>
      <c r="E183" s="2785">
        <f>CEILING(E181*0.3,10)</f>
        <v>350</v>
      </c>
      <c r="F183" s="2785">
        <f>CEILING(F181*0.3,10)</f>
        <v>410</v>
      </c>
      <c r="G183" s="69" t="s">
        <v>2744</v>
      </c>
    </row>
    <row r="184" spans="1:9" hidden="1" outlineLevel="2">
      <c r="E184" s="356">
        <v>1.4</v>
      </c>
      <c r="F184" s="356">
        <v>1.65</v>
      </c>
      <c r="G184" s="69" t="s">
        <v>2712</v>
      </c>
    </row>
    <row r="185" spans="1:9" hidden="1" outlineLevel="2">
      <c r="E185" s="356">
        <f>D181*1.4</f>
        <v>1176</v>
      </c>
      <c r="F185" s="356">
        <f>D181*1.65</f>
        <v>1386</v>
      </c>
    </row>
    <row r="186" spans="1:9" hidden="1" outlineLevel="2"/>
    <row r="187" spans="1:9" hidden="1" outlineLevel="2">
      <c r="E187" s="356">
        <f>E176*E184</f>
        <v>4620</v>
      </c>
    </row>
    <row r="188" spans="1:9" hidden="1" outlineLevel="2"/>
    <row r="189" spans="1:9" hidden="1" outlineLevel="2">
      <c r="B189" s="1145" t="s">
        <v>2748</v>
      </c>
      <c r="C189" s="1145"/>
      <c r="D189" s="2912"/>
      <c r="E189" s="2912"/>
      <c r="F189" s="2912">
        <f>F181*1.05</f>
        <v>1433.25</v>
      </c>
      <c r="G189" s="69" t="s">
        <v>2749</v>
      </c>
    </row>
    <row r="190" spans="1:9" hidden="1" outlineLevel="2"/>
    <row r="191" spans="1:9" hidden="1" outlineLevel="1"/>
    <row r="192" spans="1:9" hidden="1" outlineLevel="1"/>
    <row r="193" collapsed="1"/>
  </sheetData>
  <sheetProtection password="E910" sheet="1" objects="1" scenarios="1" formatCells="0" formatColumns="0" formatRows="0" insertColumns="0" insertRows="0" insertHyperlinks="0" deleteColumns="0" deleteRows="0" sort="0" autoFilter="0" pivotTables="0"/>
  <mergeCells count="81">
    <mergeCell ref="A166:B166"/>
    <mergeCell ref="C166:F166"/>
    <mergeCell ref="A157:B157"/>
    <mergeCell ref="C157:F157"/>
    <mergeCell ref="A145:B145"/>
    <mergeCell ref="A146:B147"/>
    <mergeCell ref="B148:C148"/>
    <mergeCell ref="BH40:BI40"/>
    <mergeCell ref="A57:B57"/>
    <mergeCell ref="B159:C159"/>
    <mergeCell ref="A136:B137"/>
    <mergeCell ref="B114:C114"/>
    <mergeCell ref="B138:C138"/>
    <mergeCell ref="A135:B135"/>
    <mergeCell ref="A42:D44"/>
    <mergeCell ref="B100:C100"/>
    <mergeCell ref="A61:B61"/>
    <mergeCell ref="A70:B70"/>
    <mergeCell ref="B96:C96"/>
    <mergeCell ref="B98:C98"/>
    <mergeCell ref="B99:C99"/>
    <mergeCell ref="A41:F41"/>
    <mergeCell ref="E46:F46"/>
    <mergeCell ref="E1:G1"/>
    <mergeCell ref="A123:B124"/>
    <mergeCell ref="A126:B128"/>
    <mergeCell ref="B130:C130"/>
    <mergeCell ref="A122:B122"/>
    <mergeCell ref="A125:B125"/>
    <mergeCell ref="A104:B104"/>
    <mergeCell ref="C104:D104"/>
    <mergeCell ref="A90:A92"/>
    <mergeCell ref="A93:A94"/>
    <mergeCell ref="A1:C1"/>
    <mergeCell ref="E62:F62"/>
    <mergeCell ref="E63:F63"/>
    <mergeCell ref="E64:F64"/>
    <mergeCell ref="A62:D64"/>
    <mergeCell ref="A71:F71"/>
    <mergeCell ref="E47:F47"/>
    <mergeCell ref="D19:E19"/>
    <mergeCell ref="C8:C10"/>
    <mergeCell ref="C11:C13"/>
    <mergeCell ref="C14:C16"/>
    <mergeCell ref="C17:C19"/>
    <mergeCell ref="A14:B19"/>
    <mergeCell ref="E43:F43"/>
    <mergeCell ref="E44:F44"/>
    <mergeCell ref="B5:C5"/>
    <mergeCell ref="D18:E18"/>
    <mergeCell ref="D16:E16"/>
    <mergeCell ref="D17:E17"/>
    <mergeCell ref="C35:D35"/>
    <mergeCell ref="B66:C66"/>
    <mergeCell ref="B73:C73"/>
    <mergeCell ref="D8:E8"/>
    <mergeCell ref="D10:E10"/>
    <mergeCell ref="D11:E11"/>
    <mergeCell ref="D13:E13"/>
    <mergeCell ref="D14:E14"/>
    <mergeCell ref="D9:E9"/>
    <mergeCell ref="D12:E12"/>
    <mergeCell ref="A45:D47"/>
    <mergeCell ref="E35:F35"/>
    <mergeCell ref="E45:F45"/>
    <mergeCell ref="E42:F42"/>
    <mergeCell ref="B21:C21"/>
    <mergeCell ref="D15:E15"/>
    <mergeCell ref="A8:B13"/>
    <mergeCell ref="B97:C97"/>
    <mergeCell ref="A111:B113"/>
    <mergeCell ref="C111:D111"/>
    <mergeCell ref="C112:D112"/>
    <mergeCell ref="B90:B92"/>
    <mergeCell ref="C113:D113"/>
    <mergeCell ref="E58:F58"/>
    <mergeCell ref="E59:F59"/>
    <mergeCell ref="E60:F60"/>
    <mergeCell ref="A58:D60"/>
    <mergeCell ref="A48:F48"/>
    <mergeCell ref="B50:C50"/>
  </mergeCells>
  <conditionalFormatting sqref="EW40:XFD40 A40:F40">
    <cfRule type="duplicateValues" dxfId="113" priority="96"/>
  </conditionalFormatting>
  <conditionalFormatting sqref="A40:F40">
    <cfRule type="duplicateValues" dxfId="112" priority="97"/>
  </conditionalFormatting>
  <conditionalFormatting sqref="EW56:XFD56 A56:F56">
    <cfRule type="duplicateValues" dxfId="111" priority="84"/>
  </conditionalFormatting>
  <conditionalFormatting sqref="A56:F56">
    <cfRule type="duplicateValues" dxfId="110" priority="85"/>
  </conditionalFormatting>
  <conditionalFormatting sqref="EW57:XFD57 A57:F57">
    <cfRule type="duplicateValues" dxfId="109" priority="82"/>
  </conditionalFormatting>
  <conditionalFormatting sqref="A57:F57">
    <cfRule type="duplicateValues" dxfId="108" priority="83"/>
  </conditionalFormatting>
  <conditionalFormatting sqref="BH56">
    <cfRule type="duplicateValues" dxfId="107" priority="80"/>
  </conditionalFormatting>
  <conditionalFormatting sqref="EW61:XFD61 A61:F61">
    <cfRule type="duplicateValues" dxfId="106" priority="78"/>
  </conditionalFormatting>
  <conditionalFormatting sqref="A61:F61">
    <cfRule type="duplicateValues" dxfId="105" priority="79"/>
  </conditionalFormatting>
  <conditionalFormatting sqref="EW69:XFD69 A69:F69">
    <cfRule type="duplicateValues" dxfId="104" priority="76"/>
  </conditionalFormatting>
  <conditionalFormatting sqref="A69:F69">
    <cfRule type="duplicateValues" dxfId="103" priority="77"/>
  </conditionalFormatting>
  <conditionalFormatting sqref="EW70:XFD70 A70:F70">
    <cfRule type="duplicateValues" dxfId="102" priority="74"/>
  </conditionalFormatting>
  <conditionalFormatting sqref="A70:F70">
    <cfRule type="duplicateValues" dxfId="101" priority="75"/>
  </conditionalFormatting>
  <conditionalFormatting sqref="BH69">
    <cfRule type="duplicateValues" dxfId="100" priority="72"/>
  </conditionalFormatting>
  <conditionalFormatting sqref="BH104">
    <cfRule type="duplicateValues" dxfId="99" priority="70"/>
  </conditionalFormatting>
  <conditionalFormatting sqref="EW104:XFD104 BH104">
    <cfRule type="duplicateValues" dxfId="98" priority="71"/>
  </conditionalFormatting>
  <conditionalFormatting sqref="EW121:XFD121 A121:F121">
    <cfRule type="duplicateValues" dxfId="97" priority="68"/>
  </conditionalFormatting>
  <conditionalFormatting sqref="A121:F121">
    <cfRule type="duplicateValues" dxfId="96" priority="69"/>
  </conditionalFormatting>
  <conditionalFormatting sqref="EW122:XFD122 A122:F122">
    <cfRule type="duplicateValues" dxfId="95" priority="66"/>
  </conditionalFormatting>
  <conditionalFormatting sqref="A122:F122">
    <cfRule type="duplicateValues" dxfId="94" priority="67"/>
  </conditionalFormatting>
  <conditionalFormatting sqref="BH121">
    <cfRule type="duplicateValues" dxfId="93" priority="64"/>
  </conditionalFormatting>
  <conditionalFormatting sqref="EW125:XFD125 C125:F125">
    <cfRule type="duplicateValues" dxfId="92" priority="62"/>
  </conditionalFormatting>
  <conditionalFormatting sqref="C125:F125">
    <cfRule type="duplicateValues" dxfId="91" priority="63"/>
  </conditionalFormatting>
  <conditionalFormatting sqref="A125:B125">
    <cfRule type="duplicateValues" dxfId="90" priority="60"/>
  </conditionalFormatting>
  <conditionalFormatting sqref="EW153:XFD153 A153:F153">
    <cfRule type="duplicateValues" dxfId="89" priority="58"/>
  </conditionalFormatting>
  <conditionalFormatting sqref="A153:F153">
    <cfRule type="duplicateValues" dxfId="88" priority="59"/>
  </conditionalFormatting>
  <conditionalFormatting sqref="BH153">
    <cfRule type="duplicateValues" dxfId="87" priority="56"/>
  </conditionalFormatting>
  <conditionalFormatting sqref="EW134:XFD134 A134:F134">
    <cfRule type="duplicateValues" dxfId="86" priority="54"/>
  </conditionalFormatting>
  <conditionalFormatting sqref="A134:F134">
    <cfRule type="duplicateValues" dxfId="85" priority="55"/>
  </conditionalFormatting>
  <conditionalFormatting sqref="EW135:XFD135 A135:F135">
    <cfRule type="duplicateValues" dxfId="84" priority="52"/>
  </conditionalFormatting>
  <conditionalFormatting sqref="A135:F135">
    <cfRule type="duplicateValues" dxfId="83" priority="53"/>
  </conditionalFormatting>
  <conditionalFormatting sqref="BH134">
    <cfRule type="duplicateValues" dxfId="82" priority="50"/>
  </conditionalFormatting>
  <conditionalFormatting sqref="EW144:XFD144 A144:F144">
    <cfRule type="duplicateValues" dxfId="81" priority="48"/>
  </conditionalFormatting>
  <conditionalFormatting sqref="A144:F144">
    <cfRule type="duplicateValues" dxfId="80" priority="49"/>
  </conditionalFormatting>
  <conditionalFormatting sqref="EW145:XFD145 A145:F145">
    <cfRule type="duplicateValues" dxfId="79" priority="46"/>
  </conditionalFormatting>
  <conditionalFormatting sqref="A145:F145">
    <cfRule type="duplicateValues" dxfId="78" priority="47"/>
  </conditionalFormatting>
  <conditionalFormatting sqref="BH144">
    <cfRule type="duplicateValues" dxfId="77" priority="44"/>
  </conditionalFormatting>
  <conditionalFormatting sqref="EW86:FC86">
    <cfRule type="duplicateValues" dxfId="76" priority="43"/>
  </conditionalFormatting>
  <conditionalFormatting sqref="FD87:XFD87 A87:C87 F87">
    <cfRule type="duplicateValues" dxfId="75" priority="129"/>
  </conditionalFormatting>
  <conditionalFormatting sqref="A87:C87 F87">
    <cfRule type="duplicateValues" dxfId="74" priority="134"/>
  </conditionalFormatting>
  <conditionalFormatting sqref="FD89:XFD89 B89:C89 F89">
    <cfRule type="duplicateValues" dxfId="73" priority="138"/>
  </conditionalFormatting>
  <conditionalFormatting sqref="B89:C89 F89">
    <cfRule type="duplicateValues" dxfId="72" priority="142"/>
  </conditionalFormatting>
  <conditionalFormatting sqref="BH85 BH87 A88:F88">
    <cfRule type="duplicateValues" dxfId="71" priority="155"/>
  </conditionalFormatting>
  <conditionalFormatting sqref="EW85:XFD85 EW89:FC89 EW87:FC87 EW88:XFD88 BH85 BH87 A88:F88">
    <cfRule type="duplicateValues" dxfId="70" priority="160"/>
  </conditionalFormatting>
  <conditionalFormatting sqref="FD86:XFD86 A86:C86 F86">
    <cfRule type="duplicateValues" dxfId="69" priority="187"/>
  </conditionalFormatting>
  <conditionalFormatting sqref="A86:C86 F86">
    <cfRule type="duplicateValues" dxfId="68" priority="192"/>
  </conditionalFormatting>
  <conditionalFormatting sqref="EW105:FC105">
    <cfRule type="duplicateValues" dxfId="67" priority="31"/>
  </conditionalFormatting>
  <conditionalFormatting sqref="FD106:XFD106 A106:C106">
    <cfRule type="duplicateValues" dxfId="66" priority="32"/>
  </conditionalFormatting>
  <conditionalFormatting sqref="A106:C106">
    <cfRule type="duplicateValues" dxfId="65" priority="33"/>
  </conditionalFormatting>
  <conditionalFormatting sqref="FD108:XFD108 B108:C108">
    <cfRule type="duplicateValues" dxfId="64" priority="34"/>
  </conditionalFormatting>
  <conditionalFormatting sqref="B108:C108">
    <cfRule type="duplicateValues" dxfId="63" priority="35"/>
  </conditionalFormatting>
  <conditionalFormatting sqref="A107:F107">
    <cfRule type="duplicateValues" dxfId="62" priority="36"/>
  </conditionalFormatting>
  <conditionalFormatting sqref="EW108:FC108 EW106:FC106 EW107:XFD107 A107:F107">
    <cfRule type="duplicateValues" dxfId="61" priority="37"/>
  </conditionalFormatting>
  <conditionalFormatting sqref="FD105:XFD105 A105:C105">
    <cfRule type="duplicateValues" dxfId="60" priority="38"/>
  </conditionalFormatting>
  <conditionalFormatting sqref="A105:C105">
    <cfRule type="duplicateValues" dxfId="59" priority="39"/>
  </conditionalFormatting>
  <conditionalFormatting sqref="A109:F109">
    <cfRule type="duplicateValues" dxfId="58" priority="29"/>
  </conditionalFormatting>
  <conditionalFormatting sqref="EW109:XFD109 A109:F109">
    <cfRule type="duplicateValues" dxfId="57" priority="30"/>
  </conditionalFormatting>
  <conditionalFormatting sqref="FD110:XFD110 B110:C110">
    <cfRule type="duplicateValues" dxfId="56" priority="26"/>
  </conditionalFormatting>
  <conditionalFormatting sqref="B110:C110">
    <cfRule type="duplicateValues" dxfId="55" priority="27"/>
  </conditionalFormatting>
  <conditionalFormatting sqref="EW110:FC110">
    <cfRule type="duplicateValues" dxfId="54" priority="28"/>
  </conditionalFormatting>
  <conditionalFormatting sqref="A156:F156">
    <cfRule type="duplicateValues" dxfId="53" priority="24"/>
  </conditionalFormatting>
  <conditionalFormatting sqref="EW156:XFD156 A156:F156">
    <cfRule type="duplicateValues" dxfId="52" priority="25"/>
  </conditionalFormatting>
  <conditionalFormatting sqref="EW154:FC154">
    <cfRule type="duplicateValues" dxfId="51" priority="21"/>
  </conditionalFormatting>
  <conditionalFormatting sqref="FD154:XFD154 A154:C154 F154">
    <cfRule type="duplicateValues" dxfId="50" priority="22"/>
  </conditionalFormatting>
  <conditionalFormatting sqref="A154:C154 F154">
    <cfRule type="duplicateValues" dxfId="49" priority="23"/>
  </conditionalFormatting>
  <conditionalFormatting sqref="FD155:XFD155 A155:C155 F155">
    <cfRule type="duplicateValues" dxfId="48" priority="17"/>
  </conditionalFormatting>
  <conditionalFormatting sqref="A155:C155 F155">
    <cfRule type="duplicateValues" dxfId="47" priority="18"/>
  </conditionalFormatting>
  <conditionalFormatting sqref="BH155">
    <cfRule type="duplicateValues" dxfId="46" priority="19"/>
  </conditionalFormatting>
  <conditionalFormatting sqref="EW155:FC155 BH155">
    <cfRule type="duplicateValues" dxfId="45" priority="20"/>
  </conditionalFormatting>
  <conditionalFormatting sqref="FD157:XFD157">
    <cfRule type="duplicateValues" dxfId="44" priority="14"/>
  </conditionalFormatting>
  <conditionalFormatting sqref="EW157:FC157">
    <cfRule type="duplicateValues" dxfId="43" priority="16"/>
  </conditionalFormatting>
  <conditionalFormatting sqref="A165:F165">
    <cfRule type="duplicateValues" dxfId="42" priority="12"/>
  </conditionalFormatting>
  <conditionalFormatting sqref="EW165:XFD165 A165:F165">
    <cfRule type="duplicateValues" dxfId="41" priority="13"/>
  </conditionalFormatting>
  <conditionalFormatting sqref="EW163:FC163">
    <cfRule type="duplicateValues" dxfId="40" priority="9"/>
  </conditionalFormatting>
  <conditionalFormatting sqref="FD163:XFD163 A163:C163 F163">
    <cfRule type="duplicateValues" dxfId="39" priority="10"/>
  </conditionalFormatting>
  <conditionalFormatting sqref="A163:C163 F163">
    <cfRule type="duplicateValues" dxfId="38" priority="11"/>
  </conditionalFormatting>
  <conditionalFormatting sqref="FD164:XFD164 A164:C164 F164">
    <cfRule type="duplicateValues" dxfId="37" priority="5"/>
  </conditionalFormatting>
  <conditionalFormatting sqref="A164:C164 F164">
    <cfRule type="duplicateValues" dxfId="36" priority="6"/>
  </conditionalFormatting>
  <conditionalFormatting sqref="BH164">
    <cfRule type="duplicateValues" dxfId="35" priority="7"/>
  </conditionalFormatting>
  <conditionalFormatting sqref="EW164:FC164 BH164">
    <cfRule type="duplicateValues" dxfId="34" priority="8"/>
  </conditionalFormatting>
  <conditionalFormatting sqref="FD166:XFD166">
    <cfRule type="duplicateValues" dxfId="33" priority="193"/>
  </conditionalFormatting>
  <conditionalFormatting sqref="EW166:FC166">
    <cfRule type="duplicateValues" dxfId="32" priority="194"/>
  </conditionalFormatting>
  <conditionalFormatting sqref="BT87">
    <cfRule type="duplicateValues" dxfId="31" priority="1"/>
  </conditionalFormatting>
  <conditionalFormatting sqref="BT87:BU87">
    <cfRule type="duplicateValues" dxfId="30" priority="2"/>
  </conditionalFormatting>
  <pageMargins left="0.7" right="0.7" top="0.75" bottom="0.75" header="0.3" footer="0.3"/>
  <pageSetup paperSize="9" orientation="portrait" r:id="rId1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27">
    <tabColor rgb="FF92D050"/>
  </sheetPr>
  <dimension ref="A1:BD218"/>
  <sheetViews>
    <sheetView view="pageBreakPreview" zoomScale="70" zoomScaleNormal="100" zoomScaleSheetLayoutView="70" workbookViewId="0">
      <pane ySplit="1" topLeftCell="A2" activePane="bottomLeft" state="frozen"/>
      <selection pane="bottomLeft" activeCell="B1" sqref="B1"/>
    </sheetView>
  </sheetViews>
  <sheetFormatPr defaultColWidth="9.140625" defaultRowHeight="12.75"/>
  <cols>
    <col min="1" max="1" width="9" style="81" customWidth="1"/>
    <col min="2" max="2" width="15" style="81" customWidth="1"/>
    <col min="3" max="3" width="15.140625" style="81" customWidth="1"/>
    <col min="4" max="4" width="13.5703125" style="81" customWidth="1"/>
    <col min="5" max="5" width="12.7109375" style="81" customWidth="1"/>
    <col min="6" max="6" width="10.85546875" style="81" customWidth="1"/>
    <col min="7" max="7" width="16.7109375" style="81" customWidth="1"/>
    <col min="8" max="8" width="11" style="81" customWidth="1"/>
    <col min="9" max="9" width="12.5703125" style="81" customWidth="1"/>
    <col min="10" max="10" width="14.28515625" style="81" customWidth="1"/>
    <col min="11" max="12" width="15.7109375" style="81" customWidth="1"/>
    <col min="13" max="14" width="15.85546875" style="81" customWidth="1"/>
    <col min="15" max="15" width="14.7109375" style="81" customWidth="1"/>
    <col min="16" max="16" width="12" style="81" customWidth="1"/>
    <col min="17" max="17" width="12.140625" style="81" customWidth="1"/>
    <col min="18" max="18" width="9.5703125" style="81" customWidth="1"/>
    <col min="19" max="19" width="9.85546875" style="81" customWidth="1"/>
    <col min="20" max="20" width="13.140625" style="81" customWidth="1"/>
    <col min="21" max="21" width="11.28515625" style="81" customWidth="1"/>
    <col min="22" max="22" width="10.7109375" style="81" customWidth="1"/>
    <col min="23" max="23" width="14.7109375" style="81" customWidth="1"/>
    <col min="24" max="24" width="12" style="81" customWidth="1"/>
    <col min="25" max="25" width="13.85546875" style="81" customWidth="1"/>
    <col min="26" max="16384" width="9.140625" style="81"/>
  </cols>
  <sheetData>
    <row r="1" spans="1:29" s="2290" customFormat="1" ht="18.75" customHeight="1">
      <c r="A1" s="2288"/>
      <c r="B1" s="2311" t="s">
        <v>490</v>
      </c>
      <c r="C1" s="2280"/>
      <c r="D1" s="2289"/>
      <c r="E1" s="2289"/>
      <c r="F1" s="2289"/>
      <c r="G1" s="2289"/>
      <c r="H1" s="2289"/>
      <c r="I1" s="2289"/>
      <c r="J1" s="2289"/>
      <c r="K1" s="2289"/>
      <c r="L1" s="2289"/>
      <c r="M1" s="2289"/>
      <c r="N1" s="2289"/>
      <c r="O1" s="2289"/>
      <c r="P1" s="2289"/>
      <c r="Q1" s="2289"/>
      <c r="R1" s="2289"/>
      <c r="S1" s="2289"/>
      <c r="T1" s="2289"/>
      <c r="U1" s="2289"/>
      <c r="V1" s="2289"/>
      <c r="W1" s="2289"/>
      <c r="X1" s="2289"/>
      <c r="Y1" s="2289"/>
      <c r="Z1" s="2289"/>
    </row>
    <row r="3" spans="1:29" s="79" customFormat="1" ht="56.25" customHeight="1">
      <c r="A3" s="5353" t="s">
        <v>84</v>
      </c>
      <c r="B3" s="5353"/>
      <c r="C3" s="5353"/>
      <c r="D3" s="5353"/>
      <c r="E3" s="5354" t="s">
        <v>2972</v>
      </c>
      <c r="F3" s="5353"/>
      <c r="G3" s="5353"/>
      <c r="H3" s="5353"/>
      <c r="I3" s="5353"/>
      <c r="J3" s="5353"/>
      <c r="R3" s="80"/>
      <c r="T3" s="2605"/>
      <c r="U3" s="2605"/>
      <c r="V3" s="2605"/>
      <c r="W3" s="2605"/>
      <c r="X3" s="80"/>
    </row>
    <row r="4" spans="1:29" s="153" customFormat="1" ht="15" customHeight="1">
      <c r="A4" s="5355" t="s">
        <v>88</v>
      </c>
      <c r="B4" s="5356"/>
      <c r="C4" s="2164" t="s">
        <v>6</v>
      </c>
      <c r="D4" s="5367" t="s">
        <v>85</v>
      </c>
      <c r="E4" s="5368"/>
      <c r="F4" s="5368"/>
      <c r="G4" s="5368"/>
      <c r="H4" s="5368"/>
      <c r="I4" s="5368"/>
      <c r="J4" s="5368"/>
      <c r="K4" s="5368"/>
      <c r="L4" s="5368"/>
      <c r="M4" s="5368"/>
      <c r="N4" s="5368"/>
      <c r="O4" s="5368"/>
      <c r="P4" s="5368"/>
      <c r="Q4" s="5369"/>
      <c r="R4" s="5277" t="s">
        <v>86</v>
      </c>
      <c r="S4" s="5278"/>
      <c r="T4" s="5278"/>
      <c r="U4" s="5278"/>
      <c r="V4" s="5278"/>
      <c r="W4" s="5279"/>
      <c r="X4" s="518" t="s">
        <v>87</v>
      </c>
      <c r="Y4" s="518" t="s">
        <v>7</v>
      </c>
    </row>
    <row r="5" spans="1:29" s="153" customFormat="1" ht="15" customHeight="1">
      <c r="A5" s="5357"/>
      <c r="B5" s="5358"/>
      <c r="C5" s="5361" t="s">
        <v>252</v>
      </c>
      <c r="D5" s="5365" t="s">
        <v>89</v>
      </c>
      <c r="E5" s="5350"/>
      <c r="F5" s="5350"/>
      <c r="G5" s="5350"/>
      <c r="H5" s="5350"/>
      <c r="I5" s="5350"/>
      <c r="J5" s="5350"/>
      <c r="K5" s="5350"/>
      <c r="L5" s="5350"/>
      <c r="M5" s="5350"/>
      <c r="N5" s="5350"/>
      <c r="O5" s="5350"/>
      <c r="P5" s="5350"/>
      <c r="Q5" s="5366"/>
      <c r="R5" s="5365" t="s">
        <v>106</v>
      </c>
      <c r="S5" s="5282"/>
      <c r="T5" s="5283"/>
      <c r="U5" s="5281" t="s">
        <v>3001</v>
      </c>
      <c r="V5" s="5282"/>
      <c r="W5" s="5283"/>
      <c r="X5" s="5361" t="s">
        <v>2404</v>
      </c>
      <c r="Y5" s="5361" t="s">
        <v>107</v>
      </c>
    </row>
    <row r="6" spans="1:29" s="154" customFormat="1" ht="15" customHeight="1">
      <c r="A6" s="5357"/>
      <c r="B6" s="5358"/>
      <c r="C6" s="5362"/>
      <c r="D6" s="5344" t="s">
        <v>90</v>
      </c>
      <c r="E6" s="5345"/>
      <c r="F6" s="5345"/>
      <c r="G6" s="5345"/>
      <c r="H6" s="5345"/>
      <c r="I6" s="5345"/>
      <c r="J6" s="5344" t="s">
        <v>91</v>
      </c>
      <c r="K6" s="5345"/>
      <c r="L6" s="5345"/>
      <c r="M6" s="5345"/>
      <c r="N6" s="5345"/>
      <c r="O6" s="5345"/>
      <c r="P6" s="5345"/>
      <c r="Q6" s="5364"/>
      <c r="R6" s="5285"/>
      <c r="S6" s="5285"/>
      <c r="T6" s="5286"/>
      <c r="U6" s="5284"/>
      <c r="V6" s="5285"/>
      <c r="W6" s="5286"/>
      <c r="X6" s="5378"/>
      <c r="Y6" s="5362"/>
    </row>
    <row r="7" spans="1:29" s="154" customFormat="1" ht="24" customHeight="1">
      <c r="A7" s="5357"/>
      <c r="B7" s="5358"/>
      <c r="C7" s="2917" t="s">
        <v>2231</v>
      </c>
      <c r="D7" s="1185" t="s">
        <v>1006</v>
      </c>
      <c r="E7" s="5344" t="s">
        <v>17</v>
      </c>
      <c r="F7" s="5345"/>
      <c r="G7" s="5345"/>
      <c r="H7" s="5345"/>
      <c r="I7" s="5364"/>
      <c r="J7" s="2724" t="s">
        <v>92</v>
      </c>
      <c r="K7" s="2724" t="s">
        <v>93</v>
      </c>
      <c r="L7" s="2724" t="s">
        <v>314</v>
      </c>
      <c r="M7" s="2724" t="s">
        <v>743</v>
      </c>
      <c r="N7" s="2724" t="s">
        <v>257</v>
      </c>
      <c r="O7" s="2600" t="s">
        <v>2614</v>
      </c>
      <c r="P7" s="2600" t="s">
        <v>2621</v>
      </c>
      <c r="Q7" s="2600" t="s">
        <v>2618</v>
      </c>
      <c r="R7" s="5287"/>
      <c r="S7" s="5288"/>
      <c r="T7" s="5289"/>
      <c r="U7" s="5287"/>
      <c r="V7" s="5288"/>
      <c r="W7" s="5289"/>
      <c r="X7" s="519" t="s">
        <v>2242</v>
      </c>
      <c r="Y7" s="5378"/>
    </row>
    <row r="8" spans="1:29" s="156" customFormat="1" ht="15" customHeight="1">
      <c r="A8" s="5357"/>
      <c r="B8" s="5358"/>
      <c r="C8" s="155" t="s">
        <v>94</v>
      </c>
      <c r="D8" s="519" t="s">
        <v>1186</v>
      </c>
      <c r="E8" s="519" t="s">
        <v>96</v>
      </c>
      <c r="F8" s="519" t="s">
        <v>97</v>
      </c>
      <c r="G8" s="519" t="s">
        <v>95</v>
      </c>
      <c r="H8" s="519" t="s">
        <v>98</v>
      </c>
      <c r="I8" s="519" t="s">
        <v>678</v>
      </c>
      <c r="J8" s="519" t="s">
        <v>263</v>
      </c>
      <c r="K8" s="519" t="s">
        <v>1402</v>
      </c>
      <c r="L8" s="519" t="s">
        <v>678</v>
      </c>
      <c r="M8" s="519" t="s">
        <v>100</v>
      </c>
      <c r="N8" s="519" t="s">
        <v>100</v>
      </c>
      <c r="O8" s="2316" t="s">
        <v>2615</v>
      </c>
      <c r="P8" s="2316" t="s">
        <v>2617</v>
      </c>
      <c r="Q8" s="2316" t="s">
        <v>2619</v>
      </c>
      <c r="R8" s="3015" t="s">
        <v>2233</v>
      </c>
      <c r="S8" s="3015" t="s">
        <v>2234</v>
      </c>
      <c r="T8" s="3015" t="s">
        <v>194</v>
      </c>
      <c r="U8" s="3015" t="s">
        <v>2233</v>
      </c>
      <c r="V8" s="3015" t="s">
        <v>2234</v>
      </c>
      <c r="W8" s="3015" t="s">
        <v>194</v>
      </c>
      <c r="X8" s="519" t="s">
        <v>2232</v>
      </c>
      <c r="Y8" s="519" t="s">
        <v>153</v>
      </c>
    </row>
    <row r="9" spans="1:29" s="156" customFormat="1" ht="33" customHeight="1">
      <c r="A9" s="5357"/>
      <c r="B9" s="5358"/>
      <c r="C9" s="5293" t="s">
        <v>2232</v>
      </c>
      <c r="D9" s="5293" t="s">
        <v>101</v>
      </c>
      <c r="E9" s="5370" t="s">
        <v>101</v>
      </c>
      <c r="F9" s="5371"/>
      <c r="G9" s="5370" t="s">
        <v>3002</v>
      </c>
      <c r="H9" s="5374"/>
      <c r="I9" s="5371"/>
      <c r="J9" s="5376" t="s">
        <v>102</v>
      </c>
      <c r="K9" s="5293" t="s">
        <v>102</v>
      </c>
      <c r="L9" s="5293" t="s">
        <v>102</v>
      </c>
      <c r="M9" s="5293" t="s">
        <v>102</v>
      </c>
      <c r="N9" s="5293" t="s">
        <v>102</v>
      </c>
      <c r="O9" s="5293" t="s">
        <v>102</v>
      </c>
      <c r="P9" s="5293" t="s">
        <v>102</v>
      </c>
      <c r="Q9" s="5293" t="s">
        <v>3003</v>
      </c>
      <c r="R9" s="5280" t="s">
        <v>2238</v>
      </c>
      <c r="S9" s="5280"/>
      <c r="T9" s="2725" t="s">
        <v>2239</v>
      </c>
      <c r="U9" s="5280" t="s">
        <v>2238</v>
      </c>
      <c r="V9" s="5280"/>
      <c r="W9" s="2725" t="s">
        <v>2239</v>
      </c>
      <c r="X9" s="5382"/>
      <c r="Y9" s="5384"/>
    </row>
    <row r="10" spans="1:29" s="154" customFormat="1" ht="50.1" customHeight="1">
      <c r="A10" s="5359"/>
      <c r="B10" s="5360"/>
      <c r="C10" s="5363"/>
      <c r="D10" s="5294"/>
      <c r="E10" s="5372"/>
      <c r="F10" s="5373"/>
      <c r="G10" s="5372"/>
      <c r="H10" s="5375"/>
      <c r="I10" s="5373"/>
      <c r="J10" s="5377"/>
      <c r="K10" s="5294"/>
      <c r="L10" s="5294"/>
      <c r="M10" s="5294"/>
      <c r="N10" s="5294"/>
      <c r="O10" s="5294"/>
      <c r="P10" s="5294"/>
      <c r="Q10" s="5294"/>
      <c r="R10" s="5304" t="s">
        <v>2232</v>
      </c>
      <c r="S10" s="5306"/>
      <c r="T10" s="2514" t="s">
        <v>2232</v>
      </c>
      <c r="U10" s="5290" t="s">
        <v>2232</v>
      </c>
      <c r="V10" s="5291"/>
      <c r="W10" s="3380" t="s">
        <v>2232</v>
      </c>
      <c r="X10" s="5383"/>
      <c r="Y10" s="5385"/>
    </row>
    <row r="11" spans="1:29" s="157" customFormat="1" ht="49.5" customHeight="1">
      <c r="A11" s="5346" t="s">
        <v>3017</v>
      </c>
      <c r="B11" s="2470" t="s">
        <v>2482</v>
      </c>
      <c r="C11" s="1186">
        <f>CEILING('Погонаж база'!E31*(1+скидки_наценки!$B$28)*скидки_наценки!$D$19*скидки_наценки!$F$19/скидки_наценки!$B$4, 10)</f>
        <v>1550</v>
      </c>
      <c r="D11" s="568">
        <f>E11</f>
        <v>850</v>
      </c>
      <c r="E11" s="1186">
        <f>CEILING('Погонаж база'!T31*(1+скидки_наценки!$B$28)*скидки_наценки!$D$19*скидки_наценки!$F$19/скидки_наценки!$B$4, 10)</f>
        <v>850</v>
      </c>
      <c r="F11" s="1186">
        <f>CEILING('Погонаж база'!U31*(1+скидки_наценки!$B$28)*скидки_наценки!$D$19*скидки_наценки!$F$19/скидки_наценки!$B$4, 10)</f>
        <v>1000</v>
      </c>
      <c r="G11" s="1186">
        <f>CEILING('Погонаж база'!V31*(1+скидки_наценки!$B$28)*скидки_наценки!$D$19*скидки_наценки!$F$19/скидки_наценки!$B$4, 10)</f>
        <v>1000</v>
      </c>
      <c r="H11" s="1186">
        <f>CEILING('Погонаж база'!W31*(1+скидки_наценки!$B$28)*скидки_наценки!$D$19*скидки_наценки!$F$19/скидки_наценки!$B$4, 10)</f>
        <v>1100</v>
      </c>
      <c r="I11" s="2359">
        <f>CEILING('Погонаж база'!X31*(1+скидки_наценки!$B$30)*скидки_наценки!$D$19*скидки_наценки!$F$19/скидки_наценки!$B$4, 10)</f>
        <v>1350</v>
      </c>
      <c r="J11" s="1186">
        <f>CEILING('Погонаж база'!AB31*(1+скидки_наценки!$B$28)*скидки_наценки!$D$19*скидки_наценки!$F$19/скидки_наценки!$B$4, 50)</f>
        <v>0</v>
      </c>
      <c r="K11" s="1186" t="s">
        <v>2612</v>
      </c>
      <c r="L11" s="1186">
        <f>CEILING('Погонаж база'!AD31*(1+скидки_наценки!$B$28)*скидки_наценки!$D$19*скидки_наценки!$F$19/скидки_наценки!$B$4, 50)</f>
        <v>0</v>
      </c>
      <c r="M11" s="1186">
        <f>CEILING('Погонаж база'!AE31*(1+скидки_наценки!$B$28)*скидки_наценки!$D$19*скидки_наценки!$F$19/скидки_наценки!$B$4, 50)</f>
        <v>0</v>
      </c>
      <c r="N11" s="1186">
        <f>CEILING('Погонаж база'!AF31*(1+скидки_наценки!$B$28)*скидки_наценки!$D$19*скидки_наценки!$F$19/скидки_наценки!$B$4, 50)</f>
        <v>0</v>
      </c>
      <c r="O11" s="2720" t="s">
        <v>2612</v>
      </c>
      <c r="P11" s="2720" t="s">
        <v>2612</v>
      </c>
      <c r="Q11" s="2720" t="s">
        <v>2612</v>
      </c>
      <c r="R11" s="1186">
        <f>CEILING('Погонаж база'!AR31*(1+скидки_наценки!$B$28)*скидки_наценки!$D$19*скидки_наценки!$F$19/скидки_наценки!$B$4, 10)</f>
        <v>850</v>
      </c>
      <c r="S11" s="1186">
        <f>CEILING('Погонаж база'!AS31*(1+скидки_наценки!$B$28)*скидки_наценки!$D$19*скидки_наценки!$F$19/скидки_наценки!$B$4, 10)</f>
        <v>1350</v>
      </c>
      <c r="T11" s="2359">
        <f>CEILING('Погонаж база'!AU31*(1+скидки_наценки!$B$30)*скидки_наценки!$D$19*скидки_наценки!$F$19/скидки_наценки!$B$4, 5)</f>
        <v>150</v>
      </c>
      <c r="U11" s="2837">
        <f>R11</f>
        <v>850</v>
      </c>
      <c r="V11" s="2837">
        <f>S11</f>
        <v>1350</v>
      </c>
      <c r="W11" s="2837">
        <f>T11</f>
        <v>150</v>
      </c>
      <c r="X11" s="1186">
        <f>CEILING('Погонаж база'!BC31*(1+скидки_наценки!$B$32)*скидки_наценки!$D$19*скидки_наценки!$F$19/скидки_наценки!$B$4, 10)</f>
        <v>120</v>
      </c>
      <c r="Y11" s="2359">
        <f>CEILING('Погонаж база'!BD31*(1+скидки_наценки!$B$30)*скидки_наценки!$D$19*скидки_наценки!$F$19/скидки_наценки!$B$4, 50)</f>
        <v>400</v>
      </c>
      <c r="Z11" s="1166"/>
      <c r="AA11" s="1166"/>
      <c r="AB11" s="1166"/>
      <c r="AC11" s="1166"/>
    </row>
    <row r="12" spans="1:29" s="157" customFormat="1" ht="49.5" customHeight="1">
      <c r="A12" s="5346"/>
      <c r="B12" s="2471" t="s">
        <v>2483</v>
      </c>
      <c r="C12" s="446">
        <f>CEILING('Погонаж база'!E32*(1+скидки_наценки!$B$28)*скидки_наценки!$D$19*скидки_наценки!$F$19/скидки_наценки!$B$4, 10)</f>
        <v>1850</v>
      </c>
      <c r="D12" s="446">
        <f t="shared" ref="D12:D17" si="0">E12</f>
        <v>1050</v>
      </c>
      <c r="E12" s="446">
        <f>CEILING('Погонаж база'!T32*(1+скидки_наценки!$B$28)*скидки_наценки!$D$19*скидки_наценки!$F$19/скидки_наценки!$B$4, 10)</f>
        <v>1050</v>
      </c>
      <c r="F12" s="446">
        <f>CEILING('Погонаж база'!U32*(1+скидки_наценки!$B$28)*скидки_наценки!$D$19*скидки_наценки!$F$19/скидки_наценки!$B$4, 10)</f>
        <v>1200</v>
      </c>
      <c r="G12" s="446">
        <f>CEILING('Погонаж база'!V32*(1+скидки_наценки!$B$28)*скидки_наценки!$D$19*скидки_наценки!$F$19/скидки_наценки!$B$4, 10)</f>
        <v>1200</v>
      </c>
      <c r="H12" s="446">
        <f>CEILING('Погонаж база'!W32*(1+скидки_наценки!$B$28)*скидки_наценки!$D$19*скидки_наценки!$F$19/скидки_наценки!$B$4, 10)</f>
        <v>1300</v>
      </c>
      <c r="I12" s="446">
        <f>CEILING('Погонаж база'!X32*(1+скидки_наценки!$B$30)*скидки_наценки!$D$19*скидки_наценки!$F$19/скидки_наценки!$B$4, 10)</f>
        <v>1600</v>
      </c>
      <c r="J12" s="446">
        <f>CEILING(J11*1.07, 50)</f>
        <v>0</v>
      </c>
      <c r="K12" s="446" t="s">
        <v>2612</v>
      </c>
      <c r="L12" s="446">
        <f>CEILING(L11*1.07, 50)</f>
        <v>0</v>
      </c>
      <c r="M12" s="446">
        <f>CEILING(M11*1.07, 50)</f>
        <v>0</v>
      </c>
      <c r="N12" s="446">
        <f>CEILING(N11*1.07, 50)</f>
        <v>0</v>
      </c>
      <c r="O12" s="2721" t="s">
        <v>2612</v>
      </c>
      <c r="P12" s="2721" t="s">
        <v>2612</v>
      </c>
      <c r="Q12" s="2721" t="s">
        <v>2612</v>
      </c>
      <c r="R12" s="446">
        <f>CEILING('Погонаж база'!AR32*(1+скидки_наценки!$B$28)*скидки_наценки!$D$19*скидки_наценки!$F$19/скидки_наценки!$B$4, 10)</f>
        <v>1050</v>
      </c>
      <c r="S12" s="446">
        <f>CEILING('Погонаж база'!AS32*(1+скидки_наценки!$B$28)*скидки_наценки!$D$19*скидки_наценки!$F$19/скидки_наценки!$B$4, 10)</f>
        <v>1650</v>
      </c>
      <c r="T12" s="446">
        <f>CEILING('Погонаж база'!AU32*(1+скидки_наценки!$B$30)*скидки_наценки!$D$19*скидки_наценки!$F$19/скидки_наценки!$B$4, 5)</f>
        <v>180</v>
      </c>
      <c r="U12" s="2839">
        <f t="shared" ref="U12:U17" si="1">R12</f>
        <v>1050</v>
      </c>
      <c r="V12" s="2839">
        <f t="shared" ref="V12:V17" si="2">S12</f>
        <v>1650</v>
      </c>
      <c r="W12" s="2839">
        <f t="shared" ref="W12:W17" si="3">T12</f>
        <v>180</v>
      </c>
      <c r="X12" s="446">
        <f>X11</f>
        <v>120</v>
      </c>
      <c r="Y12" s="446">
        <f>CEILING('Погонаж база'!BD32*(1+скидки_наценки!$B$30)*скидки_наценки!$D$19*скидки_наценки!$F$19/скидки_наценки!$B$4, 10)</f>
        <v>600</v>
      </c>
      <c r="Z12" s="1166"/>
      <c r="AA12" s="1166"/>
      <c r="AB12" s="1166"/>
      <c r="AC12" s="1166"/>
    </row>
    <row r="13" spans="1:29" s="157" customFormat="1" ht="49.5" customHeight="1">
      <c r="A13" s="2472" t="s">
        <v>30</v>
      </c>
      <c r="B13" s="2470" t="s">
        <v>284</v>
      </c>
      <c r="C13" s="1186">
        <f>CEILING('Погонаж база'!E33*(1+скидки_наценки!$B$30)*скидки_наценки!$D$19*скидки_наценки!$F$19/скидки_наценки!$B$4, 10)</f>
        <v>2350</v>
      </c>
      <c r="D13" s="701">
        <f t="shared" si="0"/>
        <v>1300</v>
      </c>
      <c r="E13" s="1186">
        <f>CEILING('Погонаж база'!T33*(1+скидки_наценки!$B$30)*скидки_наценки!$D$19*скидки_наценки!$F$19/скидки_наценки!$B$4, 10)</f>
        <v>1300</v>
      </c>
      <c r="F13" s="1186">
        <f>CEILING('Погонаж база'!U33*(1+скидки_наценки!$B$30)*скидки_наценки!$D$19*скидки_наценки!$F$19/скидки_наценки!$B$4, 10)</f>
        <v>1500</v>
      </c>
      <c r="G13" s="1186">
        <f>CEILING('Погонаж база'!V33*(1+скидки_наценки!$B$30)*скидки_наценки!$D$19*скидки_наценки!$F$19/скидки_наценки!$B$4, 10)</f>
        <v>1500</v>
      </c>
      <c r="H13" s="1186">
        <f>CEILING('Погонаж база'!W33*(1+скидки_наценки!$B$30)*скидки_наценки!$D$19*скидки_наценки!$F$19/скидки_наценки!$B$4, 10)</f>
        <v>1650</v>
      </c>
      <c r="I13" s="2359">
        <f>CEILING('Погонаж база'!X33*(1+скидки_наценки!$B$30)*скидки_наценки!$D$19*скидки_наценки!$F$19/скидки_наценки!$B$4, 10)</f>
        <v>2050</v>
      </c>
      <c r="J13" s="2701" t="s">
        <v>4</v>
      </c>
      <c r="K13" s="1186">
        <f>CEILING('Погонаж база'!AC33*(1+скидки_наценки!$B$30)*скидки_наценки!$D$19*скидки_наценки!$F$19/скидки_наценки!$B$4, 10)</f>
        <v>2300</v>
      </c>
      <c r="L13" s="1186">
        <f>CEILING('Погонаж база'!AD33*(1+скидки_наценки!$B$30)*скидки_наценки!$D$19*скидки_наценки!$F$19/скидки_наценки!$B$4, 10)</f>
        <v>2750</v>
      </c>
      <c r="M13" s="1186">
        <f>CEILING('Погонаж база'!AE33*(1+скидки_наценки!$B$30)*скидки_наценки!$D$19*скидки_наценки!$F$19/скидки_наценки!$B$4, 10)</f>
        <v>2950</v>
      </c>
      <c r="N13" s="1186">
        <f>CEILING('Погонаж база'!AF33*(1+скидки_наценки!$B$30)*скидки_наценки!$D$19*скидки_наценки!$F$19/скидки_наценки!$B$4, 10)</f>
        <v>3900</v>
      </c>
      <c r="O13" s="2359">
        <f>CEILING('Погонаж база'!Z33*(1+скидки_наценки!$B$30)*скидки_наценки!$D$19*скидки_наценки!$F$19/скидки_наценки!$B$4, 10)</f>
        <v>1700</v>
      </c>
      <c r="P13" s="2359">
        <f>CEILING('Погонаж база'!AA33*(1+скидки_наценки!$B$30)*скидки_наценки!$D$19*скидки_наценки!$F$19/скидки_наценки!$B$4, 10)</f>
        <v>2050</v>
      </c>
      <c r="Q13" s="2359">
        <f>CEILING('Погонаж база'!Y33*(1+скидки_наценки!$B$30)*скидки_наценки!$D$19*скидки_наценки!$F$19/скидки_наценки!$B$4, 10)</f>
        <v>3450</v>
      </c>
      <c r="R13" s="1230">
        <f>CEILING('Погонаж база'!AR33*(1+скидки_наценки!$B$30)*скидки_наценки!$D$19*скидки_наценки!$F$19/скидки_наценки!$B$4, 10)</f>
        <v>1300</v>
      </c>
      <c r="S13" s="1186">
        <f>CEILING('Погонаж база'!AS33*(1+скидки_наценки!$B$30)*скидки_наценки!$D$19*скидки_наценки!$F$19/скидки_наценки!$B$4, 10)</f>
        <v>2050</v>
      </c>
      <c r="T13" s="1186">
        <f>CEILING('Погонаж база'!AU33*(1+скидки_наценки!$B$30)*скидки_наценки!$D$19*скидки_наценки!$F$19/скидки_наценки!$B$4, 5)</f>
        <v>230</v>
      </c>
      <c r="U13" s="2837">
        <f t="shared" si="1"/>
        <v>1300</v>
      </c>
      <c r="V13" s="2837">
        <f t="shared" si="2"/>
        <v>2050</v>
      </c>
      <c r="W13" s="2837">
        <f t="shared" si="3"/>
        <v>230</v>
      </c>
      <c r="X13" s="1186">
        <f>CEILING('Погонаж база'!BC33*(1+скидки_наценки!$B$32)*скидки_наценки!$D$19*скидки_наценки!$F$19/скидки_наценки!$B$4, 10)</f>
        <v>120</v>
      </c>
      <c r="Y13" s="1186">
        <f>CEILING('Погонаж база'!BD33*(1+скидки_наценки!$B$30)*скидки_наценки!$D$19*скидки_наценки!$F$19/скидки_наценки!$B$4, 50)</f>
        <v>800</v>
      </c>
      <c r="Z13" s="1166"/>
      <c r="AA13" s="1166"/>
      <c r="AB13" s="1166"/>
      <c r="AC13" s="1166"/>
    </row>
    <row r="14" spans="1:29" s="157" customFormat="1" ht="49.5" customHeight="1">
      <c r="A14" s="5379" t="s">
        <v>26</v>
      </c>
      <c r="B14" s="2471" t="s">
        <v>2587</v>
      </c>
      <c r="C14" s="446">
        <f>CEILING('Погонаж база'!E34*(1+скидки_наценки!$B$28)*скидки_наценки!$D$19*скидки_наценки!$F$19/скидки_наценки!$B$4, 10)</f>
        <v>2500</v>
      </c>
      <c r="D14" s="446">
        <f t="shared" si="0"/>
        <v>1400</v>
      </c>
      <c r="E14" s="446">
        <f>CEILING('Погонаж база'!T34*(1+скидки_наценки!$B$29)*скидки_наценки!$D$19*скидки_наценки!$F$19/скидки_наценки!$B$4, 10)</f>
        <v>1400</v>
      </c>
      <c r="F14" s="446">
        <f>CEILING('Погонаж база'!U34*(1+скидки_наценки!$B$29)*скидки_наценки!$D$19*скидки_наценки!$F$19/скидки_наценки!$B$4, 10)</f>
        <v>1600</v>
      </c>
      <c r="G14" s="446">
        <f>CEILING('Погонаж база'!V34*(1+скидки_наценки!$B$29)*скидки_наценки!$D$19*скидки_наценки!$F$19/скидки_наценки!$B$4, 10)</f>
        <v>1600</v>
      </c>
      <c r="H14" s="446">
        <f>CEILING('Погонаж база'!W34*(1+скидки_наценки!$B$29)*скидки_наценки!$D$19*скидки_наценки!$F$19/скидки_наценки!$B$4, 10)</f>
        <v>1750</v>
      </c>
      <c r="I14" s="446">
        <f>CEILING('Погонаж база'!X34*(1+скидки_наценки!$B$30)*скидки_наценки!$D$19*скидки_наценки!$F$19/скидки_наценки!$B$4, 10)</f>
        <v>2200</v>
      </c>
      <c r="J14" s="446">
        <f>CEILING('Погонаж база'!AB34*(1+скидки_наценки!$B$29)*скидки_наценки!$D$19*скидки_наценки!$F$19/скидки_наценки!$B$4, 10)</f>
        <v>2450</v>
      </c>
      <c r="K14" s="446">
        <f>CEILING('Погонаж база'!AC34*(1+скидки_наценки!$B$29)*скидки_наценки!$D$19*скидки_наценки!$F$19/скидки_наценки!$B$4, 50)</f>
        <v>0</v>
      </c>
      <c r="L14" s="446">
        <f>CEILING('Погонаж база'!AD34*(1+скидки_наценки!$B$29)*скидки_наценки!$D$19*скидки_наценки!$F$19/скидки_наценки!$B$4, 50)</f>
        <v>0</v>
      </c>
      <c r="M14" s="446">
        <f>CEILING('Погонаж база'!AE34*(1+скидки_наценки!$B$29)*скидки_наценки!$D$19*скидки_наценки!$F$19/скидки_наценки!$B$4, 50)</f>
        <v>0</v>
      </c>
      <c r="N14" s="446">
        <f>CEILING('Погонаж база'!AF34*(1+скидки_наценки!$B$29)*скидки_наценки!$D$19*скидки_наценки!$F$19/скидки_наценки!$B$4, 50)</f>
        <v>0</v>
      </c>
      <c r="O14" s="2721" t="s">
        <v>2612</v>
      </c>
      <c r="P14" s="2721" t="s">
        <v>2612</v>
      </c>
      <c r="Q14" s="2721" t="s">
        <v>2612</v>
      </c>
      <c r="R14" s="446">
        <f>CEILING('Погонаж база'!AR34*(1+скидки_наценки!$B$29)*скидки_наценки!$D$19*скидки_наценки!$F$19/скидки_наценки!$B$4, 10)</f>
        <v>1400</v>
      </c>
      <c r="S14" s="446">
        <f>CEILING('Погонаж база'!AS34*(1+скидки_наценки!$B$29)*скидки_наценки!$D$19*скидки_наценки!$F$19/скидки_наценки!$B$4, 10)</f>
        <v>2200</v>
      </c>
      <c r="T14" s="446">
        <f>CEILING('Погонаж база'!AU34*(1+скидки_наценки!$B$30)*скидки_наценки!$D$19*скидки_наценки!$F$19/скидки_наценки!$B$4, 5)</f>
        <v>250</v>
      </c>
      <c r="U14" s="2839">
        <f t="shared" si="1"/>
        <v>1400</v>
      </c>
      <c r="V14" s="2839">
        <f t="shared" si="2"/>
        <v>2200</v>
      </c>
      <c r="W14" s="2839">
        <f t="shared" si="3"/>
        <v>250</v>
      </c>
      <c r="X14" s="446">
        <f>CEILING('Погонаж база'!BC34*(1+скидки_наценки!$B$32)*скидки_наценки!$D$19*скидки_наценки!$F$19/скидки_наценки!$B$4, 10)</f>
        <v>120</v>
      </c>
      <c r="Y14" s="446">
        <f>CEILING('Погонаж база'!BD34*(1+скидки_наценки!$B$29)*скидки_наценки!$D$19*скидки_наценки!$F$19/скидки_наценки!$B$4, 10)</f>
        <v>850</v>
      </c>
      <c r="Z14" s="1166"/>
      <c r="AA14" s="1166"/>
      <c r="AB14" s="1166"/>
      <c r="AC14" s="1166"/>
    </row>
    <row r="15" spans="1:29" s="157" customFormat="1" ht="49.5" customHeight="1">
      <c r="A15" s="5380"/>
      <c r="B15" s="2470" t="s">
        <v>2579</v>
      </c>
      <c r="C15" s="2359">
        <f>CEILING('Погонаж база'!E35*(1+скидки_наценки!$B$29)*скидки_наценки!$D$19*скидки_наценки!$F$19/скидки_наценки!$B$4, 110)</f>
        <v>2750</v>
      </c>
      <c r="D15" s="2359">
        <f t="shared" si="0"/>
        <v>1500</v>
      </c>
      <c r="E15" s="2359">
        <f>CEILING('Погонаж база'!T35*(1+скидки_наценки!$B$29)*скидки_наценки!$D$19*скидки_наценки!$F$19/скидки_наценки!$B$4, 10)</f>
        <v>1500</v>
      </c>
      <c r="F15" s="2359">
        <f>CEILING('Погонаж база'!U35*(1+скидки_наценки!$B$29)*скидки_наценки!$D$19*скидки_наценки!$F$19/скидки_наценки!$B$4, 10)</f>
        <v>1700</v>
      </c>
      <c r="G15" s="2359">
        <f>CEILING('Погонаж база'!V35*(1+скидки_наценки!$B$29)*скидки_наценки!$D$19*скидки_наценки!$F$19/скидки_наценки!$B$4, 10)</f>
        <v>1700</v>
      </c>
      <c r="H15" s="2359">
        <f>CEILING('Погонаж база'!W35*(1+скидки_наценки!$B$29)*скидки_наценки!$D$19*скидки_наценки!$F$19/скидки_наценки!$B$4, 10)</f>
        <v>1900</v>
      </c>
      <c r="I15" s="2359">
        <f>CEILING('Погонаж база'!X35*(1+скидки_наценки!$B$30)*скидки_наценки!$D$19*скидки_наценки!$F$19/скидки_наценки!$B$4, 10)</f>
        <v>2350</v>
      </c>
      <c r="J15" s="2359">
        <f>CEILING('Погонаж база'!AB35*(1+скидки_наценки!$B$29)*скидки_наценки!$D$19*скидки_наценки!$F$19/скидки_наценки!$B$4, 10)</f>
        <v>2600</v>
      </c>
      <c r="K15" s="2359">
        <f>CEILING('Погонаж база'!AC35*(1+скидки_наценки!$B$29)*скидки_наценки!$D$19*скидки_наценки!$F$19/скидки_наценки!$B$4, 50)</f>
        <v>0</v>
      </c>
      <c r="L15" s="2359">
        <f>CEILING('Погонаж база'!AD35*(1+скидки_наценки!$B$29)*скидки_наценки!$D$19*скидки_наценки!$F$19/скидки_наценки!$B$4, 50)</f>
        <v>0</v>
      </c>
      <c r="M15" s="2359">
        <f>CEILING('Погонаж база'!AE35*(1+скидки_наценки!$B$29)*скидки_наценки!$D$19*скидки_наценки!$F$19/скидки_наценки!$B$4, 50)</f>
        <v>0</v>
      </c>
      <c r="N15" s="2359">
        <f>CEILING('Погонаж база'!AF35*(1+скидки_наценки!$B$29)*скидки_наценки!$D$19*скидки_наценки!$F$19/скидки_наценки!$B$4, 50)</f>
        <v>0</v>
      </c>
      <c r="O15" s="2720" t="s">
        <v>2612</v>
      </c>
      <c r="P15" s="2720" t="s">
        <v>2612</v>
      </c>
      <c r="Q15" s="2720" t="s">
        <v>2612</v>
      </c>
      <c r="R15" s="2359">
        <f>CEILING('Погонаж база'!AR35*(1+скидки_наценки!$B$29)*скидки_наценки!$D$19*скидки_наценки!$F$19/скидки_наценки!$B$4, 10)</f>
        <v>1500</v>
      </c>
      <c r="S15" s="2359">
        <f>CEILING('Погонаж база'!AS35*(1+скидки_наценки!$B$29)*скидки_наценки!$D$19*скидки_наценки!$F$19/скидки_наценки!$B$4, 10)</f>
        <v>2350</v>
      </c>
      <c r="T15" s="2359">
        <f>CEILING('Погонаж база'!AU35*(1+скидки_наценки!$B$30)*скидки_наценки!$D$19*скидки_наценки!$F$19/скидки_наценки!$B$4, 5)</f>
        <v>260</v>
      </c>
      <c r="U15" s="2837">
        <f t="shared" si="1"/>
        <v>1500</v>
      </c>
      <c r="V15" s="2837">
        <f t="shared" si="2"/>
        <v>2350</v>
      </c>
      <c r="W15" s="2837">
        <f t="shared" si="3"/>
        <v>260</v>
      </c>
      <c r="X15" s="2359">
        <f>CEILING('Погонаж база'!BC35*(1+скидки_наценки!$B$32)*скидки_наценки!$D$19*скидки_наценки!$F$19/скидки_наценки!$B$4, 10)</f>
        <v>120</v>
      </c>
      <c r="Y15" s="2359">
        <f>CEILING('Погонаж база'!BD35*(1+скидки_наценки!$B$29)*скидки_наценки!$D$19*скидки_наценки!$F$19/скидки_наценки!$B$4, 10)</f>
        <v>900</v>
      </c>
      <c r="Z15" s="1221"/>
      <c r="AA15" s="1166"/>
      <c r="AB15" s="1166"/>
      <c r="AC15" s="1166"/>
    </row>
    <row r="16" spans="1:29" s="157" customFormat="1" ht="49.5" customHeight="1">
      <c r="A16" s="5380"/>
      <c r="B16" s="3921" t="s">
        <v>3380</v>
      </c>
      <c r="C16" s="446">
        <f>CEILING('Погонаж база'!E36*(1+скидки_наценки!$B$29)*скидки_наценки!$D$19*скидки_наценки!$F$19/скидки_наценки!$B$4, 10)</f>
        <v>2800</v>
      </c>
      <c r="D16" s="446">
        <f>E16</f>
        <v>1550</v>
      </c>
      <c r="E16" s="446">
        <f>CEILING('Погонаж база'!T36*(1+скидки_наценки!$B$29)*скидки_наценки!$D$19*скидки_наценки!$F$19/скидки_наценки!$B$4, 10)</f>
        <v>1550</v>
      </c>
      <c r="F16" s="446">
        <f>CEILING('Погонаж база'!U36*(1+скидки_наценки!$B$29)*скидки_наценки!$D$19*скидки_наценки!$F$19/скидки_наценки!$B$4, 10)</f>
        <v>1800</v>
      </c>
      <c r="G16" s="446">
        <f>CEILING('Погонаж база'!V36*(1+скидки_наценки!$B$29)*скидки_наценки!$D$19*скидки_наценки!$F$19/скидки_наценки!$B$4, 10)</f>
        <v>1800</v>
      </c>
      <c r="H16" s="446">
        <f>CEILING('Погонаж база'!W36*(1+скидки_наценки!$B$29)*скидки_наценки!$D$19*скидки_наценки!$F$19/скидки_наценки!$B$4, 10)</f>
        <v>1950</v>
      </c>
      <c r="I16" s="446">
        <f>CEILING('Погонаж база'!X36*(1+скидки_наценки!$B$30)*скидки_наценки!$D$19*скидки_наценки!$F$19/скидки_наценки!$B$4, 10)</f>
        <v>2450</v>
      </c>
      <c r="J16" s="446" t="s">
        <v>2612</v>
      </c>
      <c r="K16" s="446" t="s">
        <v>2612</v>
      </c>
      <c r="L16" s="446">
        <f>CEILING(L15*1.07, 50)</f>
        <v>0</v>
      </c>
      <c r="M16" s="446">
        <f>CEILING(M15*1.07, 50)</f>
        <v>0</v>
      </c>
      <c r="N16" s="446">
        <f>CEILING(N15*1.07, 50)</f>
        <v>0</v>
      </c>
      <c r="O16" s="2721" t="s">
        <v>2612</v>
      </c>
      <c r="P16" s="2721" t="s">
        <v>2612</v>
      </c>
      <c r="Q16" s="2721" t="s">
        <v>2612</v>
      </c>
      <c r="R16" s="446">
        <f>CEILING('Погонаж база'!AR36*(1+скидки_наценки!$B$29)*скидки_наценки!$D$19*скидки_наценки!$F$19/скидки_наценки!$B$4, 10)</f>
        <v>1550</v>
      </c>
      <c r="S16" s="446">
        <f>CEILING('Погонаж база'!AS36*(1+скидки_наценки!$B$29)*скидки_наценки!$D$19*скидки_наценки!$F$19/скидки_наценки!$B$4, 10)</f>
        <v>2450</v>
      </c>
      <c r="T16" s="446">
        <f>CEILING('Погонаж база'!AU36*(1+скидки_наценки!$B$30)*скидки_наценки!$D$19*скидки_наценки!$F$19/скидки_наценки!$B$4, 5)</f>
        <v>280</v>
      </c>
      <c r="U16" s="2721" t="s">
        <v>2612</v>
      </c>
      <c r="V16" s="2721" t="s">
        <v>2612</v>
      </c>
      <c r="W16" s="2721" t="s">
        <v>2612</v>
      </c>
      <c r="X16" s="446">
        <f>CEILING('Погонаж база'!BC36*(1+скидки_наценки!$B$32)*скидки_наценки!$D$19*скидки_наценки!$F$19/скидки_наценки!$B$4, 10)</f>
        <v>120</v>
      </c>
      <c r="Y16" s="446">
        <f>CEILING('Погонаж база'!BD36*(1+скидки_наценки!$B$29)*скидки_наценки!$D$19*скидки_наценки!$F$19/скидки_наценки!$B$4, 50)</f>
        <v>950</v>
      </c>
      <c r="Z16" s="1221"/>
      <c r="AA16" s="1166"/>
      <c r="AB16" s="1166"/>
      <c r="AC16" s="1166"/>
    </row>
    <row r="17" spans="1:56" s="157" customFormat="1" ht="49.5" customHeight="1">
      <c r="A17" s="5381"/>
      <c r="B17" s="2470" t="s">
        <v>2589</v>
      </c>
      <c r="C17" s="2359">
        <f>CEILING('Погонаж база'!E37*(1+скидки_наценки!$B$29)*скидки_наценки!$D$19*скидки_наценки!$F$19/скидки_наценки!$B$4, 10)</f>
        <v>2900</v>
      </c>
      <c r="D17" s="2359">
        <f t="shared" si="0"/>
        <v>1600</v>
      </c>
      <c r="E17" s="2359">
        <f>CEILING('Погонаж база'!T37*(1+скидки_наценки!$B$29)*скидки_наценки!$D$19*скидки_наценки!$F$19/скидки_наценки!$B$4, 10)</f>
        <v>1600</v>
      </c>
      <c r="F17" s="2359">
        <f>CEILING('Погонаж база'!U37*(1+скидки_наценки!$B$29)*скидки_наценки!$D$19*скидки_наценки!$F$19/скидки_наценки!$B$4, 10)</f>
        <v>1850</v>
      </c>
      <c r="G17" s="2359">
        <f>CEILING('Погонаж база'!V37*(1+скидки_наценки!$B$29)*скидки_наценки!$D$19*скидки_наценки!$F$19/скидки_наценки!$B$4, 10)</f>
        <v>1850</v>
      </c>
      <c r="H17" s="2359">
        <f>CEILING('Погонаж база'!W37*(1+скидки_наценки!$B$29)*скидки_наценки!$D$19*скидки_наценки!$F$19/скидки_наценки!$B$4, 10)</f>
        <v>2050</v>
      </c>
      <c r="I17" s="2359">
        <f>CEILING('Погонаж база'!X37*(1+скидки_наценки!$B$30)*скидки_наценки!$D$19*скидки_наценки!$F$19/скидки_наценки!$B$4, 10)</f>
        <v>2550</v>
      </c>
      <c r="J17" s="2359">
        <f>CEILING('Погонаж база'!AB37*(1+скидки_наценки!$B$29)*скидки_наценки!$D$19*скидки_наценки!$F$19/скидки_наценки!$B$4, 10)</f>
        <v>2850</v>
      </c>
      <c r="K17" s="2359">
        <f>CEILING('Погонаж база'!AC37*(1+скидки_наценки!$B$29)*скидки_наценки!$D$19*скидки_наценки!$F$19/скидки_наценки!$B$4, 50)</f>
        <v>0</v>
      </c>
      <c r="L17" s="2359">
        <f>CEILING('Погонаж база'!AD37*(1+скидки_наценки!$B$29)*скидки_наценки!$D$19*скидки_наценки!$F$19/скидки_наценки!$B$4, 50)</f>
        <v>0</v>
      </c>
      <c r="M17" s="2359">
        <f>CEILING('Погонаж база'!AE37*(1+скидки_наценки!$B$29)*скидки_наценки!$D$19*скидки_наценки!$F$19/скидки_наценки!$B$4, 50)</f>
        <v>0</v>
      </c>
      <c r="N17" s="2359">
        <f>CEILING('Погонаж база'!AF37*(1+скидки_наценки!$B$29)*скидки_наценки!$D$19*скидки_наценки!$F$19/скидки_наценки!$B$4, 50)</f>
        <v>0</v>
      </c>
      <c r="O17" s="2720" t="s">
        <v>2616</v>
      </c>
      <c r="P17" s="2720" t="s">
        <v>2616</v>
      </c>
      <c r="Q17" s="2720" t="s">
        <v>2616</v>
      </c>
      <c r="R17" s="2359">
        <f>CEILING('Погонаж база'!AR37*(1+скидки_наценки!$B$29)*скидки_наценки!$D$19*скидки_наценки!$F$19/скидки_наценки!$B$4, 10)</f>
        <v>1600</v>
      </c>
      <c r="S17" s="2359">
        <f>CEILING('Погонаж база'!AS37*(1+скидки_наценки!$B$29)*скидки_наценки!$D$19*скидки_наценки!$F$19/скидки_наценки!$B$4, 10)</f>
        <v>2550</v>
      </c>
      <c r="T17" s="2359">
        <f>CEILING('Погонаж база'!AU37*(1+скидки_наценки!$B$30)*скидки_наценки!$D$19*скидки_наценки!$F$19/скидки_наценки!$B$4, 5)</f>
        <v>290</v>
      </c>
      <c r="U17" s="3916">
        <f t="shared" si="1"/>
        <v>1600</v>
      </c>
      <c r="V17" s="3916">
        <f t="shared" si="2"/>
        <v>2550</v>
      </c>
      <c r="W17" s="3916">
        <f t="shared" si="3"/>
        <v>290</v>
      </c>
      <c r="X17" s="2359">
        <f>CEILING('Погонаж база'!BC37*(1+скидки_наценки!$B$32)*скидки_наценки!$D$19*скидки_наценки!$F$19/скидки_наценки!$B$4, 10)</f>
        <v>120</v>
      </c>
      <c r="Y17" s="2359">
        <f>CEILING('Погонаж база'!BD37*(1+скидки_наценки!$B$29)*скидки_наценки!$D$19*скидки_наценки!$F$19/скидки_наценки!$B$4, 50)</f>
        <v>950</v>
      </c>
      <c r="Z17" s="1221"/>
      <c r="AA17" s="1166"/>
      <c r="AB17" s="1166"/>
      <c r="AC17" s="1166"/>
    </row>
    <row r="18" spans="1:56" s="157" customFormat="1" ht="15" customHeight="1">
      <c r="A18" s="274"/>
      <c r="B18" s="1214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</row>
    <row r="19" spans="1:56" s="11" customFormat="1" ht="15" customHeight="1">
      <c r="A19" s="2911" t="s">
        <v>20</v>
      </c>
      <c r="D19" s="70"/>
      <c r="E19" s="70"/>
      <c r="F19" s="187"/>
      <c r="G19" s="187"/>
      <c r="H19" s="387"/>
      <c r="I19" s="387"/>
      <c r="J19" s="387"/>
      <c r="K19" s="387"/>
      <c r="L19" s="387"/>
      <c r="M19" s="387"/>
      <c r="N19" s="387"/>
      <c r="O19" s="387"/>
      <c r="P19" s="387"/>
      <c r="Q19" s="387"/>
      <c r="R19" s="387"/>
      <c r="S19" s="387"/>
      <c r="T19" s="69"/>
      <c r="U19" s="69"/>
      <c r="V19" s="69"/>
      <c r="W19" s="69"/>
      <c r="X19" s="69"/>
      <c r="Y19" s="69"/>
      <c r="Z19" s="70"/>
    </row>
    <row r="20" spans="1:56" s="157" customFormat="1" ht="45.75" customHeight="1">
      <c r="A20" s="5339" t="s">
        <v>2949</v>
      </c>
      <c r="B20" s="5339"/>
      <c r="C20" s="2837">
        <f>IFERROR(#REF!/(1-#REF!)*#REF!*скидки_наценки!$D$13*скидки_наценки!$F$13,0)</f>
        <v>0</v>
      </c>
      <c r="D20" s="2837">
        <f>IFERROR(#REF!/(1-#REF!)*#REF!*скидки_наценки!$D$13*скидки_наценки!$F$13,0)</f>
        <v>0</v>
      </c>
      <c r="E20" s="2837">
        <f>IFERROR(#REF!/(1-#REF!)*#REF!*скидки_наценки!$D$13*скидки_наценки!$F$13,0)</f>
        <v>0</v>
      </c>
      <c r="F20" s="2837">
        <f>IFERROR(#REF!/(1-#REF!)*#REF!*скидки_наценки!$D$13*скидки_наценки!$F$13,0)</f>
        <v>0</v>
      </c>
      <c r="G20" s="2837">
        <f>IFERROR(#REF!/(1-#REF!)*#REF!*скидки_наценки!$D$13*скидки_наценки!$F$13,0)</f>
        <v>0</v>
      </c>
      <c r="H20" s="2837">
        <f>IFERROR(#REF!/(1-#REF!)*#REF!*скидки_наценки!$D$13*скидки_наценки!$F$13,0)</f>
        <v>0</v>
      </c>
      <c r="I20" s="2837">
        <f>IFERROR(#REF!/(1-#REF!)*#REF!*скидки_наценки!$D$13*скидки_наценки!$F$13,0)</f>
        <v>0</v>
      </c>
      <c r="J20" s="2837">
        <f>CEILING('Декоры база'!$F$181*(1+скидки_наценки!$B$32)*скидки_наценки!$D$21*скидки_наценки!$F$21/скидки_наценки!$B$4, 50)</f>
        <v>1400</v>
      </c>
      <c r="K20" s="2837">
        <f>J20</f>
        <v>1400</v>
      </c>
      <c r="L20" s="2837">
        <f>IFERROR(#REF!/(1-#REF!)*#REF!*скидки_наценки!$D$13*скидки_наценки!$F$13,0)</f>
        <v>0</v>
      </c>
      <c r="M20" s="2837">
        <f>IFERROR(#REF!/(1-#REF!)*#REF!*скидки_наценки!$D$13*скидки_наценки!$F$13,0)</f>
        <v>0</v>
      </c>
      <c r="N20" s="2837">
        <f>J20</f>
        <v>1400</v>
      </c>
      <c r="O20" s="2838" t="s">
        <v>2616</v>
      </c>
      <c r="P20" s="2838" t="s">
        <v>2616</v>
      </c>
      <c r="Q20" s="2838" t="s">
        <v>2616</v>
      </c>
      <c r="R20" s="2838" t="s">
        <v>2616</v>
      </c>
      <c r="S20" s="2838" t="s">
        <v>2616</v>
      </c>
      <c r="T20" s="2838" t="s">
        <v>2616</v>
      </c>
      <c r="U20" s="2838" t="s">
        <v>2616</v>
      </c>
      <c r="V20" s="2838" t="s">
        <v>2616</v>
      </c>
      <c r="W20" s="2838" t="s">
        <v>2616</v>
      </c>
      <c r="X20" s="2838" t="s">
        <v>2616</v>
      </c>
      <c r="Y20" s="2838" t="s">
        <v>2616</v>
      </c>
    </row>
    <row r="21" spans="1:56" s="157" customFormat="1" ht="25.5" hidden="1" customHeight="1">
      <c r="A21" s="5340" t="s">
        <v>2745</v>
      </c>
      <c r="B21" s="5340"/>
      <c r="C21" s="2839">
        <f>IFERROR(#REF!/(1-#REF!)*#REF!*скидки_наценки!$D$13*скидки_наценки!$F$13,0)</f>
        <v>0</v>
      </c>
      <c r="D21" s="2839">
        <f>IFERROR(#REF!/(1-#REF!)*#REF!*скидки_наценки!$D$13*скидки_наценки!$F$13,0)</f>
        <v>0</v>
      </c>
      <c r="E21" s="2839">
        <f>IFERROR(#REF!/(1-#REF!)*#REF!*скидки_наценки!$D$13*скидки_наценки!$F$13,0)</f>
        <v>0</v>
      </c>
      <c r="F21" s="2839">
        <f>IFERROR(#REF!/(1-#REF!)*#REF!*скидки_наценки!$D$13*скидки_наценки!$F$13,0)</f>
        <v>0</v>
      </c>
      <c r="G21" s="2839">
        <f>IFERROR(#REF!/(1-#REF!)*#REF!*скидки_наценки!$D$13*скидки_наценки!$F$13,0)</f>
        <v>0</v>
      </c>
      <c r="H21" s="2839">
        <f>IFERROR(#REF!/(1-#REF!)*#REF!*скидки_наценки!$D$13*скидки_наценки!$F$13,0)</f>
        <v>0</v>
      </c>
      <c r="I21" s="2839">
        <f>IFERROR(#REF!/(1-#REF!)*#REF!*скидки_наценки!$D$13*скидки_наценки!$F$13,0)</f>
        <v>0</v>
      </c>
      <c r="J21" s="2839">
        <f>IFERROR(#REF!/(1-#REF!)*#REF!*скидки_наценки!$D$13*скидки_наценки!$F$13,0)</f>
        <v>0</v>
      </c>
      <c r="K21" s="2839">
        <f>CEILING('Декоры база'!$C$181*(1+скидки_наценки!$B$28)*скидки_наценки!$D$21*скидки_наценки!$F$21/скидки_наценки!$B$4, 50)</f>
        <v>650</v>
      </c>
      <c r="L21" s="2839">
        <f>IFERROR(#REF!/(1-#REF!)*#REF!*скидки_наценки!$D$13*скидки_наценки!$F$13,0)</f>
        <v>0</v>
      </c>
      <c r="M21" s="2839">
        <f>IFERROR(#REF!/(1-#REF!)*#REF!*скидки_наценки!$D$13*скидки_наценки!$F$13,0)</f>
        <v>0</v>
      </c>
      <c r="N21" s="2839">
        <f>K21</f>
        <v>650</v>
      </c>
      <c r="O21" s="2840" t="s">
        <v>2612</v>
      </c>
      <c r="P21" s="2840" t="s">
        <v>2612</v>
      </c>
      <c r="Q21" s="2840" t="s">
        <v>2612</v>
      </c>
      <c r="R21" s="2839">
        <f>IFERROR(#REF!/(1-#REF!)*#REF!*скидки_наценки!$D$13*скидки_наценки!$F$13,0)</f>
        <v>0</v>
      </c>
      <c r="S21" s="2839">
        <f>IFERROR(#REF!/(1-#REF!)*#REF!*скидки_наценки!$D$13*скидки_наценки!$F$13,0)</f>
        <v>0</v>
      </c>
      <c r="T21" s="2839">
        <f>IFERROR(#REF!/(1-#REF!)*#REF!*скидки_наценки!$D$13*скидки_наценки!$F$13,0)</f>
        <v>0</v>
      </c>
      <c r="U21" s="2839"/>
      <c r="V21" s="2839"/>
      <c r="W21" s="2839"/>
      <c r="X21" s="2839">
        <f>IFERROR(#REF!/(1-#REF!)*#REF!*скидки_наценки!$D$13*скидки_наценки!$F$13,0)</f>
        <v>0</v>
      </c>
      <c r="Y21" s="2839">
        <f>IFERROR(#REF!/(1-#REF!)*#REF!*скидки_наценки!$D$13*скидки_наценки!$F$13,0)</f>
        <v>0</v>
      </c>
    </row>
    <row r="22" spans="1:56" s="11" customFormat="1" ht="15" customHeight="1">
      <c r="A22" s="261"/>
      <c r="J22" s="158"/>
      <c r="K22" s="158"/>
      <c r="L22" s="158"/>
      <c r="M22" s="158"/>
      <c r="N22" s="158"/>
      <c r="O22" s="158"/>
      <c r="P22" s="158"/>
      <c r="Q22" s="158"/>
      <c r="R22" s="158"/>
      <c r="S22" s="158"/>
      <c r="T22" s="158"/>
      <c r="U22" s="158"/>
      <c r="V22" s="158"/>
      <c r="W22" s="158"/>
      <c r="X22" s="158"/>
      <c r="Y22" s="245"/>
    </row>
    <row r="23" spans="1:56" s="79" customFormat="1" ht="15" customHeight="1">
      <c r="A23" s="3106" t="s">
        <v>127</v>
      </c>
      <c r="H23" s="146"/>
      <c r="I23" s="589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69"/>
    </row>
    <row r="24" spans="1:56" s="79" customFormat="1" ht="15" customHeight="1">
      <c r="A24" s="79" t="s">
        <v>2457</v>
      </c>
      <c r="B24" s="11"/>
      <c r="H24" s="2646"/>
      <c r="I24" s="589"/>
      <c r="J24" s="146"/>
      <c r="K24" s="146"/>
      <c r="L24" s="146"/>
      <c r="M24" s="311"/>
      <c r="N24" s="585"/>
      <c r="O24" s="589"/>
      <c r="P24" s="589"/>
      <c r="Q24" s="589"/>
      <c r="R24" s="146"/>
      <c r="S24" s="146"/>
      <c r="T24" s="146"/>
      <c r="U24" s="589"/>
      <c r="V24" s="589"/>
      <c r="W24" s="589"/>
    </row>
    <row r="25" spans="1:56" s="153" customFormat="1" ht="15" customHeight="1">
      <c r="A25" s="10"/>
      <c r="B25" s="541" t="s">
        <v>691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</row>
    <row r="26" spans="1:56" s="153" customFormat="1" ht="15" customHeight="1">
      <c r="A26" s="10"/>
      <c r="B26" s="541" t="s">
        <v>692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59"/>
    </row>
    <row r="27" spans="1:56" s="153" customFormat="1" ht="15" customHeight="1">
      <c r="A27" s="10"/>
      <c r="B27" s="541" t="s">
        <v>857</v>
      </c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</row>
    <row r="28" spans="1:56" s="153" customFormat="1" ht="15" customHeight="1">
      <c r="A28" s="79" t="s">
        <v>2813</v>
      </c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</row>
    <row r="29" spans="1:56" s="156" customFormat="1" ht="18.75" customHeight="1">
      <c r="A29" s="79" t="s">
        <v>3015</v>
      </c>
      <c r="B29" s="306"/>
      <c r="C29" s="306"/>
      <c r="D29" s="306"/>
      <c r="E29" s="306"/>
      <c r="F29" s="306"/>
      <c r="G29" s="306"/>
      <c r="H29" s="306"/>
      <c r="I29" s="589"/>
      <c r="J29" s="306"/>
      <c r="K29" s="306"/>
      <c r="L29" s="306"/>
      <c r="M29" s="311"/>
      <c r="N29" s="585"/>
      <c r="O29" s="589"/>
      <c r="P29" s="589"/>
      <c r="Q29" s="589"/>
      <c r="R29" s="306"/>
      <c r="S29" s="306"/>
      <c r="T29" s="146"/>
      <c r="U29" s="589"/>
      <c r="V29" s="589"/>
      <c r="W29" s="589"/>
    </row>
    <row r="30" spans="1:56" s="156" customFormat="1" ht="17.100000000000001" customHeight="1">
      <c r="A30" s="306"/>
      <c r="B30" s="306"/>
      <c r="C30" s="306"/>
      <c r="D30" s="306"/>
      <c r="E30" s="306"/>
      <c r="F30" s="306"/>
      <c r="G30" s="306"/>
      <c r="H30" s="306"/>
      <c r="I30" s="589"/>
      <c r="J30" s="306"/>
      <c r="K30" s="306"/>
      <c r="L30" s="306"/>
      <c r="M30" s="311"/>
      <c r="N30" s="585"/>
      <c r="O30" s="589"/>
      <c r="P30" s="589"/>
      <c r="Q30" s="589"/>
      <c r="R30" s="306"/>
      <c r="S30" s="306"/>
      <c r="T30" s="146"/>
      <c r="U30" s="589"/>
      <c r="V30" s="589"/>
      <c r="W30" s="589"/>
    </row>
    <row r="31" spans="1:56" s="79" customFormat="1" ht="48.75" customHeight="1">
      <c r="A31" s="5341" t="s">
        <v>155</v>
      </c>
      <c r="B31" s="5341"/>
      <c r="C31" s="5341"/>
      <c r="D31" s="5308" t="s">
        <v>156</v>
      </c>
      <c r="E31" s="5308"/>
      <c r="F31" s="5308"/>
      <c r="S31" s="158"/>
      <c r="T31" s="158"/>
      <c r="U31" s="158"/>
      <c r="V31" s="158"/>
      <c r="W31" s="158"/>
      <c r="X31" s="158"/>
      <c r="Y31" s="306"/>
      <c r="Z31" s="589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6"/>
    </row>
    <row r="32" spans="1:56" s="153" customFormat="1" ht="18" customHeight="1">
      <c r="A32" s="5338" t="s">
        <v>88</v>
      </c>
      <c r="B32" s="5338"/>
      <c r="C32" s="5344" t="s">
        <v>316</v>
      </c>
      <c r="D32" s="5345"/>
      <c r="E32" s="5345"/>
      <c r="F32" s="5345"/>
      <c r="G32" s="5292" t="s">
        <v>317</v>
      </c>
      <c r="H32" s="5292"/>
      <c r="I32" s="5292"/>
      <c r="J32" s="5292"/>
      <c r="K32" s="5292" t="s">
        <v>2402</v>
      </c>
      <c r="L32" s="5295" t="s">
        <v>89</v>
      </c>
      <c r="M32" s="5296"/>
      <c r="N32" s="158"/>
      <c r="O32" s="158"/>
      <c r="P32" s="158"/>
      <c r="Q32" s="158"/>
      <c r="X32" s="306"/>
      <c r="Y32" s="306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  <c r="AJ32" s="146"/>
      <c r="AK32" s="146"/>
      <c r="AL32" s="146"/>
      <c r="AM32" s="146"/>
      <c r="AN32" s="146"/>
      <c r="AO32" s="146"/>
      <c r="AP32" s="146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  <c r="BA32" s="146"/>
      <c r="BB32" s="146"/>
      <c r="BC32" s="146"/>
      <c r="BD32" s="146"/>
    </row>
    <row r="33" spans="1:56" s="153" customFormat="1" ht="18" customHeight="1">
      <c r="A33" s="5338"/>
      <c r="B33" s="5338"/>
      <c r="C33" s="2318" t="s">
        <v>6</v>
      </c>
      <c r="D33" s="5307" t="s">
        <v>85</v>
      </c>
      <c r="E33" s="5307"/>
      <c r="F33" s="5307"/>
      <c r="G33" s="2318" t="s">
        <v>6</v>
      </c>
      <c r="H33" s="5307" t="s">
        <v>85</v>
      </c>
      <c r="I33" s="5307"/>
      <c r="J33" s="5307"/>
      <c r="K33" s="5292"/>
      <c r="L33" s="5297" t="s">
        <v>91</v>
      </c>
      <c r="M33" s="5298"/>
      <c r="N33" s="158"/>
      <c r="O33" s="158"/>
      <c r="P33" s="158"/>
      <c r="Q33" s="158"/>
      <c r="R33" s="393"/>
      <c r="S33" s="589"/>
      <c r="T33" s="393"/>
      <c r="U33" s="589"/>
      <c r="V33" s="589"/>
      <c r="W33" s="589"/>
      <c r="X33" s="393"/>
      <c r="Y33" s="393"/>
      <c r="Z33" s="393"/>
      <c r="AA33" s="393"/>
      <c r="AB33" s="393"/>
      <c r="AC33" s="393"/>
      <c r="AD33" s="146"/>
      <c r="AE33" s="146"/>
      <c r="AF33" s="146"/>
      <c r="AG33" s="146"/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  <c r="BA33" s="146"/>
      <c r="BB33" s="146"/>
      <c r="BC33" s="146"/>
      <c r="BD33" s="146"/>
    </row>
    <row r="34" spans="1:56" s="157" customFormat="1" ht="25.5" customHeight="1">
      <c r="A34" s="5338"/>
      <c r="B34" s="5338"/>
      <c r="C34" s="2918" t="s">
        <v>252</v>
      </c>
      <c r="D34" s="5309" t="s">
        <v>379</v>
      </c>
      <c r="E34" s="5309"/>
      <c r="F34" s="5309"/>
      <c r="G34" s="2918" t="s">
        <v>252</v>
      </c>
      <c r="H34" s="5309" t="s">
        <v>379</v>
      </c>
      <c r="I34" s="5309"/>
      <c r="J34" s="5309"/>
      <c r="K34" s="5292"/>
      <c r="L34" s="5299" t="s">
        <v>3474</v>
      </c>
      <c r="M34" s="5299" t="s">
        <v>3475</v>
      </c>
      <c r="N34" s="158"/>
      <c r="O34" s="158"/>
      <c r="P34" s="158"/>
      <c r="Q34" s="158"/>
      <c r="R34" s="393"/>
      <c r="S34" s="589"/>
      <c r="T34" s="393"/>
      <c r="U34" s="589"/>
      <c r="V34" s="589"/>
      <c r="W34" s="589"/>
      <c r="X34" s="393"/>
      <c r="Y34" s="393"/>
      <c r="Z34" s="393"/>
      <c r="AA34" s="393"/>
      <c r="AB34" s="393"/>
      <c r="AC34" s="393"/>
      <c r="AD34" s="146"/>
      <c r="AE34" s="146"/>
      <c r="AF34" s="146"/>
      <c r="AG34" s="146"/>
      <c r="AH34" s="146"/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  <c r="BA34" s="146"/>
      <c r="BB34" s="146"/>
      <c r="BC34" s="146"/>
      <c r="BD34" s="146"/>
    </row>
    <row r="35" spans="1:56" s="154" customFormat="1" ht="18" customHeight="1">
      <c r="A35" s="5338"/>
      <c r="B35" s="5338"/>
      <c r="C35" s="2918" t="s">
        <v>18</v>
      </c>
      <c r="D35" s="5292" t="s">
        <v>18</v>
      </c>
      <c r="E35" s="5292"/>
      <c r="F35" s="5292"/>
      <c r="G35" s="2918" t="s">
        <v>380</v>
      </c>
      <c r="H35" s="5292" t="s">
        <v>380</v>
      </c>
      <c r="I35" s="5292"/>
      <c r="J35" s="5292"/>
      <c r="K35" s="5292"/>
      <c r="L35" s="5300"/>
      <c r="M35" s="5300"/>
      <c r="N35" s="158"/>
      <c r="O35" s="158"/>
      <c r="P35" s="158"/>
      <c r="Q35" s="158"/>
      <c r="R35" s="393"/>
      <c r="S35" s="589"/>
      <c r="T35" s="393"/>
      <c r="U35" s="589"/>
      <c r="V35" s="589"/>
      <c r="W35" s="589"/>
      <c r="X35" s="393"/>
      <c r="Y35" s="393"/>
      <c r="Z35" s="393"/>
      <c r="AA35" s="393"/>
      <c r="AB35" s="393"/>
      <c r="AC35" s="393"/>
      <c r="AD35" s="146"/>
      <c r="AE35" s="146"/>
      <c r="AF35" s="146"/>
      <c r="AG35" s="146"/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</row>
    <row r="36" spans="1:56" s="154" customFormat="1" ht="18" customHeight="1">
      <c r="A36" s="5338"/>
      <c r="B36" s="5338"/>
      <c r="C36" s="2316" t="s">
        <v>158</v>
      </c>
      <c r="D36" s="3016" t="s">
        <v>97</v>
      </c>
      <c r="E36" s="3016" t="s">
        <v>2400</v>
      </c>
      <c r="F36" s="3016" t="s">
        <v>2401</v>
      </c>
      <c r="G36" s="2316" t="s">
        <v>737</v>
      </c>
      <c r="H36" s="3016" t="str">
        <f>D36</f>
        <v>10 х 90 мм</v>
      </c>
      <c r="I36" s="3016" t="str">
        <f>E36</f>
        <v>10 х 110 мм</v>
      </c>
      <c r="J36" s="3016" t="str">
        <f>F36</f>
        <v>10 х 150 мм</v>
      </c>
      <c r="K36" s="3016" t="s">
        <v>2403</v>
      </c>
      <c r="L36" s="3995" t="s">
        <v>100</v>
      </c>
      <c r="M36" s="3995" t="s">
        <v>100</v>
      </c>
      <c r="N36" s="158"/>
      <c r="O36" s="158"/>
      <c r="P36" s="158"/>
      <c r="Q36" s="158"/>
      <c r="R36" s="393"/>
      <c r="S36" s="589"/>
      <c r="T36" s="393"/>
      <c r="U36" s="589"/>
      <c r="V36" s="589"/>
      <c r="W36" s="589"/>
      <c r="X36" s="393"/>
      <c r="Y36" s="393"/>
      <c r="Z36" s="393"/>
      <c r="AA36" s="393"/>
      <c r="AB36" s="393"/>
      <c r="AC36" s="393"/>
      <c r="AD36" s="146"/>
      <c r="AE36" s="146"/>
      <c r="AF36" s="146"/>
      <c r="AG36" s="146"/>
      <c r="AH36" s="146"/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  <c r="BA36" s="146"/>
      <c r="BB36" s="146"/>
      <c r="BC36" s="146"/>
      <c r="BD36" s="146"/>
    </row>
    <row r="37" spans="1:56" s="156" customFormat="1" ht="60" customHeight="1">
      <c r="A37" s="5338"/>
      <c r="B37" s="5338"/>
      <c r="C37" s="2319" t="s">
        <v>2232</v>
      </c>
      <c r="D37" s="5301" t="s">
        <v>3004</v>
      </c>
      <c r="E37" s="5302"/>
      <c r="F37" s="5303"/>
      <c r="G37" s="2319" t="s">
        <v>2232</v>
      </c>
      <c r="H37" s="5304" t="s">
        <v>101</v>
      </c>
      <c r="I37" s="5305"/>
      <c r="J37" s="5306"/>
      <c r="K37" s="2320"/>
      <c r="L37" s="3996" t="s">
        <v>102</v>
      </c>
      <c r="M37" s="3996" t="s">
        <v>102</v>
      </c>
      <c r="N37" s="158"/>
      <c r="O37" s="158"/>
      <c r="P37" s="158"/>
      <c r="Q37" s="158"/>
      <c r="R37" s="393"/>
      <c r="S37" s="589"/>
      <c r="T37" s="393"/>
      <c r="U37" s="589"/>
      <c r="V37" s="589"/>
      <c r="W37" s="589"/>
      <c r="X37" s="393"/>
      <c r="Y37" s="393"/>
      <c r="Z37" s="393"/>
      <c r="AA37" s="393"/>
      <c r="AB37" s="393"/>
      <c r="AC37" s="393"/>
      <c r="AD37" s="146"/>
      <c r="AE37" s="146"/>
      <c r="AF37" s="146"/>
      <c r="AG37" s="146"/>
      <c r="AH37" s="146"/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  <c r="BA37" s="146"/>
      <c r="BB37" s="146"/>
      <c r="BC37" s="146"/>
      <c r="BD37" s="146"/>
    </row>
    <row r="38" spans="1:56" s="157" customFormat="1" ht="43.5" customHeight="1">
      <c r="A38" s="5346" t="s">
        <v>3017</v>
      </c>
      <c r="B38" s="2470" t="s">
        <v>2482</v>
      </c>
      <c r="C38" s="2321">
        <f>CEILING('Погонаж база'!G31*(1+скидки_наценки!$B$28)*скидки_наценки!$D$19*скидки_наценки!$F$19/скидки_наценки!$B$4, 10)</f>
        <v>1550</v>
      </c>
      <c r="D38" s="2321">
        <f>CEILING('Погонаж база'!AG31*(1+скидки_наценки!$B$28)*скидки_наценки!$D$19*скидки_наценки!$F$19/скидки_наценки!$B$4, 10)</f>
        <v>950</v>
      </c>
      <c r="E38" s="2321">
        <f>CEILING('Погонаж база'!AH31*(1+скидки_наценки!$B$28)*скидки_наценки!$D$19*скидки_наценки!$F$19/скидки_наценки!$B$4, 10)</f>
        <v>1450</v>
      </c>
      <c r="F38" s="2321">
        <f>CEILING(E38*1.35, 50)</f>
        <v>2000</v>
      </c>
      <c r="G38" s="2321"/>
      <c r="H38" s="2321"/>
      <c r="I38" s="2321"/>
      <c r="J38" s="2321"/>
      <c r="K38" s="2321">
        <f>CEILING(R11*1.4, 50)</f>
        <v>1200</v>
      </c>
      <c r="L38" s="3997" t="s">
        <v>4</v>
      </c>
      <c r="M38" s="3998" t="s">
        <v>4</v>
      </c>
      <c r="N38" s="158"/>
      <c r="O38" s="158"/>
      <c r="P38" s="158"/>
      <c r="Q38" s="158"/>
      <c r="R38" s="393"/>
      <c r="S38" s="589"/>
      <c r="T38" s="393"/>
      <c r="U38" s="589"/>
      <c r="V38" s="589"/>
      <c r="W38" s="589"/>
      <c r="X38" s="393"/>
      <c r="Y38" s="393"/>
      <c r="Z38" s="393"/>
      <c r="AA38" s="393"/>
      <c r="AB38" s="393"/>
      <c r="AC38" s="393"/>
      <c r="AD38" s="146"/>
      <c r="AE38" s="146"/>
      <c r="AF38" s="146"/>
      <c r="AG38" s="146"/>
      <c r="AH38" s="146"/>
      <c r="AI38" s="146"/>
      <c r="AJ38" s="146"/>
      <c r="AK38" s="146"/>
      <c r="AL38" s="146"/>
      <c r="AM38" s="146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  <c r="BA38" s="146"/>
      <c r="BB38" s="146"/>
      <c r="BC38" s="146"/>
      <c r="BD38" s="146"/>
    </row>
    <row r="39" spans="1:56" s="157" customFormat="1" ht="43.5" customHeight="1">
      <c r="A39" s="5346"/>
      <c r="B39" s="2471" t="s">
        <v>2483</v>
      </c>
      <c r="C39" s="2322">
        <f>CEILING('Погонаж база'!G32*(1+скидки_наценки!$B$28)*скидки_наценки!$D$19*скидки_наценки!$F$19/скидки_наценки!$B$4, 10)</f>
        <v>1850</v>
      </c>
      <c r="D39" s="2322">
        <f>CEILING('Погонаж база'!AG32*(1+скидки_наценки!$B$28)*скидки_наценки!$D$19*скидки_наценки!$F$19/скидки_наценки!$B$4, 10)</f>
        <v>1100</v>
      </c>
      <c r="E39" s="2322">
        <f>CEILING('Погонаж база'!AH32*(1+скидки_наценки!$B$28)*скидки_наценки!$D$19*скидки_наценки!$F$19/скидки_наценки!$B$4, 10)</f>
        <v>1700</v>
      </c>
      <c r="F39" s="2322">
        <f>CEILING(E39*1.35, 10)</f>
        <v>2300</v>
      </c>
      <c r="G39" s="2322"/>
      <c r="H39" s="2322"/>
      <c r="I39" s="2322"/>
      <c r="J39" s="2322"/>
      <c r="K39" s="2322">
        <f>CEILING(R12*1.4, 50)</f>
        <v>1500</v>
      </c>
      <c r="L39" s="3999" t="s">
        <v>4</v>
      </c>
      <c r="M39" s="3999" t="s">
        <v>4</v>
      </c>
      <c r="N39" s="158"/>
      <c r="O39" s="158"/>
      <c r="P39" s="158"/>
      <c r="Q39" s="158"/>
      <c r="R39" s="589"/>
      <c r="S39" s="589"/>
      <c r="T39" s="589"/>
      <c r="U39" s="589"/>
      <c r="V39" s="589"/>
      <c r="W39" s="589"/>
      <c r="X39" s="589"/>
      <c r="Y39" s="589"/>
      <c r="Z39" s="589"/>
      <c r="AA39" s="589"/>
      <c r="AB39" s="589"/>
      <c r="AC39" s="589"/>
      <c r="AD39" s="589"/>
      <c r="AE39" s="589"/>
      <c r="AF39" s="589"/>
      <c r="AG39" s="589"/>
      <c r="AH39" s="589"/>
      <c r="AI39" s="589"/>
      <c r="AJ39" s="589"/>
      <c r="AK39" s="589"/>
      <c r="AL39" s="589"/>
      <c r="AM39" s="589"/>
      <c r="AN39" s="589"/>
      <c r="AO39" s="589"/>
      <c r="AP39" s="589"/>
      <c r="AQ39" s="589"/>
      <c r="AR39" s="589"/>
      <c r="AS39" s="589"/>
      <c r="AT39" s="589"/>
      <c r="AU39" s="589"/>
      <c r="AV39" s="589"/>
      <c r="AW39" s="589"/>
      <c r="AX39" s="589"/>
      <c r="AY39" s="589"/>
      <c r="AZ39" s="589"/>
      <c r="BA39" s="589"/>
      <c r="BB39" s="589"/>
      <c r="BC39" s="589"/>
      <c r="BD39" s="589"/>
    </row>
    <row r="40" spans="1:56" s="157" customFormat="1" ht="48" customHeight="1">
      <c r="A40" s="2472" t="s">
        <v>30</v>
      </c>
      <c r="B40" s="2470" t="s">
        <v>284</v>
      </c>
      <c r="C40" s="2321">
        <f>CEILING('Погонаж база'!G33*(1+скидки_наценки!$B$30)*скидки_наценки!$D$19*скидки_наценки!$F$19/скидки_наценки!$B$4, 10)</f>
        <v>2350</v>
      </c>
      <c r="D40" s="2321">
        <f>CEILING('Погонаж база'!AG33*(1+скидки_наценки!$B$28)*скидки_наценки!$D$19*скидки_наценки!$F$19/скидки_наценки!$B$4, 10)</f>
        <v>1400</v>
      </c>
      <c r="E40" s="2321">
        <f>CEILING('Погонаж база'!AH33*(1+скидки_наценки!$B$28)*скидки_наценки!$D$19*скидки_наценки!$F$19/скидки_наценки!$B$4, 10)</f>
        <v>2200</v>
      </c>
      <c r="F40" s="2321">
        <f>CEILING('Погонаж база'!AI33*(1+скидки_наценки!$B$28)*скидки_наценки!$D$19*скидки_наценки!$F$19/скидки_наценки!$B$4, 10)</f>
        <v>3450</v>
      </c>
      <c r="G40" s="2321">
        <f>CEILING('Погонаж база'!H33*(1+скидки_наценки!$B$30)*скидки_наценки!$D$21*скидки_наценки!$F$21/скидки_наценки!$B$4, 10)</f>
        <v>2600</v>
      </c>
      <c r="H40" s="2321">
        <f t="shared" ref="H40:J44" si="4">D40</f>
        <v>1400</v>
      </c>
      <c r="I40" s="2321">
        <f t="shared" si="4"/>
        <v>2200</v>
      </c>
      <c r="J40" s="2321">
        <f t="shared" si="4"/>
        <v>3450</v>
      </c>
      <c r="K40" s="2321">
        <f>S13</f>
        <v>2050</v>
      </c>
      <c r="L40" s="2359">
        <f>CEILING('Погонаж база'!AE33*(1+скидки_наценки!$B$30)*скидки_наценки!$D$19*скидки_наценки!$F$19/скидки_наценки!$B$4, 10)</f>
        <v>2950</v>
      </c>
      <c r="M40" s="2359">
        <f>CEILING('Погонаж база'!AE33*(1+скидки_наценки!$B$30)*скидки_наценки!$D$19*скидки_наценки!$F$19/скидки_наценки!$B$4, 10)</f>
        <v>2950</v>
      </c>
      <c r="N40" s="158"/>
      <c r="O40" s="158"/>
      <c r="P40" s="158"/>
      <c r="Q40" s="158"/>
      <c r="R40" s="393"/>
      <c r="S40" s="589"/>
      <c r="T40" s="393"/>
      <c r="U40" s="589"/>
      <c r="V40" s="589"/>
      <c r="W40" s="589"/>
      <c r="X40" s="393"/>
      <c r="Y40" s="393"/>
      <c r="Z40" s="393"/>
      <c r="AA40" s="393"/>
      <c r="AB40" s="393"/>
      <c r="AC40" s="393"/>
      <c r="AD40" s="146"/>
      <c r="AE40" s="146"/>
      <c r="AF40" s="146"/>
      <c r="AG40" s="146"/>
      <c r="AH40" s="146"/>
      <c r="AI40" s="146"/>
      <c r="AJ40" s="146"/>
      <c r="AK40" s="146"/>
      <c r="AL40" s="146"/>
      <c r="AM40" s="146"/>
      <c r="AN40" s="146"/>
      <c r="AO40" s="146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  <c r="BA40" s="146"/>
      <c r="BB40" s="146"/>
      <c r="BC40" s="146"/>
      <c r="BD40" s="146"/>
    </row>
    <row r="41" spans="1:56" s="157" customFormat="1" ht="33.75" customHeight="1">
      <c r="A41" s="5342" t="s">
        <v>26</v>
      </c>
      <c r="B41" s="2471" t="s">
        <v>2569</v>
      </c>
      <c r="C41" s="2322">
        <f>CEILING('Погонаж база'!G34*(1+скидки_наценки!$B$29)*скидки_наценки!$D$19*скидки_наценки!$F$19/скидки_наценки!$B$4, 10)</f>
        <v>2500</v>
      </c>
      <c r="D41" s="2322">
        <f>CEILING('Погонаж база'!AG34*(1+скидки_наценки!$B$28)*скидки_наценки!$D$19*скидки_наценки!$F$19/скидки_наценки!$B$4, 10)</f>
        <v>1500</v>
      </c>
      <c r="E41" s="2322">
        <f>CEILING('Погонаж база'!AH34*(1+скидки_наценки!$B$28)*скидки_наценки!$D$19*скидки_наценки!$F$19/скидки_наценки!$B$4, 10)</f>
        <v>2350</v>
      </c>
      <c r="F41" s="2322">
        <f>CEILING('Погонаж база'!AI34*(1+скидки_наценки!$B$28)*скидки_наценки!$D$19*скидки_наценки!$F$19/скидки_наценки!$B$4, 10)</f>
        <v>3650</v>
      </c>
      <c r="G41" s="2322">
        <f>CEILING('Погонаж база'!H34*(1+скидки_наценки!$B$29)*скидки_наценки!$D$21*скидки_наценки!$F$21/скидки_наценки!$B$4, 10)</f>
        <v>2750</v>
      </c>
      <c r="H41" s="2322">
        <f t="shared" si="4"/>
        <v>1500</v>
      </c>
      <c r="I41" s="2322">
        <f t="shared" si="4"/>
        <v>2350</v>
      </c>
      <c r="J41" s="2322">
        <f t="shared" si="4"/>
        <v>3650</v>
      </c>
      <c r="K41" s="2322">
        <f>S14</f>
        <v>2200</v>
      </c>
      <c r="L41" s="3999" t="s">
        <v>4</v>
      </c>
      <c r="M41" s="3999" t="s">
        <v>4</v>
      </c>
      <c r="N41" s="158"/>
      <c r="O41" s="158"/>
      <c r="P41" s="158"/>
      <c r="Q41" s="158"/>
      <c r="R41" s="393"/>
      <c r="S41" s="589"/>
      <c r="T41" s="393"/>
      <c r="U41" s="589"/>
      <c r="V41" s="589"/>
      <c r="W41" s="589"/>
      <c r="X41" s="393"/>
      <c r="Y41" s="393"/>
      <c r="Z41" s="393"/>
      <c r="AA41" s="393"/>
      <c r="AB41" s="393"/>
      <c r="AC41" s="393"/>
      <c r="AD41" s="146"/>
      <c r="AE41" s="146"/>
      <c r="AF41" s="146"/>
      <c r="AG41" s="146"/>
      <c r="AH41" s="146"/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  <c r="BA41" s="146"/>
      <c r="BB41" s="146"/>
      <c r="BC41" s="146"/>
      <c r="BD41" s="146"/>
    </row>
    <row r="42" spans="1:56" s="157" customFormat="1" ht="33.75" customHeight="1">
      <c r="A42" s="5342"/>
      <c r="B42" s="2470" t="s">
        <v>2580</v>
      </c>
      <c r="C42" s="2321">
        <f>CEILING('Погонаж база'!G35*(1+скидки_наценки!$B$29)*скидки_наценки!$D$19*скидки_наценки!$F$19/скидки_наценки!$B$4, 10)</f>
        <v>2700</v>
      </c>
      <c r="D42" s="2321">
        <f>CEILING('Погонаж база'!AG35*(1+скидки_наценки!$B$28)*скидки_наценки!$D$19*скидки_наценки!$F$19/скидки_наценки!$B$4, 10)</f>
        <v>1600</v>
      </c>
      <c r="E42" s="2321">
        <f>CEILING('Погонаж база'!AH35*(1+скидки_наценки!$B$28)*скидки_наценки!$D$19*скидки_наценки!$F$19/скидки_наценки!$B$4, 10)</f>
        <v>2500</v>
      </c>
      <c r="F42" s="2321">
        <f>CEILING('Погонаж база'!AI35*(1+скидки_наценки!$B$28)*скидки_наценки!$D$19*скидки_наценки!$F$19/скидки_наценки!$B$4, 10)</f>
        <v>3900</v>
      </c>
      <c r="G42" s="2321">
        <f>CEILING('Погонаж база'!H35*(1+скидки_наценки!$B$29)*скидки_наценки!$D$21*скидки_наценки!$F$21/скидки_наценки!$B$4, 10)</f>
        <v>2950</v>
      </c>
      <c r="H42" s="2321">
        <f t="shared" si="4"/>
        <v>1600</v>
      </c>
      <c r="I42" s="2321">
        <f t="shared" si="4"/>
        <v>2500</v>
      </c>
      <c r="J42" s="2321">
        <f t="shared" si="4"/>
        <v>3900</v>
      </c>
      <c r="K42" s="2321">
        <f>S15</f>
        <v>2350</v>
      </c>
      <c r="L42" s="3998" t="s">
        <v>4</v>
      </c>
      <c r="M42" s="3998" t="s">
        <v>4</v>
      </c>
      <c r="N42" s="158"/>
      <c r="O42" s="158"/>
      <c r="P42" s="158"/>
      <c r="Q42" s="158"/>
      <c r="R42" s="589"/>
      <c r="S42" s="589"/>
      <c r="T42" s="589"/>
      <c r="U42" s="589"/>
      <c r="V42" s="589"/>
      <c r="W42" s="589"/>
      <c r="X42" s="589"/>
      <c r="Y42" s="589"/>
      <c r="Z42" s="589"/>
      <c r="AA42" s="589"/>
      <c r="AB42" s="589"/>
      <c r="AC42" s="589"/>
      <c r="AD42" s="589"/>
      <c r="AE42" s="589"/>
      <c r="AF42" s="589"/>
      <c r="AG42" s="589"/>
      <c r="AH42" s="589"/>
      <c r="AI42" s="589"/>
      <c r="AJ42" s="589"/>
      <c r="AK42" s="589"/>
      <c r="AL42" s="589"/>
      <c r="AM42" s="589"/>
      <c r="AN42" s="589"/>
      <c r="AO42" s="589"/>
      <c r="AP42" s="589"/>
      <c r="AQ42" s="589"/>
      <c r="AR42" s="589"/>
      <c r="AS42" s="589"/>
      <c r="AT42" s="589"/>
      <c r="AU42" s="589"/>
      <c r="AV42" s="589"/>
      <c r="AW42" s="589"/>
      <c r="AX42" s="589"/>
      <c r="AY42" s="589"/>
      <c r="AZ42" s="589"/>
      <c r="BA42" s="589"/>
      <c r="BB42" s="589"/>
      <c r="BC42" s="589"/>
      <c r="BD42" s="589"/>
    </row>
    <row r="43" spans="1:56" s="157" customFormat="1" ht="33.75" customHeight="1">
      <c r="A43" s="5343"/>
      <c r="B43" s="3921" t="s">
        <v>3380</v>
      </c>
      <c r="C43" s="2322">
        <f>CEILING('Погонаж база'!G36*(1+скидки_наценки!$B$29)*скидки_наценки!$D$19*скидки_наценки!$F$19/скидки_наценки!$B$4, 10)</f>
        <v>2800</v>
      </c>
      <c r="D43" s="2322">
        <f>CEILING('Погонаж база'!AG36*(1+скидки_наценки!$B$28)*скидки_наценки!$D$19*скидки_наценки!$F$19/скидки_наценки!$B$4, 10)</f>
        <v>1700</v>
      </c>
      <c r="E43" s="2322">
        <f>CEILING('Погонаж база'!AH36*(1+скидки_наценки!$B$28)*скидки_наценки!$D$19*скидки_наценки!$F$19/скидки_наценки!$B$4, 10)</f>
        <v>2600</v>
      </c>
      <c r="F43" s="2322">
        <f>CEILING('Погонаж база'!AI36*(1+скидки_наценки!$B$28)*скидки_наценки!$D$19*скидки_наценки!$F$19/скидки_наценки!$B$4, 10)</f>
        <v>4100</v>
      </c>
      <c r="G43" s="2322">
        <f>CEILING('Погонаж база'!H36*(1+скидки_наценки!$B$29)*скидки_наценки!$D$21*скидки_наценки!$F$21/скидки_наценки!$B$4, 10)</f>
        <v>3100</v>
      </c>
      <c r="H43" s="2322">
        <f t="shared" si="4"/>
        <v>1700</v>
      </c>
      <c r="I43" s="2322">
        <f t="shared" si="4"/>
        <v>2600</v>
      </c>
      <c r="J43" s="2322">
        <f t="shared" si="4"/>
        <v>4100</v>
      </c>
      <c r="K43" s="2322">
        <f>S16</f>
        <v>2450</v>
      </c>
      <c r="L43" s="3999" t="s">
        <v>4</v>
      </c>
      <c r="M43" s="3999" t="s">
        <v>4</v>
      </c>
      <c r="N43" s="158"/>
      <c r="O43" s="158"/>
      <c r="P43" s="158"/>
      <c r="Q43" s="158"/>
      <c r="R43" s="589"/>
      <c r="S43" s="589"/>
      <c r="T43" s="589"/>
      <c r="U43" s="589"/>
      <c r="V43" s="589"/>
      <c r="W43" s="589"/>
      <c r="X43" s="589"/>
      <c r="Y43" s="589"/>
      <c r="Z43" s="589"/>
      <c r="AA43" s="589"/>
      <c r="AB43" s="589"/>
      <c r="AC43" s="589"/>
      <c r="AD43" s="589"/>
      <c r="AE43" s="589"/>
      <c r="AF43" s="589"/>
      <c r="AG43" s="589"/>
      <c r="AH43" s="589"/>
      <c r="AI43" s="589"/>
      <c r="AJ43" s="589"/>
      <c r="AK43" s="589"/>
      <c r="AL43" s="589"/>
      <c r="AM43" s="589"/>
      <c r="AN43" s="589"/>
      <c r="AO43" s="589"/>
      <c r="AP43" s="589"/>
      <c r="AQ43" s="589"/>
      <c r="AR43" s="589"/>
      <c r="AS43" s="589"/>
      <c r="AT43" s="589"/>
      <c r="AU43" s="589"/>
      <c r="AV43" s="589"/>
      <c r="AW43" s="589"/>
      <c r="AX43" s="589"/>
      <c r="AY43" s="589"/>
      <c r="AZ43" s="589"/>
      <c r="BA43" s="589"/>
      <c r="BB43" s="589"/>
      <c r="BC43" s="589"/>
      <c r="BD43" s="589"/>
    </row>
    <row r="44" spans="1:56" s="157" customFormat="1" ht="33.75" customHeight="1">
      <c r="A44" s="5342"/>
      <c r="B44" s="2470" t="s">
        <v>2588</v>
      </c>
      <c r="C44" s="2321">
        <f>CEILING('Погонаж база'!G37*(1+скидки_наценки!$B$29)*скидки_наценки!$D$19*скидки_наценки!$F$19/скидки_наценки!$B$4, 10)</f>
        <v>2900</v>
      </c>
      <c r="D44" s="2321">
        <f>CEILING('Погонаж база'!AG37*(1+скидки_наценки!$B$28)*скидки_наценки!$D$19*скидки_наценки!$F$19/скидки_наценки!$B$4, 10)</f>
        <v>1750</v>
      </c>
      <c r="E44" s="2321">
        <f>CEILING('Погонаж база'!AH37*(1+скидки_наценки!$B$28)*скидки_наценки!$D$19*скидки_наценки!$F$19/скидки_наценки!$B$4, 10)</f>
        <v>2750</v>
      </c>
      <c r="F44" s="2321">
        <f>CEILING('Погонаж база'!AI37*(1+скидки_наценки!$B$28)*скидки_наценки!$D$19*скидки_наценки!$F$19/скидки_наценки!$B$4, 10)</f>
        <v>4250</v>
      </c>
      <c r="G44" s="2321">
        <f>CEILING('Погонаж база'!H37*(1+скидки_наценки!$B$29)*скидки_наценки!$D$21*скидки_наценки!$F$21/скидки_наценки!$B$4, 10)</f>
        <v>3200</v>
      </c>
      <c r="H44" s="2321">
        <f t="shared" si="4"/>
        <v>1750</v>
      </c>
      <c r="I44" s="2321">
        <f t="shared" si="4"/>
        <v>2750</v>
      </c>
      <c r="J44" s="2321">
        <f t="shared" si="4"/>
        <v>4250</v>
      </c>
      <c r="K44" s="2321">
        <f>S17</f>
        <v>2550</v>
      </c>
      <c r="L44" s="3998" t="s">
        <v>4</v>
      </c>
      <c r="M44" s="3998" t="s">
        <v>4</v>
      </c>
      <c r="N44" s="158"/>
      <c r="O44" s="158"/>
      <c r="P44" s="158"/>
      <c r="Q44" s="158"/>
      <c r="R44" s="393"/>
      <c r="S44" s="589"/>
      <c r="T44" s="393"/>
      <c r="U44" s="589"/>
      <c r="V44" s="589"/>
      <c r="W44" s="589"/>
      <c r="X44" s="393"/>
      <c r="Y44" s="393"/>
      <c r="Z44" s="393"/>
      <c r="AA44" s="393"/>
      <c r="AB44" s="393"/>
      <c r="AC44" s="393"/>
      <c r="AD44" s="146"/>
      <c r="AE44" s="146"/>
      <c r="AF44" s="146"/>
      <c r="AG44" s="146"/>
      <c r="AH44" s="146"/>
      <c r="AI44" s="146"/>
      <c r="AJ44" s="146"/>
      <c r="AK44" s="146"/>
      <c r="AL44" s="146"/>
      <c r="AM44" s="146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6"/>
      <c r="BD44" s="146"/>
    </row>
    <row r="45" spans="1:56" s="11" customFormat="1" ht="15" customHeight="1">
      <c r="A45" s="79" t="s">
        <v>3016</v>
      </c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1:56" s="11" customFormat="1" ht="15" customHeight="1"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1:56" s="11" customFormat="1" ht="15" customHeight="1"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1:56" s="11" customFormat="1" ht="15" customHeight="1"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1:25" s="11" customFormat="1" ht="47.25" customHeight="1">
      <c r="A49" s="5308" t="s">
        <v>271</v>
      </c>
      <c r="B49" s="5308"/>
      <c r="C49" s="5308"/>
      <c r="D49" s="5311" t="s">
        <v>157</v>
      </c>
      <c r="E49" s="5311"/>
      <c r="F49" s="5311"/>
      <c r="G49" s="5311"/>
      <c r="H49" s="5311"/>
      <c r="I49" s="3895" t="s">
        <v>679</v>
      </c>
      <c r="J49" s="3895"/>
      <c r="K49" s="3895"/>
      <c r="L49" s="3895"/>
      <c r="M49" s="3895"/>
      <c r="N49" s="3895"/>
      <c r="O49" s="3895"/>
      <c r="S49" s="158"/>
      <c r="T49" s="158"/>
      <c r="U49" s="158"/>
      <c r="V49" s="158"/>
      <c r="W49" s="158"/>
      <c r="X49" s="158"/>
    </row>
    <row r="50" spans="1:25" s="11" customFormat="1" ht="15" customHeight="1">
      <c r="A50" s="5338" t="s">
        <v>88</v>
      </c>
      <c r="B50" s="5338"/>
      <c r="C50" s="2163" t="s">
        <v>6</v>
      </c>
      <c r="D50" s="5314" t="s">
        <v>85</v>
      </c>
      <c r="E50" s="5315"/>
      <c r="F50" s="5314" t="s">
        <v>86</v>
      </c>
      <c r="G50" s="5314"/>
      <c r="I50" s="385" t="s">
        <v>680</v>
      </c>
      <c r="J50" s="3901"/>
      <c r="K50" s="829" t="s">
        <v>681</v>
      </c>
      <c r="O50" s="829"/>
      <c r="P50" s="829"/>
      <c r="Q50" s="829"/>
      <c r="S50" s="158"/>
      <c r="T50" s="158"/>
      <c r="U50" s="158"/>
      <c r="V50" s="158"/>
      <c r="W50" s="158"/>
      <c r="X50" s="158"/>
    </row>
    <row r="51" spans="1:25" s="11" customFormat="1" ht="15" customHeight="1">
      <c r="A51" s="5338"/>
      <c r="B51" s="5338"/>
      <c r="C51" s="5347" t="s">
        <v>252</v>
      </c>
      <c r="D51" s="5295" t="s">
        <v>89</v>
      </c>
      <c r="E51" s="5313"/>
      <c r="F51" s="5312" t="s">
        <v>3417</v>
      </c>
      <c r="G51" s="5312"/>
      <c r="H51" s="5310"/>
      <c r="I51" s="5310"/>
      <c r="J51" s="5310"/>
      <c r="K51" s="3896"/>
      <c r="L51" s="385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1:25" s="11" customFormat="1" ht="15" customHeight="1">
      <c r="A52" s="5338"/>
      <c r="B52" s="5338"/>
      <c r="C52" s="5348"/>
      <c r="D52" s="5349" t="s">
        <v>145</v>
      </c>
      <c r="E52" s="5350"/>
      <c r="F52" s="5312" t="s">
        <v>145</v>
      </c>
      <c r="G52" s="5312"/>
      <c r="H52" s="5310"/>
      <c r="I52" s="5310"/>
      <c r="J52" s="5310"/>
      <c r="K52" s="3896"/>
      <c r="L52" s="385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1:25" s="11" customFormat="1" ht="15" customHeight="1">
      <c r="A53" s="5338"/>
      <c r="B53" s="5338"/>
      <c r="C53" s="2158" t="s">
        <v>145</v>
      </c>
      <c r="D53" s="5351"/>
      <c r="E53" s="5352"/>
      <c r="F53" s="5312"/>
      <c r="G53" s="5312"/>
      <c r="H53" s="5310"/>
      <c r="I53" s="5310"/>
      <c r="J53" s="5310"/>
      <c r="K53" s="3896"/>
      <c r="L53" s="385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1:25" s="11" customFormat="1" ht="15" customHeight="1">
      <c r="A54" s="5338"/>
      <c r="B54" s="5338"/>
      <c r="C54" s="2159" t="s">
        <v>158</v>
      </c>
      <c r="D54" s="5332" t="s">
        <v>99</v>
      </c>
      <c r="E54" s="5333"/>
      <c r="F54" s="5331"/>
      <c r="G54" s="5331"/>
      <c r="H54" s="5310"/>
      <c r="I54" s="5310"/>
      <c r="J54" s="5310"/>
      <c r="K54" s="3898"/>
      <c r="L54" s="385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1:25" s="11" customFormat="1" ht="66" customHeight="1">
      <c r="A55" s="5338"/>
      <c r="B55" s="5338"/>
      <c r="C55" s="2157" t="s">
        <v>2232</v>
      </c>
      <c r="D55" s="5329" t="s">
        <v>102</v>
      </c>
      <c r="E55" s="5330"/>
      <c r="F55" s="5328" t="s">
        <v>3162</v>
      </c>
      <c r="G55" s="5328"/>
      <c r="H55" s="5327"/>
      <c r="I55" s="5327"/>
      <c r="J55" s="5327"/>
      <c r="K55" s="3899"/>
      <c r="L55" s="385"/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58"/>
    </row>
    <row r="56" spans="1:25" s="11" customFormat="1" ht="51" customHeight="1">
      <c r="A56" s="394" t="s">
        <v>287</v>
      </c>
      <c r="B56" s="346" t="s">
        <v>284</v>
      </c>
      <c r="C56" s="2162">
        <f>CEILING('Погонаж база'!I33*(1+скидки_наценки!$B$30)*скидки_наценки!$D$21*скидки_наценки!$F$21/скидки_наценки!$B$4, 10)</f>
        <v>2350</v>
      </c>
      <c r="D56" s="5319">
        <f>CEILING('Погонаж база'!AK33*(1+скидки_наценки!$B$30)*скидки_наценки!$D$21*скидки_наценки!$F$21/скидки_наценки!$B$4, 10)</f>
        <v>2300</v>
      </c>
      <c r="E56" s="5320" t="e">
        <f>'Погонаж база'!T189*скидки_наценки!$D$13*скидки_наценки!$F$13/скидки_наценки!$B$4</f>
        <v>#VALUE!</v>
      </c>
      <c r="F56" s="5321">
        <v>1500</v>
      </c>
      <c r="G56" s="5321" t="e">
        <f>'Погонаж база'!V189*скидки_наценки!$D$13*скидки_наценки!$F$13/скидки_наценки!$B$4</f>
        <v>#VALUE!</v>
      </c>
      <c r="H56" s="5316"/>
      <c r="I56" s="5316"/>
      <c r="J56" s="5316"/>
      <c r="K56" s="399"/>
      <c r="L56" s="385"/>
      <c r="M56" s="158"/>
      <c r="N56" s="158"/>
      <c r="O56" s="158"/>
      <c r="P56" s="158"/>
      <c r="Q56" s="158"/>
      <c r="R56" s="158"/>
      <c r="S56" s="3900"/>
      <c r="T56" s="158"/>
      <c r="U56" s="158"/>
      <c r="V56" s="158"/>
      <c r="W56" s="158"/>
      <c r="X56" s="158"/>
    </row>
    <row r="57" spans="1:25" s="11" customFormat="1" ht="15" customHeight="1">
      <c r="J57" s="158"/>
      <c r="K57" s="385"/>
      <c r="L57" s="385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1:25" s="11" customFormat="1" ht="15" customHeight="1">
      <c r="A58" s="3023" t="s">
        <v>20</v>
      </c>
      <c r="B58" s="2921"/>
      <c r="K58" s="387"/>
      <c r="L58" s="387"/>
      <c r="M58" s="70"/>
      <c r="N58" s="70"/>
      <c r="O58" s="70"/>
      <c r="P58" s="70"/>
      <c r="Q58" s="70"/>
      <c r="R58" s="70"/>
      <c r="S58" s="187"/>
      <c r="T58" s="187"/>
      <c r="U58" s="187"/>
      <c r="V58" s="187"/>
      <c r="W58" s="187"/>
      <c r="X58" s="69"/>
      <c r="Y58" s="69"/>
    </row>
    <row r="59" spans="1:25" s="11" customFormat="1" ht="73.5" customHeight="1">
      <c r="A59" s="5334" t="s">
        <v>2964</v>
      </c>
      <c r="B59" s="5335"/>
      <c r="C59" s="2160">
        <f>IFERROR(#REF!/(1-#REF!)*#REF!*скидки_наценки!$D$13*скидки_наценки!$F$13,0)</f>
        <v>0</v>
      </c>
      <c r="D59" s="5319">
        <f>J20</f>
        <v>1400</v>
      </c>
      <c r="E59" s="5322" t="e">
        <f>'Полотна база'!#REF!*скидки_наценки!$D$13*скидки_наценки!$F$13/скидки_наценки!$B$4</f>
        <v>#REF!</v>
      </c>
      <c r="F59" s="3897"/>
      <c r="G59" s="2837">
        <f>IFERROR(#REF!/(1-#REF!)*#REF!*скидки_наценки!$D$13*скидки_наценки!$F$13,0)</f>
        <v>0</v>
      </c>
      <c r="H59" s="5323"/>
      <c r="I59" s="5323"/>
      <c r="J59" s="5323"/>
      <c r="K59" s="399"/>
      <c r="L59" s="387"/>
    </row>
    <row r="60" spans="1:25" s="157" customFormat="1" ht="28.5" hidden="1" customHeight="1">
      <c r="A60" s="5336"/>
      <c r="B60" s="5337"/>
      <c r="C60" s="2161">
        <f>IFERROR(#REF!/(1-#REF!)*#REF!*скидки_наценки!$D$13*скидки_наценки!$F$13,0)</f>
        <v>0</v>
      </c>
      <c r="D60" s="5317">
        <f>K21</f>
        <v>650</v>
      </c>
      <c r="E60" s="5318" t="e">
        <f>'Полотна база'!#REF!*скидки_наценки!$D$13*скидки_наценки!$F$13/скидки_наценки!$B$4</f>
        <v>#REF!</v>
      </c>
      <c r="F60" s="5317">
        <f>N21</f>
        <v>650</v>
      </c>
      <c r="G60" s="5318" t="e">
        <f>'Полотна база'!#REF!*скидки_наценки!$D$13*скидки_наценки!$F$13/скидки_наценки!$B$4</f>
        <v>#REF!</v>
      </c>
      <c r="H60" s="5324">
        <f>IFERROR(#REF!/(1-#REF!)*#REF!*скидки_наценки!$D$13*скидки_наценки!$F$13,0)</f>
        <v>0</v>
      </c>
      <c r="I60" s="5325"/>
      <c r="J60" s="5326"/>
      <c r="K60" s="386"/>
      <c r="L60" s="245"/>
    </row>
    <row r="61" spans="1:25" s="157" customFormat="1" ht="32.25" customHeight="1">
      <c r="A61" s="314"/>
      <c r="B61" s="313"/>
      <c r="C61" s="313"/>
      <c r="D61" s="313"/>
      <c r="E61" s="313"/>
      <c r="G61" s="313"/>
      <c r="K61" s="398"/>
      <c r="X61" s="310"/>
      <c r="Y61" s="310"/>
    </row>
    <row r="62" spans="1:25" s="157" customFormat="1" ht="18" customHeight="1">
      <c r="B62" s="284"/>
      <c r="C62" s="284"/>
      <c r="D62" s="284"/>
      <c r="E62" s="284"/>
      <c r="F62" s="284"/>
      <c r="S62" s="284"/>
    </row>
    <row r="63" spans="1:25" s="157" customFormat="1" ht="18" customHeight="1">
      <c r="S63" s="160"/>
    </row>
    <row r="64" spans="1:25" s="157" customFormat="1" ht="18" customHeight="1">
      <c r="A64" s="261"/>
      <c r="G64" s="160"/>
      <c r="J64" s="160"/>
      <c r="L64" s="160"/>
      <c r="M64" s="160"/>
      <c r="N64" s="160"/>
      <c r="O64" s="160"/>
      <c r="P64" s="160"/>
      <c r="Q64" s="160"/>
      <c r="S64" s="160"/>
    </row>
    <row r="65" spans="1:27" s="157" customFormat="1" ht="19.5" customHeight="1"/>
    <row r="66" spans="1:27" s="157" customFormat="1" ht="18" customHeight="1"/>
    <row r="67" spans="1:27" s="245" customFormat="1" ht="17.25" customHeight="1">
      <c r="A67" s="244"/>
      <c r="B67" s="349"/>
      <c r="C67" s="248"/>
      <c r="D67" s="249"/>
      <c r="E67" s="249"/>
      <c r="F67" s="249"/>
      <c r="G67" s="249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248"/>
      <c r="X67" s="242"/>
    </row>
    <row r="68" spans="1:27" s="11" customFormat="1" ht="17.25" customHeight="1">
      <c r="A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X68" s="69"/>
      <c r="Y68" s="69"/>
      <c r="Z68" s="70"/>
      <c r="AA68" s="70"/>
    </row>
    <row r="69" spans="1:27" s="79" customFormat="1"/>
    <row r="70" spans="1:27" s="79" customFormat="1"/>
    <row r="71" spans="1:27" s="79" customFormat="1"/>
    <row r="72" spans="1:27" s="79" customFormat="1"/>
    <row r="73" spans="1:27" s="79" customFormat="1"/>
    <row r="74" spans="1:27" s="79" customFormat="1"/>
    <row r="75" spans="1:27" s="79" customFormat="1"/>
    <row r="76" spans="1:27" s="79" customFormat="1"/>
    <row r="77" spans="1:27" s="79" customFormat="1"/>
    <row r="78" spans="1:27" s="79" customFormat="1"/>
    <row r="79" spans="1:27" s="79" customFormat="1"/>
    <row r="80" spans="1:27" s="79" customFormat="1"/>
    <row r="81" s="79" customFormat="1"/>
    <row r="82" s="79" customFormat="1"/>
    <row r="83" s="79" customFormat="1"/>
    <row r="84" s="79" customFormat="1"/>
    <row r="85" s="79" customFormat="1"/>
    <row r="86" s="79" customFormat="1"/>
    <row r="87" s="79" customFormat="1"/>
    <row r="88" s="79" customFormat="1"/>
    <row r="89" s="79" customFormat="1"/>
    <row r="90" s="79" customFormat="1"/>
    <row r="91" s="79" customFormat="1"/>
    <row r="92" s="79" customFormat="1"/>
    <row r="93" s="79" customFormat="1"/>
    <row r="94" s="79" customFormat="1"/>
    <row r="95" s="79" customFormat="1"/>
    <row r="96" s="79" customFormat="1"/>
    <row r="97" s="79" customFormat="1"/>
    <row r="98" s="79" customFormat="1"/>
    <row r="99" s="79" customFormat="1"/>
    <row r="100" s="79" customFormat="1"/>
    <row r="101" s="79" customFormat="1"/>
    <row r="102" s="79" customFormat="1"/>
    <row r="103" s="79" customFormat="1"/>
    <row r="104" s="79" customFormat="1"/>
    <row r="105" s="79" customFormat="1"/>
    <row r="106" s="79" customFormat="1"/>
    <row r="107" s="79" customFormat="1"/>
    <row r="108" s="79" customFormat="1"/>
    <row r="109" s="79" customFormat="1"/>
    <row r="110" s="79" customFormat="1"/>
    <row r="111" s="79" customFormat="1"/>
    <row r="112" s="79" customFormat="1"/>
    <row r="113" s="79" customFormat="1"/>
    <row r="114" s="79" customFormat="1"/>
    <row r="115" s="79" customFormat="1"/>
    <row r="116" s="79" customFormat="1"/>
    <row r="117" s="79" customFormat="1"/>
    <row r="118" s="79" customFormat="1"/>
    <row r="119" s="79" customFormat="1"/>
    <row r="120" s="79" customFormat="1"/>
    <row r="121" s="79" customFormat="1"/>
    <row r="122" s="79" customFormat="1"/>
    <row r="123" s="79" customFormat="1"/>
    <row r="124" s="79" customFormat="1"/>
    <row r="125" s="79" customFormat="1"/>
    <row r="126" s="79" customFormat="1"/>
    <row r="127" s="79" customFormat="1"/>
    <row r="128" s="79" customFormat="1"/>
    <row r="129" s="79" customFormat="1"/>
    <row r="130" s="79" customFormat="1"/>
    <row r="131" s="79" customFormat="1"/>
    <row r="132" s="79" customFormat="1"/>
    <row r="133" s="79" customFormat="1"/>
    <row r="134" s="79" customFormat="1"/>
    <row r="135" s="79" customFormat="1"/>
    <row r="136" s="79" customFormat="1"/>
    <row r="137" s="79" customFormat="1"/>
    <row r="138" s="79" customFormat="1"/>
    <row r="139" s="79" customFormat="1"/>
    <row r="140" s="79" customFormat="1"/>
    <row r="141" s="79" customFormat="1"/>
    <row r="142" s="79" customFormat="1"/>
    <row r="143" s="79" customFormat="1"/>
    <row r="144" s="79" customFormat="1"/>
    <row r="145" s="79" customFormat="1"/>
    <row r="146" s="79" customFormat="1"/>
    <row r="147" s="79" customFormat="1"/>
    <row r="148" s="79" customFormat="1"/>
    <row r="149" s="79" customFormat="1"/>
    <row r="150" s="79" customFormat="1"/>
    <row r="151" s="79" customFormat="1"/>
    <row r="152" s="79" customFormat="1"/>
    <row r="153" s="79" customFormat="1"/>
    <row r="154" s="79" customFormat="1"/>
    <row r="155" s="79" customFormat="1"/>
    <row r="156" s="79" customFormat="1"/>
    <row r="157" s="79" customFormat="1"/>
    <row r="158" s="79" customFormat="1"/>
    <row r="159" s="79" customFormat="1"/>
    <row r="160" s="79" customFormat="1"/>
    <row r="161" s="79" customFormat="1"/>
    <row r="162" s="79" customFormat="1"/>
    <row r="163" s="79" customFormat="1"/>
    <row r="164" s="79" customFormat="1"/>
    <row r="165" s="79" customFormat="1"/>
    <row r="166" s="79" customFormat="1"/>
    <row r="167" s="79" customFormat="1"/>
    <row r="168" s="79" customFormat="1"/>
    <row r="169" s="79" customFormat="1"/>
    <row r="170" s="79" customFormat="1"/>
    <row r="171" s="79" customFormat="1"/>
    <row r="172" s="79" customFormat="1"/>
    <row r="173" s="79" customFormat="1"/>
    <row r="174" s="79" customFormat="1"/>
    <row r="175" s="79" customFormat="1"/>
    <row r="176" s="79" customFormat="1"/>
    <row r="177" s="79" customFormat="1"/>
    <row r="178" s="79" customFormat="1"/>
    <row r="179" s="79" customFormat="1"/>
    <row r="180" s="79" customFormat="1"/>
    <row r="181" s="79" customFormat="1"/>
    <row r="182" s="79" customFormat="1"/>
    <row r="183" s="79" customFormat="1"/>
    <row r="184" s="79" customFormat="1"/>
    <row r="185" s="79" customFormat="1"/>
    <row r="186" s="79" customFormat="1"/>
    <row r="187" s="79" customFormat="1"/>
    <row r="188" s="79" customFormat="1"/>
    <row r="189" s="79" customFormat="1"/>
    <row r="190" s="79" customFormat="1"/>
    <row r="191" s="79" customFormat="1"/>
    <row r="192" s="79" customFormat="1"/>
    <row r="193" s="79" customFormat="1"/>
    <row r="194" s="79" customFormat="1"/>
    <row r="195" s="79" customFormat="1"/>
    <row r="196" s="79" customFormat="1"/>
    <row r="197" s="79" customFormat="1"/>
    <row r="198" s="79" customFormat="1"/>
    <row r="199" s="79" customFormat="1"/>
    <row r="200" s="79" customFormat="1"/>
    <row r="201" s="79" customFormat="1"/>
    <row r="202" s="79" customFormat="1"/>
    <row r="203" s="79" customFormat="1"/>
    <row r="204" s="79" customFormat="1"/>
    <row r="205" s="79" customFormat="1"/>
    <row r="206" s="79" customFormat="1"/>
    <row r="207" s="79" customFormat="1"/>
    <row r="208" s="79" customFormat="1"/>
    <row r="209" spans="1:1" s="79" customFormat="1"/>
    <row r="210" spans="1:1" s="79" customFormat="1"/>
    <row r="211" spans="1:1" s="79" customFormat="1"/>
    <row r="212" spans="1:1" s="79" customFormat="1"/>
    <row r="213" spans="1:1" s="79" customFormat="1"/>
    <row r="214" spans="1:1" s="79" customFormat="1"/>
    <row r="215" spans="1:1" s="79" customFormat="1"/>
    <row r="216" spans="1:1" s="79" customFormat="1"/>
    <row r="217" spans="1:1" s="79" customFormat="1"/>
    <row r="218" spans="1:1" s="79" customFormat="1">
      <c r="A218" s="81"/>
    </row>
  </sheetData>
  <mergeCells count="83">
    <mergeCell ref="A11:A12"/>
    <mergeCell ref="J9:J10"/>
    <mergeCell ref="K9:K10"/>
    <mergeCell ref="Y5:Y7"/>
    <mergeCell ref="A14:A17"/>
    <mergeCell ref="X5:X6"/>
    <mergeCell ref="X9:X10"/>
    <mergeCell ref="Y9:Y10"/>
    <mergeCell ref="R5:T7"/>
    <mergeCell ref="R9:S9"/>
    <mergeCell ref="R10:S10"/>
    <mergeCell ref="P9:P10"/>
    <mergeCell ref="A3:D3"/>
    <mergeCell ref="E3:J3"/>
    <mergeCell ref="A4:B10"/>
    <mergeCell ref="C5:C6"/>
    <mergeCell ref="C9:C10"/>
    <mergeCell ref="E7:I7"/>
    <mergeCell ref="D6:I6"/>
    <mergeCell ref="D5:Q5"/>
    <mergeCell ref="J6:Q6"/>
    <mergeCell ref="D4:Q4"/>
    <mergeCell ref="D9:D10"/>
    <mergeCell ref="Q9:Q10"/>
    <mergeCell ref="E9:F10"/>
    <mergeCell ref="G9:I10"/>
    <mergeCell ref="M9:M10"/>
    <mergeCell ref="N9:N10"/>
    <mergeCell ref="A59:B59"/>
    <mergeCell ref="A60:B60"/>
    <mergeCell ref="A32:B37"/>
    <mergeCell ref="A20:B20"/>
    <mergeCell ref="A21:B21"/>
    <mergeCell ref="A50:B55"/>
    <mergeCell ref="A31:C31"/>
    <mergeCell ref="A41:A44"/>
    <mergeCell ref="A49:C49"/>
    <mergeCell ref="C32:F32"/>
    <mergeCell ref="A38:A39"/>
    <mergeCell ref="D33:F33"/>
    <mergeCell ref="D34:F34"/>
    <mergeCell ref="D35:F35"/>
    <mergeCell ref="C51:C52"/>
    <mergeCell ref="D52:E53"/>
    <mergeCell ref="H55:J55"/>
    <mergeCell ref="F55:G55"/>
    <mergeCell ref="D55:E55"/>
    <mergeCell ref="H54:J54"/>
    <mergeCell ref="F54:G54"/>
    <mergeCell ref="D54:E54"/>
    <mergeCell ref="H56:J56"/>
    <mergeCell ref="D60:E60"/>
    <mergeCell ref="D56:E56"/>
    <mergeCell ref="F56:G56"/>
    <mergeCell ref="D59:E59"/>
    <mergeCell ref="H59:J59"/>
    <mergeCell ref="H60:J60"/>
    <mergeCell ref="F60:G60"/>
    <mergeCell ref="H51:J53"/>
    <mergeCell ref="D49:H49"/>
    <mergeCell ref="F52:G53"/>
    <mergeCell ref="D51:E51"/>
    <mergeCell ref="F51:G51"/>
    <mergeCell ref="D50:E50"/>
    <mergeCell ref="F50:G50"/>
    <mergeCell ref="D37:F37"/>
    <mergeCell ref="H37:J37"/>
    <mergeCell ref="H33:J33"/>
    <mergeCell ref="D31:F31"/>
    <mergeCell ref="G32:J32"/>
    <mergeCell ref="H34:J34"/>
    <mergeCell ref="R4:W4"/>
    <mergeCell ref="U9:V9"/>
    <mergeCell ref="U5:W7"/>
    <mergeCell ref="U10:V10"/>
    <mergeCell ref="H35:J35"/>
    <mergeCell ref="O9:O10"/>
    <mergeCell ref="L9:L10"/>
    <mergeCell ref="K32:K35"/>
    <mergeCell ref="L32:M32"/>
    <mergeCell ref="L33:M33"/>
    <mergeCell ref="L34:L35"/>
    <mergeCell ref="M34:M35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42" firstPageNumber="38" orientation="landscape" useFirstPageNumber="1" r:id="rId1"/>
  <headerFooter>
    <oddFooter>&amp;L&amp;P&amp;R&amp;24&amp;G</oddFooter>
  </headerFooter>
  <rowBreaks count="2" manualBreakCount="2">
    <brk id="29" max="24" man="1"/>
    <brk id="61" max="16383" man="1"/>
  </rowBreaks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>
    <tabColor rgb="FF92D050"/>
  </sheetPr>
  <dimension ref="A1:W68"/>
  <sheetViews>
    <sheetView view="pageBreakPreview" zoomScale="70" zoomScaleNormal="70" zoomScaleSheetLayoutView="70" workbookViewId="0">
      <selection activeCell="W18" sqref="W18"/>
    </sheetView>
  </sheetViews>
  <sheetFormatPr defaultColWidth="9.140625" defaultRowHeight="12.75" outlineLevelRow="1" outlineLevelCol="1"/>
  <cols>
    <col min="1" max="1" width="5.7109375" style="81" customWidth="1"/>
    <col min="2" max="2" width="12.28515625" style="81" customWidth="1"/>
    <col min="3" max="3" width="15.7109375" style="81" customWidth="1"/>
    <col min="4" max="4" width="12.28515625" style="81" customWidth="1"/>
    <col min="5" max="5" width="12.28515625" style="2171" hidden="1" customWidth="1" outlineLevel="1"/>
    <col min="6" max="6" width="10.85546875" style="81" customWidth="1" collapsed="1"/>
    <col min="7" max="16" width="23.7109375" style="81" customWidth="1"/>
    <col min="17" max="16384" width="9.140625" style="81"/>
  </cols>
  <sheetData>
    <row r="1" spans="1:23" ht="18" customHeight="1">
      <c r="A1" s="78"/>
      <c r="B1" s="78"/>
      <c r="C1" s="78"/>
      <c r="D1" s="78"/>
      <c r="E1" s="2169"/>
      <c r="F1" s="78"/>
      <c r="G1" s="78"/>
      <c r="H1" s="78"/>
      <c r="I1" s="78"/>
      <c r="J1" s="78"/>
      <c r="K1" s="78"/>
      <c r="L1" s="78"/>
      <c r="M1" s="78"/>
    </row>
    <row r="2" spans="1:23" ht="18" customHeight="1">
      <c r="A2" s="112"/>
      <c r="B2" s="112"/>
      <c r="C2" s="112"/>
      <c r="D2" s="112"/>
      <c r="E2" s="2170"/>
      <c r="F2" s="112"/>
      <c r="G2" s="2155"/>
      <c r="H2" s="2155"/>
      <c r="I2" s="2155"/>
      <c r="J2" s="112"/>
      <c r="K2" s="112"/>
      <c r="L2" s="112"/>
      <c r="M2" s="112"/>
    </row>
    <row r="3" spans="1:23" ht="18" customHeight="1">
      <c r="A3" s="106"/>
      <c r="B3" s="79"/>
      <c r="C3" s="79"/>
      <c r="D3" s="79"/>
      <c r="E3" s="80"/>
      <c r="F3" s="79"/>
      <c r="G3" s="2142"/>
      <c r="H3" s="79"/>
      <c r="I3" s="79"/>
      <c r="J3" s="79"/>
      <c r="K3" s="79"/>
      <c r="L3" s="79"/>
      <c r="M3" s="79"/>
    </row>
    <row r="4" spans="1:23" ht="18" customHeight="1">
      <c r="A4" s="589"/>
      <c r="B4" s="589"/>
      <c r="C4" s="589"/>
      <c r="D4" s="589"/>
      <c r="E4" s="359"/>
      <c r="F4" s="589"/>
      <c r="G4" s="589"/>
      <c r="H4" s="27"/>
      <c r="I4" s="27"/>
      <c r="J4" s="27"/>
      <c r="K4" s="589"/>
      <c r="L4" s="79"/>
      <c r="M4" s="79"/>
      <c r="N4" s="79"/>
      <c r="O4" s="79"/>
      <c r="P4" s="79"/>
    </row>
    <row r="5" spans="1:23" s="589" customFormat="1" ht="18" customHeight="1">
      <c r="A5" s="2156"/>
      <c r="B5" s="472" t="s">
        <v>490</v>
      </c>
      <c r="C5" s="26"/>
      <c r="D5" s="26"/>
      <c r="E5" s="434"/>
      <c r="F5" s="26"/>
      <c r="G5" s="26"/>
      <c r="H5" s="471"/>
      <c r="I5" s="471"/>
      <c r="J5" s="471"/>
      <c r="K5" s="471"/>
      <c r="L5" s="471"/>
      <c r="M5" s="471"/>
      <c r="N5" s="471"/>
      <c r="O5" s="471"/>
      <c r="P5" s="471"/>
      <c r="Q5" s="471"/>
      <c r="R5" s="471"/>
      <c r="S5" s="471"/>
      <c r="T5" s="471"/>
      <c r="U5" s="471"/>
      <c r="V5" s="471"/>
      <c r="W5" s="471"/>
    </row>
    <row r="6" spans="1:23" s="527" customFormat="1" ht="31.5" customHeight="1" thickBot="1">
      <c r="A6" s="5395" t="s">
        <v>2224</v>
      </c>
      <c r="B6" s="5395"/>
      <c r="C6" s="5395"/>
      <c r="D6" s="5395"/>
      <c r="E6" s="5395"/>
      <c r="F6" s="5395"/>
      <c r="G6" s="5395"/>
      <c r="H6" s="5395"/>
      <c r="I6" s="2165"/>
      <c r="J6" s="2165"/>
      <c r="K6" s="2165"/>
      <c r="L6" s="525"/>
      <c r="M6" s="525"/>
      <c r="N6" s="525"/>
      <c r="O6" s="525"/>
      <c r="P6" s="525"/>
    </row>
    <row r="7" spans="1:23" s="93" customFormat="1" ht="18" customHeight="1" outlineLevel="1">
      <c r="A7" s="5391" t="s">
        <v>2</v>
      </c>
      <c r="B7" s="5392" t="s">
        <v>2211</v>
      </c>
      <c r="C7" s="5392" t="s">
        <v>2220</v>
      </c>
      <c r="D7" s="5392" t="s">
        <v>2254</v>
      </c>
      <c r="E7" s="2174"/>
      <c r="F7" s="5393" t="s">
        <v>2212</v>
      </c>
      <c r="G7" s="5386" t="s">
        <v>2213</v>
      </c>
      <c r="H7" s="5387"/>
      <c r="I7" s="5387"/>
      <c r="J7" s="5387"/>
      <c r="K7" s="5388"/>
      <c r="L7" s="5386" t="s">
        <v>2214</v>
      </c>
      <c r="M7" s="5387"/>
      <c r="N7" s="5387"/>
      <c r="O7" s="5387"/>
      <c r="P7" s="5388"/>
    </row>
    <row r="8" spans="1:23" s="93" customFormat="1" ht="79.5" customHeight="1" outlineLevel="1">
      <c r="A8" s="5391"/>
      <c r="B8" s="5392"/>
      <c r="C8" s="5392"/>
      <c r="D8" s="5392"/>
      <c r="E8" s="2174"/>
      <c r="F8" s="5393"/>
      <c r="G8" s="2175" t="s">
        <v>2219</v>
      </c>
      <c r="H8" s="2143" t="s">
        <v>2221</v>
      </c>
      <c r="I8" s="2143" t="s">
        <v>2227</v>
      </c>
      <c r="J8" s="2143" t="s">
        <v>2228</v>
      </c>
      <c r="K8" s="2150" t="s">
        <v>2229</v>
      </c>
      <c r="L8" s="2175" t="s">
        <v>2223</v>
      </c>
      <c r="M8" s="2143" t="s">
        <v>2221</v>
      </c>
      <c r="N8" s="2143" t="str">
        <f>I8</f>
        <v>Скрытые петли К6360
 (хром)</v>
      </c>
      <c r="O8" s="2143" t="str">
        <f>J8</f>
        <v>Магнитный замок PUNTO с ответной планкой (хром)</v>
      </c>
      <c r="P8" s="2150" t="s">
        <v>2230</v>
      </c>
    </row>
    <row r="9" spans="1:23" ht="35.1" customHeight="1" outlineLevel="1">
      <c r="A9" s="5346" t="s">
        <v>2217</v>
      </c>
      <c r="B9" s="5389" t="s">
        <v>2253</v>
      </c>
      <c r="C9" s="2144">
        <v>2000</v>
      </c>
      <c r="D9" s="2147">
        <v>0</v>
      </c>
      <c r="E9" s="2173"/>
      <c r="F9" s="2149">
        <v>2</v>
      </c>
      <c r="G9" s="2176">
        <f>CEILING(Techno_Porte!G7*(1-G2), 10)</f>
        <v>13550</v>
      </c>
      <c r="H9" s="2145">
        <f>CEILING(Алюм.погонаж!E6*(1-$G$2), 10)</f>
        <v>12500</v>
      </c>
      <c r="I9" s="2145" t="e">
        <f>#REF!*F9</f>
        <v>#REF!</v>
      </c>
      <c r="J9" s="2145" t="e">
        <f>#REF!</f>
        <v>#REF!</v>
      </c>
      <c r="K9" s="2151" t="e">
        <f>G9+H9+I9+J9</f>
        <v>#REF!</v>
      </c>
      <c r="L9" s="2176">
        <f>CEILING(Techno_Porte!J7*(1-G2), 10)</f>
        <v>16300</v>
      </c>
      <c r="M9" s="2145">
        <f>H9</f>
        <v>12500</v>
      </c>
      <c r="N9" s="2145" t="e">
        <f>I9</f>
        <v>#REF!</v>
      </c>
      <c r="O9" s="2145" t="e">
        <f>J9</f>
        <v>#REF!</v>
      </c>
      <c r="P9" s="2151" t="e">
        <f>L9+M9+N9+O9</f>
        <v>#REF!</v>
      </c>
    </row>
    <row r="10" spans="1:23" ht="35.1" customHeight="1" outlineLevel="1">
      <c r="A10" s="5346"/>
      <c r="B10" s="5389"/>
      <c r="C10" s="2166">
        <v>2100</v>
      </c>
      <c r="D10" s="2148">
        <v>0</v>
      </c>
      <c r="E10" s="2172">
        <v>0.1</v>
      </c>
      <c r="F10" s="2167">
        <v>2</v>
      </c>
      <c r="G10" s="2177">
        <f>CEILING($G$9*(1+D10), 10)</f>
        <v>13550</v>
      </c>
      <c r="H10" s="2146">
        <f>CEILING(Алюм.погонаж!E7*(1-$G$2), 10)</f>
        <v>12500</v>
      </c>
      <c r="I10" s="2146" t="e">
        <f>#REF!*F10</f>
        <v>#REF!</v>
      </c>
      <c r="J10" s="2146" t="e">
        <f>$J$9</f>
        <v>#REF!</v>
      </c>
      <c r="K10" s="2152" t="e">
        <f t="shared" ref="K10:K20" si="0">G10+H10+I10+J10</f>
        <v>#REF!</v>
      </c>
      <c r="L10" s="2177">
        <f>Techno_Porte!G10*(1-$G$2)</f>
        <v>13750</v>
      </c>
      <c r="M10" s="2146">
        <f t="shared" ref="M10:O20" si="1">H10</f>
        <v>12500</v>
      </c>
      <c r="N10" s="2146" t="e">
        <f t="shared" si="1"/>
        <v>#REF!</v>
      </c>
      <c r="O10" s="2146" t="e">
        <f t="shared" si="1"/>
        <v>#REF!</v>
      </c>
      <c r="P10" s="2152" t="e">
        <f t="shared" ref="P10:P20" si="2">L10+M10+N10+O10</f>
        <v>#REF!</v>
      </c>
    </row>
    <row r="11" spans="1:23" ht="35.1" customHeight="1" outlineLevel="1">
      <c r="A11" s="5346"/>
      <c r="B11" s="5389"/>
      <c r="C11" s="2144">
        <v>2200</v>
      </c>
      <c r="D11" s="2147">
        <f>'Наценки (1)'!D11</f>
        <v>0.2</v>
      </c>
      <c r="E11" s="2173">
        <v>0.25</v>
      </c>
      <c r="F11" s="2149">
        <v>2</v>
      </c>
      <c r="G11" s="2176">
        <f>CEILING($G$9*(1+D11), 10)</f>
        <v>16260</v>
      </c>
      <c r="H11" s="2145">
        <f>CEILING(Алюм.погонаж!E8*(1-$G$2), 10)</f>
        <v>14400</v>
      </c>
      <c r="I11" s="2145" t="e">
        <f>#REF!*F11</f>
        <v>#REF!</v>
      </c>
      <c r="J11" s="2145" t="e">
        <f t="shared" ref="J11:J20" si="3">$J$9</f>
        <v>#REF!</v>
      </c>
      <c r="K11" s="2151" t="e">
        <f t="shared" si="0"/>
        <v>#REF!</v>
      </c>
      <c r="L11" s="2176">
        <f>Techno_Porte!G11*(1-$G$2)</f>
        <v>8125</v>
      </c>
      <c r="M11" s="2145">
        <f t="shared" si="1"/>
        <v>14400</v>
      </c>
      <c r="N11" s="2145" t="e">
        <f t="shared" si="1"/>
        <v>#REF!</v>
      </c>
      <c r="O11" s="2145" t="e">
        <f t="shared" si="1"/>
        <v>#REF!</v>
      </c>
      <c r="P11" s="2151" t="e">
        <f t="shared" si="2"/>
        <v>#REF!</v>
      </c>
    </row>
    <row r="12" spans="1:23" ht="35.1" customHeight="1" outlineLevel="1">
      <c r="A12" s="5346"/>
      <c r="B12" s="5389"/>
      <c r="C12" s="2166">
        <v>2300</v>
      </c>
      <c r="D12" s="2148">
        <f>'Наценки (1)'!D13</f>
        <v>0.3</v>
      </c>
      <c r="E12" s="2172">
        <v>0.4</v>
      </c>
      <c r="F12" s="2167">
        <v>3</v>
      </c>
      <c r="G12" s="2177">
        <f>CEILING($G$9*(1+D12), 10)</f>
        <v>17620</v>
      </c>
      <c r="H12" s="2146">
        <f>CEILING(Алюм.погонаж!E9*(1-$G$2), 10)</f>
        <v>14400</v>
      </c>
      <c r="I12" s="2146" t="e">
        <f>#REF!*F12</f>
        <v>#REF!</v>
      </c>
      <c r="J12" s="2146" t="e">
        <f t="shared" si="3"/>
        <v>#REF!</v>
      </c>
      <c r="K12" s="2152" t="e">
        <f t="shared" si="0"/>
        <v>#REF!</v>
      </c>
      <c r="L12" s="2177">
        <f>Techno_Porte!G12*(1-$G$2)</f>
        <v>21875</v>
      </c>
      <c r="M12" s="2146">
        <f t="shared" si="1"/>
        <v>14400</v>
      </c>
      <c r="N12" s="2146" t="e">
        <f t="shared" si="1"/>
        <v>#REF!</v>
      </c>
      <c r="O12" s="2146" t="e">
        <f t="shared" si="1"/>
        <v>#REF!</v>
      </c>
      <c r="P12" s="2152" t="e">
        <f t="shared" si="2"/>
        <v>#REF!</v>
      </c>
    </row>
    <row r="13" spans="1:23" ht="35.1" customHeight="1" outlineLevel="1">
      <c r="A13" s="5346"/>
      <c r="B13" s="5389"/>
      <c r="C13" s="2144">
        <v>2400</v>
      </c>
      <c r="D13" s="2147">
        <f>'Наценки (1)'!D15</f>
        <v>0.4</v>
      </c>
      <c r="E13" s="2173"/>
      <c r="F13" s="2149">
        <v>3</v>
      </c>
      <c r="G13" s="2176">
        <f t="shared" ref="G13:G20" si="4">CEILING($G$9*(1+D13), 50)</f>
        <v>19000</v>
      </c>
      <c r="H13" s="2145">
        <f>CEILING(Алюм.погонаж!E10*(1-$G$2), 10)</f>
        <v>16900</v>
      </c>
      <c r="I13" s="2145" t="e">
        <f>#REF!*F13</f>
        <v>#REF!</v>
      </c>
      <c r="J13" s="2145" t="e">
        <f t="shared" si="3"/>
        <v>#REF!</v>
      </c>
      <c r="K13" s="2151" t="e">
        <f t="shared" si="0"/>
        <v>#REF!</v>
      </c>
      <c r="L13" s="2176">
        <f>Techno_Porte!G19*(1-$G$2)</f>
        <v>22200</v>
      </c>
      <c r="M13" s="2145">
        <f t="shared" si="1"/>
        <v>16900</v>
      </c>
      <c r="N13" s="2145" t="e">
        <f t="shared" si="1"/>
        <v>#REF!</v>
      </c>
      <c r="O13" s="2145" t="e">
        <f t="shared" si="1"/>
        <v>#REF!</v>
      </c>
      <c r="P13" s="2151" t="e">
        <f t="shared" si="2"/>
        <v>#REF!</v>
      </c>
    </row>
    <row r="14" spans="1:23" ht="35.1" customHeight="1" outlineLevel="1">
      <c r="A14" s="5346"/>
      <c r="B14" s="5389"/>
      <c r="C14" s="2166">
        <v>2500</v>
      </c>
      <c r="D14" s="2148">
        <f>'Наценки (1)'!D17</f>
        <v>0.5</v>
      </c>
      <c r="E14" s="2172"/>
      <c r="F14" s="2167">
        <v>3</v>
      </c>
      <c r="G14" s="2177">
        <f t="shared" si="4"/>
        <v>20350</v>
      </c>
      <c r="H14" s="2146">
        <f>CEILING(Алюм.погонаж!E11*(1-$G$2), 10)</f>
        <v>16900</v>
      </c>
      <c r="I14" s="2146" t="e">
        <f>#REF!*F14</f>
        <v>#REF!</v>
      </c>
      <c r="J14" s="2146" t="e">
        <f t="shared" si="3"/>
        <v>#REF!</v>
      </c>
      <c r="K14" s="2152" t="e">
        <f t="shared" si="0"/>
        <v>#REF!</v>
      </c>
      <c r="L14" s="2177">
        <f>Techno_Porte!G20*(1-$G$2)</f>
        <v>13250</v>
      </c>
      <c r="M14" s="2146">
        <f t="shared" si="1"/>
        <v>16900</v>
      </c>
      <c r="N14" s="2146" t="e">
        <f t="shared" si="1"/>
        <v>#REF!</v>
      </c>
      <c r="O14" s="2146" t="e">
        <f t="shared" si="1"/>
        <v>#REF!</v>
      </c>
      <c r="P14" s="2152" t="e">
        <f t="shared" si="2"/>
        <v>#REF!</v>
      </c>
    </row>
    <row r="15" spans="1:23" ht="35.1" customHeight="1" outlineLevel="1">
      <c r="A15" s="5346"/>
      <c r="B15" s="5390">
        <v>900</v>
      </c>
      <c r="C15" s="2144">
        <v>2000</v>
      </c>
      <c r="D15" s="2147">
        <f>'Наценки (1)'!D30</f>
        <v>0.05</v>
      </c>
      <c r="E15" s="2173"/>
      <c r="F15" s="2149">
        <v>2</v>
      </c>
      <c r="G15" s="2176">
        <f t="shared" si="4"/>
        <v>14250</v>
      </c>
      <c r="H15" s="2145">
        <f t="shared" ref="H15:H20" si="5">CEILING(H9+H9/2.5, 10)</f>
        <v>17500</v>
      </c>
      <c r="I15" s="2145" t="e">
        <f>#REF!*F15</f>
        <v>#REF!</v>
      </c>
      <c r="J15" s="2145" t="e">
        <f t="shared" si="3"/>
        <v>#REF!</v>
      </c>
      <c r="K15" s="2151" t="e">
        <f t="shared" si="0"/>
        <v>#REF!</v>
      </c>
      <c r="L15" s="2176">
        <f t="shared" ref="L15:L20" si="6">G15*1.1</f>
        <v>15675.000000000002</v>
      </c>
      <c r="M15" s="2145">
        <f t="shared" si="1"/>
        <v>17500</v>
      </c>
      <c r="N15" s="2145" t="e">
        <f t="shared" si="1"/>
        <v>#REF!</v>
      </c>
      <c r="O15" s="2145" t="e">
        <f t="shared" si="1"/>
        <v>#REF!</v>
      </c>
      <c r="P15" s="2151" t="e">
        <f t="shared" si="2"/>
        <v>#REF!</v>
      </c>
    </row>
    <row r="16" spans="1:23" ht="35.1" customHeight="1" outlineLevel="1">
      <c r="A16" s="5346"/>
      <c r="B16" s="5390"/>
      <c r="C16" s="2166">
        <v>2100</v>
      </c>
      <c r="D16" s="2148">
        <f>'Наценки (1)'!D32</f>
        <v>0.05</v>
      </c>
      <c r="E16" s="2172"/>
      <c r="F16" s="2167">
        <v>2</v>
      </c>
      <c r="G16" s="2177">
        <f t="shared" si="4"/>
        <v>14250</v>
      </c>
      <c r="H16" s="2146">
        <f t="shared" si="5"/>
        <v>17500</v>
      </c>
      <c r="I16" s="2146" t="e">
        <f>#REF!*F16</f>
        <v>#REF!</v>
      </c>
      <c r="J16" s="2146" t="e">
        <f t="shared" si="3"/>
        <v>#REF!</v>
      </c>
      <c r="K16" s="2152" t="e">
        <f t="shared" si="0"/>
        <v>#REF!</v>
      </c>
      <c r="L16" s="2177">
        <f t="shared" si="6"/>
        <v>15675.000000000002</v>
      </c>
      <c r="M16" s="2146">
        <f t="shared" si="1"/>
        <v>17500</v>
      </c>
      <c r="N16" s="2146" t="e">
        <f t="shared" si="1"/>
        <v>#REF!</v>
      </c>
      <c r="O16" s="2146" t="e">
        <f t="shared" si="1"/>
        <v>#REF!</v>
      </c>
      <c r="P16" s="2152" t="e">
        <f t="shared" si="2"/>
        <v>#REF!</v>
      </c>
    </row>
    <row r="17" spans="1:16" ht="35.1" customHeight="1" outlineLevel="1">
      <c r="A17" s="5346"/>
      <c r="B17" s="5390"/>
      <c r="C17" s="2144">
        <v>2200</v>
      </c>
      <c r="D17" s="2147">
        <f>'Наценки (1)'!D34</f>
        <v>0.25</v>
      </c>
      <c r="E17" s="2173"/>
      <c r="F17" s="2149">
        <v>2</v>
      </c>
      <c r="G17" s="2176">
        <f t="shared" si="4"/>
        <v>16950</v>
      </c>
      <c r="H17" s="2145">
        <f t="shared" si="5"/>
        <v>20160</v>
      </c>
      <c r="I17" s="2145" t="e">
        <f>#REF!*F17</f>
        <v>#REF!</v>
      </c>
      <c r="J17" s="2145" t="e">
        <f t="shared" si="3"/>
        <v>#REF!</v>
      </c>
      <c r="K17" s="2151" t="e">
        <f t="shared" si="0"/>
        <v>#REF!</v>
      </c>
      <c r="L17" s="2176">
        <f t="shared" si="6"/>
        <v>18645</v>
      </c>
      <c r="M17" s="2145">
        <f t="shared" si="1"/>
        <v>20160</v>
      </c>
      <c r="N17" s="2145" t="e">
        <f t="shared" si="1"/>
        <v>#REF!</v>
      </c>
      <c r="O17" s="2145" t="e">
        <f t="shared" si="1"/>
        <v>#REF!</v>
      </c>
      <c r="P17" s="2151" t="e">
        <f t="shared" si="2"/>
        <v>#REF!</v>
      </c>
    </row>
    <row r="18" spans="1:16" ht="35.1" customHeight="1" outlineLevel="1">
      <c r="A18" s="5346"/>
      <c r="B18" s="5390"/>
      <c r="C18" s="2166">
        <v>2300</v>
      </c>
      <c r="D18" s="2148">
        <f>'Наценки (1)'!D36</f>
        <v>0.35</v>
      </c>
      <c r="E18" s="2172"/>
      <c r="F18" s="2167">
        <v>3</v>
      </c>
      <c r="G18" s="2177">
        <f t="shared" si="4"/>
        <v>18300</v>
      </c>
      <c r="H18" s="2146">
        <f t="shared" si="5"/>
        <v>20160</v>
      </c>
      <c r="I18" s="2146" t="e">
        <f>#REF!*F18</f>
        <v>#REF!</v>
      </c>
      <c r="J18" s="2146" t="e">
        <f t="shared" si="3"/>
        <v>#REF!</v>
      </c>
      <c r="K18" s="2152" t="e">
        <f t="shared" si="0"/>
        <v>#REF!</v>
      </c>
      <c r="L18" s="2177">
        <f t="shared" si="6"/>
        <v>20130</v>
      </c>
      <c r="M18" s="2146">
        <f t="shared" si="1"/>
        <v>20160</v>
      </c>
      <c r="N18" s="2146" t="e">
        <f t="shared" si="1"/>
        <v>#REF!</v>
      </c>
      <c r="O18" s="2146" t="e">
        <f t="shared" si="1"/>
        <v>#REF!</v>
      </c>
      <c r="P18" s="2152" t="e">
        <f t="shared" si="2"/>
        <v>#REF!</v>
      </c>
    </row>
    <row r="19" spans="1:16" ht="35.1" customHeight="1" outlineLevel="1">
      <c r="A19" s="5346"/>
      <c r="B19" s="5390"/>
      <c r="C19" s="2144">
        <v>2400</v>
      </c>
      <c r="D19" s="2147">
        <f>'Наценки (1)'!D38</f>
        <v>0.45</v>
      </c>
      <c r="E19" s="2173"/>
      <c r="F19" s="2149">
        <v>3</v>
      </c>
      <c r="G19" s="2176">
        <f t="shared" si="4"/>
        <v>19650</v>
      </c>
      <c r="H19" s="2145">
        <f t="shared" si="5"/>
        <v>23660</v>
      </c>
      <c r="I19" s="2145" t="e">
        <f>#REF!*F19</f>
        <v>#REF!</v>
      </c>
      <c r="J19" s="2145" t="e">
        <f t="shared" si="3"/>
        <v>#REF!</v>
      </c>
      <c r="K19" s="2151" t="e">
        <f t="shared" si="0"/>
        <v>#REF!</v>
      </c>
      <c r="L19" s="2176">
        <f t="shared" si="6"/>
        <v>21615</v>
      </c>
      <c r="M19" s="2145">
        <f t="shared" si="1"/>
        <v>23660</v>
      </c>
      <c r="N19" s="2145" t="e">
        <f t="shared" si="1"/>
        <v>#REF!</v>
      </c>
      <c r="O19" s="2145" t="e">
        <f t="shared" si="1"/>
        <v>#REF!</v>
      </c>
      <c r="P19" s="2151" t="e">
        <f t="shared" si="2"/>
        <v>#REF!</v>
      </c>
    </row>
    <row r="20" spans="1:16" ht="35.1" customHeight="1" outlineLevel="1" thickBot="1">
      <c r="A20" s="5346"/>
      <c r="B20" s="5390"/>
      <c r="C20" s="2166">
        <v>2500</v>
      </c>
      <c r="D20" s="2148">
        <f>'Наценки (1)'!D40</f>
        <v>0.55000000000000004</v>
      </c>
      <c r="E20" s="2172"/>
      <c r="F20" s="2167">
        <v>3</v>
      </c>
      <c r="G20" s="2178">
        <f t="shared" si="4"/>
        <v>21050</v>
      </c>
      <c r="H20" s="2153">
        <f t="shared" si="5"/>
        <v>23660</v>
      </c>
      <c r="I20" s="2153" t="e">
        <f>#REF!*F20</f>
        <v>#REF!</v>
      </c>
      <c r="J20" s="2153" t="e">
        <f t="shared" si="3"/>
        <v>#REF!</v>
      </c>
      <c r="K20" s="2154" t="e">
        <f t="shared" si="0"/>
        <v>#REF!</v>
      </c>
      <c r="L20" s="2178">
        <f t="shared" si="6"/>
        <v>23155.000000000004</v>
      </c>
      <c r="M20" s="2153">
        <f t="shared" si="1"/>
        <v>23660</v>
      </c>
      <c r="N20" s="2153" t="e">
        <f t="shared" si="1"/>
        <v>#REF!</v>
      </c>
      <c r="O20" s="2153" t="e">
        <f t="shared" si="1"/>
        <v>#REF!</v>
      </c>
      <c r="P20" s="2154" t="e">
        <f t="shared" si="2"/>
        <v>#REF!</v>
      </c>
    </row>
    <row r="21" spans="1:16" s="589" customFormat="1" ht="15" customHeight="1" outlineLevel="1">
      <c r="E21" s="359"/>
    </row>
    <row r="22" spans="1:16" s="527" customFormat="1" ht="31.5" customHeight="1" thickBot="1">
      <c r="A22" s="5394" t="s">
        <v>2250</v>
      </c>
      <c r="B22" s="5394"/>
      <c r="C22" s="5394"/>
      <c r="D22" s="5394"/>
      <c r="E22" s="5394"/>
      <c r="F22" s="5394"/>
      <c r="G22" s="5394"/>
      <c r="H22" s="5394"/>
      <c r="I22" s="2165"/>
      <c r="J22" s="2165"/>
      <c r="K22" s="2165"/>
      <c r="L22" s="525"/>
      <c r="M22" s="525"/>
      <c r="N22" s="525"/>
      <c r="O22" s="525"/>
      <c r="P22" s="525"/>
    </row>
    <row r="23" spans="1:16" s="93" customFormat="1" ht="18" customHeight="1" outlineLevel="1">
      <c r="A23" s="5391" t="s">
        <v>2</v>
      </c>
      <c r="B23" s="5392" t="s">
        <v>2211</v>
      </c>
      <c r="C23" s="5392" t="s">
        <v>2220</v>
      </c>
      <c r="D23" s="5392" t="s">
        <v>2254</v>
      </c>
      <c r="E23" s="2174"/>
      <c r="F23" s="5393" t="s">
        <v>2212</v>
      </c>
      <c r="G23" s="5386" t="s">
        <v>2213</v>
      </c>
      <c r="H23" s="5387"/>
      <c r="I23" s="5387"/>
      <c r="J23" s="5387"/>
      <c r="K23" s="5388"/>
      <c r="L23" s="5386" t="s">
        <v>2214</v>
      </c>
      <c r="M23" s="5387"/>
      <c r="N23" s="5387"/>
      <c r="O23" s="5387"/>
      <c r="P23" s="5388"/>
    </row>
    <row r="24" spans="1:16" s="93" customFormat="1" ht="79.5" customHeight="1" outlineLevel="1">
      <c r="A24" s="5391"/>
      <c r="B24" s="5392"/>
      <c r="C24" s="5392"/>
      <c r="D24" s="5392"/>
      <c r="E24" s="2174"/>
      <c r="F24" s="5393"/>
      <c r="G24" s="2175" t="s">
        <v>2249</v>
      </c>
      <c r="H24" s="2143" t="str">
        <f>Алюм.погонаж!E4</f>
        <v>ПРЯМ.СК (ПСК)/ОБР.СК (ОСК)</v>
      </c>
      <c r="I24" s="2143" t="s">
        <v>2260</v>
      </c>
      <c r="J24" s="2143" t="str">
        <f>J8</f>
        <v>Магнитный замок PUNTO с ответной планкой (хром)</v>
      </c>
      <c r="K24" s="2150" t="s">
        <v>2215</v>
      </c>
      <c r="L24" s="2175" t="s">
        <v>2223</v>
      </c>
      <c r="M24" s="2143" t="s">
        <v>2221</v>
      </c>
      <c r="N24" s="2143" t="s">
        <v>2225</v>
      </c>
      <c r="O24" s="2143" t="s">
        <v>2222</v>
      </c>
      <c r="P24" s="2150" t="s">
        <v>2216</v>
      </c>
    </row>
    <row r="25" spans="1:16" ht="35.1" customHeight="1" outlineLevel="1">
      <c r="A25" s="5346" t="s">
        <v>2217</v>
      </c>
      <c r="B25" s="5389" t="s">
        <v>2259</v>
      </c>
      <c r="C25" s="2144">
        <v>2000</v>
      </c>
      <c r="D25" s="2147">
        <f>D9</f>
        <v>0</v>
      </c>
      <c r="E25" s="2173">
        <v>7700</v>
      </c>
      <c r="F25" s="2149">
        <v>2</v>
      </c>
      <c r="G25" s="2176">
        <f>CEILING((Techno_Porte!$G$7+Алюм.погонаж!$H$24)*(1-G2), 10)</f>
        <v>17700</v>
      </c>
      <c r="H25" s="2145" t="e">
        <f>CEILING(Алюм.погонаж!#REF!*(1-$G$2), 10)</f>
        <v>#REF!</v>
      </c>
      <c r="I25" s="2145" t="e">
        <f>#REF!*F25</f>
        <v>#REF!</v>
      </c>
      <c r="J25" s="2145" t="e">
        <f>J9</f>
        <v>#REF!</v>
      </c>
      <c r="K25" s="2151" t="e">
        <f>G25+H25+I25+J25</f>
        <v>#REF!</v>
      </c>
      <c r="L25" s="2176">
        <f>CEILING((Techno_Porte!J7+Алюм.погонаж!H24)*(1-'Скрытая дверь РРЦ'!G2), 10)</f>
        <v>20450</v>
      </c>
      <c r="M25" s="2145" t="e">
        <f t="shared" ref="M25:O26" si="7">H25</f>
        <v>#REF!</v>
      </c>
      <c r="N25" s="2145" t="e">
        <f t="shared" si="7"/>
        <v>#REF!</v>
      </c>
      <c r="O25" s="2145" t="e">
        <f t="shared" si="7"/>
        <v>#REF!</v>
      </c>
      <c r="P25" s="2151" t="e">
        <f>L25+M25+N25+[2]Фурнитура!E46</f>
        <v>#REF!</v>
      </c>
    </row>
    <row r="26" spans="1:16" ht="35.1" customHeight="1" outlineLevel="1">
      <c r="A26" s="5346"/>
      <c r="B26" s="5389"/>
      <c r="C26" s="2166">
        <v>2100</v>
      </c>
      <c r="D26" s="2148">
        <f>D10</f>
        <v>0</v>
      </c>
      <c r="E26" s="2172">
        <v>8470</v>
      </c>
      <c r="F26" s="2167">
        <v>2</v>
      </c>
      <c r="G26" s="2177">
        <f>G25*(1+D26)</f>
        <v>17700</v>
      </c>
      <c r="H26" s="2146" t="e">
        <f>CEILING(Алюм.погонаж!#REF!*(1-$G$2), 10)</f>
        <v>#REF!</v>
      </c>
      <c r="I26" s="2146" t="e">
        <f>#REF!*F26</f>
        <v>#REF!</v>
      </c>
      <c r="J26" s="2146" t="e">
        <f t="shared" ref="J26:J36" si="8">J10</f>
        <v>#REF!</v>
      </c>
      <c r="K26" s="2152" t="e">
        <f t="shared" ref="K26:K36" si="9">G26+H26+I26+J26</f>
        <v>#REF!</v>
      </c>
      <c r="L26" s="2177">
        <f>$L$25*(1+D26)</f>
        <v>20450</v>
      </c>
      <c r="M26" s="2146" t="e">
        <f t="shared" si="7"/>
        <v>#REF!</v>
      </c>
      <c r="N26" s="2146" t="e">
        <f t="shared" si="7"/>
        <v>#REF!</v>
      </c>
      <c r="O26" s="2146" t="e">
        <f t="shared" si="7"/>
        <v>#REF!</v>
      </c>
      <c r="P26" s="2152" t="e">
        <f>L26+M26+N26+[2]Фурнитура!E47</f>
        <v>#REF!</v>
      </c>
    </row>
    <row r="27" spans="1:16" ht="35.1" customHeight="1" outlineLevel="1">
      <c r="A27" s="5346"/>
      <c r="B27" s="5389"/>
      <c r="C27" s="2144">
        <v>2200</v>
      </c>
      <c r="D27" s="2147">
        <f t="shared" ref="D27:D36" si="10">D11</f>
        <v>0.2</v>
      </c>
      <c r="E27" s="2173">
        <v>9625</v>
      </c>
      <c r="F27" s="2149">
        <v>2</v>
      </c>
      <c r="G27" s="2176">
        <f t="shared" ref="G27:G36" si="11">CEILING($G$25*(1+D27), 10)</f>
        <v>21240</v>
      </c>
      <c r="H27" s="2145" t="e">
        <f>CEILING(Алюм.погонаж!#REF!*(1-$G$2), 10)</f>
        <v>#REF!</v>
      </c>
      <c r="I27" s="2145" t="e">
        <f>#REF!*F27</f>
        <v>#REF!</v>
      </c>
      <c r="J27" s="2145" t="e">
        <f t="shared" si="8"/>
        <v>#REF!</v>
      </c>
      <c r="K27" s="2151" t="e">
        <f t="shared" si="9"/>
        <v>#REF!</v>
      </c>
      <c r="L27" s="2176">
        <f t="shared" ref="L27:L36" si="12">CEILING($L$25*(1+D27), 10)</f>
        <v>24540</v>
      </c>
      <c r="M27" s="2145" t="e">
        <f t="shared" ref="M27:O36" si="13">H27</f>
        <v>#REF!</v>
      </c>
      <c r="N27" s="2145" t="e">
        <f t="shared" si="13"/>
        <v>#REF!</v>
      </c>
      <c r="O27" s="2145" t="e">
        <f t="shared" si="13"/>
        <v>#REF!</v>
      </c>
      <c r="P27" s="2151" t="e">
        <f>L27+M27+N27+[2]Фурнитура!E48</f>
        <v>#REF!</v>
      </c>
    </row>
    <row r="28" spans="1:16" ht="35.1" customHeight="1" outlineLevel="1">
      <c r="A28" s="5346"/>
      <c r="B28" s="5389"/>
      <c r="C28" s="2166">
        <v>2300</v>
      </c>
      <c r="D28" s="2148">
        <f t="shared" si="10"/>
        <v>0.3</v>
      </c>
      <c r="E28" s="2172">
        <v>10780</v>
      </c>
      <c r="F28" s="2167">
        <v>3</v>
      </c>
      <c r="G28" s="2177">
        <f t="shared" si="11"/>
        <v>23010</v>
      </c>
      <c r="H28" s="2146" t="e">
        <f>CEILING(Алюм.погонаж!#REF!*(1-$G$2), 10)</f>
        <v>#REF!</v>
      </c>
      <c r="I28" s="2146" t="e">
        <f>#REF!*F28</f>
        <v>#REF!</v>
      </c>
      <c r="J28" s="2146" t="e">
        <f t="shared" si="8"/>
        <v>#REF!</v>
      </c>
      <c r="K28" s="2152" t="e">
        <f t="shared" si="9"/>
        <v>#REF!</v>
      </c>
      <c r="L28" s="2177">
        <f t="shared" si="12"/>
        <v>26590</v>
      </c>
      <c r="M28" s="2146" t="e">
        <f t="shared" si="13"/>
        <v>#REF!</v>
      </c>
      <c r="N28" s="2146" t="e">
        <f t="shared" si="13"/>
        <v>#REF!</v>
      </c>
      <c r="O28" s="2146" t="e">
        <f t="shared" si="13"/>
        <v>#REF!</v>
      </c>
      <c r="P28" s="2152" t="e">
        <f>L28+M28+N28+[2]Фурнитура!E49</f>
        <v>#REF!</v>
      </c>
    </row>
    <row r="29" spans="1:16" ht="35.1" customHeight="1" outlineLevel="1">
      <c r="A29" s="5346"/>
      <c r="B29" s="5389"/>
      <c r="C29" s="2144">
        <v>2400</v>
      </c>
      <c r="D29" s="2147">
        <f t="shared" si="10"/>
        <v>0.4</v>
      </c>
      <c r="E29" s="2173"/>
      <c r="F29" s="2149">
        <v>3</v>
      </c>
      <c r="G29" s="2176">
        <f t="shared" si="11"/>
        <v>24780</v>
      </c>
      <c r="H29" s="2145" t="e">
        <f>CEILING(Алюм.погонаж!#REF!*(1-$G$2), 10)</f>
        <v>#REF!</v>
      </c>
      <c r="I29" s="2145" t="e">
        <f>#REF!*F29</f>
        <v>#REF!</v>
      </c>
      <c r="J29" s="2145" t="e">
        <f t="shared" si="8"/>
        <v>#REF!</v>
      </c>
      <c r="K29" s="2151" t="e">
        <f t="shared" si="9"/>
        <v>#REF!</v>
      </c>
      <c r="L29" s="2176">
        <f t="shared" si="12"/>
        <v>28630</v>
      </c>
      <c r="M29" s="2145" t="e">
        <f t="shared" si="13"/>
        <v>#REF!</v>
      </c>
      <c r="N29" s="2145" t="e">
        <f t="shared" si="13"/>
        <v>#REF!</v>
      </c>
      <c r="O29" s="2145" t="e">
        <f t="shared" si="13"/>
        <v>#REF!</v>
      </c>
      <c r="P29" s="2151" t="e">
        <f>L29+M29+N29+[2]Фурнитура!E50</f>
        <v>#REF!</v>
      </c>
    </row>
    <row r="30" spans="1:16" ht="35.1" customHeight="1" outlineLevel="1">
      <c r="A30" s="5346"/>
      <c r="B30" s="5389"/>
      <c r="C30" s="2166">
        <v>2500</v>
      </c>
      <c r="D30" s="2148">
        <f t="shared" si="10"/>
        <v>0.5</v>
      </c>
      <c r="E30" s="2172"/>
      <c r="F30" s="2167">
        <v>3</v>
      </c>
      <c r="G30" s="2177">
        <f t="shared" si="11"/>
        <v>26550</v>
      </c>
      <c r="H30" s="2146" t="e">
        <f>CEILING(Алюм.погонаж!#REF!*(1-$G$2), 10)</f>
        <v>#REF!</v>
      </c>
      <c r="I30" s="2146" t="e">
        <f>#REF!*F30</f>
        <v>#REF!</v>
      </c>
      <c r="J30" s="2146" t="e">
        <f t="shared" si="8"/>
        <v>#REF!</v>
      </c>
      <c r="K30" s="2152" t="e">
        <f t="shared" si="9"/>
        <v>#REF!</v>
      </c>
      <c r="L30" s="2177">
        <f t="shared" si="12"/>
        <v>30680</v>
      </c>
      <c r="M30" s="2146" t="e">
        <f t="shared" si="13"/>
        <v>#REF!</v>
      </c>
      <c r="N30" s="2146" t="e">
        <f t="shared" si="13"/>
        <v>#REF!</v>
      </c>
      <c r="O30" s="2146" t="e">
        <f t="shared" si="13"/>
        <v>#REF!</v>
      </c>
      <c r="P30" s="2152" t="e">
        <f>L30+M30+N30+[2]Фурнитура!E51</f>
        <v>#REF!</v>
      </c>
    </row>
    <row r="31" spans="1:16" ht="35.1" customHeight="1" outlineLevel="1">
      <c r="A31" s="5346"/>
      <c r="B31" s="5390">
        <v>900</v>
      </c>
      <c r="C31" s="2144">
        <v>2000</v>
      </c>
      <c r="D31" s="2147">
        <f t="shared" si="10"/>
        <v>0.05</v>
      </c>
      <c r="E31" s="2173"/>
      <c r="F31" s="2149">
        <v>2</v>
      </c>
      <c r="G31" s="2176">
        <f t="shared" si="11"/>
        <v>18590</v>
      </c>
      <c r="H31" s="2145" t="e">
        <f t="shared" ref="H31:H36" si="14">CEILING(H25+H25/2.5, 10)</f>
        <v>#REF!</v>
      </c>
      <c r="I31" s="2145" t="e">
        <f>#REF!*F31</f>
        <v>#REF!</v>
      </c>
      <c r="J31" s="2145" t="e">
        <f t="shared" si="8"/>
        <v>#REF!</v>
      </c>
      <c r="K31" s="2151" t="e">
        <f t="shared" si="9"/>
        <v>#REF!</v>
      </c>
      <c r="L31" s="2176">
        <f t="shared" si="12"/>
        <v>21480</v>
      </c>
      <c r="M31" s="2145" t="e">
        <f t="shared" si="13"/>
        <v>#REF!</v>
      </c>
      <c r="N31" s="2145" t="e">
        <f t="shared" si="13"/>
        <v>#REF!</v>
      </c>
      <c r="O31" s="2145" t="e">
        <f t="shared" si="13"/>
        <v>#REF!</v>
      </c>
      <c r="P31" s="2151" t="e">
        <f>L31+M31+N31+[2]Фурнитура!E52</f>
        <v>#REF!</v>
      </c>
    </row>
    <row r="32" spans="1:16" ht="35.1" customHeight="1" outlineLevel="1">
      <c r="A32" s="5346"/>
      <c r="B32" s="5390"/>
      <c r="C32" s="2166">
        <v>2100</v>
      </c>
      <c r="D32" s="2148">
        <f t="shared" si="10"/>
        <v>0.05</v>
      </c>
      <c r="E32" s="2172"/>
      <c r="F32" s="2167">
        <v>2</v>
      </c>
      <c r="G32" s="2177">
        <f t="shared" si="11"/>
        <v>18590</v>
      </c>
      <c r="H32" s="2146" t="e">
        <f t="shared" si="14"/>
        <v>#REF!</v>
      </c>
      <c r="I32" s="2146" t="e">
        <f>#REF!*F32</f>
        <v>#REF!</v>
      </c>
      <c r="J32" s="2146" t="e">
        <f t="shared" si="8"/>
        <v>#REF!</v>
      </c>
      <c r="K32" s="2152" t="e">
        <f t="shared" si="9"/>
        <v>#REF!</v>
      </c>
      <c r="L32" s="2177">
        <f t="shared" si="12"/>
        <v>21480</v>
      </c>
      <c r="M32" s="2146" t="e">
        <f t="shared" si="13"/>
        <v>#REF!</v>
      </c>
      <c r="N32" s="2146" t="e">
        <f t="shared" si="13"/>
        <v>#REF!</v>
      </c>
      <c r="O32" s="2146" t="e">
        <f t="shared" si="13"/>
        <v>#REF!</v>
      </c>
      <c r="P32" s="2152" t="e">
        <f>L32+M32+N32+[2]Фурнитура!E51</f>
        <v>#REF!</v>
      </c>
    </row>
    <row r="33" spans="1:16" ht="35.1" customHeight="1" outlineLevel="1">
      <c r="A33" s="5346"/>
      <c r="B33" s="5390"/>
      <c r="C33" s="2144">
        <v>2200</v>
      </c>
      <c r="D33" s="2147">
        <f t="shared" si="10"/>
        <v>0.25</v>
      </c>
      <c r="E33" s="2173"/>
      <c r="F33" s="2149">
        <v>2</v>
      </c>
      <c r="G33" s="2176">
        <f t="shared" si="11"/>
        <v>22130</v>
      </c>
      <c r="H33" s="2145" t="e">
        <f t="shared" si="14"/>
        <v>#REF!</v>
      </c>
      <c r="I33" s="2145" t="e">
        <f>#REF!*F33</f>
        <v>#REF!</v>
      </c>
      <c r="J33" s="2145" t="e">
        <f t="shared" si="8"/>
        <v>#REF!</v>
      </c>
      <c r="K33" s="2151" t="e">
        <f t="shared" si="9"/>
        <v>#REF!</v>
      </c>
      <c r="L33" s="2176">
        <f t="shared" si="12"/>
        <v>25570</v>
      </c>
      <c r="M33" s="2145" t="e">
        <f t="shared" si="13"/>
        <v>#REF!</v>
      </c>
      <c r="N33" s="2145" t="e">
        <f t="shared" si="13"/>
        <v>#REF!</v>
      </c>
      <c r="O33" s="2145" t="e">
        <f t="shared" si="13"/>
        <v>#REF!</v>
      </c>
      <c r="P33" s="2151" t="e">
        <f>L33+M33+N33+[2]Фурнитура!E52</f>
        <v>#REF!</v>
      </c>
    </row>
    <row r="34" spans="1:16" ht="35.1" customHeight="1" outlineLevel="1">
      <c r="A34" s="5346"/>
      <c r="B34" s="5390"/>
      <c r="C34" s="2166">
        <v>2300</v>
      </c>
      <c r="D34" s="2148">
        <f t="shared" si="10"/>
        <v>0.35</v>
      </c>
      <c r="E34" s="2172"/>
      <c r="F34" s="2167">
        <v>3</v>
      </c>
      <c r="G34" s="2177">
        <f t="shared" si="11"/>
        <v>23900</v>
      </c>
      <c r="H34" s="2146" t="e">
        <f t="shared" si="14"/>
        <v>#REF!</v>
      </c>
      <c r="I34" s="2146" t="e">
        <f>#REF!*F34</f>
        <v>#REF!</v>
      </c>
      <c r="J34" s="2146" t="e">
        <f t="shared" si="8"/>
        <v>#REF!</v>
      </c>
      <c r="K34" s="2152" t="e">
        <f t="shared" si="9"/>
        <v>#REF!</v>
      </c>
      <c r="L34" s="2177">
        <f t="shared" si="12"/>
        <v>27610</v>
      </c>
      <c r="M34" s="2146" t="e">
        <f t="shared" si="13"/>
        <v>#REF!</v>
      </c>
      <c r="N34" s="2146" t="e">
        <f t="shared" si="13"/>
        <v>#REF!</v>
      </c>
      <c r="O34" s="2146" t="e">
        <f t="shared" si="13"/>
        <v>#REF!</v>
      </c>
      <c r="P34" s="2152" t="e">
        <f>L34+M34+N34+[2]Фурнитура!E53</f>
        <v>#REF!</v>
      </c>
    </row>
    <row r="35" spans="1:16" ht="35.1" customHeight="1" outlineLevel="1">
      <c r="A35" s="5346"/>
      <c r="B35" s="5390"/>
      <c r="C35" s="2144">
        <v>2400</v>
      </c>
      <c r="D35" s="2147">
        <f t="shared" si="10"/>
        <v>0.45</v>
      </c>
      <c r="E35" s="2173"/>
      <c r="F35" s="2149">
        <v>3</v>
      </c>
      <c r="G35" s="2176">
        <f t="shared" si="11"/>
        <v>25670</v>
      </c>
      <c r="H35" s="2145" t="e">
        <f t="shared" si="14"/>
        <v>#REF!</v>
      </c>
      <c r="I35" s="2145" t="e">
        <f>#REF!*F35</f>
        <v>#REF!</v>
      </c>
      <c r="J35" s="2145" t="e">
        <f t="shared" si="8"/>
        <v>#REF!</v>
      </c>
      <c r="K35" s="2151" t="e">
        <f t="shared" si="9"/>
        <v>#REF!</v>
      </c>
      <c r="L35" s="2176">
        <f t="shared" si="12"/>
        <v>29660</v>
      </c>
      <c r="M35" s="2145" t="e">
        <f t="shared" si="13"/>
        <v>#REF!</v>
      </c>
      <c r="N35" s="2145" t="e">
        <f t="shared" si="13"/>
        <v>#REF!</v>
      </c>
      <c r="O35" s="2145" t="e">
        <f t="shared" si="13"/>
        <v>#REF!</v>
      </c>
      <c r="P35" s="2151" t="e">
        <f>L35+M35+N35+[2]Фурнитура!E54</f>
        <v>#REF!</v>
      </c>
    </row>
    <row r="36" spans="1:16" ht="35.1" customHeight="1" outlineLevel="1" thickBot="1">
      <c r="A36" s="5346"/>
      <c r="B36" s="5390"/>
      <c r="C36" s="2166">
        <v>2500</v>
      </c>
      <c r="D36" s="2148">
        <f t="shared" si="10"/>
        <v>0.55000000000000004</v>
      </c>
      <c r="E36" s="2172"/>
      <c r="F36" s="2167">
        <v>3</v>
      </c>
      <c r="G36" s="2178">
        <f t="shared" si="11"/>
        <v>27440</v>
      </c>
      <c r="H36" s="2153" t="e">
        <f t="shared" si="14"/>
        <v>#REF!</v>
      </c>
      <c r="I36" s="2153" t="e">
        <f>#REF!*F36</f>
        <v>#REF!</v>
      </c>
      <c r="J36" s="2153" t="e">
        <f t="shared" si="8"/>
        <v>#REF!</v>
      </c>
      <c r="K36" s="2154" t="e">
        <f t="shared" si="9"/>
        <v>#REF!</v>
      </c>
      <c r="L36" s="2178">
        <f t="shared" si="12"/>
        <v>31700</v>
      </c>
      <c r="M36" s="2153" t="e">
        <f t="shared" si="13"/>
        <v>#REF!</v>
      </c>
      <c r="N36" s="2153" t="e">
        <f t="shared" si="13"/>
        <v>#REF!</v>
      </c>
      <c r="O36" s="2153" t="e">
        <f t="shared" si="13"/>
        <v>#REF!</v>
      </c>
      <c r="P36" s="2154" t="e">
        <f>L36+M36+N36+[2]Фурнитура!E62</f>
        <v>#REF!</v>
      </c>
    </row>
    <row r="37" spans="1:16" s="589" customFormat="1" ht="15" customHeight="1">
      <c r="E37" s="359"/>
    </row>
    <row r="38" spans="1:16" s="527" customFormat="1" ht="31.5" customHeight="1" thickBot="1">
      <c r="A38" s="5394" t="s">
        <v>2251</v>
      </c>
      <c r="B38" s="5394"/>
      <c r="C38" s="5394"/>
      <c r="D38" s="5394"/>
      <c r="E38" s="5394"/>
      <c r="F38" s="5394"/>
      <c r="G38" s="5395"/>
      <c r="H38" s="5395"/>
      <c r="I38" s="2165"/>
      <c r="J38" s="2165"/>
      <c r="K38" s="2165"/>
      <c r="L38" s="525"/>
      <c r="M38" s="525"/>
      <c r="N38" s="525"/>
      <c r="O38" s="525"/>
      <c r="P38" s="525"/>
    </row>
    <row r="39" spans="1:16" s="93" customFormat="1" ht="18" customHeight="1" outlineLevel="1">
      <c r="A39" s="5391" t="s">
        <v>2</v>
      </c>
      <c r="B39" s="5392" t="s">
        <v>2211</v>
      </c>
      <c r="C39" s="5392" t="s">
        <v>2220</v>
      </c>
      <c r="D39" s="5392" t="s">
        <v>2226</v>
      </c>
      <c r="E39" s="2174"/>
      <c r="F39" s="5393" t="s">
        <v>2212</v>
      </c>
      <c r="G39" s="5386" t="s">
        <v>2213</v>
      </c>
      <c r="H39" s="5387"/>
      <c r="I39" s="5387"/>
      <c r="J39" s="5387"/>
      <c r="K39" s="5388"/>
      <c r="L39" s="5386" t="s">
        <v>2214</v>
      </c>
      <c r="M39" s="5387"/>
      <c r="N39" s="5387"/>
      <c r="O39" s="5387"/>
      <c r="P39" s="5388"/>
    </row>
    <row r="40" spans="1:16" s="93" customFormat="1" ht="79.5" customHeight="1" outlineLevel="1">
      <c r="A40" s="5391"/>
      <c r="B40" s="5392"/>
      <c r="C40" s="5392"/>
      <c r="D40" s="5392"/>
      <c r="E40" s="2174"/>
      <c r="F40" s="5393"/>
      <c r="G40" s="2175" t="s">
        <v>2219</v>
      </c>
      <c r="H40" s="2143" t="s">
        <v>2255</v>
      </c>
      <c r="I40" s="2143" t="s">
        <v>2256</v>
      </c>
      <c r="J40" s="2143" t="s">
        <v>2257</v>
      </c>
      <c r="K40" s="2150" t="s">
        <v>2229</v>
      </c>
      <c r="L40" s="2175" t="s">
        <v>2223</v>
      </c>
      <c r="M40" s="2143" t="s">
        <v>2221</v>
      </c>
      <c r="N40" s="2143" t="str">
        <f>I40</f>
        <v>Скрытые петли К6360
 (черные)</v>
      </c>
      <c r="O40" s="2143" t="str">
        <f>J40</f>
        <v>Магнитный замок PUNTO с ответной планкой (черный)</v>
      </c>
      <c r="P40" s="2150" t="s">
        <v>2230</v>
      </c>
    </row>
    <row r="41" spans="1:16" ht="35.1" customHeight="1" outlineLevel="1">
      <c r="A41" s="5346" t="s">
        <v>2217</v>
      </c>
      <c r="B41" s="5389" t="s">
        <v>2218</v>
      </c>
      <c r="C41" s="2144">
        <v>2000</v>
      </c>
      <c r="D41" s="2147">
        <f t="shared" ref="D41:D52" si="15">D9</f>
        <v>0</v>
      </c>
      <c r="E41" s="2173"/>
      <c r="F41" s="2149">
        <f t="shared" ref="F41:G52" si="16">F9</f>
        <v>2</v>
      </c>
      <c r="G41" s="2176">
        <f t="shared" si="16"/>
        <v>13550</v>
      </c>
      <c r="H41" s="2145">
        <f>CEILING(Алюм.погонаж!F6*(1-$G$2), 10)</f>
        <v>13800</v>
      </c>
      <c r="I41" s="2145" t="e">
        <f>#REF!*F41</f>
        <v>#REF!</v>
      </c>
      <c r="J41" s="2145" t="e">
        <f>#REF!</f>
        <v>#REF!</v>
      </c>
      <c r="K41" s="2151" t="e">
        <f>G41+H41+I41+J41</f>
        <v>#REF!</v>
      </c>
      <c r="L41" s="2176">
        <f t="shared" ref="L41:L52" si="17">L9</f>
        <v>16300</v>
      </c>
      <c r="M41" s="2145">
        <f>H41</f>
        <v>13800</v>
      </c>
      <c r="N41" s="2145" t="e">
        <f>I41</f>
        <v>#REF!</v>
      </c>
      <c r="O41" s="2145" t="e">
        <f>J41</f>
        <v>#REF!</v>
      </c>
      <c r="P41" s="2151" t="e">
        <f>L41+M41+N41+O41</f>
        <v>#REF!</v>
      </c>
    </row>
    <row r="42" spans="1:16" ht="35.1" customHeight="1" outlineLevel="1">
      <c r="A42" s="5346"/>
      <c r="B42" s="5389"/>
      <c r="C42" s="2166">
        <v>2100</v>
      </c>
      <c r="D42" s="2148">
        <f t="shared" si="15"/>
        <v>0</v>
      </c>
      <c r="E42" s="2172">
        <f>E10</f>
        <v>0.1</v>
      </c>
      <c r="F42" s="2167">
        <f t="shared" si="16"/>
        <v>2</v>
      </c>
      <c r="G42" s="2177">
        <f t="shared" si="16"/>
        <v>13550</v>
      </c>
      <c r="H42" s="2146">
        <f>CEILING(Алюм.погонаж!F7*(1-$G$2), 10)</f>
        <v>13800</v>
      </c>
      <c r="I42" s="2146" t="e">
        <f>#REF!*F42</f>
        <v>#REF!</v>
      </c>
      <c r="J42" s="2146" t="e">
        <f>J41</f>
        <v>#REF!</v>
      </c>
      <c r="K42" s="2152" t="e">
        <f t="shared" ref="K42:K52" si="18">G42+H42+I42+J42</f>
        <v>#REF!</v>
      </c>
      <c r="L42" s="2177">
        <f t="shared" si="17"/>
        <v>13750</v>
      </c>
      <c r="M42" s="2146">
        <f>H42</f>
        <v>13800</v>
      </c>
      <c r="N42" s="2146" t="e">
        <f>I42</f>
        <v>#REF!</v>
      </c>
      <c r="O42" s="2146" t="e">
        <f t="shared" ref="O42:O52" si="19">J42</f>
        <v>#REF!</v>
      </c>
      <c r="P42" s="2152" t="e">
        <f t="shared" ref="P42:P52" si="20">L42+M42+N42+O42</f>
        <v>#REF!</v>
      </c>
    </row>
    <row r="43" spans="1:16" ht="35.1" customHeight="1" outlineLevel="1">
      <c r="A43" s="5346"/>
      <c r="B43" s="5389"/>
      <c r="C43" s="2144">
        <v>2200</v>
      </c>
      <c r="D43" s="2147">
        <f t="shared" si="15"/>
        <v>0.2</v>
      </c>
      <c r="E43" s="2173">
        <f>E11</f>
        <v>0.25</v>
      </c>
      <c r="F43" s="2149">
        <f t="shared" si="16"/>
        <v>2</v>
      </c>
      <c r="G43" s="2176">
        <f t="shared" si="16"/>
        <v>16260</v>
      </c>
      <c r="H43" s="2145">
        <f>CEILING(Алюм.погонаж!F8*(1-$G$2), 10)</f>
        <v>15900</v>
      </c>
      <c r="I43" s="2145" t="e">
        <f>#REF!*F43</f>
        <v>#REF!</v>
      </c>
      <c r="J43" s="2145" t="e">
        <f>J41</f>
        <v>#REF!</v>
      </c>
      <c r="K43" s="2151" t="e">
        <f t="shared" si="18"/>
        <v>#REF!</v>
      </c>
      <c r="L43" s="2176">
        <f t="shared" si="17"/>
        <v>8125</v>
      </c>
      <c r="M43" s="2145">
        <f t="shared" ref="M43:N52" si="21">H43</f>
        <v>15900</v>
      </c>
      <c r="N43" s="2145" t="e">
        <f t="shared" si="21"/>
        <v>#REF!</v>
      </c>
      <c r="O43" s="2145" t="e">
        <f t="shared" si="19"/>
        <v>#REF!</v>
      </c>
      <c r="P43" s="2151" t="e">
        <f t="shared" si="20"/>
        <v>#REF!</v>
      </c>
    </row>
    <row r="44" spans="1:16" ht="35.1" customHeight="1" outlineLevel="1">
      <c r="A44" s="5346"/>
      <c r="B44" s="5389"/>
      <c r="C44" s="2166">
        <v>2300</v>
      </c>
      <c r="D44" s="2148">
        <f t="shared" si="15"/>
        <v>0.3</v>
      </c>
      <c r="E44" s="2172">
        <f>E12</f>
        <v>0.4</v>
      </c>
      <c r="F44" s="2167">
        <f t="shared" si="16"/>
        <v>3</v>
      </c>
      <c r="G44" s="2177">
        <f t="shared" si="16"/>
        <v>17620</v>
      </c>
      <c r="H44" s="2146">
        <f>CEILING(Алюм.погонаж!F9*(1-$G$2), 10)</f>
        <v>15900</v>
      </c>
      <c r="I44" s="2146" t="e">
        <f>#REF!*F44</f>
        <v>#REF!</v>
      </c>
      <c r="J44" s="2146" t="e">
        <f>J43</f>
        <v>#REF!</v>
      </c>
      <c r="K44" s="2152" t="e">
        <f t="shared" si="18"/>
        <v>#REF!</v>
      </c>
      <c r="L44" s="2177">
        <f t="shared" si="17"/>
        <v>21875</v>
      </c>
      <c r="M44" s="2146">
        <f t="shared" si="21"/>
        <v>15900</v>
      </c>
      <c r="N44" s="2146" t="e">
        <f t="shared" si="21"/>
        <v>#REF!</v>
      </c>
      <c r="O44" s="2146" t="e">
        <f t="shared" si="19"/>
        <v>#REF!</v>
      </c>
      <c r="P44" s="2152" t="e">
        <f t="shared" si="20"/>
        <v>#REF!</v>
      </c>
    </row>
    <row r="45" spans="1:16" ht="35.1" customHeight="1" outlineLevel="1">
      <c r="A45" s="5346"/>
      <c r="B45" s="5389"/>
      <c r="C45" s="2144">
        <v>2400</v>
      </c>
      <c r="D45" s="2147">
        <f t="shared" si="15"/>
        <v>0.4</v>
      </c>
      <c r="E45" s="2173"/>
      <c r="F45" s="2149">
        <f t="shared" si="16"/>
        <v>3</v>
      </c>
      <c r="G45" s="2176">
        <f t="shared" si="16"/>
        <v>19000</v>
      </c>
      <c r="H45" s="2145">
        <f>CEILING(Алюм.погонаж!F10*(1-$G$2), 10)</f>
        <v>18600</v>
      </c>
      <c r="I45" s="2145" t="e">
        <f>#REF!*F45</f>
        <v>#REF!</v>
      </c>
      <c r="J45" s="2145" t="e">
        <f>J43</f>
        <v>#REF!</v>
      </c>
      <c r="K45" s="2151" t="e">
        <f t="shared" si="18"/>
        <v>#REF!</v>
      </c>
      <c r="L45" s="2176">
        <f t="shared" si="17"/>
        <v>22200</v>
      </c>
      <c r="M45" s="2145">
        <f t="shared" si="21"/>
        <v>18600</v>
      </c>
      <c r="N45" s="2145" t="e">
        <f t="shared" si="21"/>
        <v>#REF!</v>
      </c>
      <c r="O45" s="2145" t="e">
        <f t="shared" si="19"/>
        <v>#REF!</v>
      </c>
      <c r="P45" s="2151" t="e">
        <f t="shared" si="20"/>
        <v>#REF!</v>
      </c>
    </row>
    <row r="46" spans="1:16" ht="35.1" customHeight="1" outlineLevel="1">
      <c r="A46" s="5346"/>
      <c r="B46" s="5389"/>
      <c r="C46" s="2166">
        <v>2500</v>
      </c>
      <c r="D46" s="2148">
        <f t="shared" si="15"/>
        <v>0.5</v>
      </c>
      <c r="E46" s="2172"/>
      <c r="F46" s="2167">
        <f t="shared" si="16"/>
        <v>3</v>
      </c>
      <c r="G46" s="2177">
        <f t="shared" si="16"/>
        <v>20350</v>
      </c>
      <c r="H46" s="2146">
        <f>CEILING(Алюм.погонаж!F11*(1-$G$2), 10)</f>
        <v>18600</v>
      </c>
      <c r="I46" s="2146" t="e">
        <f>#REF!*F46</f>
        <v>#REF!</v>
      </c>
      <c r="J46" s="2146" t="e">
        <f>J45</f>
        <v>#REF!</v>
      </c>
      <c r="K46" s="2152" t="e">
        <f t="shared" si="18"/>
        <v>#REF!</v>
      </c>
      <c r="L46" s="2177">
        <f t="shared" si="17"/>
        <v>13250</v>
      </c>
      <c r="M46" s="2146">
        <f t="shared" si="21"/>
        <v>18600</v>
      </c>
      <c r="N46" s="2146" t="e">
        <f t="shared" si="21"/>
        <v>#REF!</v>
      </c>
      <c r="O46" s="2146" t="e">
        <f t="shared" si="19"/>
        <v>#REF!</v>
      </c>
      <c r="P46" s="2152" t="e">
        <f t="shared" si="20"/>
        <v>#REF!</v>
      </c>
    </row>
    <row r="47" spans="1:16" ht="35.1" customHeight="1" outlineLevel="1">
      <c r="A47" s="5346"/>
      <c r="B47" s="5390" t="s">
        <v>2258</v>
      </c>
      <c r="C47" s="2144">
        <v>2000</v>
      </c>
      <c r="D47" s="2147">
        <f t="shared" si="15"/>
        <v>0.05</v>
      </c>
      <c r="E47" s="2173"/>
      <c r="F47" s="2149">
        <f t="shared" si="16"/>
        <v>2</v>
      </c>
      <c r="G47" s="2176">
        <f t="shared" si="16"/>
        <v>14250</v>
      </c>
      <c r="H47" s="2145">
        <f t="shared" ref="H47:H52" si="22">CEILING(H41+H41/2.5, 10)</f>
        <v>19320</v>
      </c>
      <c r="I47" s="2145" t="e">
        <f>#REF!*F47</f>
        <v>#REF!</v>
      </c>
      <c r="J47" s="2145" t="e">
        <f>J45</f>
        <v>#REF!</v>
      </c>
      <c r="K47" s="2151" t="e">
        <f t="shared" si="18"/>
        <v>#REF!</v>
      </c>
      <c r="L47" s="2176">
        <f t="shared" si="17"/>
        <v>15675.000000000002</v>
      </c>
      <c r="M47" s="2145">
        <f t="shared" si="21"/>
        <v>19320</v>
      </c>
      <c r="N47" s="2145" t="e">
        <f t="shared" si="21"/>
        <v>#REF!</v>
      </c>
      <c r="O47" s="2145" t="e">
        <f t="shared" si="19"/>
        <v>#REF!</v>
      </c>
      <c r="P47" s="2151" t="e">
        <f t="shared" si="20"/>
        <v>#REF!</v>
      </c>
    </row>
    <row r="48" spans="1:16" ht="35.1" customHeight="1" outlineLevel="1">
      <c r="A48" s="5346"/>
      <c r="B48" s="5390"/>
      <c r="C48" s="2166">
        <v>2100</v>
      </c>
      <c r="D48" s="2148">
        <f t="shared" si="15"/>
        <v>0.05</v>
      </c>
      <c r="E48" s="2172"/>
      <c r="F48" s="2167">
        <f t="shared" si="16"/>
        <v>2</v>
      </c>
      <c r="G48" s="2177">
        <f t="shared" si="16"/>
        <v>14250</v>
      </c>
      <c r="H48" s="2146">
        <f t="shared" si="22"/>
        <v>19320</v>
      </c>
      <c r="I48" s="2146" t="e">
        <f>#REF!*F48</f>
        <v>#REF!</v>
      </c>
      <c r="J48" s="2146" t="e">
        <f>J47</f>
        <v>#REF!</v>
      </c>
      <c r="K48" s="2152" t="e">
        <f t="shared" si="18"/>
        <v>#REF!</v>
      </c>
      <c r="L48" s="2177">
        <f t="shared" si="17"/>
        <v>15675.000000000002</v>
      </c>
      <c r="M48" s="2146">
        <f t="shared" si="21"/>
        <v>19320</v>
      </c>
      <c r="N48" s="2146" t="e">
        <f t="shared" si="21"/>
        <v>#REF!</v>
      </c>
      <c r="O48" s="2146" t="e">
        <f t="shared" si="19"/>
        <v>#REF!</v>
      </c>
      <c r="P48" s="2152" t="e">
        <f t="shared" si="20"/>
        <v>#REF!</v>
      </c>
    </row>
    <row r="49" spans="1:16" ht="35.1" customHeight="1" outlineLevel="1">
      <c r="A49" s="5346"/>
      <c r="B49" s="5390"/>
      <c r="C49" s="2144">
        <v>2200</v>
      </c>
      <c r="D49" s="2147">
        <f t="shared" si="15"/>
        <v>0.25</v>
      </c>
      <c r="E49" s="2173"/>
      <c r="F49" s="2149">
        <f t="shared" si="16"/>
        <v>2</v>
      </c>
      <c r="G49" s="2176">
        <f t="shared" si="16"/>
        <v>16950</v>
      </c>
      <c r="H49" s="2145">
        <f t="shared" si="22"/>
        <v>22260</v>
      </c>
      <c r="I49" s="2145" t="e">
        <f>#REF!*F49</f>
        <v>#REF!</v>
      </c>
      <c r="J49" s="2145" t="e">
        <f>J47</f>
        <v>#REF!</v>
      </c>
      <c r="K49" s="2151" t="e">
        <f t="shared" si="18"/>
        <v>#REF!</v>
      </c>
      <c r="L49" s="2176">
        <f t="shared" si="17"/>
        <v>18645</v>
      </c>
      <c r="M49" s="2145">
        <f t="shared" si="21"/>
        <v>22260</v>
      </c>
      <c r="N49" s="2145" t="e">
        <f t="shared" si="21"/>
        <v>#REF!</v>
      </c>
      <c r="O49" s="2145" t="e">
        <f t="shared" si="19"/>
        <v>#REF!</v>
      </c>
      <c r="P49" s="2151" t="e">
        <f t="shared" si="20"/>
        <v>#REF!</v>
      </c>
    </row>
    <row r="50" spans="1:16" ht="35.1" customHeight="1" outlineLevel="1">
      <c r="A50" s="5346"/>
      <c r="B50" s="5390"/>
      <c r="C50" s="2166">
        <v>2300</v>
      </c>
      <c r="D50" s="2148">
        <f t="shared" si="15"/>
        <v>0.35</v>
      </c>
      <c r="E50" s="2172"/>
      <c r="F50" s="2167">
        <f t="shared" si="16"/>
        <v>3</v>
      </c>
      <c r="G50" s="2177">
        <f t="shared" si="16"/>
        <v>18300</v>
      </c>
      <c r="H50" s="2146">
        <f t="shared" si="22"/>
        <v>22260</v>
      </c>
      <c r="I50" s="2146" t="e">
        <f>#REF!*F50</f>
        <v>#REF!</v>
      </c>
      <c r="J50" s="2146" t="e">
        <f>J49</f>
        <v>#REF!</v>
      </c>
      <c r="K50" s="2152" t="e">
        <f t="shared" si="18"/>
        <v>#REF!</v>
      </c>
      <c r="L50" s="2177">
        <f t="shared" si="17"/>
        <v>20130</v>
      </c>
      <c r="M50" s="2146">
        <f t="shared" si="21"/>
        <v>22260</v>
      </c>
      <c r="N50" s="2146" t="e">
        <f t="shared" si="21"/>
        <v>#REF!</v>
      </c>
      <c r="O50" s="2146" t="e">
        <f t="shared" si="19"/>
        <v>#REF!</v>
      </c>
      <c r="P50" s="2152" t="e">
        <f t="shared" si="20"/>
        <v>#REF!</v>
      </c>
    </row>
    <row r="51" spans="1:16" ht="35.1" customHeight="1" outlineLevel="1">
      <c r="A51" s="5346"/>
      <c r="B51" s="5390"/>
      <c r="C51" s="2144">
        <v>2400</v>
      </c>
      <c r="D51" s="2147">
        <f t="shared" si="15"/>
        <v>0.45</v>
      </c>
      <c r="E51" s="2173"/>
      <c r="F51" s="2149">
        <f t="shared" si="16"/>
        <v>3</v>
      </c>
      <c r="G51" s="2176">
        <f t="shared" si="16"/>
        <v>19650</v>
      </c>
      <c r="H51" s="2145">
        <f t="shared" si="22"/>
        <v>26040</v>
      </c>
      <c r="I51" s="2145" t="e">
        <f>#REF!*F51</f>
        <v>#REF!</v>
      </c>
      <c r="J51" s="2145" t="e">
        <f>J49</f>
        <v>#REF!</v>
      </c>
      <c r="K51" s="2151" t="e">
        <f t="shared" si="18"/>
        <v>#REF!</v>
      </c>
      <c r="L51" s="2176">
        <f t="shared" si="17"/>
        <v>21615</v>
      </c>
      <c r="M51" s="2145">
        <f t="shared" si="21"/>
        <v>26040</v>
      </c>
      <c r="N51" s="2145" t="e">
        <f t="shared" si="21"/>
        <v>#REF!</v>
      </c>
      <c r="O51" s="2145" t="e">
        <f t="shared" si="19"/>
        <v>#REF!</v>
      </c>
      <c r="P51" s="2151" t="e">
        <f t="shared" si="20"/>
        <v>#REF!</v>
      </c>
    </row>
    <row r="52" spans="1:16" ht="35.1" customHeight="1" outlineLevel="1" thickBot="1">
      <c r="A52" s="5346"/>
      <c r="B52" s="5390"/>
      <c r="C52" s="2166">
        <v>2500</v>
      </c>
      <c r="D52" s="2148">
        <f t="shared" si="15"/>
        <v>0.55000000000000004</v>
      </c>
      <c r="E52" s="2172"/>
      <c r="F52" s="2167">
        <f t="shared" si="16"/>
        <v>3</v>
      </c>
      <c r="G52" s="2178">
        <f t="shared" si="16"/>
        <v>21050</v>
      </c>
      <c r="H52" s="2153">
        <f t="shared" si="22"/>
        <v>26040</v>
      </c>
      <c r="I52" s="2153" t="e">
        <f>#REF!*F52</f>
        <v>#REF!</v>
      </c>
      <c r="J52" s="2153" t="e">
        <f>J51</f>
        <v>#REF!</v>
      </c>
      <c r="K52" s="2154" t="e">
        <f t="shared" si="18"/>
        <v>#REF!</v>
      </c>
      <c r="L52" s="2178">
        <f t="shared" si="17"/>
        <v>23155.000000000004</v>
      </c>
      <c r="M52" s="2153">
        <f t="shared" si="21"/>
        <v>26040</v>
      </c>
      <c r="N52" s="2153" t="e">
        <f t="shared" si="21"/>
        <v>#REF!</v>
      </c>
      <c r="O52" s="2153" t="e">
        <f t="shared" si="19"/>
        <v>#REF!</v>
      </c>
      <c r="P52" s="2154" t="e">
        <f t="shared" si="20"/>
        <v>#REF!</v>
      </c>
    </row>
    <row r="53" spans="1:16" s="589" customFormat="1" ht="15" customHeight="1">
      <c r="E53" s="359"/>
    </row>
    <row r="54" spans="1:16" s="527" customFormat="1" ht="31.5" customHeight="1" thickBot="1">
      <c r="A54" s="5394" t="s">
        <v>2252</v>
      </c>
      <c r="B54" s="5394"/>
      <c r="C54" s="5394"/>
      <c r="D54" s="5394"/>
      <c r="E54" s="5394"/>
      <c r="F54" s="5394"/>
      <c r="G54" s="5394"/>
      <c r="H54" s="5394"/>
      <c r="I54" s="2165"/>
      <c r="J54" s="2165"/>
      <c r="K54" s="2165"/>
      <c r="L54" s="525"/>
      <c r="M54" s="525"/>
      <c r="N54" s="525"/>
      <c r="O54" s="525"/>
      <c r="P54" s="525"/>
    </row>
    <row r="55" spans="1:16" s="93" customFormat="1" ht="18" customHeight="1" outlineLevel="1">
      <c r="A55" s="5391" t="s">
        <v>2</v>
      </c>
      <c r="B55" s="5392" t="s">
        <v>2211</v>
      </c>
      <c r="C55" s="5392" t="s">
        <v>2220</v>
      </c>
      <c r="D55" s="5392" t="s">
        <v>2254</v>
      </c>
      <c r="E55" s="2174"/>
      <c r="F55" s="5393" t="s">
        <v>2212</v>
      </c>
      <c r="G55" s="5386" t="s">
        <v>2213</v>
      </c>
      <c r="H55" s="5387"/>
      <c r="I55" s="5387"/>
      <c r="J55" s="5387"/>
      <c r="K55" s="5388"/>
      <c r="L55" s="5386" t="s">
        <v>2214</v>
      </c>
      <c r="M55" s="5387"/>
      <c r="N55" s="5387"/>
      <c r="O55" s="5387"/>
      <c r="P55" s="5388"/>
    </row>
    <row r="56" spans="1:16" s="93" customFormat="1" ht="79.5" customHeight="1" outlineLevel="1">
      <c r="A56" s="5391"/>
      <c r="B56" s="5392"/>
      <c r="C56" s="5392"/>
      <c r="D56" s="5392"/>
      <c r="E56" s="2174"/>
      <c r="F56" s="5393"/>
      <c r="G56" s="2175" t="s">
        <v>2249</v>
      </c>
      <c r="H56" s="2143" t="str">
        <f>Алюм.погонаж!E4</f>
        <v>ПРЯМ.СК (ПСК)/ОБР.СК (ОСК)</v>
      </c>
      <c r="I56" s="2143" t="s">
        <v>2261</v>
      </c>
      <c r="J56" s="2143" t="str">
        <f>J40</f>
        <v>Магнитный замок PUNTO с ответной планкой (черный)</v>
      </c>
      <c r="K56" s="2150" t="s">
        <v>2215</v>
      </c>
      <c r="L56" s="2175" t="s">
        <v>2223</v>
      </c>
      <c r="M56" s="2143" t="str">
        <f t="shared" ref="M56:N58" si="23">H56</f>
        <v>ПРЯМ.СК (ПСК)/ОБР.СК (ОСК)</v>
      </c>
      <c r="N56" s="2143" t="str">
        <f t="shared" si="23"/>
        <v>Скрытые петли Armadilo (12060UN3D-BL)
 (черный)</v>
      </c>
      <c r="O56" s="2143" t="s">
        <v>2262</v>
      </c>
      <c r="P56" s="2150" t="s">
        <v>2216</v>
      </c>
    </row>
    <row r="57" spans="1:16" ht="35.1" customHeight="1" outlineLevel="1">
      <c r="A57" s="5346" t="s">
        <v>2217</v>
      </c>
      <c r="B57" s="5389" t="s">
        <v>2218</v>
      </c>
      <c r="C57" s="2144">
        <v>2000</v>
      </c>
      <c r="D57" s="2147">
        <f t="shared" ref="D57:D68" si="24">D25</f>
        <v>0</v>
      </c>
      <c r="E57" s="2173"/>
      <c r="F57" s="2149">
        <f t="shared" ref="F57:F68" si="25">F25</f>
        <v>2</v>
      </c>
      <c r="G57" s="2176">
        <f>CEILING((Techno_Porte!G7+Алюм.погонаж!H25)*(1-'Скрытая дверь РРЦ'!G2), 10)</f>
        <v>19150</v>
      </c>
      <c r="H57" s="2145" t="e">
        <f>CEILING(Алюм.погонаж!#REF!*(1-$G$2), 10)</f>
        <v>#REF!</v>
      </c>
      <c r="I57" s="2145" t="e">
        <f>#REF!*F57</f>
        <v>#REF!</v>
      </c>
      <c r="J57" s="2145" t="e">
        <f>J41</f>
        <v>#REF!</v>
      </c>
      <c r="K57" s="2151" t="e">
        <f>G57+H57+I57+J57</f>
        <v>#REF!</v>
      </c>
      <c r="L57" s="2176">
        <f>CEILING((Techno_Porte!J7+Алюм.погонаж!H25)*(1-'Скрытая дверь РРЦ'!G2), 10)</f>
        <v>21900</v>
      </c>
      <c r="M57" s="2145" t="e">
        <f t="shared" si="23"/>
        <v>#REF!</v>
      </c>
      <c r="N57" s="2145" t="e">
        <f t="shared" si="23"/>
        <v>#REF!</v>
      </c>
      <c r="O57" s="2145" t="e">
        <f>J57</f>
        <v>#REF!</v>
      </c>
      <c r="P57" s="2151" t="e">
        <f>L57+M57+N57+[2]Фурнитура!E80</f>
        <v>#REF!</v>
      </c>
    </row>
    <row r="58" spans="1:16" ht="35.1" customHeight="1" outlineLevel="1">
      <c r="A58" s="5346"/>
      <c r="B58" s="5389"/>
      <c r="C58" s="2166">
        <v>2100</v>
      </c>
      <c r="D58" s="2148">
        <f t="shared" si="24"/>
        <v>0</v>
      </c>
      <c r="E58" s="2172"/>
      <c r="F58" s="2167">
        <f t="shared" si="25"/>
        <v>2</v>
      </c>
      <c r="G58" s="2177">
        <f>CEILING($G$57*(1+D58), 10)</f>
        <v>19150</v>
      </c>
      <c r="H58" s="2146" t="e">
        <f>CEILING(Алюм.погонаж!#REF!*(1-$G$2), 10)</f>
        <v>#REF!</v>
      </c>
      <c r="I58" s="2146" t="e">
        <f>#REF!*F58</f>
        <v>#REF!</v>
      </c>
      <c r="J58" s="2146" t="e">
        <f>J42</f>
        <v>#REF!</v>
      </c>
      <c r="K58" s="2152" t="e">
        <f t="shared" ref="K58:K68" si="26">G58+H58+I58+J58</f>
        <v>#REF!</v>
      </c>
      <c r="L58" s="2177">
        <f>CEILING($L$57*(1+D58), 10)</f>
        <v>21900</v>
      </c>
      <c r="M58" s="2146" t="e">
        <f t="shared" si="23"/>
        <v>#REF!</v>
      </c>
      <c r="N58" s="2146" t="e">
        <f t="shared" si="23"/>
        <v>#REF!</v>
      </c>
      <c r="O58" s="2146" t="e">
        <f>J58</f>
        <v>#REF!</v>
      </c>
      <c r="P58" s="2152" t="e">
        <f>L58+M58+N58+[2]Фурнитура!E81</f>
        <v>#REF!</v>
      </c>
    </row>
    <row r="59" spans="1:16" ht="35.1" customHeight="1" outlineLevel="1">
      <c r="A59" s="5346"/>
      <c r="B59" s="5389"/>
      <c r="C59" s="2144">
        <v>2200</v>
      </c>
      <c r="D59" s="2147">
        <f t="shared" si="24"/>
        <v>0.2</v>
      </c>
      <c r="E59" s="2173"/>
      <c r="F59" s="2149">
        <f t="shared" si="25"/>
        <v>2</v>
      </c>
      <c r="G59" s="2176">
        <f t="shared" ref="G59:G68" si="27">CEILING($G$57*(1+D59), 10)</f>
        <v>22980</v>
      </c>
      <c r="H59" s="2145" t="e">
        <f>CEILING(Алюм.погонаж!#REF!*(1-$G$2), 10)</f>
        <v>#REF!</v>
      </c>
      <c r="I59" s="2145" t="e">
        <f>#REF!*F59</f>
        <v>#REF!</v>
      </c>
      <c r="J59" s="2145" t="e">
        <f t="shared" ref="J59:J68" si="28">J43</f>
        <v>#REF!</v>
      </c>
      <c r="K59" s="2151" t="e">
        <f t="shared" si="26"/>
        <v>#REF!</v>
      </c>
      <c r="L59" s="2176">
        <f t="shared" ref="L59:L68" si="29">CEILING($L$57*(1+D59), 10)</f>
        <v>26280</v>
      </c>
      <c r="M59" s="2145" t="e">
        <f t="shared" ref="M59:O68" si="30">H59</f>
        <v>#REF!</v>
      </c>
      <c r="N59" s="2145" t="e">
        <f t="shared" si="30"/>
        <v>#REF!</v>
      </c>
      <c r="O59" s="2145" t="e">
        <f t="shared" si="30"/>
        <v>#REF!</v>
      </c>
      <c r="P59" s="2151" t="e">
        <f>L59+M59+N59+[2]Фурнитура!E82</f>
        <v>#REF!</v>
      </c>
    </row>
    <row r="60" spans="1:16" ht="35.1" customHeight="1" outlineLevel="1">
      <c r="A60" s="5346"/>
      <c r="B60" s="5389"/>
      <c r="C60" s="2166">
        <v>2300</v>
      </c>
      <c r="D60" s="2148">
        <f t="shared" si="24"/>
        <v>0.3</v>
      </c>
      <c r="E60" s="2172"/>
      <c r="F60" s="2167">
        <f t="shared" si="25"/>
        <v>3</v>
      </c>
      <c r="G60" s="2177">
        <f t="shared" si="27"/>
        <v>24900</v>
      </c>
      <c r="H60" s="2146" t="e">
        <f>CEILING(Алюм.погонаж!#REF!*(1-$G$2), 10)</f>
        <v>#REF!</v>
      </c>
      <c r="I60" s="2146" t="e">
        <f>#REF!*F60</f>
        <v>#REF!</v>
      </c>
      <c r="J60" s="2146" t="e">
        <f t="shared" si="28"/>
        <v>#REF!</v>
      </c>
      <c r="K60" s="2152" t="e">
        <f t="shared" si="26"/>
        <v>#REF!</v>
      </c>
      <c r="L60" s="2177">
        <f t="shared" si="29"/>
        <v>28470</v>
      </c>
      <c r="M60" s="2146" t="e">
        <f t="shared" si="30"/>
        <v>#REF!</v>
      </c>
      <c r="N60" s="2146" t="e">
        <f t="shared" si="30"/>
        <v>#REF!</v>
      </c>
      <c r="O60" s="2146" t="e">
        <f t="shared" si="30"/>
        <v>#REF!</v>
      </c>
      <c r="P60" s="2152" t="e">
        <f>L60+M60+N60+[2]Фурнитура!E83</f>
        <v>#REF!</v>
      </c>
    </row>
    <row r="61" spans="1:16" ht="35.1" customHeight="1" outlineLevel="1">
      <c r="A61" s="5346"/>
      <c r="B61" s="5389"/>
      <c r="C61" s="2144">
        <v>2400</v>
      </c>
      <c r="D61" s="2147">
        <f t="shared" si="24"/>
        <v>0.4</v>
      </c>
      <c r="E61" s="2173"/>
      <c r="F61" s="2149">
        <f t="shared" si="25"/>
        <v>3</v>
      </c>
      <c r="G61" s="2176">
        <f t="shared" si="27"/>
        <v>26810</v>
      </c>
      <c r="H61" s="2145" t="e">
        <f>CEILING(Алюм.погонаж!#REF!*(1-$G$2), 10)</f>
        <v>#REF!</v>
      </c>
      <c r="I61" s="2145" t="e">
        <f>#REF!*F61</f>
        <v>#REF!</v>
      </c>
      <c r="J61" s="2145" t="e">
        <f t="shared" si="28"/>
        <v>#REF!</v>
      </c>
      <c r="K61" s="2151" t="e">
        <f t="shared" si="26"/>
        <v>#REF!</v>
      </c>
      <c r="L61" s="2176">
        <f t="shared" si="29"/>
        <v>30660</v>
      </c>
      <c r="M61" s="2145" t="e">
        <f t="shared" si="30"/>
        <v>#REF!</v>
      </c>
      <c r="N61" s="2145" t="e">
        <f t="shared" si="30"/>
        <v>#REF!</v>
      </c>
      <c r="O61" s="2145" t="e">
        <f t="shared" si="30"/>
        <v>#REF!</v>
      </c>
      <c r="P61" s="2151" t="e">
        <f>L61+M61+N61+[2]Фурнитура!E84</f>
        <v>#REF!</v>
      </c>
    </row>
    <row r="62" spans="1:16" ht="35.1" customHeight="1" outlineLevel="1">
      <c r="A62" s="5346"/>
      <c r="B62" s="5389"/>
      <c r="C62" s="2166">
        <v>2500</v>
      </c>
      <c r="D62" s="2148">
        <f t="shared" si="24"/>
        <v>0.5</v>
      </c>
      <c r="E62" s="2172"/>
      <c r="F62" s="2167">
        <f t="shared" si="25"/>
        <v>3</v>
      </c>
      <c r="G62" s="2177">
        <f t="shared" si="27"/>
        <v>28730</v>
      </c>
      <c r="H62" s="2146" t="e">
        <f>CEILING(Алюм.погонаж!#REF!*(1-$G$2), 10)</f>
        <v>#REF!</v>
      </c>
      <c r="I62" s="2146" t="e">
        <f>#REF!*F62</f>
        <v>#REF!</v>
      </c>
      <c r="J62" s="2146" t="e">
        <f t="shared" si="28"/>
        <v>#REF!</v>
      </c>
      <c r="K62" s="2152" t="e">
        <f t="shared" si="26"/>
        <v>#REF!</v>
      </c>
      <c r="L62" s="2177">
        <f t="shared" si="29"/>
        <v>32850</v>
      </c>
      <c r="M62" s="2146" t="e">
        <f t="shared" si="30"/>
        <v>#REF!</v>
      </c>
      <c r="N62" s="2146" t="e">
        <f t="shared" si="30"/>
        <v>#REF!</v>
      </c>
      <c r="O62" s="2146" t="e">
        <f t="shared" si="30"/>
        <v>#REF!</v>
      </c>
      <c r="P62" s="2152" t="e">
        <f>L62+M62+N62+[2]Фурнитура!E85</f>
        <v>#REF!</v>
      </c>
    </row>
    <row r="63" spans="1:16" ht="35.1" customHeight="1" outlineLevel="1">
      <c r="A63" s="5346"/>
      <c r="B63" s="5390" t="s">
        <v>1465</v>
      </c>
      <c r="C63" s="2144">
        <v>2000</v>
      </c>
      <c r="D63" s="2147">
        <f t="shared" si="24"/>
        <v>0.05</v>
      </c>
      <c r="E63" s="2173"/>
      <c r="F63" s="2149">
        <f t="shared" si="25"/>
        <v>2</v>
      </c>
      <c r="G63" s="2176">
        <f t="shared" si="27"/>
        <v>20110</v>
      </c>
      <c r="H63" s="2145" t="e">
        <f t="shared" ref="H63:H68" si="31">CEILING(H57+H57/2.5, 10)</f>
        <v>#REF!</v>
      </c>
      <c r="I63" s="2145" t="e">
        <f>#REF!*F63</f>
        <v>#REF!</v>
      </c>
      <c r="J63" s="2145" t="e">
        <f t="shared" si="28"/>
        <v>#REF!</v>
      </c>
      <c r="K63" s="2151" t="e">
        <f t="shared" si="26"/>
        <v>#REF!</v>
      </c>
      <c r="L63" s="2176">
        <f t="shared" si="29"/>
        <v>23000</v>
      </c>
      <c r="M63" s="2145" t="e">
        <f t="shared" si="30"/>
        <v>#REF!</v>
      </c>
      <c r="N63" s="2145" t="e">
        <f t="shared" si="30"/>
        <v>#REF!</v>
      </c>
      <c r="O63" s="2145" t="e">
        <f t="shared" si="30"/>
        <v>#REF!</v>
      </c>
      <c r="P63" s="2151" t="e">
        <f>L63+M63+N63+[2]Фурнитура!E86</f>
        <v>#REF!</v>
      </c>
    </row>
    <row r="64" spans="1:16" ht="35.1" customHeight="1" outlineLevel="1">
      <c r="A64" s="5346"/>
      <c r="B64" s="5390"/>
      <c r="C64" s="2166">
        <v>2100</v>
      </c>
      <c r="D64" s="2148">
        <f t="shared" si="24"/>
        <v>0.05</v>
      </c>
      <c r="E64" s="2172"/>
      <c r="F64" s="2167">
        <f t="shared" si="25"/>
        <v>2</v>
      </c>
      <c r="G64" s="2177">
        <f t="shared" si="27"/>
        <v>20110</v>
      </c>
      <c r="H64" s="2146" t="e">
        <f t="shared" si="31"/>
        <v>#REF!</v>
      </c>
      <c r="I64" s="2146" t="e">
        <f>#REF!*F64</f>
        <v>#REF!</v>
      </c>
      <c r="J64" s="2146" t="e">
        <f t="shared" si="28"/>
        <v>#REF!</v>
      </c>
      <c r="K64" s="2152" t="e">
        <f t="shared" si="26"/>
        <v>#REF!</v>
      </c>
      <c r="L64" s="2177">
        <f t="shared" si="29"/>
        <v>23000</v>
      </c>
      <c r="M64" s="2146" t="e">
        <f t="shared" si="30"/>
        <v>#REF!</v>
      </c>
      <c r="N64" s="2146" t="e">
        <f t="shared" si="30"/>
        <v>#REF!</v>
      </c>
      <c r="O64" s="2146" t="e">
        <f t="shared" si="30"/>
        <v>#REF!</v>
      </c>
      <c r="P64" s="2152" t="e">
        <f>L64+M64+N64+[2]Фурнитура!E85</f>
        <v>#REF!</v>
      </c>
    </row>
    <row r="65" spans="1:16" ht="35.1" customHeight="1" outlineLevel="1">
      <c r="A65" s="5346"/>
      <c r="B65" s="5390"/>
      <c r="C65" s="2144">
        <v>2200</v>
      </c>
      <c r="D65" s="2147">
        <f t="shared" si="24"/>
        <v>0.25</v>
      </c>
      <c r="E65" s="2173"/>
      <c r="F65" s="2149">
        <f t="shared" si="25"/>
        <v>2</v>
      </c>
      <c r="G65" s="2176">
        <f t="shared" si="27"/>
        <v>23940</v>
      </c>
      <c r="H65" s="2145" t="e">
        <f t="shared" si="31"/>
        <v>#REF!</v>
      </c>
      <c r="I65" s="2145" t="e">
        <f>#REF!*F65</f>
        <v>#REF!</v>
      </c>
      <c r="J65" s="2145" t="e">
        <f t="shared" si="28"/>
        <v>#REF!</v>
      </c>
      <c r="K65" s="2151" t="e">
        <f t="shared" si="26"/>
        <v>#REF!</v>
      </c>
      <c r="L65" s="2176">
        <f t="shared" si="29"/>
        <v>27380</v>
      </c>
      <c r="M65" s="2145" t="e">
        <f t="shared" si="30"/>
        <v>#REF!</v>
      </c>
      <c r="N65" s="2145" t="e">
        <f t="shared" si="30"/>
        <v>#REF!</v>
      </c>
      <c r="O65" s="2145" t="e">
        <f t="shared" si="30"/>
        <v>#REF!</v>
      </c>
      <c r="P65" s="2151" t="e">
        <f>L65+M65+N65+[2]Фурнитура!E86</f>
        <v>#REF!</v>
      </c>
    </row>
    <row r="66" spans="1:16" ht="35.1" customHeight="1" outlineLevel="1">
      <c r="A66" s="5346"/>
      <c r="B66" s="5390"/>
      <c r="C66" s="2166">
        <v>2300</v>
      </c>
      <c r="D66" s="2148">
        <f t="shared" si="24"/>
        <v>0.35</v>
      </c>
      <c r="E66" s="2172"/>
      <c r="F66" s="2167">
        <f t="shared" si="25"/>
        <v>3</v>
      </c>
      <c r="G66" s="2177">
        <f t="shared" si="27"/>
        <v>25860</v>
      </c>
      <c r="H66" s="2146" t="e">
        <f t="shared" si="31"/>
        <v>#REF!</v>
      </c>
      <c r="I66" s="2146" t="e">
        <f>#REF!*F66</f>
        <v>#REF!</v>
      </c>
      <c r="J66" s="2146" t="e">
        <f t="shared" si="28"/>
        <v>#REF!</v>
      </c>
      <c r="K66" s="2152" t="e">
        <f t="shared" si="26"/>
        <v>#REF!</v>
      </c>
      <c r="L66" s="2177">
        <f t="shared" si="29"/>
        <v>29570</v>
      </c>
      <c r="M66" s="2146" t="e">
        <f t="shared" si="30"/>
        <v>#REF!</v>
      </c>
      <c r="N66" s="2146" t="e">
        <f t="shared" si="30"/>
        <v>#REF!</v>
      </c>
      <c r="O66" s="2146" t="e">
        <f t="shared" si="30"/>
        <v>#REF!</v>
      </c>
      <c r="P66" s="2152" t="e">
        <f>L66+M66+N66+[2]Фурнитура!E87</f>
        <v>#REF!</v>
      </c>
    </row>
    <row r="67" spans="1:16" ht="35.1" customHeight="1" outlineLevel="1">
      <c r="A67" s="5346"/>
      <c r="B67" s="5390"/>
      <c r="C67" s="2144">
        <v>2400</v>
      </c>
      <c r="D67" s="2147">
        <f t="shared" si="24"/>
        <v>0.45</v>
      </c>
      <c r="E67" s="2173"/>
      <c r="F67" s="2149">
        <f t="shared" si="25"/>
        <v>3</v>
      </c>
      <c r="G67" s="2176">
        <f t="shared" si="27"/>
        <v>27770</v>
      </c>
      <c r="H67" s="2145" t="e">
        <f t="shared" si="31"/>
        <v>#REF!</v>
      </c>
      <c r="I67" s="2145" t="e">
        <f>#REF!*F67</f>
        <v>#REF!</v>
      </c>
      <c r="J67" s="2145" t="e">
        <f t="shared" si="28"/>
        <v>#REF!</v>
      </c>
      <c r="K67" s="2151" t="e">
        <f t="shared" si="26"/>
        <v>#REF!</v>
      </c>
      <c r="L67" s="2176">
        <f t="shared" si="29"/>
        <v>31760</v>
      </c>
      <c r="M67" s="2145" t="e">
        <f t="shared" si="30"/>
        <v>#REF!</v>
      </c>
      <c r="N67" s="2145" t="e">
        <f t="shared" si="30"/>
        <v>#REF!</v>
      </c>
      <c r="O67" s="2145" t="e">
        <f t="shared" si="30"/>
        <v>#REF!</v>
      </c>
      <c r="P67" s="2151" t="e">
        <f>L67+M67+N67+[2]Фурнитура!E88</f>
        <v>#REF!</v>
      </c>
    </row>
    <row r="68" spans="1:16" ht="35.1" customHeight="1" outlineLevel="1" thickBot="1">
      <c r="A68" s="5346"/>
      <c r="B68" s="5390"/>
      <c r="C68" s="2166">
        <v>2500</v>
      </c>
      <c r="D68" s="2148">
        <f t="shared" si="24"/>
        <v>0.55000000000000004</v>
      </c>
      <c r="E68" s="2172"/>
      <c r="F68" s="2167">
        <f t="shared" si="25"/>
        <v>3</v>
      </c>
      <c r="G68" s="2178">
        <f t="shared" si="27"/>
        <v>29690</v>
      </c>
      <c r="H68" s="2153" t="e">
        <f t="shared" si="31"/>
        <v>#REF!</v>
      </c>
      <c r="I68" s="2153" t="e">
        <f>#REF!*F68</f>
        <v>#REF!</v>
      </c>
      <c r="J68" s="2153" t="e">
        <f t="shared" si="28"/>
        <v>#REF!</v>
      </c>
      <c r="K68" s="2154" t="e">
        <f t="shared" si="26"/>
        <v>#REF!</v>
      </c>
      <c r="L68" s="2178">
        <f t="shared" si="29"/>
        <v>33950</v>
      </c>
      <c r="M68" s="2153" t="e">
        <f t="shared" si="30"/>
        <v>#REF!</v>
      </c>
      <c r="N68" s="2153" t="e">
        <f t="shared" si="30"/>
        <v>#REF!</v>
      </c>
      <c r="O68" s="2153" t="e">
        <f t="shared" si="30"/>
        <v>#REF!</v>
      </c>
      <c r="P68" s="2154" t="e">
        <f>L68+M68+N68+[2]Фурнитура!E96</f>
        <v>#REF!</v>
      </c>
    </row>
  </sheetData>
  <mergeCells count="44">
    <mergeCell ref="A6:H6"/>
    <mergeCell ref="A7:A8"/>
    <mergeCell ref="B7:B8"/>
    <mergeCell ref="C7:C8"/>
    <mergeCell ref="D7:D8"/>
    <mergeCell ref="F7:F8"/>
    <mergeCell ref="G7:K7"/>
    <mergeCell ref="A38:H38"/>
    <mergeCell ref="L7:P7"/>
    <mergeCell ref="A9:A20"/>
    <mergeCell ref="B9:B14"/>
    <mergeCell ref="B15:B20"/>
    <mergeCell ref="A22:H22"/>
    <mergeCell ref="A23:A24"/>
    <mergeCell ref="B23:B24"/>
    <mergeCell ref="C23:C24"/>
    <mergeCell ref="D23:D24"/>
    <mergeCell ref="F23:F24"/>
    <mergeCell ref="G23:K23"/>
    <mergeCell ref="L23:P23"/>
    <mergeCell ref="A25:A36"/>
    <mergeCell ref="B25:B30"/>
    <mergeCell ref="B31:B36"/>
    <mergeCell ref="L39:P39"/>
    <mergeCell ref="A41:A52"/>
    <mergeCell ref="B41:B46"/>
    <mergeCell ref="B47:B52"/>
    <mergeCell ref="A54:H54"/>
    <mergeCell ref="A39:A40"/>
    <mergeCell ref="B39:B40"/>
    <mergeCell ref="C39:C40"/>
    <mergeCell ref="D39:D40"/>
    <mergeCell ref="F39:F40"/>
    <mergeCell ref="G39:K39"/>
    <mergeCell ref="G55:K55"/>
    <mergeCell ref="L55:P55"/>
    <mergeCell ref="A57:A68"/>
    <mergeCell ref="B57:B62"/>
    <mergeCell ref="B63:B68"/>
    <mergeCell ref="A55:A56"/>
    <mergeCell ref="B55:B56"/>
    <mergeCell ref="C55:C56"/>
    <mergeCell ref="D55:D56"/>
    <mergeCell ref="F55:F56"/>
  </mergeCells>
  <hyperlinks>
    <hyperlink ref="B5" location="Содержание_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45" firstPageNumber="45" orientation="landscape" useFirstPageNumber="1" r:id="rId1"/>
  <headerFooter>
    <oddHeader>&amp;L&amp;G&amp;R&amp;14ПРАЙС-ЛИСТ от 01.10.2020 &amp;11розничная цена в рублях РФ (без НДС)</oddHeader>
    <oddFooter>&amp;L&amp;P&amp;R&amp;G</oddFooter>
  </headerFooter>
  <rowBreaks count="1" manualBreakCount="1">
    <brk id="36" max="15" man="1"/>
  </rowBreaks>
  <legacyDrawingHF r:id="rId2"/>
</worksheet>
</file>

<file path=xl/worksheets/sheet49.xml><?xml version="1.0" encoding="utf-8"?>
<worksheet xmlns="http://schemas.openxmlformats.org/spreadsheetml/2006/main" xmlns:r="http://schemas.openxmlformats.org/officeDocument/2006/relationships">
  <sheetPr>
    <tabColor rgb="FF92D050"/>
  </sheetPr>
  <dimension ref="A1:W68"/>
  <sheetViews>
    <sheetView view="pageBreakPreview" topLeftCell="A3" zoomScale="70" zoomScaleNormal="70" zoomScaleSheetLayoutView="70" workbookViewId="0">
      <selection activeCell="J9" sqref="J9"/>
    </sheetView>
  </sheetViews>
  <sheetFormatPr defaultColWidth="9.140625" defaultRowHeight="12.75" outlineLevelRow="1" outlineLevelCol="1"/>
  <cols>
    <col min="1" max="1" width="5.7109375" style="81" customWidth="1"/>
    <col min="2" max="2" width="12.28515625" style="81" customWidth="1"/>
    <col min="3" max="3" width="15.7109375" style="81" customWidth="1"/>
    <col min="4" max="4" width="12.28515625" style="81" customWidth="1"/>
    <col min="5" max="5" width="12.28515625" style="2171" hidden="1" customWidth="1" outlineLevel="1"/>
    <col min="6" max="6" width="10.85546875" style="81" customWidth="1" collapsed="1"/>
    <col min="7" max="16" width="23.7109375" style="81" customWidth="1"/>
    <col min="17" max="16384" width="9.140625" style="81"/>
  </cols>
  <sheetData>
    <row r="1" spans="1:23" ht="18" hidden="1" customHeight="1" outlineLevel="1">
      <c r="A1" s="78"/>
      <c r="B1" s="78"/>
      <c r="C1" s="78"/>
      <c r="D1" s="78"/>
      <c r="E1" s="2169"/>
      <c r="F1" s="78"/>
      <c r="G1" s="78" t="s">
        <v>1385</v>
      </c>
      <c r="H1" s="78" t="s">
        <v>494</v>
      </c>
      <c r="I1" s="78" t="s">
        <v>494</v>
      </c>
      <c r="J1" s="78"/>
      <c r="K1" s="78"/>
      <c r="L1" s="78"/>
      <c r="M1" s="78"/>
    </row>
    <row r="2" spans="1:23" ht="18" hidden="1" customHeight="1" outlineLevel="1">
      <c r="A2" s="112"/>
      <c r="B2" s="112"/>
      <c r="C2" s="112"/>
      <c r="D2" s="112"/>
      <c r="E2" s="2170"/>
      <c r="F2" s="112"/>
      <c r="G2" s="2155">
        <v>0.39</v>
      </c>
      <c r="H2" s="2155">
        <v>0.67</v>
      </c>
      <c r="I2" s="2155">
        <v>0.33</v>
      </c>
      <c r="J2" s="112"/>
      <c r="K2" s="112"/>
      <c r="L2" s="112"/>
      <c r="M2" s="112"/>
    </row>
    <row r="3" spans="1:23" ht="18" customHeight="1" collapsed="1">
      <c r="A3" s="106"/>
      <c r="B3" s="79"/>
      <c r="C3" s="79"/>
      <c r="D3" s="79"/>
      <c r="E3" s="80"/>
      <c r="F3" s="79"/>
      <c r="G3" s="2142"/>
      <c r="H3" s="79"/>
      <c r="I3" s="79"/>
      <c r="J3" s="79"/>
      <c r="K3" s="79"/>
      <c r="L3" s="79"/>
      <c r="M3" s="79"/>
    </row>
    <row r="4" spans="1:23" ht="18" customHeight="1">
      <c r="A4" s="589"/>
      <c r="B4" s="589"/>
      <c r="C4" s="589"/>
      <c r="D4" s="589"/>
      <c r="E4" s="359"/>
      <c r="F4" s="589"/>
      <c r="G4" s="589"/>
      <c r="H4" s="27"/>
      <c r="I4" s="27"/>
      <c r="J4" s="27"/>
      <c r="K4" s="589"/>
      <c r="L4" s="79"/>
      <c r="M4" s="79"/>
      <c r="N4" s="79"/>
      <c r="O4" s="79"/>
      <c r="P4" s="79"/>
    </row>
    <row r="5" spans="1:23" s="589" customFormat="1" ht="18" customHeight="1">
      <c r="A5" s="2140"/>
      <c r="B5" s="472" t="s">
        <v>490</v>
      </c>
      <c r="C5" s="26"/>
      <c r="D5" s="26"/>
      <c r="E5" s="434"/>
      <c r="F5" s="26"/>
      <c r="G5" s="26"/>
      <c r="H5" s="471"/>
      <c r="I5" s="471"/>
      <c r="J5" s="471"/>
      <c r="K5" s="471"/>
      <c r="L5" s="471"/>
      <c r="M5" s="471"/>
      <c r="N5" s="471"/>
      <c r="O5" s="471"/>
      <c r="P5" s="471"/>
      <c r="Q5" s="471"/>
      <c r="R5" s="471"/>
      <c r="S5" s="471"/>
      <c r="T5" s="471"/>
      <c r="U5" s="471"/>
      <c r="V5" s="471"/>
      <c r="W5" s="471"/>
    </row>
    <row r="6" spans="1:23" s="527" customFormat="1" ht="31.5" customHeight="1" thickBot="1">
      <c r="A6" s="5395" t="s">
        <v>2224</v>
      </c>
      <c r="B6" s="5395"/>
      <c r="C6" s="5395"/>
      <c r="D6" s="5395"/>
      <c r="E6" s="5395"/>
      <c r="F6" s="5395"/>
      <c r="G6" s="5395"/>
      <c r="H6" s="5395"/>
      <c r="I6" s="2141"/>
      <c r="J6" s="2141"/>
      <c r="K6" s="2141"/>
      <c r="L6" s="525"/>
      <c r="M6" s="525"/>
      <c r="N6" s="525"/>
      <c r="O6" s="525"/>
      <c r="P6" s="525"/>
    </row>
    <row r="7" spans="1:23" s="93" customFormat="1" ht="18" customHeight="1" outlineLevel="1">
      <c r="A7" s="5391" t="s">
        <v>2</v>
      </c>
      <c r="B7" s="5392" t="s">
        <v>2211</v>
      </c>
      <c r="C7" s="5392" t="s">
        <v>2220</v>
      </c>
      <c r="D7" s="5392" t="s">
        <v>2254</v>
      </c>
      <c r="E7" s="2174"/>
      <c r="F7" s="5393" t="s">
        <v>2212</v>
      </c>
      <c r="G7" s="5386" t="s">
        <v>2213</v>
      </c>
      <c r="H7" s="5387"/>
      <c r="I7" s="5387"/>
      <c r="J7" s="5387"/>
      <c r="K7" s="5388"/>
      <c r="L7" s="5386" t="s">
        <v>2214</v>
      </c>
      <c r="M7" s="5387"/>
      <c r="N7" s="5387"/>
      <c r="O7" s="5387"/>
      <c r="P7" s="5388"/>
    </row>
    <row r="8" spans="1:23" s="93" customFormat="1" ht="79.5" customHeight="1" outlineLevel="1">
      <c r="A8" s="5391"/>
      <c r="B8" s="5392"/>
      <c r="C8" s="5392"/>
      <c r="D8" s="5392"/>
      <c r="E8" s="2174"/>
      <c r="F8" s="5393"/>
      <c r="G8" s="2175" t="s">
        <v>2219</v>
      </c>
      <c r="H8" s="2143" t="s">
        <v>2221</v>
      </c>
      <c r="I8" s="2143" t="s">
        <v>2227</v>
      </c>
      <c r="J8" s="2143" t="s">
        <v>2228</v>
      </c>
      <c r="K8" s="2150" t="s">
        <v>2229</v>
      </c>
      <c r="L8" s="2175" t="s">
        <v>2223</v>
      </c>
      <c r="M8" s="2143" t="s">
        <v>2221</v>
      </c>
      <c r="N8" s="2143" t="str">
        <f>I8</f>
        <v>Скрытые петли К6360
 (хром)</v>
      </c>
      <c r="O8" s="2143" t="str">
        <f>J8</f>
        <v>Магнитный замок PUNTO с ответной планкой (хром)</v>
      </c>
      <c r="P8" s="2150" t="s">
        <v>2230</v>
      </c>
    </row>
    <row r="9" spans="1:23" ht="35.1" customHeight="1" outlineLevel="1">
      <c r="A9" s="5346" t="s">
        <v>2217</v>
      </c>
      <c r="B9" s="5389" t="s">
        <v>2253</v>
      </c>
      <c r="C9" s="2144">
        <v>2000</v>
      </c>
      <c r="D9" s="2147">
        <v>0</v>
      </c>
      <c r="E9" s="2147"/>
      <c r="F9" s="2149">
        <v>2</v>
      </c>
      <c r="G9" s="2176">
        <f>CEILING(Techno_Porte!G7*(1-G2), 10)</f>
        <v>8270</v>
      </c>
      <c r="H9" s="2145">
        <f>CEILING(Алюм.погонаж!E6*(1-$G$2), 10)</f>
        <v>7630</v>
      </c>
      <c r="I9" s="2145">
        <f>1350*F9</f>
        <v>2700</v>
      </c>
      <c r="J9" s="2145">
        <v>400</v>
      </c>
      <c r="K9" s="2151">
        <f>G9+H9+I9+J9</f>
        <v>19000</v>
      </c>
      <c r="L9" s="2176">
        <f>CEILING(Techno_Porte!J7*(1-G2), 10)</f>
        <v>9950</v>
      </c>
      <c r="M9" s="2145">
        <f>H9</f>
        <v>7630</v>
      </c>
      <c r="N9" s="2145">
        <f>I9</f>
        <v>2700</v>
      </c>
      <c r="O9" s="2145">
        <f>J9</f>
        <v>400</v>
      </c>
      <c r="P9" s="2151">
        <f>L9+M9+N9+O9</f>
        <v>20680</v>
      </c>
      <c r="R9" s="81">
        <v>16960</v>
      </c>
      <c r="S9" s="81">
        <v>18180</v>
      </c>
    </row>
    <row r="10" spans="1:23" ht="35.1" customHeight="1" outlineLevel="1">
      <c r="A10" s="5346"/>
      <c r="B10" s="5389"/>
      <c r="C10" s="2166">
        <v>2100</v>
      </c>
      <c r="D10" s="2148">
        <v>0</v>
      </c>
      <c r="E10" s="2148">
        <v>0.1</v>
      </c>
      <c r="F10" s="2167">
        <v>2</v>
      </c>
      <c r="G10" s="2177">
        <f>CEILING($G$9*(1+D10), 10)</f>
        <v>8270</v>
      </c>
      <c r="H10" s="2146">
        <f>CEILING(Алюм.погонаж!E7*(1-$G$2), 10)</f>
        <v>7630</v>
      </c>
      <c r="I10" s="2146">
        <f t="shared" ref="I10:I20" si="0">1350*F10</f>
        <v>2700</v>
      </c>
      <c r="J10" s="2146">
        <f>$J$9</f>
        <v>400</v>
      </c>
      <c r="K10" s="2152">
        <f t="shared" ref="K10:K20" si="1">G10+H10+I10+J10</f>
        <v>19000</v>
      </c>
      <c r="L10" s="2177">
        <f>Techno_Porte!G10*(1-$G$2)</f>
        <v>8387.5</v>
      </c>
      <c r="M10" s="2146">
        <f t="shared" ref="M10:M20" si="2">H10</f>
        <v>7630</v>
      </c>
      <c r="N10" s="2146">
        <f t="shared" ref="N10:N20" si="3">I10</f>
        <v>2700</v>
      </c>
      <c r="O10" s="2146">
        <f t="shared" ref="O10:O20" si="4">J10</f>
        <v>400</v>
      </c>
      <c r="P10" s="2152">
        <f t="shared" ref="P10:P20" si="5">L10+M10+N10+O10</f>
        <v>19117.5</v>
      </c>
    </row>
    <row r="11" spans="1:23" ht="35.1" customHeight="1" outlineLevel="1">
      <c r="A11" s="5346"/>
      <c r="B11" s="5389"/>
      <c r="C11" s="2144">
        <v>2200</v>
      </c>
      <c r="D11" s="2147">
        <f>'Наценки (1)'!D11</f>
        <v>0.2</v>
      </c>
      <c r="E11" s="2147">
        <v>0.25</v>
      </c>
      <c r="F11" s="2149">
        <v>2</v>
      </c>
      <c r="G11" s="2176">
        <f>CEILING($G$9*(1+D11), 10)</f>
        <v>9930</v>
      </c>
      <c r="H11" s="2145">
        <f>CEILING(Алюм.погонаж!E8*(1-$G$2), 10)</f>
        <v>8790</v>
      </c>
      <c r="I11" s="2145">
        <f t="shared" si="0"/>
        <v>2700</v>
      </c>
      <c r="J11" s="2145">
        <f t="shared" ref="J11:J20" si="6">$J$9</f>
        <v>400</v>
      </c>
      <c r="K11" s="2151">
        <f t="shared" si="1"/>
        <v>21820</v>
      </c>
      <c r="L11" s="2176">
        <f>Techno_Porte!G11*(1-$G$2)</f>
        <v>4956.25</v>
      </c>
      <c r="M11" s="2145">
        <f t="shared" si="2"/>
        <v>8790</v>
      </c>
      <c r="N11" s="2145">
        <f t="shared" si="3"/>
        <v>2700</v>
      </c>
      <c r="O11" s="2145">
        <f t="shared" si="4"/>
        <v>400</v>
      </c>
      <c r="P11" s="2151">
        <f t="shared" si="5"/>
        <v>16846.25</v>
      </c>
    </row>
    <row r="12" spans="1:23" ht="35.1" customHeight="1" outlineLevel="1">
      <c r="A12" s="5346"/>
      <c r="B12" s="5389"/>
      <c r="C12" s="2166">
        <v>2300</v>
      </c>
      <c r="D12" s="2148">
        <f>'Наценки (1)'!D13</f>
        <v>0.3</v>
      </c>
      <c r="E12" s="2148">
        <v>0.4</v>
      </c>
      <c r="F12" s="2167">
        <v>3</v>
      </c>
      <c r="G12" s="2177">
        <f>CEILING($G$9*(1+D12), 10)</f>
        <v>10760</v>
      </c>
      <c r="H12" s="2146">
        <f>CEILING(Алюм.погонаж!E9*(1-$G$2), 10)</f>
        <v>8790</v>
      </c>
      <c r="I12" s="2146">
        <f t="shared" si="0"/>
        <v>4050</v>
      </c>
      <c r="J12" s="2146">
        <f t="shared" si="6"/>
        <v>400</v>
      </c>
      <c r="K12" s="2152">
        <f t="shared" si="1"/>
        <v>24000</v>
      </c>
      <c r="L12" s="2177">
        <f>Techno_Porte!G12*(1-$G$2)</f>
        <v>13343.75</v>
      </c>
      <c r="M12" s="2146">
        <f t="shared" si="2"/>
        <v>8790</v>
      </c>
      <c r="N12" s="2146">
        <f t="shared" si="3"/>
        <v>4050</v>
      </c>
      <c r="O12" s="2146">
        <f t="shared" si="4"/>
        <v>400</v>
      </c>
      <c r="P12" s="2152">
        <f t="shared" si="5"/>
        <v>26583.75</v>
      </c>
    </row>
    <row r="13" spans="1:23" ht="35.1" customHeight="1" outlineLevel="1">
      <c r="A13" s="5346"/>
      <c r="B13" s="5389"/>
      <c r="C13" s="2144">
        <v>2400</v>
      </c>
      <c r="D13" s="2147">
        <f>'Наценки (1)'!D15</f>
        <v>0.4</v>
      </c>
      <c r="E13" s="2147"/>
      <c r="F13" s="2149">
        <v>3</v>
      </c>
      <c r="G13" s="2176">
        <f t="shared" ref="G13:G20" si="7">CEILING($G$9*(1+D13), 50)</f>
        <v>11600</v>
      </c>
      <c r="H13" s="2145">
        <f>CEILING(Алюм.погонаж!E10*(1-$G$2), 10)</f>
        <v>10310</v>
      </c>
      <c r="I13" s="2145">
        <f t="shared" si="0"/>
        <v>4050</v>
      </c>
      <c r="J13" s="2145">
        <f t="shared" si="6"/>
        <v>400</v>
      </c>
      <c r="K13" s="2151">
        <f t="shared" si="1"/>
        <v>26360</v>
      </c>
      <c r="L13" s="2176">
        <f>Techno_Porte!G19*(1-$G$2)</f>
        <v>13542</v>
      </c>
      <c r="M13" s="2145">
        <f t="shared" si="2"/>
        <v>10310</v>
      </c>
      <c r="N13" s="2145">
        <f t="shared" si="3"/>
        <v>4050</v>
      </c>
      <c r="O13" s="2145">
        <f t="shared" si="4"/>
        <v>400</v>
      </c>
      <c r="P13" s="2151">
        <f t="shared" si="5"/>
        <v>28302</v>
      </c>
    </row>
    <row r="14" spans="1:23" ht="35.1" customHeight="1" outlineLevel="1">
      <c r="A14" s="5346"/>
      <c r="B14" s="5389"/>
      <c r="C14" s="2166">
        <v>2500</v>
      </c>
      <c r="D14" s="2148">
        <f>'Наценки (1)'!D17</f>
        <v>0.5</v>
      </c>
      <c r="E14" s="2148"/>
      <c r="F14" s="2167">
        <v>3</v>
      </c>
      <c r="G14" s="2177">
        <f t="shared" si="7"/>
        <v>12450</v>
      </c>
      <c r="H14" s="2146">
        <f>CEILING(Алюм.погонаж!E11*(1-$G$2), 10)</f>
        <v>10310</v>
      </c>
      <c r="I14" s="2146">
        <f t="shared" si="0"/>
        <v>4050</v>
      </c>
      <c r="J14" s="2146">
        <f t="shared" si="6"/>
        <v>400</v>
      </c>
      <c r="K14" s="2152">
        <f t="shared" si="1"/>
        <v>27210</v>
      </c>
      <c r="L14" s="2177">
        <f>Techno_Porte!G20*(1-$G$2)</f>
        <v>8082.5</v>
      </c>
      <c r="M14" s="2146">
        <f t="shared" si="2"/>
        <v>10310</v>
      </c>
      <c r="N14" s="2146">
        <f t="shared" si="3"/>
        <v>4050</v>
      </c>
      <c r="O14" s="2146">
        <f t="shared" si="4"/>
        <v>400</v>
      </c>
      <c r="P14" s="2152">
        <f t="shared" si="5"/>
        <v>22842.5</v>
      </c>
    </row>
    <row r="15" spans="1:23" ht="35.1" customHeight="1" outlineLevel="1">
      <c r="A15" s="5346"/>
      <c r="B15" s="5390">
        <v>900</v>
      </c>
      <c r="C15" s="2144">
        <v>2000</v>
      </c>
      <c r="D15" s="2147">
        <f>'Наценки (1)'!D30</f>
        <v>0.05</v>
      </c>
      <c r="E15" s="2147"/>
      <c r="F15" s="2149">
        <v>2</v>
      </c>
      <c r="G15" s="2176">
        <f t="shared" si="7"/>
        <v>8700</v>
      </c>
      <c r="H15" s="2145">
        <f t="shared" ref="H15:H20" si="8">CEILING(H9+H9/2.5, 10)</f>
        <v>10690</v>
      </c>
      <c r="I15" s="2145">
        <f t="shared" si="0"/>
        <v>2700</v>
      </c>
      <c r="J15" s="2145">
        <f t="shared" si="6"/>
        <v>400</v>
      </c>
      <c r="K15" s="2151">
        <f t="shared" si="1"/>
        <v>22490</v>
      </c>
      <c r="L15" s="2176">
        <f t="shared" ref="L15:L20" si="9">G15*1.1</f>
        <v>9570</v>
      </c>
      <c r="M15" s="2145">
        <f t="shared" si="2"/>
        <v>10690</v>
      </c>
      <c r="N15" s="2145">
        <f t="shared" si="3"/>
        <v>2700</v>
      </c>
      <c r="O15" s="2145">
        <f t="shared" si="4"/>
        <v>400</v>
      </c>
      <c r="P15" s="2151">
        <f t="shared" si="5"/>
        <v>23360</v>
      </c>
    </row>
    <row r="16" spans="1:23" ht="35.1" customHeight="1" outlineLevel="1">
      <c r="A16" s="5346"/>
      <c r="B16" s="5390"/>
      <c r="C16" s="2166">
        <v>2100</v>
      </c>
      <c r="D16" s="2148">
        <f>'Наценки (1)'!D32</f>
        <v>0.05</v>
      </c>
      <c r="E16" s="2148"/>
      <c r="F16" s="2167">
        <v>2</v>
      </c>
      <c r="G16" s="2177">
        <f t="shared" si="7"/>
        <v>8700</v>
      </c>
      <c r="H16" s="2146">
        <f t="shared" si="8"/>
        <v>10690</v>
      </c>
      <c r="I16" s="2146">
        <f t="shared" si="0"/>
        <v>2700</v>
      </c>
      <c r="J16" s="2146">
        <f t="shared" si="6"/>
        <v>400</v>
      </c>
      <c r="K16" s="2152">
        <f t="shared" si="1"/>
        <v>22490</v>
      </c>
      <c r="L16" s="2177">
        <f t="shared" si="9"/>
        <v>9570</v>
      </c>
      <c r="M16" s="2146">
        <f t="shared" si="2"/>
        <v>10690</v>
      </c>
      <c r="N16" s="2146">
        <f t="shared" si="3"/>
        <v>2700</v>
      </c>
      <c r="O16" s="2146">
        <f t="shared" si="4"/>
        <v>400</v>
      </c>
      <c r="P16" s="2152">
        <f t="shared" si="5"/>
        <v>23360</v>
      </c>
    </row>
    <row r="17" spans="1:19" ht="35.1" customHeight="1" outlineLevel="1">
      <c r="A17" s="5346"/>
      <c r="B17" s="5390"/>
      <c r="C17" s="2144">
        <v>2200</v>
      </c>
      <c r="D17" s="2147">
        <f>'Наценки (1)'!D34</f>
        <v>0.25</v>
      </c>
      <c r="E17" s="2147"/>
      <c r="F17" s="2149">
        <v>2</v>
      </c>
      <c r="G17" s="2176">
        <f t="shared" si="7"/>
        <v>10350</v>
      </c>
      <c r="H17" s="2145">
        <f t="shared" si="8"/>
        <v>12310</v>
      </c>
      <c r="I17" s="2145">
        <f t="shared" si="0"/>
        <v>2700</v>
      </c>
      <c r="J17" s="2145">
        <f t="shared" si="6"/>
        <v>400</v>
      </c>
      <c r="K17" s="2151">
        <f t="shared" si="1"/>
        <v>25760</v>
      </c>
      <c r="L17" s="2176">
        <f t="shared" si="9"/>
        <v>11385.000000000002</v>
      </c>
      <c r="M17" s="2145">
        <f t="shared" si="2"/>
        <v>12310</v>
      </c>
      <c r="N17" s="2145">
        <f t="shared" si="3"/>
        <v>2700</v>
      </c>
      <c r="O17" s="2145">
        <f t="shared" si="4"/>
        <v>400</v>
      </c>
      <c r="P17" s="2151">
        <f t="shared" si="5"/>
        <v>26795</v>
      </c>
    </row>
    <row r="18" spans="1:19" ht="35.1" customHeight="1" outlineLevel="1">
      <c r="A18" s="5346"/>
      <c r="B18" s="5390"/>
      <c r="C18" s="2166">
        <v>2300</v>
      </c>
      <c r="D18" s="2148">
        <f>'Наценки (1)'!D36</f>
        <v>0.35</v>
      </c>
      <c r="E18" s="2148"/>
      <c r="F18" s="2167">
        <v>3</v>
      </c>
      <c r="G18" s="2177">
        <f t="shared" si="7"/>
        <v>11200</v>
      </c>
      <c r="H18" s="2146">
        <f t="shared" si="8"/>
        <v>12310</v>
      </c>
      <c r="I18" s="2146">
        <f t="shared" si="0"/>
        <v>4050</v>
      </c>
      <c r="J18" s="2146">
        <f t="shared" si="6"/>
        <v>400</v>
      </c>
      <c r="K18" s="2152">
        <f t="shared" si="1"/>
        <v>27960</v>
      </c>
      <c r="L18" s="2177">
        <f t="shared" si="9"/>
        <v>12320.000000000002</v>
      </c>
      <c r="M18" s="2146">
        <f t="shared" si="2"/>
        <v>12310</v>
      </c>
      <c r="N18" s="2146">
        <f t="shared" si="3"/>
        <v>4050</v>
      </c>
      <c r="O18" s="2146">
        <f t="shared" si="4"/>
        <v>400</v>
      </c>
      <c r="P18" s="2152">
        <f t="shared" si="5"/>
        <v>29080</v>
      </c>
    </row>
    <row r="19" spans="1:19" ht="35.1" customHeight="1" outlineLevel="1">
      <c r="A19" s="5346"/>
      <c r="B19" s="5390"/>
      <c r="C19" s="2144">
        <v>2400</v>
      </c>
      <c r="D19" s="2147">
        <f>'Наценки (1)'!D38</f>
        <v>0.45</v>
      </c>
      <c r="E19" s="2147"/>
      <c r="F19" s="2149">
        <v>3</v>
      </c>
      <c r="G19" s="2176">
        <f t="shared" si="7"/>
        <v>12000</v>
      </c>
      <c r="H19" s="2145">
        <f t="shared" si="8"/>
        <v>14440</v>
      </c>
      <c r="I19" s="2145">
        <f t="shared" si="0"/>
        <v>4050</v>
      </c>
      <c r="J19" s="2145">
        <f t="shared" si="6"/>
        <v>400</v>
      </c>
      <c r="K19" s="2151">
        <f t="shared" si="1"/>
        <v>30890</v>
      </c>
      <c r="L19" s="2176">
        <f t="shared" si="9"/>
        <v>13200.000000000002</v>
      </c>
      <c r="M19" s="2145">
        <f t="shared" si="2"/>
        <v>14440</v>
      </c>
      <c r="N19" s="2145">
        <f t="shared" si="3"/>
        <v>4050</v>
      </c>
      <c r="O19" s="2145">
        <f t="shared" si="4"/>
        <v>400</v>
      </c>
      <c r="P19" s="2151">
        <f t="shared" si="5"/>
        <v>32090</v>
      </c>
    </row>
    <row r="20" spans="1:19" ht="35.1" customHeight="1" outlineLevel="1" thickBot="1">
      <c r="A20" s="5346"/>
      <c r="B20" s="5390"/>
      <c r="C20" s="2166">
        <v>2500</v>
      </c>
      <c r="D20" s="2148">
        <f>'Наценки (1)'!D40</f>
        <v>0.55000000000000004</v>
      </c>
      <c r="E20" s="2148"/>
      <c r="F20" s="2167">
        <v>3</v>
      </c>
      <c r="G20" s="2178">
        <f t="shared" si="7"/>
        <v>12850</v>
      </c>
      <c r="H20" s="2153">
        <f t="shared" si="8"/>
        <v>14440</v>
      </c>
      <c r="I20" s="2153">
        <f t="shared" si="0"/>
        <v>4050</v>
      </c>
      <c r="J20" s="2153">
        <f t="shared" si="6"/>
        <v>400</v>
      </c>
      <c r="K20" s="2154">
        <f t="shared" si="1"/>
        <v>31740</v>
      </c>
      <c r="L20" s="2178">
        <f t="shared" si="9"/>
        <v>14135.000000000002</v>
      </c>
      <c r="M20" s="2153">
        <f t="shared" si="2"/>
        <v>14440</v>
      </c>
      <c r="N20" s="2153">
        <f t="shared" si="3"/>
        <v>4050</v>
      </c>
      <c r="O20" s="2153">
        <f t="shared" si="4"/>
        <v>400</v>
      </c>
      <c r="P20" s="2154">
        <f t="shared" si="5"/>
        <v>33025</v>
      </c>
    </row>
    <row r="21" spans="1:19" s="589" customFormat="1" ht="15" customHeight="1" outlineLevel="1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</row>
    <row r="22" spans="1:19" s="527" customFormat="1" ht="31.5" customHeight="1" thickBot="1">
      <c r="A22" s="5394" t="s">
        <v>2250</v>
      </c>
      <c r="B22" s="5394"/>
      <c r="C22" s="5394"/>
      <c r="D22" s="5394"/>
      <c r="E22" s="5394"/>
      <c r="F22" s="5394"/>
      <c r="G22" s="5394"/>
      <c r="H22" s="5394"/>
      <c r="I22" s="2165"/>
      <c r="J22" s="2165"/>
      <c r="K22" s="2165"/>
      <c r="L22" s="525"/>
      <c r="M22" s="525"/>
      <c r="N22" s="525"/>
      <c r="O22" s="525"/>
      <c r="P22" s="525"/>
    </row>
    <row r="23" spans="1:19" s="93" customFormat="1" ht="18" customHeight="1" outlineLevel="1">
      <c r="A23" s="5391" t="s">
        <v>2</v>
      </c>
      <c r="B23" s="5392" t="s">
        <v>2211</v>
      </c>
      <c r="C23" s="5392" t="s">
        <v>2220</v>
      </c>
      <c r="D23" s="5392" t="s">
        <v>2254</v>
      </c>
      <c r="E23" s="2174"/>
      <c r="F23" s="5393" t="s">
        <v>2212</v>
      </c>
      <c r="G23" s="5386" t="s">
        <v>2213</v>
      </c>
      <c r="H23" s="5387"/>
      <c r="I23" s="5387"/>
      <c r="J23" s="5387"/>
      <c r="K23" s="5388"/>
      <c r="L23" s="5386" t="s">
        <v>2214</v>
      </c>
      <c r="M23" s="5387"/>
      <c r="N23" s="5387"/>
      <c r="O23" s="5387"/>
      <c r="P23" s="5388"/>
    </row>
    <row r="24" spans="1:19" s="93" customFormat="1" ht="79.5" customHeight="1" outlineLevel="1">
      <c r="A24" s="5391"/>
      <c r="B24" s="5392"/>
      <c r="C24" s="5392"/>
      <c r="D24" s="5392"/>
      <c r="E24" s="2174"/>
      <c r="F24" s="5393"/>
      <c r="G24" s="2175" t="s">
        <v>2249</v>
      </c>
      <c r="H24" s="2143" t="str">
        <f>Алюм.погонаж!E4</f>
        <v>ПРЯМ.СК (ПСК)/ОБР.СК (ОСК)</v>
      </c>
      <c r="I24" s="2143" t="s">
        <v>2260</v>
      </c>
      <c r="J24" s="2143" t="str">
        <f>J8</f>
        <v>Магнитный замок PUNTO с ответной планкой (хром)</v>
      </c>
      <c r="K24" s="2150" t="s">
        <v>2215</v>
      </c>
      <c r="L24" s="2175" t="s">
        <v>2223</v>
      </c>
      <c r="M24" s="2143" t="s">
        <v>2221</v>
      </c>
      <c r="N24" s="2143" t="s">
        <v>2225</v>
      </c>
      <c r="O24" s="2143" t="s">
        <v>2222</v>
      </c>
      <c r="P24" s="2150" t="s">
        <v>2216</v>
      </c>
    </row>
    <row r="25" spans="1:19" ht="35.1" customHeight="1" outlineLevel="1">
      <c r="A25" s="5346" t="s">
        <v>2217</v>
      </c>
      <c r="B25" s="5389" t="s">
        <v>2259</v>
      </c>
      <c r="C25" s="2144">
        <v>2000</v>
      </c>
      <c r="D25" s="2147">
        <f>D9</f>
        <v>0</v>
      </c>
      <c r="E25" s="2147">
        <v>7700</v>
      </c>
      <c r="F25" s="2149">
        <v>2</v>
      </c>
      <c r="G25" s="2176">
        <f>CEILING((Techno_Porte!$G$7+Алюм.погонаж!$H$24)*(1-G2), 10)</f>
        <v>10800</v>
      </c>
      <c r="H25" s="2145" t="e">
        <f>CEILING(Алюм.погонаж!#REF!*(1-$G$2), 10)</f>
        <v>#REF!</v>
      </c>
      <c r="I25" s="2145">
        <f>1475*F25</f>
        <v>2950</v>
      </c>
      <c r="J25" s="2145">
        <f>J9</f>
        <v>400</v>
      </c>
      <c r="K25" s="2151" t="e">
        <f>G25+H25+I25+J25</f>
        <v>#REF!</v>
      </c>
      <c r="L25" s="2176">
        <f>CEILING((Techno_Porte!J7+Алюм.погонаж!H24)*(1-'Скрытая дверь ОПТ'!G2), 10)</f>
        <v>12480</v>
      </c>
      <c r="M25" s="2145" t="e">
        <f t="shared" ref="M25:O26" si="10">H25</f>
        <v>#REF!</v>
      </c>
      <c r="N25" s="2145">
        <f t="shared" si="10"/>
        <v>2950</v>
      </c>
      <c r="O25" s="2145">
        <f t="shared" si="10"/>
        <v>400</v>
      </c>
      <c r="P25" s="2151" t="e">
        <f>L25+M25+N25+[2]Фурнитура!E46</f>
        <v>#REF!</v>
      </c>
      <c r="R25" s="81">
        <v>18320</v>
      </c>
      <c r="S25" s="81">
        <v>19530</v>
      </c>
    </row>
    <row r="26" spans="1:19" ht="35.1" customHeight="1" outlineLevel="1">
      <c r="A26" s="5346"/>
      <c r="B26" s="5389"/>
      <c r="C26" s="2166">
        <v>2100</v>
      </c>
      <c r="D26" s="2148">
        <f>D10</f>
        <v>0</v>
      </c>
      <c r="E26" s="2148">
        <v>8470</v>
      </c>
      <c r="F26" s="2167">
        <v>2</v>
      </c>
      <c r="G26" s="2177">
        <f>G25*(1+D26)</f>
        <v>10800</v>
      </c>
      <c r="H26" s="2146" t="e">
        <f>CEILING(Алюм.погонаж!#REF!*(1-$G$2), 10)</f>
        <v>#REF!</v>
      </c>
      <c r="I26" s="2146">
        <f t="shared" ref="I26:I36" si="11">1475*F26</f>
        <v>2950</v>
      </c>
      <c r="J26" s="2146">
        <f t="shared" ref="J26:J36" si="12">J10</f>
        <v>400</v>
      </c>
      <c r="K26" s="2152" t="e">
        <f t="shared" ref="K26:K36" si="13">G26+H26+I26+J26</f>
        <v>#REF!</v>
      </c>
      <c r="L26" s="2177">
        <f>$L$25*(1+D26)</f>
        <v>12480</v>
      </c>
      <c r="M26" s="2146" t="e">
        <f t="shared" si="10"/>
        <v>#REF!</v>
      </c>
      <c r="N26" s="2146">
        <f t="shared" si="10"/>
        <v>2950</v>
      </c>
      <c r="O26" s="2146">
        <f t="shared" si="10"/>
        <v>400</v>
      </c>
      <c r="P26" s="2152" t="e">
        <f>L26+M26+N26+[2]Фурнитура!E47</f>
        <v>#REF!</v>
      </c>
    </row>
    <row r="27" spans="1:19" ht="35.1" customHeight="1" outlineLevel="1">
      <c r="A27" s="5346"/>
      <c r="B27" s="5389"/>
      <c r="C27" s="2144">
        <v>2200</v>
      </c>
      <c r="D27" s="2147">
        <f t="shared" ref="D27:D36" si="14">D11</f>
        <v>0.2</v>
      </c>
      <c r="E27" s="2147">
        <v>9625</v>
      </c>
      <c r="F27" s="2149">
        <v>2</v>
      </c>
      <c r="G27" s="2176">
        <f t="shared" ref="G27:G36" si="15">CEILING($G$25*(1+D27), 10)</f>
        <v>12960</v>
      </c>
      <c r="H27" s="2145" t="e">
        <f>CEILING(Алюм.погонаж!#REF!*(1-$G$2), 10)</f>
        <v>#REF!</v>
      </c>
      <c r="I27" s="2145">
        <f t="shared" si="11"/>
        <v>2950</v>
      </c>
      <c r="J27" s="2145">
        <f t="shared" si="12"/>
        <v>400</v>
      </c>
      <c r="K27" s="2151" t="e">
        <f t="shared" si="13"/>
        <v>#REF!</v>
      </c>
      <c r="L27" s="2176">
        <f t="shared" ref="L27:L36" si="16">CEILING($L$25*(1+D27), 10)</f>
        <v>14980</v>
      </c>
      <c r="M27" s="2145" t="e">
        <f t="shared" ref="M27:M36" si="17">H27</f>
        <v>#REF!</v>
      </c>
      <c r="N27" s="2145">
        <f t="shared" ref="N27:N36" si="18">I27</f>
        <v>2950</v>
      </c>
      <c r="O27" s="2145">
        <f t="shared" ref="O27:O36" si="19">J27</f>
        <v>400</v>
      </c>
      <c r="P27" s="2151" t="e">
        <f>L27+M27+N27+[2]Фурнитура!E48</f>
        <v>#REF!</v>
      </c>
    </row>
    <row r="28" spans="1:19" ht="35.1" customHeight="1" outlineLevel="1">
      <c r="A28" s="5346"/>
      <c r="B28" s="5389"/>
      <c r="C28" s="2166">
        <v>2300</v>
      </c>
      <c r="D28" s="2148">
        <f t="shared" si="14"/>
        <v>0.3</v>
      </c>
      <c r="E28" s="2148">
        <v>10780</v>
      </c>
      <c r="F28" s="2167">
        <v>3</v>
      </c>
      <c r="G28" s="2177">
        <f t="shared" si="15"/>
        <v>14040</v>
      </c>
      <c r="H28" s="2146" t="e">
        <f>CEILING(Алюм.погонаж!#REF!*(1-$G$2), 10)</f>
        <v>#REF!</v>
      </c>
      <c r="I28" s="2146">
        <f t="shared" si="11"/>
        <v>4425</v>
      </c>
      <c r="J28" s="2146">
        <f t="shared" si="12"/>
        <v>400</v>
      </c>
      <c r="K28" s="2152" t="e">
        <f t="shared" si="13"/>
        <v>#REF!</v>
      </c>
      <c r="L28" s="2177">
        <f t="shared" si="16"/>
        <v>16230</v>
      </c>
      <c r="M28" s="2146" t="e">
        <f t="shared" si="17"/>
        <v>#REF!</v>
      </c>
      <c r="N28" s="2146">
        <f t="shared" si="18"/>
        <v>4425</v>
      </c>
      <c r="O28" s="2146">
        <f t="shared" si="19"/>
        <v>400</v>
      </c>
      <c r="P28" s="2152" t="e">
        <f>L28+M28+N28+[2]Фурнитура!E49</f>
        <v>#REF!</v>
      </c>
    </row>
    <row r="29" spans="1:19" ht="35.1" customHeight="1" outlineLevel="1">
      <c r="A29" s="5346"/>
      <c r="B29" s="5389"/>
      <c r="C29" s="2144">
        <v>2400</v>
      </c>
      <c r="D29" s="2147">
        <f t="shared" si="14"/>
        <v>0.4</v>
      </c>
      <c r="E29" s="2147"/>
      <c r="F29" s="2149">
        <v>3</v>
      </c>
      <c r="G29" s="2176">
        <f t="shared" si="15"/>
        <v>15120</v>
      </c>
      <c r="H29" s="2145" t="e">
        <f>CEILING(Алюм.погонаж!#REF!*(1-$G$2), 10)</f>
        <v>#REF!</v>
      </c>
      <c r="I29" s="2145">
        <f t="shared" si="11"/>
        <v>4425</v>
      </c>
      <c r="J29" s="2145">
        <f t="shared" si="12"/>
        <v>400</v>
      </c>
      <c r="K29" s="2151" t="e">
        <f t="shared" si="13"/>
        <v>#REF!</v>
      </c>
      <c r="L29" s="2176">
        <f t="shared" si="16"/>
        <v>17480</v>
      </c>
      <c r="M29" s="2145" t="e">
        <f t="shared" si="17"/>
        <v>#REF!</v>
      </c>
      <c r="N29" s="2145">
        <f t="shared" si="18"/>
        <v>4425</v>
      </c>
      <c r="O29" s="2145">
        <f t="shared" si="19"/>
        <v>400</v>
      </c>
      <c r="P29" s="2151" t="e">
        <f>L29+M29+N29+[2]Фурнитура!E50</f>
        <v>#REF!</v>
      </c>
    </row>
    <row r="30" spans="1:19" ht="35.1" customHeight="1" outlineLevel="1">
      <c r="A30" s="5346"/>
      <c r="B30" s="5389"/>
      <c r="C30" s="2166">
        <v>2500</v>
      </c>
      <c r="D30" s="2148">
        <f t="shared" si="14"/>
        <v>0.5</v>
      </c>
      <c r="E30" s="2148"/>
      <c r="F30" s="2167">
        <v>3</v>
      </c>
      <c r="G30" s="2177">
        <f t="shared" si="15"/>
        <v>16200</v>
      </c>
      <c r="H30" s="2146" t="e">
        <f>CEILING(Алюм.погонаж!#REF!*(1-$G$2), 10)</f>
        <v>#REF!</v>
      </c>
      <c r="I30" s="2146">
        <f t="shared" si="11"/>
        <v>4425</v>
      </c>
      <c r="J30" s="2146">
        <f t="shared" si="12"/>
        <v>400</v>
      </c>
      <c r="K30" s="2152" t="e">
        <f t="shared" si="13"/>
        <v>#REF!</v>
      </c>
      <c r="L30" s="2177">
        <f t="shared" si="16"/>
        <v>18720</v>
      </c>
      <c r="M30" s="2146" t="e">
        <f t="shared" si="17"/>
        <v>#REF!</v>
      </c>
      <c r="N30" s="2146">
        <f t="shared" si="18"/>
        <v>4425</v>
      </c>
      <c r="O30" s="2146">
        <f t="shared" si="19"/>
        <v>400</v>
      </c>
      <c r="P30" s="2152" t="e">
        <f>L30+M30+N30+[2]Фурнитура!E51</f>
        <v>#REF!</v>
      </c>
    </row>
    <row r="31" spans="1:19" ht="35.1" customHeight="1" outlineLevel="1">
      <c r="A31" s="5346"/>
      <c r="B31" s="5390">
        <v>900</v>
      </c>
      <c r="C31" s="2144">
        <v>2000</v>
      </c>
      <c r="D31" s="2147">
        <f t="shared" si="14"/>
        <v>0.05</v>
      </c>
      <c r="E31" s="2147"/>
      <c r="F31" s="2149">
        <v>2</v>
      </c>
      <c r="G31" s="2176">
        <f t="shared" si="15"/>
        <v>11340</v>
      </c>
      <c r="H31" s="2145" t="e">
        <f t="shared" ref="H31:H36" si="20">CEILING(H25+H25/2.5, 10)</f>
        <v>#REF!</v>
      </c>
      <c r="I31" s="2145">
        <f t="shared" si="11"/>
        <v>2950</v>
      </c>
      <c r="J31" s="2145">
        <f t="shared" si="12"/>
        <v>400</v>
      </c>
      <c r="K31" s="2151" t="e">
        <f t="shared" si="13"/>
        <v>#REF!</v>
      </c>
      <c r="L31" s="2176">
        <f t="shared" si="16"/>
        <v>13110</v>
      </c>
      <c r="M31" s="2145" t="e">
        <f t="shared" si="17"/>
        <v>#REF!</v>
      </c>
      <c r="N31" s="2145">
        <f t="shared" si="18"/>
        <v>2950</v>
      </c>
      <c r="O31" s="2145">
        <f t="shared" si="19"/>
        <v>400</v>
      </c>
      <c r="P31" s="2151" t="e">
        <f>L31+M31+N31+[2]Фурнитура!E52</f>
        <v>#REF!</v>
      </c>
    </row>
    <row r="32" spans="1:19" ht="35.1" customHeight="1" outlineLevel="1">
      <c r="A32" s="5346"/>
      <c r="B32" s="5390"/>
      <c r="C32" s="2166">
        <v>2100</v>
      </c>
      <c r="D32" s="2148">
        <f t="shared" si="14"/>
        <v>0.05</v>
      </c>
      <c r="E32" s="2148"/>
      <c r="F32" s="2167">
        <v>2</v>
      </c>
      <c r="G32" s="2177">
        <f t="shared" si="15"/>
        <v>11340</v>
      </c>
      <c r="H32" s="2146" t="e">
        <f t="shared" si="20"/>
        <v>#REF!</v>
      </c>
      <c r="I32" s="2146">
        <f t="shared" si="11"/>
        <v>2950</v>
      </c>
      <c r="J32" s="2146">
        <f t="shared" si="12"/>
        <v>400</v>
      </c>
      <c r="K32" s="2152" t="e">
        <f t="shared" si="13"/>
        <v>#REF!</v>
      </c>
      <c r="L32" s="2177">
        <f t="shared" si="16"/>
        <v>13110</v>
      </c>
      <c r="M32" s="2146" t="e">
        <f t="shared" si="17"/>
        <v>#REF!</v>
      </c>
      <c r="N32" s="2146">
        <f t="shared" si="18"/>
        <v>2950</v>
      </c>
      <c r="O32" s="2146">
        <f t="shared" si="19"/>
        <v>400</v>
      </c>
      <c r="P32" s="2152" t="e">
        <f>L32+M32+N32+[2]Фурнитура!E51</f>
        <v>#REF!</v>
      </c>
    </row>
    <row r="33" spans="1:19" ht="35.1" customHeight="1" outlineLevel="1">
      <c r="A33" s="5346"/>
      <c r="B33" s="5390"/>
      <c r="C33" s="2144">
        <v>2200</v>
      </c>
      <c r="D33" s="2147">
        <f t="shared" si="14"/>
        <v>0.25</v>
      </c>
      <c r="E33" s="2147"/>
      <c r="F33" s="2149">
        <v>2</v>
      </c>
      <c r="G33" s="2176">
        <f t="shared" si="15"/>
        <v>13500</v>
      </c>
      <c r="H33" s="2145" t="e">
        <f t="shared" si="20"/>
        <v>#REF!</v>
      </c>
      <c r="I33" s="2145">
        <f t="shared" si="11"/>
        <v>2950</v>
      </c>
      <c r="J33" s="2145">
        <f t="shared" si="12"/>
        <v>400</v>
      </c>
      <c r="K33" s="2151" t="e">
        <f t="shared" si="13"/>
        <v>#REF!</v>
      </c>
      <c r="L33" s="2176">
        <f t="shared" si="16"/>
        <v>15600</v>
      </c>
      <c r="M33" s="2145" t="e">
        <f t="shared" si="17"/>
        <v>#REF!</v>
      </c>
      <c r="N33" s="2145">
        <f t="shared" si="18"/>
        <v>2950</v>
      </c>
      <c r="O33" s="2145">
        <f t="shared" si="19"/>
        <v>400</v>
      </c>
      <c r="P33" s="2151" t="e">
        <f>L33+M33+N33+[2]Фурнитура!E52</f>
        <v>#REF!</v>
      </c>
    </row>
    <row r="34" spans="1:19" ht="35.1" customHeight="1" outlineLevel="1">
      <c r="A34" s="5346"/>
      <c r="B34" s="5390"/>
      <c r="C34" s="2166">
        <v>2300</v>
      </c>
      <c r="D34" s="2148">
        <f t="shared" si="14"/>
        <v>0.35</v>
      </c>
      <c r="E34" s="2148"/>
      <c r="F34" s="2167">
        <v>3</v>
      </c>
      <c r="G34" s="2177">
        <f t="shared" si="15"/>
        <v>14580</v>
      </c>
      <c r="H34" s="2146" t="e">
        <f t="shared" si="20"/>
        <v>#REF!</v>
      </c>
      <c r="I34" s="2146">
        <f t="shared" si="11"/>
        <v>4425</v>
      </c>
      <c r="J34" s="2146">
        <f t="shared" si="12"/>
        <v>400</v>
      </c>
      <c r="K34" s="2152" t="e">
        <f t="shared" si="13"/>
        <v>#REF!</v>
      </c>
      <c r="L34" s="2177">
        <f t="shared" si="16"/>
        <v>16850</v>
      </c>
      <c r="M34" s="2146" t="e">
        <f t="shared" si="17"/>
        <v>#REF!</v>
      </c>
      <c r="N34" s="2146">
        <f t="shared" si="18"/>
        <v>4425</v>
      </c>
      <c r="O34" s="2146">
        <f t="shared" si="19"/>
        <v>400</v>
      </c>
      <c r="P34" s="2152" t="e">
        <f>L34+M34+N34+[2]Фурнитура!E53</f>
        <v>#REF!</v>
      </c>
    </row>
    <row r="35" spans="1:19" ht="35.1" customHeight="1" outlineLevel="1">
      <c r="A35" s="5346"/>
      <c r="B35" s="5390"/>
      <c r="C35" s="2144">
        <v>2400</v>
      </c>
      <c r="D35" s="2147">
        <f t="shared" si="14"/>
        <v>0.45</v>
      </c>
      <c r="E35" s="2147"/>
      <c r="F35" s="2149">
        <v>3</v>
      </c>
      <c r="G35" s="2176">
        <f t="shared" si="15"/>
        <v>15660</v>
      </c>
      <c r="H35" s="2145" t="e">
        <f t="shared" si="20"/>
        <v>#REF!</v>
      </c>
      <c r="I35" s="2145">
        <f t="shared" si="11"/>
        <v>4425</v>
      </c>
      <c r="J35" s="2145">
        <f t="shared" si="12"/>
        <v>400</v>
      </c>
      <c r="K35" s="2151" t="e">
        <f t="shared" si="13"/>
        <v>#REF!</v>
      </c>
      <c r="L35" s="2176">
        <f t="shared" si="16"/>
        <v>18100</v>
      </c>
      <c r="M35" s="2145" t="e">
        <f t="shared" si="17"/>
        <v>#REF!</v>
      </c>
      <c r="N35" s="2145">
        <f t="shared" si="18"/>
        <v>4425</v>
      </c>
      <c r="O35" s="2145">
        <f t="shared" si="19"/>
        <v>400</v>
      </c>
      <c r="P35" s="2151" t="e">
        <f>L35+M35+N35+[2]Фурнитура!E54</f>
        <v>#REF!</v>
      </c>
    </row>
    <row r="36" spans="1:19" ht="35.1" customHeight="1" outlineLevel="1" thickBot="1">
      <c r="A36" s="5346"/>
      <c r="B36" s="5390"/>
      <c r="C36" s="2166">
        <v>2500</v>
      </c>
      <c r="D36" s="2148">
        <f t="shared" si="14"/>
        <v>0.55000000000000004</v>
      </c>
      <c r="E36" s="2148"/>
      <c r="F36" s="2167">
        <v>3</v>
      </c>
      <c r="G36" s="2178">
        <f t="shared" si="15"/>
        <v>16740</v>
      </c>
      <c r="H36" s="2153" t="e">
        <f t="shared" si="20"/>
        <v>#REF!</v>
      </c>
      <c r="I36" s="2153">
        <f t="shared" si="11"/>
        <v>4425</v>
      </c>
      <c r="J36" s="2153">
        <f t="shared" si="12"/>
        <v>400</v>
      </c>
      <c r="K36" s="2154" t="e">
        <f t="shared" si="13"/>
        <v>#REF!</v>
      </c>
      <c r="L36" s="2178">
        <f t="shared" si="16"/>
        <v>19350</v>
      </c>
      <c r="M36" s="2153" t="e">
        <f t="shared" si="17"/>
        <v>#REF!</v>
      </c>
      <c r="N36" s="2153">
        <f t="shared" si="18"/>
        <v>4425</v>
      </c>
      <c r="O36" s="2153">
        <f t="shared" si="19"/>
        <v>400</v>
      </c>
      <c r="P36" s="2154" t="e">
        <f>L36+M36+N36+[2]Фурнитура!E62</f>
        <v>#REF!</v>
      </c>
    </row>
    <row r="37" spans="1:19" s="589" customFormat="1" ht="15" customHeight="1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</row>
    <row r="38" spans="1:19" s="527" customFormat="1" ht="31.5" customHeight="1" thickBot="1">
      <c r="A38" s="5394" t="s">
        <v>2251</v>
      </c>
      <c r="B38" s="5394"/>
      <c r="C38" s="5394"/>
      <c r="D38" s="5394"/>
      <c r="E38" s="5394"/>
      <c r="F38" s="5394"/>
      <c r="G38" s="5395"/>
      <c r="H38" s="5395"/>
      <c r="I38" s="2165"/>
      <c r="J38" s="2165"/>
      <c r="K38" s="2165"/>
      <c r="L38" s="525"/>
      <c r="M38" s="525"/>
      <c r="N38" s="525"/>
      <c r="O38" s="525"/>
      <c r="P38" s="525"/>
    </row>
    <row r="39" spans="1:19" s="93" customFormat="1" ht="18" customHeight="1" outlineLevel="1">
      <c r="A39" s="5391" t="s">
        <v>2</v>
      </c>
      <c r="B39" s="5392" t="s">
        <v>2211</v>
      </c>
      <c r="C39" s="5392" t="s">
        <v>2220</v>
      </c>
      <c r="D39" s="5392" t="s">
        <v>2226</v>
      </c>
      <c r="E39" s="2174"/>
      <c r="F39" s="5393" t="s">
        <v>2212</v>
      </c>
      <c r="G39" s="5386" t="s">
        <v>2213</v>
      </c>
      <c r="H39" s="5387"/>
      <c r="I39" s="5387"/>
      <c r="J39" s="5387"/>
      <c r="K39" s="5388"/>
      <c r="L39" s="5386" t="s">
        <v>2214</v>
      </c>
      <c r="M39" s="5387"/>
      <c r="N39" s="5387"/>
      <c r="O39" s="5387"/>
      <c r="P39" s="5388"/>
    </row>
    <row r="40" spans="1:19" s="93" customFormat="1" ht="79.5" customHeight="1" outlineLevel="1">
      <c r="A40" s="5391"/>
      <c r="B40" s="5392"/>
      <c r="C40" s="5392"/>
      <c r="D40" s="5392"/>
      <c r="E40" s="2174"/>
      <c r="F40" s="5393"/>
      <c r="G40" s="2175" t="s">
        <v>2219</v>
      </c>
      <c r="H40" s="2143" t="s">
        <v>2255</v>
      </c>
      <c r="I40" s="2143" t="s">
        <v>2256</v>
      </c>
      <c r="J40" s="2143" t="s">
        <v>2257</v>
      </c>
      <c r="K40" s="2150" t="s">
        <v>2229</v>
      </c>
      <c r="L40" s="2175" t="s">
        <v>2223</v>
      </c>
      <c r="M40" s="2143" t="s">
        <v>2221</v>
      </c>
      <c r="N40" s="2143" t="str">
        <f>I40</f>
        <v>Скрытые петли К6360
 (черные)</v>
      </c>
      <c r="O40" s="2143" t="str">
        <f>J40</f>
        <v>Магнитный замок PUNTO с ответной планкой (черный)</v>
      </c>
      <c r="P40" s="2150" t="s">
        <v>2230</v>
      </c>
    </row>
    <row r="41" spans="1:19" ht="35.1" customHeight="1" outlineLevel="1">
      <c r="A41" s="5346" t="s">
        <v>2217</v>
      </c>
      <c r="B41" s="5389" t="s">
        <v>2218</v>
      </c>
      <c r="C41" s="2144">
        <v>2000</v>
      </c>
      <c r="D41" s="2147">
        <f t="shared" ref="D41:D52" si="21">D9</f>
        <v>0</v>
      </c>
      <c r="E41" s="2147"/>
      <c r="F41" s="2149">
        <f t="shared" ref="F41:G52" si="22">F9</f>
        <v>2</v>
      </c>
      <c r="G41" s="2176">
        <f t="shared" si="22"/>
        <v>8270</v>
      </c>
      <c r="H41" s="2145">
        <f>CEILING(Алюм.погонаж!F6*(1-$G$2), 10)</f>
        <v>8420</v>
      </c>
      <c r="I41" s="2145">
        <f>1850*F41</f>
        <v>3700</v>
      </c>
      <c r="J41" s="2145">
        <v>450</v>
      </c>
      <c r="K41" s="2151">
        <f>G41+H41+I41+J41</f>
        <v>20840</v>
      </c>
      <c r="L41" s="2176">
        <f t="shared" ref="L41:L52" si="23">L9</f>
        <v>9950</v>
      </c>
      <c r="M41" s="2145">
        <f>H41</f>
        <v>8420</v>
      </c>
      <c r="N41" s="2145">
        <f>I41</f>
        <v>3700</v>
      </c>
      <c r="O41" s="2145">
        <f>J41</f>
        <v>450</v>
      </c>
      <c r="P41" s="2151">
        <f>L41+M41+N41+O41</f>
        <v>22520</v>
      </c>
      <c r="R41" s="81">
        <v>20230</v>
      </c>
      <c r="S41" s="81">
        <v>21450</v>
      </c>
    </row>
    <row r="42" spans="1:19" ht="35.1" customHeight="1" outlineLevel="1">
      <c r="A42" s="5346"/>
      <c r="B42" s="5389"/>
      <c r="C42" s="2166">
        <v>2100</v>
      </c>
      <c r="D42" s="2148">
        <f t="shared" si="21"/>
        <v>0</v>
      </c>
      <c r="E42" s="2148">
        <f>E10</f>
        <v>0.1</v>
      </c>
      <c r="F42" s="2167">
        <f t="shared" si="22"/>
        <v>2</v>
      </c>
      <c r="G42" s="2177">
        <f t="shared" si="22"/>
        <v>8270</v>
      </c>
      <c r="H42" s="2146">
        <f>CEILING(Алюм.погонаж!F7*(1-$G$2), 10)</f>
        <v>8420</v>
      </c>
      <c r="I42" s="2146">
        <f t="shared" ref="I42:I52" si="24">1850*F42</f>
        <v>3700</v>
      </c>
      <c r="J42" s="2146">
        <f>J41</f>
        <v>450</v>
      </c>
      <c r="K42" s="2152">
        <f t="shared" ref="K42:K52" si="25">G42+H42+I42+J42</f>
        <v>20840</v>
      </c>
      <c r="L42" s="2177">
        <f t="shared" si="23"/>
        <v>8387.5</v>
      </c>
      <c r="M42" s="2146">
        <f>H42</f>
        <v>8420</v>
      </c>
      <c r="N42" s="2146">
        <f>I42</f>
        <v>3700</v>
      </c>
      <c r="O42" s="2146">
        <f t="shared" ref="O42:O52" si="26">J42</f>
        <v>450</v>
      </c>
      <c r="P42" s="2152">
        <f t="shared" ref="P42:P52" si="27">L42+M42+N42+O42</f>
        <v>20957.5</v>
      </c>
    </row>
    <row r="43" spans="1:19" ht="35.1" customHeight="1" outlineLevel="1">
      <c r="A43" s="5346"/>
      <c r="B43" s="5389"/>
      <c r="C43" s="2144">
        <v>2200</v>
      </c>
      <c r="D43" s="2147">
        <f t="shared" si="21"/>
        <v>0.2</v>
      </c>
      <c r="E43" s="2147">
        <f>E11</f>
        <v>0.25</v>
      </c>
      <c r="F43" s="2149">
        <f t="shared" si="22"/>
        <v>2</v>
      </c>
      <c r="G43" s="2176">
        <f t="shared" si="22"/>
        <v>9930</v>
      </c>
      <c r="H43" s="2145">
        <f>CEILING(Алюм.погонаж!F8*(1-$G$2), 10)</f>
        <v>9700</v>
      </c>
      <c r="I43" s="2145">
        <f t="shared" si="24"/>
        <v>3700</v>
      </c>
      <c r="J43" s="2145">
        <f>J41</f>
        <v>450</v>
      </c>
      <c r="K43" s="2151">
        <f t="shared" si="25"/>
        <v>23780</v>
      </c>
      <c r="L43" s="2176">
        <f t="shared" si="23"/>
        <v>4956.25</v>
      </c>
      <c r="M43" s="2145">
        <f t="shared" ref="M43:M52" si="28">H43</f>
        <v>9700</v>
      </c>
      <c r="N43" s="2145">
        <f t="shared" ref="N43:N52" si="29">I43</f>
        <v>3700</v>
      </c>
      <c r="O43" s="2145">
        <f t="shared" si="26"/>
        <v>450</v>
      </c>
      <c r="P43" s="2151">
        <f t="shared" si="27"/>
        <v>18806.25</v>
      </c>
    </row>
    <row r="44" spans="1:19" ht="35.1" customHeight="1" outlineLevel="1">
      <c r="A44" s="5346"/>
      <c r="B44" s="5389"/>
      <c r="C44" s="2166">
        <v>2300</v>
      </c>
      <c r="D44" s="2148">
        <f t="shared" si="21"/>
        <v>0.3</v>
      </c>
      <c r="E44" s="2148">
        <f>E12</f>
        <v>0.4</v>
      </c>
      <c r="F44" s="2167">
        <f t="shared" si="22"/>
        <v>3</v>
      </c>
      <c r="G44" s="2177">
        <f t="shared" si="22"/>
        <v>10760</v>
      </c>
      <c r="H44" s="2146">
        <f>CEILING(Алюм.погонаж!F9*(1-$G$2), 10)</f>
        <v>9700</v>
      </c>
      <c r="I44" s="2146">
        <f t="shared" si="24"/>
        <v>5550</v>
      </c>
      <c r="J44" s="2146">
        <f>J43</f>
        <v>450</v>
      </c>
      <c r="K44" s="2152">
        <f t="shared" si="25"/>
        <v>26460</v>
      </c>
      <c r="L44" s="2177">
        <f t="shared" si="23"/>
        <v>13343.75</v>
      </c>
      <c r="M44" s="2146">
        <f t="shared" si="28"/>
        <v>9700</v>
      </c>
      <c r="N44" s="2146">
        <f t="shared" si="29"/>
        <v>5550</v>
      </c>
      <c r="O44" s="2146">
        <f t="shared" si="26"/>
        <v>450</v>
      </c>
      <c r="P44" s="2152">
        <f t="shared" si="27"/>
        <v>29043.75</v>
      </c>
    </row>
    <row r="45" spans="1:19" ht="35.1" customHeight="1" outlineLevel="1">
      <c r="A45" s="5346"/>
      <c r="B45" s="5389"/>
      <c r="C45" s="2144">
        <v>2400</v>
      </c>
      <c r="D45" s="2147">
        <f t="shared" si="21"/>
        <v>0.4</v>
      </c>
      <c r="E45" s="2147"/>
      <c r="F45" s="2149">
        <f t="shared" si="22"/>
        <v>3</v>
      </c>
      <c r="G45" s="2176">
        <f t="shared" si="22"/>
        <v>11600</v>
      </c>
      <c r="H45" s="2145">
        <f>CEILING(Алюм.погонаж!F10*(1-$G$2), 10)</f>
        <v>11350</v>
      </c>
      <c r="I45" s="2145">
        <f t="shared" si="24"/>
        <v>5550</v>
      </c>
      <c r="J45" s="2145">
        <f>J43</f>
        <v>450</v>
      </c>
      <c r="K45" s="2151">
        <f t="shared" si="25"/>
        <v>28950</v>
      </c>
      <c r="L45" s="2176">
        <f t="shared" si="23"/>
        <v>13542</v>
      </c>
      <c r="M45" s="2145">
        <f t="shared" si="28"/>
        <v>11350</v>
      </c>
      <c r="N45" s="2145">
        <f t="shared" si="29"/>
        <v>5550</v>
      </c>
      <c r="O45" s="2145">
        <f t="shared" si="26"/>
        <v>450</v>
      </c>
      <c r="P45" s="2151">
        <f t="shared" si="27"/>
        <v>30892</v>
      </c>
    </row>
    <row r="46" spans="1:19" ht="35.1" customHeight="1" outlineLevel="1">
      <c r="A46" s="5346"/>
      <c r="B46" s="5389"/>
      <c r="C46" s="2166">
        <v>2500</v>
      </c>
      <c r="D46" s="2148">
        <f t="shared" si="21"/>
        <v>0.5</v>
      </c>
      <c r="E46" s="2148"/>
      <c r="F46" s="2167">
        <f t="shared" si="22"/>
        <v>3</v>
      </c>
      <c r="G46" s="2177">
        <f t="shared" si="22"/>
        <v>12450</v>
      </c>
      <c r="H46" s="2146">
        <f>CEILING(Алюм.погонаж!F11*(1-$G$2), 10)</f>
        <v>11350</v>
      </c>
      <c r="I46" s="2146">
        <f t="shared" si="24"/>
        <v>5550</v>
      </c>
      <c r="J46" s="2146">
        <f>J45</f>
        <v>450</v>
      </c>
      <c r="K46" s="2152">
        <f t="shared" si="25"/>
        <v>29800</v>
      </c>
      <c r="L46" s="2177">
        <f t="shared" si="23"/>
        <v>8082.5</v>
      </c>
      <c r="M46" s="2146">
        <f t="shared" si="28"/>
        <v>11350</v>
      </c>
      <c r="N46" s="2146">
        <f t="shared" si="29"/>
        <v>5550</v>
      </c>
      <c r="O46" s="2146">
        <f t="shared" si="26"/>
        <v>450</v>
      </c>
      <c r="P46" s="2152">
        <f t="shared" si="27"/>
        <v>25432.5</v>
      </c>
    </row>
    <row r="47" spans="1:19" ht="35.1" customHeight="1" outlineLevel="1">
      <c r="A47" s="5346"/>
      <c r="B47" s="5390" t="s">
        <v>2258</v>
      </c>
      <c r="C47" s="2144">
        <v>2000</v>
      </c>
      <c r="D47" s="2147">
        <f t="shared" si="21"/>
        <v>0.05</v>
      </c>
      <c r="E47" s="2147"/>
      <c r="F47" s="2149">
        <f t="shared" si="22"/>
        <v>2</v>
      </c>
      <c r="G47" s="2176">
        <f t="shared" si="22"/>
        <v>8700</v>
      </c>
      <c r="H47" s="2145">
        <f t="shared" ref="H47:H52" si="30">CEILING(H41+H41/2.5, 10)</f>
        <v>11790</v>
      </c>
      <c r="I47" s="2145">
        <f t="shared" si="24"/>
        <v>3700</v>
      </c>
      <c r="J47" s="2145">
        <f>J45</f>
        <v>450</v>
      </c>
      <c r="K47" s="2151">
        <f t="shared" si="25"/>
        <v>24640</v>
      </c>
      <c r="L47" s="2176">
        <f t="shared" si="23"/>
        <v>9570</v>
      </c>
      <c r="M47" s="2145">
        <f t="shared" si="28"/>
        <v>11790</v>
      </c>
      <c r="N47" s="2145">
        <f t="shared" si="29"/>
        <v>3700</v>
      </c>
      <c r="O47" s="2145">
        <f t="shared" si="26"/>
        <v>450</v>
      </c>
      <c r="P47" s="2151">
        <f t="shared" si="27"/>
        <v>25510</v>
      </c>
    </row>
    <row r="48" spans="1:19" ht="35.1" customHeight="1" outlineLevel="1">
      <c r="A48" s="5346"/>
      <c r="B48" s="5390"/>
      <c r="C48" s="2166">
        <v>2100</v>
      </c>
      <c r="D48" s="2148">
        <f t="shared" si="21"/>
        <v>0.05</v>
      </c>
      <c r="E48" s="2148"/>
      <c r="F48" s="2167">
        <f t="shared" si="22"/>
        <v>2</v>
      </c>
      <c r="G48" s="2177">
        <f t="shared" si="22"/>
        <v>8700</v>
      </c>
      <c r="H48" s="2146">
        <f t="shared" si="30"/>
        <v>11790</v>
      </c>
      <c r="I48" s="2146">
        <f t="shared" si="24"/>
        <v>3700</v>
      </c>
      <c r="J48" s="2146">
        <f>J47</f>
        <v>450</v>
      </c>
      <c r="K48" s="2152">
        <f t="shared" si="25"/>
        <v>24640</v>
      </c>
      <c r="L48" s="2177">
        <f t="shared" si="23"/>
        <v>9570</v>
      </c>
      <c r="M48" s="2146">
        <f t="shared" si="28"/>
        <v>11790</v>
      </c>
      <c r="N48" s="2146">
        <f t="shared" si="29"/>
        <v>3700</v>
      </c>
      <c r="O48" s="2146">
        <f t="shared" si="26"/>
        <v>450</v>
      </c>
      <c r="P48" s="2152">
        <f t="shared" si="27"/>
        <v>25510</v>
      </c>
    </row>
    <row r="49" spans="1:19" ht="35.1" customHeight="1" outlineLevel="1">
      <c r="A49" s="5346"/>
      <c r="B49" s="5390"/>
      <c r="C49" s="2144">
        <v>2200</v>
      </c>
      <c r="D49" s="2147">
        <f t="shared" si="21"/>
        <v>0.25</v>
      </c>
      <c r="E49" s="2147"/>
      <c r="F49" s="2149">
        <f t="shared" si="22"/>
        <v>2</v>
      </c>
      <c r="G49" s="2176">
        <f t="shared" si="22"/>
        <v>10350</v>
      </c>
      <c r="H49" s="2145">
        <f t="shared" si="30"/>
        <v>13580</v>
      </c>
      <c r="I49" s="2145">
        <f t="shared" si="24"/>
        <v>3700</v>
      </c>
      <c r="J49" s="2145">
        <f>J47</f>
        <v>450</v>
      </c>
      <c r="K49" s="2151">
        <f t="shared" si="25"/>
        <v>28080</v>
      </c>
      <c r="L49" s="2176">
        <f t="shared" si="23"/>
        <v>11385.000000000002</v>
      </c>
      <c r="M49" s="2145">
        <f t="shared" si="28"/>
        <v>13580</v>
      </c>
      <c r="N49" s="2145">
        <f t="shared" si="29"/>
        <v>3700</v>
      </c>
      <c r="O49" s="2145">
        <f t="shared" si="26"/>
        <v>450</v>
      </c>
      <c r="P49" s="2151">
        <f t="shared" si="27"/>
        <v>29115</v>
      </c>
    </row>
    <row r="50" spans="1:19" ht="35.1" customHeight="1" outlineLevel="1">
      <c r="A50" s="5346"/>
      <c r="B50" s="5390"/>
      <c r="C50" s="2166">
        <v>2300</v>
      </c>
      <c r="D50" s="2148">
        <f t="shared" si="21"/>
        <v>0.35</v>
      </c>
      <c r="E50" s="2148"/>
      <c r="F50" s="2167">
        <f t="shared" si="22"/>
        <v>3</v>
      </c>
      <c r="G50" s="2177">
        <f t="shared" si="22"/>
        <v>11200</v>
      </c>
      <c r="H50" s="2146">
        <f t="shared" si="30"/>
        <v>13580</v>
      </c>
      <c r="I50" s="2146">
        <f t="shared" si="24"/>
        <v>5550</v>
      </c>
      <c r="J50" s="2146">
        <f>J49</f>
        <v>450</v>
      </c>
      <c r="K50" s="2152">
        <f t="shared" si="25"/>
        <v>30780</v>
      </c>
      <c r="L50" s="2177">
        <f t="shared" si="23"/>
        <v>12320.000000000002</v>
      </c>
      <c r="M50" s="2146">
        <f t="shared" si="28"/>
        <v>13580</v>
      </c>
      <c r="N50" s="2146">
        <f t="shared" si="29"/>
        <v>5550</v>
      </c>
      <c r="O50" s="2146">
        <f t="shared" si="26"/>
        <v>450</v>
      </c>
      <c r="P50" s="2152">
        <f t="shared" si="27"/>
        <v>31900</v>
      </c>
    </row>
    <row r="51" spans="1:19" ht="35.1" customHeight="1" outlineLevel="1">
      <c r="A51" s="5346"/>
      <c r="B51" s="5390"/>
      <c r="C51" s="2144">
        <v>2400</v>
      </c>
      <c r="D51" s="2147">
        <f t="shared" si="21"/>
        <v>0.45</v>
      </c>
      <c r="E51" s="2147"/>
      <c r="F51" s="2149">
        <f t="shared" si="22"/>
        <v>3</v>
      </c>
      <c r="G51" s="2176">
        <f t="shared" si="22"/>
        <v>12000</v>
      </c>
      <c r="H51" s="2145">
        <f t="shared" si="30"/>
        <v>15890</v>
      </c>
      <c r="I51" s="2145">
        <f t="shared" si="24"/>
        <v>5550</v>
      </c>
      <c r="J51" s="2145">
        <f>J49</f>
        <v>450</v>
      </c>
      <c r="K51" s="2151">
        <f t="shared" si="25"/>
        <v>33890</v>
      </c>
      <c r="L51" s="2176">
        <f t="shared" si="23"/>
        <v>13200.000000000002</v>
      </c>
      <c r="M51" s="2145">
        <f t="shared" si="28"/>
        <v>15890</v>
      </c>
      <c r="N51" s="2145">
        <f t="shared" si="29"/>
        <v>5550</v>
      </c>
      <c r="O51" s="2145">
        <f t="shared" si="26"/>
        <v>450</v>
      </c>
      <c r="P51" s="2151">
        <f t="shared" si="27"/>
        <v>35090</v>
      </c>
    </row>
    <row r="52" spans="1:19" ht="35.1" customHeight="1" outlineLevel="1" thickBot="1">
      <c r="A52" s="5346"/>
      <c r="B52" s="5390"/>
      <c r="C52" s="2166">
        <v>2500</v>
      </c>
      <c r="D52" s="2148">
        <f t="shared" si="21"/>
        <v>0.55000000000000004</v>
      </c>
      <c r="E52" s="2148"/>
      <c r="F52" s="2167">
        <f t="shared" si="22"/>
        <v>3</v>
      </c>
      <c r="G52" s="2178">
        <f t="shared" si="22"/>
        <v>12850</v>
      </c>
      <c r="H52" s="2153">
        <f t="shared" si="30"/>
        <v>15890</v>
      </c>
      <c r="I52" s="2153">
        <f t="shared" si="24"/>
        <v>5550</v>
      </c>
      <c r="J52" s="2153">
        <f>J51</f>
        <v>450</v>
      </c>
      <c r="K52" s="2154">
        <f t="shared" si="25"/>
        <v>34740</v>
      </c>
      <c r="L52" s="2178">
        <f t="shared" si="23"/>
        <v>14135.000000000002</v>
      </c>
      <c r="M52" s="2153">
        <f t="shared" si="28"/>
        <v>15890</v>
      </c>
      <c r="N52" s="2153">
        <f t="shared" si="29"/>
        <v>5550</v>
      </c>
      <c r="O52" s="2153">
        <f t="shared" si="26"/>
        <v>450</v>
      </c>
      <c r="P52" s="2154">
        <f t="shared" si="27"/>
        <v>36025</v>
      </c>
    </row>
    <row r="53" spans="1:19" s="589" customFormat="1" ht="15" customHeigh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</row>
    <row r="54" spans="1:19" s="527" customFormat="1" ht="31.5" customHeight="1" thickBot="1">
      <c r="A54" s="5394" t="s">
        <v>2252</v>
      </c>
      <c r="B54" s="5394"/>
      <c r="C54" s="5394"/>
      <c r="D54" s="5394"/>
      <c r="E54" s="5394"/>
      <c r="F54" s="5394"/>
      <c r="G54" s="5394"/>
      <c r="H54" s="5394"/>
      <c r="I54" s="2165"/>
      <c r="J54" s="2165"/>
      <c r="K54" s="2165"/>
      <c r="L54" s="525"/>
      <c r="M54" s="525"/>
      <c r="N54" s="525"/>
      <c r="O54" s="525"/>
      <c r="P54" s="525"/>
    </row>
    <row r="55" spans="1:19" s="93" customFormat="1" ht="18" customHeight="1" outlineLevel="1">
      <c r="A55" s="5391" t="s">
        <v>2</v>
      </c>
      <c r="B55" s="5392" t="s">
        <v>2211</v>
      </c>
      <c r="C55" s="5392" t="s">
        <v>2220</v>
      </c>
      <c r="D55" s="5392" t="s">
        <v>2254</v>
      </c>
      <c r="E55" s="2174"/>
      <c r="F55" s="5393" t="s">
        <v>2212</v>
      </c>
      <c r="G55" s="5386" t="s">
        <v>2213</v>
      </c>
      <c r="H55" s="5387"/>
      <c r="I55" s="5387"/>
      <c r="J55" s="5387"/>
      <c r="K55" s="5388"/>
      <c r="L55" s="5386" t="s">
        <v>2214</v>
      </c>
      <c r="M55" s="5387"/>
      <c r="N55" s="5387"/>
      <c r="O55" s="5387"/>
      <c r="P55" s="5388"/>
    </row>
    <row r="56" spans="1:19" s="93" customFormat="1" ht="79.5" customHeight="1" outlineLevel="1">
      <c r="A56" s="5391"/>
      <c r="B56" s="5392"/>
      <c r="C56" s="5392"/>
      <c r="D56" s="5392"/>
      <c r="E56" s="2174"/>
      <c r="F56" s="5393"/>
      <c r="G56" s="2175" t="s">
        <v>2249</v>
      </c>
      <c r="H56" s="2143" t="str">
        <f>Алюм.погонаж!E4</f>
        <v>ПРЯМ.СК (ПСК)/ОБР.СК (ОСК)</v>
      </c>
      <c r="I56" s="2143" t="s">
        <v>2261</v>
      </c>
      <c r="J56" s="2143" t="str">
        <f>J40</f>
        <v>Магнитный замок PUNTO с ответной планкой (черный)</v>
      </c>
      <c r="K56" s="2150" t="s">
        <v>2215</v>
      </c>
      <c r="L56" s="2175" t="s">
        <v>2223</v>
      </c>
      <c r="M56" s="2143" t="str">
        <f t="shared" ref="M56:N58" si="31">H56</f>
        <v>ПРЯМ.СК (ПСК)/ОБР.СК (ОСК)</v>
      </c>
      <c r="N56" s="2143" t="str">
        <f t="shared" si="31"/>
        <v>Скрытые петли Armadilo (12060UN3D-BL)
 (черный)</v>
      </c>
      <c r="O56" s="2143" t="s">
        <v>2262</v>
      </c>
      <c r="P56" s="2150" t="s">
        <v>2216</v>
      </c>
    </row>
    <row r="57" spans="1:19" ht="35.1" customHeight="1" outlineLevel="1">
      <c r="A57" s="5346" t="s">
        <v>2217</v>
      </c>
      <c r="B57" s="5389" t="s">
        <v>2218</v>
      </c>
      <c r="C57" s="2144">
        <v>2000</v>
      </c>
      <c r="D57" s="2147">
        <f t="shared" ref="D57:D68" si="32">D25</f>
        <v>0</v>
      </c>
      <c r="E57" s="2147"/>
      <c r="F57" s="2149">
        <f t="shared" ref="F57:F68" si="33">F25</f>
        <v>2</v>
      </c>
      <c r="G57" s="2176">
        <f>CEILING((Techno_Porte!G7+Алюм.погонаж!H25)*(1-'Скрытая дверь ОПТ'!G2), 10)</f>
        <v>11690</v>
      </c>
      <c r="H57" s="2145" t="e">
        <f>CEILING(Алюм.погонаж!#REF!*(1-$G$2), 10)</f>
        <v>#REF!</v>
      </c>
      <c r="I57" s="2145">
        <f>1525*F57</f>
        <v>3050</v>
      </c>
      <c r="J57" s="2145">
        <f>J41</f>
        <v>450</v>
      </c>
      <c r="K57" s="2151" t="e">
        <f>G57+H57+I57+J57</f>
        <v>#REF!</v>
      </c>
      <c r="L57" s="2176">
        <f>CEILING((Techno_Porte!J7+Алюм.погонаж!H25)*(1-'Скрытая дверь ОПТ'!G2), 10)</f>
        <v>13360</v>
      </c>
      <c r="M57" s="2145" t="e">
        <f t="shared" si="31"/>
        <v>#REF!</v>
      </c>
      <c r="N57" s="2145">
        <f t="shared" si="31"/>
        <v>3050</v>
      </c>
      <c r="O57" s="2145">
        <f>J57</f>
        <v>450</v>
      </c>
      <c r="P57" s="2151" t="e">
        <f>L57+M57+N57+[2]Фурнитура!E80</f>
        <v>#REF!</v>
      </c>
      <c r="R57" s="81">
        <v>21230</v>
      </c>
      <c r="S57" s="81">
        <v>22450</v>
      </c>
    </row>
    <row r="58" spans="1:19" ht="35.1" customHeight="1" outlineLevel="1">
      <c r="A58" s="5346"/>
      <c r="B58" s="5389"/>
      <c r="C58" s="2166">
        <v>2100</v>
      </c>
      <c r="D58" s="2148">
        <f t="shared" si="32"/>
        <v>0</v>
      </c>
      <c r="E58" s="2148"/>
      <c r="F58" s="2167">
        <f t="shared" si="33"/>
        <v>2</v>
      </c>
      <c r="G58" s="2177">
        <f>CEILING($G$57*(1+D58), 10)</f>
        <v>11690</v>
      </c>
      <c r="H58" s="2146" t="e">
        <f>CEILING(Алюм.погонаж!#REF!*(1-$G$2), 10)</f>
        <v>#REF!</v>
      </c>
      <c r="I58" s="2146">
        <f t="shared" ref="I58:I68" si="34">1525*F58</f>
        <v>3050</v>
      </c>
      <c r="J58" s="2146">
        <f>J42</f>
        <v>450</v>
      </c>
      <c r="K58" s="2152" t="e">
        <f t="shared" ref="K58:K68" si="35">G58+H58+I58+J58</f>
        <v>#REF!</v>
      </c>
      <c r="L58" s="2177">
        <f>CEILING($L$57*(1+D58), 10)</f>
        <v>13360</v>
      </c>
      <c r="M58" s="2146" t="e">
        <f t="shared" si="31"/>
        <v>#REF!</v>
      </c>
      <c r="N58" s="2146">
        <f t="shared" si="31"/>
        <v>3050</v>
      </c>
      <c r="O58" s="2146">
        <f>J58</f>
        <v>450</v>
      </c>
      <c r="P58" s="2152" t="e">
        <f>L58+M58+N58+[2]Фурнитура!E81</f>
        <v>#REF!</v>
      </c>
    </row>
    <row r="59" spans="1:19" ht="35.1" customHeight="1" outlineLevel="1">
      <c r="A59" s="5346"/>
      <c r="B59" s="5389"/>
      <c r="C59" s="2144">
        <v>2200</v>
      </c>
      <c r="D59" s="2147">
        <f t="shared" si="32"/>
        <v>0.2</v>
      </c>
      <c r="E59" s="2147"/>
      <c r="F59" s="2149">
        <f t="shared" si="33"/>
        <v>2</v>
      </c>
      <c r="G59" s="2176">
        <f t="shared" ref="G59:G68" si="36">CEILING($G$57*(1+D59), 10)</f>
        <v>14030</v>
      </c>
      <c r="H59" s="2145" t="e">
        <f>CEILING(Алюм.погонаж!#REF!*(1-$G$2), 10)</f>
        <v>#REF!</v>
      </c>
      <c r="I59" s="2145">
        <f t="shared" si="34"/>
        <v>3050</v>
      </c>
      <c r="J59" s="2145">
        <f t="shared" ref="J59:J68" si="37">J43</f>
        <v>450</v>
      </c>
      <c r="K59" s="2151" t="e">
        <f t="shared" si="35"/>
        <v>#REF!</v>
      </c>
      <c r="L59" s="2176">
        <f t="shared" ref="L59:L68" si="38">CEILING($L$57*(1+D59), 10)</f>
        <v>16040</v>
      </c>
      <c r="M59" s="2145" t="e">
        <f t="shared" ref="M59:M68" si="39">H59</f>
        <v>#REF!</v>
      </c>
      <c r="N59" s="2145">
        <f t="shared" ref="N59:N68" si="40">I59</f>
        <v>3050</v>
      </c>
      <c r="O59" s="2145">
        <f t="shared" ref="O59:O68" si="41">J59</f>
        <v>450</v>
      </c>
      <c r="P59" s="2151" t="e">
        <f>L59+M59+N59+[2]Фурнитура!E82</f>
        <v>#REF!</v>
      </c>
    </row>
    <row r="60" spans="1:19" ht="35.1" customHeight="1" outlineLevel="1">
      <c r="A60" s="5346"/>
      <c r="B60" s="5389"/>
      <c r="C60" s="2166">
        <v>2300</v>
      </c>
      <c r="D60" s="2148">
        <f t="shared" si="32"/>
        <v>0.3</v>
      </c>
      <c r="E60" s="2148"/>
      <c r="F60" s="2167">
        <f t="shared" si="33"/>
        <v>3</v>
      </c>
      <c r="G60" s="2177">
        <f t="shared" si="36"/>
        <v>15200</v>
      </c>
      <c r="H60" s="2146" t="e">
        <f>CEILING(Алюм.погонаж!#REF!*(1-$G$2), 10)</f>
        <v>#REF!</v>
      </c>
      <c r="I60" s="2146">
        <f t="shared" si="34"/>
        <v>4575</v>
      </c>
      <c r="J60" s="2146">
        <f t="shared" si="37"/>
        <v>450</v>
      </c>
      <c r="K60" s="2152" t="e">
        <f t="shared" si="35"/>
        <v>#REF!</v>
      </c>
      <c r="L60" s="2177">
        <f t="shared" si="38"/>
        <v>17370</v>
      </c>
      <c r="M60" s="2146" t="e">
        <f t="shared" si="39"/>
        <v>#REF!</v>
      </c>
      <c r="N60" s="2146">
        <f t="shared" si="40"/>
        <v>4575</v>
      </c>
      <c r="O60" s="2146">
        <f t="shared" si="41"/>
        <v>450</v>
      </c>
      <c r="P60" s="2152" t="e">
        <f>L60+M60+N60+[2]Фурнитура!E83</f>
        <v>#REF!</v>
      </c>
    </row>
    <row r="61" spans="1:19" ht="35.1" customHeight="1" outlineLevel="1">
      <c r="A61" s="5346"/>
      <c r="B61" s="5389"/>
      <c r="C61" s="2144">
        <v>2400</v>
      </c>
      <c r="D61" s="2147">
        <f t="shared" si="32"/>
        <v>0.4</v>
      </c>
      <c r="E61" s="2147"/>
      <c r="F61" s="2149">
        <f t="shared" si="33"/>
        <v>3</v>
      </c>
      <c r="G61" s="2176">
        <f t="shared" si="36"/>
        <v>16370</v>
      </c>
      <c r="H61" s="2145" t="e">
        <f>CEILING(Алюм.погонаж!#REF!*(1-$G$2), 10)</f>
        <v>#REF!</v>
      </c>
      <c r="I61" s="2145">
        <f t="shared" si="34"/>
        <v>4575</v>
      </c>
      <c r="J61" s="2145">
        <f t="shared" si="37"/>
        <v>450</v>
      </c>
      <c r="K61" s="2151" t="e">
        <f t="shared" si="35"/>
        <v>#REF!</v>
      </c>
      <c r="L61" s="2176">
        <f t="shared" si="38"/>
        <v>18710</v>
      </c>
      <c r="M61" s="2145" t="e">
        <f t="shared" si="39"/>
        <v>#REF!</v>
      </c>
      <c r="N61" s="2145">
        <f t="shared" si="40"/>
        <v>4575</v>
      </c>
      <c r="O61" s="2145">
        <f t="shared" si="41"/>
        <v>450</v>
      </c>
      <c r="P61" s="2151" t="e">
        <f>L61+M61+N61+[2]Фурнитура!E84</f>
        <v>#REF!</v>
      </c>
    </row>
    <row r="62" spans="1:19" ht="35.1" customHeight="1" outlineLevel="1">
      <c r="A62" s="5346"/>
      <c r="B62" s="5389"/>
      <c r="C62" s="2166">
        <v>2500</v>
      </c>
      <c r="D62" s="2148">
        <f t="shared" si="32"/>
        <v>0.5</v>
      </c>
      <c r="E62" s="2148"/>
      <c r="F62" s="2167">
        <f t="shared" si="33"/>
        <v>3</v>
      </c>
      <c r="G62" s="2177">
        <f t="shared" si="36"/>
        <v>17540</v>
      </c>
      <c r="H62" s="2146" t="e">
        <f>CEILING(Алюм.погонаж!#REF!*(1-$G$2), 10)</f>
        <v>#REF!</v>
      </c>
      <c r="I62" s="2146">
        <f t="shared" si="34"/>
        <v>4575</v>
      </c>
      <c r="J62" s="2146">
        <f t="shared" si="37"/>
        <v>450</v>
      </c>
      <c r="K62" s="2152" t="e">
        <f t="shared" si="35"/>
        <v>#REF!</v>
      </c>
      <c r="L62" s="2177">
        <f t="shared" si="38"/>
        <v>20040</v>
      </c>
      <c r="M62" s="2146" t="e">
        <f t="shared" si="39"/>
        <v>#REF!</v>
      </c>
      <c r="N62" s="2146">
        <f t="shared" si="40"/>
        <v>4575</v>
      </c>
      <c r="O62" s="2146">
        <f t="shared" si="41"/>
        <v>450</v>
      </c>
      <c r="P62" s="2152" t="e">
        <f>L62+M62+N62+[2]Фурнитура!E85</f>
        <v>#REF!</v>
      </c>
    </row>
    <row r="63" spans="1:19" ht="35.1" customHeight="1" outlineLevel="1">
      <c r="A63" s="5346"/>
      <c r="B63" s="5390" t="s">
        <v>1465</v>
      </c>
      <c r="C63" s="2144">
        <v>2000</v>
      </c>
      <c r="D63" s="2147">
        <f t="shared" si="32"/>
        <v>0.05</v>
      </c>
      <c r="E63" s="2147"/>
      <c r="F63" s="2149">
        <f t="shared" si="33"/>
        <v>2</v>
      </c>
      <c r="G63" s="2176">
        <f t="shared" si="36"/>
        <v>12280</v>
      </c>
      <c r="H63" s="2145" t="e">
        <f t="shared" ref="H63:H68" si="42">CEILING(H57+H57/2.5, 10)</f>
        <v>#REF!</v>
      </c>
      <c r="I63" s="2145">
        <f t="shared" si="34"/>
        <v>3050</v>
      </c>
      <c r="J63" s="2145">
        <f t="shared" si="37"/>
        <v>450</v>
      </c>
      <c r="K63" s="2151" t="e">
        <f t="shared" si="35"/>
        <v>#REF!</v>
      </c>
      <c r="L63" s="2176">
        <f t="shared" si="38"/>
        <v>14030</v>
      </c>
      <c r="M63" s="2145" t="e">
        <f t="shared" si="39"/>
        <v>#REF!</v>
      </c>
      <c r="N63" s="2145">
        <f t="shared" si="40"/>
        <v>3050</v>
      </c>
      <c r="O63" s="2145">
        <f t="shared" si="41"/>
        <v>450</v>
      </c>
      <c r="P63" s="2151" t="e">
        <f>L63+M63+N63+[2]Фурнитура!E86</f>
        <v>#REF!</v>
      </c>
    </row>
    <row r="64" spans="1:19" ht="35.1" customHeight="1" outlineLevel="1">
      <c r="A64" s="5346"/>
      <c r="B64" s="5390"/>
      <c r="C64" s="2166">
        <v>2100</v>
      </c>
      <c r="D64" s="2148">
        <f t="shared" si="32"/>
        <v>0.05</v>
      </c>
      <c r="E64" s="2148"/>
      <c r="F64" s="2167">
        <f t="shared" si="33"/>
        <v>2</v>
      </c>
      <c r="G64" s="2177">
        <f t="shared" si="36"/>
        <v>12280</v>
      </c>
      <c r="H64" s="2146" t="e">
        <f t="shared" si="42"/>
        <v>#REF!</v>
      </c>
      <c r="I64" s="2146">
        <f t="shared" si="34"/>
        <v>3050</v>
      </c>
      <c r="J64" s="2146">
        <f t="shared" si="37"/>
        <v>450</v>
      </c>
      <c r="K64" s="2152" t="e">
        <f t="shared" si="35"/>
        <v>#REF!</v>
      </c>
      <c r="L64" s="2177">
        <f t="shared" si="38"/>
        <v>14030</v>
      </c>
      <c r="M64" s="2146" t="e">
        <f t="shared" si="39"/>
        <v>#REF!</v>
      </c>
      <c r="N64" s="2146">
        <f t="shared" si="40"/>
        <v>3050</v>
      </c>
      <c r="O64" s="2146">
        <f t="shared" si="41"/>
        <v>450</v>
      </c>
      <c r="P64" s="2152" t="e">
        <f>L64+M64+N64+[2]Фурнитура!E85</f>
        <v>#REF!</v>
      </c>
    </row>
    <row r="65" spans="1:16" ht="35.1" customHeight="1" outlineLevel="1">
      <c r="A65" s="5346"/>
      <c r="B65" s="5390"/>
      <c r="C65" s="2144">
        <v>2200</v>
      </c>
      <c r="D65" s="2147">
        <f t="shared" si="32"/>
        <v>0.25</v>
      </c>
      <c r="E65" s="2147"/>
      <c r="F65" s="2149">
        <f t="shared" si="33"/>
        <v>2</v>
      </c>
      <c r="G65" s="2176">
        <f t="shared" si="36"/>
        <v>14620</v>
      </c>
      <c r="H65" s="2145" t="e">
        <f t="shared" si="42"/>
        <v>#REF!</v>
      </c>
      <c r="I65" s="2145">
        <f t="shared" si="34"/>
        <v>3050</v>
      </c>
      <c r="J65" s="2145">
        <f t="shared" si="37"/>
        <v>450</v>
      </c>
      <c r="K65" s="2151" t="e">
        <f t="shared" si="35"/>
        <v>#REF!</v>
      </c>
      <c r="L65" s="2176">
        <f t="shared" si="38"/>
        <v>16700</v>
      </c>
      <c r="M65" s="2145" t="e">
        <f t="shared" si="39"/>
        <v>#REF!</v>
      </c>
      <c r="N65" s="2145">
        <f t="shared" si="40"/>
        <v>3050</v>
      </c>
      <c r="O65" s="2145">
        <f t="shared" si="41"/>
        <v>450</v>
      </c>
      <c r="P65" s="2151" t="e">
        <f>L65+M65+N65+[2]Фурнитура!E86</f>
        <v>#REF!</v>
      </c>
    </row>
    <row r="66" spans="1:16" ht="35.1" customHeight="1" outlineLevel="1">
      <c r="A66" s="5346"/>
      <c r="B66" s="5390"/>
      <c r="C66" s="2166">
        <v>2300</v>
      </c>
      <c r="D66" s="2148">
        <f t="shared" si="32"/>
        <v>0.35</v>
      </c>
      <c r="E66" s="2148"/>
      <c r="F66" s="2167">
        <f t="shared" si="33"/>
        <v>3</v>
      </c>
      <c r="G66" s="2177">
        <f t="shared" si="36"/>
        <v>15790</v>
      </c>
      <c r="H66" s="2146" t="e">
        <f t="shared" si="42"/>
        <v>#REF!</v>
      </c>
      <c r="I66" s="2146">
        <f t="shared" si="34"/>
        <v>4575</v>
      </c>
      <c r="J66" s="2146">
        <f t="shared" si="37"/>
        <v>450</v>
      </c>
      <c r="K66" s="2152" t="e">
        <f t="shared" si="35"/>
        <v>#REF!</v>
      </c>
      <c r="L66" s="2177">
        <f t="shared" si="38"/>
        <v>18040</v>
      </c>
      <c r="M66" s="2146" t="e">
        <f t="shared" si="39"/>
        <v>#REF!</v>
      </c>
      <c r="N66" s="2146">
        <f t="shared" si="40"/>
        <v>4575</v>
      </c>
      <c r="O66" s="2146">
        <f t="shared" si="41"/>
        <v>450</v>
      </c>
      <c r="P66" s="2152" t="e">
        <f>L66+M66+N66+[2]Фурнитура!E87</f>
        <v>#REF!</v>
      </c>
    </row>
    <row r="67" spans="1:16" ht="35.1" customHeight="1" outlineLevel="1">
      <c r="A67" s="5346"/>
      <c r="B67" s="5390"/>
      <c r="C67" s="2144">
        <v>2400</v>
      </c>
      <c r="D67" s="2147">
        <f t="shared" si="32"/>
        <v>0.45</v>
      </c>
      <c r="E67" s="2147"/>
      <c r="F67" s="2149">
        <f t="shared" si="33"/>
        <v>3</v>
      </c>
      <c r="G67" s="2176">
        <f t="shared" si="36"/>
        <v>16960</v>
      </c>
      <c r="H67" s="2145" t="e">
        <f t="shared" si="42"/>
        <v>#REF!</v>
      </c>
      <c r="I67" s="2145">
        <f t="shared" si="34"/>
        <v>4575</v>
      </c>
      <c r="J67" s="2145">
        <f t="shared" si="37"/>
        <v>450</v>
      </c>
      <c r="K67" s="2151" t="e">
        <f t="shared" si="35"/>
        <v>#REF!</v>
      </c>
      <c r="L67" s="2176">
        <f t="shared" si="38"/>
        <v>19380</v>
      </c>
      <c r="M67" s="2145" t="e">
        <f t="shared" si="39"/>
        <v>#REF!</v>
      </c>
      <c r="N67" s="2145">
        <f t="shared" si="40"/>
        <v>4575</v>
      </c>
      <c r="O67" s="2145">
        <f t="shared" si="41"/>
        <v>450</v>
      </c>
      <c r="P67" s="2151" t="e">
        <f>L67+M67+N67+[2]Фурнитура!E88</f>
        <v>#REF!</v>
      </c>
    </row>
    <row r="68" spans="1:16" ht="35.1" customHeight="1" outlineLevel="1" thickBot="1">
      <c r="A68" s="5346"/>
      <c r="B68" s="5390"/>
      <c r="C68" s="2166">
        <v>2500</v>
      </c>
      <c r="D68" s="2148">
        <f t="shared" si="32"/>
        <v>0.55000000000000004</v>
      </c>
      <c r="E68" s="2148"/>
      <c r="F68" s="2167">
        <f t="shared" si="33"/>
        <v>3</v>
      </c>
      <c r="G68" s="2178">
        <f t="shared" si="36"/>
        <v>18120</v>
      </c>
      <c r="H68" s="2153" t="e">
        <f t="shared" si="42"/>
        <v>#REF!</v>
      </c>
      <c r="I68" s="2153">
        <f t="shared" si="34"/>
        <v>4575</v>
      </c>
      <c r="J68" s="2153">
        <f t="shared" si="37"/>
        <v>450</v>
      </c>
      <c r="K68" s="2154" t="e">
        <f t="shared" si="35"/>
        <v>#REF!</v>
      </c>
      <c r="L68" s="2178">
        <f t="shared" si="38"/>
        <v>20710</v>
      </c>
      <c r="M68" s="2153" t="e">
        <f t="shared" si="39"/>
        <v>#REF!</v>
      </c>
      <c r="N68" s="2153">
        <f t="shared" si="40"/>
        <v>4575</v>
      </c>
      <c r="O68" s="2153">
        <f t="shared" si="41"/>
        <v>450</v>
      </c>
      <c r="P68" s="2154" t="e">
        <f>L68+M68+N68+[2]Фурнитура!E96</f>
        <v>#REF!</v>
      </c>
    </row>
  </sheetData>
  <mergeCells count="44">
    <mergeCell ref="L7:P7"/>
    <mergeCell ref="A9:A20"/>
    <mergeCell ref="B9:B14"/>
    <mergeCell ref="B15:B20"/>
    <mergeCell ref="A6:H6"/>
    <mergeCell ref="A7:A8"/>
    <mergeCell ref="B7:B8"/>
    <mergeCell ref="C7:C8"/>
    <mergeCell ref="F7:F8"/>
    <mergeCell ref="G7:K7"/>
    <mergeCell ref="D7:D8"/>
    <mergeCell ref="A38:H38"/>
    <mergeCell ref="A39:A40"/>
    <mergeCell ref="B39:B40"/>
    <mergeCell ref="C39:C40"/>
    <mergeCell ref="D39:D40"/>
    <mergeCell ref="F39:F40"/>
    <mergeCell ref="A22:H22"/>
    <mergeCell ref="A23:A24"/>
    <mergeCell ref="B23:B24"/>
    <mergeCell ref="C23:C24"/>
    <mergeCell ref="F23:F24"/>
    <mergeCell ref="G23:K23"/>
    <mergeCell ref="A57:A68"/>
    <mergeCell ref="B57:B62"/>
    <mergeCell ref="B63:B68"/>
    <mergeCell ref="L39:P39"/>
    <mergeCell ref="A41:A52"/>
    <mergeCell ref="L23:P23"/>
    <mergeCell ref="A25:A36"/>
    <mergeCell ref="D23:D24"/>
    <mergeCell ref="D55:D56"/>
    <mergeCell ref="B41:B46"/>
    <mergeCell ref="B47:B52"/>
    <mergeCell ref="A54:H54"/>
    <mergeCell ref="A55:A56"/>
    <mergeCell ref="B55:B56"/>
    <mergeCell ref="C55:C56"/>
    <mergeCell ref="F55:F56"/>
    <mergeCell ref="G55:K55"/>
    <mergeCell ref="G39:K39"/>
    <mergeCell ref="L55:P55"/>
    <mergeCell ref="B25:B30"/>
    <mergeCell ref="B31:B36"/>
  </mergeCells>
  <hyperlinks>
    <hyperlink ref="B5" location="Содержание_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45" firstPageNumber="45" orientation="landscape" useFirstPageNumber="1" r:id="rId1"/>
  <headerFooter>
    <oddHeader>&amp;L&amp;G&amp;R&amp;14ПРАЙС-ЛИСТ от 01.10.2020 &amp;11розничная цена в рублях РФ (без НДС)</oddHeader>
    <oddFooter>&amp;L&amp;P&amp;R&amp;G</oddFooter>
  </headerFooter>
  <rowBreaks count="1" manualBreakCount="1">
    <brk id="36" max="15" man="1"/>
  </row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F0"/>
  </sheetPr>
  <dimension ref="A1:Z101"/>
  <sheetViews>
    <sheetView zoomScale="90" zoomScaleNormal="90" workbookViewId="0">
      <selection activeCell="A96" sqref="A96"/>
    </sheetView>
  </sheetViews>
  <sheetFormatPr defaultColWidth="9.140625" defaultRowHeight="15" outlineLevelRow="1" outlineLevelCol="1"/>
  <cols>
    <col min="1" max="1" width="9.7109375" style="589" bestFit="1" customWidth="1"/>
    <col min="2" max="2" width="3.28515625" style="589" bestFit="1" customWidth="1"/>
    <col min="3" max="3" width="15.5703125" style="589" customWidth="1"/>
    <col min="4" max="4" width="10.140625" style="589" hidden="1" customWidth="1" outlineLevel="1"/>
    <col min="5" max="6" width="10.28515625" style="1277" hidden="1" customWidth="1" outlineLevel="1"/>
    <col min="7" max="7" width="10.28515625" style="1250" customWidth="1" collapsed="1"/>
    <col min="8" max="8" width="8.5703125" style="1353" customWidth="1"/>
    <col min="9" max="9" width="6.7109375" style="1354" customWidth="1"/>
    <col min="10" max="10" width="17" style="589" customWidth="1"/>
    <col min="11" max="11" width="8.5703125" style="589" hidden="1" customWidth="1" outlineLevel="1"/>
    <col min="12" max="12" width="10" style="1232" hidden="1" customWidth="1" outlineLevel="1"/>
    <col min="13" max="13" width="8.7109375" style="1232" hidden="1" customWidth="1" outlineLevel="1"/>
    <col min="14" max="14" width="14.28515625" style="589" customWidth="1" collapsed="1"/>
    <col min="15" max="15" width="8.5703125" style="589" hidden="1" customWidth="1" outlineLevel="1"/>
    <col min="16" max="16" width="10" style="1232" hidden="1" customWidth="1" outlineLevel="1"/>
    <col min="17" max="17" width="8.7109375" style="1232" hidden="1" customWidth="1" outlineLevel="1"/>
    <col min="18" max="18" width="19.140625" style="589" customWidth="1" collapsed="1"/>
    <col min="19" max="19" width="8.5703125" style="589" hidden="1" customWidth="1" outlineLevel="1"/>
    <col min="20" max="20" width="10" style="1232" hidden="1" customWidth="1" outlineLevel="1"/>
    <col min="21" max="21" width="8.7109375" style="1232" hidden="1" customWidth="1" outlineLevel="1"/>
    <col min="22" max="22" width="10" style="1345" bestFit="1" customWidth="1" collapsed="1"/>
    <col min="23" max="23" width="10" style="1345" bestFit="1" customWidth="1"/>
    <col min="24" max="16384" width="9.140625" style="589"/>
  </cols>
  <sheetData>
    <row r="1" spans="1:24">
      <c r="C1" s="73" t="s">
        <v>2153</v>
      </c>
    </row>
    <row r="2" spans="1:24">
      <c r="C2" s="22" t="s">
        <v>2131</v>
      </c>
      <c r="D2" s="22"/>
      <c r="E2" s="1336"/>
      <c r="F2" s="1336"/>
      <c r="G2" s="1324"/>
      <c r="H2" s="1354"/>
    </row>
    <row r="3" spans="1:24" s="1234" customFormat="1" ht="12.75" hidden="1" outlineLevel="1">
      <c r="C3" s="1235" t="s">
        <v>1610</v>
      </c>
      <c r="D3" s="1236">
        <v>0.39</v>
      </c>
      <c r="E3" s="1325">
        <f>E5/D5</f>
        <v>1.639344262295082</v>
      </c>
      <c r="F3" s="1325"/>
      <c r="G3" s="1325"/>
      <c r="H3" s="1355"/>
      <c r="I3" s="1356"/>
      <c r="J3" s="1309" t="s">
        <v>1611</v>
      </c>
      <c r="K3" s="1310">
        <v>0.33</v>
      </c>
      <c r="L3" s="1326" t="e">
        <f>L13/K13</f>
        <v>#DIV/0!</v>
      </c>
      <c r="M3" s="1311"/>
      <c r="N3" s="1261" t="s">
        <v>1612</v>
      </c>
      <c r="O3" s="1262">
        <v>0.39</v>
      </c>
      <c r="P3" s="1327" t="e">
        <f>P13/O13</f>
        <v>#DIV/0!</v>
      </c>
      <c r="Q3" s="1263"/>
      <c r="R3" s="1268" t="s">
        <v>1613</v>
      </c>
      <c r="S3" s="1269">
        <v>0.41</v>
      </c>
      <c r="T3" s="1328" t="e">
        <f>T5/S5</f>
        <v>#DIV/0!</v>
      </c>
      <c r="U3" s="1290"/>
      <c r="V3" s="1346"/>
      <c r="W3" s="1346"/>
      <c r="X3" s="1323"/>
    </row>
    <row r="4" spans="1:24" s="39" customFormat="1" ht="33.75" hidden="1" outlineLevel="1">
      <c r="A4" s="1306" t="s">
        <v>1972</v>
      </c>
      <c r="C4" s="1306" t="s">
        <v>1616</v>
      </c>
      <c r="D4" s="1306" t="s">
        <v>2136</v>
      </c>
      <c r="E4" s="1306" t="s">
        <v>2135</v>
      </c>
      <c r="F4" s="1306" t="s">
        <v>2137</v>
      </c>
      <c r="G4" s="1306" t="s">
        <v>2134</v>
      </c>
      <c r="H4" s="1306" t="s">
        <v>2139</v>
      </c>
      <c r="I4" s="1306" t="s">
        <v>2138</v>
      </c>
      <c r="J4" s="1312" t="s">
        <v>1616</v>
      </c>
      <c r="K4" s="1312" t="s">
        <v>1383</v>
      </c>
      <c r="L4" s="1312" t="s">
        <v>1618</v>
      </c>
      <c r="M4" s="1312" t="s">
        <v>1691</v>
      </c>
      <c r="N4" s="1264" t="s">
        <v>1616</v>
      </c>
      <c r="O4" s="1264" t="s">
        <v>1383</v>
      </c>
      <c r="P4" s="1264" t="s">
        <v>1618</v>
      </c>
      <c r="Q4" s="1264" t="s">
        <v>1691</v>
      </c>
      <c r="R4" s="1270" t="s">
        <v>1616</v>
      </c>
      <c r="S4" s="1270" t="s">
        <v>1383</v>
      </c>
      <c r="T4" s="1270" t="s">
        <v>1618</v>
      </c>
      <c r="U4" s="1270" t="s">
        <v>1620</v>
      </c>
      <c r="V4" s="1347"/>
      <c r="W4" s="1347"/>
    </row>
    <row r="5" spans="1:24" hidden="1" outlineLevel="1">
      <c r="A5" s="1340"/>
      <c r="B5" s="589">
        <v>1</v>
      </c>
      <c r="C5" s="1243">
        <f>C39</f>
        <v>0</v>
      </c>
      <c r="D5" s="1257">
        <f t="shared" ref="D5:D20" si="0">D39+$D$75</f>
        <v>4956.25</v>
      </c>
      <c r="E5" s="1337">
        <f t="shared" ref="E5:E20" si="1">E39+$E$75</f>
        <v>8125</v>
      </c>
      <c r="F5" s="1257">
        <f t="shared" ref="F5:F20" si="2">F39+$F$75</f>
        <v>4956.25</v>
      </c>
      <c r="G5" s="1246">
        <f t="shared" ref="G5:G20" si="3">G39+$G$75</f>
        <v>8125</v>
      </c>
      <c r="H5" s="1357">
        <f>G5-E5</f>
        <v>0</v>
      </c>
      <c r="I5" s="1358">
        <f>G5/E5-1</f>
        <v>0</v>
      </c>
      <c r="J5" s="1313"/>
      <c r="K5" s="1314"/>
      <c r="L5" s="1315"/>
      <c r="M5" s="1316"/>
      <c r="N5" s="1090" t="str">
        <f>N39</f>
        <v>ВИЧЕНЦА-2</v>
      </c>
      <c r="O5" s="1265">
        <f>P5*(1-$O$3)</f>
        <v>0</v>
      </c>
      <c r="P5" s="1266">
        <f>P39+$P$78*2.5+$P$79*5</f>
        <v>0</v>
      </c>
      <c r="Q5" s="1267" t="e">
        <f>G5/P5-1</f>
        <v>#DIV/0!</v>
      </c>
      <c r="R5" s="1271" t="str">
        <f>R39</f>
        <v>ANTIQUE2</v>
      </c>
      <c r="S5" s="1272">
        <f>T5*(1-$S$3)</f>
        <v>0</v>
      </c>
      <c r="T5" s="1273">
        <f>T39+$T$75</f>
        <v>0</v>
      </c>
      <c r="U5" s="1274" t="e">
        <f>G5/T5-1</f>
        <v>#DIV/0!</v>
      </c>
      <c r="V5" s="1350">
        <v>39950</v>
      </c>
      <c r="W5" s="1444">
        <f t="shared" ref="W5:W34" si="4">V5-G5</f>
        <v>31825</v>
      </c>
    </row>
    <row r="6" spans="1:24" hidden="1" outlineLevel="1">
      <c r="A6" s="1340"/>
      <c r="B6" s="589">
        <v>2</v>
      </c>
      <c r="C6" s="1243">
        <f t="shared" ref="C6:C20" si="5">C40</f>
        <v>0</v>
      </c>
      <c r="D6" s="1257">
        <f t="shared" si="0"/>
        <v>4956.25</v>
      </c>
      <c r="E6" s="1337">
        <f t="shared" si="1"/>
        <v>8125</v>
      </c>
      <c r="F6" s="1257">
        <f t="shared" si="2"/>
        <v>4956.25</v>
      </c>
      <c r="G6" s="1246">
        <f t="shared" si="3"/>
        <v>8125</v>
      </c>
      <c r="H6" s="1357">
        <f t="shared" ref="H6:H34" si="6">G6-E6</f>
        <v>0</v>
      </c>
      <c r="I6" s="1358">
        <f t="shared" ref="I6:I34" si="7">G6/E6-1</f>
        <v>0</v>
      </c>
      <c r="J6" s="1313"/>
      <c r="K6" s="1314"/>
      <c r="L6" s="1315"/>
      <c r="M6" s="1316"/>
      <c r="N6" s="1090" t="str">
        <f>N40</f>
        <v>Корфу</v>
      </c>
      <c r="O6" s="1265">
        <f t="shared" ref="O6:O34" si="8">P6*(1-$O$3)</f>
        <v>0</v>
      </c>
      <c r="P6" s="1266">
        <f>P40+$P$78*2.5+$P$79*5</f>
        <v>0</v>
      </c>
      <c r="Q6" s="1267" t="e">
        <f t="shared" ref="Q6:Q34" si="9">G6/P6-1</f>
        <v>#DIV/0!</v>
      </c>
      <c r="R6" s="1271"/>
      <c r="S6" s="1272"/>
      <c r="T6" s="1273"/>
      <c r="U6" s="1274"/>
      <c r="V6" s="1350">
        <v>39950</v>
      </c>
      <c r="W6" s="1444">
        <f t="shared" si="4"/>
        <v>31825</v>
      </c>
    </row>
    <row r="7" spans="1:24" hidden="1" outlineLevel="1">
      <c r="A7" s="1340"/>
      <c r="B7" s="589">
        <v>3</v>
      </c>
      <c r="C7" s="1243">
        <f t="shared" si="5"/>
        <v>0</v>
      </c>
      <c r="D7" s="1257">
        <f t="shared" si="0"/>
        <v>4956.25</v>
      </c>
      <c r="E7" s="1337">
        <f t="shared" si="1"/>
        <v>8125</v>
      </c>
      <c r="F7" s="1257">
        <f t="shared" si="2"/>
        <v>4956.25</v>
      </c>
      <c r="G7" s="1246">
        <f t="shared" si="3"/>
        <v>8125</v>
      </c>
      <c r="H7" s="1357">
        <f t="shared" si="6"/>
        <v>0</v>
      </c>
      <c r="I7" s="1358">
        <f t="shared" si="7"/>
        <v>0</v>
      </c>
      <c r="J7" s="1313"/>
      <c r="K7" s="1314"/>
      <c r="L7" s="1315"/>
      <c r="M7" s="1316"/>
      <c r="N7" s="1090" t="str">
        <f>N41</f>
        <v>АРЕНА</v>
      </c>
      <c r="O7" s="1265">
        <f t="shared" si="8"/>
        <v>0</v>
      </c>
      <c r="P7" s="1266">
        <f>P41+$P$78*2.5+$P$79*5</f>
        <v>0</v>
      </c>
      <c r="Q7" s="1267" t="e">
        <f t="shared" si="9"/>
        <v>#DIV/0!</v>
      </c>
      <c r="R7" s="1271"/>
      <c r="S7" s="1272"/>
      <c r="T7" s="1273"/>
      <c r="U7" s="1274"/>
      <c r="V7" s="1350">
        <v>49950</v>
      </c>
      <c r="W7" s="1444">
        <f t="shared" si="4"/>
        <v>41825</v>
      </c>
    </row>
    <row r="8" spans="1:24" hidden="1" outlineLevel="1">
      <c r="A8" s="1340"/>
      <c r="B8" s="589">
        <v>4</v>
      </c>
      <c r="C8" s="1243">
        <f t="shared" si="5"/>
        <v>0</v>
      </c>
      <c r="D8" s="1257">
        <f t="shared" si="0"/>
        <v>4956.25</v>
      </c>
      <c r="E8" s="1337">
        <f t="shared" si="1"/>
        <v>8125</v>
      </c>
      <c r="F8" s="1257">
        <f t="shared" si="2"/>
        <v>4956.25</v>
      </c>
      <c r="G8" s="1246">
        <f t="shared" si="3"/>
        <v>8125</v>
      </c>
      <c r="H8" s="1357">
        <f t="shared" si="6"/>
        <v>0</v>
      </c>
      <c r="I8" s="1358">
        <f t="shared" si="7"/>
        <v>0</v>
      </c>
      <c r="J8" s="1313"/>
      <c r="K8" s="1314"/>
      <c r="L8" s="1315"/>
      <c r="M8" s="1316"/>
      <c r="N8" s="1090" t="str">
        <f>N42</f>
        <v>ИТАКА</v>
      </c>
      <c r="O8" s="1265">
        <f t="shared" si="8"/>
        <v>0</v>
      </c>
      <c r="P8" s="1266">
        <f>P42+$P$78*2.5+$P$79*5</f>
        <v>0</v>
      </c>
      <c r="Q8" s="1267" t="e">
        <f t="shared" si="9"/>
        <v>#DIV/0!</v>
      </c>
      <c r="R8" s="1271"/>
      <c r="S8" s="1272"/>
      <c r="T8" s="1273"/>
      <c r="U8" s="1274"/>
      <c r="V8" s="1350">
        <v>43950</v>
      </c>
      <c r="W8" s="1444">
        <f t="shared" si="4"/>
        <v>35825</v>
      </c>
    </row>
    <row r="9" spans="1:24" hidden="1" outlineLevel="1">
      <c r="A9" s="1340"/>
      <c r="B9" s="589">
        <v>5</v>
      </c>
      <c r="C9" s="1243">
        <f t="shared" si="5"/>
        <v>0</v>
      </c>
      <c r="D9" s="1257">
        <f t="shared" si="0"/>
        <v>4956.25</v>
      </c>
      <c r="E9" s="1337">
        <f t="shared" si="1"/>
        <v>8125</v>
      </c>
      <c r="F9" s="1257">
        <f t="shared" si="2"/>
        <v>4956.25</v>
      </c>
      <c r="G9" s="1246">
        <f t="shared" si="3"/>
        <v>8125</v>
      </c>
      <c r="H9" s="1357">
        <f t="shared" si="6"/>
        <v>0</v>
      </c>
      <c r="I9" s="1358">
        <f t="shared" si="7"/>
        <v>0</v>
      </c>
      <c r="J9" s="1313" t="str">
        <f>J43</f>
        <v>CENTRO 2523</v>
      </c>
      <c r="K9" s="1314">
        <f>L9*(1-$K$3)</f>
        <v>0</v>
      </c>
      <c r="L9" s="1315">
        <f>L43+$L$75</f>
        <v>0</v>
      </c>
      <c r="M9" s="1316" t="e">
        <f>G9/L9-1</f>
        <v>#DIV/0!</v>
      </c>
      <c r="N9" s="1090"/>
      <c r="O9" s="1265"/>
      <c r="P9" s="1266"/>
      <c r="Q9" s="1267" t="e">
        <f t="shared" si="9"/>
        <v>#DIV/0!</v>
      </c>
      <c r="R9" s="1271"/>
      <c r="S9" s="1272"/>
      <c r="T9" s="1273"/>
      <c r="U9" s="1274"/>
      <c r="V9" s="1350">
        <v>39950</v>
      </c>
      <c r="W9" s="1444">
        <f t="shared" si="4"/>
        <v>31825</v>
      </c>
    </row>
    <row r="10" spans="1:24" hidden="1" outlineLevel="1">
      <c r="A10" s="1340"/>
      <c r="B10" s="589">
        <v>6</v>
      </c>
      <c r="C10" s="1243">
        <f t="shared" si="5"/>
        <v>0</v>
      </c>
      <c r="D10" s="1257">
        <f t="shared" si="0"/>
        <v>4956.25</v>
      </c>
      <c r="E10" s="1337">
        <f t="shared" si="1"/>
        <v>8125</v>
      </c>
      <c r="F10" s="1257">
        <f t="shared" si="2"/>
        <v>4956.25</v>
      </c>
      <c r="G10" s="1246">
        <f t="shared" si="3"/>
        <v>8125</v>
      </c>
      <c r="H10" s="1357">
        <f t="shared" si="6"/>
        <v>0</v>
      </c>
      <c r="I10" s="1358">
        <f t="shared" si="7"/>
        <v>0</v>
      </c>
      <c r="J10" s="1313"/>
      <c r="K10" s="1314"/>
      <c r="L10" s="1315"/>
      <c r="M10" s="1316"/>
      <c r="N10" s="1090" t="str">
        <f>N44</f>
        <v>Прага</v>
      </c>
      <c r="O10" s="1265">
        <f t="shared" si="8"/>
        <v>0</v>
      </c>
      <c r="P10" s="1266">
        <f>P44+$P$78*2.5+$P$79*5</f>
        <v>0</v>
      </c>
      <c r="Q10" s="1267" t="e">
        <f t="shared" si="9"/>
        <v>#DIV/0!</v>
      </c>
      <c r="R10" s="1271"/>
      <c r="S10" s="1272"/>
      <c r="T10" s="1273"/>
      <c r="U10" s="1274"/>
      <c r="V10" s="1350">
        <v>34950</v>
      </c>
      <c r="W10" s="1444">
        <f t="shared" si="4"/>
        <v>26825</v>
      </c>
    </row>
    <row r="11" spans="1:24" hidden="1" outlineLevel="1">
      <c r="A11" s="1340"/>
      <c r="B11" s="589">
        <v>7</v>
      </c>
      <c r="C11" s="1243">
        <f t="shared" si="5"/>
        <v>0</v>
      </c>
      <c r="D11" s="1257">
        <f t="shared" si="0"/>
        <v>4956.25</v>
      </c>
      <c r="E11" s="1337">
        <f t="shared" si="1"/>
        <v>8125</v>
      </c>
      <c r="F11" s="1257">
        <f t="shared" si="2"/>
        <v>4956.25</v>
      </c>
      <c r="G11" s="1246">
        <f t="shared" si="3"/>
        <v>8125</v>
      </c>
      <c r="H11" s="1357">
        <f t="shared" si="6"/>
        <v>0</v>
      </c>
      <c r="I11" s="1358">
        <f t="shared" si="7"/>
        <v>0</v>
      </c>
      <c r="J11" s="1313"/>
      <c r="K11" s="1314"/>
      <c r="L11" s="1315"/>
      <c r="M11" s="1316"/>
      <c r="N11" s="1090"/>
      <c r="O11" s="1265"/>
      <c r="P11" s="1266"/>
      <c r="Q11" s="1267" t="e">
        <f t="shared" si="9"/>
        <v>#DIV/0!</v>
      </c>
      <c r="R11" s="1271"/>
      <c r="S11" s="1272"/>
      <c r="T11" s="1273"/>
      <c r="U11" s="1274"/>
      <c r="V11" s="1350">
        <v>34950</v>
      </c>
      <c r="W11" s="1444">
        <f t="shared" si="4"/>
        <v>26825</v>
      </c>
    </row>
    <row r="12" spans="1:24" hidden="1" outlineLevel="1">
      <c r="A12" s="1340"/>
      <c r="B12" s="589">
        <v>8</v>
      </c>
      <c r="C12" s="1243">
        <f t="shared" si="5"/>
        <v>0</v>
      </c>
      <c r="D12" s="1257">
        <f t="shared" si="0"/>
        <v>4956.25</v>
      </c>
      <c r="E12" s="1337">
        <f t="shared" si="1"/>
        <v>8125</v>
      </c>
      <c r="F12" s="1257">
        <f t="shared" si="2"/>
        <v>4956.25</v>
      </c>
      <c r="G12" s="1246">
        <f t="shared" si="3"/>
        <v>8125</v>
      </c>
      <c r="H12" s="1357">
        <f t="shared" si="6"/>
        <v>0</v>
      </c>
      <c r="I12" s="1358">
        <f t="shared" si="7"/>
        <v>0</v>
      </c>
      <c r="J12" s="1313"/>
      <c r="K12" s="1314"/>
      <c r="L12" s="1315"/>
      <c r="M12" s="1316"/>
      <c r="N12" s="1090" t="str">
        <f>N46</f>
        <v>Визави</v>
      </c>
      <c r="O12" s="1265">
        <f t="shared" si="8"/>
        <v>0</v>
      </c>
      <c r="P12" s="1266">
        <f>P46+$P$78*2.5+$P$79*5</f>
        <v>0</v>
      </c>
      <c r="Q12" s="1267" t="e">
        <f t="shared" si="9"/>
        <v>#DIV/0!</v>
      </c>
      <c r="R12" s="1271" t="str">
        <f>R46</f>
        <v>QUADRO2</v>
      </c>
      <c r="S12" s="1272">
        <f t="shared" ref="S12:S28" si="10">T12*(1-$S$3)</f>
        <v>0</v>
      </c>
      <c r="T12" s="1273">
        <f>T46+$T$75</f>
        <v>0</v>
      </c>
      <c r="U12" s="1274" t="e">
        <f t="shared" ref="U12:U28" si="11">G12/T12-1</f>
        <v>#DIV/0!</v>
      </c>
      <c r="V12" s="1350">
        <v>28950</v>
      </c>
      <c r="W12" s="1444">
        <f t="shared" si="4"/>
        <v>20825</v>
      </c>
    </row>
    <row r="13" spans="1:24" hidden="1" outlineLevel="1">
      <c r="A13" s="1340">
        <f>К_ясень!F14</f>
        <v>35250</v>
      </c>
      <c r="B13" s="589">
        <v>9</v>
      </c>
      <c r="C13" s="1243" t="str">
        <f t="shared" si="5"/>
        <v>Garda2</v>
      </c>
      <c r="D13" s="1257" t="e">
        <f t="shared" si="0"/>
        <v>#REF!</v>
      </c>
      <c r="E13" s="1337" t="e">
        <f t="shared" si="1"/>
        <v>#REF!</v>
      </c>
      <c r="F13" s="1257" t="e">
        <f t="shared" si="2"/>
        <v>#REF!</v>
      </c>
      <c r="G13" s="1246" t="e">
        <f t="shared" si="3"/>
        <v>#REF!</v>
      </c>
      <c r="H13" s="1357" t="e">
        <f t="shared" si="6"/>
        <v>#REF!</v>
      </c>
      <c r="I13" s="1358" t="e">
        <f t="shared" si="7"/>
        <v>#REF!</v>
      </c>
      <c r="J13" s="1313" t="str">
        <f>J47</f>
        <v>GALANT 1421</v>
      </c>
      <c r="K13" s="1314">
        <f t="shared" ref="K13:K34" si="12">L13*(1-$K$3)</f>
        <v>0</v>
      </c>
      <c r="L13" s="1315">
        <f>L47+$L$75</f>
        <v>0</v>
      </c>
      <c r="M13" s="1316" t="e">
        <f>G13/L13-1</f>
        <v>#REF!</v>
      </c>
      <c r="N13" s="1090" t="str">
        <f>N47</f>
        <v xml:space="preserve">Neo N2 </v>
      </c>
      <c r="O13" s="1265">
        <f t="shared" si="8"/>
        <v>0</v>
      </c>
      <c r="P13" s="1266">
        <f>P47+$P$78*2.5+$P$79*5</f>
        <v>0</v>
      </c>
      <c r="Q13" s="1267" t="e">
        <f t="shared" si="9"/>
        <v>#REF!</v>
      </c>
      <c r="R13" s="1271" t="str">
        <f>R47</f>
        <v>LEGNO2</v>
      </c>
      <c r="S13" s="1272">
        <f t="shared" si="10"/>
        <v>0</v>
      </c>
      <c r="T13" s="1273">
        <f>T47+$T$75</f>
        <v>0</v>
      </c>
      <c r="U13" s="1274" t="e">
        <f t="shared" si="11"/>
        <v>#REF!</v>
      </c>
      <c r="V13" s="1350">
        <v>31950</v>
      </c>
      <c r="W13" s="1444" t="e">
        <f t="shared" si="4"/>
        <v>#REF!</v>
      </c>
    </row>
    <row r="14" spans="1:24" s="70" customFormat="1" hidden="1" outlineLevel="1">
      <c r="A14" s="1340">
        <f>К_ясень!F15</f>
        <v>13250</v>
      </c>
      <c r="B14" s="589">
        <v>10</v>
      </c>
      <c r="C14" s="1243" t="str">
        <f t="shared" si="5"/>
        <v>Garda4</v>
      </c>
      <c r="D14" s="1257" t="e">
        <f t="shared" si="0"/>
        <v>#REF!</v>
      </c>
      <c r="E14" s="1337" t="e">
        <f t="shared" si="1"/>
        <v>#REF!</v>
      </c>
      <c r="F14" s="1257" t="e">
        <f t="shared" si="2"/>
        <v>#REF!</v>
      </c>
      <c r="G14" s="1246" t="e">
        <f t="shared" si="3"/>
        <v>#REF!</v>
      </c>
      <c r="H14" s="1357" t="e">
        <f t="shared" si="6"/>
        <v>#REF!</v>
      </c>
      <c r="I14" s="1358" t="e">
        <f t="shared" si="7"/>
        <v>#REF!</v>
      </c>
      <c r="J14" s="1313"/>
      <c r="K14" s="1314"/>
      <c r="L14" s="1315"/>
      <c r="M14" s="1316"/>
      <c r="N14" s="1090" t="str">
        <f>N50</f>
        <v>Neo N5</v>
      </c>
      <c r="O14" s="1265">
        <f t="shared" si="8"/>
        <v>0</v>
      </c>
      <c r="P14" s="1266">
        <f>P50+$P$78*2.5+$P$79*5</f>
        <v>0</v>
      </c>
      <c r="Q14" s="1267" t="e">
        <f t="shared" si="9"/>
        <v>#REF!</v>
      </c>
      <c r="R14" s="1271" t="str">
        <f>R50</f>
        <v>LEGNO3</v>
      </c>
      <c r="S14" s="1272">
        <f t="shared" si="10"/>
        <v>0</v>
      </c>
      <c r="T14" s="1273">
        <f>T50+$T$75</f>
        <v>0</v>
      </c>
      <c r="U14" s="1274" t="e">
        <f t="shared" si="11"/>
        <v>#REF!</v>
      </c>
      <c r="V14" s="1350">
        <v>31950</v>
      </c>
      <c r="W14" s="1444" t="e">
        <f t="shared" si="4"/>
        <v>#REF!</v>
      </c>
    </row>
    <row r="15" spans="1:24" s="70" customFormat="1" hidden="1" outlineLevel="1">
      <c r="A15" s="1340" t="e">
        <f>К_ясень!F16</f>
        <v>#REF!</v>
      </c>
      <c r="B15" s="589">
        <v>11</v>
      </c>
      <c r="C15" s="1243" t="str">
        <f t="shared" si="5"/>
        <v>Garda1</v>
      </c>
      <c r="D15" s="1257" t="e">
        <f t="shared" si="0"/>
        <v>#REF!</v>
      </c>
      <c r="E15" s="1337" t="e">
        <f t="shared" si="1"/>
        <v>#REF!</v>
      </c>
      <c r="F15" s="1257" t="e">
        <f t="shared" si="2"/>
        <v>#REF!</v>
      </c>
      <c r="G15" s="1246" t="e">
        <f t="shared" si="3"/>
        <v>#REF!</v>
      </c>
      <c r="H15" s="1357" t="e">
        <f t="shared" si="6"/>
        <v>#REF!</v>
      </c>
      <c r="I15" s="1358" t="e">
        <f t="shared" si="7"/>
        <v>#REF!</v>
      </c>
      <c r="J15" s="1313" t="str">
        <f>J48</f>
        <v>GALANT 1431</v>
      </c>
      <c r="K15" s="1314">
        <f t="shared" si="12"/>
        <v>0</v>
      </c>
      <c r="L15" s="1315">
        <f>L48+$L$75</f>
        <v>0</v>
      </c>
      <c r="M15" s="1316" t="e">
        <f>G15/L15-1</f>
        <v>#REF!</v>
      </c>
      <c r="N15" s="1090" t="str">
        <f>N48</f>
        <v xml:space="preserve">Neo N3 </v>
      </c>
      <c r="O15" s="1265">
        <f t="shared" si="8"/>
        <v>0</v>
      </c>
      <c r="P15" s="1266">
        <f>P48+$P$78*2.5+$P$79*5</f>
        <v>0</v>
      </c>
      <c r="Q15" s="1267" t="e">
        <f t="shared" si="9"/>
        <v>#REF!</v>
      </c>
      <c r="R15" s="1271" t="str">
        <f>R48</f>
        <v>LEGNO4</v>
      </c>
      <c r="S15" s="1272">
        <f t="shared" si="10"/>
        <v>0</v>
      </c>
      <c r="T15" s="1273">
        <f>T48+$T$75</f>
        <v>0</v>
      </c>
      <c r="U15" s="1274" t="e">
        <f t="shared" si="11"/>
        <v>#REF!</v>
      </c>
      <c r="V15" s="1350">
        <v>31950</v>
      </c>
      <c r="W15" s="1444" t="e">
        <f t="shared" si="4"/>
        <v>#REF!</v>
      </c>
    </row>
    <row r="16" spans="1:24" s="70" customFormat="1" hidden="1" outlineLevel="1">
      <c r="A16" s="1340">
        <f>К_ясень!F17</f>
        <v>35250</v>
      </c>
      <c r="B16" s="589">
        <v>12</v>
      </c>
      <c r="C16" s="1243" t="str">
        <f t="shared" si="5"/>
        <v>Garda3</v>
      </c>
      <c r="D16" s="1257" t="e">
        <f t="shared" si="0"/>
        <v>#REF!</v>
      </c>
      <c r="E16" s="1337" t="e">
        <f t="shared" si="1"/>
        <v>#REF!</v>
      </c>
      <c r="F16" s="1257" t="e">
        <f t="shared" si="2"/>
        <v>#REF!</v>
      </c>
      <c r="G16" s="1246" t="e">
        <f t="shared" si="3"/>
        <v>#REF!</v>
      </c>
      <c r="H16" s="1357" t="e">
        <f t="shared" si="6"/>
        <v>#REF!</v>
      </c>
      <c r="I16" s="1358" t="e">
        <f t="shared" si="7"/>
        <v>#REF!</v>
      </c>
      <c r="J16" s="1313" t="str">
        <f>J49</f>
        <v>GALANT 1401</v>
      </c>
      <c r="K16" s="1314">
        <f t="shared" si="12"/>
        <v>0</v>
      </c>
      <c r="L16" s="1315">
        <f>L49+$L$75</f>
        <v>0</v>
      </c>
      <c r="M16" s="1316" t="e">
        <f>G16/L16-1</f>
        <v>#REF!</v>
      </c>
      <c r="N16" s="1090" t="str">
        <f>N49</f>
        <v xml:space="preserve">Neo N1 </v>
      </c>
      <c r="O16" s="1265">
        <f t="shared" si="8"/>
        <v>0</v>
      </c>
      <c r="P16" s="1266">
        <f>P49+$P$78*2.5+$P$79*5</f>
        <v>0</v>
      </c>
      <c r="Q16" s="1267" t="e">
        <f t="shared" si="9"/>
        <v>#REF!</v>
      </c>
      <c r="R16" s="1271" t="str">
        <f>R49</f>
        <v>LEGNO1</v>
      </c>
      <c r="S16" s="1272">
        <f t="shared" si="10"/>
        <v>0</v>
      </c>
      <c r="T16" s="1273">
        <f>T49+$T$75</f>
        <v>0</v>
      </c>
      <c r="U16" s="1274" t="e">
        <f t="shared" si="11"/>
        <v>#REF!</v>
      </c>
      <c r="V16" s="1350">
        <v>31950</v>
      </c>
      <c r="W16" s="1444" t="e">
        <f t="shared" si="4"/>
        <v>#REF!</v>
      </c>
    </row>
    <row r="17" spans="1:23" s="70" customFormat="1" hidden="1" outlineLevel="1">
      <c r="A17" s="1340" t="e">
        <f>К_ясень!F18</f>
        <v>#REF!</v>
      </c>
      <c r="B17" s="589">
        <v>13</v>
      </c>
      <c r="C17" s="1243" t="str">
        <f t="shared" si="5"/>
        <v>Garda5</v>
      </c>
      <c r="D17" s="1257" t="e">
        <f t="shared" si="0"/>
        <v>#REF!</v>
      </c>
      <c r="E17" s="1337" t="e">
        <f t="shared" si="1"/>
        <v>#REF!</v>
      </c>
      <c r="F17" s="1257" t="e">
        <f t="shared" si="2"/>
        <v>#REF!</v>
      </c>
      <c r="G17" s="1246" t="e">
        <f t="shared" si="3"/>
        <v>#REF!</v>
      </c>
      <c r="H17" s="1357" t="e">
        <f t="shared" si="6"/>
        <v>#REF!</v>
      </c>
      <c r="I17" s="1358" t="e">
        <f t="shared" si="7"/>
        <v>#REF!</v>
      </c>
      <c r="J17" s="1313" t="str">
        <f>J51</f>
        <v>GALANT 1411</v>
      </c>
      <c r="K17" s="1314">
        <f t="shared" si="12"/>
        <v>0</v>
      </c>
      <c r="L17" s="1315">
        <f>L51+$L$75</f>
        <v>0</v>
      </c>
      <c r="M17" s="1316" t="e">
        <f>G17/L17-1</f>
        <v>#REF!</v>
      </c>
      <c r="N17" s="1090"/>
      <c r="O17" s="1265"/>
      <c r="P17" s="1266"/>
      <c r="Q17" s="1267" t="e">
        <f t="shared" si="9"/>
        <v>#REF!</v>
      </c>
      <c r="R17" s="1271"/>
      <c r="S17" s="1272"/>
      <c r="T17" s="1273"/>
      <c r="U17" s="1274"/>
      <c r="V17" s="1350">
        <v>31950</v>
      </c>
      <c r="W17" s="1444" t="e">
        <f t="shared" si="4"/>
        <v>#REF!</v>
      </c>
    </row>
    <row r="18" spans="1:23" s="70" customFormat="1" hidden="1" outlineLevel="1">
      <c r="A18" s="1340">
        <f>К_ясень!F20</f>
        <v>38350</v>
      </c>
      <c r="B18" s="589">
        <v>14</v>
      </c>
      <c r="C18" s="1243" t="str">
        <f t="shared" si="5"/>
        <v>Strada11 триплекс</v>
      </c>
      <c r="D18" s="1257" t="e">
        <f t="shared" si="0"/>
        <v>#REF!</v>
      </c>
      <c r="E18" s="1337" t="e">
        <f t="shared" si="1"/>
        <v>#REF!</v>
      </c>
      <c r="F18" s="1257" t="e">
        <f t="shared" si="2"/>
        <v>#REF!</v>
      </c>
      <c r="G18" s="1246" t="e">
        <f t="shared" si="3"/>
        <v>#REF!</v>
      </c>
      <c r="H18" s="1357" t="e">
        <f t="shared" si="6"/>
        <v>#REF!</v>
      </c>
      <c r="I18" s="1358" t="e">
        <f t="shared" si="7"/>
        <v>#REF!</v>
      </c>
      <c r="J18" s="1313" t="str">
        <f>J52</f>
        <v>PLANUM 2102</v>
      </c>
      <c r="K18" s="1314">
        <f t="shared" si="12"/>
        <v>0</v>
      </c>
      <c r="L18" s="1315">
        <f>L52+$L$75</f>
        <v>0</v>
      </c>
      <c r="M18" s="1316"/>
      <c r="N18" s="1090"/>
      <c r="O18" s="1265"/>
      <c r="P18" s="1266"/>
      <c r="Q18" s="1267" t="e">
        <f t="shared" si="9"/>
        <v>#REF!</v>
      </c>
      <c r="R18" s="1271" t="str">
        <f>R52</f>
        <v>POLO5</v>
      </c>
      <c r="S18" s="1272">
        <f>T18*(1-$S$3)</f>
        <v>0</v>
      </c>
      <c r="T18" s="1273">
        <f>T52+$T$75</f>
        <v>0</v>
      </c>
      <c r="U18" s="1274" t="e">
        <f>G18/T18-1</f>
        <v>#REF!</v>
      </c>
      <c r="V18" s="1350">
        <f>V13</f>
        <v>31950</v>
      </c>
      <c r="W18" s="1444" t="e">
        <f t="shared" si="4"/>
        <v>#REF!</v>
      </c>
    </row>
    <row r="19" spans="1:23" s="70" customFormat="1" hidden="1" outlineLevel="1">
      <c r="A19" s="1340">
        <f>К_ясень!F27</f>
        <v>39900</v>
      </c>
      <c r="B19" s="589">
        <v>15</v>
      </c>
      <c r="C19" s="1243" t="str">
        <f t="shared" si="5"/>
        <v xml:space="preserve">Vario11 </v>
      </c>
      <c r="D19" s="1257" t="e">
        <f t="shared" si="0"/>
        <v>#REF!</v>
      </c>
      <c r="E19" s="1337" t="e">
        <f t="shared" si="1"/>
        <v>#REF!</v>
      </c>
      <c r="F19" s="1257" t="e">
        <f t="shared" si="2"/>
        <v>#REF!</v>
      </c>
      <c r="G19" s="1246" t="e">
        <f t="shared" si="3"/>
        <v>#REF!</v>
      </c>
      <c r="H19" s="1357" t="e">
        <f t="shared" si="6"/>
        <v>#REF!</v>
      </c>
      <c r="I19" s="1358" t="e">
        <f t="shared" si="7"/>
        <v>#REF!</v>
      </c>
      <c r="J19" s="1313" t="str">
        <f>J53</f>
        <v>PLANUM 4114</v>
      </c>
      <c r="K19" s="1314">
        <f t="shared" si="12"/>
        <v>0</v>
      </c>
      <c r="L19" s="1315">
        <f>L53+$L$75</f>
        <v>0</v>
      </c>
      <c r="M19" s="1316" t="e">
        <f>G19/L19-1</f>
        <v>#REF!</v>
      </c>
      <c r="N19" s="1090"/>
      <c r="O19" s="1265"/>
      <c r="P19" s="1266"/>
      <c r="Q19" s="1267" t="e">
        <f t="shared" si="9"/>
        <v>#REF!</v>
      </c>
      <c r="R19" s="1271" t="str">
        <f>R53</f>
        <v>BRUNO2</v>
      </c>
      <c r="S19" s="1272">
        <f>T19*(1-$S$3)</f>
        <v>0</v>
      </c>
      <c r="T19" s="1273">
        <f>T53+$T$75</f>
        <v>0</v>
      </c>
      <c r="U19" s="1274" t="e">
        <f>G19/T19-1</f>
        <v>#REF!</v>
      </c>
      <c r="V19" s="1350">
        <f>V18+4000</f>
        <v>35950</v>
      </c>
      <c r="W19" s="1444" t="e">
        <f t="shared" si="4"/>
        <v>#REF!</v>
      </c>
    </row>
    <row r="20" spans="1:23" s="70" customFormat="1" hidden="1" outlineLevel="1">
      <c r="A20" s="1340">
        <f>К_ясень!F13</f>
        <v>41850</v>
      </c>
      <c r="B20" s="589">
        <v>16</v>
      </c>
      <c r="C20" s="1243" t="str">
        <f t="shared" si="5"/>
        <v>Rino2</v>
      </c>
      <c r="D20" s="1257" t="e">
        <f t="shared" si="0"/>
        <v>#REF!</v>
      </c>
      <c r="E20" s="1337" t="e">
        <f t="shared" si="1"/>
        <v>#REF!</v>
      </c>
      <c r="F20" s="1257" t="e">
        <f t="shared" si="2"/>
        <v>#REF!</v>
      </c>
      <c r="G20" s="1246" t="e">
        <f t="shared" si="3"/>
        <v>#REF!</v>
      </c>
      <c r="H20" s="1357" t="e">
        <f t="shared" si="6"/>
        <v>#REF!</v>
      </c>
      <c r="I20" s="1358" t="e">
        <f t="shared" si="7"/>
        <v>#REF!</v>
      </c>
      <c r="J20" s="1313" t="str">
        <f>J54</f>
        <v>NEO CLASSIC 8002</v>
      </c>
      <c r="K20" s="1314">
        <f>L20*(1-$K$3)</f>
        <v>0</v>
      </c>
      <c r="L20" s="1315">
        <f>L54+$L$75</f>
        <v>0</v>
      </c>
      <c r="M20" s="1316" t="e">
        <f>G20/L20-1</f>
        <v>#REF!</v>
      </c>
      <c r="N20" s="1090" t="str">
        <f>N54</f>
        <v>Manchester M2</v>
      </c>
      <c r="O20" s="1265">
        <f>P20*(1-$O$3)</f>
        <v>0</v>
      </c>
      <c r="P20" s="1266">
        <f>P54+$P$78*2.5+$P$79*5</f>
        <v>0</v>
      </c>
      <c r="Q20" s="1267" t="e">
        <f t="shared" si="9"/>
        <v>#REF!</v>
      </c>
      <c r="R20" s="1271" t="str">
        <f>R54</f>
        <v>AGILITA2</v>
      </c>
      <c r="S20" s="1272">
        <f>T20*(1-$S$3)</f>
        <v>0</v>
      </c>
      <c r="T20" s="1273">
        <f>T54+$T$75</f>
        <v>0</v>
      </c>
      <c r="U20" s="1274" t="e">
        <f>G20/T20-1</f>
        <v>#REF!</v>
      </c>
      <c r="V20" s="1350">
        <v>26550</v>
      </c>
      <c r="W20" s="1444" t="e">
        <f t="shared" si="4"/>
        <v>#REF!</v>
      </c>
    </row>
    <row r="21" spans="1:23" s="70" customFormat="1" hidden="1" outlineLevel="1">
      <c r="A21" s="1340">
        <f>К_ясень!F28</f>
        <v>35450</v>
      </c>
      <c r="B21" s="589">
        <v>17</v>
      </c>
      <c r="C21" s="1243" t="str">
        <f>C56</f>
        <v>Porte01</v>
      </c>
      <c r="D21" s="1257">
        <f>D56+$D$75</f>
        <v>13343.75</v>
      </c>
      <c r="E21" s="1337">
        <f>E56+$E$75</f>
        <v>21875</v>
      </c>
      <c r="F21" s="1257">
        <f>F56+$F$75</f>
        <v>13343.75</v>
      </c>
      <c r="G21" s="1246">
        <f>G56+$G$75</f>
        <v>21875</v>
      </c>
      <c r="H21" s="1357">
        <f t="shared" si="6"/>
        <v>0</v>
      </c>
      <c r="I21" s="1358">
        <f t="shared" si="7"/>
        <v>0</v>
      </c>
      <c r="J21" s="1313" t="str">
        <f>J56</f>
        <v>PLANUM 010</v>
      </c>
      <c r="K21" s="1314">
        <f t="shared" si="12"/>
        <v>0</v>
      </c>
      <c r="L21" s="1315">
        <f>L56+$L$75</f>
        <v>0</v>
      </c>
      <c r="M21" s="1316" t="e">
        <f>G21/L21-1</f>
        <v>#DIV/0!</v>
      </c>
      <c r="N21" s="1090" t="str">
        <f>N56</f>
        <v>Галактика</v>
      </c>
      <c r="O21" s="1265">
        <f t="shared" si="8"/>
        <v>0</v>
      </c>
      <c r="P21" s="1266">
        <f>P56+$P$78*2.5+$P$79*5</f>
        <v>0</v>
      </c>
      <c r="Q21" s="1267" t="e">
        <f t="shared" si="9"/>
        <v>#DIV/0!</v>
      </c>
      <c r="R21" s="1271" t="str">
        <f>R56</f>
        <v>MARCO1</v>
      </c>
      <c r="S21" s="1272">
        <f t="shared" si="10"/>
        <v>0</v>
      </c>
      <c r="T21" s="1273">
        <f>T56+$T$75</f>
        <v>0</v>
      </c>
      <c r="U21" s="1274" t="e">
        <f t="shared" si="11"/>
        <v>#DIV/0!</v>
      </c>
      <c r="V21" s="1350">
        <v>24550</v>
      </c>
      <c r="W21" s="1444">
        <f>V21-G21</f>
        <v>2675</v>
      </c>
    </row>
    <row r="22" spans="1:23" s="70" customFormat="1" hidden="1" outlineLevel="1">
      <c r="A22" s="1340" t="e">
        <f>К_ясень!F29</f>
        <v>#REF!</v>
      </c>
      <c r="B22" s="589">
        <v>18</v>
      </c>
      <c r="C22" s="1243" t="str">
        <f>C57</f>
        <v>Porte02</v>
      </c>
      <c r="D22" s="1257" t="e">
        <f>D57+$D$75</f>
        <v>#REF!</v>
      </c>
      <c r="E22" s="1337" t="e">
        <f>E57+$E$75</f>
        <v>#REF!</v>
      </c>
      <c r="F22" s="1257" t="e">
        <f>F57+$F$75</f>
        <v>#REF!</v>
      </c>
      <c r="G22" s="1246" t="e">
        <f>G57+$G$75</f>
        <v>#REF!</v>
      </c>
      <c r="H22" s="1357" t="e">
        <f t="shared" si="6"/>
        <v>#REF!</v>
      </c>
      <c r="I22" s="1358" t="e">
        <f t="shared" si="7"/>
        <v>#REF!</v>
      </c>
      <c r="J22" s="1313"/>
      <c r="K22" s="1314"/>
      <c r="L22" s="1315"/>
      <c r="M22" s="1316"/>
      <c r="N22" s="1090" t="str">
        <f>N57</f>
        <v>Лайн1</v>
      </c>
      <c r="O22" s="1265">
        <f t="shared" si="8"/>
        <v>0</v>
      </c>
      <c r="P22" s="1266">
        <f>P57+$P$78*2.5+$P$79*5</f>
        <v>0</v>
      </c>
      <c r="Q22" s="1267" t="e">
        <f t="shared" si="9"/>
        <v>#REF!</v>
      </c>
      <c r="R22" s="1271" t="str">
        <f>R57</f>
        <v>MARCO2</v>
      </c>
      <c r="S22" s="1272">
        <f t="shared" si="10"/>
        <v>0</v>
      </c>
      <c r="T22" s="1273">
        <f>T57+$T$75</f>
        <v>0</v>
      </c>
      <c r="U22" s="1274" t="e">
        <f t="shared" si="11"/>
        <v>#REF!</v>
      </c>
      <c r="V22" s="1350">
        <v>24550</v>
      </c>
      <c r="W22" s="1444" t="e">
        <f t="shared" si="4"/>
        <v>#REF!</v>
      </c>
    </row>
    <row r="23" spans="1:23" s="70" customFormat="1" hidden="1" outlineLevel="1">
      <c r="A23" s="1340" t="e">
        <f>К_ясень!F30</f>
        <v>#REF!</v>
      </c>
      <c r="B23" s="589">
        <v>19</v>
      </c>
      <c r="C23" s="1243" t="str">
        <f>C58</f>
        <v>Porte03</v>
      </c>
      <c r="D23" s="1257" t="e">
        <f>D58+$D$75</f>
        <v>#REF!</v>
      </c>
      <c r="E23" s="1337" t="e">
        <f>E58+$E$75</f>
        <v>#REF!</v>
      </c>
      <c r="F23" s="1257" t="e">
        <f>F58+$F$75</f>
        <v>#REF!</v>
      </c>
      <c r="G23" s="1246" t="e">
        <f>G58+$G$75</f>
        <v>#REF!</v>
      </c>
      <c r="H23" s="1357" t="e">
        <f t="shared" si="6"/>
        <v>#REF!</v>
      </c>
      <c r="I23" s="1358" t="e">
        <f t="shared" si="7"/>
        <v>#REF!</v>
      </c>
      <c r="J23" s="1313"/>
      <c r="K23" s="1314"/>
      <c r="L23" s="1315"/>
      <c r="M23" s="1316"/>
      <c r="N23" s="1090" t="str">
        <f>N58</f>
        <v>Лайн3</v>
      </c>
      <c r="O23" s="1265">
        <f t="shared" si="8"/>
        <v>0</v>
      </c>
      <c r="P23" s="1266">
        <f>P58+$P$78*2.5+$P$79*5</f>
        <v>0</v>
      </c>
      <c r="Q23" s="1267" t="e">
        <f t="shared" si="9"/>
        <v>#REF!</v>
      </c>
      <c r="R23" s="1271" t="str">
        <f>R58</f>
        <v>MARCO4</v>
      </c>
      <c r="S23" s="1272">
        <f t="shared" si="10"/>
        <v>0</v>
      </c>
      <c r="T23" s="1273">
        <f>T58+$T$75</f>
        <v>0</v>
      </c>
      <c r="U23" s="1274" t="e">
        <f t="shared" si="11"/>
        <v>#REF!</v>
      </c>
      <c r="V23" s="1350">
        <v>24550</v>
      </c>
      <c r="W23" s="1444" t="e">
        <f t="shared" si="4"/>
        <v>#REF!</v>
      </c>
    </row>
    <row r="24" spans="1:23" s="70" customFormat="1" hidden="1" outlineLevel="1">
      <c r="A24" s="1340">
        <f>К_ясень!F31</f>
        <v>39250</v>
      </c>
      <c r="B24" s="589">
        <v>20</v>
      </c>
      <c r="C24" s="1243" t="str">
        <f>C60</f>
        <v>Vetro11</v>
      </c>
      <c r="D24" s="1257">
        <f>D60+$D$75</f>
        <v>15661.75</v>
      </c>
      <c r="E24" s="1337">
        <f>E60+$E$75</f>
        <v>25675</v>
      </c>
      <c r="F24" s="1257">
        <f>F60+$F$75</f>
        <v>15661.75</v>
      </c>
      <c r="G24" s="1246">
        <f>G60+$G$75</f>
        <v>25675</v>
      </c>
      <c r="H24" s="1357">
        <f t="shared" si="6"/>
        <v>0</v>
      </c>
      <c r="I24" s="1358">
        <f t="shared" si="7"/>
        <v>0</v>
      </c>
      <c r="J24" s="1313"/>
      <c r="K24" s="1314"/>
      <c r="L24" s="1315"/>
      <c r="M24" s="1316"/>
      <c r="N24" s="1090" t="str">
        <f>N60</f>
        <v>Вита</v>
      </c>
      <c r="O24" s="1265">
        <f t="shared" si="8"/>
        <v>0</v>
      </c>
      <c r="P24" s="1266">
        <f>P60+$P$78*2.5+$P$79*5</f>
        <v>0</v>
      </c>
      <c r="Q24" s="1267" t="e">
        <f t="shared" si="9"/>
        <v>#DIV/0!</v>
      </c>
      <c r="R24" s="1271" t="str">
        <f>R60</f>
        <v>X-LINE1</v>
      </c>
      <c r="S24" s="1272">
        <f t="shared" si="10"/>
        <v>0</v>
      </c>
      <c r="T24" s="1273">
        <f>T60+$T$75</f>
        <v>0</v>
      </c>
      <c r="U24" s="1274" t="e">
        <f t="shared" si="11"/>
        <v>#DIV/0!</v>
      </c>
      <c r="V24" s="1350">
        <v>28950</v>
      </c>
      <c r="W24" s="1444">
        <f t="shared" si="4"/>
        <v>3275</v>
      </c>
    </row>
    <row r="25" spans="1:23" s="70" customFormat="1" hidden="1" outlineLevel="1">
      <c r="A25" s="1340">
        <f>К_ясень!F32</f>
        <v>40950</v>
      </c>
      <c r="B25" s="589">
        <v>21</v>
      </c>
      <c r="C25" s="1243" t="str">
        <f>C61</f>
        <v>Vetro12</v>
      </c>
      <c r="D25" s="1257">
        <f>D61+$D$75</f>
        <v>16698.75</v>
      </c>
      <c r="E25" s="1337">
        <f>E61+$E$75</f>
        <v>27375</v>
      </c>
      <c r="F25" s="1257">
        <f>F61+$F$75</f>
        <v>16698.75</v>
      </c>
      <c r="G25" s="1246">
        <f>G61+$G$75</f>
        <v>27375</v>
      </c>
      <c r="H25" s="1357">
        <f t="shared" si="6"/>
        <v>0</v>
      </c>
      <c r="I25" s="1358">
        <f t="shared" si="7"/>
        <v>0</v>
      </c>
      <c r="J25" s="1313"/>
      <c r="K25" s="1314"/>
      <c r="L25" s="1315"/>
      <c r="M25" s="1316"/>
      <c r="N25" s="1090"/>
      <c r="O25" s="1265"/>
      <c r="P25" s="1266"/>
      <c r="Q25" s="1267" t="e">
        <f t="shared" si="9"/>
        <v>#DIV/0!</v>
      </c>
      <c r="R25" s="1271" t="str">
        <f>R61</f>
        <v>X-LINE4</v>
      </c>
      <c r="S25" s="1272">
        <f t="shared" si="10"/>
        <v>0</v>
      </c>
      <c r="T25" s="1273">
        <f>T61+$T$75</f>
        <v>0</v>
      </c>
      <c r="U25" s="1274" t="e">
        <f t="shared" si="11"/>
        <v>#DIV/0!</v>
      </c>
      <c r="V25" s="1350">
        <v>29950</v>
      </c>
      <c r="W25" s="1444">
        <f t="shared" si="4"/>
        <v>2575</v>
      </c>
    </row>
    <row r="26" spans="1:23" s="70" customFormat="1" hidden="1" outlineLevel="1">
      <c r="A26" s="1340">
        <f>К_ясень!F33</f>
        <v>40950</v>
      </c>
      <c r="B26" s="589">
        <v>22</v>
      </c>
      <c r="C26" s="1243" t="str">
        <f>C62</f>
        <v>Vetro14</v>
      </c>
      <c r="D26" s="1257">
        <f>D62+$D$75</f>
        <v>16698.75</v>
      </c>
      <c r="E26" s="1337">
        <f>E62+$E$75</f>
        <v>27375</v>
      </c>
      <c r="F26" s="1257">
        <f>F62+$F$75</f>
        <v>16698.75</v>
      </c>
      <c r="G26" s="1246">
        <f>G62+$G$75</f>
        <v>27375</v>
      </c>
      <c r="H26" s="1357">
        <f t="shared" si="6"/>
        <v>0</v>
      </c>
      <c r="I26" s="1358">
        <f t="shared" si="7"/>
        <v>0</v>
      </c>
      <c r="J26" s="1313"/>
      <c r="K26" s="1314"/>
      <c r="L26" s="1315"/>
      <c r="M26" s="1316"/>
      <c r="N26" s="1090" t="str">
        <f>N62</f>
        <v>Вита2</v>
      </c>
      <c r="O26" s="1265">
        <f t="shared" si="8"/>
        <v>0</v>
      </c>
      <c r="P26" s="1266">
        <f>P62+$P$78*2.5+$P$79*5</f>
        <v>0</v>
      </c>
      <c r="Q26" s="1267" t="e">
        <f t="shared" si="9"/>
        <v>#DIV/0!</v>
      </c>
      <c r="R26" s="1271" t="str">
        <f>R62</f>
        <v>X-LINE5</v>
      </c>
      <c r="S26" s="1272">
        <f t="shared" si="10"/>
        <v>0</v>
      </c>
      <c r="T26" s="1273">
        <f>T62+$T$75</f>
        <v>0</v>
      </c>
      <c r="U26" s="1274" t="e">
        <f t="shared" si="11"/>
        <v>#DIV/0!</v>
      </c>
      <c r="V26" s="1350">
        <v>28950</v>
      </c>
      <c r="W26" s="1444">
        <f t="shared" si="4"/>
        <v>1575</v>
      </c>
    </row>
    <row r="27" spans="1:23" s="70" customFormat="1" hidden="1" outlineLevel="1">
      <c r="A27" s="1340"/>
      <c r="B27" s="589">
        <v>23</v>
      </c>
      <c r="C27" s="1243" t="str">
        <f>C64</f>
        <v>Linea01 3 категория</v>
      </c>
      <c r="D27" s="1257" t="e">
        <f>D64+$D$75</f>
        <v>#REF!</v>
      </c>
      <c r="E27" s="1337" t="e">
        <f>E64+$E$75</f>
        <v>#REF!</v>
      </c>
      <c r="F27" s="1257" t="e">
        <f>F64+$F$75</f>
        <v>#REF!</v>
      </c>
      <c r="G27" s="1246" t="e">
        <f>G64+$G$75</f>
        <v>#REF!</v>
      </c>
      <c r="H27" s="1357" t="e">
        <f t="shared" si="6"/>
        <v>#REF!</v>
      </c>
      <c r="I27" s="1358" t="e">
        <f t="shared" si="7"/>
        <v>#REF!</v>
      </c>
      <c r="J27" s="1313" t="str">
        <f>J64</f>
        <v>LINEA 8043</v>
      </c>
      <c r="K27" s="1314">
        <f t="shared" si="12"/>
        <v>0</v>
      </c>
      <c r="L27" s="1315">
        <f>L64+$L$75</f>
        <v>0</v>
      </c>
      <c r="M27" s="1316" t="e">
        <f>G27/L27-1</f>
        <v>#REF!</v>
      </c>
      <c r="N27" s="1090" t="str">
        <f>N64</f>
        <v>Veсtor V1</v>
      </c>
      <c r="O27" s="1265">
        <f t="shared" si="8"/>
        <v>0</v>
      </c>
      <c r="P27" s="1266">
        <f>P64+$P$78*2.5+$P$79*5</f>
        <v>0</v>
      </c>
      <c r="Q27" s="1267" t="e">
        <f t="shared" si="9"/>
        <v>#REF!</v>
      </c>
      <c r="R27" s="1271"/>
      <c r="S27" s="1272"/>
      <c r="T27" s="1273"/>
      <c r="U27" s="1274"/>
      <c r="V27" s="1350">
        <v>25550</v>
      </c>
      <c r="W27" s="1444" t="e">
        <f t="shared" si="4"/>
        <v>#REF!</v>
      </c>
    </row>
    <row r="28" spans="1:23" s="70" customFormat="1" hidden="1" outlineLevel="1">
      <c r="A28" s="1340"/>
      <c r="B28" s="589">
        <v>24</v>
      </c>
      <c r="C28" s="1243" t="str">
        <f>C66</f>
        <v>Twist01 3 категория</v>
      </c>
      <c r="D28" s="1257" t="e">
        <f>D66+$D$75</f>
        <v>#REF!</v>
      </c>
      <c r="E28" s="1337" t="e">
        <f>E66+$E$75</f>
        <v>#REF!</v>
      </c>
      <c r="F28" s="1257" t="e">
        <f>F66+$F$75</f>
        <v>#REF!</v>
      </c>
      <c r="G28" s="1246" t="e">
        <f>G66+$G$75</f>
        <v>#REF!</v>
      </c>
      <c r="H28" s="1357" t="e">
        <f t="shared" si="6"/>
        <v>#REF!</v>
      </c>
      <c r="I28" s="1358" t="e">
        <f t="shared" si="7"/>
        <v>#REF!</v>
      </c>
      <c r="J28" s="1313" t="str">
        <f>J66</f>
        <v>LINEA 8048</v>
      </c>
      <c r="K28" s="1314">
        <f t="shared" si="12"/>
        <v>0</v>
      </c>
      <c r="L28" s="1315">
        <f>L66+$L$75</f>
        <v>0</v>
      </c>
      <c r="M28" s="1316" t="e">
        <f>G28/L28-1</f>
        <v>#REF!</v>
      </c>
      <c r="N28" s="1090" t="str">
        <f>N66</f>
        <v>Veсtor V4</v>
      </c>
      <c r="O28" s="1265">
        <f t="shared" si="8"/>
        <v>0</v>
      </c>
      <c r="P28" s="1266">
        <f>P66+$P$78*2.5+$P$79*5</f>
        <v>0</v>
      </c>
      <c r="Q28" s="1267" t="e">
        <f t="shared" si="9"/>
        <v>#REF!</v>
      </c>
      <c r="R28" s="1271" t="str">
        <f>R66</f>
        <v>ILLUSION/ RAYS</v>
      </c>
      <c r="S28" s="1272">
        <f t="shared" si="10"/>
        <v>0</v>
      </c>
      <c r="T28" s="1273">
        <f>T66+$T$75</f>
        <v>0</v>
      </c>
      <c r="U28" s="1274" t="e">
        <f t="shared" si="11"/>
        <v>#REF!</v>
      </c>
      <c r="V28" s="1350">
        <f>V27</f>
        <v>25550</v>
      </c>
      <c r="W28" s="1444" t="e">
        <f t="shared" si="4"/>
        <v>#REF!</v>
      </c>
    </row>
    <row r="29" spans="1:23" s="70" customFormat="1" hidden="1" outlineLevel="1">
      <c r="A29" s="1340"/>
      <c r="B29" s="589">
        <v>25</v>
      </c>
      <c r="C29" s="1243">
        <f>C67</f>
        <v>0</v>
      </c>
      <c r="D29" s="1257">
        <f>D67+$D$75</f>
        <v>4956.25</v>
      </c>
      <c r="E29" s="1337">
        <f>E67+$E$75</f>
        <v>8125</v>
      </c>
      <c r="F29" s="1257">
        <f>F67+$F$75</f>
        <v>4956.25</v>
      </c>
      <c r="G29" s="1246">
        <f>G67+$G$75</f>
        <v>8125</v>
      </c>
      <c r="H29" s="1357">
        <f t="shared" si="6"/>
        <v>0</v>
      </c>
      <c r="I29" s="1358">
        <f t="shared" si="7"/>
        <v>0</v>
      </c>
      <c r="J29" s="1313">
        <f>J67</f>
        <v>0</v>
      </c>
      <c r="K29" s="1314">
        <f t="shared" si="12"/>
        <v>0</v>
      </c>
      <c r="L29" s="1315">
        <f>L67+$L$75</f>
        <v>0</v>
      </c>
      <c r="M29" s="1316" t="e">
        <f>G29/L29-1</f>
        <v>#DIV/0!</v>
      </c>
      <c r="N29" s="1090"/>
      <c r="O29" s="1265"/>
      <c r="P29" s="1266"/>
      <c r="Q29" s="1267" t="e">
        <f t="shared" si="9"/>
        <v>#DIV/0!</v>
      </c>
      <c r="R29" s="1271"/>
      <c r="S29" s="1272"/>
      <c r="T29" s="1273"/>
      <c r="U29" s="1274"/>
      <c r="V29" s="1350">
        <f>V27</f>
        <v>25550</v>
      </c>
      <c r="W29" s="1444">
        <f t="shared" si="4"/>
        <v>17425</v>
      </c>
    </row>
    <row r="30" spans="1:23" s="70" customFormat="1" hidden="1" outlineLevel="1">
      <c r="A30" s="1340"/>
      <c r="B30" s="589">
        <v>26</v>
      </c>
      <c r="C30" s="1243">
        <f>C68</f>
        <v>0</v>
      </c>
      <c r="D30" s="1257">
        <f>D68+$D$75</f>
        <v>4956.25</v>
      </c>
      <c r="E30" s="1337">
        <f>E68+$E$75</f>
        <v>8125</v>
      </c>
      <c r="F30" s="1257">
        <f>F68+$F$75</f>
        <v>4956.25</v>
      </c>
      <c r="G30" s="1246">
        <f>G68+$G$75</f>
        <v>8125</v>
      </c>
      <c r="H30" s="1357">
        <f t="shared" si="6"/>
        <v>0</v>
      </c>
      <c r="I30" s="1358">
        <f t="shared" si="7"/>
        <v>0</v>
      </c>
      <c r="J30" s="1313">
        <f>J68</f>
        <v>0</v>
      </c>
      <c r="K30" s="1314"/>
      <c r="L30" s="1315"/>
      <c r="M30" s="1316"/>
      <c r="N30" s="1090"/>
      <c r="O30" s="1265"/>
      <c r="P30" s="1266"/>
      <c r="Q30" s="1267" t="e">
        <f t="shared" si="9"/>
        <v>#DIV/0!</v>
      </c>
      <c r="R30" s="1271"/>
      <c r="S30" s="1272"/>
      <c r="T30" s="1273"/>
      <c r="U30" s="1274"/>
      <c r="V30" s="1350">
        <f>V27</f>
        <v>25550</v>
      </c>
      <c r="W30" s="1444">
        <f t="shared" si="4"/>
        <v>17425</v>
      </c>
    </row>
    <row r="31" spans="1:23" s="70" customFormat="1" hidden="1" outlineLevel="1">
      <c r="A31" s="1340"/>
      <c r="B31" s="589">
        <v>27</v>
      </c>
      <c r="C31" s="1243" t="e">
        <f>#REF!</f>
        <v>#REF!</v>
      </c>
      <c r="D31" s="1257" t="e">
        <f>#REF!+$D$75</f>
        <v>#REF!</v>
      </c>
      <c r="E31" s="1337" t="e">
        <f>#REF!+$E$75</f>
        <v>#REF!</v>
      </c>
      <c r="F31" s="1257" t="e">
        <f>#REF!+$F$75</f>
        <v>#REF!</v>
      </c>
      <c r="G31" s="1246" t="e">
        <f>#REF!+$G$75</f>
        <v>#REF!</v>
      </c>
      <c r="H31" s="1357" t="e">
        <f t="shared" si="6"/>
        <v>#REF!</v>
      </c>
      <c r="I31" s="1358" t="e">
        <f t="shared" si="7"/>
        <v>#REF!</v>
      </c>
      <c r="J31" s="1313"/>
      <c r="K31" s="1314"/>
      <c r="L31" s="1315"/>
      <c r="M31" s="1316"/>
      <c r="N31" s="1090" t="e">
        <f>#REF!</f>
        <v>#REF!</v>
      </c>
      <c r="O31" s="1265" t="e">
        <f t="shared" si="8"/>
        <v>#REF!</v>
      </c>
      <c r="P31" s="1266" t="e">
        <f>#REF!+$P$78*2.5+$P$79*5</f>
        <v>#REF!</v>
      </c>
      <c r="Q31" s="1267" t="e">
        <f t="shared" si="9"/>
        <v>#REF!</v>
      </c>
      <c r="R31" s="1271"/>
      <c r="S31" s="1272"/>
      <c r="T31" s="1273"/>
      <c r="U31" s="1274"/>
      <c r="V31" s="1350">
        <v>49950</v>
      </c>
      <c r="W31" s="1444" t="e">
        <f t="shared" si="4"/>
        <v>#REF!</v>
      </c>
    </row>
    <row r="32" spans="1:23" s="70" customFormat="1" hidden="1" outlineLevel="1">
      <c r="A32" s="1340"/>
      <c r="B32" s="589">
        <v>28</v>
      </c>
      <c r="C32" s="1243">
        <f>C69</f>
        <v>0</v>
      </c>
      <c r="D32" s="1257">
        <f>D69+$D$75</f>
        <v>4956.25</v>
      </c>
      <c r="E32" s="1337">
        <f>E69+$E$75</f>
        <v>8125</v>
      </c>
      <c r="F32" s="1257">
        <f>F69+$F$75</f>
        <v>4956.25</v>
      </c>
      <c r="G32" s="1246">
        <f>G69+$G$75</f>
        <v>8125</v>
      </c>
      <c r="H32" s="1357">
        <f t="shared" si="6"/>
        <v>0</v>
      </c>
      <c r="I32" s="1358">
        <f t="shared" si="7"/>
        <v>0</v>
      </c>
      <c r="J32" s="1313"/>
      <c r="K32" s="1314"/>
      <c r="L32" s="1315"/>
      <c r="M32" s="1316"/>
      <c r="N32" s="1090">
        <f>N69</f>
        <v>0</v>
      </c>
      <c r="O32" s="1265">
        <f t="shared" si="8"/>
        <v>0</v>
      </c>
      <c r="P32" s="1266">
        <f>P69+$P$78*2.5+$P$79*5</f>
        <v>0</v>
      </c>
      <c r="Q32" s="1267" t="e">
        <f t="shared" si="9"/>
        <v>#DIV/0!</v>
      </c>
      <c r="R32" s="1271"/>
      <c r="S32" s="1272"/>
      <c r="T32" s="1273"/>
      <c r="U32" s="1274"/>
      <c r="V32" s="1350">
        <v>49950</v>
      </c>
      <c r="W32" s="1444">
        <f t="shared" si="4"/>
        <v>41825</v>
      </c>
    </row>
    <row r="33" spans="1:23" s="70" customFormat="1" hidden="1" outlineLevel="1">
      <c r="A33" s="1340"/>
      <c r="B33" s="589">
        <v>29</v>
      </c>
      <c r="C33" s="1243">
        <f>C70</f>
        <v>0</v>
      </c>
      <c r="D33" s="1257">
        <f>D70+$D$75</f>
        <v>4956.25</v>
      </c>
      <c r="E33" s="1337">
        <f>E70+$E$75</f>
        <v>8125</v>
      </c>
      <c r="F33" s="1257">
        <f>F70+$F$75</f>
        <v>4956.25</v>
      </c>
      <c r="G33" s="1246">
        <f>G70+$G$75</f>
        <v>8125</v>
      </c>
      <c r="H33" s="1357">
        <f t="shared" si="6"/>
        <v>0</v>
      </c>
      <c r="I33" s="1358">
        <f t="shared" si="7"/>
        <v>0</v>
      </c>
      <c r="J33" s="1313">
        <f>J70</f>
        <v>0</v>
      </c>
      <c r="K33" s="1314">
        <f t="shared" si="12"/>
        <v>0</v>
      </c>
      <c r="L33" s="1315">
        <f>L70+$L$75</f>
        <v>0</v>
      </c>
      <c r="M33" s="1316" t="e">
        <f>G33/L33-1</f>
        <v>#DIV/0!</v>
      </c>
      <c r="N33" s="1090"/>
      <c r="O33" s="1265"/>
      <c r="P33" s="1266"/>
      <c r="Q33" s="1267" t="e">
        <f t="shared" si="9"/>
        <v>#DIV/0!</v>
      </c>
      <c r="R33" s="1271"/>
      <c r="S33" s="1272"/>
      <c r="T33" s="1273"/>
      <c r="U33" s="1274"/>
      <c r="V33" s="1350">
        <v>34950</v>
      </c>
      <c r="W33" s="1444">
        <f t="shared" si="4"/>
        <v>26825</v>
      </c>
    </row>
    <row r="34" spans="1:23" s="11" customFormat="1" hidden="1" outlineLevel="1">
      <c r="A34" s="1340"/>
      <c r="B34" s="589">
        <v>30</v>
      </c>
      <c r="C34" s="1243">
        <f>C71</f>
        <v>0</v>
      </c>
      <c r="D34" s="1257">
        <f>D71+$D$75</f>
        <v>4956.25</v>
      </c>
      <c r="E34" s="1337">
        <f>E71+$E$75</f>
        <v>8125</v>
      </c>
      <c r="F34" s="1257">
        <f>F71+$F$75</f>
        <v>4956.25</v>
      </c>
      <c r="G34" s="1246">
        <f>G71+$G$75</f>
        <v>8125</v>
      </c>
      <c r="H34" s="1357">
        <f t="shared" si="6"/>
        <v>0</v>
      </c>
      <c r="I34" s="1358">
        <f t="shared" si="7"/>
        <v>0</v>
      </c>
      <c r="J34" s="1313">
        <f>J71</f>
        <v>0</v>
      </c>
      <c r="K34" s="1314">
        <f t="shared" si="12"/>
        <v>0</v>
      </c>
      <c r="L34" s="1315">
        <f>L71+$L$75</f>
        <v>0</v>
      </c>
      <c r="M34" s="1316" t="e">
        <f>G34/L34-1</f>
        <v>#DIV/0!</v>
      </c>
      <c r="N34" s="1090">
        <f>N71</f>
        <v>0</v>
      </c>
      <c r="O34" s="1265">
        <f t="shared" si="8"/>
        <v>0</v>
      </c>
      <c r="P34" s="1266">
        <f>P71+$P$78*2.5+$P$79*5</f>
        <v>0</v>
      </c>
      <c r="Q34" s="1267" t="e">
        <f t="shared" si="9"/>
        <v>#DIV/0!</v>
      </c>
      <c r="R34" s="1271"/>
      <c r="S34" s="1272"/>
      <c r="T34" s="1273"/>
      <c r="U34" s="1274"/>
      <c r="V34" s="1350">
        <v>39950</v>
      </c>
      <c r="W34" s="1444">
        <f t="shared" si="4"/>
        <v>31825</v>
      </c>
    </row>
    <row r="35" spans="1:23" collapsed="1">
      <c r="J35" s="1250"/>
      <c r="K35" s="1250"/>
      <c r="L35" s="1250"/>
      <c r="M35" s="1250"/>
      <c r="N35" s="1250"/>
      <c r="O35" s="1250"/>
      <c r="P35" s="1250"/>
      <c r="Q35" s="1250"/>
      <c r="R35" s="1250"/>
      <c r="S35" s="1250"/>
      <c r="T35" s="1250"/>
      <c r="U35" s="1250"/>
      <c r="V35" s="1349"/>
    </row>
    <row r="36" spans="1:23">
      <c r="C36" s="22" t="s">
        <v>912</v>
      </c>
      <c r="D36" s="22"/>
      <c r="J36" s="1250"/>
      <c r="K36" s="1250"/>
      <c r="L36" s="1250"/>
      <c r="M36" s="1250"/>
      <c r="N36" s="1250"/>
      <c r="O36" s="1250"/>
      <c r="P36" s="1250"/>
      <c r="Q36" s="1250"/>
      <c r="R36" s="1250"/>
      <c r="S36" s="1250"/>
      <c r="T36" s="1250"/>
      <c r="U36" s="1250"/>
      <c r="V36" s="1349"/>
    </row>
    <row r="37" spans="1:23" s="1234" customFormat="1" hidden="1" outlineLevel="1">
      <c r="C37" s="1291" t="str">
        <f>C3</f>
        <v>терем</v>
      </c>
      <c r="D37" s="1292">
        <f>D3</f>
        <v>0.39</v>
      </c>
      <c r="E37" s="1329">
        <f>E3</f>
        <v>1.639344262295082</v>
      </c>
      <c r="F37" s="1329"/>
      <c r="G37" s="1329">
        <f>G3</f>
        <v>0</v>
      </c>
      <c r="H37" s="1359"/>
      <c r="I37" s="1360"/>
      <c r="J37" s="1309" t="str">
        <f>J3</f>
        <v>волховец</v>
      </c>
      <c r="K37" s="1310">
        <f>K3</f>
        <v>0.33</v>
      </c>
      <c r="L37" s="1330" t="e">
        <f>L3</f>
        <v>#DIV/0!</v>
      </c>
      <c r="M37" s="1311"/>
      <c r="N37" s="1261" t="str">
        <f>N3</f>
        <v>дариано</v>
      </c>
      <c r="O37" s="1262">
        <f>O3</f>
        <v>0.39</v>
      </c>
      <c r="P37" s="1331" t="e">
        <f>P3</f>
        <v>#DIV/0!</v>
      </c>
      <c r="Q37" s="1263"/>
      <c r="R37" s="1268" t="str">
        <f>R3</f>
        <v>рада</v>
      </c>
      <c r="S37" s="1269">
        <f>S3</f>
        <v>0.41</v>
      </c>
      <c r="T37" s="1332" t="e">
        <f>T3</f>
        <v>#DIV/0!</v>
      </c>
      <c r="U37" s="1290"/>
      <c r="V37" s="1345"/>
      <c r="W37" s="1346"/>
    </row>
    <row r="38" spans="1:23" s="39" customFormat="1" ht="33.75" hidden="1" outlineLevel="1">
      <c r="A38" s="1306" t="s">
        <v>1972</v>
      </c>
      <c r="C38" s="1306" t="s">
        <v>1616</v>
      </c>
      <c r="D38" s="1306" t="s">
        <v>2136</v>
      </c>
      <c r="E38" s="1306" t="s">
        <v>2135</v>
      </c>
      <c r="F38" s="1306" t="s">
        <v>2137</v>
      </c>
      <c r="G38" s="1306" t="s">
        <v>2134</v>
      </c>
      <c r="H38" s="1306" t="s">
        <v>2139</v>
      </c>
      <c r="I38" s="1306" t="s">
        <v>2138</v>
      </c>
      <c r="J38" s="1312" t="s">
        <v>1616</v>
      </c>
      <c r="K38" s="1312" t="s">
        <v>1383</v>
      </c>
      <c r="L38" s="1312" t="s">
        <v>1618</v>
      </c>
      <c r="M38" s="1312" t="s">
        <v>1691</v>
      </c>
      <c r="N38" s="1264" t="s">
        <v>1616</v>
      </c>
      <c r="O38" s="1264" t="s">
        <v>1383</v>
      </c>
      <c r="P38" s="1264" t="s">
        <v>1618</v>
      </c>
      <c r="Q38" s="1264" t="s">
        <v>1691</v>
      </c>
      <c r="R38" s="1270" t="s">
        <v>1616</v>
      </c>
      <c r="S38" s="1270" t="s">
        <v>1383</v>
      </c>
      <c r="T38" s="1270" t="s">
        <v>1618</v>
      </c>
      <c r="U38" s="1270" t="s">
        <v>1620</v>
      </c>
      <c r="V38" s="1345"/>
      <c r="W38" s="1347"/>
    </row>
    <row r="39" spans="1:23" hidden="1" outlineLevel="1">
      <c r="A39" s="1340"/>
      <c r="B39" s="589">
        <v>1</v>
      </c>
      <c r="C39" s="1243"/>
      <c r="D39" s="1257">
        <f t="shared" ref="D39:D62" si="13">E39*(1-$D$37)</f>
        <v>0</v>
      </c>
      <c r="E39" s="1337"/>
      <c r="F39" s="1257">
        <f>G39*(1-$D$37)</f>
        <v>0</v>
      </c>
      <c r="G39" s="1246">
        <f t="shared" ref="G39:G62" si="14">E39+H39</f>
        <v>0</v>
      </c>
      <c r="H39" s="1357"/>
      <c r="I39" s="1358" t="e">
        <f t="shared" ref="I39:I62" si="15">G39/E39-1</f>
        <v>#DIV/0!</v>
      </c>
      <c r="J39" s="1313"/>
      <c r="K39" s="1314">
        <f>L39*(1-$K$37)</f>
        <v>0</v>
      </c>
      <c r="L39" s="1315"/>
      <c r="M39" s="1316"/>
      <c r="N39" s="1090" t="s">
        <v>1621</v>
      </c>
      <c r="O39" s="1265">
        <f>P39*(1-$O$37)</f>
        <v>0</v>
      </c>
      <c r="P39" s="1266"/>
      <c r="Q39" s="1267" t="e">
        <f>G39/P39-1</f>
        <v>#DIV/0!</v>
      </c>
      <c r="R39" s="1271" t="s">
        <v>2042</v>
      </c>
      <c r="S39" s="1272">
        <f>T39*(1-$S$37)</f>
        <v>0</v>
      </c>
      <c r="T39" s="1273"/>
      <c r="U39" s="1274" t="e">
        <f>G39/T39-1</f>
        <v>#DIV/0!</v>
      </c>
      <c r="W39" s="1350"/>
    </row>
    <row r="40" spans="1:23" hidden="1" outlineLevel="1">
      <c r="A40" s="1340"/>
      <c r="B40" s="589">
        <v>2</v>
      </c>
      <c r="C40" s="1243"/>
      <c r="D40" s="1257">
        <f t="shared" si="13"/>
        <v>0</v>
      </c>
      <c r="E40" s="1337"/>
      <c r="F40" s="1257">
        <f t="shared" ref="F40:F66" si="16">G40*(1-$D$37)</f>
        <v>0</v>
      </c>
      <c r="G40" s="1246">
        <f t="shared" si="14"/>
        <v>0</v>
      </c>
      <c r="H40" s="1357"/>
      <c r="I40" s="1358" t="e">
        <f t="shared" si="15"/>
        <v>#DIV/0!</v>
      </c>
      <c r="J40" s="1313"/>
      <c r="K40" s="1314"/>
      <c r="L40" s="1315"/>
      <c r="M40" s="1316"/>
      <c r="N40" s="1090" t="s">
        <v>1622</v>
      </c>
      <c r="O40" s="1265">
        <f>P40*(1-$O$37)</f>
        <v>0</v>
      </c>
      <c r="P40" s="1266"/>
      <c r="Q40" s="1267" t="e">
        <f t="shared" ref="Q40:Q66" si="17">G40/P40-1</f>
        <v>#DIV/0!</v>
      </c>
      <c r="R40" s="1271" t="s">
        <v>2043</v>
      </c>
      <c r="S40" s="1272">
        <f>T40*(1-$S$37)</f>
        <v>0</v>
      </c>
      <c r="T40" s="1273"/>
      <c r="U40" s="1274" t="e">
        <f t="shared" ref="U40:U66" si="18">G40/T40-1</f>
        <v>#DIV/0!</v>
      </c>
      <c r="W40" s="1350"/>
    </row>
    <row r="41" spans="1:23" hidden="1" outlineLevel="1">
      <c r="A41" s="1340"/>
      <c r="B41" s="589">
        <v>3</v>
      </c>
      <c r="C41" s="1243"/>
      <c r="D41" s="1257">
        <f t="shared" si="13"/>
        <v>0</v>
      </c>
      <c r="E41" s="1337"/>
      <c r="F41" s="1257">
        <f t="shared" si="16"/>
        <v>0</v>
      </c>
      <c r="G41" s="1246">
        <f t="shared" si="14"/>
        <v>0</v>
      </c>
      <c r="H41" s="1357"/>
      <c r="I41" s="1358" t="e">
        <f t="shared" si="15"/>
        <v>#DIV/0!</v>
      </c>
      <c r="J41" s="1313"/>
      <c r="K41" s="1314">
        <f>L41*(1-$K$37)</f>
        <v>0</v>
      </c>
      <c r="L41" s="1315"/>
      <c r="M41" s="1316"/>
      <c r="N41" s="1090" t="s">
        <v>1624</v>
      </c>
      <c r="O41" s="1265">
        <f>P41*(1-$O$37)</f>
        <v>0</v>
      </c>
      <c r="P41" s="1266"/>
      <c r="Q41" s="1267" t="e">
        <f t="shared" si="17"/>
        <v>#DIV/0!</v>
      </c>
      <c r="R41" s="1271"/>
      <c r="S41" s="1272"/>
      <c r="T41" s="1273"/>
      <c r="U41" s="1274"/>
      <c r="W41" s="1350"/>
    </row>
    <row r="42" spans="1:23" hidden="1" outlineLevel="1">
      <c r="A42" s="1340"/>
      <c r="B42" s="589">
        <v>4</v>
      </c>
      <c r="C42" s="1243"/>
      <c r="D42" s="1257">
        <f t="shared" si="13"/>
        <v>0</v>
      </c>
      <c r="E42" s="1337"/>
      <c r="F42" s="1257">
        <f t="shared" si="16"/>
        <v>0</v>
      </c>
      <c r="G42" s="1246">
        <f t="shared" si="14"/>
        <v>0</v>
      </c>
      <c r="H42" s="1357"/>
      <c r="I42" s="1358" t="e">
        <f t="shared" si="15"/>
        <v>#DIV/0!</v>
      </c>
      <c r="J42" s="1313"/>
      <c r="K42" s="1314">
        <f>L42*(1-$K$37)</f>
        <v>0</v>
      </c>
      <c r="L42" s="1315"/>
      <c r="M42" s="1316"/>
      <c r="N42" s="1090" t="s">
        <v>1625</v>
      </c>
      <c r="O42" s="1265">
        <f>P42*(1-$O$37)</f>
        <v>0</v>
      </c>
      <c r="P42" s="1266"/>
      <c r="Q42" s="1267" t="e">
        <f t="shared" si="17"/>
        <v>#DIV/0!</v>
      </c>
      <c r="R42" s="1271"/>
      <c r="S42" s="1272"/>
      <c r="T42" s="1273"/>
      <c r="U42" s="1274"/>
      <c r="W42" s="1350"/>
    </row>
    <row r="43" spans="1:23" s="22" customFormat="1" hidden="1" outlineLevel="1">
      <c r="A43" s="1340"/>
      <c r="B43" s="22">
        <v>5</v>
      </c>
      <c r="C43" s="1443"/>
      <c r="D43" s="1430">
        <f t="shared" si="13"/>
        <v>0</v>
      </c>
      <c r="E43" s="1246"/>
      <c r="F43" s="1430">
        <f t="shared" si="16"/>
        <v>0</v>
      </c>
      <c r="G43" s="1246">
        <f t="shared" si="14"/>
        <v>0</v>
      </c>
      <c r="H43" s="1431"/>
      <c r="I43" s="1432" t="e">
        <f t="shared" si="15"/>
        <v>#DIV/0!</v>
      </c>
      <c r="J43" s="1433" t="s">
        <v>1740</v>
      </c>
      <c r="K43" s="1434">
        <f>L43*(1-$K$37)</f>
        <v>0</v>
      </c>
      <c r="L43" s="1372"/>
      <c r="M43" s="1435" t="e">
        <f>G43/L43-1</f>
        <v>#DIV/0!</v>
      </c>
      <c r="N43" s="1436"/>
      <c r="O43" s="1437"/>
      <c r="P43" s="1373"/>
      <c r="Q43" s="1438" t="e">
        <f t="shared" si="17"/>
        <v>#DIV/0!</v>
      </c>
      <c r="R43" s="1439"/>
      <c r="S43" s="1440"/>
      <c r="T43" s="1374"/>
      <c r="U43" s="1441"/>
      <c r="V43" s="1391"/>
      <c r="W43" s="1442"/>
    </row>
    <row r="44" spans="1:23" s="22" customFormat="1" hidden="1" outlineLevel="1">
      <c r="A44" s="1340"/>
      <c r="B44" s="22">
        <v>6</v>
      </c>
      <c r="C44" s="1443"/>
      <c r="D44" s="1430">
        <f t="shared" si="13"/>
        <v>0</v>
      </c>
      <c r="E44" s="1246"/>
      <c r="F44" s="1430">
        <f t="shared" si="16"/>
        <v>0</v>
      </c>
      <c r="G44" s="1246">
        <f t="shared" si="14"/>
        <v>0</v>
      </c>
      <c r="H44" s="1431"/>
      <c r="I44" s="1432" t="e">
        <f t="shared" si="15"/>
        <v>#DIV/0!</v>
      </c>
      <c r="J44" s="1433"/>
      <c r="K44" s="1434">
        <f>L44*(1-$K$37)</f>
        <v>0</v>
      </c>
      <c r="L44" s="1372"/>
      <c r="M44" s="1435"/>
      <c r="N44" s="1436" t="s">
        <v>1626</v>
      </c>
      <c r="O44" s="1437">
        <f t="shared" ref="O44:O50" si="19">P44*(1-$O$37)</f>
        <v>0</v>
      </c>
      <c r="P44" s="1373"/>
      <c r="Q44" s="1438" t="e">
        <f t="shared" si="17"/>
        <v>#DIV/0!</v>
      </c>
      <c r="R44" s="1439"/>
      <c r="S44" s="1440"/>
      <c r="T44" s="1374"/>
      <c r="U44" s="1441"/>
      <c r="V44" s="1391"/>
      <c r="W44" s="1442"/>
    </row>
    <row r="45" spans="1:23" s="22" customFormat="1" hidden="1" outlineLevel="1">
      <c r="A45" s="1340"/>
      <c r="B45" s="22">
        <v>7</v>
      </c>
      <c r="C45" s="1443"/>
      <c r="D45" s="1430">
        <f t="shared" si="13"/>
        <v>0</v>
      </c>
      <c r="E45" s="1246"/>
      <c r="F45" s="1430">
        <f t="shared" si="16"/>
        <v>0</v>
      </c>
      <c r="G45" s="1246">
        <f t="shared" si="14"/>
        <v>0</v>
      </c>
      <c r="H45" s="1431"/>
      <c r="I45" s="1432" t="e">
        <f t="shared" si="15"/>
        <v>#DIV/0!</v>
      </c>
      <c r="J45" s="1433"/>
      <c r="K45" s="1434"/>
      <c r="L45" s="1372"/>
      <c r="M45" s="1435"/>
      <c r="N45" s="1436"/>
      <c r="O45" s="1437"/>
      <c r="P45" s="1373"/>
      <c r="Q45" s="1438" t="e">
        <f t="shared" si="17"/>
        <v>#DIV/0!</v>
      </c>
      <c r="R45" s="1439"/>
      <c r="S45" s="1440"/>
      <c r="T45" s="1374"/>
      <c r="U45" s="1441"/>
      <c r="V45" s="1391"/>
      <c r="W45" s="1442"/>
    </row>
    <row r="46" spans="1:23" s="22" customFormat="1" hidden="1" outlineLevel="1">
      <c r="A46" s="1340"/>
      <c r="B46" s="22">
        <v>8</v>
      </c>
      <c r="C46" s="1443"/>
      <c r="D46" s="1430">
        <f t="shared" si="13"/>
        <v>0</v>
      </c>
      <c r="E46" s="1246"/>
      <c r="F46" s="1430">
        <f t="shared" si="16"/>
        <v>0</v>
      </c>
      <c r="G46" s="1246">
        <f t="shared" si="14"/>
        <v>0</v>
      </c>
      <c r="H46" s="1431"/>
      <c r="I46" s="1432" t="e">
        <f t="shared" si="15"/>
        <v>#DIV/0!</v>
      </c>
      <c r="J46" s="1433"/>
      <c r="K46" s="1434"/>
      <c r="L46" s="1372"/>
      <c r="M46" s="1435"/>
      <c r="N46" s="1436" t="s">
        <v>1628</v>
      </c>
      <c r="O46" s="1437">
        <f t="shared" si="19"/>
        <v>0</v>
      </c>
      <c r="P46" s="1373"/>
      <c r="Q46" s="1438" t="e">
        <f t="shared" si="17"/>
        <v>#DIV/0!</v>
      </c>
      <c r="R46" s="1439" t="s">
        <v>2044</v>
      </c>
      <c r="S46" s="1440">
        <f>T46*(1-$S$37)</f>
        <v>0</v>
      </c>
      <c r="T46" s="1374"/>
      <c r="U46" s="1441" t="e">
        <f t="shared" si="18"/>
        <v>#DIV/0!</v>
      </c>
      <c r="V46" s="1391"/>
      <c r="W46" s="1442"/>
    </row>
    <row r="47" spans="1:23" s="22" customFormat="1" hidden="1" outlineLevel="1">
      <c r="A47" s="1340">
        <f>К_ясень!F48</f>
        <v>22000</v>
      </c>
      <c r="B47" s="22">
        <v>9</v>
      </c>
      <c r="C47" s="1443" t="s">
        <v>1632</v>
      </c>
      <c r="D47" s="1430" t="e">
        <f t="shared" si="13"/>
        <v>#REF!</v>
      </c>
      <c r="E47" s="1246" t="e">
        <f>Neoclassic!#REF!</f>
        <v>#REF!</v>
      </c>
      <c r="F47" s="1430" t="e">
        <f t="shared" si="16"/>
        <v>#REF!</v>
      </c>
      <c r="G47" s="1246" t="e">
        <f t="shared" si="14"/>
        <v>#REF!</v>
      </c>
      <c r="H47" s="1431"/>
      <c r="I47" s="1432" t="e">
        <f t="shared" si="15"/>
        <v>#REF!</v>
      </c>
      <c r="J47" s="1433" t="s">
        <v>1633</v>
      </c>
      <c r="K47" s="1434">
        <f>L47*(1-$K$37)</f>
        <v>0</v>
      </c>
      <c r="L47" s="1372"/>
      <c r="M47" s="1435" t="e">
        <f>G47/L47-1</f>
        <v>#REF!</v>
      </c>
      <c r="N47" s="1436" t="s">
        <v>1634</v>
      </c>
      <c r="O47" s="1437">
        <f t="shared" si="19"/>
        <v>0</v>
      </c>
      <c r="P47" s="1373"/>
      <c r="Q47" s="1438" t="e">
        <f t="shared" si="17"/>
        <v>#REF!</v>
      </c>
      <c r="R47" s="1439" t="s">
        <v>2037</v>
      </c>
      <c r="S47" s="1440">
        <f>T47*(1-$S$37)</f>
        <v>0</v>
      </c>
      <c r="T47" s="1374"/>
      <c r="U47" s="1441" t="e">
        <f t="shared" si="18"/>
        <v>#REF!</v>
      </c>
      <c r="V47" s="1391"/>
      <c r="W47" s="1442"/>
    </row>
    <row r="48" spans="1:23" ht="15" hidden="1" customHeight="1" outlineLevel="1">
      <c r="A48" s="1340">
        <f>К_ясень!F49</f>
        <v>0</v>
      </c>
      <c r="B48" s="589">
        <v>11</v>
      </c>
      <c r="C48" s="1243" t="s">
        <v>1637</v>
      </c>
      <c r="D48" s="1257" t="e">
        <f t="shared" si="13"/>
        <v>#REF!</v>
      </c>
      <c r="E48" s="1337" t="e">
        <f>Neoclassic!#REF!</f>
        <v>#REF!</v>
      </c>
      <c r="F48" s="1257" t="e">
        <f>G48*(1-$D$37)</f>
        <v>#REF!</v>
      </c>
      <c r="G48" s="1246" t="e">
        <f>E48+H48</f>
        <v>#REF!</v>
      </c>
      <c r="H48" s="1357"/>
      <c r="I48" s="1358" t="e">
        <f>G48/E48-1</f>
        <v>#REF!</v>
      </c>
      <c r="J48" s="1317" t="s">
        <v>1638</v>
      </c>
      <c r="K48" s="1314">
        <f>L48*(1-$K$37)</f>
        <v>0</v>
      </c>
      <c r="L48" s="1315"/>
      <c r="M48" s="1316" t="e">
        <f>G48/L48-1</f>
        <v>#REF!</v>
      </c>
      <c r="N48" s="1097" t="s">
        <v>1639</v>
      </c>
      <c r="O48" s="1265">
        <f>P48*(1-$O$37)</f>
        <v>0</v>
      </c>
      <c r="P48" s="1266"/>
      <c r="Q48" s="1267" t="e">
        <f>G48/P48-1</f>
        <v>#REF!</v>
      </c>
      <c r="R48" s="1275" t="s">
        <v>2045</v>
      </c>
      <c r="S48" s="1272">
        <f>T48*(1-$S$37)</f>
        <v>0</v>
      </c>
      <c r="T48" s="1273"/>
      <c r="U48" s="1274" t="e">
        <f>G48/T48-1</f>
        <v>#REF!</v>
      </c>
      <c r="W48" s="1350"/>
    </row>
    <row r="49" spans="1:25" hidden="1" outlineLevel="1">
      <c r="A49" s="1340" t="e">
        <f>К_ясень!F50</f>
        <v>#REF!</v>
      </c>
      <c r="B49" s="589">
        <v>12</v>
      </c>
      <c r="C49" s="1251" t="s">
        <v>1640</v>
      </c>
      <c r="D49" s="1257" t="e">
        <f t="shared" si="13"/>
        <v>#REF!</v>
      </c>
      <c r="E49" s="1337" t="e">
        <f>Neoclassic!#REF!</f>
        <v>#REF!</v>
      </c>
      <c r="F49" s="1257" t="e">
        <f>G49*(1-$D$37)</f>
        <v>#REF!</v>
      </c>
      <c r="G49" s="1246" t="e">
        <f>E49+H49</f>
        <v>#REF!</v>
      </c>
      <c r="H49" s="1357"/>
      <c r="I49" s="1358" t="e">
        <f>G49/E49-1</f>
        <v>#REF!</v>
      </c>
      <c r="J49" s="1317" t="s">
        <v>1641</v>
      </c>
      <c r="K49" s="1314">
        <f>L49*(1-$K$37)</f>
        <v>0</v>
      </c>
      <c r="L49" s="1315"/>
      <c r="M49" s="1316" t="e">
        <f>G49/L49-1</f>
        <v>#REF!</v>
      </c>
      <c r="N49" s="1097" t="s">
        <v>1642</v>
      </c>
      <c r="O49" s="1265">
        <f>P49*(1-$O$37)</f>
        <v>0</v>
      </c>
      <c r="P49" s="1266"/>
      <c r="Q49" s="1267" t="e">
        <f>G49/P49-1</f>
        <v>#REF!</v>
      </c>
      <c r="R49" s="1275" t="s">
        <v>2046</v>
      </c>
      <c r="S49" s="1272">
        <f>T49*(1-$S$37)</f>
        <v>0</v>
      </c>
      <c r="T49" s="1273"/>
      <c r="U49" s="1274" t="e">
        <f>G49/T49-1</f>
        <v>#REF!</v>
      </c>
      <c r="W49" s="1350"/>
    </row>
    <row r="50" spans="1:25" hidden="1" outlineLevel="1">
      <c r="A50" s="1340">
        <f>К_ясень!F51</f>
        <v>22000</v>
      </c>
      <c r="B50" s="589">
        <v>10</v>
      </c>
      <c r="C50" s="1243" t="s">
        <v>1635</v>
      </c>
      <c r="D50" s="1257" t="e">
        <f t="shared" si="13"/>
        <v>#REF!</v>
      </c>
      <c r="E50" s="1337" t="e">
        <f>Neoclassic!#REF!</f>
        <v>#REF!</v>
      </c>
      <c r="F50" s="1257" t="e">
        <f t="shared" si="16"/>
        <v>#REF!</v>
      </c>
      <c r="G50" s="1246" t="e">
        <f t="shared" si="14"/>
        <v>#REF!</v>
      </c>
      <c r="H50" s="1357"/>
      <c r="I50" s="1358" t="e">
        <f t="shared" si="15"/>
        <v>#REF!</v>
      </c>
      <c r="J50" s="1317"/>
      <c r="K50" s="1314"/>
      <c r="L50" s="1315"/>
      <c r="M50" s="1316"/>
      <c r="N50" s="1097" t="s">
        <v>1636</v>
      </c>
      <c r="O50" s="1265">
        <f t="shared" si="19"/>
        <v>0</v>
      </c>
      <c r="P50" s="1266"/>
      <c r="Q50" s="1267" t="e">
        <f t="shared" si="17"/>
        <v>#REF!</v>
      </c>
      <c r="R50" s="1275" t="s">
        <v>2038</v>
      </c>
      <c r="S50" s="1272">
        <f>T50*(1-$S$37)</f>
        <v>0</v>
      </c>
      <c r="T50" s="1273"/>
      <c r="U50" s="1274" t="e">
        <f t="shared" si="18"/>
        <v>#REF!</v>
      </c>
      <c r="W50" s="1350"/>
    </row>
    <row r="51" spans="1:25" hidden="1" outlineLevel="1">
      <c r="A51" s="1340" t="e">
        <f>К_ясень!F52</f>
        <v>#REF!</v>
      </c>
      <c r="B51" s="589">
        <v>13</v>
      </c>
      <c r="C51" s="1251" t="s">
        <v>1643</v>
      </c>
      <c r="D51" s="1257" t="e">
        <f t="shared" si="13"/>
        <v>#REF!</v>
      </c>
      <c r="E51" s="1337" t="e">
        <f>Neoclassic!#REF!</f>
        <v>#REF!</v>
      </c>
      <c r="F51" s="1257" t="e">
        <f t="shared" si="16"/>
        <v>#REF!</v>
      </c>
      <c r="G51" s="1246" t="e">
        <f t="shared" si="14"/>
        <v>#REF!</v>
      </c>
      <c r="H51" s="1357"/>
      <c r="I51" s="1358" t="e">
        <f t="shared" si="15"/>
        <v>#REF!</v>
      </c>
      <c r="J51" s="1317" t="s">
        <v>1644</v>
      </c>
      <c r="K51" s="1314">
        <f>L51*(1-$K$37)</f>
        <v>0</v>
      </c>
      <c r="L51" s="1315"/>
      <c r="M51" s="1316" t="e">
        <f>G51/L51-1</f>
        <v>#REF!</v>
      </c>
      <c r="N51" s="1097"/>
      <c r="O51" s="1265"/>
      <c r="P51" s="1266"/>
      <c r="Q51" s="1267" t="e">
        <f t="shared" si="17"/>
        <v>#REF!</v>
      </c>
      <c r="R51" s="1275"/>
      <c r="S51" s="1272"/>
      <c r="T51" s="1273"/>
      <c r="U51" s="1274"/>
      <c r="W51" s="1350"/>
    </row>
    <row r="52" spans="1:25" hidden="1" outlineLevel="1">
      <c r="A52" s="1340">
        <f>К_ясень!F54</f>
        <v>25100</v>
      </c>
      <c r="B52" s="589">
        <v>14</v>
      </c>
      <c r="C52" s="1251" t="s">
        <v>2154</v>
      </c>
      <c r="D52" s="1257" t="e">
        <f t="shared" si="13"/>
        <v>#REF!</v>
      </c>
      <c r="E52" s="1337" t="e">
        <f>Standart!#REF!</f>
        <v>#REF!</v>
      </c>
      <c r="F52" s="1257" t="e">
        <f t="shared" si="16"/>
        <v>#REF!</v>
      </c>
      <c r="G52" s="1246" t="e">
        <f t="shared" si="14"/>
        <v>#REF!</v>
      </c>
      <c r="H52" s="1357"/>
      <c r="I52" s="1358" t="e">
        <f t="shared" si="15"/>
        <v>#REF!</v>
      </c>
      <c r="J52" s="1317" t="s">
        <v>1645</v>
      </c>
      <c r="K52" s="1314">
        <f>L52*(1-$K$37)</f>
        <v>0</v>
      </c>
      <c r="L52" s="1315"/>
      <c r="M52" s="1316" t="e">
        <f>G52/L52-1</f>
        <v>#REF!</v>
      </c>
      <c r="N52" s="1097"/>
      <c r="O52" s="1265"/>
      <c r="P52" s="1266"/>
      <c r="Q52" s="1267" t="e">
        <f t="shared" si="17"/>
        <v>#REF!</v>
      </c>
      <c r="R52" s="1275" t="s">
        <v>2101</v>
      </c>
      <c r="S52" s="1272">
        <f>T52*(1-$S$37)</f>
        <v>0</v>
      </c>
      <c r="T52" s="1273"/>
      <c r="U52" s="1274" t="e">
        <f t="shared" si="18"/>
        <v>#REF!</v>
      </c>
      <c r="W52" s="1350"/>
    </row>
    <row r="53" spans="1:25" hidden="1" outlineLevel="1">
      <c r="A53" s="1340">
        <f>К_ясень!F61</f>
        <v>26650</v>
      </c>
      <c r="B53" s="589">
        <v>15</v>
      </c>
      <c r="C53" s="1251" t="s">
        <v>1360</v>
      </c>
      <c r="D53" s="1257" t="e">
        <f t="shared" si="13"/>
        <v>#REF!</v>
      </c>
      <c r="E53" s="1337" t="e">
        <f>Standart!#REF!</f>
        <v>#REF!</v>
      </c>
      <c r="F53" s="1257" t="e">
        <f t="shared" si="16"/>
        <v>#REF!</v>
      </c>
      <c r="G53" s="1246" t="e">
        <f t="shared" si="14"/>
        <v>#REF!</v>
      </c>
      <c r="H53" s="1357"/>
      <c r="I53" s="1358" t="e">
        <f t="shared" si="15"/>
        <v>#REF!</v>
      </c>
      <c r="J53" s="1317" t="s">
        <v>1646</v>
      </c>
      <c r="K53" s="1314">
        <f>L53*(1-$K$37)</f>
        <v>0</v>
      </c>
      <c r="L53" s="1315"/>
      <c r="M53" s="1316" t="e">
        <f>G53/L53-1</f>
        <v>#REF!</v>
      </c>
      <c r="N53" s="1097"/>
      <c r="O53" s="1265"/>
      <c r="P53" s="1266"/>
      <c r="Q53" s="1267" t="e">
        <f t="shared" si="17"/>
        <v>#REF!</v>
      </c>
      <c r="R53" s="1275" t="s">
        <v>2098</v>
      </c>
      <c r="S53" s="1272">
        <f>T53*(1-$S$37)</f>
        <v>0</v>
      </c>
      <c r="T53" s="1273"/>
      <c r="U53" s="1274" t="e">
        <f t="shared" si="18"/>
        <v>#REF!</v>
      </c>
      <c r="W53" s="1350"/>
    </row>
    <row r="54" spans="1:25" s="22" customFormat="1" hidden="1" outlineLevel="1">
      <c r="A54" s="1340">
        <f>К_ясень!F47</f>
        <v>28600</v>
      </c>
      <c r="B54" s="589">
        <v>16</v>
      </c>
      <c r="C54" s="1429" t="s">
        <v>1629</v>
      </c>
      <c r="D54" s="1430" t="e">
        <f t="shared" si="13"/>
        <v>#REF!</v>
      </c>
      <c r="E54" s="1249" t="e">
        <f>Fusion!#REF!</f>
        <v>#REF!</v>
      </c>
      <c r="F54" s="1430" t="e">
        <f t="shared" si="16"/>
        <v>#REF!</v>
      </c>
      <c r="G54" s="1246" t="e">
        <f t="shared" si="14"/>
        <v>#REF!</v>
      </c>
      <c r="H54" s="1431"/>
      <c r="I54" s="1432" t="e">
        <f t="shared" si="15"/>
        <v>#REF!</v>
      </c>
      <c r="J54" s="1433" t="s">
        <v>1630</v>
      </c>
      <c r="K54" s="1434">
        <f>L54*(1-$K$37)</f>
        <v>0</v>
      </c>
      <c r="L54" s="1372"/>
      <c r="M54" s="1435" t="e">
        <f>G54/L54-1</f>
        <v>#REF!</v>
      </c>
      <c r="N54" s="1436" t="s">
        <v>1631</v>
      </c>
      <c r="O54" s="1437">
        <f>P54*(1-$O$37)</f>
        <v>0</v>
      </c>
      <c r="P54" s="1373"/>
      <c r="Q54" s="1438" t="e">
        <f t="shared" si="17"/>
        <v>#REF!</v>
      </c>
      <c r="R54" s="1439" t="s">
        <v>2097</v>
      </c>
      <c r="S54" s="1440">
        <f>T54*(1-$S$37)</f>
        <v>0</v>
      </c>
      <c r="T54" s="1374"/>
      <c r="U54" s="1441" t="e">
        <f t="shared" si="18"/>
        <v>#REF!</v>
      </c>
      <c r="V54" s="1391"/>
      <c r="W54" s="1442"/>
      <c r="Y54" s="589"/>
    </row>
    <row r="55" spans="1:25" s="22" customFormat="1" hidden="1" outlineLevel="1">
      <c r="A55" s="1340"/>
      <c r="B55" s="589"/>
      <c r="C55" s="1429" t="s">
        <v>2155</v>
      </c>
      <c r="D55" s="1430" t="e">
        <f t="shared" si="13"/>
        <v>#REF!</v>
      </c>
      <c r="E55" s="1249" t="e">
        <f>CEILING(E54*1.15, 50)</f>
        <v>#REF!</v>
      </c>
      <c r="F55" s="1430" t="e">
        <f t="shared" si="16"/>
        <v>#REF!</v>
      </c>
      <c r="G55" s="1246" t="e">
        <f>E55+H55</f>
        <v>#REF!</v>
      </c>
      <c r="H55" s="1431"/>
      <c r="I55" s="1432" t="e">
        <f>G55/E55-1</f>
        <v>#REF!</v>
      </c>
      <c r="J55" s="1433"/>
      <c r="K55" s="1434"/>
      <c r="L55" s="1372"/>
      <c r="M55" s="1435"/>
      <c r="N55" s="1436"/>
      <c r="O55" s="1437"/>
      <c r="P55" s="1373"/>
      <c r="Q55" s="1438"/>
      <c r="R55" s="1439"/>
      <c r="S55" s="1440"/>
      <c r="T55" s="1374"/>
      <c r="U55" s="1441"/>
      <c r="V55" s="1391"/>
      <c r="W55" s="1442"/>
      <c r="Y55" s="589"/>
    </row>
    <row r="56" spans="1:25" s="22" customFormat="1" hidden="1" outlineLevel="1">
      <c r="A56" s="1340">
        <f>К_ясень!F62</f>
        <v>22200</v>
      </c>
      <c r="B56" s="22">
        <v>17</v>
      </c>
      <c r="C56" s="1429" t="s">
        <v>1647</v>
      </c>
      <c r="D56" s="1430">
        <f t="shared" si="13"/>
        <v>8387.5</v>
      </c>
      <c r="E56" s="1249">
        <f>Techno_Porte!G10</f>
        <v>13750</v>
      </c>
      <c r="F56" s="1430">
        <f t="shared" si="16"/>
        <v>8387.5</v>
      </c>
      <c r="G56" s="1246">
        <f>E56+H56</f>
        <v>13750</v>
      </c>
      <c r="H56" s="1431"/>
      <c r="I56" s="1432">
        <f>G56/E56-1</f>
        <v>0</v>
      </c>
      <c r="J56" s="1433" t="s">
        <v>1648</v>
      </c>
      <c r="K56" s="1434">
        <f>L56*(1-$K$37)</f>
        <v>0</v>
      </c>
      <c r="L56" s="1372"/>
      <c r="M56" s="1435" t="e">
        <f>G56/L56-1</f>
        <v>#DIV/0!</v>
      </c>
      <c r="N56" s="1436" t="s">
        <v>1649</v>
      </c>
      <c r="O56" s="1437">
        <f>P56*(1-$O$37)</f>
        <v>0</v>
      </c>
      <c r="P56" s="1373"/>
      <c r="Q56" s="1438" t="e">
        <f t="shared" si="17"/>
        <v>#DIV/0!</v>
      </c>
      <c r="R56" s="1439" t="s">
        <v>1650</v>
      </c>
      <c r="S56" s="1440">
        <f>T56*(1-$S$37)</f>
        <v>0</v>
      </c>
      <c r="T56" s="1374"/>
      <c r="U56" s="1441" t="e">
        <f t="shared" si="18"/>
        <v>#DIV/0!</v>
      </c>
      <c r="V56" s="1391"/>
      <c r="W56" s="1442"/>
    </row>
    <row r="57" spans="1:25" hidden="1" outlineLevel="1">
      <c r="A57" s="1340" t="e">
        <f>К_ясень!F63</f>
        <v>#REF!</v>
      </c>
      <c r="B57" s="589">
        <v>18</v>
      </c>
      <c r="C57" s="1258" t="s">
        <v>1651</v>
      </c>
      <c r="D57" s="1257" t="e">
        <f t="shared" si="13"/>
        <v>#REF!</v>
      </c>
      <c r="E57" s="1338" t="e">
        <f>Techno_Porte!#REF!</f>
        <v>#REF!</v>
      </c>
      <c r="F57" s="1257" t="e">
        <f t="shared" si="16"/>
        <v>#REF!</v>
      </c>
      <c r="G57" s="1246" t="e">
        <f t="shared" si="14"/>
        <v>#REF!</v>
      </c>
      <c r="H57" s="1357"/>
      <c r="I57" s="1358" t="e">
        <f t="shared" si="15"/>
        <v>#REF!</v>
      </c>
      <c r="J57" s="1313"/>
      <c r="K57" s="1314"/>
      <c r="L57" s="1315"/>
      <c r="M57" s="1316"/>
      <c r="N57" s="1090" t="s">
        <v>1652</v>
      </c>
      <c r="O57" s="1265">
        <f>P57*(1-$O$37)</f>
        <v>0</v>
      </c>
      <c r="P57" s="1266"/>
      <c r="Q57" s="1267" t="e">
        <f t="shared" si="17"/>
        <v>#REF!</v>
      </c>
      <c r="R57" s="1271" t="s">
        <v>1653</v>
      </c>
      <c r="S57" s="1272">
        <f>T57*(1-$S$37)</f>
        <v>0</v>
      </c>
      <c r="T57" s="1273"/>
      <c r="U57" s="1274" t="e">
        <f t="shared" si="18"/>
        <v>#REF!</v>
      </c>
      <c r="W57" s="1350"/>
    </row>
    <row r="58" spans="1:25" hidden="1" outlineLevel="1">
      <c r="A58" s="1340" t="e">
        <f>К_ясень!F64</f>
        <v>#REF!</v>
      </c>
      <c r="B58" s="589">
        <v>19</v>
      </c>
      <c r="C58" s="1243" t="s">
        <v>1654</v>
      </c>
      <c r="D58" s="1257" t="e">
        <f t="shared" si="13"/>
        <v>#REF!</v>
      </c>
      <c r="E58" s="1338" t="e">
        <f>Techno_Porte!#REF!</f>
        <v>#REF!</v>
      </c>
      <c r="F58" s="1257" t="e">
        <f t="shared" si="16"/>
        <v>#REF!</v>
      </c>
      <c r="G58" s="1246" t="e">
        <f t="shared" si="14"/>
        <v>#REF!</v>
      </c>
      <c r="H58" s="1357"/>
      <c r="I58" s="1358" t="e">
        <f t="shared" si="15"/>
        <v>#REF!</v>
      </c>
      <c r="J58" s="1313"/>
      <c r="K58" s="1314"/>
      <c r="L58" s="1315"/>
      <c r="M58" s="1316"/>
      <c r="N58" s="1090" t="s">
        <v>1655</v>
      </c>
      <c r="O58" s="1265">
        <f>P58*(1-$O$37)</f>
        <v>0</v>
      </c>
      <c r="P58" s="1266"/>
      <c r="Q58" s="1267" t="e">
        <f t="shared" si="17"/>
        <v>#REF!</v>
      </c>
      <c r="R58" s="1271" t="s">
        <v>1656</v>
      </c>
      <c r="S58" s="1272">
        <f>T58*(1-$S$37)</f>
        <v>0</v>
      </c>
      <c r="T58" s="1273"/>
      <c r="U58" s="1274" t="e">
        <f t="shared" si="18"/>
        <v>#REF!</v>
      </c>
      <c r="W58" s="1350"/>
    </row>
    <row r="59" spans="1:25" hidden="1" outlineLevel="1">
      <c r="A59" s="1340"/>
      <c r="C59" s="1243" t="s">
        <v>2102</v>
      </c>
      <c r="D59" s="1257" t="e">
        <f t="shared" si="13"/>
        <v>#REF!</v>
      </c>
      <c r="E59" s="1338" t="e">
        <f>Techno_Porte!#REF!</f>
        <v>#REF!</v>
      </c>
      <c r="F59" s="1257" t="e">
        <f t="shared" si="16"/>
        <v>#REF!</v>
      </c>
      <c r="G59" s="1246" t="e">
        <f>E59+H59</f>
        <v>#REF!</v>
      </c>
      <c r="H59" s="1357"/>
      <c r="I59" s="1358" t="e">
        <f t="shared" si="15"/>
        <v>#REF!</v>
      </c>
      <c r="J59" s="1313"/>
      <c r="K59" s="1314"/>
      <c r="L59" s="1315"/>
      <c r="M59" s="1316"/>
      <c r="N59" s="1090"/>
      <c r="O59" s="1265"/>
      <c r="P59" s="1266"/>
      <c r="Q59" s="1267"/>
      <c r="R59" s="1271"/>
      <c r="S59" s="1272"/>
      <c r="T59" s="1273"/>
      <c r="U59" s="1274"/>
      <c r="W59" s="1350"/>
    </row>
    <row r="60" spans="1:25" hidden="1" outlineLevel="1">
      <c r="A60" s="1340">
        <f>К_ясень!F65</f>
        <v>26000</v>
      </c>
      <c r="B60" s="589">
        <v>20</v>
      </c>
      <c r="C60" s="1243" t="s">
        <v>1657</v>
      </c>
      <c r="D60" s="1257">
        <f t="shared" si="13"/>
        <v>10705.5</v>
      </c>
      <c r="E60" s="1338">
        <f>Techno_Vetro!G7</f>
        <v>17550</v>
      </c>
      <c r="F60" s="1257">
        <f t="shared" si="16"/>
        <v>10705.5</v>
      </c>
      <c r="G60" s="1246">
        <f>E60+H60</f>
        <v>17550</v>
      </c>
      <c r="H60" s="1357"/>
      <c r="I60" s="1358">
        <f t="shared" si="15"/>
        <v>0</v>
      </c>
      <c r="J60" s="1313"/>
      <c r="K60" s="1314"/>
      <c r="L60" s="1315"/>
      <c r="M60" s="1316"/>
      <c r="N60" s="1090" t="s">
        <v>1658</v>
      </c>
      <c r="O60" s="1265">
        <f>P60*(1-$O$37)</f>
        <v>0</v>
      </c>
      <c r="P60" s="1266"/>
      <c r="Q60" s="1267" t="e">
        <f t="shared" si="17"/>
        <v>#DIV/0!</v>
      </c>
      <c r="R60" s="1271" t="s">
        <v>1659</v>
      </c>
      <c r="S60" s="1272">
        <f>T60*(1-$S$37)</f>
        <v>0</v>
      </c>
      <c r="T60" s="1273"/>
      <c r="U60" s="1274" t="e">
        <f t="shared" si="18"/>
        <v>#DIV/0!</v>
      </c>
      <c r="W60" s="1350"/>
    </row>
    <row r="61" spans="1:25" hidden="1" outlineLevel="1">
      <c r="A61" s="1340">
        <f>К_ясень!F66</f>
        <v>27700</v>
      </c>
      <c r="B61" s="589">
        <v>21</v>
      </c>
      <c r="C61" s="1243" t="s">
        <v>1660</v>
      </c>
      <c r="D61" s="1257">
        <f t="shared" si="13"/>
        <v>11742.5</v>
      </c>
      <c r="E61" s="1337">
        <f>Techno_Vetro!H7</f>
        <v>19250</v>
      </c>
      <c r="F61" s="1257">
        <f t="shared" si="16"/>
        <v>11742.5</v>
      </c>
      <c r="G61" s="1246">
        <f t="shared" si="14"/>
        <v>19250</v>
      </c>
      <c r="H61" s="1357"/>
      <c r="I61" s="1358">
        <f t="shared" si="15"/>
        <v>0</v>
      </c>
      <c r="J61" s="1317"/>
      <c r="K61" s="1314"/>
      <c r="L61" s="1315"/>
      <c r="M61" s="1316"/>
      <c r="N61" s="1097"/>
      <c r="O61" s="1265"/>
      <c r="P61" s="1266"/>
      <c r="Q61" s="1267" t="e">
        <f t="shared" si="17"/>
        <v>#DIV/0!</v>
      </c>
      <c r="R61" s="1275" t="s">
        <v>1661</v>
      </c>
      <c r="S61" s="1272">
        <f>T61*(1-$S$37)</f>
        <v>0</v>
      </c>
      <c r="T61" s="1273"/>
      <c r="U61" s="1274" t="e">
        <f t="shared" si="18"/>
        <v>#DIV/0!</v>
      </c>
      <c r="W61" s="1350"/>
    </row>
    <row r="62" spans="1:25" hidden="1" outlineLevel="1">
      <c r="A62" s="1340">
        <f>К_ясень!F67</f>
        <v>27700</v>
      </c>
      <c r="B62" s="589">
        <v>22</v>
      </c>
      <c r="C62" s="1243" t="s">
        <v>1662</v>
      </c>
      <c r="D62" s="1257">
        <f t="shared" si="13"/>
        <v>11742.5</v>
      </c>
      <c r="E62" s="1337">
        <f>Techno_Vetro!J7</f>
        <v>19250</v>
      </c>
      <c r="F62" s="1257">
        <f t="shared" si="16"/>
        <v>11742.5</v>
      </c>
      <c r="G62" s="1246">
        <f t="shared" si="14"/>
        <v>19250</v>
      </c>
      <c r="H62" s="1357"/>
      <c r="I62" s="1358">
        <f t="shared" si="15"/>
        <v>0</v>
      </c>
      <c r="J62" s="1317"/>
      <c r="K62" s="1314"/>
      <c r="L62" s="1315"/>
      <c r="M62" s="1316"/>
      <c r="N62" s="1097" t="s">
        <v>1663</v>
      </c>
      <c r="O62" s="1265">
        <f>P62*(1-$O$37)</f>
        <v>0</v>
      </c>
      <c r="P62" s="1266"/>
      <c r="Q62" s="1267" t="e">
        <f t="shared" si="17"/>
        <v>#DIV/0!</v>
      </c>
      <c r="R62" s="1275" t="s">
        <v>1664</v>
      </c>
      <c r="S62" s="1272">
        <f>T62*(1-$S$37)</f>
        <v>0</v>
      </c>
      <c r="T62" s="1273"/>
      <c r="U62" s="1274" t="e">
        <f t="shared" si="18"/>
        <v>#DIV/0!</v>
      </c>
      <c r="W62" s="1350"/>
    </row>
    <row r="63" spans="1:25" hidden="1" outlineLevel="1">
      <c r="A63" s="1340"/>
      <c r="C63" s="1243" t="s">
        <v>1665</v>
      </c>
      <c r="D63" s="1257" t="e">
        <f>E63*(1-$D$37)</f>
        <v>#REF!</v>
      </c>
      <c r="E63" s="1337" t="e">
        <f>Twist!#REF!</f>
        <v>#REF!</v>
      </c>
      <c r="F63" s="1257" t="e">
        <f t="shared" si="16"/>
        <v>#REF!</v>
      </c>
      <c r="G63" s="1246" t="e">
        <f>E63+H63</f>
        <v>#REF!</v>
      </c>
      <c r="H63" s="1357"/>
      <c r="I63" s="1358" t="e">
        <f>G63/E63-1</f>
        <v>#REF!</v>
      </c>
      <c r="J63" s="1317"/>
      <c r="K63" s="1314"/>
      <c r="L63" s="1315"/>
      <c r="M63" s="1316"/>
      <c r="N63" s="1097"/>
      <c r="O63" s="1265"/>
      <c r="P63" s="1266"/>
      <c r="Q63" s="1267"/>
      <c r="R63" s="1275"/>
      <c r="S63" s="1272"/>
      <c r="T63" s="1273"/>
      <c r="U63" s="1274"/>
      <c r="W63" s="1350"/>
    </row>
    <row r="64" spans="1:25" hidden="1" outlineLevel="1">
      <c r="A64" s="1340"/>
      <c r="B64" s="589">
        <v>23</v>
      </c>
      <c r="C64" s="1243" t="s">
        <v>2156</v>
      </c>
      <c r="D64" s="1257" t="e">
        <f>E64*(1-$D$37)</f>
        <v>#REF!</v>
      </c>
      <c r="E64" s="1337" t="e">
        <f>CEILING(E63*1.15, 50)</f>
        <v>#REF!</v>
      </c>
      <c r="F64" s="1257" t="e">
        <f t="shared" si="16"/>
        <v>#REF!</v>
      </c>
      <c r="G64" s="1246" t="e">
        <f>E64+H64</f>
        <v>#REF!</v>
      </c>
      <c r="H64" s="1357"/>
      <c r="I64" s="1358" t="e">
        <f>G64/E64-1</f>
        <v>#REF!</v>
      </c>
      <c r="J64" s="1313" t="s">
        <v>1666</v>
      </c>
      <c r="K64" s="1314">
        <f>L64*(1-$K$37)</f>
        <v>0</v>
      </c>
      <c r="L64" s="1315"/>
      <c r="M64" s="1316" t="e">
        <f>G64/L64-1</f>
        <v>#REF!</v>
      </c>
      <c r="N64" s="1090" t="s">
        <v>1667</v>
      </c>
      <c r="O64" s="1265">
        <f>P64*(1-$O$37)</f>
        <v>0</v>
      </c>
      <c r="P64" s="1266"/>
      <c r="Q64" s="1267" t="e">
        <f t="shared" si="17"/>
        <v>#REF!</v>
      </c>
      <c r="R64" s="1271"/>
      <c r="S64" s="1272"/>
      <c r="T64" s="1273"/>
      <c r="U64" s="1274"/>
      <c r="W64" s="1350"/>
    </row>
    <row r="65" spans="1:26" hidden="1" outlineLevel="1">
      <c r="A65" s="1340"/>
      <c r="C65" s="1243" t="s">
        <v>1668</v>
      </c>
      <c r="D65" s="1257" t="e">
        <f>E65*(1-$D$37)</f>
        <v>#REF!</v>
      </c>
      <c r="E65" s="1337" t="e">
        <f>Twist!#REF!</f>
        <v>#REF!</v>
      </c>
      <c r="F65" s="1257" t="e">
        <f t="shared" si="16"/>
        <v>#REF!</v>
      </c>
      <c r="G65" s="1246" t="e">
        <f>E65+H65</f>
        <v>#REF!</v>
      </c>
      <c r="H65" s="1357"/>
      <c r="I65" s="1358" t="e">
        <f>G65/E65-1</f>
        <v>#REF!</v>
      </c>
      <c r="J65" s="1313"/>
      <c r="K65" s="1314"/>
      <c r="L65" s="1315"/>
      <c r="M65" s="1316"/>
      <c r="N65" s="1090"/>
      <c r="O65" s="1265"/>
      <c r="P65" s="1266"/>
      <c r="Q65" s="1267"/>
      <c r="R65" s="1271"/>
      <c r="S65" s="1272"/>
      <c r="T65" s="1273"/>
      <c r="U65" s="1274"/>
      <c r="W65" s="1350"/>
    </row>
    <row r="66" spans="1:26" hidden="1" outlineLevel="1">
      <c r="A66" s="1340"/>
      <c r="B66" s="589">
        <v>24</v>
      </c>
      <c r="C66" s="1243" t="s">
        <v>2157</v>
      </c>
      <c r="D66" s="1257" t="e">
        <f>E66*(1-$D$37)</f>
        <v>#REF!</v>
      </c>
      <c r="E66" s="1337" t="e">
        <f>CEILING(E65*1.15, 50)</f>
        <v>#REF!</v>
      </c>
      <c r="F66" s="1257" t="e">
        <f t="shared" si="16"/>
        <v>#REF!</v>
      </c>
      <c r="G66" s="1246" t="e">
        <f>E66+H66</f>
        <v>#REF!</v>
      </c>
      <c r="H66" s="1357"/>
      <c r="I66" s="1358" t="e">
        <f>G66/E66-1</f>
        <v>#REF!</v>
      </c>
      <c r="J66" s="1313" t="s">
        <v>1669</v>
      </c>
      <c r="K66" s="1314">
        <f>L66*(1-$K$37)</f>
        <v>0</v>
      </c>
      <c r="L66" s="1315"/>
      <c r="M66" s="1316" t="e">
        <f>G66/L66-1</f>
        <v>#REF!</v>
      </c>
      <c r="N66" s="1090" t="s">
        <v>1670</v>
      </c>
      <c r="O66" s="1265">
        <f>P66*(1-$O$37)</f>
        <v>0</v>
      </c>
      <c r="P66" s="1266"/>
      <c r="Q66" s="1267" t="e">
        <f t="shared" si="17"/>
        <v>#REF!</v>
      </c>
      <c r="R66" s="1271" t="s">
        <v>2099</v>
      </c>
      <c r="S66" s="1272">
        <f>T66*(1-$S$37)</f>
        <v>0</v>
      </c>
      <c r="T66" s="1273"/>
      <c r="U66" s="1274" t="e">
        <f t="shared" si="18"/>
        <v>#REF!</v>
      </c>
      <c r="W66" s="1350"/>
    </row>
    <row r="67" spans="1:26" hidden="1" outlineLevel="1">
      <c r="A67" s="1340"/>
      <c r="C67" s="1243"/>
      <c r="D67" s="1257"/>
      <c r="E67" s="1337"/>
      <c r="F67" s="1257"/>
      <c r="G67" s="1246"/>
      <c r="H67" s="1357"/>
      <c r="I67" s="1358"/>
      <c r="J67" s="1313"/>
      <c r="K67" s="1314"/>
      <c r="L67" s="1315"/>
      <c r="M67" s="1316"/>
      <c r="N67" s="1090"/>
      <c r="O67" s="1265"/>
      <c r="P67" s="1266"/>
      <c r="Q67" s="1267"/>
      <c r="R67" s="1271"/>
      <c r="S67" s="1272"/>
      <c r="T67" s="1273"/>
      <c r="U67" s="1274"/>
      <c r="W67" s="1350"/>
    </row>
    <row r="68" spans="1:26" hidden="1" outlineLevel="1">
      <c r="A68" s="1340"/>
      <c r="C68" s="1243"/>
      <c r="D68" s="1257"/>
      <c r="E68" s="1337"/>
      <c r="F68" s="1257"/>
      <c r="G68" s="1246"/>
      <c r="H68" s="1357"/>
      <c r="I68" s="1358"/>
      <c r="J68" s="1313"/>
      <c r="K68" s="1314"/>
      <c r="L68" s="1315"/>
      <c r="M68" s="1316"/>
      <c r="N68" s="1090"/>
      <c r="O68" s="1265"/>
      <c r="P68" s="1266"/>
      <c r="Q68" s="1267"/>
      <c r="R68" s="1271"/>
      <c r="S68" s="1272"/>
      <c r="T68" s="1273"/>
      <c r="U68" s="1274"/>
      <c r="W68" s="1350"/>
    </row>
    <row r="69" spans="1:26" hidden="1" outlineLevel="1">
      <c r="A69" s="1340"/>
      <c r="C69" s="1243"/>
      <c r="D69" s="1257"/>
      <c r="E69" s="1337"/>
      <c r="F69" s="1257"/>
      <c r="G69" s="1246"/>
      <c r="H69" s="1357"/>
      <c r="I69" s="1358"/>
      <c r="J69" s="1313"/>
      <c r="K69" s="1314"/>
      <c r="L69" s="1315"/>
      <c r="M69" s="1316"/>
      <c r="N69" s="1090"/>
      <c r="O69" s="1265"/>
      <c r="P69" s="1266"/>
      <c r="Q69" s="1267"/>
      <c r="R69" s="1271"/>
      <c r="S69" s="1272"/>
      <c r="T69" s="1273"/>
      <c r="U69" s="1274"/>
      <c r="W69" s="1350"/>
    </row>
    <row r="70" spans="1:26" hidden="1" outlineLevel="1">
      <c r="A70" s="1340"/>
      <c r="C70" s="1243"/>
      <c r="D70" s="1257"/>
      <c r="E70" s="1337"/>
      <c r="F70" s="1257"/>
      <c r="G70" s="1246"/>
      <c r="H70" s="1357"/>
      <c r="I70" s="1358"/>
      <c r="J70" s="1313"/>
      <c r="K70" s="1314"/>
      <c r="L70" s="1315"/>
      <c r="M70" s="1316"/>
      <c r="N70" s="1090"/>
      <c r="O70" s="1265"/>
      <c r="P70" s="1266"/>
      <c r="Q70" s="1267"/>
      <c r="R70" s="1271"/>
      <c r="S70" s="1272"/>
      <c r="T70" s="1273"/>
      <c r="U70" s="1274"/>
      <c r="W70" s="1350"/>
    </row>
    <row r="71" spans="1:26" hidden="1" outlineLevel="1">
      <c r="A71" s="1340"/>
      <c r="C71" s="1243"/>
      <c r="D71" s="1257"/>
      <c r="E71" s="1337"/>
      <c r="F71" s="1257"/>
      <c r="G71" s="1246"/>
      <c r="H71" s="1357"/>
      <c r="I71" s="1358"/>
      <c r="J71" s="1313"/>
      <c r="K71" s="1314"/>
      <c r="L71" s="1315"/>
      <c r="M71" s="1316"/>
      <c r="N71" s="1090"/>
      <c r="O71" s="1265"/>
      <c r="P71" s="1266"/>
      <c r="Q71" s="1267"/>
      <c r="R71" s="1271"/>
      <c r="S71" s="1272"/>
      <c r="T71" s="1273"/>
      <c r="U71" s="1274"/>
      <c r="W71" s="1350"/>
    </row>
    <row r="72" spans="1:26" collapsed="1">
      <c r="C72" s="1252"/>
      <c r="D72" s="1252"/>
      <c r="E72" s="1339"/>
      <c r="F72" s="1339"/>
      <c r="G72" s="1253"/>
      <c r="H72" s="1361"/>
      <c r="I72" s="1362"/>
      <c r="J72" s="1253"/>
      <c r="K72" s="1253"/>
      <c r="L72" s="1253"/>
      <c r="M72" s="1253"/>
      <c r="N72" s="1253"/>
      <c r="O72" s="1253"/>
      <c r="P72" s="1253"/>
      <c r="Q72" s="1253"/>
      <c r="R72" s="1253"/>
      <c r="S72" s="1253"/>
      <c r="T72" s="1253"/>
      <c r="U72" s="1253"/>
    </row>
    <row r="73" spans="1:26">
      <c r="C73" s="22" t="s">
        <v>909</v>
      </c>
      <c r="D73" s="1252"/>
      <c r="E73" s="1339"/>
      <c r="F73" s="1339"/>
      <c r="G73" s="1253"/>
      <c r="H73" s="1361"/>
      <c r="I73" s="1362"/>
      <c r="J73" s="1253"/>
      <c r="K73" s="1253"/>
      <c r="L73" s="1253"/>
      <c r="M73" s="1253"/>
      <c r="N73" s="1253"/>
      <c r="O73" s="1253"/>
      <c r="P73" s="1253"/>
      <c r="Q73" s="1253"/>
      <c r="R73" s="1253"/>
      <c r="S73" s="1253"/>
      <c r="T73" s="1253"/>
      <c r="U73" s="1253"/>
    </row>
    <row r="74" spans="1:26">
      <c r="C74" s="1341" t="s">
        <v>2141</v>
      </c>
      <c r="D74" s="1344">
        <f>E74*(1-D76)</f>
        <v>5261.25</v>
      </c>
      <c r="E74" s="1342">
        <f>E84*2.5+E85*5</f>
        <v>8625</v>
      </c>
      <c r="F74" s="1344">
        <f>G74*(1-D76)</f>
        <v>5261.25</v>
      </c>
      <c r="G74" s="1342">
        <f>G84*2.5+G85*5</f>
        <v>8625</v>
      </c>
      <c r="H74" s="1363">
        <f>G74-E74</f>
        <v>0</v>
      </c>
      <c r="I74" s="1364">
        <f>G74/E74-1</f>
        <v>0</v>
      </c>
      <c r="J74" s="1368" t="s">
        <v>2148</v>
      </c>
      <c r="K74" s="1314">
        <f>L74*(1-$K$76)</f>
        <v>0</v>
      </c>
      <c r="L74" s="1372">
        <f>L84*2.5+L85*5</f>
        <v>0</v>
      </c>
      <c r="M74" s="1322" t="e">
        <f>G74/L74-1</f>
        <v>#DIV/0!</v>
      </c>
      <c r="N74" s="1369" t="s">
        <v>2148</v>
      </c>
      <c r="O74" s="1265">
        <f>P74*(1-$O$76)</f>
        <v>0</v>
      </c>
      <c r="P74" s="1373">
        <f>P84*2.5+P85*5</f>
        <v>0</v>
      </c>
      <c r="Q74" s="1297" t="e">
        <f>G74/P74-1</f>
        <v>#DIV/0!</v>
      </c>
      <c r="R74" s="1289" t="s">
        <v>2148</v>
      </c>
      <c r="S74" s="1272">
        <f>T74*(1-$S$76)</f>
        <v>0</v>
      </c>
      <c r="T74" s="1374">
        <f>T84*2.5+T85*5</f>
        <v>0</v>
      </c>
      <c r="U74" s="1300" t="e">
        <f>G74/T74-1</f>
        <v>#DIV/0!</v>
      </c>
    </row>
    <row r="75" spans="1:26" hidden="1" outlineLevel="1">
      <c r="C75" s="1341" t="s">
        <v>2140</v>
      </c>
      <c r="D75" s="1344">
        <f>E75*(1-D76)</f>
        <v>4956.25</v>
      </c>
      <c r="E75" s="1342">
        <f>E78*2.5+E79*5</f>
        <v>8125</v>
      </c>
      <c r="F75" s="1342">
        <f>G75*(1-D76)</f>
        <v>4956.25</v>
      </c>
      <c r="G75" s="1343">
        <f>G78*2.5+G79*5</f>
        <v>8125</v>
      </c>
      <c r="H75" s="1363">
        <f>G75-E75</f>
        <v>0</v>
      </c>
      <c r="I75" s="1364">
        <f>G75/E75-1</f>
        <v>0</v>
      </c>
      <c r="J75" s="1368" t="s">
        <v>2149</v>
      </c>
      <c r="K75" s="1314">
        <f>L75*(1-$K$76)</f>
        <v>0</v>
      </c>
      <c r="L75" s="1372">
        <f>L78*2.5+L79*5</f>
        <v>0</v>
      </c>
      <c r="M75" s="1322" t="e">
        <f>G75/L75-1</f>
        <v>#DIV/0!</v>
      </c>
      <c r="N75" s="1369" t="s">
        <v>2149</v>
      </c>
      <c r="O75" s="1265">
        <f>P75*(1-$O$76)</f>
        <v>0</v>
      </c>
      <c r="P75" s="1373">
        <f>P78*2.5+P79*5</f>
        <v>0</v>
      </c>
      <c r="Q75" s="1297" t="e">
        <f>G75/P75-1</f>
        <v>#DIV/0!</v>
      </c>
      <c r="R75" s="1289" t="s">
        <v>2149</v>
      </c>
      <c r="S75" s="1272">
        <f>T75*(1-$O$76)</f>
        <v>0</v>
      </c>
      <c r="T75" s="1374">
        <f>T78*2.5+T79*5</f>
        <v>0</v>
      </c>
      <c r="U75" s="1300" t="e">
        <f>G75/T75-1</f>
        <v>#DIV/0!</v>
      </c>
      <c r="W75" s="589"/>
    </row>
    <row r="76" spans="1:26" s="1375" customFormat="1" hidden="1" outlineLevel="1">
      <c r="C76" s="1376" t="str">
        <f>C3</f>
        <v>терем</v>
      </c>
      <c r="D76" s="1377">
        <f>D3</f>
        <v>0.39</v>
      </c>
      <c r="E76" s="1378">
        <f>E3</f>
        <v>1.639344262295082</v>
      </c>
      <c r="F76" s="1378"/>
      <c r="G76" s="1378">
        <f>G3</f>
        <v>0</v>
      </c>
      <c r="H76" s="1379"/>
      <c r="I76" s="1380"/>
      <c r="J76" s="1381" t="str">
        <f>J3</f>
        <v>волховец</v>
      </c>
      <c r="K76" s="1382">
        <f>K3</f>
        <v>0.33</v>
      </c>
      <c r="L76" s="1383" t="e">
        <f>L3</f>
        <v>#DIV/0!</v>
      </c>
      <c r="M76" s="1381"/>
      <c r="N76" s="1384" t="str">
        <f>N3</f>
        <v>дариано</v>
      </c>
      <c r="O76" s="1385">
        <f>O3</f>
        <v>0.39</v>
      </c>
      <c r="P76" s="1386" t="e">
        <f>P3</f>
        <v>#DIV/0!</v>
      </c>
      <c r="Q76" s="1384"/>
      <c r="R76" s="1387" t="str">
        <f>R3</f>
        <v>рада</v>
      </c>
      <c r="S76" s="1388">
        <f>S3</f>
        <v>0.41</v>
      </c>
      <c r="T76" s="1389" t="e">
        <f>T3</f>
        <v>#DIV/0!</v>
      </c>
      <c r="U76" s="1387"/>
      <c r="V76" s="1390"/>
      <c r="W76" s="1391"/>
      <c r="X76" s="22"/>
      <c r="Y76" s="22"/>
      <c r="Z76" s="22"/>
    </row>
    <row r="77" spans="1:26" s="1305" customFormat="1" ht="24.75" hidden="1" outlineLevel="1">
      <c r="A77" s="1306" t="s">
        <v>1972</v>
      </c>
      <c r="C77" s="1306" t="s">
        <v>1616</v>
      </c>
      <c r="D77" s="1306" t="s">
        <v>2136</v>
      </c>
      <c r="E77" s="1306" t="s">
        <v>2135</v>
      </c>
      <c r="F77" s="1306" t="s">
        <v>2137</v>
      </c>
      <c r="G77" s="1306" t="s">
        <v>2134</v>
      </c>
      <c r="H77" s="1306" t="s">
        <v>2139</v>
      </c>
      <c r="I77" s="1306" t="s">
        <v>2138</v>
      </c>
      <c r="J77" s="1318" t="s">
        <v>1616</v>
      </c>
      <c r="K77" s="1318" t="s">
        <v>1383</v>
      </c>
      <c r="L77" s="1318" t="s">
        <v>1618</v>
      </c>
      <c r="M77" s="1318" t="s">
        <v>1691</v>
      </c>
      <c r="N77" s="1308" t="s">
        <v>1616</v>
      </c>
      <c r="O77" s="1308" t="s">
        <v>1383</v>
      </c>
      <c r="P77" s="1308" t="s">
        <v>1618</v>
      </c>
      <c r="Q77" s="1308" t="s">
        <v>1620</v>
      </c>
      <c r="R77" s="1307" t="s">
        <v>1616</v>
      </c>
      <c r="S77" s="1307" t="s">
        <v>1383</v>
      </c>
      <c r="T77" s="1307" t="s">
        <v>1618</v>
      </c>
      <c r="U77" s="1307" t="s">
        <v>1620</v>
      </c>
      <c r="V77" s="1351"/>
      <c r="W77" s="589"/>
      <c r="X77" s="589"/>
      <c r="Y77" s="589"/>
      <c r="Z77" s="589"/>
    </row>
    <row r="78" spans="1:26" s="33" customFormat="1" ht="45" hidden="1" outlineLevel="1">
      <c r="A78" s="1340">
        <f>К_ясень!F75</f>
        <v>2500</v>
      </c>
      <c r="C78" s="1293" t="s">
        <v>1673</v>
      </c>
      <c r="D78" s="1304">
        <f>E78*(1-$D$76)</f>
        <v>945.5</v>
      </c>
      <c r="E78" s="1340">
        <f>Погонаж!C11</f>
        <v>1550</v>
      </c>
      <c r="F78" s="1304">
        <f>G78*(1-$D$76)</f>
        <v>945.5</v>
      </c>
      <c r="G78" s="1301">
        <f t="shared" ref="G78:G94" si="20">E78+H78</f>
        <v>1550</v>
      </c>
      <c r="H78" s="1365"/>
      <c r="I78" s="1366">
        <f>G78/E78-1</f>
        <v>0</v>
      </c>
      <c r="J78" s="1335" t="s">
        <v>1674</v>
      </c>
      <c r="K78" s="1320">
        <f>L78*(1-$K$76)</f>
        <v>0</v>
      </c>
      <c r="L78" s="1321"/>
      <c r="M78" s="1322" t="e">
        <f>G78/L78-1</f>
        <v>#DIV/0!</v>
      </c>
      <c r="N78" s="1334" t="s">
        <v>1675</v>
      </c>
      <c r="O78" s="1295">
        <f t="shared" ref="O78:O85" si="21">P78*(1-$O$37)</f>
        <v>0</v>
      </c>
      <c r="P78" s="1296"/>
      <c r="Q78" s="1297" t="e">
        <f>G78/P78-1</f>
        <v>#DIV/0!</v>
      </c>
      <c r="R78" s="1333" t="s">
        <v>2112</v>
      </c>
      <c r="S78" s="1298">
        <f>T78*(1-$S$76)</f>
        <v>0</v>
      </c>
      <c r="T78" s="1299"/>
      <c r="U78" s="1300" t="e">
        <f t="shared" ref="U78:U94" si="22">G78/T78-1</f>
        <v>#DIV/0!</v>
      </c>
      <c r="V78" s="1350">
        <f>CEILING(A78*0.85, 50)</f>
        <v>2150</v>
      </c>
      <c r="W78" s="1350">
        <f t="shared" ref="W78:W91" si="23">V78-G78</f>
        <v>600</v>
      </c>
      <c r="X78" s="589">
        <f>К_ясень!K75/К_эмаль!K79</f>
        <v>1.22</v>
      </c>
      <c r="Y78" s="589"/>
      <c r="Z78" s="589"/>
    </row>
    <row r="79" spans="1:26" s="33" customFormat="1" ht="22.5" hidden="1" outlineLevel="1">
      <c r="A79" s="1340">
        <f>К_ясень!F76</f>
        <v>1400</v>
      </c>
      <c r="C79" s="1293" t="s">
        <v>1709</v>
      </c>
      <c r="D79" s="1304">
        <f>E79*(1-$D$76)</f>
        <v>518.5</v>
      </c>
      <c r="E79" s="1340">
        <f>Погонаж!E11</f>
        <v>850</v>
      </c>
      <c r="F79" s="1304">
        <f t="shared" ref="F79:F94" si="24">G79*(1-$D$76)</f>
        <v>518.5</v>
      </c>
      <c r="G79" s="1301">
        <f t="shared" si="20"/>
        <v>850</v>
      </c>
      <c r="H79" s="1365"/>
      <c r="I79" s="1366">
        <f t="shared" ref="I79:I94" si="25">G79/E79-1</f>
        <v>0</v>
      </c>
      <c r="J79" s="1335" t="s">
        <v>1676</v>
      </c>
      <c r="K79" s="1320">
        <f t="shared" ref="K79:K85" si="26">L79*(1-$K$76)</f>
        <v>0</v>
      </c>
      <c r="L79" s="1321"/>
      <c r="M79" s="1322" t="e">
        <f>G79/L79-1</f>
        <v>#DIV/0!</v>
      </c>
      <c r="N79" s="1334" t="s">
        <v>1677</v>
      </c>
      <c r="O79" s="1295">
        <f t="shared" si="21"/>
        <v>0</v>
      </c>
      <c r="P79" s="1296"/>
      <c r="Q79" s="1297" t="e">
        <f t="shared" ref="Q79:Q85" si="27">G79/P79-1</f>
        <v>#DIV/0!</v>
      </c>
      <c r="R79" s="1333" t="s">
        <v>2029</v>
      </c>
      <c r="S79" s="1298">
        <f>T79*(1-$S$76)</f>
        <v>0</v>
      </c>
      <c r="T79" s="1299"/>
      <c r="U79" s="1300" t="e">
        <f t="shared" si="22"/>
        <v>#DIV/0!</v>
      </c>
      <c r="V79" s="1350">
        <f t="shared" ref="V79:V91" si="28">CEILING(A79*0.85, 50)</f>
        <v>1200</v>
      </c>
      <c r="W79" s="1350">
        <f t="shared" si="23"/>
        <v>350</v>
      </c>
      <c r="X79" s="589"/>
      <c r="Y79" s="589"/>
      <c r="Z79" s="589"/>
    </row>
    <row r="80" spans="1:26" s="33" customFormat="1" ht="22.5" hidden="1" outlineLevel="1">
      <c r="A80" s="1340">
        <f>К_ясень!F77</f>
        <v>1600</v>
      </c>
      <c r="C80" s="1293" t="s">
        <v>1710</v>
      </c>
      <c r="D80" s="1304">
        <f>E80*(1-$D$76)</f>
        <v>610</v>
      </c>
      <c r="E80" s="1340">
        <f>Погонаж!F11</f>
        <v>1000</v>
      </c>
      <c r="F80" s="1304">
        <f t="shared" si="24"/>
        <v>610</v>
      </c>
      <c r="G80" s="1301">
        <f t="shared" si="20"/>
        <v>1000</v>
      </c>
      <c r="H80" s="1365"/>
      <c r="I80" s="1366">
        <f t="shared" si="25"/>
        <v>0</v>
      </c>
      <c r="J80" s="1335"/>
      <c r="K80" s="1320"/>
      <c r="L80" s="1321"/>
      <c r="M80" s="1322"/>
      <c r="N80" s="1334"/>
      <c r="O80" s="1295"/>
      <c r="P80" s="1296"/>
      <c r="Q80" s="1297" t="e">
        <f t="shared" si="27"/>
        <v>#DIV/0!</v>
      </c>
      <c r="R80" s="1333" t="s">
        <v>2113</v>
      </c>
      <c r="S80" s="1298">
        <f>T80*(1-$S$76)</f>
        <v>0</v>
      </c>
      <c r="T80" s="1299"/>
      <c r="U80" s="1300" t="e">
        <f t="shared" si="22"/>
        <v>#DIV/0!</v>
      </c>
      <c r="V80" s="1350">
        <f t="shared" si="28"/>
        <v>1400</v>
      </c>
      <c r="W80" s="1350">
        <f t="shared" si="23"/>
        <v>400</v>
      </c>
      <c r="X80" s="589"/>
      <c r="Y80" s="589"/>
      <c r="Z80" s="589"/>
    </row>
    <row r="81" spans="1:26" s="37" customFormat="1" ht="22.5" hidden="1" outlineLevel="1">
      <c r="A81" s="1340">
        <f>К_ясень!F78</f>
        <v>2450</v>
      </c>
      <c r="B81" s="33"/>
      <c r="C81" s="1293" t="s">
        <v>2033</v>
      </c>
      <c r="D81" s="1304" t="e">
        <f>E81*(1-$D$76)</f>
        <v>#VALUE!</v>
      </c>
      <c r="E81" s="1340" t="str">
        <f>Погонаж!K11</f>
        <v xml:space="preserve"> -</v>
      </c>
      <c r="F81" s="1304" t="e">
        <f t="shared" si="24"/>
        <v>#VALUE!</v>
      </c>
      <c r="G81" s="1301" t="e">
        <f t="shared" si="20"/>
        <v>#VALUE!</v>
      </c>
      <c r="H81" s="1365"/>
      <c r="I81" s="1366" t="e">
        <f t="shared" si="25"/>
        <v>#VALUE!</v>
      </c>
      <c r="J81" s="1335"/>
      <c r="K81" s="1319"/>
      <c r="L81" s="1321"/>
      <c r="M81" s="1322"/>
      <c r="N81" s="1334"/>
      <c r="O81" s="1295"/>
      <c r="P81" s="1296"/>
      <c r="Q81" s="1297" t="e">
        <f t="shared" si="27"/>
        <v>#VALUE!</v>
      </c>
      <c r="R81" s="1333" t="s">
        <v>2035</v>
      </c>
      <c r="S81" s="1302">
        <f>T81*(1-$S$76)</f>
        <v>0</v>
      </c>
      <c r="T81" s="1299"/>
      <c r="U81" s="1300" t="e">
        <f t="shared" si="22"/>
        <v>#VALUE!</v>
      </c>
      <c r="V81" s="1350">
        <f t="shared" si="28"/>
        <v>2100</v>
      </c>
      <c r="W81" s="1350" t="e">
        <f t="shared" si="23"/>
        <v>#VALUE!</v>
      </c>
      <c r="X81" s="589"/>
      <c r="Y81" s="589"/>
      <c r="Z81" s="589"/>
    </row>
    <row r="82" spans="1:26" s="37" customFormat="1" hidden="1" outlineLevel="1">
      <c r="A82" s="1340"/>
      <c r="B82" s="33"/>
      <c r="C82" s="1293"/>
      <c r="D82" s="1304"/>
      <c r="E82" s="1340"/>
      <c r="F82" s="1304"/>
      <c r="G82" s="1301"/>
      <c r="H82" s="1365"/>
      <c r="I82" s="1366"/>
      <c r="J82" s="1335"/>
      <c r="K82" s="1319"/>
      <c r="L82" s="1321"/>
      <c r="M82" s="1322"/>
      <c r="N82" s="1334"/>
      <c r="O82" s="1295"/>
      <c r="P82" s="1296"/>
      <c r="Q82" s="1297"/>
      <c r="R82" s="1333"/>
      <c r="S82" s="1302"/>
      <c r="T82" s="1299"/>
      <c r="U82" s="1300"/>
      <c r="V82" s="1350"/>
      <c r="W82" s="1350"/>
      <c r="X82" s="589"/>
      <c r="Y82" s="589"/>
      <c r="Z82" s="589"/>
    </row>
    <row r="83" spans="1:26" s="33" customFormat="1" ht="23.25" hidden="1" outlineLevel="1" thickBot="1">
      <c r="A83" s="1412">
        <f>К_ясень!F80</f>
        <v>1400</v>
      </c>
      <c r="C83" s="1410" t="s">
        <v>1678</v>
      </c>
      <c r="D83" s="1411">
        <f>E83*(1-$D$76)</f>
        <v>518.5</v>
      </c>
      <c r="E83" s="1412">
        <f>Погонаж!R11</f>
        <v>850</v>
      </c>
      <c r="F83" s="1411">
        <f t="shared" si="24"/>
        <v>518.5</v>
      </c>
      <c r="G83" s="1413">
        <f t="shared" si="20"/>
        <v>850</v>
      </c>
      <c r="H83" s="1414"/>
      <c r="I83" s="1415">
        <f t="shared" si="25"/>
        <v>0</v>
      </c>
      <c r="J83" s="1416" t="s">
        <v>1679</v>
      </c>
      <c r="K83" s="1417">
        <f t="shared" si="26"/>
        <v>0</v>
      </c>
      <c r="L83" s="1418"/>
      <c r="M83" s="1419" t="e">
        <f>G83/L83-1</f>
        <v>#DIV/0!</v>
      </c>
      <c r="N83" s="1420" t="s">
        <v>1680</v>
      </c>
      <c r="O83" s="1421">
        <f t="shared" si="21"/>
        <v>0</v>
      </c>
      <c r="P83" s="1422"/>
      <c r="Q83" s="1423" t="e">
        <f>G83/P83-1</f>
        <v>#DIV/0!</v>
      </c>
      <c r="R83" s="1424" t="s">
        <v>2036</v>
      </c>
      <c r="S83" s="1425">
        <f t="shared" ref="S83:S89" si="29">T83*(1-$S$76)</f>
        <v>0</v>
      </c>
      <c r="T83" s="1428"/>
      <c r="U83" s="1427" t="e">
        <f t="shared" si="22"/>
        <v>#DIV/0!</v>
      </c>
      <c r="V83" s="1350">
        <f t="shared" si="28"/>
        <v>1200</v>
      </c>
      <c r="W83" s="1350">
        <f t="shared" si="23"/>
        <v>350</v>
      </c>
      <c r="X83" s="589"/>
      <c r="Y83" s="589">
        <f>X83/$E$83</f>
        <v>0</v>
      </c>
      <c r="Z83" s="589"/>
    </row>
    <row r="84" spans="1:26" s="33" customFormat="1" ht="15.75" hidden="1" outlineLevel="1" thickTop="1">
      <c r="A84" s="1395">
        <f>К_ясень!F81</f>
        <v>2500</v>
      </c>
      <c r="C84" s="1393" t="s">
        <v>1681</v>
      </c>
      <c r="D84" s="1394">
        <f>E84*(1-$D$76)</f>
        <v>945.5</v>
      </c>
      <c r="E84" s="1395">
        <f>Погонаж!C38</f>
        <v>1550</v>
      </c>
      <c r="F84" s="1395">
        <f t="shared" si="24"/>
        <v>945.5</v>
      </c>
      <c r="G84" s="1392">
        <f t="shared" si="20"/>
        <v>1550</v>
      </c>
      <c r="H84" s="1396"/>
      <c r="I84" s="1397">
        <f t="shared" si="25"/>
        <v>0</v>
      </c>
      <c r="J84" s="1398" t="s">
        <v>1682</v>
      </c>
      <c r="K84" s="1399">
        <f>L84*(1-$K$76)</f>
        <v>0</v>
      </c>
      <c r="L84" s="1400"/>
      <c r="M84" s="1401" t="e">
        <f>G84/L84-1</f>
        <v>#DIV/0!</v>
      </c>
      <c r="N84" s="1402" t="s">
        <v>1683</v>
      </c>
      <c r="O84" s="1403">
        <f t="shared" si="21"/>
        <v>0</v>
      </c>
      <c r="P84" s="1404"/>
      <c r="Q84" s="1405" t="e">
        <f t="shared" si="27"/>
        <v>#DIV/0!</v>
      </c>
      <c r="R84" s="1406" t="s">
        <v>2031</v>
      </c>
      <c r="S84" s="1407">
        <f t="shared" si="29"/>
        <v>0</v>
      </c>
      <c r="T84" s="1303"/>
      <c r="U84" s="1409" t="e">
        <f t="shared" si="22"/>
        <v>#DIV/0!</v>
      </c>
      <c r="V84" s="1350">
        <f t="shared" si="28"/>
        <v>2150</v>
      </c>
      <c r="W84" s="1350">
        <f t="shared" si="23"/>
        <v>600</v>
      </c>
      <c r="X84" s="589"/>
      <c r="Y84" s="589"/>
      <c r="Z84" s="589"/>
    </row>
    <row r="85" spans="1:26" s="33" customFormat="1" hidden="1" outlineLevel="1">
      <c r="A85" s="1340">
        <f>К_ясень!F82</f>
        <v>1500</v>
      </c>
      <c r="C85" s="1293" t="s">
        <v>1684</v>
      </c>
      <c r="D85" s="1304">
        <f>E85*(1-$D$76)</f>
        <v>579.5</v>
      </c>
      <c r="E85" s="1340">
        <f>Погонаж!D38</f>
        <v>950</v>
      </c>
      <c r="F85" s="1340">
        <f t="shared" si="24"/>
        <v>579.5</v>
      </c>
      <c r="G85" s="1301">
        <f t="shared" si="20"/>
        <v>950</v>
      </c>
      <c r="H85" s="1365"/>
      <c r="I85" s="1366">
        <f t="shared" si="25"/>
        <v>0</v>
      </c>
      <c r="J85" s="1335" t="s">
        <v>1685</v>
      </c>
      <c r="K85" s="1320">
        <f t="shared" si="26"/>
        <v>0</v>
      </c>
      <c r="L85" s="1321"/>
      <c r="M85" s="1322" t="e">
        <f>G85/L85-1</f>
        <v>#DIV/0!</v>
      </c>
      <c r="N85" s="1334" t="s">
        <v>1686</v>
      </c>
      <c r="O85" s="1295">
        <f t="shared" si="21"/>
        <v>0</v>
      </c>
      <c r="P85" s="1296"/>
      <c r="Q85" s="1297" t="e">
        <f t="shared" si="27"/>
        <v>#DIV/0!</v>
      </c>
      <c r="R85" s="1333" t="s">
        <v>2030</v>
      </c>
      <c r="S85" s="1298">
        <f t="shared" si="29"/>
        <v>0</v>
      </c>
      <c r="T85" s="1299"/>
      <c r="U85" s="1300" t="e">
        <f t="shared" si="22"/>
        <v>#DIV/0!</v>
      </c>
      <c r="V85" s="1350">
        <f t="shared" si="28"/>
        <v>1300</v>
      </c>
      <c r="W85" s="1350">
        <f t="shared" si="23"/>
        <v>350</v>
      </c>
      <c r="X85" s="589"/>
      <c r="Y85" s="589"/>
      <c r="Z85" s="589"/>
    </row>
    <row r="86" spans="1:26" s="33" customFormat="1" hidden="1" outlineLevel="1">
      <c r="A86" s="1340"/>
      <c r="C86" s="1293"/>
      <c r="D86" s="1304"/>
      <c r="E86" s="1340"/>
      <c r="F86" s="1340"/>
      <c r="G86" s="1301"/>
      <c r="H86" s="1365"/>
      <c r="I86" s="1366"/>
      <c r="J86" s="1335"/>
      <c r="K86" s="1320"/>
      <c r="L86" s="1321"/>
      <c r="M86" s="1322"/>
      <c r="N86" s="1334"/>
      <c r="O86" s="1295"/>
      <c r="P86" s="1296"/>
      <c r="Q86" s="1297"/>
      <c r="R86" s="1333"/>
      <c r="S86" s="1298"/>
      <c r="T86" s="1299"/>
      <c r="U86" s="1300"/>
      <c r="V86" s="1350"/>
      <c r="W86" s="1350"/>
      <c r="X86" s="589"/>
      <c r="Y86" s="589"/>
      <c r="Z86" s="589"/>
    </row>
    <row r="87" spans="1:26" s="33" customFormat="1" ht="15.75" hidden="1" outlineLevel="1" thickBot="1">
      <c r="A87" s="1412"/>
      <c r="C87" s="1410"/>
      <c r="D87" s="1411"/>
      <c r="E87" s="1412"/>
      <c r="F87" s="1412"/>
      <c r="G87" s="1413"/>
      <c r="H87" s="1414"/>
      <c r="I87" s="1415"/>
      <c r="J87" s="1416"/>
      <c r="K87" s="1417"/>
      <c r="L87" s="1418"/>
      <c r="M87" s="1419"/>
      <c r="N87" s="1420"/>
      <c r="O87" s="1421"/>
      <c r="P87" s="1422"/>
      <c r="Q87" s="1423"/>
      <c r="R87" s="1424"/>
      <c r="S87" s="1425"/>
      <c r="T87" s="1428"/>
      <c r="U87" s="1427"/>
      <c r="V87" s="1350"/>
      <c r="W87" s="1350"/>
      <c r="X87" s="589"/>
      <c r="Y87" s="589"/>
      <c r="Z87" s="589"/>
    </row>
    <row r="88" spans="1:26" ht="23.25" hidden="1" outlineLevel="1" thickTop="1">
      <c r="A88" s="1340">
        <f>К_ясень!F85</f>
        <v>1200</v>
      </c>
      <c r="B88" s="33"/>
      <c r="C88" s="1293" t="s">
        <v>2117</v>
      </c>
      <c r="D88" s="1294">
        <f t="shared" ref="D88:D94" si="30">E88*(1-$D$76)</f>
        <v>457.5</v>
      </c>
      <c r="E88" s="1340">
        <f>Плинтусы!C9</f>
        <v>750</v>
      </c>
      <c r="F88" s="1340">
        <f t="shared" si="24"/>
        <v>457.5</v>
      </c>
      <c r="G88" s="1301">
        <f t="shared" si="20"/>
        <v>750</v>
      </c>
      <c r="H88" s="1365"/>
      <c r="I88" s="1366">
        <f t="shared" si="25"/>
        <v>0</v>
      </c>
      <c r="J88" s="1335"/>
      <c r="K88" s="1320"/>
      <c r="L88" s="1321"/>
      <c r="M88" s="1322"/>
      <c r="N88" s="1334"/>
      <c r="O88" s="1295"/>
      <c r="P88" s="1296"/>
      <c r="Q88" s="1297"/>
      <c r="R88" s="1333" t="s">
        <v>2115</v>
      </c>
      <c r="S88" s="1298">
        <f t="shared" si="29"/>
        <v>0</v>
      </c>
      <c r="T88" s="1299"/>
      <c r="U88" s="1300" t="e">
        <f t="shared" si="22"/>
        <v>#DIV/0!</v>
      </c>
      <c r="V88" s="1350">
        <f t="shared" si="28"/>
        <v>1050</v>
      </c>
      <c r="W88" s="1350">
        <f t="shared" si="23"/>
        <v>300</v>
      </c>
    </row>
    <row r="89" spans="1:26" ht="22.5" hidden="1" outlineLevel="1">
      <c r="A89" s="1340">
        <f>К_ясень!F86</f>
        <v>1550</v>
      </c>
      <c r="B89" s="33"/>
      <c r="C89" s="1293" t="s">
        <v>2118</v>
      </c>
      <c r="D89" s="1294">
        <f t="shared" si="30"/>
        <v>579.5</v>
      </c>
      <c r="E89" s="1340">
        <f>Плинтусы!D9</f>
        <v>950</v>
      </c>
      <c r="F89" s="1340">
        <f t="shared" si="24"/>
        <v>579.5</v>
      </c>
      <c r="G89" s="1301">
        <f t="shared" si="20"/>
        <v>950</v>
      </c>
      <c r="H89" s="1365"/>
      <c r="I89" s="1366">
        <f t="shared" si="25"/>
        <v>0</v>
      </c>
      <c r="J89" s="1335"/>
      <c r="K89" s="1320"/>
      <c r="L89" s="1321"/>
      <c r="M89" s="1322"/>
      <c r="N89" s="1334"/>
      <c r="O89" s="1295"/>
      <c r="P89" s="1296"/>
      <c r="Q89" s="1297"/>
      <c r="R89" s="1333" t="s">
        <v>2116</v>
      </c>
      <c r="S89" s="1298">
        <f t="shared" si="29"/>
        <v>0</v>
      </c>
      <c r="T89" s="1299"/>
      <c r="U89" s="1300" t="e">
        <f t="shared" si="22"/>
        <v>#DIV/0!</v>
      </c>
      <c r="V89" s="1350">
        <f t="shared" si="28"/>
        <v>1350</v>
      </c>
      <c r="W89" s="1350">
        <f t="shared" si="23"/>
        <v>400</v>
      </c>
    </row>
    <row r="90" spans="1:26" ht="25.9" hidden="1" customHeight="1" outlineLevel="1">
      <c r="A90" s="1340">
        <f>К_ясень!F87</f>
        <v>1150</v>
      </c>
      <c r="B90" s="33"/>
      <c r="C90" s="1293" t="s">
        <v>2119</v>
      </c>
      <c r="D90" s="1294">
        <f t="shared" si="30"/>
        <v>427</v>
      </c>
      <c r="E90" s="1340">
        <f>Стык.элементы!C8</f>
        <v>700</v>
      </c>
      <c r="F90" s="1340">
        <f t="shared" si="24"/>
        <v>427</v>
      </c>
      <c r="G90" s="1301">
        <f t="shared" si="20"/>
        <v>700</v>
      </c>
      <c r="H90" s="1365"/>
      <c r="I90" s="1366">
        <f t="shared" si="25"/>
        <v>0</v>
      </c>
      <c r="J90" s="1368"/>
      <c r="K90" s="1313"/>
      <c r="L90" s="1315"/>
      <c r="M90" s="1315"/>
      <c r="N90" s="1369"/>
      <c r="O90" s="1090"/>
      <c r="P90" s="1266"/>
      <c r="Q90" s="1266"/>
      <c r="R90" s="1370"/>
      <c r="S90" s="1271"/>
      <c r="T90" s="1273"/>
      <c r="U90" s="1273" t="e">
        <f t="shared" si="22"/>
        <v>#DIV/0!</v>
      </c>
      <c r="V90" s="1350">
        <f t="shared" si="28"/>
        <v>1000</v>
      </c>
      <c r="W90" s="1350">
        <f t="shared" si="23"/>
        <v>300</v>
      </c>
    </row>
    <row r="91" spans="1:26" ht="25.9" hidden="1" customHeight="1" outlineLevel="1">
      <c r="A91" s="1340">
        <f>К_ясень!F88</f>
        <v>1550</v>
      </c>
      <c r="B91" s="33"/>
      <c r="C91" s="1293" t="s">
        <v>2120</v>
      </c>
      <c r="D91" s="1294">
        <f t="shared" si="30"/>
        <v>0</v>
      </c>
      <c r="E91" s="1340">
        <f>Стык.элементы!C28</f>
        <v>0</v>
      </c>
      <c r="F91" s="1340">
        <f t="shared" si="24"/>
        <v>0</v>
      </c>
      <c r="G91" s="1301">
        <f t="shared" si="20"/>
        <v>0</v>
      </c>
      <c r="H91" s="1365"/>
      <c r="I91" s="1366" t="e">
        <f t="shared" si="25"/>
        <v>#DIV/0!</v>
      </c>
      <c r="J91" s="1368"/>
      <c r="K91" s="1313"/>
      <c r="L91" s="1315"/>
      <c r="M91" s="1315"/>
      <c r="N91" s="1369"/>
      <c r="O91" s="1090"/>
      <c r="P91" s="1266"/>
      <c r="Q91" s="1266"/>
      <c r="R91" s="1370" t="s">
        <v>2121</v>
      </c>
      <c r="S91" s="1271"/>
      <c r="T91" s="1273"/>
      <c r="U91" s="1273" t="e">
        <f t="shared" si="22"/>
        <v>#DIV/0!</v>
      </c>
      <c r="V91" s="1350">
        <f t="shared" si="28"/>
        <v>1350</v>
      </c>
      <c r="W91" s="1350">
        <f t="shared" si="23"/>
        <v>1350</v>
      </c>
    </row>
    <row r="92" spans="1:26" ht="20.45" hidden="1" customHeight="1" outlineLevel="1">
      <c r="A92" s="1340">
        <f>К_ясень!F89</f>
        <v>10350</v>
      </c>
      <c r="B92" s="33"/>
      <c r="C92" s="1293" t="s">
        <v>2123</v>
      </c>
      <c r="D92" s="1294">
        <f t="shared" si="30"/>
        <v>2013</v>
      </c>
      <c r="E92" s="1340">
        <f>Порталы!E68</f>
        <v>3300</v>
      </c>
      <c r="F92" s="1340">
        <f t="shared" si="24"/>
        <v>2013</v>
      </c>
      <c r="G92" s="1301">
        <f t="shared" si="20"/>
        <v>3300</v>
      </c>
      <c r="H92" s="1365"/>
      <c r="I92" s="1366">
        <f t="shared" si="25"/>
        <v>0</v>
      </c>
      <c r="J92" s="1368"/>
      <c r="K92" s="1313"/>
      <c r="L92" s="1315"/>
      <c r="M92" s="1315"/>
      <c r="N92" s="1369"/>
      <c r="O92" s="1295"/>
      <c r="P92" s="1266"/>
      <c r="Q92" s="1297"/>
      <c r="R92" s="1371" t="s">
        <v>2122</v>
      </c>
      <c r="S92" s="1298"/>
      <c r="T92" s="1299"/>
      <c r="U92" s="1300" t="e">
        <f t="shared" si="22"/>
        <v>#DIV/0!</v>
      </c>
      <c r="V92" s="1350"/>
      <c r="W92" s="1350"/>
    </row>
    <row r="93" spans="1:26" hidden="1" outlineLevel="1">
      <c r="A93" s="1340">
        <f>К_ясень!F90</f>
        <v>5350</v>
      </c>
      <c r="B93" s="33"/>
      <c r="C93" s="1293" t="s">
        <v>2129</v>
      </c>
      <c r="D93" s="1294">
        <f t="shared" si="30"/>
        <v>0</v>
      </c>
      <c r="E93" s="1277">
        <f>Порталы!I10</f>
        <v>0</v>
      </c>
      <c r="F93" s="1340">
        <f t="shared" si="24"/>
        <v>0</v>
      </c>
      <c r="G93" s="1301">
        <f t="shared" si="20"/>
        <v>0</v>
      </c>
      <c r="H93" s="1365"/>
      <c r="I93" s="1366" t="e">
        <f t="shared" si="25"/>
        <v>#DIV/0!</v>
      </c>
      <c r="J93" s="1368"/>
      <c r="K93" s="1313"/>
      <c r="L93" s="1315"/>
      <c r="M93" s="1315"/>
      <c r="N93" s="1369"/>
      <c r="O93" s="1090"/>
      <c r="P93" s="1266"/>
      <c r="Q93" s="1266"/>
      <c r="R93" s="1370"/>
      <c r="S93" s="1271"/>
      <c r="T93" s="1273"/>
      <c r="U93" s="1273" t="e">
        <f t="shared" si="22"/>
        <v>#DIV/0!</v>
      </c>
      <c r="V93" s="1350"/>
      <c r="W93" s="1350"/>
    </row>
    <row r="94" spans="1:26" ht="22.5" hidden="1" outlineLevel="1">
      <c r="A94" s="1340">
        <f>К_ясень!F91</f>
        <v>3900</v>
      </c>
      <c r="B94" s="33"/>
      <c r="C94" s="1293" t="s">
        <v>2145</v>
      </c>
      <c r="D94" s="1294">
        <f t="shared" si="30"/>
        <v>1494.5</v>
      </c>
      <c r="E94" s="1340">
        <f>Рейки!F8</f>
        <v>2450</v>
      </c>
      <c r="F94" s="1340">
        <f t="shared" si="24"/>
        <v>1494.5</v>
      </c>
      <c r="G94" s="1301">
        <f t="shared" si="20"/>
        <v>2450</v>
      </c>
      <c r="H94" s="1365"/>
      <c r="I94" s="1366">
        <f t="shared" si="25"/>
        <v>0</v>
      </c>
      <c r="J94" s="1335"/>
      <c r="K94" s="1320"/>
      <c r="L94" s="1321"/>
      <c r="M94" s="1322"/>
      <c r="N94" s="1334"/>
      <c r="O94" s="1295"/>
      <c r="P94" s="1296"/>
      <c r="Q94" s="1297"/>
      <c r="R94" s="1333"/>
      <c r="S94" s="1298"/>
      <c r="T94" s="1299"/>
      <c r="U94" s="1300" t="e">
        <f t="shared" si="22"/>
        <v>#DIV/0!</v>
      </c>
      <c r="V94" s="1350"/>
      <c r="W94" s="1350"/>
    </row>
    <row r="95" spans="1:26" hidden="1" outlineLevel="1"/>
    <row r="96" spans="1:26" collapsed="1"/>
    <row r="99" spans="2:23" hidden="1" outlineLevel="1">
      <c r="B99" s="589">
        <v>17</v>
      </c>
      <c r="C99" s="1258" t="s">
        <v>1738</v>
      </c>
      <c r="D99" s="1257">
        <f>E99*(1-$D$37)</f>
        <v>8265.5</v>
      </c>
      <c r="E99" s="1338">
        <f>Techno_Porte!G7</f>
        <v>13550</v>
      </c>
      <c r="F99" s="1257">
        <f>G99*(1-$D$37)</f>
        <v>8265.5</v>
      </c>
      <c r="G99" s="1246">
        <f>E99+H99</f>
        <v>13550</v>
      </c>
      <c r="H99" s="1357"/>
      <c r="I99" s="1358">
        <f>G99/E99-1</f>
        <v>0</v>
      </c>
      <c r="J99" s="1313"/>
      <c r="K99" s="1314"/>
      <c r="L99" s="1315"/>
      <c r="M99" s="1316"/>
      <c r="N99" s="1090"/>
      <c r="O99" s="1265"/>
      <c r="P99" s="1266"/>
      <c r="Q99" s="1267" t="e">
        <f>G99/P99-1</f>
        <v>#DIV/0!</v>
      </c>
      <c r="R99" s="1271" t="s">
        <v>1739</v>
      </c>
      <c r="S99" s="1272">
        <f>T99*(1-$S$37)</f>
        <v>6354.3000000000011</v>
      </c>
      <c r="T99" s="1273">
        <v>10770</v>
      </c>
      <c r="U99" s="1274">
        <f>G99/T99-1</f>
        <v>0.25812441968430822</v>
      </c>
      <c r="W99" s="1350">
        <f>V99-G99</f>
        <v>-13550</v>
      </c>
    </row>
    <row r="100" spans="2:23" hidden="1" outlineLevel="1">
      <c r="B100" s="589">
        <v>21</v>
      </c>
      <c r="C100" s="1243" t="s">
        <v>2104</v>
      </c>
      <c r="D100" s="1257">
        <f>E100*(1-$D$37)</f>
        <v>19672.5</v>
      </c>
      <c r="E100" s="1338">
        <f>Techno_Porte!G16+Techno_Porte!G38+Алюм.погонаж!H24</f>
        <v>32250</v>
      </c>
      <c r="F100" s="1257">
        <f>G100*(1-$D$37)</f>
        <v>19672.5</v>
      </c>
      <c r="G100" s="1246">
        <f>E100+H100</f>
        <v>32250</v>
      </c>
      <c r="H100" s="1357"/>
      <c r="I100" s="1358">
        <f>G100/E100-1</f>
        <v>0</v>
      </c>
      <c r="J100" s="1313"/>
      <c r="K100" s="1314"/>
      <c r="L100" s="1315"/>
      <c r="M100" s="1316"/>
      <c r="N100" s="1090"/>
      <c r="O100" s="1265"/>
      <c r="P100" s="1266"/>
      <c r="Q100" s="1267" t="e">
        <f>G100/P100-1</f>
        <v>#DIV/0!</v>
      </c>
      <c r="R100" s="1271" t="s">
        <v>2103</v>
      </c>
      <c r="S100" s="1272">
        <f>T100*(1-$S$37)</f>
        <v>17694.100000000002</v>
      </c>
      <c r="T100" s="1273">
        <v>29990</v>
      </c>
      <c r="U100" s="1274">
        <f>G100/T100-1</f>
        <v>7.5358452817605892E-2</v>
      </c>
      <c r="W100" s="1350">
        <f>V100-G100</f>
        <v>-32250</v>
      </c>
    </row>
    <row r="101" spans="2:23" collapsed="1"/>
  </sheetData>
  <sheetProtection password="E910" sheet="1" objects="1" scenarios="1" formatCells="0" formatColumns="0" formatRows="0" insertColumns="0" insertRows="0" insertHyperlinks="0" deleteColumns="0" deleteRows="0" sort="0" autoFilter="0" pivotTables="0"/>
  <conditionalFormatting sqref="M76 Q39:Q71 M39:M71 U39:U71">
    <cfRule type="cellIs" dxfId="367" priority="21" operator="greaterThan">
      <formula>0</formula>
    </cfRule>
  </conditionalFormatting>
  <conditionalFormatting sqref="U76">
    <cfRule type="cellIs" dxfId="366" priority="19" operator="greaterThan">
      <formula>0</formula>
    </cfRule>
  </conditionalFormatting>
  <conditionalFormatting sqref="Q74:Q75">
    <cfRule type="cellIs" dxfId="365" priority="8" operator="greaterThan">
      <formula>0</formula>
    </cfRule>
  </conditionalFormatting>
  <conditionalFormatting sqref="M74:M75">
    <cfRule type="cellIs" dxfId="364" priority="9" operator="greaterThan">
      <formula>0</formula>
    </cfRule>
  </conditionalFormatting>
  <conditionalFormatting sqref="U74:U75">
    <cfRule type="cellIs" dxfId="363" priority="10" operator="greaterThan">
      <formula>0</formula>
    </cfRule>
  </conditionalFormatting>
  <conditionalFormatting sqref="M37">
    <cfRule type="cellIs" dxfId="362" priority="7" operator="greaterThan">
      <formula>0</formula>
    </cfRule>
  </conditionalFormatting>
  <conditionalFormatting sqref="Q37">
    <cfRule type="cellIs" dxfId="361" priority="6" operator="greaterThan">
      <formula>0</formula>
    </cfRule>
  </conditionalFormatting>
  <conditionalFormatting sqref="U37">
    <cfRule type="cellIs" dxfId="360" priority="5" operator="greaterThan">
      <formula>0</formula>
    </cfRule>
  </conditionalFormatting>
  <conditionalFormatting sqref="Q88 Q99:Q100 M99:M100 U99:U100 M13:M34 Q5:Q34 U5:U34">
    <cfRule type="cellIs" dxfId="359" priority="35" operator="greaterThan">
      <formula>0</formula>
    </cfRule>
  </conditionalFormatting>
  <conditionalFormatting sqref="Q94">
    <cfRule type="cellIs" dxfId="358" priority="30" operator="greaterThan">
      <formula>0</formula>
    </cfRule>
  </conditionalFormatting>
  <conditionalFormatting sqref="U94">
    <cfRule type="cellIs" dxfId="357" priority="33" operator="greaterThan">
      <formula>0</formula>
    </cfRule>
  </conditionalFormatting>
  <conditionalFormatting sqref="Q92">
    <cfRule type="cellIs" dxfId="356" priority="29" operator="greaterThan">
      <formula>0</formula>
    </cfRule>
  </conditionalFormatting>
  <conditionalFormatting sqref="M3">
    <cfRule type="cellIs" dxfId="355" priority="28" operator="greaterThan">
      <formula>0</formula>
    </cfRule>
  </conditionalFormatting>
  <conditionalFormatting sqref="Q3">
    <cfRule type="cellIs" dxfId="354" priority="27" operator="greaterThan">
      <formula>0</formula>
    </cfRule>
  </conditionalFormatting>
  <conditionalFormatting sqref="U3">
    <cfRule type="cellIs" dxfId="353" priority="26" operator="greaterThan">
      <formula>0</formula>
    </cfRule>
  </conditionalFormatting>
  <conditionalFormatting sqref="H99:H100 H5:H34 H39:H75">
    <cfRule type="cellIs" dxfId="352" priority="14" operator="greaterThan">
      <formula>0</formula>
    </cfRule>
    <cfRule type="cellIs" dxfId="351" priority="15" operator="lessThan">
      <formula>0</formula>
    </cfRule>
  </conditionalFormatting>
  <conditionalFormatting sqref="I99:I100 I5:I34 I39:I75">
    <cfRule type="cellIs" dxfId="350" priority="12" operator="lessThan">
      <formula>0</formula>
    </cfRule>
    <cfRule type="cellIs" dxfId="349" priority="13" operator="greaterThan">
      <formula>0</formula>
    </cfRule>
  </conditionalFormatting>
  <conditionalFormatting sqref="I37">
    <cfRule type="cellIs" dxfId="348" priority="1" operator="lessThan">
      <formula>0</formula>
    </cfRule>
    <cfRule type="cellIs" dxfId="347" priority="2" operator="greaterThan">
      <formula>0</formula>
    </cfRule>
  </conditionalFormatting>
  <conditionalFormatting sqref="H37">
    <cfRule type="cellIs" dxfId="346" priority="3" operator="greaterThan">
      <formula>0</formula>
    </cfRule>
    <cfRule type="cellIs" dxfId="345" priority="4" operator="lessThan">
      <formula>0</formula>
    </cfRule>
  </conditionalFormatting>
  <conditionalFormatting sqref="M2 M5:M12 Q90:Q91 M95:M98 M81:M93 U81:U91 Q84:Q87 M101:M1048576">
    <cfRule type="cellIs" dxfId="344" priority="46" operator="greaterThan">
      <formula>0</formula>
    </cfRule>
  </conditionalFormatting>
  <conditionalFormatting sqref="M78:M80">
    <cfRule type="cellIs" dxfId="343" priority="45" operator="greaterThan">
      <formula>0</formula>
    </cfRule>
  </conditionalFormatting>
  <conditionalFormatting sqref="Q78:Q83">
    <cfRule type="cellIs" dxfId="342" priority="43" operator="greaterThan">
      <formula>0</formula>
    </cfRule>
  </conditionalFormatting>
  <conditionalFormatting sqref="Q2 Q93 Q89 Q95:Q98 Q101:Q1048576">
    <cfRule type="cellIs" dxfId="341" priority="44" operator="greaterThan">
      <formula>0</formula>
    </cfRule>
  </conditionalFormatting>
  <conditionalFormatting sqref="U2 U93 U95:U98 U101:U1048576">
    <cfRule type="cellIs" dxfId="340" priority="42" operator="greaterThan">
      <formula>0</formula>
    </cfRule>
  </conditionalFormatting>
  <conditionalFormatting sqref="U78:U80">
    <cfRule type="cellIs" dxfId="339" priority="41" operator="greaterThan">
      <formula>0</formula>
    </cfRule>
  </conditionalFormatting>
  <conditionalFormatting sqref="H1:H2 H35:H36 H95:H98 H79:H93 H101:H1048576">
    <cfRule type="cellIs" dxfId="338" priority="39" operator="greaterThan">
      <formula>0</formula>
    </cfRule>
    <cfRule type="cellIs" dxfId="337" priority="40" operator="lessThan">
      <formula>0</formula>
    </cfRule>
  </conditionalFormatting>
  <conditionalFormatting sqref="I1:I2 I35:I36 I79:I98 I101:I1048576">
    <cfRule type="cellIs" dxfId="336" priority="37" operator="lessThan">
      <formula>0</formula>
    </cfRule>
    <cfRule type="cellIs" dxfId="335" priority="38" operator="greaterThan">
      <formula>0</formula>
    </cfRule>
  </conditionalFormatting>
  <conditionalFormatting sqref="U92">
    <cfRule type="cellIs" dxfId="334" priority="36" operator="greaterThan">
      <formula>0</formula>
    </cfRule>
  </conditionalFormatting>
  <conditionalFormatting sqref="M94">
    <cfRule type="cellIs" dxfId="333" priority="34" operator="greaterThan">
      <formula>0</formula>
    </cfRule>
  </conditionalFormatting>
  <conditionalFormatting sqref="H94">
    <cfRule type="cellIs" dxfId="332" priority="31" operator="greaterThan">
      <formula>0</formula>
    </cfRule>
    <cfRule type="cellIs" dxfId="331" priority="32" operator="lessThan">
      <formula>0</formula>
    </cfRule>
  </conditionalFormatting>
  <conditionalFormatting sqref="H3">
    <cfRule type="cellIs" dxfId="330" priority="24" operator="greaterThan">
      <formula>0</formula>
    </cfRule>
    <cfRule type="cellIs" dxfId="329" priority="25" operator="lessThan">
      <formula>0</formula>
    </cfRule>
  </conditionalFormatting>
  <conditionalFormatting sqref="I3">
    <cfRule type="cellIs" dxfId="328" priority="22" operator="lessThan">
      <formula>0</formula>
    </cfRule>
    <cfRule type="cellIs" dxfId="327" priority="23" operator="greaterThan">
      <formula>0</formula>
    </cfRule>
  </conditionalFormatting>
  <conditionalFormatting sqref="Q76">
    <cfRule type="cellIs" dxfId="326" priority="20" operator="greaterThan">
      <formula>0</formula>
    </cfRule>
  </conditionalFormatting>
  <conditionalFormatting sqref="H76">
    <cfRule type="cellIs" dxfId="325" priority="17" operator="greaterThan">
      <formula>0</formula>
    </cfRule>
    <cfRule type="cellIs" dxfId="324" priority="18" operator="lessThan">
      <formula>0</formula>
    </cfRule>
  </conditionalFormatting>
  <conditionalFormatting sqref="I76">
    <cfRule type="cellIs" dxfId="323" priority="16" operator="greaterThan">
      <formula>0</formula>
    </cfRule>
  </conditionalFormatting>
  <conditionalFormatting sqref="I78">
    <cfRule type="cellIs" dxfId="322" priority="11" operator="less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49">
    <tabColor rgb="FF92D050"/>
  </sheetPr>
  <dimension ref="A1:J179"/>
  <sheetViews>
    <sheetView view="pageBreakPreview" zoomScale="80" zoomScaleNormal="55" zoomScaleSheetLayoutView="80" zoomScalePageLayoutView="70" workbookViewId="0">
      <pane ySplit="1" topLeftCell="A2" activePane="bottomLeft" state="frozen"/>
      <selection pane="bottomLeft" activeCell="H18" sqref="H18"/>
    </sheetView>
  </sheetViews>
  <sheetFormatPr defaultColWidth="9.140625" defaultRowHeight="12.75"/>
  <cols>
    <col min="1" max="1" width="9" style="81" customWidth="1"/>
    <col min="2" max="2" width="19.7109375" style="81" customWidth="1"/>
    <col min="3" max="6" width="25.7109375" style="81" customWidth="1"/>
    <col min="7" max="7" width="2" style="85" customWidth="1"/>
    <col min="8" max="8" width="25.7109375" style="81" customWidth="1"/>
    <col min="9" max="9" width="2.140625" style="81" customWidth="1"/>
    <col min="10" max="10" width="2" style="81" customWidth="1"/>
    <col min="11" max="16384" width="9.140625" style="81"/>
  </cols>
  <sheetData>
    <row r="1" spans="1:10" s="2290" customFormat="1" ht="15.95" customHeight="1">
      <c r="A1" s="2288"/>
      <c r="B1" s="2285" t="s">
        <v>490</v>
      </c>
      <c r="C1" s="2289"/>
      <c r="D1" s="2289"/>
      <c r="E1" s="2289"/>
      <c r="F1" s="2289"/>
      <c r="G1" s="2291"/>
      <c r="H1" s="2289"/>
      <c r="I1" s="2289"/>
    </row>
    <row r="2" spans="1:10" s="76" customFormat="1" ht="15.95" customHeight="1">
      <c r="A2" s="77"/>
      <c r="B2" s="78"/>
      <c r="C2" s="78"/>
      <c r="D2" s="78"/>
      <c r="E2" s="78"/>
      <c r="F2" s="78"/>
      <c r="G2" s="583"/>
      <c r="H2" s="78"/>
      <c r="I2" s="78"/>
    </row>
    <row r="3" spans="1:10" s="11" customFormat="1" ht="17.25" customHeight="1">
      <c r="A3" s="5175" t="s">
        <v>378</v>
      </c>
      <c r="B3" s="5175"/>
      <c r="C3" s="5399"/>
      <c r="D3" s="153"/>
      <c r="E3" s="684"/>
      <c r="F3" s="153"/>
      <c r="G3" s="688"/>
      <c r="H3" s="153"/>
      <c r="I3" s="153"/>
      <c r="J3" s="70"/>
    </row>
    <row r="4" spans="1:10" s="11" customFormat="1" ht="52.5" customHeight="1">
      <c r="A4" s="5400" t="s">
        <v>111</v>
      </c>
      <c r="B4" s="5401"/>
      <c r="C4" s="5397" t="s">
        <v>884</v>
      </c>
      <c r="D4" s="5397"/>
      <c r="E4" s="5397" t="s">
        <v>886</v>
      </c>
      <c r="F4" s="5397"/>
      <c r="G4" s="432"/>
      <c r="H4" s="2364" t="s">
        <v>460</v>
      </c>
      <c r="I4" s="432"/>
      <c r="J4" s="70"/>
    </row>
    <row r="5" spans="1:10" s="11" customFormat="1" ht="17.25" customHeight="1">
      <c r="A5" s="5402"/>
      <c r="B5" s="5403"/>
      <c r="C5" s="2360" t="s">
        <v>6</v>
      </c>
      <c r="D5" s="2361" t="s">
        <v>85</v>
      </c>
      <c r="E5" s="2360" t="s">
        <v>6</v>
      </c>
      <c r="F5" s="2361" t="s">
        <v>85</v>
      </c>
      <c r="G5" s="448"/>
      <c r="H5" s="2361" t="s">
        <v>6</v>
      </c>
      <c r="I5" s="436"/>
      <c r="J5" s="70"/>
    </row>
    <row r="6" spans="1:10" s="11" customFormat="1" ht="17.25" customHeight="1">
      <c r="A6" s="5402"/>
      <c r="B6" s="5403"/>
      <c r="C6" s="5396" t="s">
        <v>885</v>
      </c>
      <c r="D6" s="5396" t="s">
        <v>887</v>
      </c>
      <c r="E6" s="5396" t="s">
        <v>888</v>
      </c>
      <c r="F6" s="5398" t="s">
        <v>887</v>
      </c>
      <c r="G6" s="437"/>
      <c r="H6" s="5396" t="s">
        <v>1410</v>
      </c>
      <c r="I6" s="433"/>
      <c r="J6" s="70"/>
    </row>
    <row r="7" spans="1:10" s="11" customFormat="1" ht="32.25" customHeight="1">
      <c r="A7" s="5402"/>
      <c r="B7" s="5403"/>
      <c r="C7" s="5396"/>
      <c r="D7" s="5396"/>
      <c r="E7" s="5396"/>
      <c r="F7" s="5398"/>
      <c r="G7" s="437"/>
      <c r="H7" s="5396"/>
      <c r="I7" s="433"/>
      <c r="J7" s="70"/>
    </row>
    <row r="8" spans="1:10" s="11" customFormat="1" ht="32.25" customHeight="1">
      <c r="A8" s="5402"/>
      <c r="B8" s="5403"/>
      <c r="C8" s="5396"/>
      <c r="D8" s="5396"/>
      <c r="E8" s="5396"/>
      <c r="F8" s="5398"/>
      <c r="G8" s="437"/>
      <c r="H8" s="5396"/>
      <c r="I8" s="433"/>
      <c r="J8" s="70"/>
    </row>
    <row r="9" spans="1:10" s="157" customFormat="1" ht="19.5" customHeight="1">
      <c r="A9" s="5402"/>
      <c r="B9" s="5403"/>
      <c r="C9" s="2365" t="s">
        <v>146</v>
      </c>
      <c r="D9" s="5396"/>
      <c r="E9" s="2365" t="s">
        <v>3296</v>
      </c>
      <c r="F9" s="5398"/>
      <c r="G9" s="437"/>
      <c r="H9" s="2365" t="s">
        <v>440</v>
      </c>
      <c r="I9" s="452"/>
    </row>
    <row r="10" spans="1:10" s="157" customFormat="1" ht="93" customHeight="1">
      <c r="A10" s="5404"/>
      <c r="B10" s="5405"/>
      <c r="C10" s="2362" t="s">
        <v>102</v>
      </c>
      <c r="D10" s="2363" t="s">
        <v>2232</v>
      </c>
      <c r="E10" s="2362" t="s">
        <v>153</v>
      </c>
      <c r="F10" s="3019" t="s">
        <v>2232</v>
      </c>
      <c r="G10" s="448"/>
      <c r="H10" s="2366" t="s">
        <v>2232</v>
      </c>
      <c r="I10" s="453"/>
    </row>
    <row r="11" spans="1:10" s="11" customFormat="1" ht="47.25" customHeight="1">
      <c r="A11" s="5346" t="s">
        <v>1425</v>
      </c>
      <c r="B11" s="2470" t="s">
        <v>2482</v>
      </c>
      <c r="C11" s="1231">
        <f>CEILING('Погонаж база'!K31*(1+скидки_наценки!$B$28)*скидки_наценки!$D$19*скидки_наценки!$F$19/скидки_наценки!$B$4, 10)</f>
        <v>3150</v>
      </c>
      <c r="D11" s="1231">
        <f>CEILING('Погонаж база'!BF31*(1+скидки_наценки!$B$28)*скидки_наценки!$D$19*скидки_наценки!$F$19/скидки_наценки!$B$4, 10)</f>
        <v>1350</v>
      </c>
      <c r="E11" s="1231">
        <f>CEILING('Погонаж база'!Q31*(1+скидки_наценки!$B$28)*скидки_наценки!$D$19*скидки_наценки!$F$19/скидки_наценки!$B$4, 10)</f>
        <v>2600</v>
      </c>
      <c r="F11" s="3020">
        <f t="shared" ref="F11:F17" si="0">D11</f>
        <v>1350</v>
      </c>
      <c r="G11" s="474"/>
      <c r="H11" s="1231">
        <f>CEILING('Погонаж база'!L31*(1+скидки_наценки!$B$28)*скидки_наценки!$D$19*скидки_наценки!$F$19/скидки_наценки!$B$4, 10)</f>
        <v>2950</v>
      </c>
      <c r="I11" s="475"/>
    </row>
    <row r="12" spans="1:10" s="156" customFormat="1" ht="42.75" customHeight="1">
      <c r="A12" s="5346"/>
      <c r="B12" s="2471" t="s">
        <v>2483</v>
      </c>
      <c r="C12" s="2473">
        <f>CEILING('Погонаж база'!K32*(1+скидки_наценки!$B$28)*скидки_наценки!$D$19*скидки_наценки!$F$19/скидки_наценки!$B$4, 10)</f>
        <v>3700</v>
      </c>
      <c r="D12" s="2473">
        <f>CEILING('Погонаж база'!BF32*(1+скидки_наценки!$B$28)*скидки_наценки!$D$19*скидки_наценки!$F$19/скидки_наценки!$B$4, 10)</f>
        <v>1600</v>
      </c>
      <c r="E12" s="2473">
        <f>CEILING('Погонаж база'!Q32*(1+скидки_наценки!$B$28)*скидки_наценки!$D$19*скидки_наценки!$F$19/скидки_наценки!$B$4, 10)</f>
        <v>3100</v>
      </c>
      <c r="F12" s="3021">
        <f t="shared" si="0"/>
        <v>1600</v>
      </c>
      <c r="G12" s="689"/>
      <c r="H12" s="2473">
        <f>CEILING('Погонаж база'!L32*(1+скидки_наценки!$B$28)*скидки_наценки!$D$19*скидки_наценки!$F$19/скидки_наценки!$B$4, 10)</f>
        <v>3500</v>
      </c>
      <c r="I12" s="476"/>
    </row>
    <row r="13" spans="1:10" s="11" customFormat="1" ht="47.25" customHeight="1">
      <c r="A13" s="2472" t="s">
        <v>30</v>
      </c>
      <c r="B13" s="2470" t="s">
        <v>284</v>
      </c>
      <c r="C13" s="1231">
        <f>CEILING('Погонаж база'!K33*(1+скидки_наценки!$B$28)*скидки_наценки!$D$19*скидки_наценки!$F$19/скидки_наценки!$B$4, 10)</f>
        <v>4800</v>
      </c>
      <c r="D13" s="1231">
        <f>CEILING('Погонаж база'!BF33*(1+скидки_наценки!$B$28)*скидки_наценки!$D$19*скидки_наценки!$F$19/скидки_наценки!$B$4, 10)</f>
        <v>2050</v>
      </c>
      <c r="E13" s="1231">
        <f>CEILING('Погонаж база'!Q33*(1+скидки_наценки!$B$28)*скидки_наценки!$D$19*скидки_наценки!$F$19/скидки_наценки!$B$4, 10)</f>
        <v>4000</v>
      </c>
      <c r="F13" s="3020">
        <f t="shared" si="0"/>
        <v>2050</v>
      </c>
      <c r="G13" s="474"/>
      <c r="H13" s="1231">
        <f>CEILING('Погонаж база'!L33*(1+скидки_наценки!$B$28)*скидки_наценки!$D$19*скидки_наценки!$F$19/скидки_наценки!$B$4, 10)</f>
        <v>4500</v>
      </c>
      <c r="I13" s="475"/>
    </row>
    <row r="14" spans="1:10" s="153" customFormat="1" ht="31.5" customHeight="1">
      <c r="A14" s="5342" t="s">
        <v>26</v>
      </c>
      <c r="B14" s="2471" t="s">
        <v>2569</v>
      </c>
      <c r="C14" s="2473">
        <f>CEILING('Погонаж база'!K34*(1+скидки_наценки!$B$29)*скидки_наценки!$D$19*скидки_наценки!$F$19/скидки_наценки!$B$4, 10)</f>
        <v>5050</v>
      </c>
      <c r="D14" s="2473">
        <f>CEILING('Погонаж база'!BF34*(1+скидки_наценки!$B$29)*скидки_наценки!$D$19*скидки_наценки!$F$19/скидки_наценки!$B$4, 10)</f>
        <v>2200</v>
      </c>
      <c r="E14" s="2473">
        <f>CEILING('Погонаж база'!Q34*(1+скидки_наценки!$B$28)*скидки_наценки!$D$19*скидки_наценки!$F$19/скидки_наценки!$B$4, 10)</f>
        <v>4200</v>
      </c>
      <c r="F14" s="3021">
        <f t="shared" si="0"/>
        <v>2200</v>
      </c>
      <c r="G14" s="474"/>
      <c r="H14" s="2473">
        <f>CEILING('Погонаж база'!L34*(1+скидки_наценки!$B$29)*скидки_наценки!$D$19*скидки_наценки!$F$19/скидки_наценки!$B$4, 10)</f>
        <v>4750</v>
      </c>
      <c r="I14" s="475"/>
    </row>
    <row r="15" spans="1:10" s="154" customFormat="1" ht="31.5" customHeight="1">
      <c r="A15" s="5342"/>
      <c r="B15" s="2470" t="s">
        <v>2579</v>
      </c>
      <c r="C15" s="1231">
        <f>CEILING('Погонаж база'!K35*(1+скидки_наценки!$B$29)*скидки_наценки!$D$19*скидки_наценки!$F$19/скидки_наценки!$B$4, 10)</f>
        <v>5450</v>
      </c>
      <c r="D15" s="1231">
        <f>CEILING('Погонаж база'!BF35*(1+скидки_наценки!$B$29)*скидки_наценки!$D$19*скидки_наценки!$F$19/скидки_наценки!$B$4, 10)</f>
        <v>2350</v>
      </c>
      <c r="E15" s="1231">
        <f>CEILING('Погонаж база'!Q35*(1+скидки_наценки!$B$28)*скидки_наценки!$D$19*скидки_наценки!$F$19/скидки_наценки!$B$4, 10)</f>
        <v>4550</v>
      </c>
      <c r="F15" s="3020">
        <f t="shared" si="0"/>
        <v>2350</v>
      </c>
      <c r="G15" s="3017"/>
      <c r="H15" s="1231">
        <f>CEILING('Погонаж база'!L35*(1+скидки_наценки!$B$29)*скидки_наценки!$D$19*скидки_наценки!$F$19/скидки_наценки!$B$4, 10)</f>
        <v>5100</v>
      </c>
      <c r="I15" s="475"/>
    </row>
    <row r="16" spans="1:10" s="154" customFormat="1" ht="31.5" customHeight="1">
      <c r="A16" s="5343"/>
      <c r="B16" s="3921" t="s">
        <v>3380</v>
      </c>
      <c r="C16" s="2473">
        <f>CEILING('Погонаж база'!K36*(1+скидки_наценки!$B$29)*скидки_наценки!$D$19*скидки_наценки!$F$19/скидки_наценки!$B$4, 10)</f>
        <v>5700</v>
      </c>
      <c r="D16" s="2473">
        <f>CEILING('Погонаж база'!BF36*(1+скидки_наценки!$B$29)*скидки_наценки!$D$19*скидки_наценки!$F$19/скидки_наценки!$B$4, 10)</f>
        <v>2450</v>
      </c>
      <c r="E16" s="2473">
        <f>CEILING('Погонаж база'!Q36*(1+скидки_наценки!$B$28)*скидки_наценки!$D$19*скидки_наценки!$F$19/скидки_наценки!$B$4, 10)</f>
        <v>4750</v>
      </c>
      <c r="F16" s="3021">
        <f t="shared" si="0"/>
        <v>2450</v>
      </c>
      <c r="G16" s="3970"/>
      <c r="H16" s="2473">
        <f>CEILING('Погонаж база'!L36*(1+скидки_наценки!$B$29)*скидки_наценки!$D$19*скидки_наценки!$F$19/скидки_наценки!$B$4, 10)</f>
        <v>5350</v>
      </c>
      <c r="I16" s="475"/>
    </row>
    <row r="17" spans="1:10" s="154" customFormat="1" ht="31.5" customHeight="1">
      <c r="A17" s="5342"/>
      <c r="B17" s="2470" t="s">
        <v>2588</v>
      </c>
      <c r="C17" s="1231">
        <f>CEILING('Погонаж база'!K37*(1+скидки_наценки!$B$29)*скидки_наценки!$D$19*скидки_наценки!$F$19/скидки_наценки!$B$4, 10)</f>
        <v>5950</v>
      </c>
      <c r="D17" s="1231">
        <f>CEILING('Погонаж база'!BF37*(1+скидки_наценки!$B$29)*скидки_наценки!$D$19*скидки_наценки!$F$19/скидки_наценки!$B$4, 10)</f>
        <v>2550</v>
      </c>
      <c r="E17" s="1231">
        <f>CEILING('Погонаж база'!Q37*(1+скидки_наценки!$B$28)*скидки_наценки!$D$19*скидки_наценки!$F$19/скидки_наценки!$B$4, 10)</f>
        <v>4950</v>
      </c>
      <c r="F17" s="3020">
        <f t="shared" si="0"/>
        <v>2550</v>
      </c>
      <c r="G17" s="3018"/>
      <c r="H17" s="1231">
        <f>CEILING('Погонаж база'!L37*(1+скидки_наценки!$B$29)*скидки_наценки!$D$19*скидки_наценки!$F$19/скидки_наценки!$B$4, 10)</f>
        <v>5550</v>
      </c>
      <c r="I17" s="475"/>
    </row>
    <row r="18" spans="1:10" s="113" customFormat="1" ht="18" customHeight="1">
      <c r="A18" s="79"/>
      <c r="B18" s="1214"/>
      <c r="C18" s="256"/>
      <c r="D18" s="203"/>
      <c r="E18" s="256"/>
      <c r="F18" s="203"/>
      <c r="G18" s="351"/>
      <c r="H18" s="203"/>
      <c r="I18" s="203"/>
    </row>
    <row r="19" spans="1:10" s="113" customFormat="1" ht="18" customHeight="1">
      <c r="A19" s="203"/>
      <c r="B19" s="1214"/>
      <c r="C19" s="256"/>
      <c r="D19" s="203"/>
      <c r="E19" s="256"/>
      <c r="F19" s="203"/>
      <c r="G19" s="351"/>
      <c r="H19" s="203"/>
      <c r="I19" s="203"/>
    </row>
    <row r="20" spans="1:10" s="172" customFormat="1" ht="15">
      <c r="B20" s="350" t="s">
        <v>1328</v>
      </c>
      <c r="C20" s="171"/>
      <c r="D20" s="171"/>
      <c r="E20" s="171"/>
      <c r="F20" s="171"/>
      <c r="G20" s="317"/>
      <c r="H20" s="171"/>
    </row>
    <row r="21" spans="1:10" s="113" customFormat="1" ht="12" customHeight="1">
      <c r="A21" s="117"/>
      <c r="B21" s="79" t="s">
        <v>1409</v>
      </c>
      <c r="C21" s="115"/>
      <c r="D21" s="117"/>
      <c r="E21" s="115"/>
      <c r="F21" s="117"/>
      <c r="G21" s="239"/>
      <c r="H21" s="117"/>
      <c r="I21" s="117"/>
    </row>
    <row r="22" spans="1:10" s="113" customFormat="1" ht="12" customHeight="1">
      <c r="A22" s="117"/>
      <c r="B22" s="257"/>
      <c r="C22" s="116"/>
      <c r="D22" s="116"/>
      <c r="E22" s="116"/>
      <c r="F22" s="116"/>
      <c r="G22" s="240"/>
      <c r="H22" s="116"/>
      <c r="I22" s="116"/>
    </row>
    <row r="23" spans="1:10" s="11" customFormat="1" ht="17.25" customHeight="1">
      <c r="A23" s="153"/>
      <c r="C23" s="153"/>
      <c r="D23" s="153"/>
      <c r="E23" s="153"/>
      <c r="F23" s="153"/>
      <c r="G23" s="688"/>
      <c r="H23" s="153"/>
      <c r="I23" s="153"/>
      <c r="J23" s="70"/>
    </row>
    <row r="24" spans="1:10" s="11" customFormat="1" ht="17.25" customHeight="1">
      <c r="A24" s="153"/>
      <c r="C24" s="153"/>
      <c r="D24" s="153"/>
      <c r="E24" s="153"/>
      <c r="F24" s="153"/>
      <c r="G24" s="688"/>
      <c r="H24" s="153"/>
      <c r="I24" s="153"/>
      <c r="J24" s="70"/>
    </row>
    <row r="25" spans="1:10" s="11" customFormat="1" ht="17.25" customHeight="1">
      <c r="A25" s="153"/>
      <c r="C25" s="153"/>
      <c r="D25" s="153"/>
      <c r="E25" s="153"/>
      <c r="F25" s="153"/>
      <c r="G25" s="688"/>
      <c r="H25" s="153"/>
      <c r="I25" s="153"/>
      <c r="J25" s="70"/>
    </row>
    <row r="26" spans="1:10" s="11" customFormat="1" ht="17.25" customHeight="1">
      <c r="A26" s="153"/>
      <c r="C26" s="153"/>
      <c r="D26" s="153"/>
      <c r="E26" s="153"/>
      <c r="F26" s="153"/>
      <c r="G26" s="688"/>
      <c r="H26" s="153"/>
      <c r="I26" s="153"/>
      <c r="J26" s="70"/>
    </row>
    <row r="27" spans="1:10" s="11" customFormat="1" ht="17.25" customHeight="1">
      <c r="A27" s="153"/>
      <c r="C27" s="153"/>
      <c r="D27" s="153"/>
      <c r="E27" s="153"/>
      <c r="F27" s="153"/>
      <c r="G27" s="688"/>
      <c r="H27" s="153"/>
      <c r="I27" s="153"/>
      <c r="J27" s="70"/>
    </row>
    <row r="28" spans="1:10" s="11" customFormat="1" ht="17.25" customHeight="1">
      <c r="A28" s="153"/>
      <c r="C28" s="153"/>
      <c r="D28" s="153"/>
      <c r="E28" s="153"/>
      <c r="F28" s="153"/>
      <c r="G28" s="688"/>
      <c r="H28" s="153"/>
      <c r="I28" s="153"/>
      <c r="J28" s="70"/>
    </row>
    <row r="29" spans="1:10" s="11" customFormat="1" ht="17.25" customHeight="1">
      <c r="A29" s="153"/>
      <c r="C29" s="153"/>
      <c r="D29" s="153"/>
      <c r="E29" s="153"/>
      <c r="F29" s="153"/>
      <c r="G29" s="688"/>
      <c r="H29" s="153"/>
      <c r="I29" s="153"/>
      <c r="J29" s="70"/>
    </row>
    <row r="30" spans="1:10" s="79" customFormat="1">
      <c r="G30" s="105"/>
    </row>
    <row r="31" spans="1:10" s="79" customFormat="1">
      <c r="G31" s="105"/>
    </row>
    <row r="32" spans="1:10" s="79" customFormat="1">
      <c r="G32" s="105"/>
    </row>
    <row r="33" spans="7:7" s="79" customFormat="1">
      <c r="G33" s="105"/>
    </row>
    <row r="34" spans="7:7" s="79" customFormat="1">
      <c r="G34" s="105"/>
    </row>
    <row r="35" spans="7:7" s="79" customFormat="1">
      <c r="G35" s="105"/>
    </row>
    <row r="36" spans="7:7" s="79" customFormat="1">
      <c r="G36" s="105"/>
    </row>
    <row r="37" spans="7:7" s="79" customFormat="1">
      <c r="G37" s="105"/>
    </row>
    <row r="38" spans="7:7" s="79" customFormat="1">
      <c r="G38" s="105"/>
    </row>
    <row r="39" spans="7:7" s="79" customFormat="1">
      <c r="G39" s="105"/>
    </row>
    <row r="40" spans="7:7" s="79" customFormat="1">
      <c r="G40" s="105"/>
    </row>
    <row r="41" spans="7:7" s="79" customFormat="1">
      <c r="G41" s="105"/>
    </row>
    <row r="42" spans="7:7" s="79" customFormat="1">
      <c r="G42" s="105"/>
    </row>
    <row r="43" spans="7:7" s="79" customFormat="1">
      <c r="G43" s="105"/>
    </row>
    <row r="44" spans="7:7" s="79" customFormat="1">
      <c r="G44" s="105"/>
    </row>
    <row r="45" spans="7:7" s="79" customFormat="1">
      <c r="G45" s="105"/>
    </row>
    <row r="46" spans="7:7" s="79" customFormat="1">
      <c r="G46" s="105"/>
    </row>
    <row r="47" spans="7:7" s="79" customFormat="1">
      <c r="G47" s="105"/>
    </row>
    <row r="48" spans="7:7" s="79" customFormat="1">
      <c r="G48" s="105"/>
    </row>
    <row r="49" spans="7:7" s="79" customFormat="1">
      <c r="G49" s="105"/>
    </row>
    <row r="50" spans="7:7" s="79" customFormat="1">
      <c r="G50" s="105"/>
    </row>
    <row r="51" spans="7:7" s="79" customFormat="1">
      <c r="G51" s="105"/>
    </row>
    <row r="52" spans="7:7" s="79" customFormat="1">
      <c r="G52" s="105"/>
    </row>
    <row r="53" spans="7:7" s="79" customFormat="1">
      <c r="G53" s="105"/>
    </row>
    <row r="54" spans="7:7" s="79" customFormat="1">
      <c r="G54" s="105"/>
    </row>
    <row r="55" spans="7:7" s="79" customFormat="1">
      <c r="G55" s="105"/>
    </row>
    <row r="56" spans="7:7" s="79" customFormat="1">
      <c r="G56" s="105"/>
    </row>
    <row r="57" spans="7:7" s="79" customFormat="1">
      <c r="G57" s="105"/>
    </row>
    <row r="58" spans="7:7" s="79" customFormat="1">
      <c r="G58" s="105"/>
    </row>
    <row r="59" spans="7:7" s="79" customFormat="1">
      <c r="G59" s="105"/>
    </row>
    <row r="60" spans="7:7" s="79" customFormat="1">
      <c r="G60" s="105"/>
    </row>
    <row r="61" spans="7:7" s="79" customFormat="1">
      <c r="G61" s="105"/>
    </row>
    <row r="62" spans="7:7" s="79" customFormat="1">
      <c r="G62" s="105"/>
    </row>
    <row r="63" spans="7:7" s="79" customFormat="1">
      <c r="G63" s="105"/>
    </row>
    <row r="64" spans="7:7" s="79" customFormat="1">
      <c r="G64" s="105"/>
    </row>
    <row r="65" spans="7:7" s="79" customFormat="1">
      <c r="G65" s="105"/>
    </row>
    <row r="66" spans="7:7" s="79" customFormat="1">
      <c r="G66" s="105"/>
    </row>
    <row r="67" spans="7:7" s="79" customFormat="1">
      <c r="G67" s="105"/>
    </row>
    <row r="68" spans="7:7" s="79" customFormat="1">
      <c r="G68" s="105"/>
    </row>
    <row r="69" spans="7:7" s="79" customFormat="1">
      <c r="G69" s="105"/>
    </row>
    <row r="70" spans="7:7" s="79" customFormat="1">
      <c r="G70" s="105"/>
    </row>
    <row r="71" spans="7:7" s="79" customFormat="1">
      <c r="G71" s="105"/>
    </row>
    <row r="72" spans="7:7" s="79" customFormat="1">
      <c r="G72" s="105"/>
    </row>
    <row r="73" spans="7:7" s="79" customFormat="1">
      <c r="G73" s="105"/>
    </row>
    <row r="74" spans="7:7" s="79" customFormat="1">
      <c r="G74" s="105"/>
    </row>
    <row r="75" spans="7:7" s="79" customFormat="1">
      <c r="G75" s="105"/>
    </row>
    <row r="76" spans="7:7" s="79" customFormat="1">
      <c r="G76" s="105"/>
    </row>
    <row r="77" spans="7:7" s="79" customFormat="1">
      <c r="G77" s="105"/>
    </row>
    <row r="78" spans="7:7" s="79" customFormat="1">
      <c r="G78" s="105"/>
    </row>
    <row r="79" spans="7:7" s="79" customFormat="1">
      <c r="G79" s="105"/>
    </row>
    <row r="80" spans="7:7" s="79" customFormat="1">
      <c r="G80" s="105"/>
    </row>
    <row r="81" spans="7:7" s="79" customFormat="1">
      <c r="G81" s="105"/>
    </row>
    <row r="82" spans="7:7" s="79" customFormat="1">
      <c r="G82" s="105"/>
    </row>
    <row r="83" spans="7:7" s="79" customFormat="1">
      <c r="G83" s="105"/>
    </row>
    <row r="84" spans="7:7" s="79" customFormat="1">
      <c r="G84" s="105"/>
    </row>
    <row r="85" spans="7:7" s="79" customFormat="1">
      <c r="G85" s="105"/>
    </row>
    <row r="86" spans="7:7" s="79" customFormat="1">
      <c r="G86" s="105"/>
    </row>
    <row r="87" spans="7:7" s="79" customFormat="1">
      <c r="G87" s="105"/>
    </row>
    <row r="88" spans="7:7" s="79" customFormat="1">
      <c r="G88" s="105"/>
    </row>
    <row r="89" spans="7:7" s="79" customFormat="1">
      <c r="G89" s="105"/>
    </row>
    <row r="90" spans="7:7" s="79" customFormat="1">
      <c r="G90" s="105"/>
    </row>
    <row r="91" spans="7:7" s="79" customFormat="1">
      <c r="G91" s="105"/>
    </row>
    <row r="92" spans="7:7" s="79" customFormat="1">
      <c r="G92" s="105"/>
    </row>
    <row r="93" spans="7:7" s="79" customFormat="1">
      <c r="G93" s="105"/>
    </row>
    <row r="94" spans="7:7" s="79" customFormat="1">
      <c r="G94" s="105"/>
    </row>
    <row r="95" spans="7:7" s="79" customFormat="1">
      <c r="G95" s="105"/>
    </row>
    <row r="96" spans="7:7" s="79" customFormat="1">
      <c r="G96" s="105"/>
    </row>
    <row r="97" spans="7:7" s="79" customFormat="1">
      <c r="G97" s="105"/>
    </row>
    <row r="98" spans="7:7" s="79" customFormat="1">
      <c r="G98" s="105"/>
    </row>
    <row r="99" spans="7:7" s="79" customFormat="1">
      <c r="G99" s="105"/>
    </row>
    <row r="100" spans="7:7" s="79" customFormat="1">
      <c r="G100" s="105"/>
    </row>
    <row r="101" spans="7:7" s="79" customFormat="1">
      <c r="G101" s="105"/>
    </row>
    <row r="102" spans="7:7" s="79" customFormat="1">
      <c r="G102" s="105"/>
    </row>
    <row r="103" spans="7:7" s="79" customFormat="1">
      <c r="G103" s="105"/>
    </row>
    <row r="104" spans="7:7" s="79" customFormat="1">
      <c r="G104" s="105"/>
    </row>
    <row r="105" spans="7:7" s="79" customFormat="1">
      <c r="G105" s="105"/>
    </row>
    <row r="106" spans="7:7" s="79" customFormat="1">
      <c r="G106" s="105"/>
    </row>
    <row r="107" spans="7:7" s="79" customFormat="1">
      <c r="G107" s="105"/>
    </row>
    <row r="108" spans="7:7" s="79" customFormat="1">
      <c r="G108" s="105"/>
    </row>
    <row r="109" spans="7:7" s="79" customFormat="1">
      <c r="G109" s="105"/>
    </row>
    <row r="110" spans="7:7" s="79" customFormat="1">
      <c r="G110" s="105"/>
    </row>
    <row r="111" spans="7:7" s="79" customFormat="1">
      <c r="G111" s="105"/>
    </row>
    <row r="112" spans="7:7" s="79" customFormat="1">
      <c r="G112" s="105"/>
    </row>
    <row r="113" spans="7:7" s="79" customFormat="1">
      <c r="G113" s="105"/>
    </row>
    <row r="114" spans="7:7" s="79" customFormat="1">
      <c r="G114" s="105"/>
    </row>
    <row r="115" spans="7:7" s="79" customFormat="1">
      <c r="G115" s="105"/>
    </row>
    <row r="116" spans="7:7" s="79" customFormat="1">
      <c r="G116" s="105"/>
    </row>
    <row r="117" spans="7:7" s="79" customFormat="1">
      <c r="G117" s="105"/>
    </row>
    <row r="118" spans="7:7" s="79" customFormat="1">
      <c r="G118" s="105"/>
    </row>
    <row r="119" spans="7:7" s="79" customFormat="1">
      <c r="G119" s="105"/>
    </row>
    <row r="120" spans="7:7" s="79" customFormat="1">
      <c r="G120" s="105"/>
    </row>
    <row r="121" spans="7:7" s="79" customFormat="1">
      <c r="G121" s="105"/>
    </row>
    <row r="122" spans="7:7" s="79" customFormat="1">
      <c r="G122" s="105"/>
    </row>
    <row r="123" spans="7:7" s="79" customFormat="1">
      <c r="G123" s="105"/>
    </row>
    <row r="124" spans="7:7" s="79" customFormat="1">
      <c r="G124" s="105"/>
    </row>
    <row r="125" spans="7:7" s="79" customFormat="1">
      <c r="G125" s="105"/>
    </row>
    <row r="126" spans="7:7" s="79" customFormat="1">
      <c r="G126" s="105"/>
    </row>
    <row r="127" spans="7:7" s="79" customFormat="1">
      <c r="G127" s="105"/>
    </row>
    <row r="128" spans="7:7" s="79" customFormat="1">
      <c r="G128" s="105"/>
    </row>
    <row r="129" spans="7:7" s="79" customFormat="1">
      <c r="G129" s="105"/>
    </row>
    <row r="130" spans="7:7" s="79" customFormat="1">
      <c r="G130" s="105"/>
    </row>
    <row r="131" spans="7:7" s="79" customFormat="1">
      <c r="G131" s="105"/>
    </row>
    <row r="132" spans="7:7" s="79" customFormat="1">
      <c r="G132" s="105"/>
    </row>
    <row r="133" spans="7:7" s="79" customFormat="1">
      <c r="G133" s="105"/>
    </row>
    <row r="134" spans="7:7" s="79" customFormat="1">
      <c r="G134" s="105"/>
    </row>
    <row r="135" spans="7:7" s="79" customFormat="1">
      <c r="G135" s="105"/>
    </row>
    <row r="136" spans="7:7" s="79" customFormat="1">
      <c r="G136" s="105"/>
    </row>
    <row r="137" spans="7:7" s="79" customFormat="1">
      <c r="G137" s="105"/>
    </row>
    <row r="138" spans="7:7" s="79" customFormat="1">
      <c r="G138" s="105"/>
    </row>
    <row r="139" spans="7:7" s="79" customFormat="1">
      <c r="G139" s="105"/>
    </row>
    <row r="140" spans="7:7" s="79" customFormat="1">
      <c r="G140" s="105"/>
    </row>
    <row r="141" spans="7:7" s="79" customFormat="1">
      <c r="G141" s="105"/>
    </row>
    <row r="142" spans="7:7" s="79" customFormat="1">
      <c r="G142" s="105"/>
    </row>
    <row r="143" spans="7:7" s="79" customFormat="1">
      <c r="G143" s="105"/>
    </row>
    <row r="144" spans="7:7" s="79" customFormat="1">
      <c r="G144" s="105"/>
    </row>
    <row r="145" spans="7:7" s="79" customFormat="1">
      <c r="G145" s="105"/>
    </row>
    <row r="146" spans="7:7" s="79" customFormat="1">
      <c r="G146" s="105"/>
    </row>
    <row r="147" spans="7:7" s="79" customFormat="1">
      <c r="G147" s="105"/>
    </row>
    <row r="148" spans="7:7" s="79" customFormat="1">
      <c r="G148" s="105"/>
    </row>
    <row r="149" spans="7:7" s="79" customFormat="1">
      <c r="G149" s="105"/>
    </row>
    <row r="150" spans="7:7" s="79" customFormat="1">
      <c r="G150" s="105"/>
    </row>
    <row r="151" spans="7:7" s="79" customFormat="1">
      <c r="G151" s="105"/>
    </row>
    <row r="152" spans="7:7" s="79" customFormat="1">
      <c r="G152" s="105"/>
    </row>
    <row r="153" spans="7:7" s="79" customFormat="1">
      <c r="G153" s="105"/>
    </row>
    <row r="154" spans="7:7" s="79" customFormat="1">
      <c r="G154" s="105"/>
    </row>
    <row r="155" spans="7:7" s="79" customFormat="1">
      <c r="G155" s="105"/>
    </row>
    <row r="156" spans="7:7" s="79" customFormat="1">
      <c r="G156" s="105"/>
    </row>
    <row r="157" spans="7:7" s="79" customFormat="1">
      <c r="G157" s="105"/>
    </row>
    <row r="158" spans="7:7" s="79" customFormat="1">
      <c r="G158" s="105"/>
    </row>
    <row r="159" spans="7:7" s="79" customFormat="1">
      <c r="G159" s="105"/>
    </row>
    <row r="160" spans="7:7" s="79" customFormat="1">
      <c r="G160" s="105"/>
    </row>
    <row r="161" spans="7:7" s="79" customFormat="1">
      <c r="G161" s="105"/>
    </row>
    <row r="162" spans="7:7" s="79" customFormat="1">
      <c r="G162" s="105"/>
    </row>
    <row r="163" spans="7:7" s="79" customFormat="1">
      <c r="G163" s="105"/>
    </row>
    <row r="164" spans="7:7" s="79" customFormat="1">
      <c r="G164" s="105"/>
    </row>
    <row r="165" spans="7:7" s="79" customFormat="1">
      <c r="G165" s="105"/>
    </row>
    <row r="166" spans="7:7" s="79" customFormat="1">
      <c r="G166" s="105"/>
    </row>
    <row r="167" spans="7:7" s="79" customFormat="1">
      <c r="G167" s="105"/>
    </row>
    <row r="168" spans="7:7" s="79" customFormat="1">
      <c r="G168" s="105"/>
    </row>
    <row r="169" spans="7:7" s="79" customFormat="1">
      <c r="G169" s="105"/>
    </row>
    <row r="170" spans="7:7" s="79" customFormat="1">
      <c r="G170" s="105"/>
    </row>
    <row r="171" spans="7:7" s="79" customFormat="1">
      <c r="G171" s="105"/>
    </row>
    <row r="172" spans="7:7" s="79" customFormat="1">
      <c r="G172" s="105"/>
    </row>
    <row r="173" spans="7:7" s="79" customFormat="1">
      <c r="G173" s="105"/>
    </row>
    <row r="174" spans="7:7" s="79" customFormat="1">
      <c r="G174" s="105"/>
    </row>
    <row r="175" spans="7:7" s="79" customFormat="1">
      <c r="G175" s="105"/>
    </row>
    <row r="176" spans="7:7" s="79" customFormat="1">
      <c r="G176" s="105"/>
    </row>
    <row r="177" spans="1:7" s="79" customFormat="1">
      <c r="G177" s="105"/>
    </row>
    <row r="178" spans="1:7" s="79" customFormat="1">
      <c r="G178" s="105"/>
    </row>
    <row r="179" spans="1:7" s="79" customFormat="1">
      <c r="A179" s="81"/>
      <c r="G179" s="105"/>
    </row>
  </sheetData>
  <mergeCells count="11">
    <mergeCell ref="A11:A12"/>
    <mergeCell ref="A14:A17"/>
    <mergeCell ref="A3:C3"/>
    <mergeCell ref="A4:B10"/>
    <mergeCell ref="C4:D4"/>
    <mergeCell ref="H6:H8"/>
    <mergeCell ref="E4:F4"/>
    <mergeCell ref="E6:E8"/>
    <mergeCell ref="F6:F9"/>
    <mergeCell ref="C6:C8"/>
    <mergeCell ref="D6:D9"/>
  </mergeCells>
  <conditionalFormatting sqref="D21:D22 D18:D19 F21:I22 F18:I19">
    <cfRule type="cellIs" dxfId="29" priority="2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40" orientation="landscape" useFirstPageNumber="1" r:id="rId1"/>
  <headerFooter>
    <oddFooter>&amp;L&amp;P&amp;R&amp;22&amp;G</oddFooter>
  </headerFooter>
  <rowBreaks count="1" manualBreakCount="1">
    <brk id="23" max="17" man="1"/>
  </rowBreaks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28">
    <tabColor rgb="FF92D050"/>
  </sheetPr>
  <dimension ref="A1:R40"/>
  <sheetViews>
    <sheetView view="pageBreakPreview" zoomScale="70" zoomScaleNormal="55" zoomScaleSheetLayoutView="70" zoomScalePageLayoutView="70" workbookViewId="0">
      <pane ySplit="1" topLeftCell="A2" activePane="bottomLeft" state="frozen"/>
      <selection pane="bottomLeft" activeCell="B1" sqref="B1"/>
    </sheetView>
  </sheetViews>
  <sheetFormatPr defaultColWidth="8.42578125" defaultRowHeight="12.75"/>
  <cols>
    <col min="1" max="1" width="9" style="81" customWidth="1"/>
    <col min="2" max="2" width="19.7109375" style="81" customWidth="1"/>
    <col min="3" max="5" width="10.7109375" style="81" customWidth="1"/>
    <col min="6" max="6" width="13.7109375" style="81" customWidth="1"/>
    <col min="7" max="16" width="10.7109375" style="81" customWidth="1"/>
    <col min="17" max="17" width="29.7109375" style="81" customWidth="1"/>
    <col min="18" max="20" width="25.7109375" style="81" customWidth="1"/>
    <col min="21" max="21" width="19.85546875" style="81" customWidth="1"/>
    <col min="22" max="22" width="8.42578125" style="81"/>
    <col min="23" max="26" width="17.140625" style="81" customWidth="1"/>
    <col min="27" max="16384" width="8.42578125" style="81"/>
  </cols>
  <sheetData>
    <row r="1" spans="1:18" s="2286" customFormat="1" ht="18.75" customHeight="1">
      <c r="B1" s="2285" t="s">
        <v>490</v>
      </c>
      <c r="C1" s="2292"/>
    </row>
    <row r="2" spans="1:18" ht="18.75" customHeight="1"/>
    <row r="3" spans="1:18" ht="15.75">
      <c r="A3" s="1204" t="s">
        <v>682</v>
      </c>
      <c r="B3" s="1203"/>
      <c r="K3" s="1203"/>
      <c r="L3" s="1203"/>
      <c r="M3" s="1203"/>
      <c r="N3" s="1203"/>
      <c r="O3" s="447"/>
      <c r="P3" s="447"/>
    </row>
    <row r="4" spans="1:18" ht="18.75" customHeight="1">
      <c r="A4" s="5355" t="s">
        <v>88</v>
      </c>
      <c r="B4" s="5356"/>
      <c r="C4" s="5344" t="s">
        <v>443</v>
      </c>
      <c r="D4" s="5345"/>
      <c r="E4" s="5345"/>
      <c r="F4" s="5345"/>
      <c r="G4" s="5345"/>
      <c r="H4" s="5345"/>
      <c r="I4" s="5345"/>
      <c r="J4" s="5345"/>
      <c r="K4" s="5345"/>
      <c r="L4" s="5345"/>
      <c r="M4" s="5345"/>
      <c r="N4" s="5345"/>
      <c r="O4" s="5345"/>
      <c r="P4" s="5345"/>
      <c r="Q4" s="5345"/>
    </row>
    <row r="5" spans="1:18" ht="112.5" customHeight="1">
      <c r="A5" s="5357"/>
      <c r="B5" s="5358"/>
      <c r="C5" s="1196"/>
      <c r="D5" s="1197"/>
      <c r="E5" s="1197"/>
      <c r="F5" s="1198"/>
      <c r="G5" s="1196"/>
      <c r="H5" s="1197"/>
      <c r="I5" s="1197"/>
      <c r="J5" s="1198"/>
      <c r="K5" s="1196"/>
      <c r="L5" s="1197"/>
      <c r="M5" s="1198"/>
      <c r="N5" s="1199"/>
      <c r="O5" s="1200"/>
      <c r="P5" s="1201"/>
      <c r="Q5" s="1202"/>
    </row>
    <row r="6" spans="1:18" ht="18.75" customHeight="1">
      <c r="A6" s="5359"/>
      <c r="B6" s="5360"/>
      <c r="C6" s="5344" t="s">
        <v>447</v>
      </c>
      <c r="D6" s="5345"/>
      <c r="E6" s="5345"/>
      <c r="F6" s="5364"/>
      <c r="G6" s="5344" t="s">
        <v>448</v>
      </c>
      <c r="H6" s="5345"/>
      <c r="I6" s="5345"/>
      <c r="J6" s="5364"/>
      <c r="K6" s="5344" t="s">
        <v>445</v>
      </c>
      <c r="L6" s="5345"/>
      <c r="M6" s="5364"/>
      <c r="N6" s="5344" t="s">
        <v>446</v>
      </c>
      <c r="O6" s="5345"/>
      <c r="P6" s="5364"/>
      <c r="Q6" s="532" t="s">
        <v>449</v>
      </c>
    </row>
    <row r="7" spans="1:18" ht="22.5">
      <c r="A7" s="5338" t="s">
        <v>2458</v>
      </c>
      <c r="B7" s="5338"/>
      <c r="C7" s="1150" t="s">
        <v>468</v>
      </c>
      <c r="D7" s="1150" t="s">
        <v>467</v>
      </c>
      <c r="E7" s="1150" t="s">
        <v>466</v>
      </c>
      <c r="F7" s="1150" t="s">
        <v>470</v>
      </c>
      <c r="G7" s="1150" t="s">
        <v>468</v>
      </c>
      <c r="H7" s="1150" t="s">
        <v>467</v>
      </c>
      <c r="I7" s="1150" t="s">
        <v>466</v>
      </c>
      <c r="J7" s="1150" t="s">
        <v>471</v>
      </c>
      <c r="K7" s="1150" t="s">
        <v>468</v>
      </c>
      <c r="L7" s="1150" t="s">
        <v>467</v>
      </c>
      <c r="M7" s="1150" t="s">
        <v>466</v>
      </c>
      <c r="N7" s="1150" t="s">
        <v>468</v>
      </c>
      <c r="O7" s="1150" t="s">
        <v>467</v>
      </c>
      <c r="P7" s="1150" t="s">
        <v>466</v>
      </c>
      <c r="Q7" s="1150" t="s">
        <v>469</v>
      </c>
      <c r="R7" s="85"/>
    </row>
    <row r="8" spans="1:18" ht="42.75" hidden="1" customHeight="1">
      <c r="A8" s="5346" t="s">
        <v>1425</v>
      </c>
      <c r="B8" s="2470" t="s">
        <v>2482</v>
      </c>
      <c r="C8" s="1186">
        <f>CEILING('Погонаж база'!BZ31*(1+скидки_наценки!$B$28)*скидки_наценки!$D$19*скидки_наценки!$F$19/скидки_наценки!$B$4, 50)</f>
        <v>700</v>
      </c>
      <c r="D8" s="1186">
        <f>CEILING('Погонаж база'!CA31*(1+скидки_наценки!$B$28)*скидки_наценки!$D$19*скидки_наценки!$F$19/скидки_наценки!$B$4, 50)</f>
        <v>750</v>
      </c>
      <c r="E8" s="1186">
        <f>CEILING('Погонаж база'!CB31*(1+скидки_наценки!$B$28)*скидки_наценки!$D$19*скидки_наценки!$F$19/скидки_наценки!$B$4, 50)</f>
        <v>800</v>
      </c>
      <c r="F8" s="1186">
        <f>CEILING('Погонаж база'!CC31*(1+скидки_наценки!$B$28)*скидки_наценки!$D$19*скидки_наценки!$F$19/скидки_наценки!$B$4, 50)</f>
        <v>850</v>
      </c>
      <c r="G8" s="1186">
        <f>CEILING('Погонаж база'!CD31*(1+скидки_наценки!$B$28)*скидки_наценки!$D$19*скидки_наценки!$F$19/скидки_наценки!$B$4, 50)</f>
        <v>1300</v>
      </c>
      <c r="H8" s="1186">
        <f>CEILING('Погонаж база'!CE31*(1+скидки_наценки!$B$28)*скидки_наценки!$D$19*скидки_наценки!$F$19/скидки_наценки!$B$4, 50)</f>
        <v>1350</v>
      </c>
      <c r="I8" s="1186">
        <f>CEILING('Погонаж база'!CF31*(1+скидки_наценки!$B$28)*скидки_наценки!$D$19*скидки_наценки!$F$19/скидки_наценки!$B$4, 50)</f>
        <v>1450</v>
      </c>
      <c r="J8" s="1186">
        <f>CEILING('Погонаж база'!CG31*(1+скидки_наценки!$B$28)*скидки_наценки!$D$19*скидки_наценки!$F$19/скидки_наценки!$B$4, 50)</f>
        <v>1500</v>
      </c>
      <c r="K8" s="2359" t="s">
        <v>2612</v>
      </c>
      <c r="L8" s="2359" t="s">
        <v>2612</v>
      </c>
      <c r="M8" s="2359" t="s">
        <v>2612</v>
      </c>
      <c r="N8" s="1186">
        <f>CEILING('Погонаж база'!CK31*(1+скидки_наценки!$B$28)*скидки_наценки!$D$19*скидки_наценки!$F$19/скидки_наценки!$B$4, 50)</f>
        <v>0</v>
      </c>
      <c r="O8" s="1186">
        <f>CEILING('Погонаж база'!CL31*(1+скидки_наценки!$B$28)*скидки_наценки!$D$19*скидки_наценки!$F$19/скидки_наценки!$B$4, 50)</f>
        <v>0</v>
      </c>
      <c r="P8" s="1186">
        <f>CEILING('Погонаж база'!CM31*(1+скидки_наценки!$B$28)*скидки_наценки!$D$19*скидки_наценки!$F$19/скидки_наценки!$B$4, 50)</f>
        <v>0</v>
      </c>
      <c r="Q8" s="1186">
        <f>CEILING('Погонаж база'!CN31*(1+скидки_наценки!$B$28)*скидки_наценки!$D$19*скидки_наценки!$F$19/скидки_наценки!$B$4, 50)</f>
        <v>0</v>
      </c>
    </row>
    <row r="9" spans="1:18" ht="42.75" hidden="1" customHeight="1">
      <c r="A9" s="5346"/>
      <c r="B9" s="2471" t="s">
        <v>2483</v>
      </c>
      <c r="C9" s="2359">
        <f>CEILING('Погонаж база'!BZ32*(1+скидки_наценки!$B$28)*скидки_наценки!$D$19*скидки_наценки!$F$19/скидки_наценки!$B$4, 50)</f>
        <v>850</v>
      </c>
      <c r="D9" s="2359">
        <f>CEILING('Погонаж база'!CA32*(1+скидки_наценки!$B$28)*скидки_наценки!$D$19*скидки_наценки!$F$19/скидки_наценки!$B$4, 50)</f>
        <v>900</v>
      </c>
      <c r="E9" s="2359">
        <f>CEILING('Погонаж база'!CB32*(1+скидки_наценки!$B$28)*скидки_наценки!$D$19*скидки_наценки!$F$19/скидки_наценки!$B$4, 50)</f>
        <v>900</v>
      </c>
      <c r="F9" s="2359">
        <f>CEILING('Погонаж база'!CC32*(1+скидки_наценки!$B$28)*скидки_наценки!$D$19*скидки_наценки!$F$19/скидки_наценки!$B$4, 50)</f>
        <v>1000</v>
      </c>
      <c r="G9" s="446">
        <f t="shared" ref="G9:P9" si="0">CEILING(G8*1.07, 50)</f>
        <v>1400</v>
      </c>
      <c r="H9" s="446">
        <f t="shared" si="0"/>
        <v>1450</v>
      </c>
      <c r="I9" s="446">
        <f t="shared" si="0"/>
        <v>1600</v>
      </c>
      <c r="J9" s="446">
        <f t="shared" si="0"/>
        <v>1650</v>
      </c>
      <c r="K9" s="446" t="s">
        <v>2612</v>
      </c>
      <c r="L9" s="446" t="s">
        <v>2612</v>
      </c>
      <c r="M9" s="446" t="s">
        <v>2612</v>
      </c>
      <c r="N9" s="446">
        <f t="shared" si="0"/>
        <v>0</v>
      </c>
      <c r="O9" s="446">
        <f t="shared" si="0"/>
        <v>0</v>
      </c>
      <c r="P9" s="446">
        <f t="shared" si="0"/>
        <v>0</v>
      </c>
      <c r="Q9" s="446">
        <f>CEILING(Q8*1.07, 50)</f>
        <v>0</v>
      </c>
    </row>
    <row r="10" spans="1:18" ht="42.75" customHeight="1">
      <c r="A10" s="2472" t="s">
        <v>30</v>
      </c>
      <c r="B10" s="2470" t="s">
        <v>284</v>
      </c>
      <c r="C10" s="1186">
        <f>CEILING('Погонаж база'!BZ33*(1+скидки_наценки!$B$30)*скидки_наценки!$D$19*скидки_наценки!$F$19/скидки_наценки!$B$4, 10)</f>
        <v>1050</v>
      </c>
      <c r="D10" s="1186">
        <f>CEILING('Погонаж база'!CA33*(1+скидки_наценки!$B$30)*скидки_наценки!$D$19*скидки_наценки!$F$19/скидки_наценки!$B$4, 10)</f>
        <v>1110</v>
      </c>
      <c r="E10" s="1186">
        <f>CEILING('Погонаж база'!CB33*(1+скидки_наценки!$B$30)*скидки_наценки!$D$19*скидки_наценки!$F$19/скидки_наценки!$B$4, 50)</f>
        <v>1200</v>
      </c>
      <c r="F10" s="1186">
        <f>CEILING('Погонаж база'!CC33*(1+скидки_наценки!$B$30)*скидки_наценки!$D$19*скидки_наценки!$F$19/скидки_наценки!$B$4, 50)</f>
        <v>1300</v>
      </c>
      <c r="G10" s="1186">
        <f>CEILING('Погонаж база'!CD33*(1+скидки_наценки!$B$30)*скидки_наценки!$D$19*скидки_наценки!$F$19/скидки_наценки!$B$4, 50)</f>
        <v>1150</v>
      </c>
      <c r="H10" s="1186">
        <f>CEILING('Погонаж база'!CE33*(1+скидки_наценки!$B$30)*скидки_наценки!$D$19*скидки_наценки!$F$19/скидки_наценки!$B$4, 50)</f>
        <v>1200</v>
      </c>
      <c r="I10" s="1186">
        <f>CEILING('Погонаж база'!CF33*(1+скидки_наценки!$B$30)*скидки_наценки!$D$19*скидки_наценки!$F$19/скидки_наценки!$B$4, 50)</f>
        <v>1300</v>
      </c>
      <c r="J10" s="1186">
        <f>CEILING('Погонаж база'!CG33*(1+скидки_наценки!$B$30)*скидки_наценки!$D$19*скидки_наценки!$F$19/скидки_наценки!$B$4, 50)</f>
        <v>1350</v>
      </c>
      <c r="K10" s="1186">
        <f>CEILING('Погонаж база'!CH33*(1+скидки_наценки!$B$30)*скидки_наценки!$D$19*скидки_наценки!$F$19/скидки_наценки!$B$4, 50)</f>
        <v>1200</v>
      </c>
      <c r="L10" s="1186">
        <f>CEILING('Погонаж база'!CI33*(1+скидки_наценки!$B$30)*скидки_наценки!$D$19*скидки_наценки!$F$19/скидки_наценки!$B$4, 50)</f>
        <v>1300</v>
      </c>
      <c r="M10" s="1186">
        <f>CEILING('Погонаж база'!CJ33*(1+скидки_наценки!$B$30)*скидки_наценки!$D$19*скидки_наценки!$F$19/скидки_наценки!$B$4, 50)</f>
        <v>1350</v>
      </c>
      <c r="N10" s="1186">
        <f>CEILING('Погонаж база'!CK33*(1+скидки_наценки!$B$30)*скидки_наценки!$D$19*скидки_наценки!$F$19/скидки_наценки!$B$4, 50)</f>
        <v>1200</v>
      </c>
      <c r="O10" s="1186">
        <f>CEILING('Погонаж база'!CL33*(1+скидки_наценки!$B$30)*скидки_наценки!$D$19*скидки_наценки!$F$19/скидки_наценки!$B$4, 50)</f>
        <v>1300</v>
      </c>
      <c r="P10" s="1186">
        <f>CEILING('Погонаж база'!CM33*(1+скидки_наценки!$B$30)*скидки_наценки!$D$19*скидки_наценки!$F$19/скидки_наценки!$B$4, 50)</f>
        <v>1350</v>
      </c>
      <c r="Q10" s="1186">
        <f>CEILING('Погонаж база'!CN33*(1+скидки_наценки!$B$30)*скидки_наценки!$D$19*скидки_наценки!$F$19/скидки_наценки!$B$4, 50)</f>
        <v>1550</v>
      </c>
    </row>
    <row r="11" spans="1:18" ht="42.75" customHeight="1">
      <c r="A11" s="5342" t="s">
        <v>26</v>
      </c>
      <c r="B11" s="2471" t="s">
        <v>2587</v>
      </c>
      <c r="C11" s="446">
        <f>CEILING('Погонаж база'!BZ34*(1+скидки_наценки!$B$29)*скидки_наценки!$D$19*скидки_наценки!$F$19/скидки_наценки!$B$4, 10)</f>
        <v>1150</v>
      </c>
      <c r="D11" s="446">
        <f>CEILING('Погонаж база'!CA34*(1+скидки_наценки!$B$29)*скидки_наценки!$D$19*скидки_наценки!$F$19/скидки_наценки!$B$4, 10)</f>
        <v>1200</v>
      </c>
      <c r="E11" s="446">
        <f>CEILING('Погонаж база'!CB34*(1+скидки_наценки!$B$29)*скидки_наценки!$D$19*скидки_наценки!$F$19/скидки_наценки!$B$4, 50)</f>
        <v>1250</v>
      </c>
      <c r="F11" s="446">
        <f>CEILING('Погонаж база'!CC34*(1+скидки_наценки!$B$29)*скидки_наценки!$D$19*скидки_наценки!$F$19/скидки_наценки!$B$4, 50)</f>
        <v>1350</v>
      </c>
      <c r="G11" s="446" t="s">
        <v>2612</v>
      </c>
      <c r="H11" s="446" t="s">
        <v>2612</v>
      </c>
      <c r="I11" s="446" t="s">
        <v>2612</v>
      </c>
      <c r="J11" s="446" t="s">
        <v>2612</v>
      </c>
      <c r="K11" s="446">
        <f>CEILING('Погонаж база'!CH34*(1+скидки_наценки!$B$29)*скидки_наценки!$D$19*скидки_наценки!$F$19/скидки_наценки!$B$4, 50)</f>
        <v>1250</v>
      </c>
      <c r="L11" s="446">
        <f>CEILING('Погонаж база'!CI34*(1+скидки_наценки!$B$29)*скидки_наценки!$D$19*скидки_наценки!$F$19/скидки_наценки!$B$4, 50)</f>
        <v>1350</v>
      </c>
      <c r="M11" s="446">
        <f>CEILING('Погонаж база'!CJ34*(1+скидки_наценки!$B$29)*скидки_наценки!$D$19*скидки_наценки!$F$19/скидки_наценки!$B$4, 50)</f>
        <v>1400</v>
      </c>
      <c r="N11" s="446">
        <f>CEILING('Погонаж база'!CK34*(1+скидки_наценки!$B$29)*скидки_наценки!$D$19*скидки_наценки!$F$19/скидки_наценки!$B$4, 50)</f>
        <v>1250</v>
      </c>
      <c r="O11" s="446">
        <f>CEILING('Погонаж база'!CL34*(1+скидки_наценки!$B$29)*скидки_наценки!$D$19*скидки_наценки!$F$19/скидки_наценки!$B$4, 50)</f>
        <v>1350</v>
      </c>
      <c r="P11" s="446">
        <f>CEILING('Погонаж база'!CM34*(1+скидки_наценки!$B$29)*скидки_наценки!$D$19*скидки_наценки!$F$19/скидки_наценки!$B$4, 50)</f>
        <v>1400</v>
      </c>
      <c r="Q11" s="446">
        <f>CEILING('Погонаж база'!CN34*(1+скидки_наценки!$B$29)*скидки_наценки!$D$19*скидки_наценки!$F$19/скидки_наценки!$B$4, 50)</f>
        <v>0</v>
      </c>
    </row>
    <row r="12" spans="1:18" ht="42.75" customHeight="1">
      <c r="A12" s="5342"/>
      <c r="B12" s="2470" t="s">
        <v>2579</v>
      </c>
      <c r="C12" s="2359">
        <f>CEILING('Погонаж база'!BZ35*(1+скидки_наценки!$B$29)*скидки_наценки!$D$19*скидки_наценки!$F$19/скидки_наценки!$B$4, 10)</f>
        <v>1200</v>
      </c>
      <c r="D12" s="2359">
        <f>CEILING('Погонаж база'!CA35*(1+скидки_наценки!$B$29)*скидки_наценки!$D$19*скидки_наценки!$F$19/скидки_наценки!$B$4, 10)</f>
        <v>1300</v>
      </c>
      <c r="E12" s="2359">
        <f>CEILING('Погонаж база'!CB35*(1+скидки_наценки!$B$29)*скидки_наценки!$D$19*скидки_наценки!$F$19/скидки_наценки!$B$4, 50)</f>
        <v>1350</v>
      </c>
      <c r="F12" s="2359">
        <f>CEILING('Погонаж база'!CC35*(1+скидки_наценки!$B$29)*скидки_наценки!$D$19*скидки_наценки!$F$19/скидки_наценки!$B$4, 50)</f>
        <v>1450</v>
      </c>
      <c r="G12" s="2359">
        <f>CEILING('Погонаж база'!CD35*(1+скидки_наценки!$B$29)*скидки_наценки!$D$19*скидки_наценки!$F$19/скидки_наценки!$B$4, 50)</f>
        <v>1300</v>
      </c>
      <c r="H12" s="2359">
        <f>CEILING('Погонаж база'!CE35*(1+скидки_наценки!$B$29)*скидки_наценки!$D$19*скидки_наценки!$F$19/скидки_наценки!$B$4, 50)</f>
        <v>1350</v>
      </c>
      <c r="I12" s="2359">
        <f>CEILING('Погонаж база'!CF35*(1+скидки_наценки!$B$29)*скидки_наценки!$D$19*скидки_наценки!$F$19/скидки_наценки!$B$4, 50)</f>
        <v>1450</v>
      </c>
      <c r="J12" s="2359">
        <f>CEILING('Погонаж база'!CG35*(1+скидки_наценки!$B$29)*скидки_наценки!$D$19*скидки_наценки!$F$19/скидки_наценки!$B$4, 50)</f>
        <v>1500</v>
      </c>
      <c r="K12" s="2359">
        <f>CEILING('Погонаж база'!CH35*(1+скидки_наценки!$B$29)*скидки_наценки!$D$19*скидки_наценки!$F$19/скидки_наценки!$B$4, 50)</f>
        <v>1350</v>
      </c>
      <c r="L12" s="2359">
        <f>CEILING('Погонаж база'!CI35*(1+скидки_наценки!$B$29)*скидки_наценки!$D$19*скидки_наценки!$F$19/скидки_наценки!$B$4, 50)</f>
        <v>1450</v>
      </c>
      <c r="M12" s="2359">
        <f>CEILING('Погонаж база'!CJ35*(1+скидки_наценки!$B$29)*скидки_наценки!$D$19*скидки_наценки!$F$19/скидки_наценки!$B$4, 50)</f>
        <v>1500</v>
      </c>
      <c r="N12" s="2359">
        <f>CEILING('Погонаж база'!CK35*(1+скидки_наценки!$B$29)*скидки_наценки!$D$19*скидки_наценки!$F$19/скидки_наценки!$B$4, 50)</f>
        <v>1350</v>
      </c>
      <c r="O12" s="2359">
        <f>CEILING('Погонаж база'!CL35*(1+скидки_наценки!$B$29)*скидки_наценки!$D$19*скидки_наценки!$F$19/скидки_наценки!$B$4, 50)</f>
        <v>1450</v>
      </c>
      <c r="P12" s="2359">
        <f>CEILING('Погонаж база'!CM35*(1+скидки_наценки!$B$29)*скидки_наценки!$D$19*скидки_наценки!$F$19/скидки_наценки!$B$4, 50)</f>
        <v>1500</v>
      </c>
      <c r="Q12" s="2359">
        <f>CEILING('Погонаж база'!CN35*(1+скидки_наценки!$B$29)*скидки_наценки!$D$19*скидки_наценки!$F$19/скидки_наценки!$B$4, 50)</f>
        <v>0</v>
      </c>
    </row>
    <row r="13" spans="1:18" ht="42.75" customHeight="1">
      <c r="A13" s="5342"/>
      <c r="B13" s="2471" t="s">
        <v>2589</v>
      </c>
      <c r="C13" s="446">
        <f>CEILING('Погонаж база'!BZ37*(1+скидки_наценки!$B$29)*скидки_наценки!$D$19*скидки_наценки!$F$19/скидки_наценки!$B$4, 10)</f>
        <v>1300</v>
      </c>
      <c r="D13" s="446">
        <f>CEILING('Погонаж база'!CA37*(1+скидки_наценки!$B$29)*скидки_наценки!$D$19*скидки_наценки!$F$19/скидки_наценки!$B$4, 10)</f>
        <v>1400</v>
      </c>
      <c r="E13" s="446">
        <f>CEILING('Погонаж база'!CB37*(1+скидки_наценки!$B$29)*скидки_наценки!$D$19*скидки_наценки!$F$19/скидки_наценки!$B$4, 50)</f>
        <v>1450</v>
      </c>
      <c r="F13" s="446">
        <f>CEILING('Погонаж база'!CC37*(1+скидки_наценки!$B$29)*скидки_наценки!$D$19*скидки_наценки!$F$19/скидки_наценки!$B$4, 50)</f>
        <v>1550</v>
      </c>
      <c r="G13" s="446">
        <f>CEILING('Погонаж база'!CD37*(1+скидки_наценки!$B$29)*скидки_наценки!$D$19*скидки_наценки!$F$19/скидки_наценки!$B$4, 50)</f>
        <v>1400</v>
      </c>
      <c r="H13" s="446">
        <f>CEILING('Погонаж база'!CE37*(1+скидки_наценки!$B$29)*скидки_наценки!$D$19*скидки_наценки!$F$19/скидки_наценки!$B$4, 50)</f>
        <v>1450</v>
      </c>
      <c r="I13" s="446">
        <f>CEILING('Погонаж база'!CF37*(1+скидки_наценки!$B$29)*скидки_наценки!$D$19*скидки_наценки!$F$19/скидки_наценки!$B$4, 50)</f>
        <v>1550</v>
      </c>
      <c r="J13" s="446">
        <f>CEILING('Погонаж база'!CG37*(1+скидки_наценки!$B$29)*скидки_наценки!$D$19*скидки_наценки!$F$19/скидки_наценки!$B$4, 50)</f>
        <v>1650</v>
      </c>
      <c r="K13" s="446">
        <f>CEILING('Погонаж база'!CH37*(1+скидки_наценки!$B$29)*скидки_наценки!$D$19*скидки_наценки!$F$19/скидки_наценки!$B$4, 50)</f>
        <v>1450</v>
      </c>
      <c r="L13" s="446">
        <f>CEILING('Погонаж база'!CI37*(1+скидки_наценки!$B$29)*скидки_наценки!$D$19*скидки_наценки!$F$19/скидки_наценки!$B$4, 50)</f>
        <v>1550</v>
      </c>
      <c r="M13" s="446">
        <f>CEILING('Погонаж база'!CJ37*(1+скидки_наценки!$B$29)*скидки_наценки!$D$19*скидки_наценки!$F$19/скидки_наценки!$B$4, 50)</f>
        <v>1650</v>
      </c>
      <c r="N13" s="446">
        <f>CEILING('Погонаж база'!CK37*(1+скидки_наценки!$B$29)*скидки_наценки!$D$19*скидки_наценки!$F$19/скидки_наценки!$B$4, 50)</f>
        <v>1450</v>
      </c>
      <c r="O13" s="446">
        <f>CEILING('Погонаж база'!CL37*(1+скидки_наценки!$B$29)*скидки_наценки!$D$19*скидки_наценки!$F$19/скидки_наценки!$B$4, 50)</f>
        <v>1550</v>
      </c>
      <c r="P13" s="446">
        <f>CEILING('Погонаж база'!CM37*(1+скидки_наценки!$B$29)*скидки_наценки!$D$19*скидки_наценки!$F$19/скидки_наценки!$B$4, 50)</f>
        <v>1650</v>
      </c>
      <c r="Q13" s="446">
        <f>CEILING(Q12*1.15, 50)</f>
        <v>0</v>
      </c>
    </row>
    <row r="14" spans="1:18" ht="15">
      <c r="B14" s="1214"/>
    </row>
    <row r="15" spans="1:18" ht="15">
      <c r="A15" s="2911" t="s">
        <v>20</v>
      </c>
      <c r="B15" s="11"/>
      <c r="C15" s="2171"/>
      <c r="D15" s="2171"/>
      <c r="E15" s="2171"/>
      <c r="F15" s="2171"/>
      <c r="G15" s="2171"/>
      <c r="H15" s="2171"/>
      <c r="I15" s="2171"/>
      <c r="J15" s="2171"/>
      <c r="K15" s="2171"/>
      <c r="L15" s="2171"/>
      <c r="M15" s="2171"/>
      <c r="N15" s="2171"/>
      <c r="O15" s="2171"/>
      <c r="P15" s="2171"/>
      <c r="Q15" s="2171"/>
    </row>
    <row r="16" spans="1:18" ht="67.5" customHeight="1">
      <c r="A16" s="5406" t="s">
        <v>2923</v>
      </c>
      <c r="B16" s="5407"/>
      <c r="C16" s="2359">
        <f>IFERROR(#REF!/(1-#REF!)*#REF!*скидки_наценки!$D$13*скидки_наценки!$F$13,0)</f>
        <v>0</v>
      </c>
      <c r="D16" s="2359">
        <f>IFERROR(#REF!/(1-#REF!)*#REF!*скидки_наценки!$D$13*скидки_наценки!$F$13,0)</f>
        <v>0</v>
      </c>
      <c r="E16" s="2359">
        <f>IFERROR(#REF!/(1-#REF!)*#REF!*скидки_наценки!$D$13*скидки_наценки!$F$13,0)</f>
        <v>0</v>
      </c>
      <c r="F16" s="2359">
        <f>IFERROR(#REF!/(1-#REF!)*#REF!*скидки_наценки!$D$13*скидки_наценки!$F$13,0)</f>
        <v>0</v>
      </c>
      <c r="G16" s="2359">
        <f>IFERROR(#REF!/(1-#REF!)*#REF!*скидки_наценки!$D$13*скидки_наценки!$F$13,0)</f>
        <v>0</v>
      </c>
      <c r="H16" s="2359">
        <f>IFERROR(#REF!/(1-#REF!)*#REF!*скидки_наценки!$D$13*скидки_наценки!$F$13,0)</f>
        <v>0</v>
      </c>
      <c r="I16" s="2359">
        <f>IFERROR(#REF!/(1-#REF!)*#REF!*скидки_наценки!$D$13*скидки_наценки!$F$13,0)</f>
        <v>0</v>
      </c>
      <c r="J16" s="2359">
        <f>IFERROR(#REF!/(1-#REF!)*#REF!*скидки_наценки!$D$13*скидки_наценки!$F$13,0)</f>
        <v>0</v>
      </c>
      <c r="K16" s="2837">
        <f>CEILING('Декоры база'!$F$183*(1+скидки_наценки!$B$32)*скидки_наценки!$D$21*скидки_наценки!$F$21/скидки_наценки!$B$4, 50)</f>
        <v>450</v>
      </c>
      <c r="L16" s="2837">
        <f>CEILING('Декоры база'!$F$183*(1+скидки_наценки!$B$32)*скидки_наценки!$D$21*скидки_наценки!$F$21/скидки_наценки!$B$4, 50)</f>
        <v>450</v>
      </c>
      <c r="M16" s="2837">
        <f>CEILING('Декоры база'!$F$183*(1+скидки_наценки!$B$32)*скидки_наценки!$D$21*скидки_наценки!$F$21/скидки_наценки!$B$4, 50)</f>
        <v>450</v>
      </c>
      <c r="N16" s="2837">
        <f>CEILING('Декоры база'!$F$183*(1+скидки_наценки!$B$32)*скидки_наценки!$D$21*скидки_наценки!$F$21/скидки_наценки!$B$4, 50)</f>
        <v>450</v>
      </c>
      <c r="O16" s="2837">
        <f>CEILING('Декоры база'!$F$183*(1+скидки_наценки!$B$32)*скидки_наценки!$D$21*скидки_наценки!$F$21/скидки_наценки!$B$4, 50)</f>
        <v>450</v>
      </c>
      <c r="P16" s="2837">
        <f>CEILING('Декоры база'!$F$183*(1+скидки_наценки!$B$32)*скидки_наценки!$D$21*скидки_наценки!$F$21/скидки_наценки!$B$4, 50)</f>
        <v>450</v>
      </c>
      <c r="Q16" s="2837">
        <f>CEILING('Декоры база'!$F$183*(1+скидки_наценки!$B$32)*скидки_наценки!$D$21*скидки_наценки!$F$21/скидки_наценки!$B$4, 50)</f>
        <v>450</v>
      </c>
    </row>
    <row r="17" spans="1:18" ht="27.75" hidden="1" customHeight="1">
      <c r="A17" s="5408" t="s">
        <v>285</v>
      </c>
      <c r="B17" s="5409"/>
      <c r="C17" s="446">
        <f>IFERROR(#REF!/(1-#REF!)*#REF!*скидки_наценки!$D$13*скидки_наценки!$F$13,0)</f>
        <v>0</v>
      </c>
      <c r="D17" s="446">
        <f>IFERROR(#REF!/(1-#REF!)*#REF!*скидки_наценки!$D$13*скидки_наценки!$F$13,0)</f>
        <v>0</v>
      </c>
      <c r="E17" s="446">
        <f>IFERROR(#REF!/(1-#REF!)*#REF!*скидки_наценки!$D$13*скидки_наценки!$F$13,0)</f>
        <v>0</v>
      </c>
      <c r="F17" s="446">
        <f>IFERROR(#REF!/(1-#REF!)*#REF!*скидки_наценки!$D$13*скидки_наценки!$F$13,0)</f>
        <v>0</v>
      </c>
      <c r="G17" s="446">
        <f>IFERROR(#REF!/(1-#REF!)*#REF!*скидки_наценки!$D$13*скидки_наценки!$F$13,0)</f>
        <v>0</v>
      </c>
      <c r="H17" s="446">
        <f>IFERROR(#REF!/(1-#REF!)*#REF!*скидки_наценки!$D$13*скидки_наценки!$F$13,0)</f>
        <v>0</v>
      </c>
      <c r="I17" s="446">
        <f>IFERROR(#REF!/(1-#REF!)*#REF!*скидки_наценки!$D$13*скидки_наценки!$F$13,0)</f>
        <v>0</v>
      </c>
      <c r="J17" s="446">
        <f>IFERROR(#REF!/(1-#REF!)*#REF!*скидки_наценки!$D$13*скидки_наценки!$F$13,0)</f>
        <v>0</v>
      </c>
      <c r="K17" s="446">
        <f>CEILING('Декоры база'!$C$183*(1+скидки_наценки!$B$32)*скидки_наценки!$D$21*скидки_наценки!$F$21/скидки_наценки!$B$4, 50)</f>
        <v>250</v>
      </c>
      <c r="L17" s="446">
        <f>CEILING('Декоры база'!$C$183*(1+скидки_наценки!$B$32)*скидки_наценки!$D$21*скидки_наценки!$F$21/скидки_наценки!$B$4, 50)</f>
        <v>250</v>
      </c>
      <c r="M17" s="446">
        <f>CEILING('Декоры база'!$C$183*(1+скидки_наценки!$B$32)*скидки_наценки!$D$21*скидки_наценки!$F$21/скидки_наценки!$B$4, 50)</f>
        <v>250</v>
      </c>
      <c r="N17" s="446">
        <f>CEILING('Декоры база'!$C$183*(1+скидки_наценки!$B$32)*скидки_наценки!$D$21*скидки_наценки!$F$21/скидки_наценки!$B$4, 50)</f>
        <v>250</v>
      </c>
      <c r="O17" s="446">
        <f>CEILING('Декоры база'!$C$183*(1+скидки_наценки!$B$32)*скидки_наценки!$D$21*скидки_наценки!$F$21/скидки_наценки!$B$4, 50)</f>
        <v>250</v>
      </c>
      <c r="P17" s="446">
        <f>CEILING('Декоры база'!$C$183*(1+скидки_наценки!$B$32)*скидки_наценки!$D$21*скидки_наценки!$F$21/скидки_наценки!$B$4, 50)</f>
        <v>250</v>
      </c>
      <c r="Q17" s="446">
        <f>CEILING('Декоры база'!$C$183*(1+скидки_наценки!$B$32)*скидки_наценки!$D$21*скидки_наценки!$F$21/скидки_наценки!$B$4, 50)</f>
        <v>250</v>
      </c>
    </row>
    <row r="18" spans="1:18" ht="27.75" customHeight="1">
      <c r="A18" s="273"/>
      <c r="B18" s="273"/>
      <c r="C18" s="399"/>
      <c r="D18" s="399"/>
      <c r="E18" s="399"/>
      <c r="F18" s="399"/>
      <c r="G18" s="399"/>
      <c r="H18" s="399"/>
      <c r="I18" s="399"/>
      <c r="J18" s="399"/>
      <c r="K18" s="399"/>
      <c r="L18" s="399"/>
      <c r="M18" s="399"/>
      <c r="N18" s="399"/>
      <c r="O18" s="399"/>
      <c r="P18" s="399"/>
      <c r="Q18" s="399"/>
    </row>
    <row r="19" spans="1:18" ht="15.75">
      <c r="A19" s="19"/>
      <c r="B19" s="19" t="s">
        <v>29</v>
      </c>
      <c r="C19" s="246"/>
      <c r="D19" s="246"/>
      <c r="E19" s="246"/>
      <c r="F19" s="246"/>
      <c r="G19" s="246"/>
      <c r="H19" s="246"/>
      <c r="I19" s="246"/>
      <c r="J19" s="246"/>
      <c r="K19" s="246"/>
      <c r="L19" s="246"/>
      <c r="M19" s="246"/>
      <c r="N19" s="246"/>
      <c r="O19" s="246"/>
      <c r="P19" s="246"/>
      <c r="Q19" s="246"/>
    </row>
    <row r="20" spans="1:18" ht="15">
      <c r="A20" s="261" t="s">
        <v>3292</v>
      </c>
      <c r="B20" s="11"/>
    </row>
    <row r="21" spans="1:18">
      <c r="B21" s="79"/>
    </row>
    <row r="22" spans="1:18" ht="18.75" customHeight="1"/>
    <row r="23" spans="1:18" ht="15.75">
      <c r="A23" s="1204" t="s">
        <v>1485</v>
      </c>
      <c r="B23" s="1203"/>
      <c r="K23" s="1203"/>
      <c r="L23" s="1203"/>
      <c r="M23" s="1203"/>
      <c r="N23" s="1203"/>
      <c r="O23" s="316"/>
      <c r="P23" s="316"/>
    </row>
    <row r="24" spans="1:18" ht="18.75" customHeight="1">
      <c r="A24" s="5355" t="s">
        <v>88</v>
      </c>
      <c r="B24" s="5356"/>
      <c r="C24" s="5344" t="s">
        <v>444</v>
      </c>
      <c r="D24" s="5345"/>
      <c r="E24" s="5345"/>
      <c r="F24" s="5345"/>
      <c r="G24" s="5345"/>
      <c r="H24" s="5345"/>
      <c r="I24" s="5345"/>
      <c r="J24" s="5345"/>
      <c r="K24" s="5345"/>
      <c r="L24" s="5345"/>
      <c r="M24" s="5345"/>
      <c r="N24" s="5345"/>
      <c r="O24" s="5345"/>
      <c r="P24" s="5345"/>
      <c r="Q24" s="5345"/>
    </row>
    <row r="25" spans="1:18" ht="219" customHeight="1">
      <c r="A25" s="5357"/>
      <c r="B25" s="5358"/>
      <c r="C25" s="1196"/>
      <c r="D25" s="1197"/>
      <c r="E25" s="1197"/>
      <c r="F25" s="1198"/>
      <c r="G25" s="1196"/>
      <c r="H25" s="1197"/>
      <c r="I25" s="1197"/>
      <c r="J25" s="1198"/>
      <c r="K25" s="1196"/>
      <c r="L25" s="1197"/>
      <c r="M25" s="1198"/>
      <c r="N25" s="1199"/>
      <c r="O25" s="1200"/>
      <c r="P25" s="1201"/>
      <c r="Q25" s="1202"/>
    </row>
    <row r="26" spans="1:18" ht="35.25" customHeight="1">
      <c r="A26" s="5359"/>
      <c r="B26" s="5360"/>
      <c r="C26" s="5344" t="s">
        <v>452</v>
      </c>
      <c r="D26" s="5345"/>
      <c r="E26" s="5345"/>
      <c r="F26" s="5364"/>
      <c r="G26" s="5344" t="s">
        <v>453</v>
      </c>
      <c r="H26" s="5345"/>
      <c r="I26" s="5345"/>
      <c r="J26" s="5364"/>
      <c r="K26" s="5344" t="s">
        <v>450</v>
      </c>
      <c r="L26" s="5345"/>
      <c r="M26" s="5364"/>
      <c r="N26" s="5344" t="s">
        <v>451</v>
      </c>
      <c r="O26" s="5345"/>
      <c r="P26" s="5364"/>
      <c r="Q26" s="1185" t="s">
        <v>454</v>
      </c>
    </row>
    <row r="27" spans="1:18" ht="22.5">
      <c r="A27" s="5410" t="s">
        <v>2458</v>
      </c>
      <c r="B27" s="5411"/>
      <c r="C27" s="1150" t="s">
        <v>476</v>
      </c>
      <c r="D27" s="1150" t="s">
        <v>477</v>
      </c>
      <c r="E27" s="1150" t="s">
        <v>478</v>
      </c>
      <c r="F27" s="1150" t="s">
        <v>479</v>
      </c>
      <c r="G27" s="1150" t="s">
        <v>476</v>
      </c>
      <c r="H27" s="1150" t="s">
        <v>477</v>
      </c>
      <c r="I27" s="1150" t="s">
        <v>478</v>
      </c>
      <c r="J27" s="1150" t="s">
        <v>480</v>
      </c>
      <c r="K27" s="1150" t="s">
        <v>472</v>
      </c>
      <c r="L27" s="1150" t="s">
        <v>473</v>
      </c>
      <c r="M27" s="1150" t="s">
        <v>474</v>
      </c>
      <c r="N27" s="1150" t="s">
        <v>472</v>
      </c>
      <c r="O27" s="1150" t="s">
        <v>473</v>
      </c>
      <c r="P27" s="1150" t="s">
        <v>474</v>
      </c>
      <c r="Q27" s="1150" t="s">
        <v>475</v>
      </c>
      <c r="R27" s="85"/>
    </row>
    <row r="28" spans="1:18" ht="42.75" hidden="1" customHeight="1">
      <c r="A28" s="5346" t="s">
        <v>1425</v>
      </c>
      <c r="B28" s="2470" t="s">
        <v>2482</v>
      </c>
      <c r="C28" s="701">
        <f>'Погонаж база'!CO31*скидки_наценки!$D$19*скидки_наценки!$F$19/скидки_наценки!$B$4</f>
        <v>0</v>
      </c>
      <c r="D28" s="701">
        <f>'Погонаж база'!CP31*скидки_наценки!$D$19*скидки_наценки!$F$19/скидки_наценки!$B$4</f>
        <v>0</v>
      </c>
      <c r="E28" s="701">
        <f>'Погонаж база'!CQ31*скидки_наценки!$D$19*скидки_наценки!$F$19/скидки_наценки!$B$4</f>
        <v>0</v>
      </c>
      <c r="F28" s="701">
        <f>'Погонаж база'!CR31*скидки_наценки!$D$19*скидки_наценки!$F$19/скидки_наценки!$B$4</f>
        <v>0</v>
      </c>
      <c r="G28" s="701">
        <f>'Погонаж база'!CS31*скидки_наценки!$D$19*скидки_наценки!$F$19/скидки_наценки!$B$4</f>
        <v>800</v>
      </c>
      <c r="H28" s="701">
        <f>'Погонаж база'!CT31*скидки_наценки!$D$19*скидки_наценки!$F$19/скидки_наценки!$B$4</f>
        <v>900</v>
      </c>
      <c r="I28" s="701">
        <f>'Погонаж база'!CU31*скидки_наценки!$D$19*скидки_наценки!$F$19/скидки_наценки!$B$4</f>
        <v>900</v>
      </c>
      <c r="J28" s="701">
        <f>'Погонаж база'!CV31*скидки_наценки!$D$19*скидки_наценки!$F$19/скидки_наценки!$B$4</f>
        <v>1000</v>
      </c>
      <c r="K28" s="445" t="s">
        <v>4</v>
      </c>
      <c r="L28" s="566" t="s">
        <v>4</v>
      </c>
      <c r="M28" s="566" t="s">
        <v>4</v>
      </c>
      <c r="N28" s="557">
        <f>'Погонаж база'!CZ31*скидки_наценки!$D$19*скидки_наценки!$F$19/скидки_наценки!$B$4</f>
        <v>900</v>
      </c>
      <c r="O28" s="701">
        <f>'Погонаж база'!DA31*скидки_наценки!$D$19*скидки_наценки!$F$19/скидки_наценки!$B$4</f>
        <v>900</v>
      </c>
      <c r="P28" s="701">
        <f>'Погонаж база'!DB31*скидки_наценки!$D$19*скидки_наценки!$F$19/скидки_наценки!$B$4</f>
        <v>1000</v>
      </c>
      <c r="Q28" s="557">
        <f>'Погонаж база'!DC31*скидки_наценки!$D$13*скидки_наценки!$F$13/скидки_наценки!$B$4</f>
        <v>0</v>
      </c>
    </row>
    <row r="29" spans="1:18" ht="42.75" hidden="1" customHeight="1">
      <c r="A29" s="5346"/>
      <c r="B29" s="2471" t="s">
        <v>2483</v>
      </c>
      <c r="C29" s="446">
        <f t="shared" ref="C29:J29" si="1">CEILING(C28*1.07, 50)</f>
        <v>0</v>
      </c>
      <c r="D29" s="446">
        <f t="shared" si="1"/>
        <v>0</v>
      </c>
      <c r="E29" s="446">
        <f t="shared" si="1"/>
        <v>0</v>
      </c>
      <c r="F29" s="446">
        <f t="shared" si="1"/>
        <v>0</v>
      </c>
      <c r="G29" s="446">
        <f t="shared" si="1"/>
        <v>900</v>
      </c>
      <c r="H29" s="446">
        <f t="shared" si="1"/>
        <v>1000</v>
      </c>
      <c r="I29" s="446">
        <f t="shared" si="1"/>
        <v>1000</v>
      </c>
      <c r="J29" s="446">
        <f t="shared" si="1"/>
        <v>1100</v>
      </c>
      <c r="K29" s="446" t="s">
        <v>4</v>
      </c>
      <c r="L29" s="446" t="s">
        <v>4</v>
      </c>
      <c r="M29" s="446" t="s">
        <v>4</v>
      </c>
      <c r="N29" s="446">
        <f>CEILING(N28*1.07, 50)</f>
        <v>1000</v>
      </c>
      <c r="O29" s="446">
        <f>CEILING(O28*1.07, 50)</f>
        <v>1000</v>
      </c>
      <c r="P29" s="446">
        <f>CEILING(P28*1.07, 50)</f>
        <v>1100</v>
      </c>
      <c r="Q29" s="446">
        <f>CEILING(Q28*1.07, 50)</f>
        <v>0</v>
      </c>
    </row>
    <row r="30" spans="1:18" ht="42.75" customHeight="1">
      <c r="A30" s="2472" t="s">
        <v>30</v>
      </c>
      <c r="B30" s="2470" t="s">
        <v>284</v>
      </c>
      <c r="C30" s="701">
        <f>'Погонаж база'!CO33*скидки_наценки!$D$21*скидки_наценки!$F$21/скидки_наценки!$B$4</f>
        <v>1450</v>
      </c>
      <c r="D30" s="701">
        <f>'Погонаж база'!CP33*скидки_наценки!$D$21*скидки_наценки!$F$21/скидки_наценки!$B$4</f>
        <v>1550</v>
      </c>
      <c r="E30" s="701">
        <f>'Погонаж база'!CQ33*скидки_наценки!$D$21*скидки_наценки!$F$21/скидки_наценки!$B$4</f>
        <v>1600</v>
      </c>
      <c r="F30" s="701">
        <f>'Погонаж база'!CR33*скидки_наценки!$D$21*скидки_наценки!$F$21/скидки_наценки!$B$4</f>
        <v>1650</v>
      </c>
      <c r="G30" s="701">
        <f>'Погонаж база'!CS33*скидки_наценки!$D$21*скидки_наценки!$F$21/скидки_наценки!$B$4</f>
        <v>1550</v>
      </c>
      <c r="H30" s="701">
        <f>'Погонаж база'!CT33*скидки_наценки!$D$21*скидки_наценки!$F$21/скидки_наценки!$B$4</f>
        <v>1600</v>
      </c>
      <c r="I30" s="701">
        <f>'Погонаж база'!CU33*скидки_наценки!$D$21*скидки_наценки!$F$21/скидки_наценки!$B$4</f>
        <v>1650</v>
      </c>
      <c r="J30" s="701">
        <f>'Погонаж база'!CV33*скидки_наценки!$D$21*скидки_наценки!$F$21/скидки_наценки!$B$4</f>
        <v>1750</v>
      </c>
      <c r="K30" s="701">
        <f>'Погонаж база'!CW33*скидки_наценки!$D$21*скидки_наценки!$F$21/скидки_наценки!$B$4</f>
        <v>1600</v>
      </c>
      <c r="L30" s="701">
        <f>'Погонаж база'!CX33*скидки_наценки!$D$21*скидки_наценки!$F$21/скидки_наценки!$B$4</f>
        <v>1650</v>
      </c>
      <c r="M30" s="701">
        <f>'Погонаж база'!CY33*скидки_наценки!$D$21*скидки_наценки!$F$21/скидки_наценки!$B$4</f>
        <v>1750</v>
      </c>
      <c r="N30" s="701">
        <f>'Погонаж база'!CZ33*скидки_наценки!$D$21*скидки_наценки!$F$21/скидки_наценки!$B$4</f>
        <v>1600</v>
      </c>
      <c r="O30" s="701">
        <f>'Погонаж база'!DA33*скидки_наценки!$D$21*скидки_наценки!$F$21/скидки_наценки!$B$4</f>
        <v>1650</v>
      </c>
      <c r="P30" s="701">
        <f>'Погонаж база'!DB33*скидки_наценки!$D$21*скидки_наценки!$F$21/скидки_наценки!$B$4</f>
        <v>1750</v>
      </c>
      <c r="Q30" s="701">
        <f>'Погонаж база'!DC33*скидки_наценки!$D$21*скидки_наценки!$F$21/скидки_наценки!$B$4</f>
        <v>2050</v>
      </c>
    </row>
    <row r="31" spans="1:18" ht="42.75" customHeight="1">
      <c r="A31" s="5342" t="s">
        <v>26</v>
      </c>
      <c r="B31" s="2471" t="s">
        <v>2587</v>
      </c>
      <c r="C31" s="446">
        <f>'Погонаж база'!CO34*скидки_наценки!$D$21*скидки_наценки!$F$21/скидки_наценки!$B$4</f>
        <v>1550</v>
      </c>
      <c r="D31" s="446">
        <f>'Погонаж база'!CP34*скидки_наценки!$D$21*скидки_наценки!$F$21/скидки_наценки!$B$4</f>
        <v>1650</v>
      </c>
      <c r="E31" s="446">
        <f>'Погонаж база'!CQ34*скидки_наценки!$D$21*скидки_наценки!$F$21/скидки_наценки!$B$4</f>
        <v>1700</v>
      </c>
      <c r="F31" s="446">
        <f>'Погонаж база'!CR34*скидки_наценки!$D$21*скидки_наценки!$F$21/скидки_наценки!$B$4</f>
        <v>1750</v>
      </c>
      <c r="G31" s="446" t="s">
        <v>4</v>
      </c>
      <c r="H31" s="446" t="s">
        <v>4</v>
      </c>
      <c r="I31" s="446" t="s">
        <v>4</v>
      </c>
      <c r="J31" s="446" t="s">
        <v>4</v>
      </c>
      <c r="K31" s="446">
        <f>'Погонаж база'!CW34*скидки_наценки!$D$21*скидки_наценки!$F$21/скидки_наценки!$B$4</f>
        <v>1700</v>
      </c>
      <c r="L31" s="446">
        <f>'Погонаж база'!CX34*скидки_наценки!$D$21*скидки_наценки!$F$21/скидки_наценки!$B$4</f>
        <v>1750</v>
      </c>
      <c r="M31" s="446">
        <f>'Погонаж база'!CY34*скидки_наценки!$D$21*скидки_наценки!$F$21/скидки_наценки!$B$4</f>
        <v>1850</v>
      </c>
      <c r="N31" s="446">
        <f>'Погонаж база'!CZ34*скидки_наценки!$D$21*скидки_наценки!$F$21/скидки_наценки!$B$4</f>
        <v>1700</v>
      </c>
      <c r="O31" s="446">
        <f>'Погонаж база'!DA34*скидки_наценки!$D$21*скидки_наценки!$F$21/скидки_наценки!$B$4</f>
        <v>1750</v>
      </c>
      <c r="P31" s="446">
        <f>'Погонаж база'!DB34*скидки_наценки!$D$21*скидки_наценки!$F$21/скидки_наценки!$B$4</f>
        <v>1850</v>
      </c>
      <c r="Q31" s="446">
        <f>IFERROR(#REF!/(1-#REF!)*#REF!*скидки_наценки!$D$13*скидки_наценки!$F$13,0)</f>
        <v>0</v>
      </c>
    </row>
    <row r="32" spans="1:18" ht="42.75" customHeight="1">
      <c r="A32" s="5342"/>
      <c r="B32" s="2470" t="s">
        <v>2580</v>
      </c>
      <c r="C32" s="2359">
        <f>'Погонаж база'!CO35*скидки_наценки!$D$21*скидки_наценки!$F$21/скидки_наценки!$B$4</f>
        <v>1650</v>
      </c>
      <c r="D32" s="2359">
        <f>'Погонаж база'!CP35*скидки_наценки!$D$21*скидки_наценки!$F$21/скидки_наценки!$B$4</f>
        <v>1800</v>
      </c>
      <c r="E32" s="2359">
        <f>'Погонаж база'!CQ35*скидки_наценки!$D$21*скидки_наценки!$F$21/скидки_наценки!$B$4</f>
        <v>1850</v>
      </c>
      <c r="F32" s="2359">
        <f>'Погонаж база'!CR35*скидки_наценки!$D$21*скидки_наценки!$F$21/скидки_наценки!$B$4</f>
        <v>1900</v>
      </c>
      <c r="G32" s="2359">
        <f>'Погонаж база'!CS35*скидки_наценки!$D$21*скидки_наценки!$F$21/скидки_наценки!$B$4</f>
        <v>1800</v>
      </c>
      <c r="H32" s="2359">
        <f>'Погонаж база'!CT35*скидки_наценки!$D$21*скидки_наценки!$F$21/скидки_наценки!$B$4</f>
        <v>1850</v>
      </c>
      <c r="I32" s="2359">
        <f>'Погонаж база'!CU35*скидки_наценки!$D$21*скидки_наценки!$F$21/скидки_наценки!$B$4</f>
        <v>1900</v>
      </c>
      <c r="J32" s="2359">
        <f>'Погонаж база'!CV35*скидки_наценки!$D$21*скидки_наценки!$F$21/скидки_наценки!$B$4</f>
        <v>2000</v>
      </c>
      <c r="K32" s="2359">
        <f>'Погонаж база'!CW35*скидки_наценки!$D$21*скидки_наценки!$F$21/скидки_наценки!$B$4</f>
        <v>1850</v>
      </c>
      <c r="L32" s="2359">
        <f>'Погонаж база'!CX35*скидки_наценки!$D$21*скидки_наценки!$F$21/скидки_наценки!$B$4</f>
        <v>1900</v>
      </c>
      <c r="M32" s="2359">
        <f>'Погонаж база'!CY35*скидки_наценки!$D$21*скидки_наценки!$F$21/скидки_наценки!$B$4</f>
        <v>2000</v>
      </c>
      <c r="N32" s="2359">
        <f>'Погонаж база'!CZ35*скидки_наценки!$D$21*скидки_наценки!$F$21/скидки_наценки!$B$4</f>
        <v>1850</v>
      </c>
      <c r="O32" s="2359">
        <f>'Погонаж база'!DA35*скидки_наценки!$D$21*скидки_наценки!$F$21/скидки_наценки!$B$4</f>
        <v>1900</v>
      </c>
      <c r="P32" s="2359">
        <f>'Погонаж база'!DB35*скидки_наценки!$D$21*скидки_наценки!$F$21/скидки_наценки!$B$4</f>
        <v>2000</v>
      </c>
      <c r="Q32" s="2359">
        <f>IFERROR(#REF!/(1-#REF!)*#REF!*скидки_наценки!$D$13*скидки_наценки!$F$13,0)</f>
        <v>0</v>
      </c>
    </row>
    <row r="33" spans="1:17" ht="42.75" customHeight="1">
      <c r="A33" s="5342"/>
      <c r="B33" s="2471" t="s">
        <v>2588</v>
      </c>
      <c r="C33" s="446">
        <f>'Погонаж база'!CO37*скидки_наценки!$D$21*скидки_наценки!$F$21/скидки_наценки!$B$4</f>
        <v>1800</v>
      </c>
      <c r="D33" s="446">
        <f>'Погонаж база'!CP37*скидки_наценки!$D$21*скидки_наценки!$F$21/скидки_наценки!$B$4</f>
        <v>1950</v>
      </c>
      <c r="E33" s="446">
        <f>'Погонаж база'!CQ37*скидки_наценки!$D$21*скидки_наценки!$F$21/скидки_наценки!$B$4</f>
        <v>2000</v>
      </c>
      <c r="F33" s="446">
        <f>'Погонаж база'!CR37*скидки_наценки!$D$21*скидки_наценки!$F$21/скидки_наценки!$B$4</f>
        <v>2050</v>
      </c>
      <c r="G33" s="446">
        <f>'Погонаж база'!CS37*скидки_наценки!$D$21*скидки_наценки!$F$21/скидки_наценки!$B$4</f>
        <v>1950</v>
      </c>
      <c r="H33" s="446">
        <f>'Погонаж база'!CT37*скидки_наценки!$D$21*скидки_наценки!$F$21/скидки_наценки!$B$4</f>
        <v>2000</v>
      </c>
      <c r="I33" s="446">
        <f>'Погонаж база'!CU37*скидки_наценки!$D$21*скидки_наценки!$F$21/скидки_наценки!$B$4</f>
        <v>2050</v>
      </c>
      <c r="J33" s="446">
        <f>'Погонаж база'!CV37*скидки_наценки!$D$21*скидки_наценки!$F$21/скидки_наценки!$B$4</f>
        <v>2200</v>
      </c>
      <c r="K33" s="446">
        <f>'Погонаж база'!CW37*скидки_наценки!$D$21*скидки_наценки!$F$21/скидки_наценки!$B$4</f>
        <v>2000</v>
      </c>
      <c r="L33" s="446">
        <f>'Погонаж база'!CX37*скидки_наценки!$D$21*скидки_наценки!$F$21/скидки_наценки!$B$4</f>
        <v>2050</v>
      </c>
      <c r="M33" s="446">
        <f>'Погонаж база'!CY37*скидки_наценки!$D$21*скидки_наценки!$F$21/скидки_наценки!$B$4</f>
        <v>2200</v>
      </c>
      <c r="N33" s="446">
        <f>'Погонаж база'!CZ37*скидки_наценки!$D$21*скидки_наценки!$F$21/скидки_наценки!$B$4</f>
        <v>2000</v>
      </c>
      <c r="O33" s="446">
        <f>'Погонаж база'!DA37*скидки_наценки!$D$21*скидки_наценки!$F$21/скидки_наценки!$B$4</f>
        <v>2050</v>
      </c>
      <c r="P33" s="446">
        <f>'Погонаж база'!DB37*скидки_наценки!$D$21*скидки_наценки!$F$21/скидки_наценки!$B$4</f>
        <v>2200</v>
      </c>
      <c r="Q33" s="446">
        <f>CEILING(Q32*1.15, 50)</f>
        <v>0</v>
      </c>
    </row>
    <row r="35" spans="1:17" ht="15">
      <c r="A35" s="2911" t="s">
        <v>20</v>
      </c>
      <c r="B35" s="11"/>
      <c r="C35" s="2171"/>
      <c r="D35" s="2171"/>
      <c r="E35" s="2171"/>
      <c r="F35" s="2171"/>
      <c r="G35" s="2171"/>
      <c r="H35" s="2171"/>
      <c r="I35" s="2171"/>
      <c r="J35" s="2171"/>
      <c r="K35" s="2171"/>
      <c r="L35" s="2171"/>
      <c r="M35" s="2171"/>
      <c r="N35" s="2171"/>
      <c r="O35" s="2171"/>
      <c r="P35" s="2171"/>
      <c r="Q35" s="2171"/>
    </row>
    <row r="36" spans="1:17" ht="70.5" customHeight="1">
      <c r="A36" s="5406" t="s">
        <v>2923</v>
      </c>
      <c r="B36" s="5407"/>
      <c r="C36" s="2359">
        <f>IFERROR(#REF!/(1-#REF!)*#REF!*скидки_наценки!$D$13*скидки_наценки!$F$13,0)</f>
        <v>0</v>
      </c>
      <c r="D36" s="2359">
        <f>IFERROR(#REF!/(1-#REF!)*#REF!*скидки_наценки!$D$13*скидки_наценки!$F$13,0)</f>
        <v>0</v>
      </c>
      <c r="E36" s="2359">
        <f>IFERROR(#REF!/(1-#REF!)*#REF!*скидки_наценки!$D$13*скидки_наценки!$F$13,0)</f>
        <v>0</v>
      </c>
      <c r="F36" s="2359">
        <f>IFERROR(#REF!/(1-#REF!)*#REF!*скидки_наценки!$D$13*скидки_наценки!$F$13,0)</f>
        <v>0</v>
      </c>
      <c r="G36" s="2359">
        <f>IFERROR(#REF!/(1-#REF!)*#REF!*скидки_наценки!$D$13*скидки_наценки!$F$13,0)</f>
        <v>0</v>
      </c>
      <c r="H36" s="2359">
        <f>IFERROR(#REF!/(1-#REF!)*#REF!*скидки_наценки!$D$13*скидки_наценки!$F$13,0)</f>
        <v>0</v>
      </c>
      <c r="I36" s="2359">
        <f>IFERROR(#REF!/(1-#REF!)*#REF!*скидки_наценки!$D$13*скидки_наценки!$F$13,0)</f>
        <v>0</v>
      </c>
      <c r="J36" s="2359">
        <f>IFERROR(#REF!/(1-#REF!)*#REF!*скидки_наценки!$D$13*скидки_наценки!$F$13,0)</f>
        <v>0</v>
      </c>
      <c r="K36" s="2837">
        <f>CEILING('Декоры база'!$F$183*(1+скидки_наценки!$B$32)*скидки_наценки!$D$21*скидки_наценки!$F$21/скидки_наценки!$B$4, 50)</f>
        <v>450</v>
      </c>
      <c r="L36" s="2837">
        <f>CEILING('Декоры база'!$F$183*(1+скидки_наценки!$B$32)*скидки_наценки!$D$21*скидки_наценки!$F$21/скидки_наценки!$B$4, 50)</f>
        <v>450</v>
      </c>
      <c r="M36" s="2837">
        <f>CEILING('Декоры база'!$F$183*(1+скидки_наценки!$B$32)*скидки_наценки!$D$21*скидки_наценки!$F$21/скидки_наценки!$B$4, 50)</f>
        <v>450</v>
      </c>
      <c r="N36" s="2837">
        <f>CEILING('Декоры база'!$F$183*(1+скидки_наценки!$B$32)*скидки_наценки!$D$21*скидки_наценки!$F$21/скидки_наценки!$B$4, 50)</f>
        <v>450</v>
      </c>
      <c r="O36" s="2837">
        <f>CEILING('Декоры база'!$F$183*(1+скидки_наценки!$B$32)*скидки_наценки!$D$21*скидки_наценки!$F$21/скидки_наценки!$B$4, 50)</f>
        <v>450</v>
      </c>
      <c r="P36" s="2837">
        <f>CEILING('Декоры база'!$F$183*(1+скидки_наценки!$B$32)*скидки_наценки!$D$21*скидки_наценки!$F$21/скидки_наценки!$B$4, 50)</f>
        <v>450</v>
      </c>
      <c r="Q36" s="2837">
        <f>CEILING('Декоры база'!$F$183*(1+скидки_наценки!$B$32)*скидки_наценки!$D$21*скидки_наценки!$F$21/скидки_наценки!$B$4, 50)</f>
        <v>450</v>
      </c>
    </row>
    <row r="37" spans="1:17" ht="27.75" hidden="1" customHeight="1">
      <c r="A37" s="5408"/>
      <c r="B37" s="5409"/>
      <c r="C37" s="446">
        <f>IFERROR(#REF!/(1-#REF!)*#REF!*скидки_наценки!$D$13*скидки_наценки!$F$13,0)</f>
        <v>0</v>
      </c>
      <c r="D37" s="446">
        <f>IFERROR(#REF!/(1-#REF!)*#REF!*скидки_наценки!$D$13*скидки_наценки!$F$13,0)</f>
        <v>0</v>
      </c>
      <c r="E37" s="446">
        <f>IFERROR(#REF!/(1-#REF!)*#REF!*скидки_наценки!$D$13*скидки_наценки!$F$13,0)</f>
        <v>0</v>
      </c>
      <c r="F37" s="446">
        <f>IFERROR(#REF!/(1-#REF!)*#REF!*скидки_наценки!$D$13*скидки_наценки!$F$13,0)</f>
        <v>0</v>
      </c>
      <c r="G37" s="446">
        <f>IFERROR(#REF!/(1-#REF!)*#REF!*скидки_наценки!$D$13*скидки_наценки!$F$13,0)</f>
        <v>0</v>
      </c>
      <c r="H37" s="446">
        <f>IFERROR(#REF!/(1-#REF!)*#REF!*скидки_наценки!$D$13*скидки_наценки!$F$13,0)</f>
        <v>0</v>
      </c>
      <c r="I37" s="446">
        <f>IFERROR(#REF!/(1-#REF!)*#REF!*скидки_наценки!$D$13*скидки_наценки!$F$13,0)</f>
        <v>0</v>
      </c>
      <c r="J37" s="446">
        <f>IFERROR(#REF!/(1-#REF!)*#REF!*скидки_наценки!$D$13*скидки_наценки!$F$13,0)</f>
        <v>0</v>
      </c>
      <c r="K37" s="446">
        <f>CEILING('Декоры база'!$C$183*(1+скидки_наценки!$B$32)*скидки_наценки!$D$21*скидки_наценки!$F$21/скидки_наценки!$B$4, 50)</f>
        <v>250</v>
      </c>
      <c r="L37" s="446">
        <f>CEILING('Декоры база'!$C$183*(1+скидки_наценки!$B$32)*скидки_наценки!$D$21*скидки_наценки!$F$21/скидки_наценки!$B$4, 50)</f>
        <v>250</v>
      </c>
      <c r="M37" s="446">
        <f>CEILING('Декоры база'!$C$183*(1+скидки_наценки!$B$32)*скидки_наценки!$D$21*скидки_наценки!$F$21/скидки_наценки!$B$4, 50)</f>
        <v>250</v>
      </c>
      <c r="N37" s="446">
        <f>CEILING('Декоры база'!$C$183*(1+скидки_наценки!$B$32)*скидки_наценки!$D$21*скидки_наценки!$F$21/скидки_наценки!$B$4, 50)</f>
        <v>250</v>
      </c>
      <c r="O37" s="446">
        <f>CEILING('Декоры база'!$C$183*(1+скидки_наценки!$B$32)*скидки_наценки!$D$21*скидки_наценки!$F$21/скидки_наценки!$B$4, 50)</f>
        <v>250</v>
      </c>
      <c r="P37" s="446">
        <f>CEILING('Декоры база'!$C$183*(1+скидки_наценки!$B$32)*скидки_наценки!$D$21*скидки_наценки!$F$21/скидки_наценки!$B$4, 50)</f>
        <v>250</v>
      </c>
      <c r="Q37" s="446">
        <f>CEILING('Декоры база'!$C$183*(1+скидки_наценки!$B$32)*скидки_наценки!$D$21*скидки_наценки!$F$21/скидки_наценки!$B$4, 50)</f>
        <v>250</v>
      </c>
    </row>
    <row r="38" spans="1:17" ht="15.75">
      <c r="A38" s="19"/>
      <c r="B38" s="19" t="s">
        <v>29</v>
      </c>
      <c r="C38" s="246"/>
      <c r="D38" s="246"/>
      <c r="E38" s="246"/>
      <c r="F38" s="246"/>
      <c r="G38" s="246"/>
      <c r="H38" s="246"/>
      <c r="I38" s="246"/>
      <c r="J38" s="246"/>
      <c r="K38" s="246"/>
      <c r="L38" s="246"/>
      <c r="M38" s="246"/>
      <c r="N38" s="246"/>
      <c r="O38" s="246"/>
      <c r="P38" s="246"/>
      <c r="Q38" s="246"/>
    </row>
    <row r="39" spans="1:17" ht="15">
      <c r="A39" s="261" t="s">
        <v>697</v>
      </c>
    </row>
    <row r="40" spans="1:17" ht="15">
      <c r="A40" s="261"/>
      <c r="B40" s="79"/>
    </row>
  </sheetData>
  <mergeCells count="22">
    <mergeCell ref="C26:F26"/>
    <mergeCell ref="G26:J26"/>
    <mergeCell ref="K26:M26"/>
    <mergeCell ref="N26:P26"/>
    <mergeCell ref="C24:Q24"/>
    <mergeCell ref="C6:F6"/>
    <mergeCell ref="G6:J6"/>
    <mergeCell ref="K6:M6"/>
    <mergeCell ref="N6:P6"/>
    <mergeCell ref="C4:Q4"/>
    <mergeCell ref="A16:B16"/>
    <mergeCell ref="A7:B7"/>
    <mergeCell ref="A4:B6"/>
    <mergeCell ref="A17:B17"/>
    <mergeCell ref="A8:A9"/>
    <mergeCell ref="A11:A13"/>
    <mergeCell ref="A36:B36"/>
    <mergeCell ref="A37:B37"/>
    <mergeCell ref="A27:B27"/>
    <mergeCell ref="A24:B26"/>
    <mergeCell ref="A28:A29"/>
    <mergeCell ref="A31:A33"/>
  </mergeCells>
  <hyperlinks>
    <hyperlink ref="B1" location="Содержание!A1" display="Вернуться в содержание"/>
  </hyperlinks>
  <pageMargins left="0.35433070866141736" right="0.23622047244094491" top="0.59055118110236227" bottom="0.31496062992125984" header="0.59055118110236227" footer="0.31496062992125984"/>
  <pageSetup paperSize="9" scale="65" firstPageNumber="41" orientation="landscape" useFirstPageNumber="1" r:id="rId1"/>
  <headerFooter>
    <oddFooter>&amp;L&amp;P&amp;R&amp;24&amp;G</oddFooter>
  </headerFooter>
  <rowBreaks count="1" manualBreakCount="1">
    <brk id="21" max="16" man="1"/>
  </row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29">
    <tabColor rgb="FF92D050"/>
  </sheetPr>
  <dimension ref="A1:V40"/>
  <sheetViews>
    <sheetView view="pageBreakPreview" zoomScale="70" zoomScaleNormal="55" zoomScaleSheetLayoutView="70" zoomScalePageLayoutView="70" workbookViewId="0">
      <pane ySplit="1" topLeftCell="A2" activePane="bottomLeft" state="frozen"/>
      <selection pane="bottomLeft"/>
    </sheetView>
  </sheetViews>
  <sheetFormatPr defaultColWidth="8.42578125" defaultRowHeight="12.75"/>
  <cols>
    <col min="1" max="1" width="9" style="81" customWidth="1"/>
    <col min="2" max="2" width="19.7109375" style="81" customWidth="1"/>
    <col min="3" max="9" width="23" style="81" customWidth="1"/>
    <col min="10" max="11" width="19.85546875" style="81" customWidth="1"/>
    <col min="12" max="12" width="0.85546875" style="81" customWidth="1"/>
    <col min="13" max="14" width="19.85546875" style="81" customWidth="1"/>
    <col min="15" max="15" width="0.85546875" style="81" customWidth="1"/>
    <col min="16" max="16" width="23" style="81" customWidth="1"/>
    <col min="17" max="17" width="19.85546875" style="81" customWidth="1"/>
    <col min="18" max="18" width="8.42578125" style="81"/>
    <col min="19" max="22" width="17.140625" style="81" customWidth="1"/>
    <col min="23" max="16384" width="8.42578125" style="81"/>
  </cols>
  <sheetData>
    <row r="1" spans="1:16" s="2286" customFormat="1" ht="18.75" customHeight="1">
      <c r="B1" s="2285" t="s">
        <v>490</v>
      </c>
      <c r="C1" s="2292"/>
      <c r="P1" s="2282"/>
    </row>
    <row r="2" spans="1:16" ht="21.75" customHeight="1">
      <c r="A2" s="316"/>
      <c r="B2" s="316"/>
      <c r="F2" s="316"/>
      <c r="G2" s="316"/>
    </row>
    <row r="3" spans="1:16" ht="31.5" customHeight="1">
      <c r="A3" s="1195" t="s">
        <v>3513</v>
      </c>
      <c r="B3" s="1193"/>
      <c r="C3" s="1194"/>
      <c r="D3" s="312"/>
      <c r="E3" s="312"/>
      <c r="F3" s="1194"/>
      <c r="G3" s="1194"/>
      <c r="H3" s="1194"/>
      <c r="I3" s="169"/>
      <c r="J3" s="169"/>
      <c r="K3" s="169"/>
      <c r="L3" s="169"/>
      <c r="M3" s="169"/>
      <c r="N3" s="169"/>
      <c r="O3" s="169"/>
      <c r="P3" s="169"/>
    </row>
    <row r="4" spans="1:16" ht="18.75" customHeight="1">
      <c r="A4" s="5355" t="s">
        <v>88</v>
      </c>
      <c r="B4" s="5356"/>
      <c r="C4" s="5292" t="s">
        <v>108</v>
      </c>
      <c r="D4" s="5292"/>
      <c r="E4" s="5292"/>
      <c r="F4" s="5292"/>
      <c r="G4" s="5292"/>
      <c r="H4" s="5292"/>
      <c r="I4" s="5292"/>
      <c r="J4" s="5292"/>
      <c r="K4" s="5292"/>
      <c r="L4" s="5366"/>
      <c r="M4" s="5312" t="s">
        <v>3159</v>
      </c>
      <c r="N4" s="5312"/>
      <c r="O4" s="5350"/>
      <c r="P4" s="5312" t="s">
        <v>203</v>
      </c>
    </row>
    <row r="5" spans="1:16" ht="50.25" customHeight="1">
      <c r="A5" s="5357"/>
      <c r="B5" s="5358"/>
      <c r="C5" s="5344" t="s">
        <v>90</v>
      </c>
      <c r="D5" s="5345"/>
      <c r="E5" s="5364"/>
      <c r="F5" s="5414" t="s">
        <v>109</v>
      </c>
      <c r="G5" s="5415"/>
      <c r="H5" s="5416"/>
      <c r="I5" s="2919" t="s">
        <v>110</v>
      </c>
      <c r="J5" s="2913" t="s">
        <v>311</v>
      </c>
      <c r="K5" s="1185" t="s">
        <v>743</v>
      </c>
      <c r="L5" s="5423"/>
      <c r="M5" s="3514" t="s">
        <v>3160</v>
      </c>
      <c r="N5" s="3514" t="s">
        <v>3161</v>
      </c>
      <c r="O5" s="5412"/>
      <c r="P5" s="5312"/>
    </row>
    <row r="6" spans="1:16" ht="54.75" customHeight="1">
      <c r="A6" s="5357"/>
      <c r="B6" s="5358"/>
      <c r="C6" s="5417" t="s">
        <v>154</v>
      </c>
      <c r="D6" s="5417" t="s">
        <v>154</v>
      </c>
      <c r="E6" s="5417" t="s">
        <v>154</v>
      </c>
      <c r="F6" s="5417" t="s">
        <v>154</v>
      </c>
      <c r="G6" s="5417" t="s">
        <v>154</v>
      </c>
      <c r="H6" s="5417" t="s">
        <v>154</v>
      </c>
      <c r="I6" s="5417" t="s">
        <v>1380</v>
      </c>
      <c r="J6" s="5421" t="s">
        <v>1380</v>
      </c>
      <c r="K6" s="5419" t="s">
        <v>1380</v>
      </c>
      <c r="L6" s="5423"/>
      <c r="M6" s="5419" t="s">
        <v>154</v>
      </c>
      <c r="N6" s="5419" t="s">
        <v>154</v>
      </c>
      <c r="O6" s="5412"/>
      <c r="P6" s="5312"/>
    </row>
    <row r="7" spans="1:16" ht="48.75" customHeight="1">
      <c r="A7" s="5359"/>
      <c r="B7" s="5360"/>
      <c r="C7" s="5418"/>
      <c r="D7" s="5420"/>
      <c r="E7" s="5420"/>
      <c r="F7" s="5418"/>
      <c r="G7" s="5420"/>
      <c r="H7" s="5420"/>
      <c r="I7" s="5418"/>
      <c r="J7" s="5422"/>
      <c r="K7" s="5419"/>
      <c r="L7" s="5423"/>
      <c r="M7" s="5419"/>
      <c r="N7" s="5419"/>
      <c r="O7" s="5412"/>
      <c r="P7" s="3515" t="s">
        <v>461</v>
      </c>
    </row>
    <row r="8" spans="1:16" ht="48.75" customHeight="1">
      <c r="A8" s="3498" t="s">
        <v>360</v>
      </c>
      <c r="B8" s="2471" t="s">
        <v>360</v>
      </c>
      <c r="C8" s="3499"/>
      <c r="D8" s="3499"/>
      <c r="E8" s="3499"/>
      <c r="F8" s="3499"/>
      <c r="G8" s="3499"/>
      <c r="H8" s="3499"/>
      <c r="I8" s="3499"/>
      <c r="J8" s="3516"/>
      <c r="K8" s="3517"/>
      <c r="L8" s="5423"/>
      <c r="M8" s="446">
        <f>CEILING('Погонаж база'!BQ30*(1+скидки_наценки!$B$30)*скидки_наценки!$D$19*скидки_наценки!$F$19/скидки_наценки!$B$4, 50)</f>
        <v>1000</v>
      </c>
      <c r="N8" s="446">
        <f>CEILING('Погонаж база'!BY30*(1+скидки_наценки!$B$30)*скидки_наценки!$D$19*скидки_наценки!$F$19/скидки_наценки!$B$4, 50)</f>
        <v>850</v>
      </c>
      <c r="O8" s="5412"/>
      <c r="P8" s="3515"/>
    </row>
    <row r="9" spans="1:16" ht="52.5" customHeight="1">
      <c r="A9" s="5346" t="s">
        <v>1425</v>
      </c>
      <c r="B9" s="2470" t="s">
        <v>2482</v>
      </c>
      <c r="C9" s="1186">
        <f>CEILING('Погонаж база'!BH31*(1+скидки_наценки!$B$28)*скидки_наценки!$D$19*скидки_наценки!$F$19/скидки_наценки!$B$4, 10)</f>
        <v>750</v>
      </c>
      <c r="D9" s="1186">
        <f>CEILING('Погонаж база'!BI31*(1+скидки_наценки!$B$28)*скидки_наценки!$D$19*скидки_наценки!$F$19/скидки_наценки!$B$4, 50)</f>
        <v>950</v>
      </c>
      <c r="E9" s="1186">
        <f>CEILING('Погонаж база'!BJ31*(1+скидки_наценки!$B$28)*скидки_наценки!$D$19*скидки_наценки!$F$19/скидки_наценки!$B$4, 50)</f>
        <v>1050</v>
      </c>
      <c r="F9" s="1186">
        <f>CEILING('Погонаж база'!BK31*(1+скидки_наценки!$B$28)*скидки_наценки!$D$19*скидки_наценки!$F$19/скидки_наценки!$B$4, 50)</f>
        <v>750</v>
      </c>
      <c r="G9" s="1186">
        <f>CEILING('Погонаж база'!BL31*(1+скидки_наценки!$B$28)*скидки_наценки!$D$19*скидки_наценки!$F$19/скидки_наценки!$B$4, 50)</f>
        <v>1050</v>
      </c>
      <c r="H9" s="1186">
        <f>CEILING('Погонаж база'!BM31*(1+скидки_наценки!$B$28)*скидки_наценки!$D$19*скидки_наценки!$F$19/скидки_наценки!$B$4, 50)</f>
        <v>1100</v>
      </c>
      <c r="I9" s="1186"/>
      <c r="J9" s="1186"/>
      <c r="K9" s="1186"/>
      <c r="L9" s="5423"/>
      <c r="M9" s="2837"/>
      <c r="N9" s="2837"/>
      <c r="O9" s="5412"/>
      <c r="P9" s="5413">
        <f>'Погонаж база'!DZ31*скидки_наценки!$D$23*скидки_наценки!$F$23/скидки_наценки!$B$4</f>
        <v>1900</v>
      </c>
    </row>
    <row r="10" spans="1:16" ht="52.5" customHeight="1">
      <c r="A10" s="5346"/>
      <c r="B10" s="2471" t="s">
        <v>2483</v>
      </c>
      <c r="C10" s="446">
        <f>CEILING('Погонаж база'!BH32*(1+скидки_наценки!$B$28)*скидки_наценки!$D$19*скидки_наценки!$F$19/скидки_наценки!$B$4, 50)</f>
        <v>850</v>
      </c>
      <c r="D10" s="446">
        <f>CEILING('Погонаж база'!BI32*(1+скидки_наценки!$B$28)*скидки_наценки!$D$19*скидки_наценки!$F$19/скидки_наценки!$B$4, 50)</f>
        <v>1150</v>
      </c>
      <c r="E10" s="446">
        <f>CEILING('Погонаж база'!BJ32*(1+скидки_наценки!$B$28)*скидки_наценки!$D$19*скидки_наценки!$F$19/скидки_наценки!$B$4, 50)</f>
        <v>1200</v>
      </c>
      <c r="F10" s="446">
        <f>CEILING('Погонаж база'!BK32*(1+скидки_наценки!$B$28)*скидки_наценки!$D$19*скидки_наценки!$F$19/скидки_наценки!$B$4, 50)</f>
        <v>900</v>
      </c>
      <c r="G10" s="446">
        <f>CEILING('Погонаж база'!BL32*(1+скидки_наценки!$B$28)*скидки_наценки!$D$19*скидки_наценки!$F$19/скидки_наценки!$B$4, 50)</f>
        <v>1200</v>
      </c>
      <c r="H10" s="446">
        <f>CEILING('Погонаж база'!BM32*(1+скидки_наценки!$B$28)*скидки_наценки!$D$19*скидки_наценки!$F$19/скидки_наценки!$B$4, 50)</f>
        <v>1300</v>
      </c>
      <c r="I10" s="446"/>
      <c r="J10" s="446"/>
      <c r="K10" s="446"/>
      <c r="L10" s="5423"/>
      <c r="M10" s="2839"/>
      <c r="N10" s="2839"/>
      <c r="O10" s="5412"/>
      <c r="P10" s="5413"/>
    </row>
    <row r="11" spans="1:16" ht="52.5" customHeight="1">
      <c r="A11" s="2472" t="s">
        <v>30</v>
      </c>
      <c r="B11" s="2470" t="s">
        <v>284</v>
      </c>
      <c r="C11" s="1186">
        <f>CEILING('Погонаж база'!BH33*(1+скидки_наценки!$B$30)*скидки_наценки!$D$19*скидки_наценки!$F$19/скидки_наценки!$B$4, 50)</f>
        <v>1100</v>
      </c>
      <c r="D11" s="1186">
        <f>CEILING('Погонаж база'!BI33*(1+скидки_наценки!$B$30)*скидки_наценки!$D$19*скидки_наценки!$F$19/скидки_наценки!$B$4, 50)</f>
        <v>1450</v>
      </c>
      <c r="E11" s="1186">
        <f>CEILING('Погонаж база'!BJ33*(1+скидки_наценки!$B$30)*скидки_наценки!$D$19*скидки_наценки!$F$19/скидки_наценки!$B$4, 50)</f>
        <v>1550</v>
      </c>
      <c r="F11" s="1186">
        <f>CEILING('Погонаж база'!BK33*(1+скидки_наценки!$B$30)*скидки_наценки!$D$19*скидки_наценки!$F$19/скидки_наценки!$B$4, 50)</f>
        <v>1150</v>
      </c>
      <c r="G11" s="1186">
        <f>CEILING('Погонаж база'!BL33*(1+скидки_наценки!$B$30)*скидки_наценки!$D$19*скидки_наценки!$F$19/скидки_наценки!$B$4, 50)</f>
        <v>1550</v>
      </c>
      <c r="H11" s="1186">
        <f>CEILING('Погонаж база'!BM33*(1+скидки_наценки!$B$30)*скидки_наценки!$D$19*скидки_наценки!$F$19/скидки_наценки!$B$4, 50)</f>
        <v>1650</v>
      </c>
      <c r="I11" s="1186">
        <f>CEILING('Погонаж база'!BP33*(1+скидки_наценки!$B$30)*скидки_наценки!$D$19*скидки_наценки!$F$19/скидки_наценки!$B$4, 50)</f>
        <v>2650</v>
      </c>
      <c r="J11" s="1186">
        <f>CEILING('Погонаж база'!BN33*(1+скидки_наценки!$B$30)*скидки_наценки!$D$19*скидки_наценки!$F$19/скидки_наценки!$B$4, 50)</f>
        <v>2050</v>
      </c>
      <c r="K11" s="1186">
        <f>CEILING('Погонаж база'!BO33*(1+скидки_наценки!$B$30)*скидки_наценки!$D$19*скидки_наценки!$F$19/скидки_наценки!$B$4, 50)</f>
        <v>2250</v>
      </c>
      <c r="L11" s="5423"/>
      <c r="M11" s="2837">
        <f>CEILING('Погонаж база'!BQ33*(1+скидки_наценки!$B$30)*скидки_наценки!$D$19*скидки_наценки!$F$19/скидки_наценки!$B$4, 50)</f>
        <v>1500</v>
      </c>
      <c r="N11" s="2837">
        <f>CEILING('Погонаж база'!BY33*(1+скидки_наценки!$B$30)*скидки_наценки!$D$19*скидки_наценки!$F$19/скидки_наценки!$B$4, 50)</f>
        <v>1300</v>
      </c>
      <c r="O11" s="5412"/>
      <c r="P11" s="5413"/>
    </row>
    <row r="12" spans="1:16" ht="52.5" customHeight="1">
      <c r="A12" s="5342" t="s">
        <v>26</v>
      </c>
      <c r="B12" s="2471" t="s">
        <v>2587</v>
      </c>
      <c r="C12" s="446">
        <f>CEILING('Погонаж база'!BH34*(1+скидки_наценки!$B$273)*скидки_наценки!$D$19*скидки_наценки!$F$19/скидки_наценки!$B$4, 50)</f>
        <v>1200</v>
      </c>
      <c r="D12" s="446">
        <f>CEILING('Погонаж база'!BI34*(1+скидки_наценки!$B$273)*скидки_наценки!$D$19*скидки_наценки!$F$19/скидки_наценки!$B$4, 50)</f>
        <v>1550</v>
      </c>
      <c r="E12" s="446">
        <f>CEILING('Погонаж база'!BJ34*(1+скидки_наценки!$B$273)*скидки_наценки!$D$19*скидки_наценки!$F$19/скидки_наценки!$B$4, 50)</f>
        <v>1650</v>
      </c>
      <c r="F12" s="446">
        <f>CEILING('Погонаж база'!BK34*(1+скидки_наценки!$B$273)*скидки_наценки!$D$19*скидки_наценки!$F$19/скидки_наценки!$B$4, 50)</f>
        <v>1250</v>
      </c>
      <c r="G12" s="446">
        <f>CEILING('Погонаж база'!BL34*(1+скидки_наценки!$B$273)*скидки_наценки!$D$19*скидки_наценки!$F$19/скидки_наценки!$B$4, 50)</f>
        <v>1650</v>
      </c>
      <c r="H12" s="446">
        <f>CEILING('Погонаж база'!BM34*(1+скидки_наценки!$B$273)*скидки_наценки!$D$19*скидки_наценки!$F$19/скидки_наценки!$B$4, 50)</f>
        <v>1750</v>
      </c>
      <c r="I12" s="446"/>
      <c r="J12" s="446"/>
      <c r="K12" s="446"/>
      <c r="L12" s="5423"/>
      <c r="M12" s="2839">
        <f>CEILING('Погонаж база'!BQ34*(1+скидки_наценки!$B$30)*скидки_наценки!$D$19*скидки_наценки!$F$19/скидки_наценки!$B$4, 50)</f>
        <v>1600</v>
      </c>
      <c r="N12" s="2839">
        <f>CEILING('Погонаж база'!BY34*(1+скидки_наценки!$B$30)*скидки_наценки!$D$19*скидки_наценки!$F$19/скидки_наценки!$B$4, 50)</f>
        <v>1400</v>
      </c>
      <c r="O12" s="5412"/>
      <c r="P12" s="5413"/>
    </row>
    <row r="13" spans="1:16" ht="52.5" customHeight="1">
      <c r="A13" s="5342"/>
      <c r="B13" s="2470" t="s">
        <v>2579</v>
      </c>
      <c r="C13" s="2359">
        <f>CEILING('Погонаж база'!BH35*(1+скидки_наценки!$B$29)*скидки_наценки!$D$19*скидки_наценки!$F$19/скидки_наценки!$B$4, 50)</f>
        <v>1250</v>
      </c>
      <c r="D13" s="2359">
        <f>CEILING('Погонаж база'!BI35*(1+скидки_наценки!$B$29)*скидки_наценки!$D$19*скидки_наценки!$F$19/скидки_наценки!$B$4, 50)</f>
        <v>1650</v>
      </c>
      <c r="E13" s="2359">
        <f>CEILING('Погонаж база'!BJ35*(1+скидки_наценки!$B$29)*скидки_наценки!$D$19*скидки_наценки!$F$19/скидки_наценки!$B$4, 50)</f>
        <v>1800</v>
      </c>
      <c r="F13" s="2359">
        <f>CEILING('Погонаж база'!BK35*(1+скидки_наценки!$B$29)*скидки_наценки!$D$19*скидки_наценки!$F$19/скидки_наценки!$B$4, 50)</f>
        <v>1300</v>
      </c>
      <c r="G13" s="2359">
        <f>CEILING('Погонаж база'!BL35*(1+скидки_наценки!$B$29)*скидки_наценки!$D$19*скидки_наценки!$F$19/скидки_наценки!$B$4, 50)</f>
        <v>1800</v>
      </c>
      <c r="H13" s="2359">
        <f>CEILING('Погонаж база'!BM35*(1+скидки_наценки!$B$29)*скидки_наценки!$D$19*скидки_наценки!$F$19/скидки_наценки!$B$4, 50)</f>
        <v>1900</v>
      </c>
      <c r="I13" s="2359"/>
      <c r="J13" s="2359"/>
      <c r="K13" s="2359"/>
      <c r="L13" s="5423"/>
      <c r="M13" s="2837">
        <f>CEILING('Погонаж база'!BQ35*(1+скидки_наценки!$B$30)*скидки_наценки!$D$19*скидки_наценки!$F$19/скидки_наценки!$B$4, 50)</f>
        <v>1700</v>
      </c>
      <c r="N13" s="2837">
        <f>CEILING('Погонаж база'!BY35*(1+скидки_наценки!$B$30)*скидки_наценки!$D$19*скидки_наценки!$F$19/скидки_наценки!$B$4, 50)</f>
        <v>1500</v>
      </c>
      <c r="O13" s="5412"/>
      <c r="P13" s="5413"/>
    </row>
    <row r="14" spans="1:16" ht="52.5" customHeight="1">
      <c r="A14" s="5343"/>
      <c r="B14" s="3921" t="s">
        <v>3380</v>
      </c>
      <c r="C14" s="446">
        <f>CEILING('Погонаж база'!BH36*(1+скидки_наценки!$B$29)*скидки_наценки!$D$19*скидки_наценки!$F$19/скидки_наценки!$B$4, 50)</f>
        <v>1300</v>
      </c>
      <c r="D14" s="446">
        <f>CEILING('Погонаж база'!BI36*(1+скидки_наценки!$B$29)*скидки_наценки!$D$19*скидки_наценки!$F$19/скидки_наценки!$B$4, 50)</f>
        <v>1750</v>
      </c>
      <c r="E14" s="446">
        <f>CEILING('Погонаж база'!BJ36*(1+скидки_наценки!$B$29)*скидки_наценки!$D$19*скидки_наценки!$F$19/скидки_наценки!$B$4, 50)</f>
        <v>1850</v>
      </c>
      <c r="F14" s="2839" t="s">
        <v>4</v>
      </c>
      <c r="G14" s="2839" t="s">
        <v>4</v>
      </c>
      <c r="H14" s="2839" t="s">
        <v>4</v>
      </c>
      <c r="I14" s="2839" t="s">
        <v>4</v>
      </c>
      <c r="J14" s="2839" t="s">
        <v>4</v>
      </c>
      <c r="K14" s="2839" t="s">
        <v>4</v>
      </c>
      <c r="L14" s="5423"/>
      <c r="M14" s="2839">
        <f>CEILING('Погонаж база'!BQ36*(1+скидки_наценки!$B$30)*скидки_наценки!$D$19*скидки_наценки!$F$19/скидки_наценки!$B$4, 50)</f>
        <v>1800</v>
      </c>
      <c r="N14" s="2839">
        <f>CEILING('Погонаж база'!BY36*(1+скидки_наценки!$B$30)*скидки_наценки!$D$19*скидки_наценки!$F$19/скидки_наценки!$B$4, 50)</f>
        <v>1550</v>
      </c>
      <c r="O14" s="5412"/>
      <c r="P14" s="5321"/>
    </row>
    <row r="15" spans="1:16" ht="52.5" customHeight="1">
      <c r="A15" s="5342"/>
      <c r="B15" s="2470" t="s">
        <v>2588</v>
      </c>
      <c r="C15" s="2359">
        <f>CEILING('Погонаж база'!BH37*(1+скидки_наценки!$B$29)*скидки_наценки!$D$19*скидки_наценки!$F$19/скидки_наценки!$B$4, 50)</f>
        <v>1400</v>
      </c>
      <c r="D15" s="2359">
        <f>CEILING('Погонаж база'!BI37*(1+скидки_наценки!$B$29)*скидки_наценки!$D$19*скидки_наценки!$F$19/скидки_наценки!$B$4, 50)</f>
        <v>1800</v>
      </c>
      <c r="E15" s="2359">
        <f>CEILING('Погонаж база'!BJ37*(1+скидки_наценки!$B$29)*скидки_наценки!$D$19*скидки_наценки!$F$19/скидки_наценки!$B$4, 50)</f>
        <v>1950</v>
      </c>
      <c r="F15" s="2359">
        <f>CEILING('Погонаж база'!BK37*(1+скидки_наценки!$B$29)*скидки_наценки!$D$19*скидки_наценки!$F$19/скидки_наценки!$B$4, 50)</f>
        <v>1450</v>
      </c>
      <c r="G15" s="2359">
        <f>CEILING('Погонаж база'!BL37*(1+скидки_наценки!$B$29)*скидки_наценки!$D$19*скидки_наценки!$F$19/скидки_наценки!$B$4, 50)</f>
        <v>1950</v>
      </c>
      <c r="H15" s="2359">
        <f>CEILING('Погонаж база'!BM37*(1+скидки_наценки!$B$29)*скидки_наценки!$D$19*скидки_наценки!$F$19/скидки_наценки!$B$4, 50)</f>
        <v>2050</v>
      </c>
      <c r="I15" s="2701"/>
      <c r="J15" s="2701"/>
      <c r="K15" s="2701"/>
      <c r="L15" s="5424"/>
      <c r="M15" s="2838">
        <f>CEILING('Погонаж база'!BQ37*(1+скидки_наценки!$B$30)*скидки_наценки!$D$19*скидки_наценки!$F$19/скидки_наценки!$B$4, 50)</f>
        <v>1850</v>
      </c>
      <c r="N15" s="2838">
        <f>CEILING('Погонаж база'!BY37*(1+скидки_наценки!$B$30)*скидки_наценки!$D$19*скидки_наценки!$F$19/скидки_наценки!$B$4, 50)</f>
        <v>1600</v>
      </c>
      <c r="O15" s="5352"/>
      <c r="P15" s="5413"/>
    </row>
    <row r="16" spans="1:16" ht="15">
      <c r="B16" s="1214"/>
    </row>
    <row r="17" spans="1:17" s="172" customFormat="1" ht="15">
      <c r="B17" s="60"/>
      <c r="C17" s="171"/>
      <c r="D17" s="171"/>
      <c r="E17" s="171"/>
      <c r="F17" s="171"/>
      <c r="G17" s="171"/>
      <c r="H17" s="171"/>
      <c r="I17" s="171"/>
    </row>
    <row r="18" spans="1:17">
      <c r="B18" s="449"/>
    </row>
    <row r="23" spans="1:17" ht="27.75" customHeight="1"/>
    <row r="24" spans="1:17" ht="27.75" customHeight="1"/>
    <row r="25" spans="1:17" ht="27.75" customHeight="1"/>
    <row r="29" spans="1:17" s="92" customFormat="1" ht="18" customHeight="1">
      <c r="A29" s="78"/>
      <c r="B29" s="78"/>
      <c r="C29" s="78"/>
      <c r="D29" s="78"/>
      <c r="E29" s="78"/>
      <c r="F29" s="78"/>
      <c r="G29" s="78"/>
      <c r="H29" s="78"/>
      <c r="I29" s="76"/>
      <c r="J29" s="76"/>
      <c r="K29" s="76"/>
      <c r="L29" s="76"/>
      <c r="M29" s="76"/>
      <c r="N29" s="76"/>
      <c r="O29" s="76"/>
      <c r="P29" s="76"/>
      <c r="Q29" s="76"/>
    </row>
    <row r="30" spans="1:17" s="92" customFormat="1" ht="18" customHeight="1">
      <c r="A30" s="78"/>
      <c r="B30" s="78"/>
      <c r="C30" s="78"/>
      <c r="D30" s="78"/>
      <c r="E30" s="78"/>
      <c r="F30" s="78"/>
      <c r="G30" s="78"/>
      <c r="H30" s="78"/>
      <c r="I30" s="76"/>
      <c r="J30" s="76"/>
      <c r="K30" s="76"/>
      <c r="L30" s="76"/>
      <c r="M30" s="76"/>
      <c r="N30" s="76"/>
      <c r="O30" s="76"/>
      <c r="P30" s="76"/>
      <c r="Q30" s="76"/>
    </row>
    <row r="31" spans="1:17" s="92" customFormat="1" ht="18" customHeight="1">
      <c r="A31" s="78"/>
      <c r="B31" s="78"/>
      <c r="C31" s="78"/>
      <c r="D31" s="78"/>
      <c r="E31" s="78"/>
      <c r="F31" s="78"/>
      <c r="G31" s="78"/>
      <c r="H31" s="78"/>
      <c r="I31" s="76"/>
      <c r="J31" s="76"/>
      <c r="K31" s="76"/>
      <c r="L31" s="76"/>
      <c r="M31" s="76"/>
      <c r="N31" s="76"/>
      <c r="O31" s="76"/>
      <c r="P31" s="76"/>
      <c r="Q31" s="76"/>
    </row>
    <row r="32" spans="1:17" s="92" customFormat="1" ht="18" customHeight="1">
      <c r="A32" s="78"/>
      <c r="B32" s="78"/>
      <c r="C32" s="78"/>
      <c r="D32" s="78"/>
      <c r="E32" s="78"/>
      <c r="F32" s="78"/>
      <c r="G32" s="78"/>
      <c r="H32" s="78"/>
      <c r="I32" s="76"/>
      <c r="J32" s="76"/>
      <c r="K32" s="76"/>
      <c r="L32" s="76"/>
      <c r="M32" s="76"/>
      <c r="N32" s="76"/>
      <c r="O32" s="76"/>
      <c r="P32" s="76"/>
      <c r="Q32" s="76"/>
    </row>
    <row r="33" spans="1:22" ht="15">
      <c r="A33" s="79"/>
      <c r="B33" s="19"/>
      <c r="C33" s="170"/>
      <c r="D33" s="170"/>
      <c r="E33" s="170"/>
      <c r="F33" s="170"/>
      <c r="G33" s="170"/>
      <c r="H33" s="170"/>
      <c r="I33" s="170"/>
      <c r="J33" s="170"/>
      <c r="K33" s="170"/>
      <c r="L33" s="170"/>
      <c r="M33" s="170"/>
      <c r="N33" s="170"/>
      <c r="O33" s="170"/>
      <c r="P33" s="79"/>
      <c r="Q33" s="79"/>
      <c r="R33" s="311"/>
      <c r="S33" s="311"/>
      <c r="T33" s="311"/>
      <c r="U33" s="311"/>
      <c r="V33" s="311"/>
    </row>
    <row r="34" spans="1:22" s="113" customFormat="1" ht="21.6" customHeight="1">
      <c r="A34" s="203"/>
      <c r="B34" s="203"/>
      <c r="C34" s="203"/>
      <c r="D34" s="203"/>
      <c r="E34" s="203"/>
      <c r="F34" s="256"/>
      <c r="G34" s="256"/>
      <c r="H34" s="203"/>
      <c r="I34" s="203"/>
      <c r="J34" s="203"/>
      <c r="K34" s="203"/>
      <c r="L34" s="203"/>
      <c r="M34" s="203"/>
      <c r="N34" s="203"/>
      <c r="O34" s="203"/>
      <c r="P34" s="203"/>
      <c r="Q34" s="202"/>
      <c r="R34" s="79"/>
    </row>
    <row r="35" spans="1:22" s="113" customFormat="1" ht="12" customHeight="1">
      <c r="A35" s="203"/>
      <c r="B35" s="255"/>
      <c r="C35" s="117"/>
      <c r="D35" s="117"/>
      <c r="E35" s="117"/>
      <c r="F35" s="115"/>
      <c r="G35" s="115"/>
      <c r="H35" s="117"/>
      <c r="I35" s="117"/>
      <c r="J35" s="117"/>
      <c r="K35" s="117"/>
      <c r="L35" s="117"/>
      <c r="M35" s="117"/>
      <c r="N35" s="117"/>
      <c r="O35" s="117"/>
      <c r="P35" s="117"/>
    </row>
    <row r="36" spans="1:22" s="113" customFormat="1" ht="12" customHeight="1">
      <c r="A36" s="117"/>
      <c r="B36" s="255"/>
      <c r="C36" s="116"/>
      <c r="D36" s="116"/>
      <c r="E36" s="116"/>
      <c r="F36" s="116"/>
      <c r="G36" s="116"/>
      <c r="H36" s="116"/>
      <c r="I36" s="116"/>
      <c r="J36" s="116"/>
      <c r="K36" s="116"/>
      <c r="L36" s="116"/>
      <c r="M36" s="116"/>
      <c r="N36" s="116"/>
      <c r="O36" s="116"/>
      <c r="P36" s="116"/>
    </row>
    <row r="37" spans="1:22" ht="18" customHeight="1">
      <c r="B37" s="257"/>
    </row>
    <row r="38" spans="1:22" ht="18" customHeight="1"/>
    <row r="39" spans="1:22" ht="18" customHeight="1"/>
    <row r="40" spans="1:22" ht="18" customHeight="1"/>
  </sheetData>
  <mergeCells count="22">
    <mergeCell ref="N6:N7"/>
    <mergeCell ref="H6:H7"/>
    <mergeCell ref="J6:J7"/>
    <mergeCell ref="D6:D7"/>
    <mergeCell ref="A9:A10"/>
    <mergeCell ref="L4:L15"/>
    <mergeCell ref="O4:O15"/>
    <mergeCell ref="P9:P15"/>
    <mergeCell ref="A4:B7"/>
    <mergeCell ref="P4:P6"/>
    <mergeCell ref="C4:K4"/>
    <mergeCell ref="F5:H5"/>
    <mergeCell ref="F6:F7"/>
    <mergeCell ref="C6:C7"/>
    <mergeCell ref="I6:I7"/>
    <mergeCell ref="K6:K7"/>
    <mergeCell ref="C5:E5"/>
    <mergeCell ref="E6:E7"/>
    <mergeCell ref="G6:G7"/>
    <mergeCell ref="M4:N4"/>
    <mergeCell ref="M6:M7"/>
    <mergeCell ref="A12:A15"/>
  </mergeCells>
  <conditionalFormatting sqref="G35:H35 H34:P34 H36 C34:E36 I35:S36">
    <cfRule type="cellIs" dxfId="28" priority="1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35433070866141736" right="0.23622047244094491" top="0.59055118110236227" bottom="0.31496062992125984" header="0.59055118110236227" footer="0.31496062992125984"/>
  <pageSetup paperSize="9" scale="48" firstPageNumber="43" orientation="landscape" useFirstPageNumber="1" r:id="rId1"/>
  <headerFooter>
    <oddFooter>&amp;L&amp;P&amp;R&amp;22&amp;G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Лист31">
    <tabColor rgb="FF92D050"/>
  </sheetPr>
  <dimension ref="A1:R68"/>
  <sheetViews>
    <sheetView view="pageBreakPreview" zoomScale="70" zoomScaleNormal="55" zoomScaleSheetLayoutView="70" zoomScalePageLayoutView="70" workbookViewId="0">
      <pane ySplit="1" topLeftCell="A2" activePane="bottomLeft" state="frozen"/>
      <selection pane="bottomLeft" activeCell="B1" sqref="B1"/>
    </sheetView>
  </sheetViews>
  <sheetFormatPr defaultColWidth="8.42578125" defaultRowHeight="12.75"/>
  <cols>
    <col min="1" max="1" width="7.140625" style="81" customWidth="1"/>
    <col min="2" max="2" width="19.7109375" style="81" customWidth="1"/>
    <col min="3" max="3" width="12.7109375" style="81" customWidth="1"/>
    <col min="4" max="7" width="19.28515625" style="81" customWidth="1"/>
    <col min="8" max="9" width="23" style="81" customWidth="1"/>
    <col min="10" max="10" width="19.85546875" style="81" customWidth="1"/>
    <col min="11" max="12" width="11.7109375" style="81" customWidth="1"/>
    <col min="13" max="13" width="19.85546875" style="81" customWidth="1"/>
    <col min="14" max="14" width="8.42578125" style="81"/>
    <col min="15" max="18" width="17.140625" style="81" customWidth="1"/>
    <col min="19" max="16384" width="8.42578125" style="81"/>
  </cols>
  <sheetData>
    <row r="1" spans="1:13" s="2286" customFormat="1" ht="21.75" customHeight="1">
      <c r="B1" s="2285" t="s">
        <v>490</v>
      </c>
      <c r="C1" s="2280"/>
      <c r="J1" s="2282"/>
    </row>
    <row r="3" spans="1:13" ht="21.75" customHeight="1">
      <c r="A3" s="315" t="s">
        <v>684</v>
      </c>
      <c r="B3" s="172"/>
      <c r="C3" s="172"/>
      <c r="D3" s="172"/>
      <c r="E3" s="172"/>
      <c r="F3" s="172"/>
      <c r="G3" s="171"/>
    </row>
    <row r="4" spans="1:13" ht="18.75" customHeight="1">
      <c r="A4" s="172"/>
      <c r="B4" s="172"/>
      <c r="C4" s="172"/>
      <c r="D4" s="172"/>
      <c r="E4" s="172"/>
      <c r="F4" s="172"/>
      <c r="G4" s="172"/>
      <c r="H4" s="171"/>
      <c r="I4" s="418"/>
      <c r="J4" s="169"/>
      <c r="K4" s="169"/>
      <c r="L4" s="169"/>
      <c r="M4" s="169"/>
    </row>
    <row r="5" spans="1:13" ht="30.75" customHeight="1">
      <c r="A5" s="4633" t="s">
        <v>2</v>
      </c>
      <c r="B5" s="4235"/>
      <c r="C5" s="4696" t="s">
        <v>2462</v>
      </c>
      <c r="D5" s="5425" t="s">
        <v>389</v>
      </c>
      <c r="E5" s="5426"/>
      <c r="F5" s="5427"/>
      <c r="G5" s="5425" t="s">
        <v>398</v>
      </c>
      <c r="H5" s="5426"/>
      <c r="I5" s="5427"/>
      <c r="J5" s="419" t="s">
        <v>382</v>
      </c>
    </row>
    <row r="6" spans="1:13" ht="110.25" customHeight="1">
      <c r="A6" s="4634"/>
      <c r="B6" s="4237"/>
      <c r="C6" s="4697"/>
      <c r="D6" s="5432" t="s">
        <v>3006</v>
      </c>
      <c r="E6" s="5433"/>
      <c r="F6" s="5434"/>
      <c r="G6" s="5432" t="s">
        <v>3007</v>
      </c>
      <c r="H6" s="5433"/>
      <c r="I6" s="5434"/>
      <c r="J6" s="355"/>
    </row>
    <row r="7" spans="1:13" ht="17.25" customHeight="1">
      <c r="A7" s="4635"/>
      <c r="B7" s="4239"/>
      <c r="C7" s="4698"/>
      <c r="D7" s="336" t="s">
        <v>383</v>
      </c>
      <c r="E7" s="336" t="s">
        <v>381</v>
      </c>
      <c r="F7" s="336" t="s">
        <v>384</v>
      </c>
      <c r="G7" s="336" t="s">
        <v>385</v>
      </c>
      <c r="H7" s="336" t="s">
        <v>386</v>
      </c>
      <c r="I7" s="336" t="s">
        <v>387</v>
      </c>
      <c r="J7" s="545" t="s">
        <v>3369</v>
      </c>
    </row>
    <row r="8" spans="1:13" ht="41.25" customHeight="1">
      <c r="A8" s="5429" t="s">
        <v>1425</v>
      </c>
      <c r="B8" s="2470" t="s">
        <v>2482</v>
      </c>
      <c r="C8" s="347" t="s">
        <v>312</v>
      </c>
      <c r="D8" s="520">
        <f>CEILING('Погонаж база'!BR31*(1+скидки_наценки!$B$28)*скидки_наценки!$D$19*скидки_наценки!$F$19/скидки_наценки!$B$4, 50)</f>
        <v>1500</v>
      </c>
      <c r="E8" s="520">
        <f>CEILING('Погонаж база'!BS31*(1+скидки_наценки!$B$28)*скидки_наценки!$D$19*скидки_наценки!$F$19/скидки_наценки!$B$4, 50)</f>
        <v>1700</v>
      </c>
      <c r="F8" s="520">
        <f>CEILING('Погонаж база'!BT31*(1+скидки_наценки!$B$28)*скидки_наценки!$D$19*скидки_наценки!$F$19/скидки_наценки!$B$4, 50)</f>
        <v>2450</v>
      </c>
      <c r="G8" s="520">
        <f>CEILING('Погонаж база'!BU31*(1+скидки_наценки!$B$28)*скидки_наценки!$D$19*скидки_наценки!$F$19/скидки_наценки!$B$4, 50)</f>
        <v>0</v>
      </c>
      <c r="H8" s="520">
        <f>CEILING('Погонаж база'!BV31*(1+скидки_наценки!$B$28)*скидки_наценки!$D$19*скидки_наценки!$F$19/скидки_наценки!$B$4, 50)</f>
        <v>0</v>
      </c>
      <c r="I8" s="520">
        <f>CEILING('Погонаж база'!BW31*(1+скидки_наценки!$B$28)*скидки_наценки!$D$19*скидки_наценки!$F$19/скидки_наценки!$B$4, 50)</f>
        <v>0</v>
      </c>
      <c r="J8" s="520">
        <f>CEILING('Погонаж база'!BX31*(1+скидки_наценки!$B$28)*скидки_наценки!$D$19*скидки_наценки!$F$19/скидки_наценки!$B$4, 50)</f>
        <v>0</v>
      </c>
    </row>
    <row r="9" spans="1:13" ht="41.25" customHeight="1">
      <c r="A9" s="5430"/>
      <c r="B9" s="2471" t="s">
        <v>2483</v>
      </c>
      <c r="C9" s="354" t="s">
        <v>312</v>
      </c>
      <c r="D9" s="569">
        <f>CEILING('Погонаж база'!BR32*(1+скидки_наценки!$B$28)*скидки_наценки!$D$19*скидки_наценки!$F$19/скидки_наценки!$B$4, 50)</f>
        <v>1750</v>
      </c>
      <c r="E9" s="569">
        <f>CEILING('Погонаж база'!BS32*(1+скидки_наценки!$B$28)*скидки_наценки!$D$19*скидки_наценки!$F$19/скидки_наценки!$B$4, 50)</f>
        <v>2000</v>
      </c>
      <c r="F9" s="569">
        <f>CEILING('Погонаж база'!BT32*(1+скидки_наценки!$B$28)*скидки_наценки!$D$19*скидки_наценки!$F$19/скидки_наценки!$B$4, 50)</f>
        <v>2850</v>
      </c>
      <c r="G9" s="569">
        <f>CEILING(G8*1.07, 50)</f>
        <v>0</v>
      </c>
      <c r="H9" s="569">
        <f>CEILING(H8*1.07, 50)</f>
        <v>0</v>
      </c>
      <c r="I9" s="569">
        <f>CEILING(I8*1.07, 50)</f>
        <v>0</v>
      </c>
      <c r="J9" s="569">
        <f>CEILING(J8*1.07, 50)</f>
        <v>0</v>
      </c>
    </row>
    <row r="10" spans="1:13" ht="41.25" customHeight="1">
      <c r="A10" s="2472" t="s">
        <v>30</v>
      </c>
      <c r="B10" s="2470" t="s">
        <v>284</v>
      </c>
      <c r="C10" s="347" t="s">
        <v>312</v>
      </c>
      <c r="D10" s="520">
        <f>CEILING('Погонаж база'!BR33*(1+скидки_наценки!$B$30)*скидки_наценки!$D$19*скидки_наценки!$F$19/скидки_наценки!$B$4, 50)</f>
        <v>2250</v>
      </c>
      <c r="E10" s="520">
        <f>CEILING('Погонаж база'!BS33*(1+скидки_наценки!$B$30)*скидки_наценки!$D$19*скидки_наценки!$F$19/скидки_наценки!$B$4, 50)</f>
        <v>2550</v>
      </c>
      <c r="F10" s="520">
        <f>CEILING('Погонаж база'!BT33*(1+скидки_наценки!$B$30)*скидки_наценки!$D$19*скидки_наценки!$F$19/скидки_наценки!$B$4, 50)</f>
        <v>3700</v>
      </c>
      <c r="G10" s="520">
        <f>CEILING('Погонаж база'!BU33*(1+скидки_наценки!$B$30)*скидки_наценки!$D$19*скидки_наценки!$F$19/скидки_наценки!$B$4, 50)</f>
        <v>850</v>
      </c>
      <c r="H10" s="520">
        <f>CEILING('Погонаж база'!BV33*(1+скидки_наценки!$B$30)*скидки_наценки!$D$19*скидки_наценки!$F$19/скидки_наценки!$B$4, 50)</f>
        <v>1000</v>
      </c>
      <c r="I10" s="520">
        <f>CEILING('Погонаж база'!BW33*(1+скидки_наценки!$B$30)*скидки_наценки!$D$19*скидки_наценки!$F$19/скидки_наценки!$B$4, 50)</f>
        <v>1300</v>
      </c>
      <c r="J10" s="520">
        <f>CEILING('Погонаж база'!BX33*(1+скидки_наценки!$B$30)*скидки_наценки!$D$19*скидки_наценки!$F$19/скидки_наценки!$B$4, 50)</f>
        <v>5600</v>
      </c>
    </row>
    <row r="11" spans="1:13" ht="41.25" customHeight="1">
      <c r="A11" s="5342" t="s">
        <v>26</v>
      </c>
      <c r="B11" s="2471" t="s">
        <v>2569</v>
      </c>
      <c r="C11" s="354" t="s">
        <v>312</v>
      </c>
      <c r="D11" s="569">
        <f>CEILING('Погонаж база'!BR34*(1+скидки_наценки!$B$29)*скидки_наценки!$D$19*скидки_наценки!$F$19/скидки_наценки!$B$4, 50)</f>
        <v>2400</v>
      </c>
      <c r="E11" s="569">
        <f>CEILING('Погонаж база'!BS34*(1+скидки_наценки!$B$29)*скидки_наценки!$D$19*скидки_наценки!$F$19/скидки_наценки!$B$4, 50)</f>
        <v>2700</v>
      </c>
      <c r="F11" s="569">
        <f>CEILING('Погонаж база'!BT34*(1+скидки_наценки!$B$29)*скидки_наценки!$D$19*скидки_наценки!$F$19/скидки_наценки!$B$4, 50)</f>
        <v>3900</v>
      </c>
      <c r="G11" s="569">
        <f>CEILING('Погонаж база'!BU34*(1+скидки_наценки!$B$29)*скидки_наценки!$D$19*скидки_наценки!$F$19/скидки_наценки!$B$4, 50)</f>
        <v>900</v>
      </c>
      <c r="H11" s="569">
        <f>CEILING('Погонаж база'!BV34*(1+скидки_наценки!$B$29)*скидки_наценки!$D$19*скидки_наценки!$F$19/скидки_наценки!$B$4, 50)</f>
        <v>1050</v>
      </c>
      <c r="I11" s="569">
        <f>CEILING('Погонаж база'!BW34*(1+скидки_наценки!$B$29)*скидки_наценки!$D$19*скидки_наценки!$F$19/скидки_наценки!$B$4, 50)</f>
        <v>1400</v>
      </c>
      <c r="J11" s="569">
        <f>CEILING('Погонаж база'!BX34*(1+скидки_наценки!$B$29)*скидки_наценки!$D$19*скидки_наценки!$F$19/скидки_наценки!$B$4, 50)</f>
        <v>5900</v>
      </c>
    </row>
    <row r="12" spans="1:13" ht="72" customHeight="1">
      <c r="A12" s="5342"/>
      <c r="B12" s="2470" t="s">
        <v>2580</v>
      </c>
      <c r="C12" s="2916" t="s">
        <v>312</v>
      </c>
      <c r="D12" s="520">
        <f>CEILING('Погонаж база'!BR35*(1+скидки_наценки!$B$29)*скидки_наценки!$D$19*скидки_наценки!$F$19/скидки_наценки!$B$4, 50)</f>
        <v>2550</v>
      </c>
      <c r="E12" s="520">
        <f>CEILING('Погонаж база'!BS35*(1+скидки_наценки!$B$29)*скидки_наценки!$D$19*скидки_наценки!$F$19/скидки_наценки!$B$4, 50)</f>
        <v>2900</v>
      </c>
      <c r="F12" s="520">
        <f>CEILING('Погонаж база'!BT35*(1+скидки_наценки!$B$29)*скидки_наценки!$D$19*скидки_наценки!$F$19/скидки_наценки!$B$4, 50)</f>
        <v>4200</v>
      </c>
      <c r="G12" s="520">
        <f>CEILING('Погонаж база'!BU35*(1+скидки_наценки!$B$29)*скидки_наценки!$D$19*скидки_наценки!$F$19/скидки_наценки!$B$4, 50)</f>
        <v>1000</v>
      </c>
      <c r="H12" s="520">
        <f>CEILING('Погонаж база'!BV35*(1+скидки_наценки!$B$29)*скидки_наценки!$D$19*скидки_наценки!$F$19/скидки_наценки!$B$4, 50)</f>
        <v>1150</v>
      </c>
      <c r="I12" s="520">
        <f>CEILING('Погонаж база'!BW35*(1+скидки_наценки!$B$29)*скидки_наценки!$D$19*скидки_наценки!$F$19/скидки_наценки!$B$4, 50)</f>
        <v>1500</v>
      </c>
      <c r="J12" s="520">
        <f>CEILING('Погонаж база'!BX35*(1+скидки_наценки!$B$29)*скидки_наценки!$D$19*скидки_наценки!$F$19/скидки_наценки!$B$4, 50)</f>
        <v>6350</v>
      </c>
      <c r="K12" s="3047"/>
    </row>
    <row r="13" spans="1:13" ht="72" customHeight="1">
      <c r="A13" s="5343"/>
      <c r="B13" s="3921" t="s">
        <v>3380</v>
      </c>
      <c r="C13" s="3971"/>
      <c r="D13" s="569">
        <f>CEILING('Погонаж база'!BR36*(1+скидки_наценки!$B$29)*скидки_наценки!$D$19*скидки_наценки!$F$19/скидки_наценки!$B$4, 50)</f>
        <v>2700</v>
      </c>
      <c r="E13" s="569">
        <f>CEILING('Погонаж база'!BS36*(1+скидки_наценки!$B$29)*скидки_наценки!$D$19*скидки_наценки!$F$19/скидки_наценки!$B$4, 50)</f>
        <v>3050</v>
      </c>
      <c r="F13" s="569">
        <f>CEILING('Погонаж база'!BT36*(1+скидки_наценки!$B$29)*скидки_наценки!$D$19*скидки_наценки!$F$19/скидки_наценки!$B$4, 50)</f>
        <v>4400</v>
      </c>
      <c r="G13" s="569">
        <f>CEILING('Погонаж база'!BU36*(1+скидки_наценки!$B$29)*скидки_наценки!$D$19*скидки_наценки!$F$19/скидки_наценки!$B$4, 50)</f>
        <v>1050</v>
      </c>
      <c r="H13" s="569">
        <f>CEILING('Погонаж база'!BV36*(1+скидки_наценки!$B$29)*скидки_наценки!$D$19*скидки_наценки!$F$19/скидки_наценки!$B$4, 50)</f>
        <v>1200</v>
      </c>
      <c r="I13" s="569">
        <f>CEILING('Погонаж база'!BW36*(1+скидки_наценки!$B$29)*скидки_наценки!$D$19*скидки_наценки!$F$19/скидки_наценки!$B$4, 50)</f>
        <v>1550</v>
      </c>
      <c r="J13" s="569">
        <f>CEILING('Погонаж база'!BX36*(1+скидки_наценки!$B$29)*скидки_наценки!$D$19*скидки_наценки!$F$19/скидки_наценки!$B$4, 50)</f>
        <v>6650</v>
      </c>
      <c r="K13" s="3047"/>
    </row>
    <row r="14" spans="1:13" ht="41.25" customHeight="1">
      <c r="A14" s="5342"/>
      <c r="B14" s="2470" t="s">
        <v>2588</v>
      </c>
      <c r="C14" s="3915" t="s">
        <v>312</v>
      </c>
      <c r="D14" s="520">
        <f>CEILING('Погонаж база'!BR37*(1+скидки_наценки!$B$29)*скидки_наценки!$D$19*скидки_наценки!$F$19/скидки_наценки!$B$4, 50)</f>
        <v>2800</v>
      </c>
      <c r="E14" s="520">
        <f>CEILING('Погонаж база'!BS37*(1+скидки_наценки!$B$29)*скидки_наценки!$D$19*скидки_наценки!$F$19/скидки_наценки!$B$4, 50)</f>
        <v>3150</v>
      </c>
      <c r="F14" s="520">
        <f>CEILING('Погонаж база'!BT37*(1+скидки_наценки!$B$29)*скидки_наценки!$D$19*скидки_наценки!$F$19/скидки_наценки!$B$4, 50)</f>
        <v>4600</v>
      </c>
      <c r="G14" s="520">
        <f>CEILING('Погонаж база'!BU37*(1+скидки_наценки!$B$29)*скидки_наценки!$D$19*скидки_наценки!$F$19/скидки_наценки!$B$4, 50)</f>
        <v>1050</v>
      </c>
      <c r="H14" s="520">
        <f>CEILING('Погонаж база'!BV37*(1+скидки_наценки!$B$29)*скидки_наценки!$D$19*скидки_наценки!$F$19/скидки_наценки!$B$4, 50)</f>
        <v>1250</v>
      </c>
      <c r="I14" s="520">
        <f>CEILING('Погонаж база'!BW37*(1+скидки_наценки!$B$29)*скидки_наценки!$D$19*скидки_наценки!$F$19/скидки_наценки!$B$4, 50)</f>
        <v>1600</v>
      </c>
      <c r="J14" s="520">
        <f>CEILING('Погонаж база'!BX37*(1+скидки_наценки!$B$29)*скидки_наценки!$D$19*скидки_наценки!$F$19/скидки_наценки!$B$4, 50)</f>
        <v>6900</v>
      </c>
    </row>
    <row r="15" spans="1:13" ht="18" customHeight="1">
      <c r="A15" s="345"/>
      <c r="B15" s="1214"/>
      <c r="C15" s="345"/>
      <c r="D15" s="345"/>
      <c r="E15" s="345"/>
      <c r="F15" s="345"/>
      <c r="G15" s="345"/>
      <c r="H15" s="69"/>
    </row>
    <row r="16" spans="1:13" ht="18" customHeight="1">
      <c r="A16" s="28"/>
      <c r="B16" s="60" t="s">
        <v>29</v>
      </c>
      <c r="C16" s="45"/>
      <c r="D16" s="45"/>
      <c r="E16" s="45"/>
      <c r="F16" s="45"/>
      <c r="G16" s="45"/>
      <c r="H16" s="279"/>
    </row>
    <row r="17" spans="1:13" ht="57.75" customHeight="1">
      <c r="A17" s="830">
        <v>1</v>
      </c>
      <c r="B17" s="5428" t="s">
        <v>1159</v>
      </c>
      <c r="C17" s="5428"/>
      <c r="D17" s="5428"/>
      <c r="E17" s="5428"/>
      <c r="F17" s="5428"/>
      <c r="G17" s="5428"/>
      <c r="H17" s="5428"/>
    </row>
    <row r="18" spans="1:13" ht="36.75" customHeight="1">
      <c r="A18" s="830">
        <v>2</v>
      </c>
      <c r="B18" s="5428" t="s">
        <v>1157</v>
      </c>
      <c r="C18" s="5428"/>
      <c r="D18" s="5428"/>
      <c r="E18" s="5428"/>
      <c r="F18" s="5428"/>
      <c r="G18" s="5428"/>
      <c r="H18" s="5428"/>
    </row>
    <row r="19" spans="1:13" ht="52.5" customHeight="1">
      <c r="A19" s="830">
        <v>3</v>
      </c>
      <c r="B19" s="5428" t="s">
        <v>1158</v>
      </c>
      <c r="C19" s="5428"/>
      <c r="D19" s="5428"/>
      <c r="E19" s="5428"/>
      <c r="F19" s="5428"/>
      <c r="G19" s="5428"/>
      <c r="H19" s="5428"/>
    </row>
    <row r="20" spans="1:13" ht="19.5" customHeight="1">
      <c r="A20" s="830">
        <v>4</v>
      </c>
      <c r="B20" s="521" t="s">
        <v>2696</v>
      </c>
      <c r="C20" s="522"/>
      <c r="D20" s="522"/>
      <c r="E20" s="523"/>
      <c r="F20" s="524"/>
      <c r="G20" s="524"/>
      <c r="H20" s="524"/>
    </row>
    <row r="21" spans="1:13" ht="15" customHeight="1">
      <c r="A21" s="830">
        <v>5</v>
      </c>
      <c r="B21" s="521" t="s">
        <v>2851</v>
      </c>
      <c r="C21" s="522"/>
      <c r="D21" s="522"/>
      <c r="E21" s="523"/>
      <c r="F21" s="524"/>
      <c r="G21" s="524"/>
      <c r="H21" s="524"/>
    </row>
    <row r="22" spans="1:13" ht="21" customHeight="1">
      <c r="A22" s="830">
        <v>6</v>
      </c>
      <c r="B22" s="521" t="s">
        <v>689</v>
      </c>
      <c r="C22" s="522"/>
      <c r="D22" s="522"/>
      <c r="E22" s="523"/>
      <c r="F22" s="524"/>
      <c r="G22" s="524"/>
      <c r="H22" s="524"/>
    </row>
    <row r="23" spans="1:13" ht="18" customHeight="1">
      <c r="A23" s="830">
        <v>7</v>
      </c>
      <c r="B23" s="5431" t="s">
        <v>1387</v>
      </c>
      <c r="C23" s="5431"/>
      <c r="D23" s="5431"/>
      <c r="E23" s="5431"/>
      <c r="F23" s="5431"/>
      <c r="G23" s="5431"/>
    </row>
    <row r="24" spans="1:13" ht="33" customHeight="1">
      <c r="A24" s="41"/>
      <c r="B24" s="5431"/>
      <c r="C24" s="5431"/>
      <c r="D24" s="5431"/>
      <c r="E24" s="5431"/>
      <c r="F24" s="5431"/>
      <c r="G24" s="5431"/>
    </row>
    <row r="25" spans="1:13" ht="15">
      <c r="A25" s="41"/>
      <c r="B25" s="196"/>
      <c r="C25" s="193"/>
      <c r="D25" s="193"/>
      <c r="E25" s="279"/>
      <c r="F25" s="67"/>
      <c r="G25" s="317"/>
    </row>
    <row r="26" spans="1:13" ht="15">
      <c r="A26" s="171"/>
      <c r="B26" s="171"/>
      <c r="C26" s="171"/>
      <c r="D26" s="171"/>
      <c r="E26" s="317"/>
      <c r="F26" s="317"/>
      <c r="G26" s="317"/>
    </row>
    <row r="27" spans="1:13" ht="15">
      <c r="A27" s="172"/>
      <c r="B27" s="42"/>
      <c r="C27" s="171"/>
      <c r="D27" s="171"/>
      <c r="E27" s="171"/>
      <c r="F27" s="171"/>
      <c r="G27" s="171"/>
    </row>
    <row r="28" spans="1:13" s="92" customFormat="1" ht="18" customHeight="1">
      <c r="A28" s="78"/>
      <c r="B28" s="78"/>
      <c r="C28" s="78"/>
      <c r="D28" s="78"/>
      <c r="E28" s="78"/>
      <c r="F28" s="78"/>
      <c r="G28" s="78"/>
      <c r="H28" s="78"/>
      <c r="I28" s="76"/>
      <c r="J28" s="76"/>
      <c r="K28" s="76"/>
      <c r="L28" s="76"/>
      <c r="M28" s="76"/>
    </row>
    <row r="29" spans="1:13" s="92" customFormat="1" ht="18" customHeight="1">
      <c r="A29" s="78"/>
      <c r="B29" s="78"/>
      <c r="C29" s="78"/>
      <c r="D29" s="78"/>
      <c r="E29" s="78"/>
      <c r="F29" s="78"/>
      <c r="G29" s="78"/>
      <c r="H29" s="78"/>
      <c r="I29" s="76"/>
      <c r="J29" s="76"/>
      <c r="K29" s="76"/>
      <c r="L29" s="76"/>
      <c r="M29" s="76"/>
    </row>
    <row r="30" spans="1:13" s="92" customFormat="1" ht="18" customHeight="1">
      <c r="A30" s="78"/>
      <c r="B30" s="78"/>
      <c r="C30" s="78"/>
      <c r="D30" s="78"/>
      <c r="E30" s="78"/>
      <c r="F30" s="78"/>
      <c r="G30" s="78"/>
      <c r="H30" s="78"/>
      <c r="I30" s="76"/>
      <c r="J30" s="76"/>
      <c r="K30" s="76"/>
      <c r="L30" s="76"/>
      <c r="M30" s="76"/>
    </row>
    <row r="31" spans="1:13" s="92" customFormat="1" ht="18" customHeight="1">
      <c r="A31" s="78"/>
      <c r="B31" s="78"/>
      <c r="C31" s="78"/>
      <c r="D31" s="78"/>
      <c r="E31" s="78"/>
      <c r="F31" s="78"/>
      <c r="G31" s="78"/>
      <c r="H31" s="78"/>
      <c r="I31" s="76"/>
      <c r="J31" s="76"/>
      <c r="K31" s="76"/>
      <c r="L31" s="76"/>
      <c r="M31" s="76"/>
    </row>
    <row r="32" spans="1:13" s="92" customFormat="1" ht="18" customHeight="1">
      <c r="A32" s="78"/>
      <c r="B32" s="78"/>
      <c r="C32" s="78"/>
      <c r="D32" s="78"/>
      <c r="E32" s="78"/>
      <c r="F32" s="78"/>
      <c r="G32" s="78"/>
      <c r="H32" s="78"/>
      <c r="I32" s="76"/>
      <c r="J32" s="76"/>
      <c r="K32" s="76"/>
      <c r="L32" s="76"/>
      <c r="M32" s="76"/>
    </row>
    <row r="33" spans="1:18" s="92" customFormat="1" ht="18" customHeight="1">
      <c r="A33" s="78"/>
      <c r="B33" s="78"/>
      <c r="C33" s="78"/>
      <c r="D33" s="78"/>
      <c r="E33" s="78"/>
      <c r="F33" s="78"/>
      <c r="G33" s="78"/>
      <c r="H33" s="78"/>
      <c r="I33" s="76"/>
      <c r="J33" s="76"/>
      <c r="K33" s="76"/>
      <c r="L33" s="76"/>
      <c r="M33" s="76"/>
    </row>
    <row r="34" spans="1:18" ht="15">
      <c r="A34" s="79"/>
      <c r="B34" s="19"/>
      <c r="C34" s="170"/>
      <c r="D34" s="170"/>
      <c r="E34" s="170"/>
      <c r="F34" s="170"/>
      <c r="G34" s="170"/>
      <c r="H34" s="170"/>
      <c r="I34" s="170"/>
      <c r="J34" s="170"/>
      <c r="K34" s="79"/>
      <c r="L34" s="79"/>
      <c r="M34" s="79"/>
      <c r="N34" s="311"/>
      <c r="O34" s="311"/>
      <c r="P34" s="311"/>
      <c r="Q34" s="311"/>
      <c r="R34" s="311"/>
    </row>
    <row r="35" spans="1:18" s="113" customFormat="1" ht="21.6" customHeight="1">
      <c r="A35" s="117"/>
      <c r="B35" s="118"/>
      <c r="C35" s="114"/>
      <c r="D35" s="114"/>
      <c r="E35" s="118"/>
      <c r="F35" s="118"/>
      <c r="G35" s="118"/>
      <c r="H35" s="118"/>
      <c r="I35" s="118"/>
      <c r="J35" s="118"/>
      <c r="K35" s="118"/>
      <c r="L35" s="118"/>
      <c r="M35" s="201"/>
      <c r="N35" s="79"/>
    </row>
    <row r="36" spans="1:18" s="113" customFormat="1" ht="12" customHeight="1">
      <c r="A36" s="119"/>
      <c r="B36" s="255"/>
      <c r="C36" s="115"/>
      <c r="D36" s="115"/>
      <c r="E36" s="117"/>
      <c r="F36" s="117"/>
      <c r="G36" s="117"/>
      <c r="H36" s="117"/>
      <c r="I36" s="117"/>
      <c r="J36" s="117"/>
      <c r="K36" s="117"/>
      <c r="L36" s="117"/>
    </row>
    <row r="37" spans="1:18" s="113" customFormat="1" ht="12" customHeight="1">
      <c r="A37" s="117"/>
      <c r="B37" s="255"/>
      <c r="C37" s="116"/>
      <c r="D37" s="116"/>
      <c r="E37" s="116"/>
      <c r="F37" s="116"/>
      <c r="G37" s="116"/>
      <c r="H37" s="116"/>
      <c r="I37" s="116"/>
      <c r="J37" s="116"/>
      <c r="K37" s="116"/>
      <c r="L37" s="116"/>
    </row>
    <row r="38" spans="1:18" ht="18" customHeight="1">
      <c r="B38" s="257"/>
    </row>
    <row r="39" spans="1:18" ht="18" customHeight="1"/>
    <row r="40" spans="1:18" ht="18" customHeight="1"/>
    <row r="41" spans="1:18" ht="18" customHeight="1"/>
    <row r="43" spans="1:18">
      <c r="A43" s="96"/>
      <c r="B43" s="96"/>
      <c r="C43" s="96"/>
      <c r="D43" s="96"/>
      <c r="E43" s="96"/>
      <c r="F43" s="96"/>
      <c r="G43" s="96"/>
      <c r="H43" s="96"/>
      <c r="I43" s="96"/>
      <c r="J43" s="96"/>
      <c r="K43" s="96"/>
    </row>
    <row r="44" spans="1:18">
      <c r="A44" s="96"/>
      <c r="B44" s="96"/>
      <c r="C44" s="96"/>
      <c r="D44" s="96"/>
      <c r="E44" s="96"/>
      <c r="F44" s="96"/>
      <c r="G44" s="96"/>
      <c r="H44" s="96"/>
      <c r="I44" s="96"/>
      <c r="J44" s="96"/>
      <c r="K44" s="96"/>
    </row>
    <row r="45" spans="1:18">
      <c r="A45" s="96"/>
      <c r="B45" s="96"/>
      <c r="C45" s="96"/>
      <c r="D45" s="96"/>
      <c r="E45" s="96"/>
      <c r="F45" s="96"/>
      <c r="G45" s="96"/>
      <c r="H45" s="96"/>
      <c r="I45" s="96"/>
      <c r="J45" s="96"/>
      <c r="K45" s="96"/>
    </row>
    <row r="46" spans="1:18">
      <c r="A46" s="96"/>
      <c r="B46" s="96"/>
      <c r="C46" s="96"/>
      <c r="D46" s="96"/>
      <c r="E46" s="96"/>
      <c r="F46" s="96"/>
      <c r="G46" s="96"/>
      <c r="H46" s="96"/>
      <c r="I46" s="96"/>
      <c r="J46" s="96"/>
      <c r="K46" s="96"/>
    </row>
    <row r="47" spans="1:18">
      <c r="A47" s="96"/>
      <c r="B47" s="96"/>
      <c r="C47" s="96"/>
      <c r="D47" s="96"/>
      <c r="E47" s="96"/>
      <c r="F47" s="96"/>
      <c r="G47" s="96"/>
      <c r="H47" s="96"/>
      <c r="I47" s="96"/>
      <c r="J47" s="96"/>
      <c r="K47" s="96"/>
    </row>
    <row r="48" spans="1:18">
      <c r="A48" s="96"/>
      <c r="B48" s="96"/>
      <c r="C48" s="96"/>
      <c r="D48" s="96"/>
      <c r="E48" s="96"/>
      <c r="F48" s="96"/>
      <c r="G48" s="96"/>
      <c r="H48" s="96"/>
      <c r="I48" s="96"/>
      <c r="J48" s="96"/>
      <c r="K48" s="96"/>
    </row>
    <row r="49" spans="1:11">
      <c r="A49" s="96"/>
      <c r="B49" s="96"/>
      <c r="C49" s="96"/>
      <c r="D49" s="96"/>
      <c r="E49" s="96"/>
      <c r="F49" s="96"/>
      <c r="G49" s="96"/>
      <c r="H49" s="96"/>
      <c r="I49" s="96"/>
      <c r="J49" s="96"/>
      <c r="K49" s="96"/>
    </row>
    <row r="50" spans="1:11">
      <c r="A50" s="96"/>
      <c r="B50" s="96"/>
      <c r="C50" s="96"/>
      <c r="D50" s="96"/>
      <c r="E50" s="96"/>
      <c r="F50" s="96"/>
      <c r="G50" s="96"/>
      <c r="H50" s="96"/>
      <c r="I50" s="96"/>
      <c r="J50" s="96"/>
      <c r="K50" s="96"/>
    </row>
    <row r="51" spans="1:11">
      <c r="A51" s="96"/>
      <c r="B51" s="96"/>
      <c r="C51" s="96"/>
      <c r="D51" s="96"/>
      <c r="E51" s="96"/>
      <c r="F51" s="96"/>
      <c r="G51" s="96"/>
      <c r="H51" s="96"/>
      <c r="I51" s="96"/>
      <c r="J51" s="96"/>
      <c r="K51" s="96"/>
    </row>
    <row r="52" spans="1:11">
      <c r="A52" s="96"/>
      <c r="B52" s="96"/>
      <c r="C52" s="96"/>
      <c r="D52" s="96"/>
      <c r="E52" s="96"/>
      <c r="F52" s="96"/>
      <c r="G52" s="96"/>
      <c r="H52" s="96"/>
      <c r="I52" s="96"/>
      <c r="J52" s="96"/>
      <c r="K52" s="96"/>
    </row>
    <row r="53" spans="1:11">
      <c r="A53" s="96"/>
      <c r="B53" s="96"/>
      <c r="C53" s="96"/>
      <c r="D53" s="96"/>
      <c r="E53" s="96"/>
      <c r="F53" s="96"/>
      <c r="G53" s="96"/>
      <c r="H53" s="96"/>
      <c r="I53" s="96"/>
      <c r="J53" s="96"/>
      <c r="K53" s="96"/>
    </row>
    <row r="54" spans="1:11">
      <c r="A54" s="96"/>
      <c r="B54" s="96"/>
      <c r="C54" s="96"/>
      <c r="D54" s="96"/>
      <c r="E54" s="96"/>
      <c r="F54" s="96"/>
      <c r="G54" s="96"/>
      <c r="H54" s="96"/>
      <c r="I54" s="96"/>
      <c r="J54" s="96"/>
      <c r="K54" s="96"/>
    </row>
    <row r="55" spans="1:11">
      <c r="A55" s="96"/>
      <c r="B55" s="96"/>
      <c r="C55" s="96"/>
      <c r="D55" s="96"/>
      <c r="E55" s="96"/>
      <c r="F55" s="96"/>
      <c r="G55" s="96"/>
      <c r="H55" s="96"/>
      <c r="I55" s="96"/>
      <c r="J55" s="96"/>
      <c r="K55" s="96"/>
    </row>
    <row r="56" spans="1:11">
      <c r="A56" s="96"/>
      <c r="B56" s="96"/>
      <c r="C56" s="96"/>
      <c r="D56" s="96"/>
      <c r="E56" s="96"/>
      <c r="F56" s="96"/>
      <c r="G56" s="96"/>
      <c r="H56" s="96"/>
      <c r="I56" s="96"/>
      <c r="J56" s="96"/>
      <c r="K56" s="96"/>
    </row>
    <row r="57" spans="1:11">
      <c r="A57" s="96"/>
      <c r="B57" s="96"/>
      <c r="C57" s="96"/>
      <c r="D57" s="96"/>
      <c r="E57" s="96"/>
      <c r="F57" s="96"/>
      <c r="G57" s="96"/>
      <c r="H57" s="96"/>
      <c r="I57" s="96"/>
      <c r="J57" s="96"/>
      <c r="K57" s="96"/>
    </row>
    <row r="58" spans="1:11">
      <c r="A58" s="96"/>
      <c r="B58" s="96"/>
      <c r="C58" s="96"/>
      <c r="D58" s="96"/>
      <c r="E58" s="96"/>
      <c r="F58" s="96"/>
      <c r="G58" s="96"/>
      <c r="H58" s="96"/>
      <c r="I58" s="96"/>
      <c r="J58" s="96"/>
      <c r="K58" s="96"/>
    </row>
    <row r="59" spans="1:11">
      <c r="A59" s="96"/>
      <c r="B59" s="96"/>
      <c r="C59" s="96"/>
      <c r="D59" s="96"/>
      <c r="E59" s="96"/>
      <c r="F59" s="96"/>
      <c r="G59" s="96"/>
      <c r="H59" s="96"/>
      <c r="I59" s="96"/>
      <c r="J59" s="96"/>
      <c r="K59" s="96"/>
    </row>
    <row r="60" spans="1:11">
      <c r="A60" s="96"/>
      <c r="B60" s="96"/>
      <c r="C60" s="96"/>
      <c r="D60" s="96"/>
      <c r="E60" s="96"/>
      <c r="F60" s="96"/>
      <c r="G60" s="96"/>
      <c r="H60" s="96"/>
      <c r="I60" s="96"/>
      <c r="J60" s="96"/>
      <c r="K60" s="96"/>
    </row>
    <row r="61" spans="1:11">
      <c r="A61" s="96"/>
      <c r="B61" s="96"/>
      <c r="C61" s="96"/>
      <c r="D61" s="96"/>
      <c r="E61" s="96"/>
      <c r="F61" s="96"/>
      <c r="G61" s="96"/>
      <c r="H61" s="96"/>
      <c r="I61" s="96"/>
      <c r="J61" s="96"/>
      <c r="K61" s="96"/>
    </row>
    <row r="62" spans="1:11">
      <c r="A62" s="96"/>
      <c r="B62" s="96"/>
      <c r="C62" s="96"/>
      <c r="D62" s="96"/>
      <c r="E62" s="96"/>
      <c r="F62" s="96"/>
      <c r="G62" s="96"/>
      <c r="H62" s="96"/>
      <c r="I62" s="96"/>
      <c r="J62" s="96"/>
      <c r="K62" s="96"/>
    </row>
    <row r="63" spans="1:11">
      <c r="A63" s="96"/>
      <c r="B63" s="96"/>
      <c r="C63" s="96"/>
      <c r="D63" s="96"/>
      <c r="E63" s="96"/>
      <c r="F63" s="96"/>
      <c r="G63" s="96"/>
      <c r="H63" s="96"/>
      <c r="I63" s="96"/>
      <c r="J63" s="96"/>
      <c r="K63" s="96"/>
    </row>
    <row r="64" spans="1:11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6"/>
    </row>
    <row r="65" spans="1:11">
      <c r="A65" s="96"/>
      <c r="B65" s="96"/>
      <c r="C65" s="96"/>
      <c r="D65" s="96"/>
      <c r="E65" s="96"/>
      <c r="F65" s="96"/>
      <c r="G65" s="96"/>
      <c r="H65" s="96"/>
      <c r="I65" s="96"/>
      <c r="J65" s="96"/>
      <c r="K65" s="96"/>
    </row>
    <row r="66" spans="1:11">
      <c r="A66" s="96"/>
      <c r="B66" s="96"/>
      <c r="C66" s="96"/>
      <c r="D66" s="96"/>
      <c r="E66" s="96"/>
      <c r="F66" s="96"/>
      <c r="G66" s="96"/>
      <c r="H66" s="96"/>
      <c r="I66" s="96"/>
      <c r="J66" s="96"/>
      <c r="K66" s="96"/>
    </row>
    <row r="67" spans="1:11">
      <c r="A67" s="96"/>
      <c r="B67" s="96"/>
      <c r="C67" s="96"/>
      <c r="D67" s="96"/>
      <c r="E67" s="96"/>
      <c r="F67" s="96"/>
      <c r="G67" s="96"/>
      <c r="H67" s="96"/>
      <c r="I67" s="96"/>
      <c r="J67" s="96"/>
      <c r="K67" s="96"/>
    </row>
    <row r="68" spans="1:11">
      <c r="A68" s="96"/>
      <c r="B68" s="96"/>
      <c r="C68" s="96"/>
      <c r="D68" s="96"/>
      <c r="E68" s="96"/>
      <c r="F68" s="96"/>
      <c r="G68" s="96"/>
      <c r="H68" s="96"/>
      <c r="I68" s="96"/>
      <c r="J68" s="96"/>
      <c r="K68" s="96"/>
    </row>
  </sheetData>
  <mergeCells count="12">
    <mergeCell ref="B23:G24"/>
    <mergeCell ref="B18:H18"/>
    <mergeCell ref="B19:H19"/>
    <mergeCell ref="D6:F6"/>
    <mergeCell ref="G6:I6"/>
    <mergeCell ref="D5:F5"/>
    <mergeCell ref="G5:I5"/>
    <mergeCell ref="B17:H17"/>
    <mergeCell ref="C5:C7"/>
    <mergeCell ref="A5:B7"/>
    <mergeCell ref="A8:A9"/>
    <mergeCell ref="A11:A14"/>
  </mergeCells>
  <conditionalFormatting sqref="D36:F36 G36:O37 E35:L35 E37:F37">
    <cfRule type="cellIs" dxfId="27" priority="1" operator="equal">
      <formula>"нет"</formula>
    </cfRule>
  </conditionalFormatting>
  <hyperlinks>
    <hyperlink ref="B1" location="Содержание!A1" display="Вернуться в содержание"/>
  </hyperlinks>
  <pageMargins left="0.35433070866141736" right="0.23622047244094491" top="0.59055118110236227" bottom="0.31496062992125984" header="0.59055118110236227" footer="0.31496062992125984"/>
  <pageSetup paperSize="9" scale="65" firstPageNumber="44" orientation="landscape" useFirstPageNumber="1" r:id="rId1"/>
  <headerFooter>
    <oddFooter>&amp;L&amp;P&amp;R&amp;22&amp;G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Лист32">
    <tabColor rgb="FF92D050"/>
  </sheetPr>
  <dimension ref="A1:P150"/>
  <sheetViews>
    <sheetView view="pageBreakPreview" zoomScale="85" zoomScaleNormal="70" zoomScaleSheetLayoutView="85" zoomScalePageLayoutView="70" workbookViewId="0">
      <pane ySplit="1" topLeftCell="A2" activePane="bottomLeft" state="frozen"/>
      <selection pane="bottomLeft" activeCell="B1" sqref="B1"/>
    </sheetView>
  </sheetViews>
  <sheetFormatPr defaultColWidth="8.85546875" defaultRowHeight="12.75"/>
  <cols>
    <col min="1" max="1" width="6.85546875" style="163" customWidth="1"/>
    <col min="2" max="2" width="13.7109375" style="163" customWidth="1"/>
    <col min="3" max="9" width="15.7109375" style="163" customWidth="1"/>
    <col min="10" max="10" width="15.5703125" style="163" customWidth="1"/>
    <col min="11" max="13" width="17.140625" style="163" customWidth="1"/>
    <col min="14" max="14" width="17.140625" style="163" hidden="1" customWidth="1"/>
    <col min="15" max="15" width="17" style="163" customWidth="1"/>
    <col min="16" max="16" width="17.140625" style="163" customWidth="1"/>
    <col min="17" max="16384" width="8.85546875" style="163"/>
  </cols>
  <sheetData>
    <row r="1" spans="1:16" s="166" customFormat="1" ht="18" customHeight="1">
      <c r="A1" s="2293"/>
      <c r="B1" s="2285" t="s">
        <v>490</v>
      </c>
      <c r="C1" s="2280"/>
      <c r="D1" s="2294"/>
      <c r="E1" s="2294"/>
      <c r="F1" s="2294"/>
      <c r="G1" s="2294"/>
      <c r="H1" s="2294"/>
      <c r="I1" s="2294"/>
      <c r="J1" s="2295"/>
      <c r="K1" s="2295"/>
      <c r="L1" s="2295"/>
      <c r="M1" s="2294"/>
    </row>
    <row r="2" spans="1:16" s="470" customFormat="1" ht="18" customHeight="1">
      <c r="A2" s="469"/>
      <c r="B2" s="627"/>
      <c r="C2" s="26"/>
      <c r="D2" s="26"/>
      <c r="E2" s="26"/>
      <c r="F2" s="471"/>
      <c r="G2" s="471"/>
      <c r="H2" s="471"/>
      <c r="I2" s="471"/>
      <c r="J2" s="471"/>
      <c r="K2" s="471"/>
      <c r="L2" s="471"/>
      <c r="M2" s="471"/>
      <c r="N2" s="471"/>
      <c r="O2" s="471"/>
      <c r="P2" s="471"/>
    </row>
    <row r="3" spans="1:16" s="161" customFormat="1" ht="18" customHeight="1">
      <c r="A3" s="90"/>
      <c r="B3" s="90"/>
      <c r="C3" s="90"/>
      <c r="D3" s="90"/>
      <c r="E3" s="90"/>
      <c r="F3" s="90"/>
      <c r="G3" s="90"/>
      <c r="H3" s="90"/>
      <c r="I3" s="90"/>
      <c r="J3" s="162"/>
      <c r="K3" s="90"/>
      <c r="L3" s="90"/>
      <c r="M3" s="90"/>
    </row>
    <row r="4" spans="1:16" ht="18" customHeight="1">
      <c r="A4" s="5451" t="s">
        <v>117</v>
      </c>
      <c r="B4" s="5451"/>
      <c r="C4" s="5440" t="s">
        <v>118</v>
      </c>
      <c r="D4" s="5440"/>
      <c r="E4" s="5440"/>
      <c r="F4" s="5440"/>
      <c r="G4" s="5440"/>
      <c r="H4" s="5440"/>
      <c r="I4" s="5440"/>
      <c r="J4" s="5440"/>
      <c r="K4" s="5440"/>
      <c r="L4" s="5440"/>
      <c r="M4" s="5440"/>
      <c r="N4" s="5436" t="s">
        <v>2959</v>
      </c>
      <c r="O4" s="5436"/>
      <c r="P4" s="5436"/>
    </row>
    <row r="5" spans="1:16" ht="18" customHeight="1">
      <c r="A5" s="5451"/>
      <c r="B5" s="5451"/>
      <c r="C5" s="5443" t="s">
        <v>159</v>
      </c>
      <c r="D5" s="5444"/>
      <c r="E5" s="5443" t="s">
        <v>160</v>
      </c>
      <c r="F5" s="5444"/>
      <c r="G5" s="5443" t="s">
        <v>161</v>
      </c>
      <c r="H5" s="5444"/>
      <c r="I5" s="5454" t="s">
        <v>188</v>
      </c>
      <c r="J5" s="5455"/>
      <c r="K5" s="5454" t="s">
        <v>162</v>
      </c>
      <c r="L5" s="5456"/>
      <c r="M5" s="5456"/>
      <c r="N5" s="5435" t="s">
        <v>163</v>
      </c>
      <c r="O5" s="5435" t="s">
        <v>144</v>
      </c>
      <c r="P5" s="5447" t="s">
        <v>240</v>
      </c>
    </row>
    <row r="6" spans="1:16" s="164" customFormat="1" ht="18" customHeight="1">
      <c r="A6" s="5451"/>
      <c r="B6" s="5451"/>
      <c r="C6" s="5452"/>
      <c r="D6" s="5453"/>
      <c r="E6" s="5452"/>
      <c r="F6" s="5453"/>
      <c r="G6" s="5445" t="s">
        <v>465</v>
      </c>
      <c r="H6" s="5446"/>
      <c r="I6" s="3107" t="s">
        <v>189</v>
      </c>
      <c r="J6" s="3108" t="s">
        <v>190</v>
      </c>
      <c r="K6" s="5457"/>
      <c r="L6" s="5457"/>
      <c r="M6" s="5457"/>
      <c r="N6" s="5435"/>
      <c r="O6" s="5435"/>
      <c r="P6" s="5447"/>
    </row>
    <row r="7" spans="1:16" s="164" customFormat="1" ht="50.1" customHeight="1">
      <c r="A7" s="5451"/>
      <c r="B7" s="5451"/>
      <c r="C7" s="5458"/>
      <c r="D7" s="5459"/>
      <c r="E7" s="5458"/>
      <c r="F7" s="5459"/>
      <c r="G7" s="5462"/>
      <c r="H7" s="5463"/>
      <c r="I7" s="5448"/>
      <c r="J7" s="5448"/>
      <c r="K7" s="5457"/>
      <c r="L7" s="5457"/>
      <c r="M7" s="5457"/>
      <c r="N7" s="5435"/>
      <c r="O7" s="5435"/>
      <c r="P7" s="5447"/>
    </row>
    <row r="8" spans="1:16" s="164" customFormat="1" ht="69.95" customHeight="1">
      <c r="A8" s="5451"/>
      <c r="B8" s="5451"/>
      <c r="C8" s="5460"/>
      <c r="D8" s="5461"/>
      <c r="E8" s="5460"/>
      <c r="F8" s="5461"/>
      <c r="G8" s="5464"/>
      <c r="H8" s="5465"/>
      <c r="I8" s="5449"/>
      <c r="J8" s="5449"/>
      <c r="K8" s="3109" t="s">
        <v>187</v>
      </c>
      <c r="L8" s="3110" t="s">
        <v>191</v>
      </c>
      <c r="M8" s="3110" t="s">
        <v>204</v>
      </c>
      <c r="N8" s="5435"/>
      <c r="O8" s="5435"/>
      <c r="P8" s="5447"/>
    </row>
    <row r="9" spans="1:16" ht="45" customHeight="1">
      <c r="A9" s="5451"/>
      <c r="B9" s="5451"/>
      <c r="C9" s="3111" t="s">
        <v>119</v>
      </c>
      <c r="D9" s="3112" t="s">
        <v>120</v>
      </c>
      <c r="E9" s="3112" t="s">
        <v>119</v>
      </c>
      <c r="F9" s="3112" t="s">
        <v>120</v>
      </c>
      <c r="G9" s="3112" t="s">
        <v>119</v>
      </c>
      <c r="H9" s="3112" t="s">
        <v>120</v>
      </c>
      <c r="I9" s="3113" t="s">
        <v>121</v>
      </c>
      <c r="J9" s="3113" t="s">
        <v>122</v>
      </c>
      <c r="K9" s="3114" t="s">
        <v>698</v>
      </c>
      <c r="L9" s="3114" t="s">
        <v>698</v>
      </c>
      <c r="M9" s="3114" t="s">
        <v>698</v>
      </c>
      <c r="N9" s="3112" t="s">
        <v>2243</v>
      </c>
      <c r="O9" s="3112" t="s">
        <v>2243</v>
      </c>
      <c r="P9" s="3112" t="s">
        <v>2244</v>
      </c>
    </row>
    <row r="10" spans="1:16" s="166" customFormat="1" ht="60.75" hidden="1" customHeight="1">
      <c r="A10" s="5346" t="s">
        <v>1425</v>
      </c>
      <c r="B10" s="2470" t="s">
        <v>2482</v>
      </c>
      <c r="C10" s="341">
        <f>CEILING('Погонаж база'!DE31*(1+скидки_наценки!$B$28)*скидки_наценки!$D$19*скидки_наценки!$F$19/скидки_наценки!$B$4, 50)</f>
        <v>0</v>
      </c>
      <c r="D10" s="341">
        <f>CEILING('Погонаж база'!DF31*(1+скидки_наценки!$B$28)*скидки_наценки!$D$19*скидки_наценки!$F$19/скидки_наценки!$B$4, 50)</f>
        <v>3450</v>
      </c>
      <c r="E10" s="341">
        <f>CEILING('Погонаж база'!DG31*(1+скидки_наценки!$B$28)*скидки_наценки!$D$19*скидки_наценки!$F$19/скидки_наценки!$B$4, 50)</f>
        <v>3300</v>
      </c>
      <c r="F10" s="341">
        <f>CEILING('Погонаж база'!DH31*(1+скидки_наценки!$B$28)*скидки_наценки!$D$19*скидки_наценки!$F$19/скидки_наценки!$B$4, 50)</f>
        <v>4000</v>
      </c>
      <c r="G10" s="341">
        <f>CEILING('Погонаж база'!DI31*(1+скидки_наценки!$B$28)*скидки_наценки!$D$19*скидки_наценки!$F$19/скидки_наценки!$B$4, 50)</f>
        <v>0</v>
      </c>
      <c r="H10" s="341">
        <f>CEILING('Погонаж база'!DJ31*(1+скидки_наценки!$B$28)*скидки_наценки!$D$19*скидки_наценки!$F$19/скидки_наценки!$B$4, 50)</f>
        <v>0</v>
      </c>
      <c r="I10" s="341">
        <f>CEILING('Погонаж база'!DK31*(1+скидки_наценки!$B$28)*скидки_наценки!$D$19*скидки_наценки!$F$19/скидки_наценки!$B$4, 50)</f>
        <v>0</v>
      </c>
      <c r="J10" s="341">
        <f>CEILING('Погонаж база'!DL31*(1+скидки_наценки!$B$28)*скидки_наценки!$D$19*скидки_наценки!$F$19/скидки_наценки!$B$4, 50)</f>
        <v>0</v>
      </c>
      <c r="K10" s="341">
        <f>CEILING('Погонаж база'!DM31*(1+скидки_наценки!$B$28)*скидки_наценки!$D$19*скидки_наценки!$F$19/скидки_наценки!$B$4, 50)</f>
        <v>0</v>
      </c>
      <c r="L10" s="341">
        <f>CEILING('Погонаж база'!DN31*(1+скидки_наценки!$B$28)*скидки_наценки!$D$19*скидки_наценки!$F$19/скидки_наценки!$B$4, 50)</f>
        <v>0</v>
      </c>
      <c r="M10" s="341">
        <f>CEILING('Погонаж база'!DO31*(1+скидки_наценки!$B$28)*скидки_наценки!$D$19*скидки_наценки!$F$19/скидки_наценки!$B$4, 50)</f>
        <v>0</v>
      </c>
      <c r="N10" s="341">
        <f>CEILING('Погонаж база'!DP31*(1+скидки_наценки!$B$28)*скидки_наценки!$D$19*скидки_наценки!$F$19/скидки_наценки!$B$4, 50)</f>
        <v>0</v>
      </c>
      <c r="O10" s="341">
        <f>CEILING('Погонаж база'!DQ31*(1+скидки_наценки!$B$28)*скидки_наценки!$D$19*скидки_наценки!$F$19/скидки_наценки!$B$4, 50)</f>
        <v>0</v>
      </c>
      <c r="P10" s="341">
        <f>CEILING('Погонаж база'!DR31*(1+скидки_наценки!$B$28)*скидки_наценки!$D$19*скидки_наценки!$F$19/скидки_наценки!$B$4, 50)</f>
        <v>0</v>
      </c>
    </row>
    <row r="11" spans="1:16" s="166" customFormat="1" ht="60.75" hidden="1" customHeight="1">
      <c r="A11" s="5346"/>
      <c r="B11" s="2471" t="s">
        <v>2483</v>
      </c>
      <c r="C11" s="342">
        <f>CEILING(C10*1.07, 50)</f>
        <v>0</v>
      </c>
      <c r="D11" s="342">
        <f t="shared" ref="D11:P11" si="0">CEILING(D10*1.07, 50)</f>
        <v>3700</v>
      </c>
      <c r="E11" s="342">
        <f t="shared" si="0"/>
        <v>3550</v>
      </c>
      <c r="F11" s="342">
        <f t="shared" si="0"/>
        <v>4300</v>
      </c>
      <c r="G11" s="342">
        <f t="shared" si="0"/>
        <v>0</v>
      </c>
      <c r="H11" s="342">
        <f t="shared" si="0"/>
        <v>0</v>
      </c>
      <c r="I11" s="342">
        <f t="shared" si="0"/>
        <v>0</v>
      </c>
      <c r="J11" s="342">
        <f t="shared" si="0"/>
        <v>0</v>
      </c>
      <c r="K11" s="342">
        <f t="shared" si="0"/>
        <v>0</v>
      </c>
      <c r="L11" s="342">
        <f t="shared" si="0"/>
        <v>0</v>
      </c>
      <c r="M11" s="342">
        <f t="shared" si="0"/>
        <v>0</v>
      </c>
      <c r="N11" s="342">
        <f t="shared" si="0"/>
        <v>0</v>
      </c>
      <c r="O11" s="342">
        <f t="shared" si="0"/>
        <v>0</v>
      </c>
      <c r="P11" s="342">
        <f t="shared" si="0"/>
        <v>0</v>
      </c>
    </row>
    <row r="12" spans="1:16" s="166" customFormat="1" ht="50.1" customHeight="1">
      <c r="A12" s="2472" t="s">
        <v>30</v>
      </c>
      <c r="B12" s="2470" t="s">
        <v>284</v>
      </c>
      <c r="C12" s="341">
        <f>CEILING('Погонаж база'!DE33*(1+скидки_наценки!$B$30)*скидки_наценки!$D$19*скидки_наценки!$F$19/скидки_наценки!$B$4, 50)</f>
        <v>3300</v>
      </c>
      <c r="D12" s="341">
        <f>CEILING('Погонаж база'!DF33*(1+скидки_наценки!$B$30)*скидки_наценки!$D$19*скидки_наценки!$F$19/скидки_наценки!$B$4, 50)</f>
        <v>3900</v>
      </c>
      <c r="E12" s="341">
        <f>CEILING('Погонаж база'!DG33*(1+скидки_наценки!$B$30)*скидки_наценки!$D$19*скидки_наценки!$F$19/скидки_наценки!$B$4, 50)</f>
        <v>4200</v>
      </c>
      <c r="F12" s="341">
        <f>CEILING('Погонаж база'!DH33*(1+скидки_наценки!$B$30)*скидки_наценки!$D$19*скидки_наценки!$F$19/скидки_наценки!$B$4, 50)</f>
        <v>5050</v>
      </c>
      <c r="G12" s="341">
        <f>CEILING('Погонаж база'!DI33*(1+скидки_наценки!$B$30)*скидки_наценки!$D$19*скидки_наценки!$F$19/скидки_наценки!$B$4, 50)</f>
        <v>4300</v>
      </c>
      <c r="H12" s="341">
        <f>CEILING('Погонаж база'!DJ33*(1+скидки_наценки!$B$30)*скидки_наценки!$D$19*скидки_наценки!$F$19/скидки_наценки!$B$4, 50)</f>
        <v>5150</v>
      </c>
      <c r="I12" s="341">
        <f>CEILING('Погонаж база'!DK33*(1+скидки_наценки!$B$30)*скидки_наценки!$D$19*скидки_наценки!$F$19/скидки_наценки!$B$4, 50)</f>
        <v>5050</v>
      </c>
      <c r="J12" s="341">
        <f>CEILING('Погонаж база'!DL33*(1+скидки_наценки!$B$30)*скидки_наценки!$D$19*скидки_наценки!$F$19/скидки_наценки!$B$4, 50)</f>
        <v>5150</v>
      </c>
      <c r="K12" s="2796">
        <f>CEILING('Погонаж база'!DM33*(1+скидки_наценки!$B$30)*скидки_наценки!$D$19*скидки_наценки!$F$19/скидки_наценки!$B$4, 50)</f>
        <v>9550</v>
      </c>
      <c r="L12" s="2796">
        <f>CEILING('Погонаж база'!DN33*(1+скидки_наценки!$B$30)*скидки_наценки!$D$19*скидки_наценки!$F$19/скидки_наценки!$B$4, 50)</f>
        <v>9550</v>
      </c>
      <c r="M12" s="2796">
        <f>CEILING('Погонаж база'!DO33*(1+скидки_наценки!$B$30)*скидки_наценки!$D$19*скидки_наценки!$F$19/скидки_наценки!$B$4, 50)</f>
        <v>9550</v>
      </c>
      <c r="N12" s="3338">
        <f>CEILING('Погонаж база'!DP33*(1+скидки_наценки!$B$30)*скидки_наценки!$D$19*скидки_наценки!$F$19/скидки_наценки!$B$4, 50)</f>
        <v>2300</v>
      </c>
      <c r="O12" s="3338">
        <f>CEILING('Погонаж база'!DQ33*(1+скидки_наценки!$B$30)*скидки_наценки!$D$19*скидки_наценки!$F$19/скидки_наценки!$B$4, 50)</f>
        <v>2800</v>
      </c>
      <c r="P12" s="341">
        <f>CEILING('Погонаж база'!DR33*(1+скидки_наценки!$B$30)*скидки_наценки!$D$19*скидки_наценки!$F$19/скидки_наценки!$B$4, 50)</f>
        <v>1150</v>
      </c>
    </row>
    <row r="13" spans="1:16" s="166" customFormat="1" ht="50.1" customHeight="1">
      <c r="A13" s="5342" t="s">
        <v>26</v>
      </c>
      <c r="B13" s="2471" t="s">
        <v>2587</v>
      </c>
      <c r="C13" s="342">
        <f>CEILING('Погонаж база'!DE34*(1+скидки_наценки!$B$29)*скидки_наценки!$D$19*скидки_наценки!$F$19/скидки_наценки!$B$4, 50)</f>
        <v>3500</v>
      </c>
      <c r="D13" s="342">
        <f>CEILING('Погонаж база'!DF34*(1+скидки_наценки!$B$29)*скидки_наценки!$D$19*скидки_наценки!$F$19/скидки_наценки!$B$4, 50)</f>
        <v>4100</v>
      </c>
      <c r="E13" s="342">
        <f>CEILING('Погонаж база'!DG34*(1+скидки_наценки!$B$29)*скидки_наценки!$D$19*скидки_наценки!$F$19/скидки_наценки!$B$4, 50)</f>
        <v>4450</v>
      </c>
      <c r="F13" s="342">
        <f>CEILING('Погонаж база'!DH34*(1+скидки_наценки!$B$29)*скидки_наценки!$D$19*скидки_наценки!$F$19/скидки_наценки!$B$4, 50)</f>
        <v>5350</v>
      </c>
      <c r="G13" s="342">
        <f>CEILING('Погонаж база'!DI34*(1+скидки_наценки!$B$29)*скидки_наценки!$D$19*скидки_наценки!$F$19/скидки_наценки!$B$4, 50)</f>
        <v>4550</v>
      </c>
      <c r="H13" s="342">
        <f>CEILING('Погонаж база'!DJ34*(1+скидки_наценки!$B$29)*скидки_наценки!$D$19*скидки_наценки!$F$19/скидки_наценки!$B$4, 50)</f>
        <v>5450</v>
      </c>
      <c r="I13" s="342">
        <f>CEILING('Погонаж база'!DK34*(1+скидки_наценки!$B$29)*скидки_наценки!$D$19*скидки_наценки!$F$19/скидки_наценки!$B$4, 50)</f>
        <v>5350</v>
      </c>
      <c r="J13" s="342">
        <f>CEILING('Погонаж база'!DL34*(1+скидки_наценки!$B$29)*скидки_наценки!$D$19*скидки_наценки!$F$19/скидки_наценки!$B$4, 50)</f>
        <v>5450</v>
      </c>
      <c r="K13" s="342">
        <f>CEILING('Погонаж база'!DM34*(1+скидки_наценки!$B$29)*скидки_наценки!$D$19*скидки_наценки!$F$19/скидки_наценки!$B$4, 50)</f>
        <v>10050</v>
      </c>
      <c r="L13" s="342">
        <f>CEILING('Погонаж база'!DN34*(1+скидки_наценки!$B$29)*скидки_наценки!$D$19*скидки_наценки!$F$19/скидки_наценки!$B$4, 50)</f>
        <v>10050</v>
      </c>
      <c r="M13" s="342">
        <f>CEILING('Погонаж база'!DO34*(1+скидки_наценки!$B$29)*скидки_наценки!$D$19*скидки_наценки!$F$19/скидки_наценки!$B$4, 50)</f>
        <v>10050</v>
      </c>
      <c r="N13" s="3339">
        <f>CEILING('Погонаж база'!DP34*(1+скидки_наценки!$B$29)*скидки_наценки!$D$19*скидки_наценки!$F$19/скидки_наценки!$B$4, 50)</f>
        <v>2450</v>
      </c>
      <c r="O13" s="3339">
        <f>CEILING('Погонаж база'!DQ34*(1+скидки_наценки!$B$29)*скидки_наценки!$D$19*скидки_наценки!$F$19/скидки_наценки!$B$4, 50)</f>
        <v>2950</v>
      </c>
      <c r="P13" s="342">
        <f>CEILING('Погонаж база'!DR34*(1+скидки_наценки!$B$29)*скидки_наценки!$D$19*скидки_наценки!$F$19/скидки_наценки!$B$4, 50)</f>
        <v>1200</v>
      </c>
    </row>
    <row r="14" spans="1:16" s="166" customFormat="1" ht="50.1" customHeight="1">
      <c r="A14" s="5342"/>
      <c r="B14" s="2470" t="s">
        <v>2623</v>
      </c>
      <c r="C14" s="341">
        <f>CEILING('Погонаж база'!DE35*(1+скидки_наценки!$B$29)*скидки_наценки!$D$19*скидки_наценки!$F$19/скидки_наценки!$B$4, 50)</f>
        <v>3750</v>
      </c>
      <c r="D14" s="341">
        <f>CEILING('Погонаж база'!DF35*(1+скидки_наценки!$B$29)*скидки_наценки!$D$19*скидки_наценки!$F$19/скидки_наценки!$B$4, 50)</f>
        <v>4450</v>
      </c>
      <c r="E14" s="341">
        <f>CEILING('Погонаж база'!DG35*(1+скидки_наценки!$B$29)*скидки_наценки!$D$19*скидки_наценки!$F$19/скидки_наценки!$B$4, 50)</f>
        <v>4750</v>
      </c>
      <c r="F14" s="341">
        <f>CEILING('Погонаж база'!DH35*(1+скидки_наценки!$B$29)*скидки_наценки!$D$19*скидки_наценки!$F$19/скидки_наценки!$B$4, 50)</f>
        <v>5750</v>
      </c>
      <c r="G14" s="341">
        <f>CEILING('Погонаж база'!DI35*(1+скидки_наценки!$B$29)*скидки_наценки!$D$19*скидки_наценки!$F$19/скидки_наценки!$B$4, 50)</f>
        <v>4900</v>
      </c>
      <c r="H14" s="341">
        <f>CEILING('Погонаж база'!DJ35*(1+скидки_наценки!$B$29)*скидки_наценки!$D$19*скидки_наценки!$F$19/скидки_наценки!$B$4, 50)</f>
        <v>5850</v>
      </c>
      <c r="I14" s="341">
        <f>CEILING('Погонаж база'!DK35*(1+скидки_наценки!$B$29)*скидки_наценки!$D$19*скидки_наценки!$F$19/скидки_наценки!$B$4, 50)</f>
        <v>5750</v>
      </c>
      <c r="J14" s="341">
        <f>CEILING('Погонаж база'!DL35*(1+скидки_наценки!$B$29)*скидки_наценки!$D$19*скидки_наценки!$F$19/скидки_наценки!$B$4, 50)</f>
        <v>5850</v>
      </c>
      <c r="K14" s="341">
        <f>CEILING('Погонаж база'!DM35*(1+скидки_наценки!$B$29)*скидки_наценки!$D$19*скидки_наценки!$F$19/скидки_наценки!$B$4, 50)</f>
        <v>10800</v>
      </c>
      <c r="L14" s="341">
        <f>CEILING('Погонаж база'!DN35*(1+скидки_наценки!$B$29)*скидки_наценки!$D$19*скидки_наценки!$F$19/скидки_наценки!$B$4, 50)</f>
        <v>10800</v>
      </c>
      <c r="M14" s="341">
        <f>CEILING('Погонаж база'!DO35*(1+скидки_наценки!$B$29)*скидки_наценки!$D$19*скидки_наценки!$F$19/скидки_наценки!$B$4, 50)</f>
        <v>10800</v>
      </c>
      <c r="N14" s="3338">
        <f>CEILING('Погонаж база'!DP35*(1+скидки_наценки!$B$29)*скидки_наценки!$D$19*скидки_наценки!$F$19/скидки_наценки!$B$4, 50)</f>
        <v>2600</v>
      </c>
      <c r="O14" s="3338">
        <f>CEILING('Погонаж база'!DQ35*(1+скидки_наценки!$B$29)*скидки_наценки!$D$19*скидки_наценки!$F$19/скидки_наценки!$B$4, 50)</f>
        <v>3200</v>
      </c>
      <c r="P14" s="341">
        <f>CEILING('Погонаж база'!DR35*(1+скидки_наценки!$B$29)*скидки_наценки!$D$19*скидки_наценки!$F$19/скидки_наценки!$B$4, 50)</f>
        <v>1300</v>
      </c>
    </row>
    <row r="15" spans="1:16" s="166" customFormat="1" ht="50.1" customHeight="1">
      <c r="A15" s="5342"/>
      <c r="B15" s="2471" t="s">
        <v>2624</v>
      </c>
      <c r="C15" s="342">
        <f>CEILING('Погонаж база'!DE37*(1+скидки_наценки!$B$29)*скидки_наценки!$D$19*скидки_наценки!$F$19/скидки_наценки!$B$4, 50)</f>
        <v>4100</v>
      </c>
      <c r="D15" s="342">
        <f>CEILING('Погонаж база'!DF37*(1+скидки_наценки!$B$29)*скидки_наценки!$D$19*скидки_наценки!$F$19/скидки_наценки!$B$4, 50)</f>
        <v>4800</v>
      </c>
      <c r="E15" s="342">
        <f>CEILING('Погонаж база'!DG37*(1+скидки_наценки!$B$29)*скидки_наценки!$D$19*скидки_наценки!$F$19/скидки_наценки!$B$4, 50)</f>
        <v>5200</v>
      </c>
      <c r="F15" s="342">
        <f>CEILING('Погонаж база'!DH37*(1+скидки_наценки!$B$29)*скидки_наценки!$D$19*скидки_наценки!$F$19/скидки_наценки!$B$4, 50)</f>
        <v>6250</v>
      </c>
      <c r="G15" s="342"/>
      <c r="H15" s="342"/>
      <c r="I15" s="342"/>
      <c r="J15" s="342"/>
      <c r="K15" s="342">
        <f>CEILING('Погонаж база'!DM37*(1+скидки_наценки!$B$29)*скидки_наценки!$D$19*скидки_наценки!$F$19/скидки_наценки!$B$4, 50)</f>
        <v>11750</v>
      </c>
      <c r="L15" s="342">
        <f>CEILING('Погонаж база'!DN37*(1+скидки_наценки!$B$29)*скидки_наценки!$D$19*скидки_наценки!$F$19/скидки_наценки!$B$4, 50)</f>
        <v>11750</v>
      </c>
      <c r="M15" s="342">
        <f>CEILING('Погонаж база'!DO37*(1+скидки_наценки!$B$29)*скидки_наценки!$D$19*скидки_наценки!$F$19/скидки_наценки!$B$4, 50)</f>
        <v>11750</v>
      </c>
      <c r="N15" s="3339">
        <f>CEILING('Погонаж база'!DP37*(1+скидки_наценки!$B$29)*скидки_наценки!$D$19*скидки_наценки!$F$19/скидки_наценки!$B$4, 50)</f>
        <v>2850</v>
      </c>
      <c r="O15" s="3339">
        <f>CEILING('Погонаж база'!DQ37*(1+скидки_наценки!$B$29)*скидки_наценки!$D$19*скидки_наценки!$F$19/скидки_наценки!$B$4, 50)</f>
        <v>3450</v>
      </c>
      <c r="P15" s="342">
        <f>CEILING('Погонаж база'!DR37*(1+скидки_наценки!$B$29)*скидки_наценки!$D$19*скидки_наценки!$F$19/скидки_наценки!$B$4, 50)</f>
        <v>1400</v>
      </c>
    </row>
    <row r="16" spans="1:16" s="166" customFormat="1" ht="15.75">
      <c r="A16" s="247"/>
      <c r="B16" s="1214"/>
      <c r="C16" s="343"/>
      <c r="D16" s="343"/>
      <c r="E16" s="343"/>
      <c r="F16" s="343"/>
      <c r="G16" s="343"/>
      <c r="H16" s="343"/>
      <c r="I16" s="343"/>
      <c r="J16" s="343"/>
      <c r="K16" s="343"/>
      <c r="L16" s="343"/>
      <c r="M16" s="343"/>
      <c r="N16" s="343"/>
      <c r="O16" s="343"/>
      <c r="P16" s="343"/>
    </row>
    <row r="17" spans="1:16" s="167" customFormat="1" ht="15">
      <c r="A17" s="91"/>
      <c r="B17" s="91"/>
      <c r="C17" s="344"/>
      <c r="D17" s="344"/>
      <c r="E17" s="344"/>
      <c r="F17" s="344"/>
      <c r="G17" s="344"/>
      <c r="H17" s="344"/>
      <c r="I17" s="344"/>
      <c r="J17" s="344"/>
      <c r="K17" s="344"/>
      <c r="L17" s="344"/>
      <c r="M17" s="344"/>
      <c r="N17" s="344"/>
      <c r="O17" s="344"/>
      <c r="P17" s="344"/>
    </row>
    <row r="18" spans="1:16" s="167" customFormat="1" ht="11.25" customHeight="1">
      <c r="A18" s="250" t="s">
        <v>20</v>
      </c>
      <c r="B18" s="243"/>
      <c r="C18" s="344"/>
      <c r="D18" s="344"/>
      <c r="E18" s="344"/>
      <c r="F18" s="344"/>
      <c r="G18" s="344"/>
      <c r="H18" s="344"/>
      <c r="I18" s="344"/>
      <c r="J18" s="344"/>
      <c r="K18" s="344"/>
      <c r="L18" s="344"/>
      <c r="M18" s="344"/>
      <c r="N18" s="344"/>
      <c r="O18" s="344"/>
      <c r="P18" s="344"/>
    </row>
    <row r="19" spans="1:16" s="167" customFormat="1" ht="70.900000000000006" customHeight="1">
      <c r="A19" s="5437" t="s">
        <v>2746</v>
      </c>
      <c r="B19" s="5437"/>
      <c r="C19" s="342">
        <f>IFERROR(#REF!*#REF!*скидки_наценки!$D$13*скидки_наценки!$F$13,0)</f>
        <v>0</v>
      </c>
      <c r="D19" s="342">
        <f>IFERROR(#REF!*#REF!*скидки_наценки!$D$13*скидки_наценки!$F$13,0)</f>
        <v>0</v>
      </c>
      <c r="E19" s="342">
        <f>IFERROR(#REF!*#REF!*скидки_наценки!$D$13*скидки_наценки!$F$13,0)</f>
        <v>0</v>
      </c>
      <c r="F19" s="342">
        <f>IFERROR(#REF!*#REF!*скидки_наценки!$D$13*скидки_наценки!$F$13,0)</f>
        <v>0</v>
      </c>
      <c r="G19" s="2839">
        <f>CEILING('Декоры база'!$F$189*(1+скидки_наценки!$B$32)*скидки_наценки!$D$21*скидки_наценки!$F$21/скидки_наценки!$B$4, 50)</f>
        <v>1450</v>
      </c>
      <c r="H19" s="2839">
        <f>CEILING('Декоры база'!$F$189*(1+скидки_наценки!$B$32)*скидки_наценки!$D$21*скидки_наценки!$F$21/скидки_наценки!$B$4, 50)</f>
        <v>1450</v>
      </c>
      <c r="I19" s="342">
        <f>'Погонаж база'!DG38*скидки_наценки!$D$13*скидки_наценки!$F$13/скидки_наценки!$B$4</f>
        <v>0</v>
      </c>
      <c r="J19" s="342">
        <f>'Погонаж база'!DH38*скидки_наценки!$D$13*скидки_наценки!$F$13/скидки_наценки!$B$4</f>
        <v>0</v>
      </c>
      <c r="K19" s="1187">
        <f>'Погонаж база'!DM38*скидки_наценки!$D$13*скидки_наценки!$F$13/скидки_наценки!$B$4</f>
        <v>0</v>
      </c>
      <c r="L19" s="2839">
        <f>CEILING('Декоры база'!$F$189*(1+скидки_наценки!$B$32)*скидки_наценки!$D$21*скидки_наценки!$F$21/скидки_наценки!$B$4, 50)</f>
        <v>1450</v>
      </c>
      <c r="M19" s="1187">
        <f>IFERROR(#REF!*#REF!*скидки_наценки!$D$13*скидки_наценки!$F$13,0)</f>
        <v>0</v>
      </c>
      <c r="N19" s="2839">
        <f>CEILING('Декоры база'!$F$189*(1+скидки_наценки!$B$32)*скидки_наценки!$D$21*скидки_наценки!$F$21/скидки_наценки!$B$4, 50)</f>
        <v>1450</v>
      </c>
      <c r="O19" s="342">
        <f>IFERROR('Погонаж база'!DQ38*скидки_наценки!$D$13*скидки_наценки!$F$13,0)</f>
        <v>0</v>
      </c>
      <c r="P19" s="342">
        <f>IFERROR('Погонаж база'!DR38*скидки_наценки!$D$13*скидки_наценки!$F$13,0)</f>
        <v>0</v>
      </c>
    </row>
    <row r="20" spans="1:16" s="167" customFormat="1" ht="43.5" customHeight="1">
      <c r="A20" s="273"/>
      <c r="B20" s="2835"/>
      <c r="C20" s="2836"/>
      <c r="D20" s="3024"/>
      <c r="E20" s="2836"/>
      <c r="F20" s="343"/>
      <c r="G20" s="343"/>
      <c r="H20" s="343"/>
      <c r="I20" s="343"/>
      <c r="J20" s="343"/>
      <c r="K20" s="343"/>
      <c r="L20" s="343"/>
      <c r="M20" s="343"/>
      <c r="N20" s="343"/>
      <c r="O20" s="343"/>
      <c r="P20" s="343"/>
    </row>
    <row r="21" spans="1:16" s="167" customFormat="1" ht="50.25" customHeight="1">
      <c r="A21" s="273"/>
      <c r="B21" s="5439"/>
      <c r="C21" s="5439"/>
      <c r="D21" s="5439"/>
      <c r="E21" s="5439"/>
      <c r="F21" s="168"/>
      <c r="G21" s="168"/>
      <c r="H21" s="168"/>
      <c r="I21" s="168"/>
      <c r="J21" s="168"/>
      <c r="K21" s="168"/>
      <c r="L21" s="168"/>
      <c r="M21" s="168"/>
      <c r="N21" s="252"/>
      <c r="O21" s="252"/>
      <c r="P21" s="251"/>
    </row>
    <row r="22" spans="1:16" s="167" customFormat="1" ht="51.6" customHeight="1">
      <c r="A22" s="273"/>
      <c r="B22" s="273"/>
      <c r="C22" s="168"/>
      <c r="D22" s="168"/>
      <c r="E22" s="168"/>
      <c r="F22" s="168"/>
      <c r="G22" s="168"/>
      <c r="H22" s="168"/>
      <c r="I22" s="168"/>
      <c r="J22" s="168"/>
      <c r="K22" s="168"/>
      <c r="L22" s="168"/>
      <c r="M22" s="168"/>
      <c r="N22" s="252"/>
      <c r="O22" s="252"/>
      <c r="P22" s="251"/>
    </row>
    <row r="23" spans="1:16" s="167" customFormat="1" ht="19.899999999999999" customHeight="1">
      <c r="A23" s="273"/>
      <c r="B23" s="273"/>
      <c r="C23" s="168"/>
      <c r="D23" s="168"/>
      <c r="E23" s="168"/>
      <c r="F23" s="168"/>
      <c r="G23" s="168"/>
      <c r="H23" s="168"/>
      <c r="I23" s="168"/>
      <c r="J23" s="168"/>
      <c r="K23" s="168"/>
      <c r="L23" s="168"/>
      <c r="M23" s="168"/>
      <c r="N23" s="252"/>
      <c r="O23" s="252"/>
      <c r="P23" s="251"/>
    </row>
    <row r="24" spans="1:16" s="167" customFormat="1" ht="19.899999999999999" customHeight="1">
      <c r="A24" s="273"/>
      <c r="B24" s="273"/>
      <c r="C24" s="168"/>
      <c r="D24" s="168"/>
      <c r="E24" s="168"/>
      <c r="F24" s="168"/>
      <c r="G24" s="168"/>
      <c r="H24" s="168"/>
      <c r="I24" s="168"/>
      <c r="J24" s="168"/>
      <c r="K24" s="168"/>
      <c r="L24" s="168"/>
      <c r="M24" s="168"/>
      <c r="N24" s="252"/>
      <c r="O24" s="252"/>
      <c r="P24" s="251"/>
    </row>
    <row r="25" spans="1:16" s="167" customFormat="1" ht="19.899999999999999" customHeight="1">
      <c r="A25" s="273"/>
      <c r="B25" s="273"/>
      <c r="C25" s="168"/>
      <c r="D25" s="168"/>
      <c r="E25" s="168"/>
      <c r="F25" s="168"/>
      <c r="G25" s="168"/>
      <c r="H25" s="168"/>
      <c r="I25" s="168"/>
      <c r="J25" s="168"/>
      <c r="K25" s="168"/>
      <c r="L25" s="168"/>
      <c r="M25" s="168"/>
      <c r="N25" s="252"/>
      <c r="O25" s="252"/>
      <c r="P25" s="251"/>
    </row>
    <row r="26" spans="1:16" s="167" customFormat="1" ht="19.899999999999999" customHeight="1">
      <c r="A26" s="273"/>
      <c r="B26" s="273"/>
      <c r="C26" s="168"/>
      <c r="D26" s="168"/>
      <c r="E26" s="168"/>
      <c r="F26" s="168"/>
      <c r="G26" s="168"/>
      <c r="H26" s="168"/>
      <c r="I26" s="168"/>
      <c r="J26" s="168"/>
      <c r="K26" s="168"/>
      <c r="L26" s="168"/>
      <c r="M26" s="168"/>
      <c r="N26" s="252"/>
      <c r="O26" s="252"/>
      <c r="P26" s="251"/>
    </row>
    <row r="27" spans="1:16" s="167" customFormat="1" ht="19.899999999999999" customHeight="1">
      <c r="A27" s="273"/>
      <c r="B27" s="273"/>
      <c r="C27" s="168"/>
      <c r="D27" s="168"/>
      <c r="E27" s="168"/>
      <c r="F27" s="168"/>
      <c r="G27" s="168"/>
      <c r="H27" s="168"/>
      <c r="I27" s="168"/>
      <c r="J27" s="168"/>
      <c r="K27" s="168"/>
      <c r="L27" s="168"/>
      <c r="M27" s="168"/>
      <c r="N27" s="252"/>
      <c r="O27" s="252"/>
      <c r="P27" s="251"/>
    </row>
    <row r="28" spans="1:16" s="167" customFormat="1" ht="19.899999999999999" customHeight="1">
      <c r="A28" s="273"/>
      <c r="B28" s="273"/>
      <c r="C28" s="168"/>
      <c r="D28" s="168"/>
      <c r="E28" s="168"/>
      <c r="F28" s="168"/>
      <c r="G28" s="168"/>
      <c r="H28" s="168"/>
      <c r="I28" s="168"/>
      <c r="J28" s="168"/>
      <c r="K28" s="168"/>
      <c r="L28" s="168"/>
      <c r="M28" s="168"/>
      <c r="N28" s="252"/>
      <c r="O28" s="252"/>
      <c r="P28" s="251"/>
    </row>
    <row r="29" spans="1:16" s="167" customFormat="1" ht="19.899999999999999" customHeight="1">
      <c r="A29" s="273"/>
      <c r="B29" s="273"/>
      <c r="C29" s="168"/>
      <c r="D29" s="168"/>
      <c r="E29" s="168"/>
      <c r="F29" s="168"/>
      <c r="G29" s="168"/>
      <c r="H29" s="168"/>
      <c r="I29" s="168"/>
      <c r="J29" s="168"/>
      <c r="K29" s="168"/>
      <c r="L29" s="168"/>
      <c r="M29" s="168"/>
      <c r="N29" s="252"/>
      <c r="O29" s="252"/>
      <c r="P29" s="251"/>
    </row>
    <row r="30" spans="1:16" s="167" customFormat="1" ht="19.899999999999999" customHeight="1">
      <c r="A30" s="273"/>
      <c r="B30" s="273"/>
      <c r="C30" s="168"/>
      <c r="D30" s="168"/>
      <c r="E30" s="168"/>
      <c r="F30" s="168"/>
      <c r="G30" s="168"/>
      <c r="H30" s="168"/>
      <c r="I30" s="168"/>
      <c r="J30" s="168"/>
      <c r="K30" s="168"/>
      <c r="L30" s="168"/>
      <c r="M30" s="168"/>
      <c r="N30" s="252"/>
      <c r="O30" s="252"/>
      <c r="P30" s="251"/>
    </row>
    <row r="31" spans="1:16" s="167" customFormat="1" ht="19.899999999999999" customHeight="1">
      <c r="A31" s="273"/>
      <c r="B31" s="273"/>
      <c r="C31" s="168"/>
      <c r="D31" s="168"/>
      <c r="E31" s="168"/>
      <c r="F31" s="168"/>
      <c r="G31" s="168"/>
      <c r="H31" s="168"/>
      <c r="I31" s="168"/>
      <c r="J31" s="168"/>
      <c r="K31" s="168"/>
      <c r="L31" s="168"/>
      <c r="M31" s="168"/>
      <c r="N31" s="252"/>
      <c r="O31" s="252"/>
      <c r="P31" s="251"/>
    </row>
    <row r="32" spans="1:16" s="167" customFormat="1" ht="19.899999999999999" customHeight="1">
      <c r="A32" s="273"/>
      <c r="B32" s="273"/>
      <c r="C32" s="168"/>
      <c r="D32" s="168"/>
      <c r="E32" s="168"/>
      <c r="F32" s="168"/>
      <c r="G32" s="168"/>
      <c r="H32" s="168"/>
      <c r="I32" s="168"/>
      <c r="J32" s="168"/>
      <c r="K32" s="168"/>
      <c r="L32" s="168"/>
      <c r="M32" s="168"/>
      <c r="N32" s="252"/>
      <c r="O32" s="252"/>
      <c r="P32" s="251"/>
    </row>
    <row r="33" spans="1:16" s="167" customFormat="1" ht="19.899999999999999" customHeight="1">
      <c r="A33" s="273"/>
      <c r="B33" s="273"/>
      <c r="C33" s="168"/>
      <c r="D33" s="168"/>
      <c r="E33" s="168"/>
      <c r="F33" s="168"/>
      <c r="G33" s="168"/>
      <c r="H33" s="168"/>
      <c r="I33" s="168"/>
      <c r="J33" s="168"/>
      <c r="K33" s="168"/>
      <c r="L33" s="168"/>
      <c r="M33" s="168"/>
      <c r="N33" s="252"/>
      <c r="O33" s="252"/>
      <c r="P33" s="251"/>
    </row>
    <row r="34" spans="1:16" s="167" customFormat="1" ht="19.899999999999999" customHeight="1">
      <c r="A34" s="273"/>
      <c r="B34" s="273"/>
      <c r="C34" s="168"/>
      <c r="D34" s="168"/>
      <c r="E34" s="168"/>
      <c r="F34" s="168"/>
      <c r="G34" s="168"/>
      <c r="H34" s="168"/>
      <c r="I34" s="168"/>
      <c r="J34" s="168"/>
      <c r="K34" s="168"/>
      <c r="L34" s="168"/>
      <c r="M34" s="168"/>
      <c r="N34" s="252"/>
      <c r="O34" s="252"/>
      <c r="P34" s="251"/>
    </row>
    <row r="35" spans="1:16" s="167" customFormat="1" ht="19.899999999999999" customHeight="1">
      <c r="A35" s="273"/>
      <c r="B35" s="273"/>
      <c r="C35" s="168"/>
      <c r="D35" s="168"/>
      <c r="E35" s="168"/>
      <c r="F35" s="168"/>
      <c r="G35" s="168"/>
      <c r="H35" s="168"/>
      <c r="I35" s="168"/>
      <c r="J35" s="168"/>
      <c r="K35" s="168"/>
      <c r="L35" s="168"/>
      <c r="M35" s="168"/>
      <c r="N35" s="252"/>
      <c r="O35" s="252"/>
      <c r="P35" s="251"/>
    </row>
    <row r="36" spans="1:16" s="167" customFormat="1" ht="19.899999999999999" customHeight="1">
      <c r="A36" s="273"/>
      <c r="B36" s="273"/>
      <c r="C36" s="168"/>
      <c r="D36" s="168"/>
      <c r="E36" s="168"/>
      <c r="F36" s="168"/>
      <c r="G36" s="168"/>
      <c r="H36" s="168"/>
      <c r="I36" s="168"/>
      <c r="J36" s="168"/>
      <c r="K36" s="168"/>
      <c r="L36" s="168"/>
      <c r="M36" s="168"/>
      <c r="N36" s="252"/>
      <c r="O36" s="252"/>
      <c r="P36" s="251"/>
    </row>
    <row r="37" spans="1:16" s="167" customFormat="1" ht="19.899999999999999" customHeight="1">
      <c r="A37" s="273"/>
      <c r="B37" s="273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252"/>
      <c r="O37" s="252"/>
      <c r="P37" s="251"/>
    </row>
    <row r="38" spans="1:16" s="167" customFormat="1" ht="19.899999999999999" customHeight="1">
      <c r="A38" s="273"/>
      <c r="B38" s="273"/>
      <c r="C38" s="168"/>
      <c r="D38" s="168"/>
      <c r="E38" s="168"/>
      <c r="F38" s="168"/>
      <c r="G38" s="168"/>
      <c r="H38" s="168"/>
      <c r="I38" s="168"/>
      <c r="J38" s="168"/>
      <c r="K38" s="168"/>
      <c r="L38" s="168"/>
      <c r="M38" s="168"/>
      <c r="N38" s="252"/>
      <c r="O38" s="252"/>
      <c r="P38" s="251"/>
    </row>
    <row r="39" spans="1:16" s="167" customFormat="1" ht="19.899999999999999" customHeight="1">
      <c r="A39" s="273"/>
      <c r="B39" s="273"/>
      <c r="C39" s="168"/>
      <c r="D39" s="168"/>
      <c r="E39" s="168"/>
      <c r="F39" s="168"/>
      <c r="G39" s="168"/>
      <c r="H39" s="168"/>
      <c r="I39" s="168"/>
      <c r="J39" s="168"/>
      <c r="K39" s="168"/>
      <c r="L39" s="168"/>
      <c r="M39" s="168"/>
      <c r="N39" s="252"/>
      <c r="O39" s="252"/>
      <c r="P39" s="251"/>
    </row>
    <row r="40" spans="1:16" s="167" customFormat="1" ht="19.899999999999999" customHeight="1">
      <c r="A40" s="273"/>
      <c r="B40" s="273"/>
      <c r="C40" s="168"/>
      <c r="D40" s="168"/>
      <c r="E40" s="168"/>
      <c r="F40" s="168"/>
      <c r="G40" s="168"/>
      <c r="H40" s="168"/>
      <c r="I40" s="168"/>
      <c r="J40" s="168"/>
      <c r="K40" s="168"/>
      <c r="L40" s="168"/>
      <c r="M40" s="168"/>
      <c r="N40" s="252"/>
      <c r="O40" s="252"/>
      <c r="P40" s="251"/>
    </row>
    <row r="41" spans="1:16" s="167" customFormat="1" ht="19.899999999999999" customHeight="1">
      <c r="A41" s="273"/>
      <c r="B41" s="273"/>
      <c r="C41" s="168"/>
      <c r="D41" s="168"/>
      <c r="E41" s="168"/>
      <c r="F41" s="168"/>
      <c r="G41" s="168"/>
      <c r="H41" s="168"/>
      <c r="I41" s="168"/>
      <c r="J41" s="168"/>
      <c r="K41" s="168"/>
      <c r="L41" s="168"/>
      <c r="M41" s="168"/>
      <c r="N41" s="252"/>
      <c r="O41" s="252"/>
      <c r="P41" s="251"/>
    </row>
    <row r="42" spans="1:16" s="167" customFormat="1" ht="19.899999999999999" customHeight="1">
      <c r="A42" s="273"/>
      <c r="B42" s="273"/>
      <c r="C42" s="168"/>
      <c r="D42" s="168"/>
      <c r="E42" s="168"/>
      <c r="F42" s="168"/>
      <c r="G42" s="168"/>
      <c r="H42" s="168"/>
      <c r="I42" s="168"/>
      <c r="J42" s="168"/>
      <c r="K42" s="168"/>
      <c r="L42" s="168"/>
      <c r="M42" s="168"/>
      <c r="N42" s="252"/>
      <c r="O42" s="252"/>
      <c r="P42" s="251"/>
    </row>
    <row r="43" spans="1:16" s="167" customFormat="1" ht="19.899999999999999" customHeight="1">
      <c r="A43" s="273"/>
      <c r="B43" s="273"/>
      <c r="C43" s="168"/>
      <c r="D43" s="168"/>
      <c r="E43" s="168"/>
      <c r="F43" s="168"/>
      <c r="G43" s="168"/>
      <c r="H43" s="168"/>
      <c r="I43" s="168"/>
      <c r="J43" s="168"/>
      <c r="K43" s="168"/>
      <c r="L43" s="168"/>
      <c r="M43" s="168"/>
      <c r="N43" s="252"/>
      <c r="O43" s="252"/>
      <c r="P43" s="251"/>
    </row>
    <row r="44" spans="1:16" s="167" customFormat="1" ht="19.899999999999999" customHeight="1">
      <c r="A44" s="273"/>
      <c r="B44" s="273"/>
      <c r="C44" s="168"/>
      <c r="D44" s="168"/>
      <c r="E44" s="168"/>
      <c r="F44" s="168"/>
      <c r="G44" s="168"/>
      <c r="H44" s="168"/>
      <c r="I44" s="168"/>
      <c r="J44" s="168"/>
      <c r="K44" s="168"/>
      <c r="L44" s="168"/>
      <c r="M44" s="168"/>
      <c r="N44" s="252"/>
      <c r="O44" s="252"/>
      <c r="P44" s="251"/>
    </row>
    <row r="45" spans="1:16" s="167" customFormat="1" ht="19.899999999999999" customHeight="1">
      <c r="A45" s="273"/>
      <c r="B45" s="273"/>
      <c r="C45" s="168"/>
      <c r="D45" s="168"/>
      <c r="E45" s="168"/>
      <c r="F45" s="168"/>
      <c r="G45" s="168"/>
      <c r="H45" s="168"/>
      <c r="I45" s="168"/>
      <c r="J45" s="168"/>
      <c r="K45" s="168"/>
      <c r="L45" s="168"/>
      <c r="M45" s="168"/>
      <c r="N45" s="252"/>
      <c r="O45" s="252"/>
      <c r="P45" s="251"/>
    </row>
    <row r="46" spans="1:16" s="167" customFormat="1" ht="19.899999999999999" customHeight="1">
      <c r="A46" s="273"/>
      <c r="B46" s="273"/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252"/>
      <c r="O46" s="252"/>
      <c r="P46" s="251"/>
    </row>
    <row r="47" spans="1:16" s="167" customFormat="1" ht="19.899999999999999" customHeight="1">
      <c r="A47" s="273"/>
      <c r="B47" s="273"/>
      <c r="C47" s="168"/>
      <c r="D47" s="168"/>
      <c r="E47" s="168"/>
      <c r="F47" s="168"/>
      <c r="G47" s="168"/>
      <c r="H47" s="168"/>
      <c r="I47" s="168"/>
      <c r="J47" s="168"/>
      <c r="K47" s="168"/>
      <c r="L47" s="168"/>
      <c r="M47" s="168"/>
      <c r="N47" s="252"/>
      <c r="O47" s="252"/>
      <c r="P47" s="251"/>
    </row>
    <row r="48" spans="1:16" s="167" customFormat="1" ht="19.899999999999999" customHeight="1">
      <c r="A48" s="273"/>
      <c r="B48" s="273"/>
      <c r="C48" s="168"/>
      <c r="D48" s="168"/>
      <c r="E48" s="168"/>
      <c r="F48" s="168"/>
      <c r="G48" s="168"/>
      <c r="H48" s="168"/>
      <c r="I48" s="168"/>
      <c r="J48" s="168"/>
      <c r="K48" s="168"/>
      <c r="L48" s="168"/>
      <c r="M48" s="168"/>
      <c r="N48" s="252"/>
      <c r="O48" s="252"/>
      <c r="P48" s="251"/>
    </row>
    <row r="49" spans="1:16" s="167" customFormat="1" ht="19.899999999999999" customHeight="1">
      <c r="A49" s="273"/>
      <c r="B49" s="273"/>
      <c r="C49" s="168"/>
      <c r="D49" s="168"/>
      <c r="E49" s="168"/>
      <c r="F49" s="168"/>
      <c r="G49" s="168"/>
      <c r="H49" s="168"/>
      <c r="I49" s="168"/>
      <c r="J49" s="168"/>
      <c r="K49" s="168"/>
      <c r="L49" s="168"/>
      <c r="M49" s="168"/>
      <c r="N49" s="252"/>
      <c r="O49" s="252"/>
      <c r="P49" s="251"/>
    </row>
    <row r="50" spans="1:16" s="167" customFormat="1" ht="19.899999999999999" customHeight="1">
      <c r="A50" s="273"/>
      <c r="B50" s="273"/>
      <c r="C50" s="168"/>
      <c r="D50" s="168"/>
      <c r="E50" s="168"/>
      <c r="F50" s="168"/>
      <c r="G50" s="168"/>
      <c r="H50" s="168"/>
      <c r="I50" s="168"/>
      <c r="J50" s="168"/>
      <c r="K50" s="168"/>
      <c r="L50" s="168"/>
      <c r="M50" s="168"/>
      <c r="N50" s="252"/>
      <c r="O50" s="252"/>
      <c r="P50" s="251"/>
    </row>
    <row r="51" spans="1:16" s="167" customFormat="1" ht="19.899999999999999" customHeight="1">
      <c r="A51" s="273"/>
      <c r="B51" s="273"/>
      <c r="C51" s="168"/>
      <c r="D51" s="168"/>
      <c r="E51" s="168"/>
      <c r="F51" s="168"/>
      <c r="G51" s="168"/>
      <c r="H51" s="168"/>
      <c r="I51" s="168"/>
      <c r="J51" s="168"/>
      <c r="K51" s="168"/>
      <c r="L51" s="168"/>
      <c r="M51" s="168"/>
      <c r="N51" s="252"/>
      <c r="O51" s="252"/>
      <c r="P51" s="251"/>
    </row>
    <row r="52" spans="1:16" s="167" customFormat="1" ht="19.899999999999999" customHeight="1">
      <c r="A52" s="273"/>
      <c r="B52" s="273"/>
      <c r="C52" s="168"/>
      <c r="D52" s="168"/>
      <c r="E52" s="168"/>
      <c r="F52" s="168"/>
      <c r="G52" s="168"/>
      <c r="H52" s="168"/>
      <c r="I52" s="168"/>
      <c r="J52" s="168"/>
      <c r="K52" s="168"/>
      <c r="L52" s="168"/>
      <c r="M52" s="168"/>
      <c r="N52" s="252"/>
      <c r="O52" s="252"/>
      <c r="P52" s="251"/>
    </row>
    <row r="53" spans="1:16" s="167" customFormat="1" ht="19.899999999999999" customHeight="1">
      <c r="A53" s="273"/>
      <c r="B53" s="273"/>
      <c r="C53" s="168"/>
      <c r="D53" s="168"/>
      <c r="E53" s="168"/>
      <c r="F53" s="168"/>
      <c r="G53" s="168"/>
      <c r="H53" s="168"/>
      <c r="I53" s="168"/>
      <c r="J53" s="168"/>
      <c r="K53" s="168"/>
      <c r="L53" s="168"/>
      <c r="M53" s="168"/>
      <c r="N53" s="252"/>
      <c r="O53" s="252"/>
      <c r="P53" s="251"/>
    </row>
    <row r="54" spans="1:16" s="167" customFormat="1" ht="19.899999999999999" customHeight="1">
      <c r="A54" s="273"/>
      <c r="B54" s="273"/>
      <c r="C54" s="168"/>
      <c r="D54" s="168"/>
      <c r="E54" s="168"/>
      <c r="F54" s="168"/>
      <c r="G54" s="168"/>
      <c r="H54" s="168"/>
      <c r="I54" s="168"/>
      <c r="J54" s="168"/>
      <c r="K54" s="168"/>
      <c r="L54" s="168"/>
      <c r="M54" s="168"/>
      <c r="N54" s="252"/>
      <c r="O54" s="252"/>
      <c r="P54" s="251"/>
    </row>
    <row r="55" spans="1:16" s="167" customFormat="1" ht="19.899999999999999" customHeight="1">
      <c r="A55" s="273"/>
      <c r="B55" s="273"/>
      <c r="C55" s="168"/>
      <c r="D55" s="168"/>
      <c r="E55" s="168"/>
      <c r="F55" s="168"/>
      <c r="G55" s="168"/>
      <c r="H55" s="168"/>
      <c r="I55" s="168"/>
      <c r="J55" s="168"/>
      <c r="K55" s="168"/>
      <c r="L55" s="168"/>
      <c r="M55" s="168"/>
      <c r="N55" s="252"/>
      <c r="O55" s="252"/>
      <c r="P55" s="251"/>
    </row>
    <row r="56" spans="1:16" s="167" customFormat="1" ht="19.899999999999999" customHeight="1">
      <c r="A56" s="273"/>
      <c r="B56" s="273"/>
      <c r="C56" s="168"/>
      <c r="D56" s="168"/>
      <c r="E56" s="168"/>
      <c r="F56" s="168"/>
      <c r="G56" s="168"/>
      <c r="H56" s="168"/>
      <c r="I56" s="168"/>
      <c r="J56" s="168"/>
      <c r="K56" s="168"/>
      <c r="L56" s="168"/>
      <c r="M56" s="168"/>
      <c r="N56" s="252"/>
      <c r="O56" s="252"/>
      <c r="P56" s="251"/>
    </row>
    <row r="57" spans="1:16" s="167" customFormat="1" ht="19.899999999999999" customHeight="1">
      <c r="A57" s="273"/>
      <c r="B57" s="273"/>
      <c r="C57" s="168"/>
      <c r="D57" s="168"/>
      <c r="E57" s="168"/>
      <c r="F57" s="168"/>
      <c r="G57" s="168"/>
      <c r="H57" s="168"/>
      <c r="I57" s="168"/>
      <c r="J57" s="168"/>
      <c r="K57" s="168"/>
      <c r="L57" s="168"/>
      <c r="M57" s="168"/>
      <c r="N57" s="252"/>
      <c r="O57" s="252"/>
      <c r="P57" s="251"/>
    </row>
    <row r="58" spans="1:16" s="167" customFormat="1" ht="19.899999999999999" customHeight="1">
      <c r="A58" s="273"/>
      <c r="B58" s="273"/>
      <c r="C58" s="168"/>
      <c r="D58" s="168"/>
      <c r="E58" s="168"/>
      <c r="F58" s="168"/>
      <c r="G58" s="168"/>
      <c r="H58" s="168"/>
      <c r="I58" s="168"/>
      <c r="J58" s="168"/>
      <c r="K58" s="168"/>
      <c r="L58" s="168"/>
      <c r="M58" s="168"/>
      <c r="N58" s="252"/>
      <c r="O58" s="252"/>
      <c r="P58" s="251"/>
    </row>
    <row r="59" spans="1:16" s="167" customFormat="1" ht="19.899999999999999" customHeight="1">
      <c r="A59" s="273"/>
      <c r="B59" s="273"/>
      <c r="C59" s="168"/>
      <c r="D59" s="168"/>
      <c r="E59" s="168"/>
      <c r="F59" s="168"/>
      <c r="G59" s="168"/>
      <c r="H59" s="168"/>
      <c r="I59" s="168"/>
      <c r="J59" s="168"/>
      <c r="K59" s="168"/>
      <c r="L59" s="168"/>
      <c r="M59" s="168"/>
      <c r="N59" s="252"/>
      <c r="O59" s="252"/>
      <c r="P59" s="251"/>
    </row>
    <row r="60" spans="1:16" s="167" customFormat="1" ht="19.899999999999999" customHeight="1">
      <c r="A60" s="273"/>
      <c r="B60" s="273"/>
      <c r="C60" s="168"/>
      <c r="D60" s="168"/>
      <c r="E60" s="168"/>
      <c r="F60" s="168"/>
      <c r="G60" s="168"/>
      <c r="H60" s="168"/>
      <c r="I60" s="168"/>
      <c r="J60" s="168"/>
      <c r="K60" s="168"/>
      <c r="L60" s="168"/>
      <c r="M60" s="168"/>
      <c r="N60" s="252"/>
      <c r="O60" s="252"/>
      <c r="P60" s="251"/>
    </row>
    <row r="61" spans="1:16" s="161" customFormat="1" ht="19.899999999999999" customHeight="1">
      <c r="A61" s="88"/>
      <c r="B61" s="88"/>
      <c r="C61" s="104"/>
      <c r="D61" s="104"/>
      <c r="E61" s="104"/>
      <c r="F61" s="104"/>
      <c r="G61" s="104"/>
      <c r="H61" s="104"/>
      <c r="I61" s="104"/>
      <c r="J61" s="89"/>
      <c r="K61" s="89"/>
      <c r="L61" s="89"/>
      <c r="M61" s="104"/>
    </row>
    <row r="62" spans="1:16" s="161" customFormat="1" ht="19.899999999999999" customHeight="1">
      <c r="A62" s="88"/>
      <c r="B62" s="88"/>
      <c r="C62" s="127"/>
      <c r="D62" s="104"/>
      <c r="E62" s="104"/>
      <c r="F62" s="104"/>
      <c r="G62" s="127"/>
      <c r="H62" s="104"/>
      <c r="I62" s="3330"/>
      <c r="J62" s="3331"/>
      <c r="K62" s="3331"/>
      <c r="L62" s="3331"/>
      <c r="M62" s="3330"/>
      <c r="N62" s="3332"/>
      <c r="O62" s="3332"/>
      <c r="P62" s="3332"/>
    </row>
    <row r="63" spans="1:16" s="161" customFormat="1" ht="18" customHeight="1">
      <c r="A63" s="88"/>
      <c r="B63" s="88"/>
      <c r="C63" s="127"/>
      <c r="D63" s="104"/>
      <c r="E63" s="104"/>
      <c r="F63" s="104"/>
      <c r="G63" s="104"/>
      <c r="H63" s="104"/>
      <c r="I63" s="3330"/>
      <c r="J63" s="3331"/>
      <c r="K63" s="3331"/>
      <c r="L63" s="3331"/>
      <c r="M63" s="3330"/>
      <c r="N63" s="3332"/>
      <c r="O63" s="3332"/>
      <c r="P63" s="3332"/>
    </row>
    <row r="64" spans="1:16" s="161" customFormat="1" ht="18" customHeight="1">
      <c r="A64" s="88"/>
      <c r="B64" s="88"/>
      <c r="C64" s="88"/>
      <c r="D64" s="88"/>
      <c r="E64" s="88"/>
      <c r="F64" s="88"/>
      <c r="G64" s="127"/>
      <c r="H64" s="104"/>
      <c r="I64" s="3330"/>
      <c r="J64" s="3330"/>
      <c r="K64" s="3330"/>
      <c r="L64" s="3330"/>
      <c r="M64" s="3331"/>
      <c r="N64" s="3331"/>
      <c r="O64" s="3331"/>
      <c r="P64" s="3330"/>
    </row>
    <row r="65" spans="1:16" ht="39" customHeight="1">
      <c r="A65" s="5438" t="s">
        <v>117</v>
      </c>
      <c r="B65" s="5438"/>
      <c r="C65" s="5440" t="s">
        <v>123</v>
      </c>
      <c r="D65" s="5440"/>
      <c r="E65" s="5440"/>
      <c r="F65" s="5440"/>
      <c r="G65" s="5440"/>
      <c r="H65" s="5440"/>
      <c r="I65" s="3333"/>
      <c r="J65" s="3333"/>
      <c r="K65" s="3333"/>
      <c r="L65" s="3333"/>
      <c r="M65" s="3333"/>
      <c r="N65" s="3333"/>
      <c r="O65" s="3333"/>
      <c r="P65" s="3333"/>
    </row>
    <row r="66" spans="1:16" s="164" customFormat="1" ht="30" customHeight="1">
      <c r="A66" s="5438"/>
      <c r="B66" s="5438"/>
      <c r="C66" s="5441" t="s">
        <v>3378</v>
      </c>
      <c r="D66" s="5442"/>
      <c r="E66" s="5441" t="s">
        <v>160</v>
      </c>
      <c r="F66" s="5442"/>
      <c r="G66" s="5441" t="s">
        <v>3379</v>
      </c>
      <c r="H66" s="5441"/>
      <c r="I66" s="3334"/>
      <c r="J66" s="3334"/>
      <c r="K66" s="3334"/>
      <c r="L66" s="3334"/>
      <c r="M66" s="3334"/>
      <c r="N66" s="3334"/>
      <c r="O66" s="3334"/>
      <c r="P66" s="3334"/>
    </row>
    <row r="67" spans="1:16" ht="12.75" customHeight="1">
      <c r="A67" s="5438"/>
      <c r="B67" s="5438"/>
      <c r="C67" s="165" t="s">
        <v>2245</v>
      </c>
      <c r="D67" s="165" t="s">
        <v>2246</v>
      </c>
      <c r="E67" s="165" t="s">
        <v>2247</v>
      </c>
      <c r="F67" s="165" t="s">
        <v>2246</v>
      </c>
      <c r="G67" s="165" t="s">
        <v>2248</v>
      </c>
      <c r="H67" s="165" t="s">
        <v>2246</v>
      </c>
      <c r="I67" s="3333"/>
      <c r="J67" s="3333"/>
      <c r="K67" s="3333"/>
      <c r="L67" s="3333"/>
      <c r="M67" s="3333"/>
      <c r="N67" s="3333"/>
      <c r="O67" s="3333"/>
      <c r="P67" s="3333"/>
    </row>
    <row r="68" spans="1:16" s="166" customFormat="1" ht="63.75" hidden="1" customHeight="1">
      <c r="A68" s="5346" t="s">
        <v>1425</v>
      </c>
      <c r="B68" s="2470" t="s">
        <v>2482</v>
      </c>
      <c r="C68" s="341">
        <f>IF(C10=0,0,C10+N10*2)</f>
        <v>0</v>
      </c>
      <c r="D68" s="341">
        <f>IF(D10=0,0,D10+N10*2)</f>
        <v>3450</v>
      </c>
      <c r="E68" s="341">
        <f>IF(E10=0,0,E10+O10*2)</f>
        <v>3300</v>
      </c>
      <c r="F68" s="341">
        <f>IF(F10=0,0,F10+O10*2)</f>
        <v>4000</v>
      </c>
      <c r="G68" s="341" t="s">
        <v>4</v>
      </c>
      <c r="H68" s="341" t="s">
        <v>4</v>
      </c>
      <c r="I68" s="3335"/>
      <c r="J68" s="3335"/>
      <c r="K68" s="3335"/>
      <c r="L68" s="3335"/>
      <c r="M68" s="3335"/>
      <c r="N68" s="3335"/>
      <c r="O68" s="3335"/>
      <c r="P68" s="3335"/>
    </row>
    <row r="69" spans="1:16" s="166" customFormat="1" ht="63.75" hidden="1" customHeight="1">
      <c r="A69" s="5346"/>
      <c r="B69" s="2471" t="s">
        <v>2483</v>
      </c>
      <c r="C69" s="342">
        <f>CEILING(C68*1.07, 50)</f>
        <v>0</v>
      </c>
      <c r="D69" s="342">
        <f>CEILING(D68*1.07, 50)</f>
        <v>3700</v>
      </c>
      <c r="E69" s="342">
        <f>CEILING(E68*1.07, 50)</f>
        <v>3550</v>
      </c>
      <c r="F69" s="342">
        <f>CEILING(F68*1.07, 50)</f>
        <v>4300</v>
      </c>
      <c r="G69" s="342"/>
      <c r="H69" s="342"/>
      <c r="I69" s="3335"/>
      <c r="J69" s="3335"/>
      <c r="K69" s="3335"/>
      <c r="L69" s="3335"/>
      <c r="M69" s="3335"/>
      <c r="N69" s="3335"/>
      <c r="O69" s="3335"/>
      <c r="P69" s="3335"/>
    </row>
    <row r="70" spans="1:16" s="166" customFormat="1" ht="45" customHeight="1">
      <c r="A70" s="2472" t="s">
        <v>30</v>
      </c>
      <c r="B70" s="2470" t="s">
        <v>284</v>
      </c>
      <c r="C70" s="341" t="s">
        <v>2612</v>
      </c>
      <c r="D70" s="341" t="s">
        <v>2612</v>
      </c>
      <c r="E70" s="341">
        <f>IF(E12=0,0,E12+O12*2)</f>
        <v>9800</v>
      </c>
      <c r="F70" s="341">
        <f>IF(F12=0,0,F12+O12*2)</f>
        <v>10650</v>
      </c>
      <c r="G70" s="341" t="s">
        <v>2612</v>
      </c>
      <c r="H70" s="341" t="s">
        <v>2612</v>
      </c>
      <c r="I70" s="3335"/>
      <c r="J70" s="3335"/>
      <c r="K70" s="3335"/>
      <c r="L70" s="3335"/>
      <c r="M70" s="3335"/>
      <c r="N70" s="3335"/>
      <c r="O70" s="3335"/>
      <c r="P70" s="3335"/>
    </row>
    <row r="71" spans="1:16" s="166" customFormat="1" ht="50.1" customHeight="1">
      <c r="A71" s="5342" t="s">
        <v>26</v>
      </c>
      <c r="B71" s="2471" t="s">
        <v>2587</v>
      </c>
      <c r="C71" s="342">
        <f>IF(C13=0,0,C13+Погонаж!J14*2)</f>
        <v>8400</v>
      </c>
      <c r="D71" s="342">
        <f>IF(D13=0,0,D13+Погонаж!J14*2)</f>
        <v>9000</v>
      </c>
      <c r="E71" s="342">
        <f>IF(E13=0,0,E13+O13*2)</f>
        <v>10350</v>
      </c>
      <c r="F71" s="342">
        <f>IF(F13=0,0,F13+O13*2)</f>
        <v>11250</v>
      </c>
      <c r="G71" s="342">
        <f>IF(G13=0,0,G13+Погонаж!J14*2)</f>
        <v>9450</v>
      </c>
      <c r="H71" s="342">
        <f>IF(H13=0,0,H13+Погонаж!J14*2)</f>
        <v>10350</v>
      </c>
      <c r="I71" s="3335"/>
      <c r="J71" s="3335"/>
      <c r="K71" s="3335"/>
      <c r="L71" s="3335"/>
      <c r="M71" s="3335"/>
      <c r="N71" s="3335"/>
      <c r="O71" s="3335"/>
      <c r="P71" s="3335"/>
    </row>
    <row r="72" spans="1:16" s="166" customFormat="1" ht="50.1" customHeight="1">
      <c r="A72" s="5342"/>
      <c r="B72" s="2470" t="s">
        <v>2579</v>
      </c>
      <c r="C72" s="341">
        <f>IF(C14=0,0,C14+Погонаж!J15*2)</f>
        <v>8950</v>
      </c>
      <c r="D72" s="341">
        <f>IF(D14=0,0,D14+Погонаж!J15*2)</f>
        <v>9650</v>
      </c>
      <c r="E72" s="341">
        <f>IF(E14=0,0,E14+O14*2)</f>
        <v>11150</v>
      </c>
      <c r="F72" s="341">
        <f>IF(F14=0,0,F14+O14*2)</f>
        <v>12150</v>
      </c>
      <c r="G72" s="341">
        <f>IF(G14=0,0,G14+Погонаж!J15*2)</f>
        <v>10100</v>
      </c>
      <c r="H72" s="341">
        <f>IF(H14=0,0,H14+Погонаж!J15*2)</f>
        <v>11050</v>
      </c>
      <c r="I72" s="3335"/>
      <c r="J72" s="3335"/>
      <c r="K72" s="3335"/>
      <c r="L72" s="3335"/>
      <c r="M72" s="3335"/>
      <c r="N72" s="3335"/>
      <c r="O72" s="3335"/>
      <c r="P72" s="3335"/>
    </row>
    <row r="73" spans="1:16" s="166" customFormat="1" ht="50.1" customHeight="1">
      <c r="A73" s="5342"/>
      <c r="B73" s="2471" t="s">
        <v>2588</v>
      </c>
      <c r="C73" s="342">
        <f>IF(C15=0,0,C15+Погонаж!J17*2)</f>
        <v>9800</v>
      </c>
      <c r="D73" s="342">
        <f>IF(D15=0,0,D15+Погонаж!J17*2)</f>
        <v>10500</v>
      </c>
      <c r="E73" s="342">
        <f>IF(E15=0,0,E15+O15*2)</f>
        <v>12100</v>
      </c>
      <c r="F73" s="342">
        <f>IF(F15=0,0,F15+O15*2)</f>
        <v>13150</v>
      </c>
      <c r="G73" s="342">
        <f>IF(G15=0,0,G15+N15*2)</f>
        <v>0</v>
      </c>
      <c r="H73" s="342">
        <f>IF(H15=0,0,H15+N15*2)</f>
        <v>0</v>
      </c>
      <c r="I73" s="3335"/>
      <c r="J73" s="3335"/>
      <c r="K73" s="3335"/>
      <c r="L73" s="3335"/>
      <c r="M73" s="3335"/>
      <c r="N73" s="3335"/>
      <c r="O73" s="3335"/>
      <c r="P73" s="3335"/>
    </row>
    <row r="74" spans="1:16" s="253" customFormat="1" ht="15.75">
      <c r="A74" s="247"/>
      <c r="B74" s="1214"/>
      <c r="C74" s="343"/>
      <c r="D74" s="343"/>
      <c r="E74" s="343"/>
      <c r="F74" s="343"/>
      <c r="G74" s="343"/>
      <c r="H74" s="343"/>
      <c r="I74" s="3335"/>
      <c r="J74" s="3335"/>
      <c r="K74" s="3335"/>
      <c r="L74" s="3335"/>
      <c r="M74" s="3335"/>
      <c r="N74" s="3335"/>
      <c r="O74" s="3335"/>
      <c r="P74" s="3335"/>
    </row>
    <row r="75" spans="1:16" s="253" customFormat="1" ht="15.75">
      <c r="A75" s="247"/>
      <c r="B75" s="1214"/>
      <c r="C75" s="343"/>
      <c r="D75" s="343"/>
      <c r="E75" s="343"/>
      <c r="F75" s="343"/>
      <c r="G75" s="343"/>
      <c r="H75" s="343"/>
      <c r="I75" s="3335"/>
      <c r="J75" s="3335"/>
      <c r="K75" s="3335"/>
      <c r="L75" s="3335"/>
      <c r="M75" s="3335"/>
      <c r="N75" s="3335"/>
      <c r="O75" s="3335"/>
      <c r="P75" s="3335"/>
    </row>
    <row r="76" spans="1:16" s="253" customFormat="1" ht="15">
      <c r="A76" s="250" t="s">
        <v>20</v>
      </c>
      <c r="B76" s="243"/>
      <c r="C76" s="344"/>
      <c r="D76" s="344"/>
      <c r="E76" s="344"/>
      <c r="F76" s="344"/>
      <c r="G76" s="344"/>
      <c r="H76" s="344"/>
      <c r="I76" s="3335"/>
      <c r="J76" s="3335"/>
      <c r="K76" s="3335"/>
      <c r="L76" s="3335"/>
      <c r="M76" s="3335"/>
      <c r="N76" s="3335"/>
      <c r="O76" s="3335"/>
      <c r="P76" s="3335"/>
    </row>
    <row r="77" spans="1:16" s="253" customFormat="1" ht="31.5" customHeight="1">
      <c r="A77" s="5437" t="s">
        <v>2747</v>
      </c>
      <c r="B77" s="5437"/>
      <c r="C77" s="342">
        <v>0</v>
      </c>
      <c r="D77" s="342">
        <v>0</v>
      </c>
      <c r="E77" s="342">
        <v>0</v>
      </c>
      <c r="F77" s="342">
        <v>0</v>
      </c>
      <c r="G77" s="342">
        <f>G19+N19+N19</f>
        <v>4350</v>
      </c>
      <c r="H77" s="342">
        <f>H19+N19+N19</f>
        <v>4350</v>
      </c>
      <c r="I77" s="3335"/>
      <c r="J77" s="3335"/>
      <c r="K77" s="3335"/>
      <c r="L77" s="3335"/>
      <c r="M77" s="3335"/>
      <c r="N77" s="3335"/>
      <c r="O77" s="3335"/>
      <c r="P77" s="3335"/>
    </row>
    <row r="78" spans="1:16" ht="15">
      <c r="C78" s="146"/>
      <c r="D78" s="146"/>
      <c r="E78" s="146"/>
      <c r="F78" s="146"/>
      <c r="G78" s="146"/>
      <c r="H78" s="146"/>
      <c r="I78" s="64"/>
      <c r="J78" s="64"/>
      <c r="K78" s="64"/>
      <c r="L78" s="64"/>
      <c r="M78" s="64"/>
      <c r="N78" s="3333"/>
      <c r="O78" s="3333"/>
      <c r="P78" s="3333"/>
    </row>
    <row r="79" spans="1:16" s="167" customFormat="1" ht="12" customHeight="1">
      <c r="C79" s="168"/>
      <c r="D79" s="168"/>
      <c r="E79" s="168"/>
      <c r="F79" s="168"/>
      <c r="G79" s="146"/>
      <c r="H79" s="146"/>
      <c r="I79" s="64"/>
      <c r="J79" s="3336"/>
      <c r="K79" s="168"/>
      <c r="L79" s="168"/>
      <c r="M79" s="64"/>
      <c r="N79" s="3337"/>
      <c r="O79" s="3337"/>
      <c r="P79" s="3337"/>
    </row>
    <row r="80" spans="1:16" s="81" customFormat="1" ht="12" customHeight="1">
      <c r="G80" s="146"/>
      <c r="H80" s="146"/>
      <c r="I80" s="64"/>
      <c r="J80" s="3282"/>
      <c r="K80" s="3282"/>
      <c r="L80" s="3282"/>
      <c r="M80" s="64"/>
      <c r="N80" s="3282"/>
      <c r="O80" s="3282"/>
      <c r="P80" s="3282"/>
    </row>
    <row r="81" spans="1:16" s="81" customFormat="1" ht="12" customHeight="1">
      <c r="G81" s="146"/>
      <c r="H81" s="146"/>
      <c r="I81" s="64"/>
      <c r="J81" s="3282"/>
      <c r="K81" s="3282"/>
      <c r="L81" s="3282"/>
      <c r="M81" s="64"/>
      <c r="N81" s="3282"/>
      <c r="O81" s="3282"/>
      <c r="P81" s="3282"/>
    </row>
    <row r="82" spans="1:16" s="81" customFormat="1" ht="12" customHeight="1">
      <c r="G82" s="146"/>
      <c r="H82" s="146"/>
      <c r="I82" s="64"/>
      <c r="J82" s="3282"/>
      <c r="K82" s="3282"/>
      <c r="L82" s="3282"/>
      <c r="M82" s="64"/>
      <c r="N82" s="3282"/>
      <c r="O82" s="3282"/>
      <c r="P82" s="3282"/>
    </row>
    <row r="83" spans="1:16" s="167" customFormat="1" ht="18" customHeight="1">
      <c r="A83" s="19" t="s">
        <v>29</v>
      </c>
      <c r="C83" s="146"/>
      <c r="D83" s="146"/>
      <c r="E83" s="146"/>
      <c r="F83" s="146"/>
      <c r="G83" s="146"/>
      <c r="H83" s="146"/>
      <c r="I83" s="64"/>
      <c r="J83" s="64"/>
      <c r="K83" s="64"/>
      <c r="L83" s="64"/>
      <c r="M83" s="64"/>
      <c r="N83" s="3337"/>
      <c r="O83" s="3337"/>
      <c r="P83" s="3337"/>
    </row>
    <row r="84" spans="1:16" s="167" customFormat="1" ht="12.75" customHeight="1">
      <c r="A84" s="5450"/>
      <c r="B84" s="5450"/>
      <c r="C84" s="5450"/>
      <c r="D84" s="5450"/>
      <c r="E84" s="5450"/>
      <c r="F84" s="5450"/>
      <c r="G84" s="5450"/>
      <c r="H84" s="5450"/>
      <c r="I84" s="64"/>
      <c r="J84" s="64"/>
      <c r="K84" s="64"/>
      <c r="L84" s="64"/>
      <c r="M84" s="64"/>
      <c r="N84" s="3337"/>
      <c r="O84" s="3337"/>
      <c r="P84" s="3337"/>
    </row>
    <row r="85" spans="1:16" s="167" customFormat="1" ht="13.5" customHeight="1">
      <c r="A85" s="195" t="s">
        <v>2484</v>
      </c>
      <c r="C85" s="190"/>
      <c r="D85" s="190"/>
      <c r="E85" s="190"/>
      <c r="F85" s="190"/>
      <c r="G85" s="190"/>
      <c r="H85" s="190"/>
      <c r="I85" s="64"/>
      <c r="J85" s="64"/>
      <c r="K85" s="64"/>
      <c r="L85" s="64"/>
      <c r="M85" s="64"/>
      <c r="N85" s="3337"/>
      <c r="O85" s="3337"/>
      <c r="P85" s="3337"/>
    </row>
    <row r="86" spans="1:16" s="167" customFormat="1" ht="18" customHeight="1">
      <c r="A86" s="146"/>
      <c r="C86" s="146"/>
      <c r="D86" s="146"/>
      <c r="E86" s="146"/>
      <c r="F86" s="146"/>
      <c r="G86" s="146"/>
      <c r="H86" s="146"/>
      <c r="I86" s="64"/>
      <c r="J86" s="64"/>
      <c r="K86" s="64"/>
      <c r="L86" s="64"/>
      <c r="M86" s="64"/>
      <c r="N86" s="3337"/>
      <c r="O86" s="3337"/>
      <c r="P86" s="3337"/>
    </row>
    <row r="87" spans="1:16" s="81" customFormat="1" ht="18" customHeight="1">
      <c r="C87" s="179"/>
      <c r="D87" s="179"/>
      <c r="E87" s="179"/>
      <c r="F87" s="179"/>
      <c r="G87" s="25"/>
      <c r="H87" s="25"/>
      <c r="I87" s="25"/>
    </row>
    <row r="88" spans="1:16" s="81" customFormat="1" ht="18" customHeight="1">
      <c r="C88" s="179"/>
      <c r="D88" s="179"/>
      <c r="E88" s="179"/>
      <c r="F88" s="179"/>
      <c r="G88" s="25"/>
      <c r="H88" s="25"/>
      <c r="I88" s="25"/>
    </row>
    <row r="89" spans="1:16" s="81" customFormat="1" ht="18" customHeight="1">
      <c r="C89" s="179"/>
      <c r="D89" s="179"/>
      <c r="E89" s="179"/>
      <c r="F89" s="179"/>
      <c r="G89" s="25"/>
      <c r="H89" s="25"/>
      <c r="I89" s="25"/>
    </row>
    <row r="90" spans="1:16" s="81" customFormat="1" ht="18" customHeight="1">
      <c r="C90" s="179"/>
      <c r="D90" s="179"/>
      <c r="E90" s="179"/>
      <c r="F90" s="179"/>
      <c r="G90" s="25"/>
      <c r="H90" s="25"/>
      <c r="I90" s="25"/>
    </row>
    <row r="91" spans="1:16" s="81" customFormat="1" ht="18" customHeight="1">
      <c r="C91" s="179"/>
      <c r="D91" s="179"/>
      <c r="E91" s="179"/>
      <c r="F91" s="179"/>
      <c r="G91" s="25"/>
      <c r="H91" s="25"/>
      <c r="I91" s="25"/>
    </row>
    <row r="92" spans="1:16" s="81" customFormat="1" ht="18" customHeight="1">
      <c r="C92" s="179"/>
      <c r="D92" s="179"/>
      <c r="E92" s="179"/>
      <c r="F92" s="179"/>
      <c r="G92" s="25"/>
      <c r="H92" s="25"/>
      <c r="I92" s="25"/>
    </row>
    <row r="93" spans="1:16" s="81" customFormat="1" ht="18" customHeight="1">
      <c r="C93" s="179"/>
      <c r="D93" s="179"/>
      <c r="E93" s="179"/>
      <c r="F93" s="179"/>
      <c r="G93" s="25"/>
      <c r="H93" s="25"/>
      <c r="I93" s="25"/>
    </row>
    <row r="94" spans="1:16" s="81" customFormat="1" ht="18" customHeight="1">
      <c r="B94" s="258"/>
      <c r="C94" s="179"/>
      <c r="D94" s="179"/>
      <c r="E94" s="179"/>
      <c r="F94" s="179"/>
      <c r="G94" s="25"/>
      <c r="H94" s="25"/>
      <c r="I94" s="25"/>
    </row>
    <row r="95" spans="1:16" s="113" customFormat="1" ht="12" customHeight="1">
      <c r="A95" s="117"/>
      <c r="B95" s="255"/>
      <c r="C95" s="116"/>
      <c r="D95" s="116"/>
      <c r="E95" s="116"/>
      <c r="F95" s="116"/>
      <c r="G95" s="116"/>
      <c r="H95" s="116"/>
      <c r="I95" s="116"/>
      <c r="J95" s="116"/>
      <c r="K95" s="116"/>
      <c r="L95" s="116"/>
      <c r="M95" s="116"/>
      <c r="N95" s="116"/>
      <c r="O95" s="116"/>
      <c r="P95" s="116"/>
    </row>
    <row r="96" spans="1:16" s="38" customFormat="1" ht="18" customHeight="1">
      <c r="B96" s="257"/>
      <c r="C96" s="145"/>
      <c r="D96" s="145"/>
      <c r="E96" s="145"/>
      <c r="F96" s="145"/>
      <c r="G96" s="145"/>
      <c r="H96" s="145"/>
      <c r="I96" s="145"/>
      <c r="J96" s="145"/>
      <c r="K96" s="285"/>
      <c r="L96" s="285"/>
      <c r="M96" s="285"/>
      <c r="N96" s="285"/>
      <c r="O96" s="285"/>
      <c r="P96" s="285"/>
    </row>
    <row r="97" ht="18" customHeight="1"/>
    <row r="98" ht="18" customHeight="1"/>
    <row r="99" ht="18" customHeight="1"/>
    <row r="100" ht="18" customHeight="1"/>
    <row r="101" ht="18" customHeight="1"/>
    <row r="102" ht="18" customHeight="1"/>
    <row r="103" ht="18" customHeight="1"/>
    <row r="104" ht="18" customHeight="1"/>
    <row r="105" ht="18" customHeight="1"/>
    <row r="106" ht="18" customHeight="1"/>
    <row r="107" ht="18" customHeight="1"/>
    <row r="108" ht="18" customHeight="1"/>
    <row r="109" ht="18" customHeight="1"/>
    <row r="110" ht="18" customHeight="1"/>
    <row r="111" ht="18" customHeight="1"/>
    <row r="112" ht="18" customHeight="1"/>
    <row r="113" ht="18" customHeight="1"/>
    <row r="114" ht="18" customHeight="1"/>
    <row r="115" ht="18" customHeight="1"/>
    <row r="116" ht="18" customHeight="1"/>
    <row r="117" ht="18" customHeight="1"/>
    <row r="118" ht="18" customHeight="1"/>
    <row r="119" ht="18" customHeight="1"/>
    <row r="120" ht="18" customHeight="1"/>
    <row r="121" ht="18" customHeight="1"/>
    <row r="122" ht="18" customHeight="1"/>
    <row r="123" ht="18" customHeight="1"/>
    <row r="124" ht="18" customHeight="1"/>
    <row r="125" ht="18" customHeight="1"/>
    <row r="126" ht="18" customHeight="1"/>
    <row r="127" ht="18" customHeight="1"/>
    <row r="128" ht="18" customHeight="1"/>
    <row r="129" ht="18" customHeight="1"/>
    <row r="130" ht="18" customHeight="1"/>
    <row r="131" ht="18" customHeight="1"/>
    <row r="132" ht="18" customHeight="1"/>
    <row r="133" ht="18" customHeight="1"/>
    <row r="134" ht="18" customHeight="1"/>
    <row r="135" ht="18" customHeight="1"/>
    <row r="136" ht="18" customHeight="1"/>
    <row r="137" ht="18" customHeight="1"/>
    <row r="138" ht="18" customHeight="1"/>
    <row r="139" ht="18" customHeight="1"/>
    <row r="140" ht="18" customHeight="1"/>
    <row r="141" ht="18" customHeight="1"/>
    <row r="142" ht="18" customHeight="1"/>
    <row r="143" ht="18" customHeight="1"/>
    <row r="144" ht="18" customHeight="1"/>
    <row r="145" ht="18" customHeight="1"/>
    <row r="146" ht="18" customHeight="1"/>
    <row r="147" ht="18" customHeight="1"/>
    <row r="148" ht="18" customHeight="1"/>
    <row r="149" ht="18" customHeight="1"/>
    <row r="150" ht="18" customHeight="1"/>
  </sheetData>
  <mergeCells count="31">
    <mergeCell ref="A84:H84"/>
    <mergeCell ref="A4:B9"/>
    <mergeCell ref="C4:M4"/>
    <mergeCell ref="C5:D6"/>
    <mergeCell ref="E5:F6"/>
    <mergeCell ref="I5:J5"/>
    <mergeCell ref="K5:M5"/>
    <mergeCell ref="K6:M7"/>
    <mergeCell ref="C7:D8"/>
    <mergeCell ref="E7:F8"/>
    <mergeCell ref="G7:H8"/>
    <mergeCell ref="I7:I8"/>
    <mergeCell ref="A10:A11"/>
    <mergeCell ref="A13:A15"/>
    <mergeCell ref="A71:A73"/>
    <mergeCell ref="N5:N8"/>
    <mergeCell ref="N4:P4"/>
    <mergeCell ref="A77:B77"/>
    <mergeCell ref="A19:B19"/>
    <mergeCell ref="A65:B67"/>
    <mergeCell ref="B21:E21"/>
    <mergeCell ref="C65:H65"/>
    <mergeCell ref="C66:D66"/>
    <mergeCell ref="E66:F66"/>
    <mergeCell ref="G66:H66"/>
    <mergeCell ref="G5:H5"/>
    <mergeCell ref="G6:H6"/>
    <mergeCell ref="O5:O8"/>
    <mergeCell ref="P5:P8"/>
    <mergeCell ref="A68:A69"/>
    <mergeCell ref="J7:J8"/>
  </mergeCells>
  <conditionalFormatting sqref="G96:P96 E95:P95">
    <cfRule type="cellIs" dxfId="26" priority="7" operator="equal">
      <formula>"нет"</formula>
    </cfRule>
  </conditionalFormatting>
  <hyperlinks>
    <hyperlink ref="B1" location="Содержание!A1" display="Вернуться в содержание"/>
  </hyperlinks>
  <printOptions horizontalCentered="1" verticalCentered="1"/>
  <pageMargins left="0.23622047244094491" right="0.23622047244094491" top="0.59055118110236227" bottom="0.31496062992125984" header="0.59055118110236227" footer="0.31496062992125984"/>
  <pageSetup paperSize="9" scale="55" firstPageNumber="45" orientation="landscape" useFirstPageNumber="1" r:id="rId1"/>
  <headerFooter>
    <oddFooter>&amp;L&amp;P&amp;R&amp;24&amp;G</oddFooter>
  </headerFooter>
  <rowBreaks count="2" manualBreakCount="2">
    <brk id="21" max="19" man="1"/>
    <brk id="61" max="19" man="1"/>
  </row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Y28"/>
  <sheetViews>
    <sheetView topLeftCell="A28" workbookViewId="0">
      <selection activeCell="G43" sqref="G43"/>
    </sheetView>
  </sheetViews>
  <sheetFormatPr defaultRowHeight="15" outlineLevelRow="1"/>
  <cols>
    <col min="1" max="1" width="11.28515625" style="589" customWidth="1"/>
    <col min="2" max="2" width="26.42578125" style="589" bestFit="1" customWidth="1"/>
    <col min="3" max="3" width="12.42578125" style="589" bestFit="1" customWidth="1"/>
    <col min="4" max="4" width="12.28515625" style="589" bestFit="1" customWidth="1"/>
    <col min="5" max="6" width="11.140625" style="589" bestFit="1" customWidth="1"/>
    <col min="7" max="7" width="9.140625" style="589"/>
    <col min="8" max="8" width="9.5703125" style="589" bestFit="1" customWidth="1"/>
    <col min="9" max="11" width="9.140625" style="589"/>
    <col min="12" max="14" width="9.5703125" style="589" bestFit="1" customWidth="1"/>
    <col min="15" max="15" width="9.140625" style="589" customWidth="1"/>
    <col min="16" max="19" width="9.5703125" style="589" bestFit="1" customWidth="1"/>
    <col min="20" max="20" width="9.140625" style="589"/>
    <col min="21" max="24" width="9.5703125" style="589" bestFit="1" customWidth="1"/>
    <col min="25" max="16384" width="9.140625" style="589"/>
  </cols>
  <sheetData>
    <row r="1" spans="1:25" s="3671" customFormat="1" hidden="1" outlineLevel="1">
      <c r="A1" s="5467"/>
      <c r="B1" s="5467"/>
      <c r="C1" s="5467" t="s">
        <v>3247</v>
      </c>
      <c r="D1" s="5467" t="s">
        <v>3248</v>
      </c>
      <c r="E1" s="5467"/>
      <c r="F1" s="5467"/>
      <c r="G1" s="3671">
        <v>1.4</v>
      </c>
      <c r="H1" s="5466" t="s">
        <v>3249</v>
      </c>
      <c r="I1" s="5466"/>
      <c r="J1" s="5466"/>
      <c r="K1" s="3671">
        <v>1.65</v>
      </c>
      <c r="L1" s="5466" t="s">
        <v>3250</v>
      </c>
      <c r="M1" s="5466"/>
      <c r="N1" s="5466"/>
      <c r="O1" s="3671">
        <v>2.5</v>
      </c>
      <c r="P1" s="5466" t="s">
        <v>3251</v>
      </c>
      <c r="Q1" s="5466"/>
      <c r="R1" s="5466"/>
      <c r="T1" s="3671">
        <v>4</v>
      </c>
      <c r="U1" s="5466" t="s">
        <v>3252</v>
      </c>
      <c r="V1" s="5466"/>
      <c r="W1" s="5466"/>
    </row>
    <row r="2" spans="1:25" s="2765" customFormat="1" hidden="1" outlineLevel="1">
      <c r="A2" s="5467"/>
      <c r="B2" s="5467"/>
      <c r="C2" s="5467"/>
      <c r="D2" s="2743" t="s">
        <v>3253</v>
      </c>
      <c r="E2" s="2743" t="s">
        <v>3254</v>
      </c>
      <c r="F2" s="2743" t="s">
        <v>3255</v>
      </c>
      <c r="H2" s="2740" t="s">
        <v>3253</v>
      </c>
      <c r="I2" s="2740" t="s">
        <v>3254</v>
      </c>
      <c r="J2" s="2740" t="s">
        <v>3255</v>
      </c>
      <c r="L2" s="2740" t="s">
        <v>3253</v>
      </c>
      <c r="M2" s="2740" t="s">
        <v>3254</v>
      </c>
      <c r="N2" s="2740" t="s">
        <v>3255</v>
      </c>
      <c r="P2" s="2740" t="s">
        <v>3253</v>
      </c>
      <c r="Q2" s="2740" t="s">
        <v>3254</v>
      </c>
      <c r="R2" s="2740" t="s">
        <v>3255</v>
      </c>
      <c r="U2" s="2740" t="s">
        <v>3253</v>
      </c>
      <c r="V2" s="2740" t="s">
        <v>3254</v>
      </c>
      <c r="W2" s="2740" t="s">
        <v>3255</v>
      </c>
    </row>
    <row r="3" spans="1:25" ht="35.1" hidden="1" customHeight="1" outlineLevel="1">
      <c r="A3" s="3672" t="s">
        <v>2688</v>
      </c>
      <c r="B3" s="3672" t="s">
        <v>3256</v>
      </c>
      <c r="C3" s="986" t="s">
        <v>3257</v>
      </c>
      <c r="D3" s="2748">
        <v>3450</v>
      </c>
      <c r="E3" s="2748">
        <v>3520</v>
      </c>
      <c r="F3" s="2748">
        <v>3800</v>
      </c>
      <c r="H3" s="1244">
        <f>D3*$G$1</f>
        <v>4830</v>
      </c>
      <c r="I3" s="1244">
        <f>E3*$G$1</f>
        <v>4928</v>
      </c>
      <c r="J3" s="1244">
        <f>F3*$G$1</f>
        <v>5320</v>
      </c>
      <c r="L3" s="1244">
        <f>CEILING(H3*$K$1, 100)</f>
        <v>8000</v>
      </c>
      <c r="M3" s="1244">
        <f>CEILING(I3*$K$1, 100)</f>
        <v>8200</v>
      </c>
      <c r="N3" s="1244">
        <f>CEILING(J3*$K$1, 100)</f>
        <v>8800</v>
      </c>
      <c r="P3" s="1244">
        <f>L3*$O$1</f>
        <v>20000</v>
      </c>
      <c r="Q3" s="1244">
        <f>M3*$O$1</f>
        <v>20500</v>
      </c>
      <c r="R3" s="1244">
        <f>N3*$O$1</f>
        <v>22000</v>
      </c>
      <c r="S3" s="589">
        <v>20500</v>
      </c>
      <c r="U3" s="1244">
        <f>L3*$T$1</f>
        <v>32000</v>
      </c>
      <c r="V3" s="1244">
        <f>M3*$T$1</f>
        <v>32800</v>
      </c>
      <c r="W3" s="1244">
        <f>N3*$T$1</f>
        <v>35200</v>
      </c>
      <c r="X3" s="589">
        <v>31450</v>
      </c>
    </row>
    <row r="4" spans="1:25" ht="35.1" hidden="1" customHeight="1" outlineLevel="1">
      <c r="A4" s="3672" t="s">
        <v>2688</v>
      </c>
      <c r="B4" s="3672" t="s">
        <v>3258</v>
      </c>
      <c r="C4" s="986" t="s">
        <v>3257</v>
      </c>
      <c r="D4" s="2748">
        <v>3726</v>
      </c>
      <c r="E4" s="2748"/>
      <c r="F4" s="2748"/>
      <c r="H4" s="1244">
        <f>D4*$G$1</f>
        <v>5216.3999999999996</v>
      </c>
      <c r="I4" s="1244"/>
      <c r="J4" s="1244"/>
      <c r="L4" s="1244">
        <f t="shared" ref="L4:N5" si="0">CEILING(H4*$K$1, 100)</f>
        <v>8700</v>
      </c>
      <c r="M4" s="1244"/>
      <c r="N4" s="1244"/>
      <c r="P4" s="1244">
        <f>L4*$O$1</f>
        <v>21750</v>
      </c>
      <c r="Q4" s="1244"/>
      <c r="R4" s="1244"/>
      <c r="U4" s="1244">
        <f t="shared" ref="U4:W5" si="1">L4*$T$1</f>
        <v>34800</v>
      </c>
      <c r="V4" s="1244"/>
      <c r="W4" s="1244"/>
    </row>
    <row r="5" spans="1:25" ht="35.1" hidden="1" customHeight="1" outlineLevel="1">
      <c r="A5" s="3672" t="s">
        <v>2688</v>
      </c>
      <c r="B5" s="3672" t="s">
        <v>230</v>
      </c>
      <c r="C5" s="986" t="s">
        <v>3257</v>
      </c>
      <c r="D5" s="2748">
        <v>4200</v>
      </c>
      <c r="E5" s="2748">
        <v>4600</v>
      </c>
      <c r="F5" s="2748">
        <v>5000</v>
      </c>
      <c r="H5" s="1244">
        <f>D5*$G$1</f>
        <v>5880</v>
      </c>
      <c r="I5" s="1244">
        <f>E5*$G$1</f>
        <v>6440</v>
      </c>
      <c r="J5" s="1244">
        <f>F5*$G$1</f>
        <v>7000</v>
      </c>
      <c r="L5" s="1244">
        <f t="shared" si="0"/>
        <v>9800</v>
      </c>
      <c r="M5" s="1244">
        <f t="shared" si="0"/>
        <v>10700</v>
      </c>
      <c r="N5" s="1244">
        <f t="shared" si="0"/>
        <v>11600</v>
      </c>
      <c r="P5" s="1244">
        <f>L5*$O$1</f>
        <v>24500</v>
      </c>
      <c r="Q5" s="1244">
        <f>M5*$O$1</f>
        <v>26750</v>
      </c>
      <c r="R5" s="1244">
        <f>N5*$O$1</f>
        <v>29000</v>
      </c>
      <c r="S5" s="589">
        <v>22550</v>
      </c>
      <c r="U5" s="1244">
        <f t="shared" si="1"/>
        <v>39200</v>
      </c>
      <c r="V5" s="1244">
        <f t="shared" si="1"/>
        <v>42800</v>
      </c>
      <c r="W5" s="1244">
        <f t="shared" si="1"/>
        <v>46400</v>
      </c>
      <c r="X5" s="589">
        <v>34600</v>
      </c>
    </row>
    <row r="6" spans="1:25" ht="35.1" hidden="1" customHeight="1" outlineLevel="1">
      <c r="A6" s="3672" t="s">
        <v>2688</v>
      </c>
      <c r="B6" s="3672" t="s">
        <v>3259</v>
      </c>
      <c r="C6" s="986" t="s">
        <v>3257</v>
      </c>
      <c r="D6" s="2748">
        <v>4256</v>
      </c>
      <c r="E6" s="2748"/>
      <c r="F6" s="2748"/>
      <c r="H6" s="1244">
        <f>D6*$G$1</f>
        <v>5958.4</v>
      </c>
      <c r="I6" s="1244"/>
      <c r="J6" s="1244"/>
      <c r="L6" s="1244">
        <f>CEILING(H6*$K$1, 100)</f>
        <v>9900</v>
      </c>
      <c r="M6" s="1244"/>
      <c r="N6" s="1244"/>
      <c r="P6" s="1244">
        <f>L6*$O$1</f>
        <v>24750</v>
      </c>
      <c r="Q6" s="1244"/>
      <c r="R6" s="1244"/>
      <c r="U6" s="1244">
        <f>L6*$T$1</f>
        <v>39600</v>
      </c>
      <c r="V6" s="1244"/>
      <c r="W6" s="1244"/>
    </row>
    <row r="7" spans="1:25" ht="35.1" hidden="1" customHeight="1" outlineLevel="1">
      <c r="A7" s="3672" t="s">
        <v>2688</v>
      </c>
      <c r="B7" s="3672" t="s">
        <v>229</v>
      </c>
      <c r="C7" s="986"/>
      <c r="D7" s="2748"/>
      <c r="E7" s="2748"/>
      <c r="F7" s="2748"/>
      <c r="H7" s="1244"/>
      <c r="I7" s="1244"/>
      <c r="J7" s="1244"/>
      <c r="L7" s="1244"/>
      <c r="M7" s="1244"/>
      <c r="N7" s="1244"/>
      <c r="P7" s="1244"/>
      <c r="Q7" s="1244"/>
      <c r="R7" s="1244"/>
      <c r="U7" s="1244"/>
      <c r="V7" s="1244"/>
      <c r="W7" s="1244"/>
    </row>
    <row r="8" spans="1:25" ht="35.1" hidden="1" customHeight="1" outlineLevel="1">
      <c r="A8" s="3672" t="s">
        <v>2688</v>
      </c>
      <c r="B8" s="3672" t="s">
        <v>3244</v>
      </c>
      <c r="C8" s="986" t="s">
        <v>3257</v>
      </c>
      <c r="D8" s="2748">
        <v>5038</v>
      </c>
      <c r="E8" s="2748">
        <v>5272</v>
      </c>
      <c r="F8" s="2748">
        <v>5620</v>
      </c>
      <c r="H8" s="1244">
        <f>D8*$G$1</f>
        <v>7053.2</v>
      </c>
      <c r="I8" s="1244">
        <f>E8*$G$1</f>
        <v>7380.7999999999993</v>
      </c>
      <c r="J8" s="1244">
        <f>F8*$G$1</f>
        <v>7867.9999999999991</v>
      </c>
      <c r="L8" s="1244">
        <f>CEILING(H8*$K$1, 100)</f>
        <v>11700</v>
      </c>
      <c r="M8" s="1244">
        <f>CEILING(I8*$K$1, 100)</f>
        <v>12200</v>
      </c>
      <c r="N8" s="1244">
        <f>CEILING(J8*$K$1, 100)</f>
        <v>13000</v>
      </c>
      <c r="P8" s="1244">
        <f>L8*$O$1</f>
        <v>29250</v>
      </c>
      <c r="Q8" s="1244">
        <f>M8*$O$1</f>
        <v>30500</v>
      </c>
      <c r="R8" s="1244">
        <f>N8*$O$1</f>
        <v>32500</v>
      </c>
      <c r="U8" s="1244">
        <f>L8*$T$1</f>
        <v>46800</v>
      </c>
      <c r="V8" s="1244">
        <f>M8*$T$1</f>
        <v>48800</v>
      </c>
      <c r="W8" s="1244">
        <f>N8*$T$1</f>
        <v>52000</v>
      </c>
    </row>
    <row r="9" spans="1:25" ht="35.1" hidden="1" customHeight="1" outlineLevel="1">
      <c r="A9" s="3672" t="s">
        <v>2688</v>
      </c>
      <c r="B9" s="3672" t="s">
        <v>3260</v>
      </c>
      <c r="C9" s="986"/>
      <c r="D9" s="2748"/>
      <c r="E9" s="2748"/>
      <c r="F9" s="2748"/>
      <c r="H9" s="1244"/>
      <c r="I9" s="1244"/>
      <c r="J9" s="1244"/>
      <c r="L9" s="1244"/>
      <c r="M9" s="1244"/>
      <c r="N9" s="1244"/>
      <c r="P9" s="1244"/>
      <c r="Q9" s="1244"/>
      <c r="R9" s="1244"/>
      <c r="U9" s="1244"/>
      <c r="V9" s="1244"/>
      <c r="W9" s="1244"/>
    </row>
    <row r="10" spans="1:25" ht="35.1" hidden="1" customHeight="1" outlineLevel="1">
      <c r="A10" s="3672" t="s">
        <v>2688</v>
      </c>
      <c r="B10" s="3672" t="s">
        <v>3245</v>
      </c>
      <c r="C10" s="986"/>
      <c r="D10" s="2748"/>
      <c r="E10" s="2748"/>
      <c r="F10" s="2748"/>
      <c r="H10" s="1244"/>
      <c r="I10" s="1244"/>
      <c r="J10" s="1244"/>
      <c r="L10" s="1244"/>
      <c r="M10" s="1244"/>
      <c r="N10" s="1244"/>
      <c r="P10" s="1244"/>
      <c r="Q10" s="1244"/>
      <c r="R10" s="1244"/>
      <c r="U10" s="1244"/>
      <c r="V10" s="1244"/>
      <c r="W10" s="1244"/>
    </row>
    <row r="11" spans="1:25" ht="35.1" hidden="1" customHeight="1" outlineLevel="1">
      <c r="A11" s="3672" t="s">
        <v>3261</v>
      </c>
      <c r="B11" s="3672" t="s">
        <v>3262</v>
      </c>
      <c r="C11" s="986" t="s">
        <v>3263</v>
      </c>
      <c r="D11" s="2748">
        <v>5800</v>
      </c>
      <c r="E11" s="2748"/>
      <c r="F11" s="2748"/>
      <c r="H11" s="1244">
        <f>D11*$G$1</f>
        <v>8119.9999999999991</v>
      </c>
      <c r="I11" s="1244"/>
      <c r="J11" s="1244"/>
      <c r="L11" s="1244">
        <f>CEILING(H11*$K$1, 100)</f>
        <v>13400</v>
      </c>
      <c r="M11" s="1244"/>
      <c r="N11" s="1244"/>
      <c r="P11" s="1244">
        <f>L11*$O$1</f>
        <v>33500</v>
      </c>
      <c r="Q11" s="1244"/>
      <c r="R11" s="1244"/>
      <c r="U11" s="1244">
        <f>L11*$T$1</f>
        <v>53600</v>
      </c>
      <c r="V11" s="1244"/>
      <c r="W11" s="1244"/>
    </row>
    <row r="12" spans="1:25" ht="35.1" hidden="1" customHeight="1" outlineLevel="1">
      <c r="A12" s="3672" t="s">
        <v>2688</v>
      </c>
      <c r="B12" s="3672" t="s">
        <v>3264</v>
      </c>
      <c r="C12" s="986" t="s">
        <v>3265</v>
      </c>
      <c r="D12" s="2748">
        <v>7500</v>
      </c>
      <c r="E12" s="2748"/>
      <c r="F12" s="2748"/>
      <c r="H12" s="1244">
        <f>D12*$G$1</f>
        <v>10500</v>
      </c>
      <c r="I12" s="1244"/>
      <c r="J12" s="1244"/>
      <c r="L12" s="1244">
        <f>CEILING(H12*$K$1, 100)</f>
        <v>17400</v>
      </c>
      <c r="M12" s="1244"/>
      <c r="N12" s="1244"/>
      <c r="P12" s="1244">
        <f>L12*$O$1</f>
        <v>43500</v>
      </c>
      <c r="Q12" s="1244"/>
      <c r="R12" s="1244"/>
      <c r="U12" s="1244">
        <f>L12*$T$1</f>
        <v>69600</v>
      </c>
      <c r="V12" s="1244"/>
      <c r="W12" s="1244"/>
    </row>
    <row r="13" spans="1:25" hidden="1" outlineLevel="1">
      <c r="S13" s="69"/>
      <c r="X13" s="69"/>
      <c r="Y13" s="69"/>
    </row>
    <row r="14" spans="1:25" hidden="1" outlineLevel="1">
      <c r="O14" s="3671"/>
      <c r="P14" s="5467" t="s">
        <v>3266</v>
      </c>
      <c r="Q14" s="5467"/>
      <c r="R14" s="5467"/>
      <c r="S14" s="3673"/>
      <c r="T14" s="3671"/>
      <c r="U14" s="5467" t="s">
        <v>3267</v>
      </c>
      <c r="V14" s="5467"/>
      <c r="W14" s="5467"/>
      <c r="X14" s="3673"/>
      <c r="Y14" s="69"/>
    </row>
    <row r="15" spans="1:25" hidden="1" outlineLevel="1">
      <c r="O15" s="2765"/>
      <c r="P15" s="2743" t="s">
        <v>3253</v>
      </c>
      <c r="Q15" s="2743" t="s">
        <v>3254</v>
      </c>
      <c r="R15" s="2743" t="s">
        <v>3255</v>
      </c>
      <c r="S15" s="3674"/>
      <c r="T15" s="2765"/>
      <c r="U15" s="2743" t="s">
        <v>3253</v>
      </c>
      <c r="V15" s="2743" t="s">
        <v>3254</v>
      </c>
      <c r="W15" s="2743" t="s">
        <v>3255</v>
      </c>
      <c r="X15" s="3674"/>
      <c r="Y15" s="69"/>
    </row>
    <row r="16" spans="1:25" hidden="1" outlineLevel="1">
      <c r="P16" s="2748">
        <f>P3*(1-39%)</f>
        <v>12200</v>
      </c>
      <c r="Q16" s="2748">
        <f>Q3*(1-39%)</f>
        <v>12505</v>
      </c>
      <c r="R16" s="2748">
        <f>R3*(1-39%)</f>
        <v>13420</v>
      </c>
      <c r="S16" s="3675">
        <f>S3*(1-39%)</f>
        <v>12505</v>
      </c>
      <c r="U16" s="2748">
        <f>U3*(1-39%)</f>
        <v>19520</v>
      </c>
      <c r="V16" s="2748">
        <f>V3*(1-39%)</f>
        <v>20008</v>
      </c>
      <c r="W16" s="2748">
        <f>W3*(1-39%)</f>
        <v>21472</v>
      </c>
      <c r="X16" s="3675">
        <f>X3*(1-39%)</f>
        <v>19184.5</v>
      </c>
      <c r="Y16" s="69"/>
    </row>
    <row r="17" spans="16:25" hidden="1" outlineLevel="1">
      <c r="P17" s="2748">
        <f>P4*(1-39%)</f>
        <v>13267.5</v>
      </c>
      <c r="Q17" s="2748"/>
      <c r="R17" s="2748"/>
      <c r="S17" s="69"/>
      <c r="U17" s="2748">
        <f>U4*(1-39%)</f>
        <v>21228</v>
      </c>
      <c r="V17" s="2748"/>
      <c r="W17" s="2748"/>
      <c r="X17" s="69"/>
      <c r="Y17" s="69"/>
    </row>
    <row r="18" spans="16:25" hidden="1" outlineLevel="1">
      <c r="P18" s="2748">
        <f>P5*(1-39%)</f>
        <v>14945</v>
      </c>
      <c r="Q18" s="2748">
        <f>Q5*(1-39%)</f>
        <v>16317.5</v>
      </c>
      <c r="R18" s="2748">
        <f>R5*(1-39%)</f>
        <v>17690</v>
      </c>
      <c r="S18" s="3675">
        <f>S5*(1-39%)</f>
        <v>13755.5</v>
      </c>
      <c r="U18" s="2748">
        <f>U5*(1-39%)</f>
        <v>23912</v>
      </c>
      <c r="V18" s="2748">
        <f>V5*(1-39%)</f>
        <v>26108</v>
      </c>
      <c r="W18" s="2748">
        <f>W5*(1-39%)</f>
        <v>28304</v>
      </c>
      <c r="X18" s="3675">
        <f>X5*(1-39%)</f>
        <v>21106</v>
      </c>
      <c r="Y18" s="69"/>
    </row>
    <row r="19" spans="16:25" hidden="1" outlineLevel="1">
      <c r="P19" s="2748">
        <f>P6*(1-39%)</f>
        <v>15097.5</v>
      </c>
      <c r="Q19" s="2748"/>
      <c r="R19" s="2748"/>
      <c r="S19" s="69"/>
      <c r="U19" s="2748">
        <f>U6*(1-39%)</f>
        <v>24156</v>
      </c>
      <c r="V19" s="2748"/>
      <c r="W19" s="2748"/>
      <c r="X19" s="69"/>
      <c r="Y19" s="69"/>
    </row>
    <row r="20" spans="16:25" hidden="1" outlineLevel="1">
      <c r="P20" s="2748"/>
      <c r="Q20" s="2748"/>
      <c r="R20" s="2748"/>
      <c r="S20" s="69"/>
      <c r="U20" s="2748"/>
      <c r="V20" s="2748"/>
      <c r="W20" s="2748"/>
      <c r="X20" s="69"/>
      <c r="Y20" s="69"/>
    </row>
    <row r="21" spans="16:25" hidden="1" outlineLevel="1">
      <c r="P21" s="2748">
        <f>P8*(1-39%)</f>
        <v>17842.5</v>
      </c>
      <c r="Q21" s="2748">
        <f>Q8*(1-39%)</f>
        <v>18605</v>
      </c>
      <c r="R21" s="2748">
        <f>R8*(1-39%)</f>
        <v>19825</v>
      </c>
      <c r="S21" s="69"/>
      <c r="U21" s="2748">
        <f>U8*(1-39%)</f>
        <v>28548</v>
      </c>
      <c r="V21" s="2748">
        <f>V8*(1-39%)</f>
        <v>29768</v>
      </c>
      <c r="W21" s="2748">
        <f>W8*(1-39%)</f>
        <v>31720</v>
      </c>
      <c r="X21" s="69"/>
      <c r="Y21" s="69"/>
    </row>
    <row r="22" spans="16:25" hidden="1" outlineLevel="1">
      <c r="P22" s="2748"/>
      <c r="Q22" s="2748"/>
      <c r="R22" s="2748"/>
      <c r="S22" s="69"/>
      <c r="U22" s="2748"/>
      <c r="V22" s="2748"/>
      <c r="W22" s="2748"/>
      <c r="X22" s="69"/>
      <c r="Y22" s="69"/>
    </row>
    <row r="23" spans="16:25" hidden="1" outlineLevel="1">
      <c r="P23" s="2748"/>
      <c r="Q23" s="2748"/>
      <c r="R23" s="2748"/>
      <c r="S23" s="69"/>
      <c r="U23" s="2748"/>
      <c r="V23" s="2748"/>
      <c r="W23" s="2748"/>
      <c r="X23" s="69"/>
      <c r="Y23" s="69"/>
    </row>
    <row r="24" spans="16:25" hidden="1" outlineLevel="1">
      <c r="P24" s="2748">
        <f>P11*(1-39%)</f>
        <v>20435</v>
      </c>
      <c r="Q24" s="2748"/>
      <c r="R24" s="2748"/>
      <c r="S24" s="69"/>
      <c r="U24" s="2748">
        <f>U11*(1-39%)</f>
        <v>32696</v>
      </c>
      <c r="V24" s="2748"/>
      <c r="W24" s="2748"/>
      <c r="X24" s="69"/>
      <c r="Y24" s="69"/>
    </row>
    <row r="25" spans="16:25" hidden="1" outlineLevel="1">
      <c r="P25" s="2748">
        <f>P12*(1-39%)</f>
        <v>26535</v>
      </c>
      <c r="Q25" s="2748"/>
      <c r="R25" s="2748"/>
      <c r="S25" s="69"/>
      <c r="U25" s="2748">
        <f>U12*(1-39%)</f>
        <v>42456</v>
      </c>
      <c r="V25" s="2748"/>
      <c r="W25" s="2748"/>
      <c r="X25" s="69"/>
      <c r="Y25" s="69"/>
    </row>
    <row r="26" spans="16:25" hidden="1" outlineLevel="1">
      <c r="S26" s="69"/>
      <c r="X26" s="69"/>
      <c r="Y26" s="69"/>
    </row>
    <row r="27" spans="16:25" hidden="1" outlineLevel="1">
      <c r="X27" s="69"/>
      <c r="Y27" s="69"/>
    </row>
    <row r="28" spans="16:25" collapsed="1"/>
  </sheetData>
  <sheetProtection password="E910" sheet="1" objects="1" scenarios="1"/>
  <mergeCells count="10">
    <mergeCell ref="P1:R1"/>
    <mergeCell ref="U1:W1"/>
    <mergeCell ref="P14:R14"/>
    <mergeCell ref="U14:W14"/>
    <mergeCell ref="A1:A2"/>
    <mergeCell ref="B1:B2"/>
    <mergeCell ref="C1:C2"/>
    <mergeCell ref="D1:F1"/>
    <mergeCell ref="H1:J1"/>
    <mergeCell ref="L1:N1"/>
  </mergeCells>
  <pageMargins left="0.7" right="0.7" top="0.75" bottom="0.75" header="0.3" footer="0.3"/>
  <pageSetup paperSize="9" orientation="portrait" verticalDpi="0" r:id="rId1"/>
</worksheet>
</file>

<file path=xl/worksheets/sheet56.xml><?xml version="1.0" encoding="utf-8"?>
<worksheet xmlns="http://schemas.openxmlformats.org/spreadsheetml/2006/main" xmlns:r="http://schemas.openxmlformats.org/officeDocument/2006/relationships">
  <sheetPr codeName="Лист35">
    <tabColor rgb="FFFFC000"/>
  </sheetPr>
  <dimension ref="A1:AI90"/>
  <sheetViews>
    <sheetView view="pageBreakPreview" topLeftCell="V1" zoomScale="85" zoomScaleNormal="100" zoomScaleSheetLayoutView="85" zoomScalePageLayoutView="85" workbookViewId="0">
      <selection activeCell="F33" sqref="F33"/>
    </sheetView>
  </sheetViews>
  <sheetFormatPr defaultColWidth="8.85546875" defaultRowHeight="12.75" outlineLevelRow="1" outlineLevelCol="1"/>
  <cols>
    <col min="1" max="1" width="9.140625" style="81" hidden="1" customWidth="1" outlineLevel="1"/>
    <col min="2" max="2" width="25.7109375" style="81" hidden="1" customWidth="1" outlineLevel="1"/>
    <col min="3" max="3" width="30.140625" style="81" hidden="1" customWidth="1" outlineLevel="1"/>
    <col min="4" max="4" width="18.42578125" style="81" hidden="1" customWidth="1" outlineLevel="1"/>
    <col min="5" max="5" width="14.140625" style="81" hidden="1" customWidth="1" outlineLevel="1"/>
    <col min="6" max="7" width="44.7109375" style="81" hidden="1" customWidth="1" outlineLevel="1"/>
    <col min="8" max="8" width="17.7109375" style="81" hidden="1" customWidth="1" outlineLevel="1"/>
    <col min="9" max="9" width="12" style="81" hidden="1" customWidth="1" outlineLevel="1"/>
    <col min="10" max="10" width="22" style="85" hidden="1" customWidth="1" outlineLevel="1"/>
    <col min="11" max="11" width="19.42578125" style="85" hidden="1" customWidth="1" outlineLevel="1"/>
    <col min="12" max="12" width="17.140625" style="85" hidden="1" customWidth="1" outlineLevel="1"/>
    <col min="13" max="13" width="15.140625" style="85" hidden="1" customWidth="1" outlineLevel="1"/>
    <col min="14" max="14" width="8.42578125" style="85" hidden="1" customWidth="1" outlineLevel="1"/>
    <col min="15" max="15" width="35.140625" style="85" hidden="1" customWidth="1" outlineLevel="1"/>
    <col min="16" max="16" width="8.42578125" style="85" hidden="1" customWidth="1" outlineLevel="1"/>
    <col min="17" max="17" width="15.85546875" style="85" hidden="1" customWidth="1" outlineLevel="1"/>
    <col min="18" max="18" width="34" style="85" hidden="1" customWidth="1" outlineLevel="1"/>
    <col min="19" max="19" width="31.28515625" style="85" hidden="1" customWidth="1" outlineLevel="1"/>
    <col min="20" max="20" width="31.7109375" style="85" hidden="1" customWidth="1" outlineLevel="1"/>
    <col min="21" max="21" width="8.85546875" style="85" hidden="1" customWidth="1" outlineLevel="1"/>
    <col min="22" max="22" width="8.85546875" style="85" collapsed="1"/>
    <col min="23" max="23" width="17.85546875" style="85" customWidth="1"/>
    <col min="24" max="24" width="19.7109375" style="85" customWidth="1"/>
    <col min="25" max="25" width="26" style="85" customWidth="1"/>
    <col min="26" max="35" width="8.85546875" style="85"/>
    <col min="36" max="16384" width="8.85546875" style="81"/>
  </cols>
  <sheetData>
    <row r="1" spans="1:35" ht="18" customHeight="1">
      <c r="A1" s="15"/>
      <c r="B1" s="15"/>
      <c r="C1" s="15"/>
      <c r="D1" s="15"/>
      <c r="E1" s="555"/>
      <c r="F1" s="555"/>
      <c r="G1" s="555"/>
      <c r="H1" s="555"/>
      <c r="I1" s="555"/>
    </row>
    <row r="2" spans="1:35" ht="18" customHeight="1">
      <c r="A2" s="15"/>
      <c r="B2" s="417"/>
      <c r="C2" s="417"/>
      <c r="D2" s="25"/>
      <c r="E2" s="555"/>
      <c r="F2" s="555"/>
      <c r="G2" s="555"/>
      <c r="H2" s="555"/>
      <c r="I2" s="555"/>
    </row>
    <row r="3" spans="1:35" ht="18" customHeight="1">
      <c r="A3" s="15"/>
      <c r="B3" s="417"/>
      <c r="C3" s="417"/>
      <c r="D3" s="25"/>
      <c r="E3" s="555"/>
      <c r="F3" s="555"/>
      <c r="G3" s="555"/>
      <c r="H3" s="555"/>
      <c r="I3" s="555"/>
    </row>
    <row r="4" spans="1:35" ht="18" hidden="1" customHeight="1" outlineLevel="1">
      <c r="A4" s="107"/>
      <c r="B4" s="417"/>
      <c r="C4" s="417"/>
      <c r="D4" s="25"/>
      <c r="E4" s="79"/>
      <c r="F4" s="556"/>
      <c r="G4" s="555"/>
      <c r="H4" s="555"/>
      <c r="I4" s="555"/>
    </row>
    <row r="5" spans="1:35" s="556" customFormat="1" ht="18" hidden="1" customHeight="1" outlineLevel="1">
      <c r="A5" s="555"/>
      <c r="B5" s="472" t="s">
        <v>989</v>
      </c>
      <c r="C5" s="26"/>
      <c r="D5" s="26"/>
      <c r="E5" s="26"/>
      <c r="F5" s="471"/>
      <c r="G5" s="471"/>
      <c r="H5" s="471"/>
      <c r="I5" s="471"/>
      <c r="J5" s="471"/>
      <c r="K5" s="471"/>
      <c r="L5" s="471"/>
    </row>
    <row r="6" spans="1:35" ht="18" hidden="1" customHeight="1" outlineLevel="1">
      <c r="A6" s="823" t="s">
        <v>891</v>
      </c>
      <c r="B6" s="740" t="s">
        <v>391</v>
      </c>
      <c r="C6" s="472">
        <f>'Полотна база'!AA52</f>
        <v>0</v>
      </c>
      <c r="D6" s="107"/>
      <c r="E6" s="79"/>
      <c r="F6" s="555"/>
      <c r="G6" s="555"/>
      <c r="H6" s="555"/>
      <c r="I6" s="555"/>
    </row>
    <row r="7" spans="1:35" ht="18" hidden="1" customHeight="1" outlineLevel="1">
      <c r="A7" s="822" t="s">
        <v>1019</v>
      </c>
      <c r="B7" s="821" t="s">
        <v>700</v>
      </c>
      <c r="C7" s="472">
        <f>'Полотна база'!AA55</f>
        <v>25100</v>
      </c>
      <c r="D7" s="107"/>
      <c r="E7" s="79"/>
      <c r="F7" s="828"/>
      <c r="G7" s="828"/>
      <c r="H7" s="828"/>
      <c r="I7" s="828"/>
    </row>
    <row r="8" spans="1:35" ht="18" hidden="1" customHeight="1" outlineLevel="1">
      <c r="A8" s="823" t="s">
        <v>1019</v>
      </c>
      <c r="B8" s="740" t="s">
        <v>718</v>
      </c>
      <c r="C8" s="472" t="e">
        <f>'Полотна база'!#REF!</f>
        <v>#REF!</v>
      </c>
      <c r="D8" s="107"/>
      <c r="E8" s="79"/>
      <c r="F8" s="828"/>
      <c r="G8" s="828"/>
      <c r="H8" s="828"/>
      <c r="I8" s="828"/>
    </row>
    <row r="9" spans="1:35" ht="18" hidden="1" customHeight="1" outlineLevel="1">
      <c r="A9" s="822" t="s">
        <v>1019</v>
      </c>
      <c r="B9" s="821" t="s">
        <v>1151</v>
      </c>
      <c r="C9" s="472">
        <f>'Полотна база'!AA56</f>
        <v>33050</v>
      </c>
      <c r="D9" s="107"/>
      <c r="E9" s="79"/>
      <c r="F9" s="3480"/>
      <c r="G9" s="2777"/>
      <c r="H9" s="2777"/>
      <c r="I9" s="2777"/>
    </row>
    <row r="10" spans="1:35" ht="18" hidden="1" customHeight="1" outlineLevel="1">
      <c r="A10" s="823" t="s">
        <v>30</v>
      </c>
      <c r="B10" s="740" t="s">
        <v>284</v>
      </c>
      <c r="C10" s="472">
        <f>C9</f>
        <v>33050</v>
      </c>
      <c r="D10" s="107"/>
      <c r="E10" s="79"/>
      <c r="F10" s="828"/>
      <c r="G10" s="828"/>
      <c r="H10" s="828"/>
      <c r="I10" s="828"/>
    </row>
    <row r="11" spans="1:35" ht="15" hidden="1" outlineLevel="1">
      <c r="A11" s="10"/>
      <c r="B11" s="19"/>
      <c r="C11" s="79"/>
      <c r="D11" s="79"/>
      <c r="E11" s="79"/>
      <c r="F11" s="356"/>
      <c r="G11" s="356"/>
      <c r="H11" s="356"/>
      <c r="I11" s="356"/>
    </row>
    <row r="12" spans="1:35" ht="18" customHeight="1" collapsed="1">
      <c r="A12" s="28"/>
      <c r="B12" s="60"/>
      <c r="C12" s="45"/>
      <c r="D12" s="45"/>
      <c r="E12" s="45"/>
      <c r="F12" s="45"/>
      <c r="G12" s="45"/>
      <c r="H12" s="279"/>
      <c r="J12" s="81"/>
      <c r="K12" s="81"/>
      <c r="L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</row>
    <row r="13" spans="1:35" ht="18" customHeight="1">
      <c r="A13" s="5485"/>
      <c r="B13" s="3425" t="s">
        <v>2626</v>
      </c>
      <c r="C13" s="3395">
        <v>45033</v>
      </c>
      <c r="D13" s="3396" t="s">
        <v>2762</v>
      </c>
      <c r="E13" s="3396"/>
      <c r="F13" s="3402">
        <v>1.06</v>
      </c>
      <c r="G13" s="3397"/>
      <c r="H13" s="556"/>
      <c r="I13" s="2876">
        <v>45033</v>
      </c>
      <c r="J13" s="241" t="s">
        <v>2762</v>
      </c>
      <c r="K13" s="241"/>
      <c r="L13" s="514"/>
      <c r="M13" s="10"/>
    </row>
    <row r="14" spans="1:35" ht="18" hidden="1" customHeight="1" outlineLevel="1">
      <c r="A14" s="5485"/>
      <c r="B14" s="10" t="s">
        <v>1338</v>
      </c>
      <c r="C14" s="3398">
        <f>Standart!H7</f>
        <v>23550</v>
      </c>
      <c r="D14" s="3399">
        <f>CEILING(C14/1.6,1000)</f>
        <v>15000</v>
      </c>
      <c r="E14" s="3400">
        <f>CEILING(K14*F13,50)</f>
        <v>16100</v>
      </c>
      <c r="F14" s="3401" t="s">
        <v>2960</v>
      </c>
      <c r="G14" s="3402">
        <v>1.05</v>
      </c>
      <c r="H14" s="556"/>
      <c r="I14" s="2646">
        <v>19450</v>
      </c>
      <c r="J14" s="2929">
        <v>14400</v>
      </c>
      <c r="K14" s="2936">
        <v>15150</v>
      </c>
      <c r="L14" s="403" t="s">
        <v>2960</v>
      </c>
      <c r="M14" s="2935">
        <v>1.05</v>
      </c>
      <c r="O14" s="85" t="s">
        <v>3066</v>
      </c>
    </row>
    <row r="15" spans="1:35" ht="18" hidden="1" customHeight="1" outlineLevel="1">
      <c r="A15" s="2777"/>
      <c r="B15" s="10"/>
      <c r="C15" s="3403"/>
      <c r="D15" s="5487" t="s">
        <v>2</v>
      </c>
      <c r="E15" s="5488"/>
      <c r="F15" s="5505" t="s">
        <v>2480</v>
      </c>
      <c r="G15" s="5506"/>
      <c r="H15" s="274"/>
      <c r="I15" s="10" t="s">
        <v>1338</v>
      </c>
      <c r="J15" s="5501" t="s">
        <v>2</v>
      </c>
      <c r="K15" s="5502"/>
      <c r="L15" s="5494" t="s">
        <v>2480</v>
      </c>
      <c r="M15" s="5495"/>
      <c r="O15" s="5501" t="s">
        <v>2</v>
      </c>
      <c r="P15" s="5502"/>
      <c r="Q15" s="5494" t="s">
        <v>2480</v>
      </c>
      <c r="R15" s="5495"/>
    </row>
    <row r="16" spans="1:35" ht="40.5" hidden="1" customHeight="1" outlineLevel="1">
      <c r="A16" s="2777"/>
      <c r="B16" s="10"/>
      <c r="C16" s="3403"/>
      <c r="D16" s="5489"/>
      <c r="E16" s="5490"/>
      <c r="F16" s="3404" t="s">
        <v>2759</v>
      </c>
      <c r="G16" s="3405" t="s">
        <v>2760</v>
      </c>
      <c r="H16" s="2909"/>
      <c r="I16" s="589"/>
      <c r="J16" s="5503"/>
      <c r="K16" s="5504"/>
      <c r="L16" s="3390" t="s">
        <v>2759</v>
      </c>
      <c r="M16" s="2931" t="s">
        <v>2760</v>
      </c>
      <c r="O16" s="5503"/>
      <c r="P16" s="5504"/>
      <c r="Q16" s="3390" t="s">
        <v>2759</v>
      </c>
      <c r="R16" s="2931" t="s">
        <v>2760</v>
      </c>
    </row>
    <row r="17" spans="1:19" ht="18" hidden="1" customHeight="1" outlineLevel="1">
      <c r="A17" s="2777"/>
      <c r="B17" s="10"/>
      <c r="C17" s="3403"/>
      <c r="D17" s="3406"/>
      <c r="E17" s="3407"/>
      <c r="F17" s="5483" t="s">
        <v>2721</v>
      </c>
      <c r="G17" s="5484"/>
      <c r="H17" s="2930"/>
      <c r="I17" s="589"/>
      <c r="J17" s="2842"/>
      <c r="K17" s="2843"/>
      <c r="L17" s="5496" t="s">
        <v>2721</v>
      </c>
      <c r="M17" s="5497"/>
      <c r="O17" s="2842"/>
      <c r="P17" s="2843"/>
      <c r="Q17" s="5496" t="s">
        <v>2721</v>
      </c>
      <c r="R17" s="5497"/>
    </row>
    <row r="18" spans="1:19" ht="30" hidden="1" customHeight="1" outlineLevel="1">
      <c r="A18" s="2777"/>
      <c r="B18" s="10"/>
      <c r="C18" s="3403"/>
      <c r="D18" s="5491" t="s">
        <v>1425</v>
      </c>
      <c r="E18" s="3408" t="s">
        <v>3032</v>
      </c>
      <c r="F18" s="3409"/>
      <c r="G18" s="3410"/>
      <c r="H18" s="1972" t="s">
        <v>2761</v>
      </c>
      <c r="I18" s="589"/>
      <c r="J18" s="5429" t="s">
        <v>1425</v>
      </c>
      <c r="K18" s="2776" t="s">
        <v>2716</v>
      </c>
      <c r="L18" s="2928"/>
      <c r="M18" s="2932"/>
      <c r="O18" s="5429" t="s">
        <v>1425</v>
      </c>
      <c r="P18" s="2776" t="s">
        <v>2716</v>
      </c>
      <c r="Q18" s="2928"/>
      <c r="R18" s="2932"/>
    </row>
    <row r="19" spans="1:19" ht="27.75" hidden="1" customHeight="1" outlineLevel="1">
      <c r="A19" s="2777"/>
      <c r="B19" s="10"/>
      <c r="C19" s="3403"/>
      <c r="D19" s="5492"/>
      <c r="E19" s="3411" t="s">
        <v>3033</v>
      </c>
      <c r="F19" s="3399"/>
      <c r="G19" s="3412"/>
      <c r="H19" s="1972" t="s">
        <v>2761</v>
      </c>
      <c r="I19" s="589"/>
      <c r="J19" s="5498"/>
      <c r="K19" s="2782" t="s">
        <v>2715</v>
      </c>
      <c r="L19" s="2929"/>
      <c r="M19" s="2933"/>
      <c r="O19" s="5498"/>
      <c r="P19" s="2782" t="s">
        <v>2715</v>
      </c>
      <c r="Q19" s="2929"/>
      <c r="R19" s="2933"/>
    </row>
    <row r="20" spans="1:19" ht="48.75" hidden="1" customHeight="1" outlineLevel="1">
      <c r="A20" s="2777"/>
      <c r="B20" s="10"/>
      <c r="C20" s="3403"/>
      <c r="D20" s="3413" t="s">
        <v>30</v>
      </c>
      <c r="E20" s="3414" t="s">
        <v>3034</v>
      </c>
      <c r="F20" s="3399">
        <f>CEILING(E14,100)</f>
        <v>16100</v>
      </c>
      <c r="G20" s="3410">
        <f>CEILING(F20*$G$14,100)</f>
        <v>17000</v>
      </c>
      <c r="H20" s="1972"/>
      <c r="I20" s="589"/>
      <c r="J20" s="2778" t="s">
        <v>30</v>
      </c>
      <c r="K20" s="2779" t="s">
        <v>2717</v>
      </c>
      <c r="L20" s="2929">
        <v>14400</v>
      </c>
      <c r="M20" s="2932">
        <v>15200</v>
      </c>
      <c r="O20" s="2778" t="s">
        <v>30</v>
      </c>
      <c r="P20" s="2779" t="s">
        <v>2717</v>
      </c>
      <c r="Q20" s="3478">
        <f t="shared" ref="Q20:R23" si="0">F20/L20-1</f>
        <v>0.11805555555555558</v>
      </c>
      <c r="R20" s="3478">
        <f t="shared" si="0"/>
        <v>0.11842105263157898</v>
      </c>
    </row>
    <row r="21" spans="1:19" ht="24" hidden="1" customHeight="1" outlineLevel="1">
      <c r="A21" s="2777"/>
      <c r="B21" s="10"/>
      <c r="C21" s="3403"/>
      <c r="D21" s="5493" t="s">
        <v>721</v>
      </c>
      <c r="E21" s="3415" t="s">
        <v>3035</v>
      </c>
      <c r="F21" s="3399">
        <f>CEILING($F$20*H21,100)</f>
        <v>17000</v>
      </c>
      <c r="G21" s="3410">
        <f>CEILING(F21*$G$14,100)</f>
        <v>17900</v>
      </c>
      <c r="H21" s="2935">
        <v>1.05</v>
      </c>
      <c r="I21" s="589"/>
      <c r="J21" s="5499" t="s">
        <v>721</v>
      </c>
      <c r="K21" s="3388" t="s">
        <v>2718</v>
      </c>
      <c r="L21" s="2929">
        <v>15200</v>
      </c>
      <c r="M21" s="2932">
        <v>16000</v>
      </c>
      <c r="N21" s="2935">
        <v>1.05</v>
      </c>
      <c r="O21" s="5499" t="s">
        <v>721</v>
      </c>
      <c r="P21" s="3388" t="s">
        <v>2718</v>
      </c>
      <c r="Q21" s="3479">
        <f t="shared" si="0"/>
        <v>0.11842105263157898</v>
      </c>
      <c r="R21" s="3479">
        <f t="shared" si="0"/>
        <v>0.11874999999999991</v>
      </c>
    </row>
    <row r="22" spans="1:19" ht="18" hidden="1" customHeight="1" outlineLevel="1">
      <c r="A22" s="2777"/>
      <c r="B22" s="10"/>
      <c r="C22" s="3403"/>
      <c r="D22" s="5493"/>
      <c r="E22" s="3416" t="s">
        <v>3036</v>
      </c>
      <c r="F22" s="3399">
        <f>CEILING($F$20*H22,100)</f>
        <v>17800</v>
      </c>
      <c r="G22" s="3410">
        <f>CEILING(F22*$G$14,100)</f>
        <v>18700</v>
      </c>
      <c r="H22" s="2935">
        <v>1.1000000000000001</v>
      </c>
      <c r="I22" s="589"/>
      <c r="J22" s="5499"/>
      <c r="K22" s="2781" t="s">
        <v>2719</v>
      </c>
      <c r="L22" s="2929">
        <v>15900</v>
      </c>
      <c r="M22" s="2932">
        <v>16700</v>
      </c>
      <c r="N22" s="2935">
        <v>1.1000000000000001</v>
      </c>
      <c r="O22" s="5499"/>
      <c r="P22" s="2781" t="s">
        <v>2719</v>
      </c>
      <c r="Q22" s="3479">
        <f t="shared" si="0"/>
        <v>0.11949685534591192</v>
      </c>
      <c r="R22" s="3479">
        <f t="shared" si="0"/>
        <v>0.11976047904191622</v>
      </c>
    </row>
    <row r="23" spans="1:19" ht="18" hidden="1" customHeight="1" outlineLevel="1">
      <c r="A23" s="2777"/>
      <c r="B23" s="10"/>
      <c r="C23" s="3403"/>
      <c r="D23" s="5493"/>
      <c r="E23" s="3417" t="s">
        <v>3037</v>
      </c>
      <c r="F23" s="3399">
        <f>CEILING($F$20*H23,100)</f>
        <v>18600</v>
      </c>
      <c r="G23" s="3410">
        <f>CEILING(F23*$G$14,100)</f>
        <v>19600</v>
      </c>
      <c r="H23" s="2935">
        <v>1.1499999999999999</v>
      </c>
      <c r="I23" s="589"/>
      <c r="J23" s="5499"/>
      <c r="K23" s="3389" t="s">
        <v>2720</v>
      </c>
      <c r="L23" s="2929">
        <v>16600</v>
      </c>
      <c r="M23" s="2932">
        <v>17500</v>
      </c>
      <c r="N23" s="2935">
        <v>1.1499999999999999</v>
      </c>
      <c r="O23" s="5499"/>
      <c r="P23" s="3389" t="s">
        <v>2720</v>
      </c>
      <c r="Q23" s="3479">
        <f t="shared" si="0"/>
        <v>0.12048192771084332</v>
      </c>
      <c r="R23" s="3479">
        <f t="shared" si="0"/>
        <v>0.12000000000000011</v>
      </c>
    </row>
    <row r="24" spans="1:19" ht="18" hidden="1" customHeight="1" outlineLevel="1">
      <c r="A24" s="2777"/>
      <c r="B24" s="10"/>
      <c r="C24" s="589"/>
      <c r="D24" s="241"/>
      <c r="E24" s="241"/>
      <c r="F24" s="403"/>
      <c r="G24" s="589"/>
      <c r="H24" s="589"/>
      <c r="I24" s="589"/>
      <c r="J24" s="88"/>
      <c r="Q24" s="3478"/>
    </row>
    <row r="25" spans="1:19" ht="18" hidden="1" customHeight="1" outlineLevel="1">
      <c r="A25" s="2777"/>
      <c r="C25" s="589"/>
      <c r="D25" s="241"/>
      <c r="E25" s="241"/>
      <c r="F25" s="403"/>
      <c r="G25" s="589"/>
      <c r="H25" s="589"/>
      <c r="I25" s="589"/>
      <c r="J25" s="88"/>
    </row>
    <row r="26" spans="1:19" ht="18" hidden="1" customHeight="1" outlineLevel="1">
      <c r="A26" s="2777"/>
      <c r="B26" s="10"/>
      <c r="C26" s="589"/>
      <c r="D26" s="241"/>
      <c r="E26" s="241"/>
      <c r="F26" s="3402">
        <v>1.06</v>
      </c>
      <c r="G26" s="589"/>
      <c r="H26" s="589"/>
      <c r="I26" s="589"/>
      <c r="J26" s="88"/>
    </row>
    <row r="27" spans="1:19" ht="15" hidden="1" outlineLevel="1">
      <c r="A27" s="5486" t="s">
        <v>2</v>
      </c>
      <c r="B27" s="5486"/>
      <c r="C27" s="5486" t="s">
        <v>400</v>
      </c>
      <c r="D27" s="5486" t="s">
        <v>47</v>
      </c>
      <c r="E27" s="5486" t="s">
        <v>54</v>
      </c>
      <c r="F27" s="3418" t="s">
        <v>181</v>
      </c>
      <c r="G27" s="2937"/>
      <c r="H27" s="2937"/>
      <c r="J27" s="5474" t="s">
        <v>2</v>
      </c>
      <c r="K27" s="5474"/>
      <c r="L27" s="5474" t="s">
        <v>400</v>
      </c>
      <c r="M27" s="5474" t="s">
        <v>47</v>
      </c>
      <c r="N27" s="5474" t="s">
        <v>54</v>
      </c>
      <c r="O27" s="2908" t="s">
        <v>181</v>
      </c>
      <c r="P27" s="2937"/>
      <c r="Q27" s="85" t="s">
        <v>3066</v>
      </c>
    </row>
    <row r="28" spans="1:19" ht="15" hidden="1" customHeight="1" outlineLevel="1">
      <c r="A28" s="5486"/>
      <c r="B28" s="5486"/>
      <c r="C28" s="5486"/>
      <c r="D28" s="5486"/>
      <c r="E28" s="5486"/>
      <c r="F28" s="3419" t="s">
        <v>2479</v>
      </c>
      <c r="G28" s="2938"/>
      <c r="H28" s="2938"/>
      <c r="J28" s="5474"/>
      <c r="K28" s="5474"/>
      <c r="L28" s="5474"/>
      <c r="M28" s="5474"/>
      <c r="N28" s="5474"/>
      <c r="O28" s="2934" t="s">
        <v>2479</v>
      </c>
      <c r="P28" s="2938"/>
    </row>
    <row r="29" spans="1:19" ht="30" hidden="1" customHeight="1" outlineLevel="1">
      <c r="A29" s="5486"/>
      <c r="B29" s="5486"/>
      <c r="C29" s="5486"/>
      <c r="D29" s="5486"/>
      <c r="E29" s="5486"/>
      <c r="F29" s="3420" t="s">
        <v>2758</v>
      </c>
      <c r="G29" s="2939"/>
      <c r="H29" s="2939"/>
      <c r="J29" s="5474"/>
      <c r="K29" s="5474"/>
      <c r="L29" s="5474"/>
      <c r="M29" s="5474"/>
      <c r="N29" s="5474"/>
      <c r="O29" s="2941" t="s">
        <v>2758</v>
      </c>
      <c r="P29" s="2939"/>
    </row>
    <row r="30" spans="1:19" ht="21" hidden="1" customHeight="1" outlineLevel="1">
      <c r="A30" s="3421"/>
      <c r="B30" s="3421"/>
      <c r="C30" s="3421"/>
      <c r="D30" s="3421"/>
      <c r="E30" s="3421"/>
      <c r="F30" s="3422" t="s">
        <v>2721</v>
      </c>
      <c r="G30" s="2940"/>
      <c r="H30" s="2940"/>
      <c r="J30" s="2846"/>
      <c r="K30" s="2846"/>
      <c r="L30" s="2846"/>
      <c r="M30" s="2846"/>
      <c r="N30" s="2846"/>
      <c r="O30" s="2942" t="s">
        <v>2721</v>
      </c>
      <c r="P30" s="2940"/>
    </row>
    <row r="31" spans="1:19" ht="25.5" hidden="1" outlineLevel="1">
      <c r="A31" s="3423" t="s">
        <v>19</v>
      </c>
      <c r="B31" s="3424" t="s">
        <v>2722</v>
      </c>
      <c r="C31" s="3423"/>
      <c r="D31" s="3423"/>
      <c r="E31" s="3423"/>
      <c r="F31" s="3412">
        <f>CEILING(O31*F26,50)</f>
        <v>35050</v>
      </c>
      <c r="G31" s="1972"/>
      <c r="H31" s="179"/>
      <c r="J31" s="2844" t="s">
        <v>19</v>
      </c>
      <c r="K31" s="2845" t="s">
        <v>2722</v>
      </c>
      <c r="L31" s="2844"/>
      <c r="M31" s="2844"/>
      <c r="N31" s="2844"/>
      <c r="O31" s="2933">
        <v>33050</v>
      </c>
      <c r="P31" s="1972"/>
      <c r="Q31" s="3481">
        <f>F31/O31-1</f>
        <v>6.051437216338873E-2</v>
      </c>
      <c r="S31" s="3481"/>
    </row>
    <row r="32" spans="1:19" hidden="1" outlineLevel="1">
      <c r="F32" s="1743">
        <f>L34</f>
        <v>27940</v>
      </c>
      <c r="G32" s="3198">
        <f>F31/O31-1</f>
        <v>6.051437216338873E-2</v>
      </c>
      <c r="J32" s="81"/>
      <c r="K32" s="81"/>
      <c r="L32" s="81"/>
      <c r="M32" s="81"/>
      <c r="N32" s="81"/>
      <c r="O32" s="81"/>
      <c r="P32" s="81"/>
    </row>
    <row r="33" spans="1:17" ht="15.75" hidden="1" outlineLevel="1">
      <c r="A33" s="81" t="s">
        <v>2723</v>
      </c>
      <c r="B33" s="2850">
        <f>'Provеnce Amelia'!H13</f>
        <v>59300</v>
      </c>
      <c r="C33" s="570">
        <f>CEILING(B33/1.6,300)</f>
        <v>37200</v>
      </c>
      <c r="D33" s="81">
        <v>29950</v>
      </c>
      <c r="G33" s="81" t="s">
        <v>2724</v>
      </c>
      <c r="H33" s="81">
        <v>1.1000000000000001</v>
      </c>
      <c r="J33" s="81" t="s">
        <v>2723</v>
      </c>
      <c r="K33" s="2850">
        <f>'Provеnce Amelia'!H13</f>
        <v>59300</v>
      </c>
      <c r="L33" s="570">
        <f>CEILING(K33/1.6,300)</f>
        <v>37200</v>
      </c>
      <c r="M33" s="81">
        <v>29950</v>
      </c>
      <c r="N33" s="81"/>
      <c r="O33" s="81"/>
      <c r="P33" s="81" t="s">
        <v>2724</v>
      </c>
    </row>
    <row r="34" spans="1:17" ht="15.75" hidden="1" outlineLevel="1">
      <c r="C34" s="81" t="s">
        <v>2763</v>
      </c>
      <c r="D34" s="81" t="s">
        <v>2764</v>
      </c>
      <c r="J34" s="81" t="s">
        <v>3525</v>
      </c>
      <c r="K34" s="2850">
        <f>'Provеnce Amelia'!H10</f>
        <v>44700</v>
      </c>
      <c r="L34" s="570">
        <f>CEILING(K34/1.6,10)</f>
        <v>27940</v>
      </c>
      <c r="M34" s="81" t="s">
        <v>2764</v>
      </c>
      <c r="N34" s="81"/>
      <c r="O34" s="81"/>
      <c r="P34" s="81"/>
    </row>
    <row r="35" spans="1:17" hidden="1" outlineLevel="1"/>
    <row r="36" spans="1:17" hidden="1" outlineLevel="1">
      <c r="E36" s="81">
        <v>1.6</v>
      </c>
    </row>
    <row r="37" spans="1:17" hidden="1" outlineLevel="1">
      <c r="B37" s="4826" t="s">
        <v>2919</v>
      </c>
      <c r="C37" s="4826"/>
      <c r="D37" s="1151">
        <f>'Provеnce Amelia'!H32</f>
        <v>4000</v>
      </c>
      <c r="E37" s="3311">
        <f>CEILING(D37/$E$36,100)</f>
        <v>2500</v>
      </c>
      <c r="F37" s="81" t="s">
        <v>2911</v>
      </c>
    </row>
    <row r="38" spans="1:17" hidden="1" outlineLevel="1">
      <c r="B38" s="4826" t="s">
        <v>2920</v>
      </c>
      <c r="C38" s="4826"/>
      <c r="D38" s="1151">
        <f>'Provеnce Amelia'!H33</f>
        <v>5500</v>
      </c>
      <c r="E38" s="3311">
        <f>CEILING(D38/$E$36,100)</f>
        <v>3500</v>
      </c>
    </row>
    <row r="39" spans="1:17" hidden="1" outlineLevel="1">
      <c r="B39" s="4826" t="s">
        <v>2921</v>
      </c>
      <c r="C39" s="4826"/>
      <c r="D39" s="1151">
        <f>'Provеnce Amelia'!H34</f>
        <v>6500</v>
      </c>
      <c r="E39" s="3311">
        <f>CEILING(D39/$E$36,100)</f>
        <v>4100</v>
      </c>
    </row>
    <row r="40" spans="1:17" hidden="1" outlineLevel="1">
      <c r="B40" s="3312"/>
      <c r="C40" s="3312"/>
      <c r="D40" s="3313"/>
      <c r="E40" s="3311"/>
    </row>
    <row r="41" spans="1:17" hidden="1" outlineLevel="1">
      <c r="B41" s="5469" t="s">
        <v>2796</v>
      </c>
      <c r="C41" s="5469"/>
      <c r="D41" s="1152">
        <v>3000</v>
      </c>
      <c r="E41" s="3311">
        <f>CEILING(D41/$E$36,100)</f>
        <v>1900</v>
      </c>
      <c r="F41" s="81" t="s">
        <v>2911</v>
      </c>
    </row>
    <row r="42" spans="1:17" hidden="1" outlineLevel="1">
      <c r="M42" s="81"/>
      <c r="N42" s="81"/>
      <c r="O42" s="81"/>
      <c r="P42" s="81"/>
      <c r="Q42" s="81"/>
    </row>
    <row r="43" spans="1:17" hidden="1" outlineLevel="1"/>
    <row r="44" spans="1:17" hidden="1" outlineLevel="1"/>
    <row r="45" spans="1:17" hidden="1" outlineLevel="1"/>
    <row r="46" spans="1:17" hidden="1" outlineLevel="1"/>
    <row r="47" spans="1:17" hidden="1" outlineLevel="1">
      <c r="D47" s="3311"/>
    </row>
    <row r="48" spans="1:17" hidden="1" outlineLevel="1"/>
    <row r="49" spans="2:12" ht="25.5" hidden="1" outlineLevel="1">
      <c r="B49" s="715" t="s">
        <v>915</v>
      </c>
      <c r="D49" s="81">
        <v>1.06</v>
      </c>
      <c r="E49" s="715"/>
      <c r="F49" s="85"/>
      <c r="G49" s="85"/>
    </row>
    <row r="50" spans="2:12" hidden="1" outlineLevel="1">
      <c r="F50" s="85"/>
      <c r="G50" s="85"/>
    </row>
    <row r="51" spans="2:12" ht="29.25" hidden="1" outlineLevel="1">
      <c r="B51" s="3482" t="s">
        <v>755</v>
      </c>
      <c r="C51" s="3482" t="s">
        <v>754</v>
      </c>
      <c r="D51" s="3482" t="s">
        <v>3069</v>
      </c>
      <c r="F51" s="85"/>
      <c r="G51" s="610" t="s">
        <v>755</v>
      </c>
      <c r="H51" s="610" t="s">
        <v>754</v>
      </c>
      <c r="I51" s="610" t="s">
        <v>753</v>
      </c>
      <c r="J51" s="81"/>
      <c r="L51" s="610" t="s">
        <v>3066</v>
      </c>
    </row>
    <row r="52" spans="2:12" ht="54" hidden="1" outlineLevel="1">
      <c r="B52" s="5468" t="s">
        <v>752</v>
      </c>
      <c r="C52" s="3491" t="s">
        <v>2793</v>
      </c>
      <c r="D52" s="3484">
        <f>CEILING(I52*D49,50)</f>
        <v>33350</v>
      </c>
      <c r="E52" s="713"/>
      <c r="F52" s="85"/>
      <c r="G52" s="5500" t="s">
        <v>752</v>
      </c>
      <c r="H52" s="3027" t="s">
        <v>749</v>
      </c>
      <c r="I52" s="713">
        <v>31450</v>
      </c>
      <c r="J52" s="713">
        <v>20500</v>
      </c>
      <c r="L52" s="3490">
        <f>D52/I52-1</f>
        <v>6.0413354531001495E-2</v>
      </c>
    </row>
    <row r="53" spans="2:12" ht="54" hidden="1" outlineLevel="1">
      <c r="B53" s="5468"/>
      <c r="C53" s="3491" t="s">
        <v>2795</v>
      </c>
      <c r="D53" s="3484">
        <f>CEILING(D52*F53,50)</f>
        <v>36700</v>
      </c>
      <c r="E53" s="713"/>
      <c r="F53" s="85">
        <v>1.1000000000000001</v>
      </c>
      <c r="G53" s="5500"/>
      <c r="H53" s="3027" t="s">
        <v>748</v>
      </c>
      <c r="I53" s="713">
        <f>I52+1000</f>
        <v>32450</v>
      </c>
      <c r="J53" s="713">
        <f>J52+1000</f>
        <v>21500</v>
      </c>
      <c r="L53" s="3490"/>
    </row>
    <row r="54" spans="2:12" ht="36" hidden="1" outlineLevel="1">
      <c r="B54" s="3485"/>
      <c r="C54" s="3486" t="s">
        <v>2794</v>
      </c>
      <c r="D54" s="3487"/>
      <c r="E54" s="3026"/>
      <c r="F54" s="85"/>
      <c r="G54" s="3025"/>
      <c r="H54" s="3028" t="s">
        <v>2794</v>
      </c>
      <c r="I54" s="3026">
        <f>CEILING(I53*1.12,50)</f>
        <v>36350</v>
      </c>
      <c r="J54" s="3026"/>
      <c r="L54" s="3490"/>
    </row>
    <row r="55" spans="2:12" ht="54" hidden="1" outlineLevel="1">
      <c r="B55" s="5475" t="s">
        <v>751</v>
      </c>
      <c r="C55" s="3488" t="s">
        <v>749</v>
      </c>
      <c r="D55" s="3489"/>
      <c r="E55" s="714"/>
      <c r="F55" s="85"/>
      <c r="G55" s="5481" t="s">
        <v>751</v>
      </c>
      <c r="H55" s="3029" t="s">
        <v>749</v>
      </c>
      <c r="I55" s="714">
        <f>I53</f>
        <v>32450</v>
      </c>
      <c r="J55" s="714">
        <f>J53</f>
        <v>21500</v>
      </c>
      <c r="L55" s="3490"/>
    </row>
    <row r="56" spans="2:12" ht="54" hidden="1" outlineLevel="1">
      <c r="B56" s="5475"/>
      <c r="C56" s="3488" t="s">
        <v>748</v>
      </c>
      <c r="D56" s="3489"/>
      <c r="E56" s="714"/>
      <c r="F56" s="85"/>
      <c r="G56" s="5481"/>
      <c r="H56" s="3029" t="s">
        <v>748</v>
      </c>
      <c r="I56" s="714">
        <f>I55+1000</f>
        <v>33450</v>
      </c>
      <c r="J56" s="714">
        <f>J55+1000</f>
        <v>22500</v>
      </c>
      <c r="L56" s="3490"/>
    </row>
    <row r="57" spans="2:12" ht="54" hidden="1" outlineLevel="1">
      <c r="B57" s="5476" t="s">
        <v>750</v>
      </c>
      <c r="C57" s="3483" t="s">
        <v>749</v>
      </c>
      <c r="D57" s="3484"/>
      <c r="E57" s="713"/>
      <c r="F57" s="85"/>
      <c r="G57" s="5482" t="s">
        <v>750</v>
      </c>
      <c r="H57" s="3027" t="s">
        <v>749</v>
      </c>
      <c r="I57" s="713">
        <f>I56</f>
        <v>33450</v>
      </c>
      <c r="J57" s="713">
        <f>J56</f>
        <v>22500</v>
      </c>
      <c r="L57" s="3490"/>
    </row>
    <row r="58" spans="2:12" ht="54" hidden="1" outlineLevel="1">
      <c r="B58" s="5476"/>
      <c r="C58" s="3483" t="s">
        <v>748</v>
      </c>
      <c r="D58" s="3484"/>
      <c r="E58" s="713"/>
      <c r="F58" s="85"/>
      <c r="G58" s="5482"/>
      <c r="H58" s="3027" t="s">
        <v>748</v>
      </c>
      <c r="I58" s="713">
        <f>I57+1000</f>
        <v>34450</v>
      </c>
      <c r="J58" s="713">
        <f>J57+1000</f>
        <v>23500</v>
      </c>
      <c r="L58" s="3490"/>
    </row>
    <row r="59" spans="2:12" hidden="1" outlineLevel="1">
      <c r="B59" s="85"/>
      <c r="C59" s="85"/>
      <c r="D59" s="85"/>
      <c r="F59" s="85"/>
      <c r="G59" s="85"/>
      <c r="H59" s="85"/>
      <c r="I59" s="85"/>
    </row>
    <row r="60" spans="2:12" collapsed="1">
      <c r="B60" s="85"/>
      <c r="C60" s="85"/>
      <c r="D60" s="85"/>
      <c r="F60" s="85"/>
      <c r="G60" s="85"/>
      <c r="H60" s="85"/>
      <c r="I60" s="85"/>
    </row>
    <row r="61" spans="2:12" ht="25.5">
      <c r="B61" s="715" t="s">
        <v>2477</v>
      </c>
      <c r="E61" s="715"/>
      <c r="F61" s="85"/>
      <c r="G61" s="85"/>
      <c r="H61" s="85"/>
      <c r="I61" s="85"/>
    </row>
    <row r="62" spans="2:12">
      <c r="F62" s="85"/>
      <c r="G62" s="85"/>
      <c r="H62" s="85"/>
      <c r="I62" s="85"/>
    </row>
    <row r="63" spans="2:12" ht="29.25">
      <c r="B63" s="3482" t="s">
        <v>755</v>
      </c>
      <c r="C63" s="3482" t="s">
        <v>754</v>
      </c>
      <c r="D63" s="3482" t="s">
        <v>3069</v>
      </c>
      <c r="F63" s="85"/>
      <c r="G63" s="85"/>
      <c r="H63" s="85"/>
      <c r="I63" s="85"/>
    </row>
    <row r="64" spans="2:12" ht="24">
      <c r="B64" s="5468" t="s">
        <v>752</v>
      </c>
      <c r="C64" s="3491" t="s">
        <v>2793</v>
      </c>
      <c r="D64" s="3484">
        <v>20500</v>
      </c>
      <c r="E64" s="713"/>
      <c r="F64" s="85"/>
      <c r="G64" s="85"/>
      <c r="H64" s="85"/>
      <c r="I64" s="85"/>
    </row>
    <row r="65" spans="1:9" ht="24">
      <c r="B65" s="5468"/>
      <c r="C65" s="3491" t="s">
        <v>2795</v>
      </c>
      <c r="D65" s="3484">
        <f>CEILING(D64*F65,50)</f>
        <v>22550</v>
      </c>
      <c r="E65" s="713"/>
      <c r="F65" s="85">
        <v>1.1000000000000001</v>
      </c>
      <c r="G65" s="85"/>
      <c r="H65" s="85"/>
      <c r="I65" s="85"/>
    </row>
    <row r="66" spans="1:9">
      <c r="B66" s="85"/>
      <c r="C66" s="85"/>
      <c r="D66" s="85"/>
      <c r="F66" s="85"/>
      <c r="G66" s="85"/>
      <c r="H66" s="85"/>
      <c r="I66" s="85"/>
    </row>
    <row r="67" spans="1:9" hidden="1" outlineLevel="1">
      <c r="B67" s="85"/>
      <c r="C67" s="85"/>
      <c r="D67" s="85"/>
      <c r="F67" s="85"/>
      <c r="G67" s="85"/>
      <c r="H67" s="85"/>
      <c r="I67" s="85"/>
    </row>
    <row r="68" spans="1:9" hidden="1" outlineLevel="1">
      <c r="B68" s="85"/>
      <c r="C68" s="85"/>
      <c r="D68" s="85"/>
      <c r="F68" s="85"/>
      <c r="G68" s="85"/>
      <c r="H68" s="85"/>
      <c r="I68" s="85"/>
    </row>
    <row r="69" spans="1:9" ht="18.75" hidden="1" outlineLevel="1">
      <c r="A69" s="472" t="s">
        <v>990</v>
      </c>
      <c r="B69" s="471"/>
      <c r="C69" s="471"/>
      <c r="D69" s="471"/>
      <c r="E69" s="471"/>
      <c r="F69" s="471"/>
      <c r="G69" s="556"/>
      <c r="H69" s="556"/>
      <c r="I69" s="556"/>
    </row>
    <row r="70" spans="1:9" ht="15.75" hidden="1" outlineLevel="1">
      <c r="A70" s="651">
        <f>'Полотна база'!AS54</f>
        <v>59300</v>
      </c>
      <c r="B70" s="85"/>
      <c r="C70" s="85"/>
      <c r="D70" s="85"/>
      <c r="E70" s="85"/>
      <c r="F70" s="85"/>
      <c r="G70" s="85">
        <v>3500</v>
      </c>
      <c r="H70" s="85">
        <v>4000</v>
      </c>
      <c r="I70" s="85"/>
    </row>
    <row r="71" spans="1:9" ht="18.75" hidden="1" outlineLevel="1">
      <c r="A71" s="472"/>
      <c r="B71" s="85"/>
      <c r="C71" s="85"/>
      <c r="D71" s="85"/>
      <c r="E71" s="85"/>
      <c r="F71" s="85">
        <f>CEILING(F75/1.6,100)</f>
        <v>37100</v>
      </c>
      <c r="G71" s="85"/>
      <c r="H71" s="85"/>
      <c r="I71" s="85"/>
    </row>
    <row r="72" spans="1:9" ht="15" hidden="1" outlineLevel="1">
      <c r="A72" s="5474" t="s">
        <v>2</v>
      </c>
      <c r="B72" s="5474"/>
      <c r="C72" s="5474" t="s">
        <v>400</v>
      </c>
      <c r="D72" s="5474" t="s">
        <v>47</v>
      </c>
      <c r="E72" s="5474" t="s">
        <v>54</v>
      </c>
      <c r="F72" s="5477" t="s">
        <v>181</v>
      </c>
      <c r="G72" s="5477"/>
      <c r="H72" s="5477"/>
      <c r="I72" s="85"/>
    </row>
    <row r="73" spans="1:9" ht="25.5" hidden="1" outlineLevel="1">
      <c r="A73" s="5474"/>
      <c r="B73" s="5474"/>
      <c r="C73" s="5474"/>
      <c r="D73" s="5474"/>
      <c r="E73" s="5474"/>
      <c r="F73" s="560" t="s">
        <v>401</v>
      </c>
      <c r="G73" s="560" t="s">
        <v>402</v>
      </c>
      <c r="H73" s="560" t="s">
        <v>403</v>
      </c>
      <c r="I73" s="85"/>
    </row>
    <row r="74" spans="1:9" ht="96" hidden="1" outlineLevel="1">
      <c r="A74" s="5474"/>
      <c r="B74" s="5474"/>
      <c r="C74" s="5474"/>
      <c r="D74" s="5474"/>
      <c r="E74" s="5474"/>
      <c r="F74" s="561" t="s">
        <v>264</v>
      </c>
      <c r="G74" s="561" t="s">
        <v>265</v>
      </c>
      <c r="H74" s="561" t="s">
        <v>266</v>
      </c>
      <c r="I74" s="422"/>
    </row>
    <row r="75" spans="1:9" ht="15.75" hidden="1" customHeight="1" outlineLevel="1">
      <c r="A75" s="5379" t="s">
        <v>30</v>
      </c>
      <c r="B75" s="5470" t="s">
        <v>404</v>
      </c>
      <c r="C75" s="4203" t="s">
        <v>405</v>
      </c>
      <c r="D75" s="558" t="s">
        <v>406</v>
      </c>
      <c r="E75" s="565" t="s">
        <v>113</v>
      </c>
      <c r="F75" s="559">
        <f>CEILING(($A$70+$F$70)*I75, 50)</f>
        <v>59300</v>
      </c>
      <c r="G75" s="559">
        <f t="shared" ref="G75:G86" si="1">CEILING(($A$70+$G$70)*I75, 50)</f>
        <v>62800</v>
      </c>
      <c r="H75" s="559">
        <f t="shared" ref="H75:H86" si="2">CEILING(($A$70+$H$70)*I75, 50)</f>
        <v>63300</v>
      </c>
      <c r="I75" s="746">
        <v>1</v>
      </c>
    </row>
    <row r="76" spans="1:9" ht="15.75" hidden="1" outlineLevel="1">
      <c r="A76" s="5380"/>
      <c r="B76" s="5471"/>
      <c r="C76" s="4204"/>
      <c r="D76" s="558" t="s">
        <v>114</v>
      </c>
      <c r="E76" s="565" t="s">
        <v>113</v>
      </c>
      <c r="F76" s="559">
        <f t="shared" ref="F76:F86" si="3">CEILING(($A$70+$F$70)*I76, 50)</f>
        <v>71200</v>
      </c>
      <c r="G76" s="559">
        <f t="shared" si="1"/>
        <v>75400</v>
      </c>
      <c r="H76" s="559">
        <f t="shared" si="2"/>
        <v>76000</v>
      </c>
      <c r="I76" s="746">
        <v>1.2</v>
      </c>
    </row>
    <row r="77" spans="1:9" ht="15.75" hidden="1" outlineLevel="1">
      <c r="A77" s="5380"/>
      <c r="B77" s="5471"/>
      <c r="C77" s="4204"/>
      <c r="D77" s="558" t="s">
        <v>115</v>
      </c>
      <c r="E77" s="565" t="s">
        <v>113</v>
      </c>
      <c r="F77" s="559">
        <f t="shared" si="3"/>
        <v>77100</v>
      </c>
      <c r="G77" s="559">
        <f t="shared" si="1"/>
        <v>81650</v>
      </c>
      <c r="H77" s="559">
        <f t="shared" si="2"/>
        <v>82300</v>
      </c>
      <c r="I77" s="746">
        <v>1.3</v>
      </c>
    </row>
    <row r="78" spans="1:9" ht="15.75" hidden="1" outlineLevel="1">
      <c r="A78" s="5380"/>
      <c r="B78" s="5471"/>
      <c r="C78" s="4205"/>
      <c r="D78" s="558" t="s">
        <v>1184</v>
      </c>
      <c r="E78" s="831"/>
      <c r="F78" s="559">
        <f t="shared" si="3"/>
        <v>86000</v>
      </c>
      <c r="G78" s="559">
        <f t="shared" si="1"/>
        <v>91100</v>
      </c>
      <c r="H78" s="559">
        <f t="shared" si="2"/>
        <v>91800</v>
      </c>
      <c r="I78" s="746">
        <v>1.45</v>
      </c>
    </row>
    <row r="79" spans="1:9" ht="15.75" hidden="1" outlineLevel="1">
      <c r="A79" s="5380"/>
      <c r="B79" s="5471"/>
      <c r="C79" s="4206" t="s">
        <v>1183</v>
      </c>
      <c r="D79" s="562" t="s">
        <v>406</v>
      </c>
      <c r="E79" s="567" t="s">
        <v>113</v>
      </c>
      <c r="F79" s="832">
        <f t="shared" si="3"/>
        <v>65250</v>
      </c>
      <c r="G79" s="832">
        <f t="shared" si="1"/>
        <v>69100</v>
      </c>
      <c r="H79" s="832">
        <f t="shared" si="2"/>
        <v>69650</v>
      </c>
      <c r="I79" s="746">
        <v>1.1000000000000001</v>
      </c>
    </row>
    <row r="80" spans="1:9" ht="15.75" hidden="1" outlineLevel="1">
      <c r="A80" s="5380"/>
      <c r="B80" s="5471"/>
      <c r="C80" s="4207"/>
      <c r="D80" s="562" t="s">
        <v>114</v>
      </c>
      <c r="E80" s="567" t="s">
        <v>113</v>
      </c>
      <c r="F80" s="832">
        <f t="shared" si="3"/>
        <v>74200</v>
      </c>
      <c r="G80" s="832">
        <f t="shared" si="1"/>
        <v>78550</v>
      </c>
      <c r="H80" s="832">
        <f t="shared" si="2"/>
        <v>79200</v>
      </c>
      <c r="I80" s="746">
        <v>1.2506329113924051</v>
      </c>
    </row>
    <row r="81" spans="1:9" ht="15.75" hidden="1" outlineLevel="1">
      <c r="A81" s="5380"/>
      <c r="B81" s="5471"/>
      <c r="C81" s="4207"/>
      <c r="D81" s="562" t="s">
        <v>115</v>
      </c>
      <c r="E81" s="567" t="s">
        <v>113</v>
      </c>
      <c r="F81" s="832">
        <f t="shared" si="3"/>
        <v>80100</v>
      </c>
      <c r="G81" s="832">
        <f t="shared" si="1"/>
        <v>84850</v>
      </c>
      <c r="H81" s="832">
        <f t="shared" si="2"/>
        <v>85500</v>
      </c>
      <c r="I81" s="746">
        <v>1.3506329113924052</v>
      </c>
    </row>
    <row r="82" spans="1:9" ht="15.75" hidden="1" outlineLevel="1">
      <c r="A82" s="5380"/>
      <c r="B82" s="5471"/>
      <c r="C82" s="4208"/>
      <c r="D82" s="562" t="s">
        <v>1184</v>
      </c>
      <c r="E82" s="567"/>
      <c r="F82" s="832">
        <f t="shared" si="3"/>
        <v>88950</v>
      </c>
      <c r="G82" s="832">
        <f t="shared" si="1"/>
        <v>94200</v>
      </c>
      <c r="H82" s="832">
        <f t="shared" si="2"/>
        <v>94950</v>
      </c>
      <c r="I82" s="746">
        <v>1.5</v>
      </c>
    </row>
    <row r="83" spans="1:9" ht="15.75" hidden="1" outlineLevel="1">
      <c r="A83" s="5380"/>
      <c r="B83" s="5471"/>
      <c r="C83" s="5478" t="s">
        <v>116</v>
      </c>
      <c r="D83" s="558" t="s">
        <v>406</v>
      </c>
      <c r="E83" s="565" t="s">
        <v>113</v>
      </c>
      <c r="F83" s="559">
        <f t="shared" si="3"/>
        <v>68250</v>
      </c>
      <c r="G83" s="559">
        <f t="shared" si="1"/>
        <v>72300</v>
      </c>
      <c r="H83" s="559">
        <f t="shared" si="2"/>
        <v>72850</v>
      </c>
      <c r="I83" s="746">
        <v>1.150632911392405</v>
      </c>
    </row>
    <row r="84" spans="1:9" ht="15.75" hidden="1" outlineLevel="1">
      <c r="A84" s="5380"/>
      <c r="B84" s="5471"/>
      <c r="C84" s="5479"/>
      <c r="D84" s="558" t="s">
        <v>114</v>
      </c>
      <c r="E84" s="565" t="s">
        <v>113</v>
      </c>
      <c r="F84" s="559">
        <f t="shared" si="3"/>
        <v>77100</v>
      </c>
      <c r="G84" s="559">
        <f t="shared" si="1"/>
        <v>81650</v>
      </c>
      <c r="H84" s="559">
        <f t="shared" si="2"/>
        <v>82300</v>
      </c>
      <c r="I84" s="746">
        <v>1.3</v>
      </c>
    </row>
    <row r="85" spans="1:9" ht="15.75" hidden="1" outlineLevel="1">
      <c r="A85" s="5380"/>
      <c r="B85" s="5471"/>
      <c r="C85" s="5479"/>
      <c r="D85" s="558" t="s">
        <v>115</v>
      </c>
      <c r="E85" s="565" t="s">
        <v>113</v>
      </c>
      <c r="F85" s="559">
        <f t="shared" si="3"/>
        <v>83050</v>
      </c>
      <c r="G85" s="559">
        <f t="shared" si="1"/>
        <v>87950</v>
      </c>
      <c r="H85" s="559">
        <f t="shared" si="2"/>
        <v>88650</v>
      </c>
      <c r="I85" s="746">
        <v>1.4</v>
      </c>
    </row>
    <row r="86" spans="1:9" ht="15.75" hidden="1" outlineLevel="1">
      <c r="A86" s="5473"/>
      <c r="B86" s="5472"/>
      <c r="C86" s="5480"/>
      <c r="D86" s="558" t="s">
        <v>1184</v>
      </c>
      <c r="E86" s="831"/>
      <c r="F86" s="559">
        <f t="shared" si="3"/>
        <v>91950</v>
      </c>
      <c r="G86" s="559">
        <f t="shared" si="1"/>
        <v>97350</v>
      </c>
      <c r="H86" s="559">
        <f t="shared" si="2"/>
        <v>98150</v>
      </c>
      <c r="I86" s="746">
        <v>1.55</v>
      </c>
    </row>
    <row r="87" spans="1:9" hidden="1" outlineLevel="1"/>
    <row r="88" spans="1:9" hidden="1" outlineLevel="1"/>
    <row r="89" spans="1:9" hidden="1" outlineLevel="1"/>
    <row r="90" spans="1:9" collapsed="1"/>
  </sheetData>
  <sheetProtection password="E910" sheet="1" objects="1" scenarios="1" formatCells="0" formatColumns="0" formatRows="0" insertColumns="0" insertRows="0" insertHyperlinks="0" deleteColumns="0" deleteRows="0" sort="0" autoFilter="0" pivotTables="0"/>
  <mergeCells count="45">
    <mergeCell ref="Q15:R15"/>
    <mergeCell ref="Q17:R17"/>
    <mergeCell ref="O18:O19"/>
    <mergeCell ref="O21:O23"/>
    <mergeCell ref="G52:G53"/>
    <mergeCell ref="J27:K29"/>
    <mergeCell ref="L27:L29"/>
    <mergeCell ref="M27:M29"/>
    <mergeCell ref="N27:N29"/>
    <mergeCell ref="O15:P16"/>
    <mergeCell ref="J15:K16"/>
    <mergeCell ref="L15:M15"/>
    <mergeCell ref="L17:M17"/>
    <mergeCell ref="J18:J19"/>
    <mergeCell ref="J21:J23"/>
    <mergeCell ref="F15:G15"/>
    <mergeCell ref="A13:A14"/>
    <mergeCell ref="A27:B29"/>
    <mergeCell ref="C27:C29"/>
    <mergeCell ref="D15:E16"/>
    <mergeCell ref="D18:D19"/>
    <mergeCell ref="D21:D23"/>
    <mergeCell ref="D27:D29"/>
    <mergeCell ref="E27:E29"/>
    <mergeCell ref="G55:G56"/>
    <mergeCell ref="G57:G58"/>
    <mergeCell ref="B38:C38"/>
    <mergeCell ref="B39:C39"/>
    <mergeCell ref="F17:G17"/>
    <mergeCell ref="B37:C37"/>
    <mergeCell ref="F72:H72"/>
    <mergeCell ref="C75:C78"/>
    <mergeCell ref="C79:C82"/>
    <mergeCell ref="C83:C86"/>
    <mergeCell ref="A72:B74"/>
    <mergeCell ref="C72:C74"/>
    <mergeCell ref="D72:D74"/>
    <mergeCell ref="B64:B65"/>
    <mergeCell ref="B41:C41"/>
    <mergeCell ref="B75:B86"/>
    <mergeCell ref="A75:A86"/>
    <mergeCell ref="E72:E74"/>
    <mergeCell ref="B52:B53"/>
    <mergeCell ref="B55:B56"/>
    <mergeCell ref="B57:B58"/>
  </mergeCells>
  <conditionalFormatting sqref="B75 E75:H86 E18:E20 E22:E23 G31 C33 F18:H23 D14 G14">
    <cfRule type="cellIs" dxfId="25" priority="22" operator="equal">
      <formula>0</formula>
    </cfRule>
  </conditionalFormatting>
  <conditionalFormatting sqref="F31">
    <cfRule type="cellIs" dxfId="24" priority="11" operator="equal">
      <formula>0</formula>
    </cfRule>
  </conditionalFormatting>
  <conditionalFormatting sqref="K18:K20 K22:K23 L18:M19 J14 M14">
    <cfRule type="cellIs" dxfId="23" priority="10" operator="equal">
      <formula>0</formula>
    </cfRule>
  </conditionalFormatting>
  <conditionalFormatting sqref="N21:N23">
    <cfRule type="cellIs" dxfId="22" priority="9" operator="equal">
      <formula>0</formula>
    </cfRule>
  </conditionalFormatting>
  <conditionalFormatting sqref="O31">
    <cfRule type="cellIs" dxfId="21" priority="5" operator="equal">
      <formula>0</formula>
    </cfRule>
  </conditionalFormatting>
  <conditionalFormatting sqref="L20:M23">
    <cfRule type="cellIs" dxfId="20" priority="7" operator="equal">
      <formula>0</formula>
    </cfRule>
  </conditionalFormatting>
  <conditionalFormatting sqref="P31 L33:L34">
    <cfRule type="cellIs" dxfId="19" priority="6" operator="equal">
      <formula>0</formula>
    </cfRule>
  </conditionalFormatting>
  <conditionalFormatting sqref="P18:P20 P22:P23 Q18:R19">
    <cfRule type="cellIs" dxfId="18" priority="4" operator="equal">
      <formula>0</formula>
    </cfRule>
  </conditionalFormatting>
  <conditionalFormatting sqref="Q20:R20 Q24">
    <cfRule type="cellIs" dxfId="17" priority="3" operator="equal">
      <formula>0</formula>
    </cfRule>
  </conditionalFormatting>
  <conditionalFormatting sqref="F13">
    <cfRule type="cellIs" dxfId="16" priority="2" operator="equal">
      <formula>0</formula>
    </cfRule>
  </conditionalFormatting>
  <conditionalFormatting sqref="F26">
    <cfRule type="cellIs" dxfId="15" priority="1" operator="equal">
      <formula>0</formula>
    </cfRule>
  </conditionalFormatting>
  <printOptions horizontalCentered="1"/>
  <pageMargins left="0.23622047244094491" right="0.23622047244094491" top="0.59055118110236227" bottom="0.31496062992125984" header="0.59055118110236227" footer="0.31496062992125984"/>
  <pageSetup paperSize="9" scale="46" firstPageNumber="42" orientation="landscape" useFirstPageNumber="1" r:id="rId1"/>
  <headerFooter>
    <oddHeader>&amp;L&amp;G&amp;R&amp;14ПРАЙС-ЛИСТ от 10.12.2020 &amp;11розничная цена в рублях РФ (без НДС)</oddHeader>
    <oddFooter>&amp;L&amp;P&amp;R&amp;G</oddFooter>
  </headerFooter>
  <rowBreaks count="1" manualBreakCount="1">
    <brk id="42" max="20" man="1"/>
  </rowBreaks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Лист36">
    <tabColor rgb="FF92D050"/>
  </sheetPr>
  <dimension ref="A1:AG122"/>
  <sheetViews>
    <sheetView view="pageBreakPreview" zoomScale="80" zoomScaleNormal="55" zoomScaleSheetLayoutView="80" zoomScalePageLayoutView="70" workbookViewId="0">
      <pane ySplit="1" topLeftCell="A2" activePane="bottomLeft" state="frozen"/>
      <selection pane="bottomLeft" activeCell="B1" sqref="B1"/>
    </sheetView>
  </sheetViews>
  <sheetFormatPr defaultColWidth="8.85546875" defaultRowHeight="12.75"/>
  <cols>
    <col min="1" max="1" width="4.140625" style="81" customWidth="1"/>
    <col min="2" max="2" width="20.7109375" style="81" customWidth="1"/>
    <col min="3" max="3" width="56.28515625" style="81" customWidth="1"/>
    <col min="4" max="4" width="12.7109375" style="81" hidden="1" customWidth="1"/>
    <col min="5" max="16384" width="8.85546875" style="81"/>
  </cols>
  <sheetData>
    <row r="1" spans="1:33" s="2286" customFormat="1" ht="17.25" customHeight="1">
      <c r="A1" s="2273"/>
      <c r="B1" s="2285" t="s">
        <v>490</v>
      </c>
      <c r="C1" s="2273"/>
      <c r="D1" s="2287"/>
      <c r="E1" s="2296"/>
      <c r="F1" s="2296"/>
      <c r="G1" s="2296"/>
      <c r="H1" s="2293"/>
      <c r="J1" s="2293"/>
      <c r="K1" s="2293"/>
      <c r="L1" s="2293"/>
      <c r="M1" s="2293"/>
      <c r="N1" s="2293"/>
      <c r="O1" s="2293"/>
      <c r="P1" s="2293"/>
      <c r="Q1" s="2293"/>
      <c r="R1" s="2293"/>
      <c r="S1" s="2293"/>
      <c r="T1" s="2293"/>
      <c r="U1" s="2293"/>
      <c r="V1" s="2293"/>
      <c r="W1" s="2293"/>
      <c r="X1" s="2293"/>
      <c r="Y1" s="2293"/>
      <c r="Z1" s="2293"/>
      <c r="AA1" s="2293"/>
      <c r="AB1" s="2293"/>
      <c r="AC1" s="2293"/>
      <c r="AD1" s="2293"/>
      <c r="AE1" s="2293"/>
      <c r="AF1" s="2293"/>
      <c r="AG1" s="2293"/>
    </row>
    <row r="2" spans="1:33" s="470" customFormat="1" ht="18" customHeight="1">
      <c r="A2" s="469"/>
      <c r="B2" s="626"/>
      <c r="C2" s="471"/>
      <c r="D2" s="471"/>
      <c r="E2" s="593"/>
      <c r="F2" s="593"/>
      <c r="G2" s="593"/>
      <c r="H2" s="593"/>
      <c r="I2" s="593"/>
      <c r="J2" s="593"/>
      <c r="K2" s="593"/>
      <c r="L2" s="593"/>
      <c r="M2" s="593"/>
      <c r="N2" s="593"/>
      <c r="O2" s="242"/>
      <c r="P2" s="242"/>
      <c r="Q2" s="242"/>
      <c r="R2" s="242"/>
      <c r="S2" s="242"/>
      <c r="T2" s="242"/>
      <c r="U2" s="242"/>
      <c r="V2" s="242"/>
      <c r="W2" s="242"/>
      <c r="X2" s="242"/>
      <c r="Y2" s="242"/>
      <c r="Z2" s="242"/>
      <c r="AA2" s="242"/>
      <c r="AB2" s="242"/>
      <c r="AC2" s="242"/>
      <c r="AD2" s="242"/>
      <c r="AE2" s="242"/>
      <c r="AF2" s="242"/>
      <c r="AG2" s="242"/>
    </row>
    <row r="3" spans="1:33" ht="18" customHeight="1">
      <c r="A3" s="401"/>
      <c r="B3" s="401"/>
      <c r="C3" s="401"/>
      <c r="D3" s="79"/>
      <c r="E3" s="106"/>
      <c r="F3" s="106"/>
      <c r="G3" s="106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</row>
    <row r="4" spans="1:33" s="405" customFormat="1" ht="30" customHeight="1">
      <c r="A4" s="5507" t="s">
        <v>2</v>
      </c>
      <c r="B4" s="5507"/>
      <c r="C4" s="2943" t="s">
        <v>181</v>
      </c>
      <c r="D4" s="404"/>
      <c r="E4" s="630"/>
      <c r="F4" s="630"/>
      <c r="G4" s="630"/>
      <c r="H4" s="631"/>
      <c r="I4" s="631"/>
      <c r="J4" s="631"/>
      <c r="K4" s="631"/>
      <c r="L4" s="631"/>
      <c r="M4" s="631"/>
      <c r="N4" s="631"/>
      <c r="O4" s="631"/>
      <c r="P4" s="631"/>
      <c r="Q4" s="631"/>
      <c r="R4" s="631"/>
      <c r="S4" s="631"/>
      <c r="T4" s="631"/>
      <c r="U4" s="631"/>
      <c r="V4" s="631"/>
      <c r="W4" s="631"/>
      <c r="X4" s="631"/>
      <c r="Y4" s="631"/>
      <c r="Z4" s="631"/>
      <c r="AA4" s="631"/>
      <c r="AB4" s="631"/>
      <c r="AC4" s="631"/>
      <c r="AD4" s="631"/>
      <c r="AE4" s="631"/>
      <c r="AF4" s="631"/>
      <c r="AG4" s="631"/>
    </row>
    <row r="5" spans="1:33" s="405" customFormat="1" ht="30" customHeight="1">
      <c r="A5" s="5507"/>
      <c r="B5" s="5507"/>
      <c r="C5" s="121" t="s">
        <v>2765</v>
      </c>
      <c r="D5" s="404"/>
      <c r="E5" s="630"/>
      <c r="F5" s="630"/>
      <c r="G5" s="630"/>
      <c r="H5" s="631"/>
      <c r="I5" s="631"/>
      <c r="J5" s="631"/>
      <c r="K5" s="631"/>
      <c r="L5" s="631"/>
      <c r="M5" s="631"/>
      <c r="N5" s="631"/>
      <c r="O5" s="631"/>
      <c r="P5" s="631"/>
      <c r="Q5" s="631"/>
      <c r="R5" s="631"/>
      <c r="S5" s="631"/>
      <c r="T5" s="631"/>
      <c r="U5" s="631"/>
      <c r="V5" s="631"/>
      <c r="W5" s="631"/>
      <c r="X5" s="631"/>
      <c r="Y5" s="631"/>
      <c r="Z5" s="631"/>
      <c r="AA5" s="631"/>
      <c r="AB5" s="631"/>
      <c r="AC5" s="631"/>
      <c r="AD5" s="631"/>
      <c r="AE5" s="631"/>
      <c r="AF5" s="631"/>
      <c r="AG5" s="631"/>
    </row>
    <row r="6" spans="1:33" s="83" customFormat="1" ht="48.75" customHeight="1">
      <c r="A6" s="5507"/>
      <c r="B6" s="5507"/>
      <c r="C6" s="406" t="s">
        <v>2766</v>
      </c>
      <c r="D6" s="407"/>
      <c r="E6" s="622"/>
      <c r="F6" s="622"/>
      <c r="G6" s="622"/>
      <c r="H6" s="632"/>
      <c r="I6" s="632"/>
      <c r="J6" s="632"/>
      <c r="K6" s="632"/>
      <c r="L6" s="632"/>
      <c r="M6" s="632"/>
      <c r="N6" s="632"/>
      <c r="O6" s="632"/>
      <c r="P6" s="632"/>
      <c r="Q6" s="632"/>
      <c r="R6" s="632"/>
      <c r="S6" s="632"/>
      <c r="T6" s="632"/>
      <c r="U6" s="632"/>
      <c r="V6" s="632"/>
      <c r="W6" s="632"/>
      <c r="X6" s="632"/>
      <c r="Y6" s="632"/>
      <c r="Z6" s="632"/>
      <c r="AA6" s="632"/>
      <c r="AB6" s="632"/>
      <c r="AC6" s="632"/>
      <c r="AD6" s="632"/>
      <c r="AE6" s="632"/>
      <c r="AF6" s="632"/>
      <c r="AG6" s="632"/>
    </row>
    <row r="7" spans="1:33" s="83" customFormat="1" ht="23.25" customHeight="1">
      <c r="A7" s="5510" t="s">
        <v>2721</v>
      </c>
      <c r="B7" s="5511"/>
      <c r="C7" s="5511"/>
      <c r="D7" s="407"/>
      <c r="E7" s="2783"/>
      <c r="F7" s="2783"/>
      <c r="G7" s="2783"/>
      <c r="H7" s="632"/>
      <c r="I7" s="632"/>
      <c r="J7" s="632"/>
      <c r="K7" s="632"/>
      <c r="L7" s="632"/>
      <c r="M7" s="632"/>
      <c r="N7" s="632"/>
      <c r="O7" s="632"/>
      <c r="P7" s="632"/>
      <c r="Q7" s="632"/>
      <c r="R7" s="632"/>
      <c r="S7" s="632"/>
      <c r="T7" s="632"/>
      <c r="U7" s="632"/>
      <c r="V7" s="632"/>
      <c r="W7" s="632"/>
      <c r="X7" s="632"/>
      <c r="Y7" s="632"/>
      <c r="Z7" s="632"/>
      <c r="AA7" s="632"/>
      <c r="AB7" s="632"/>
      <c r="AC7" s="632"/>
      <c r="AD7" s="632"/>
      <c r="AE7" s="632"/>
      <c r="AF7" s="632"/>
      <c r="AG7" s="632"/>
    </row>
    <row r="8" spans="1:33" s="408" customFormat="1" ht="58.5" customHeight="1">
      <c r="A8" s="2847" t="s">
        <v>30</v>
      </c>
      <c r="B8" s="2848" t="s">
        <v>404</v>
      </c>
      <c r="C8" s="2849">
        <f>CEILING('Перегородки база '!F31*(1+скидки_наценки!$B$30)*скидки_наценки!$D$21*скидки_наценки!$F$21/скидки_наценки!$B$4, 50)</f>
        <v>35050</v>
      </c>
      <c r="D8" s="2487" t="e">
        <f>#REF!/1.6</f>
        <v>#REF!</v>
      </c>
      <c r="E8" s="628"/>
      <c r="F8" s="628"/>
      <c r="G8" s="628"/>
      <c r="H8" s="629"/>
      <c r="I8" s="629"/>
      <c r="J8" s="629"/>
      <c r="K8" s="629"/>
      <c r="L8" s="629"/>
      <c r="M8" s="629"/>
      <c r="N8" s="629"/>
      <c r="O8" s="629"/>
      <c r="P8" s="629"/>
      <c r="Q8" s="629"/>
      <c r="R8" s="629"/>
      <c r="S8" s="629"/>
      <c r="T8" s="629"/>
      <c r="U8" s="629"/>
      <c r="V8" s="629"/>
      <c r="W8" s="629"/>
      <c r="X8" s="629"/>
      <c r="Y8" s="629"/>
      <c r="Z8" s="629"/>
      <c r="AA8" s="629"/>
      <c r="AB8" s="629"/>
      <c r="AC8" s="629"/>
      <c r="AD8" s="629"/>
      <c r="AE8" s="629"/>
      <c r="AF8" s="629"/>
      <c r="AG8" s="629"/>
    </row>
    <row r="9" spans="1:33" s="86" customFormat="1" ht="9.75" customHeight="1">
      <c r="A9" s="409"/>
      <c r="B9" s="410"/>
      <c r="C9" s="411"/>
      <c r="D9" s="401"/>
      <c r="E9" s="614"/>
      <c r="F9" s="614"/>
      <c r="G9" s="614"/>
      <c r="H9" s="614"/>
      <c r="I9" s="614"/>
      <c r="J9" s="614"/>
      <c r="K9" s="614"/>
      <c r="L9" s="614"/>
      <c r="M9" s="614"/>
      <c r="N9" s="614"/>
      <c r="O9" s="614"/>
      <c r="P9" s="614"/>
      <c r="Q9" s="614"/>
      <c r="R9" s="614"/>
      <c r="S9" s="614"/>
      <c r="T9" s="614"/>
      <c r="U9" s="614"/>
      <c r="V9" s="614"/>
      <c r="W9" s="614"/>
      <c r="X9" s="614"/>
      <c r="Y9" s="614"/>
      <c r="Z9" s="614"/>
      <c r="AA9" s="614"/>
      <c r="AB9" s="614"/>
      <c r="AC9" s="614"/>
      <c r="AD9" s="614"/>
      <c r="AE9" s="614"/>
      <c r="AF9" s="614"/>
      <c r="AG9" s="614"/>
    </row>
    <row r="10" spans="1:33" s="86" customFormat="1" ht="37.5" customHeight="1">
      <c r="A10" s="5518" t="s">
        <v>2</v>
      </c>
      <c r="B10" s="5518"/>
      <c r="C10" s="406" t="s">
        <v>3524</v>
      </c>
      <c r="D10" s="589"/>
      <c r="E10" s="614"/>
      <c r="F10" s="614"/>
      <c r="G10" s="614"/>
      <c r="H10" s="614"/>
      <c r="I10" s="614"/>
      <c r="J10" s="614"/>
      <c r="K10" s="614"/>
      <c r="L10" s="614"/>
      <c r="M10" s="614"/>
      <c r="N10" s="614"/>
      <c r="O10" s="614"/>
      <c r="P10" s="614"/>
      <c r="Q10" s="614"/>
      <c r="R10" s="614"/>
      <c r="S10" s="614"/>
      <c r="T10" s="614"/>
      <c r="U10" s="614"/>
      <c r="V10" s="614"/>
      <c r="W10" s="614"/>
      <c r="X10" s="614"/>
      <c r="Y10" s="614"/>
      <c r="Z10" s="614"/>
      <c r="AA10" s="614"/>
      <c r="AB10" s="614"/>
      <c r="AC10" s="614"/>
      <c r="AD10" s="614"/>
      <c r="AE10" s="614"/>
      <c r="AF10" s="614"/>
      <c r="AG10" s="614"/>
    </row>
    <row r="11" spans="1:33" s="86" customFormat="1" ht="18" customHeight="1">
      <c r="A11" s="5516" t="s">
        <v>2721</v>
      </c>
      <c r="B11" s="5517"/>
      <c r="C11" s="5517"/>
      <c r="D11" s="589"/>
      <c r="E11" s="614"/>
      <c r="F11" s="614"/>
      <c r="G11" s="614"/>
      <c r="H11" s="614"/>
      <c r="I11" s="614"/>
      <c r="J11" s="614"/>
      <c r="K11" s="614"/>
      <c r="L11" s="614"/>
      <c r="M11" s="614"/>
      <c r="N11" s="614"/>
      <c r="O11" s="614"/>
      <c r="P11" s="614"/>
      <c r="Q11" s="614"/>
      <c r="R11" s="614"/>
      <c r="S11" s="614"/>
      <c r="T11" s="614"/>
      <c r="U11" s="614"/>
      <c r="V11" s="614"/>
      <c r="W11" s="614"/>
      <c r="X11" s="614"/>
      <c r="Y11" s="614"/>
      <c r="Z11" s="614"/>
      <c r="AA11" s="614"/>
      <c r="AB11" s="614"/>
      <c r="AC11" s="614"/>
      <c r="AD11" s="614"/>
      <c r="AE11" s="614"/>
      <c r="AF11" s="614"/>
      <c r="AG11" s="614"/>
    </row>
    <row r="12" spans="1:33" s="86" customFormat="1" ht="50.25" customHeight="1">
      <c r="A12" s="2847" t="s">
        <v>30</v>
      </c>
      <c r="B12" s="2848" t="s">
        <v>404</v>
      </c>
      <c r="C12" s="2849">
        <f>CEILING('Перегородки база '!F32*(1+скидки_наценки!$B$30)*скидки_наценки!$D$21*скидки_наценки!$F$21/скидки_наценки!$B$4, 50)</f>
        <v>27950</v>
      </c>
      <c r="D12" s="589"/>
      <c r="E12" s="614"/>
      <c r="F12" s="614"/>
      <c r="G12" s="614"/>
      <c r="H12" s="614"/>
      <c r="I12" s="614"/>
      <c r="J12" s="614"/>
      <c r="K12" s="614"/>
      <c r="L12" s="614"/>
      <c r="M12" s="614"/>
      <c r="N12" s="614"/>
      <c r="O12" s="614"/>
      <c r="P12" s="614"/>
      <c r="Q12" s="614"/>
      <c r="R12" s="614"/>
      <c r="S12" s="614"/>
      <c r="T12" s="614"/>
      <c r="U12" s="614"/>
      <c r="V12" s="614"/>
      <c r="W12" s="614"/>
      <c r="X12" s="614"/>
      <c r="Y12" s="614"/>
      <c r="Z12" s="614"/>
      <c r="AA12" s="614"/>
      <c r="AB12" s="614"/>
      <c r="AC12" s="614"/>
      <c r="AD12" s="614"/>
      <c r="AE12" s="614"/>
      <c r="AF12" s="614"/>
      <c r="AG12" s="614"/>
    </row>
    <row r="13" spans="1:33" s="86" customFormat="1" ht="18" customHeight="1">
      <c r="A13" s="244"/>
      <c r="B13" s="4044"/>
      <c r="C13" s="4043"/>
      <c r="D13" s="589"/>
      <c r="E13" s="614"/>
      <c r="F13" s="614"/>
      <c r="G13" s="614"/>
      <c r="H13" s="614"/>
      <c r="I13" s="614"/>
      <c r="J13" s="614"/>
      <c r="K13" s="614"/>
      <c r="L13" s="614"/>
      <c r="M13" s="614"/>
      <c r="N13" s="614"/>
      <c r="O13" s="614"/>
      <c r="P13" s="614"/>
      <c r="Q13" s="614"/>
      <c r="R13" s="614"/>
      <c r="S13" s="614"/>
      <c r="T13" s="614"/>
      <c r="U13" s="614"/>
      <c r="V13" s="614"/>
      <c r="W13" s="614"/>
      <c r="X13" s="614"/>
      <c r="Y13" s="614"/>
      <c r="Z13" s="614"/>
      <c r="AA13" s="614"/>
      <c r="AB13" s="614"/>
      <c r="AC13" s="614"/>
      <c r="AD13" s="614"/>
      <c r="AE13" s="614"/>
      <c r="AF13" s="614"/>
      <c r="AG13" s="614"/>
    </row>
    <row r="14" spans="1:33" s="86" customFormat="1" ht="18.75" customHeight="1">
      <c r="B14" s="412" t="s">
        <v>20</v>
      </c>
      <c r="C14" s="413"/>
      <c r="D14" s="401"/>
      <c r="E14" s="614"/>
      <c r="F14" s="614"/>
      <c r="G14" s="614"/>
      <c r="H14" s="614"/>
      <c r="I14" s="614"/>
      <c r="J14" s="614"/>
      <c r="K14" s="614"/>
      <c r="L14" s="614"/>
      <c r="M14" s="614"/>
      <c r="N14" s="614"/>
      <c r="O14" s="614"/>
      <c r="P14" s="614"/>
      <c r="Q14" s="614"/>
      <c r="R14" s="614"/>
      <c r="S14" s="614"/>
      <c r="T14" s="614"/>
      <c r="U14" s="614"/>
      <c r="V14" s="614"/>
      <c r="W14" s="614"/>
      <c r="X14" s="614"/>
      <c r="Y14" s="614"/>
      <c r="Z14" s="614"/>
      <c r="AA14" s="614"/>
      <c r="AB14" s="614"/>
      <c r="AC14" s="614"/>
      <c r="AD14" s="614"/>
      <c r="AE14" s="614"/>
      <c r="AF14" s="614"/>
      <c r="AG14" s="614"/>
    </row>
    <row r="15" spans="1:33" s="86" customFormat="1" ht="30" customHeight="1">
      <c r="A15" s="5515" t="s">
        <v>164</v>
      </c>
      <c r="B15" s="5515"/>
      <c r="C15" s="121" t="str">
        <f>C5</f>
        <v>Перегородка Grazia 8, 10, 12,  Arc*</v>
      </c>
      <c r="D15" s="401"/>
      <c r="E15" s="614"/>
      <c r="F15" s="614"/>
      <c r="G15" s="614"/>
      <c r="H15" s="614"/>
      <c r="I15" s="614"/>
      <c r="J15" s="614"/>
      <c r="K15" s="614"/>
      <c r="L15" s="614"/>
      <c r="M15" s="614"/>
      <c r="N15" s="614"/>
      <c r="O15" s="614"/>
      <c r="P15" s="614"/>
      <c r="Q15" s="614"/>
      <c r="R15" s="614"/>
      <c r="S15" s="614"/>
      <c r="T15" s="614"/>
      <c r="U15" s="614"/>
      <c r="V15" s="614"/>
      <c r="W15" s="614"/>
      <c r="X15" s="614"/>
      <c r="Y15" s="614"/>
      <c r="Z15" s="614"/>
      <c r="AA15" s="614"/>
      <c r="AB15" s="614"/>
      <c r="AC15" s="614"/>
      <c r="AD15" s="614"/>
      <c r="AE15" s="614"/>
      <c r="AF15" s="614"/>
      <c r="AG15" s="614"/>
    </row>
    <row r="16" spans="1:33" s="86" customFormat="1" ht="21.75" customHeight="1">
      <c r="A16" s="5508" t="s">
        <v>2721</v>
      </c>
      <c r="B16" s="5509"/>
      <c r="C16" s="5509"/>
      <c r="D16" s="589"/>
      <c r="E16" s="614"/>
      <c r="F16" s="614"/>
      <c r="G16" s="614"/>
      <c r="H16" s="614"/>
      <c r="I16" s="614"/>
      <c r="J16" s="614"/>
      <c r="K16" s="614"/>
      <c r="L16" s="614"/>
      <c r="M16" s="614"/>
      <c r="N16" s="614"/>
      <c r="O16" s="614"/>
      <c r="P16" s="614"/>
      <c r="Q16" s="614"/>
      <c r="R16" s="614"/>
      <c r="S16" s="614"/>
      <c r="T16" s="614"/>
      <c r="U16" s="614"/>
      <c r="V16" s="614"/>
      <c r="W16" s="614"/>
      <c r="X16" s="614"/>
      <c r="Y16" s="614"/>
      <c r="Z16" s="614"/>
      <c r="AA16" s="614"/>
      <c r="AB16" s="614"/>
      <c r="AC16" s="614"/>
      <c r="AD16" s="614"/>
      <c r="AE16" s="614"/>
      <c r="AF16" s="614"/>
      <c r="AG16" s="614"/>
    </row>
    <row r="17" spans="1:33" s="86" customFormat="1" ht="27.75" customHeight="1">
      <c r="A17" s="5513" t="s">
        <v>2914</v>
      </c>
      <c r="B17" s="5514"/>
      <c r="C17" s="5514"/>
      <c r="D17" s="589"/>
      <c r="E17" s="614"/>
      <c r="F17" s="614"/>
      <c r="G17" s="614"/>
      <c r="H17" s="614"/>
      <c r="I17" s="614"/>
      <c r="J17" s="614"/>
      <c r="K17" s="614"/>
      <c r="L17" s="614"/>
      <c r="M17" s="614"/>
      <c r="N17" s="614"/>
      <c r="O17" s="614"/>
      <c r="P17" s="614"/>
      <c r="Q17" s="614"/>
      <c r="R17" s="614"/>
      <c r="S17" s="614"/>
      <c r="T17" s="614"/>
      <c r="U17" s="614"/>
      <c r="V17" s="614"/>
      <c r="W17" s="614"/>
      <c r="X17" s="614"/>
      <c r="Y17" s="614"/>
      <c r="Z17" s="614"/>
      <c r="AA17" s="614"/>
      <c r="AB17" s="614"/>
      <c r="AC17" s="614"/>
      <c r="AD17" s="614"/>
      <c r="AE17" s="614"/>
      <c r="AF17" s="614"/>
      <c r="AG17" s="614"/>
    </row>
    <row r="18" spans="1:33" ht="15">
      <c r="A18" s="4826" t="s">
        <v>2950</v>
      </c>
      <c r="B18" s="4826"/>
      <c r="C18" s="1151">
        <f>CEILING('Перегородки база '!E37*(1+скидки_наценки!$B$30)*скидки_наценки!$D$21*скидки_наценки!$F$21/скидки_наценки!$B$4, 50)</f>
        <v>2500</v>
      </c>
      <c r="D18" s="401"/>
      <c r="E18" s="614"/>
      <c r="F18" s="614"/>
      <c r="G18" s="614"/>
      <c r="H18" s="614"/>
      <c r="I18" s="614"/>
      <c r="J18" s="614"/>
      <c r="K18" s="614"/>
      <c r="L18" s="614"/>
      <c r="M18" s="614"/>
      <c r="N18" s="614"/>
      <c r="O18" s="614"/>
      <c r="P18" s="614"/>
      <c r="Q18" s="614"/>
      <c r="R18" s="614"/>
      <c r="S18" s="614"/>
      <c r="T18" s="614"/>
      <c r="U18" s="614"/>
      <c r="V18" s="614"/>
      <c r="W18" s="614"/>
      <c r="X18" s="614"/>
      <c r="Y18" s="614"/>
      <c r="Z18" s="614"/>
      <c r="AA18" s="614"/>
      <c r="AB18" s="614"/>
      <c r="AC18" s="614"/>
      <c r="AD18" s="614"/>
      <c r="AE18" s="614"/>
      <c r="AF18" s="614"/>
      <c r="AG18" s="614"/>
    </row>
    <row r="19" spans="1:33" ht="15">
      <c r="A19" s="5512" t="s">
        <v>2912</v>
      </c>
      <c r="B19" s="4575"/>
      <c r="C19" s="3313">
        <f>CEILING('Перегородки база '!E38*(1+скидки_наценки!$B$30)*скидки_наценки!$D$21*скидки_наценки!$F$21/скидки_наценки!$B$4, 50)</f>
        <v>3500</v>
      </c>
      <c r="D19" s="589"/>
      <c r="E19" s="614"/>
      <c r="F19" s="614"/>
      <c r="G19" s="614"/>
      <c r="H19" s="614"/>
      <c r="I19" s="614"/>
      <c r="J19" s="614"/>
      <c r="K19" s="614"/>
      <c r="L19" s="614"/>
      <c r="M19" s="614"/>
      <c r="N19" s="614"/>
      <c r="O19" s="614"/>
      <c r="P19" s="614"/>
      <c r="Q19" s="614"/>
      <c r="R19" s="614"/>
      <c r="S19" s="614"/>
      <c r="T19" s="614"/>
      <c r="U19" s="614"/>
      <c r="V19" s="614"/>
      <c r="W19" s="614"/>
      <c r="X19" s="614"/>
      <c r="Y19" s="614"/>
      <c r="Z19" s="614"/>
      <c r="AA19" s="614"/>
      <c r="AB19" s="614"/>
      <c r="AC19" s="614"/>
      <c r="AD19" s="614"/>
      <c r="AE19" s="614"/>
      <c r="AF19" s="614"/>
      <c r="AG19" s="614"/>
    </row>
    <row r="20" spans="1:33" ht="15">
      <c r="A20" s="5512" t="s">
        <v>2913</v>
      </c>
      <c r="B20" s="4575"/>
      <c r="C20" s="3313">
        <f>CEILING('Перегородки база '!E39*(1+скидки_наценки!$B$30)*скидки_наценки!$D$21*скидки_наценки!$F$21/скидки_наценки!$B$4, 50)</f>
        <v>4100</v>
      </c>
      <c r="D20" s="589"/>
      <c r="E20" s="614"/>
      <c r="F20" s="614"/>
      <c r="G20" s="614"/>
      <c r="H20" s="614"/>
      <c r="I20" s="614"/>
      <c r="J20" s="614"/>
      <c r="K20" s="614"/>
      <c r="L20" s="614"/>
      <c r="M20" s="614"/>
      <c r="N20" s="614"/>
      <c r="O20" s="614"/>
      <c r="P20" s="614"/>
      <c r="Q20" s="614"/>
      <c r="R20" s="614"/>
      <c r="S20" s="614"/>
      <c r="T20" s="614"/>
      <c r="U20" s="614"/>
      <c r="V20" s="614"/>
      <c r="W20" s="614"/>
      <c r="X20" s="614"/>
      <c r="Y20" s="614"/>
      <c r="Z20" s="614"/>
      <c r="AA20" s="614"/>
      <c r="AB20" s="614"/>
      <c r="AC20" s="614"/>
      <c r="AD20" s="614"/>
      <c r="AE20" s="614"/>
      <c r="AF20" s="614"/>
      <c r="AG20" s="614"/>
    </row>
    <row r="21" spans="1:33" ht="12" customHeight="1">
      <c r="A21" s="79"/>
      <c r="B21" s="79"/>
      <c r="C21" s="79"/>
      <c r="D21" s="401"/>
      <c r="E21" s="614"/>
      <c r="F21" s="614"/>
      <c r="G21" s="614"/>
      <c r="H21" s="614"/>
      <c r="I21" s="614"/>
      <c r="J21" s="614"/>
      <c r="K21" s="614"/>
      <c r="L21" s="614"/>
      <c r="M21" s="614"/>
      <c r="N21" s="614"/>
      <c r="O21" s="614"/>
      <c r="P21" s="614"/>
      <c r="Q21" s="614"/>
      <c r="R21" s="614"/>
      <c r="S21" s="614"/>
      <c r="T21" s="614"/>
      <c r="U21" s="614"/>
      <c r="V21" s="614"/>
      <c r="W21" s="614"/>
      <c r="X21" s="614"/>
      <c r="Y21" s="614"/>
      <c r="Z21" s="614"/>
      <c r="AA21" s="614"/>
      <c r="AB21" s="614"/>
      <c r="AC21" s="614"/>
      <c r="AD21" s="614"/>
      <c r="AE21" s="614"/>
      <c r="AF21" s="614"/>
      <c r="AG21" s="614"/>
    </row>
    <row r="22" spans="1:33" s="85" customFormat="1" ht="18" customHeight="1">
      <c r="A22" s="105"/>
      <c r="B22" s="19" t="s">
        <v>24</v>
      </c>
      <c r="C22" s="19"/>
      <c r="D22" s="105"/>
      <c r="E22" s="614"/>
      <c r="F22" s="614"/>
      <c r="G22" s="614"/>
      <c r="H22" s="614"/>
      <c r="I22" s="614"/>
      <c r="J22" s="614"/>
      <c r="K22" s="614"/>
      <c r="L22" s="614"/>
      <c r="M22" s="614"/>
      <c r="N22" s="614"/>
      <c r="O22" s="614"/>
      <c r="P22" s="614"/>
      <c r="Q22" s="614"/>
      <c r="R22" s="614"/>
      <c r="S22" s="614"/>
      <c r="T22" s="614"/>
      <c r="U22" s="614"/>
      <c r="V22" s="614"/>
      <c r="W22" s="614"/>
      <c r="X22" s="614"/>
      <c r="Y22" s="614"/>
      <c r="Z22" s="614"/>
      <c r="AA22" s="614"/>
      <c r="AB22" s="614"/>
      <c r="AC22" s="614"/>
      <c r="AD22" s="614"/>
      <c r="AE22" s="614"/>
      <c r="AF22" s="614"/>
      <c r="AG22" s="614"/>
    </row>
    <row r="23" spans="1:33" s="85" customFormat="1" ht="18" customHeight="1">
      <c r="A23" s="105"/>
      <c r="B23" s="425"/>
      <c r="C23" s="425"/>
      <c r="D23" s="105"/>
      <c r="E23" s="106"/>
      <c r="F23" s="106"/>
      <c r="G23" s="106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</row>
    <row r="24" spans="1:33" s="85" customFormat="1" ht="27.75" customHeight="1">
      <c r="A24" s="105"/>
      <c r="B24" s="425"/>
      <c r="C24" s="425"/>
      <c r="D24" s="105"/>
      <c r="E24" s="106"/>
      <c r="F24" s="106"/>
      <c r="G24" s="106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</row>
    <row r="25" spans="1:33" s="85" customFormat="1" ht="18" customHeight="1">
      <c r="A25" s="105"/>
      <c r="B25" s="425"/>
      <c r="C25" s="425"/>
      <c r="D25" s="105"/>
      <c r="E25" s="106"/>
      <c r="F25" s="106"/>
      <c r="G25" s="106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</row>
    <row r="26" spans="1:33" s="85" customFormat="1" ht="10.5" customHeight="1">
      <c r="A26" s="105"/>
      <c r="B26" s="425"/>
      <c r="C26" s="425"/>
      <c r="D26" s="105"/>
      <c r="E26" s="106"/>
      <c r="F26" s="106"/>
      <c r="G26" s="106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</row>
    <row r="27" spans="1:33" s="85" customFormat="1" ht="18" customHeight="1">
      <c r="A27" s="105"/>
      <c r="B27" s="19"/>
      <c r="C27" s="425"/>
      <c r="D27" s="105"/>
      <c r="E27" s="106"/>
      <c r="F27" s="106"/>
      <c r="G27" s="106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</row>
    <row r="28" spans="1:33" s="85" customFormat="1" ht="18" customHeight="1">
      <c r="A28" s="105"/>
      <c r="B28" s="192"/>
      <c r="C28" s="425"/>
      <c r="D28" s="105"/>
      <c r="E28" s="106"/>
      <c r="F28" s="106"/>
      <c r="G28" s="106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</row>
    <row r="29" spans="1:33" s="85" customFormat="1" ht="18" customHeight="1">
      <c r="A29" s="105"/>
      <c r="B29" s="200"/>
      <c r="C29" s="425"/>
      <c r="D29" s="105"/>
      <c r="E29" s="106"/>
      <c r="F29" s="106"/>
      <c r="G29" s="106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</row>
    <row r="30" spans="1:33" s="85" customFormat="1" ht="18" customHeight="1">
      <c r="A30" s="105"/>
      <c r="B30" s="416"/>
      <c r="C30" s="414"/>
      <c r="D30" s="105"/>
      <c r="E30" s="106"/>
      <c r="F30" s="106"/>
      <c r="G30" s="106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</row>
    <row r="31" spans="1:33" s="85" customFormat="1" ht="18" customHeight="1">
      <c r="A31" s="105"/>
      <c r="B31" s="199"/>
      <c r="C31" s="414"/>
      <c r="D31" s="105"/>
      <c r="E31" s="106"/>
      <c r="F31" s="106"/>
      <c r="G31" s="106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</row>
    <row r="32" spans="1:33" s="85" customFormat="1" ht="18" customHeight="1">
      <c r="A32" s="105"/>
      <c r="C32" s="415"/>
      <c r="D32" s="105"/>
      <c r="E32" s="106"/>
      <c r="F32" s="106"/>
      <c r="G32" s="106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</row>
    <row r="33" spans="1:33" s="85" customFormat="1" ht="18" customHeight="1">
      <c r="A33" s="105"/>
      <c r="C33" s="192"/>
      <c r="D33" s="105"/>
      <c r="E33" s="106"/>
      <c r="F33" s="106"/>
      <c r="G33" s="106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</row>
    <row r="34" spans="1:33" s="85" customFormat="1" ht="18" customHeight="1">
      <c r="A34" s="105"/>
      <c r="C34" s="195"/>
      <c r="D34" s="105"/>
      <c r="E34" s="106"/>
      <c r="F34" s="106"/>
      <c r="G34" s="106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</row>
    <row r="35" spans="1:33" s="401" customFormat="1" ht="36.75" customHeight="1">
      <c r="A35" s="414"/>
      <c r="B35" s="3031" t="s">
        <v>2918</v>
      </c>
      <c r="C35" s="196"/>
      <c r="D35" s="242"/>
      <c r="E35" s="242"/>
      <c r="F35" s="242"/>
      <c r="G35" s="242"/>
      <c r="H35" s="242"/>
      <c r="I35" s="242"/>
      <c r="J35" s="242"/>
      <c r="K35" s="242"/>
      <c r="L35" s="242"/>
      <c r="M35" s="242"/>
      <c r="N35" s="242"/>
      <c r="O35" s="242"/>
      <c r="P35" s="242"/>
      <c r="Q35" s="242"/>
      <c r="R35" s="242"/>
      <c r="S35" s="242"/>
      <c r="T35" s="242"/>
      <c r="U35" s="242"/>
      <c r="V35" s="242"/>
      <c r="W35" s="242"/>
      <c r="X35" s="242"/>
      <c r="Y35" s="242"/>
      <c r="Z35" s="242"/>
      <c r="AA35" s="242"/>
      <c r="AB35" s="242"/>
      <c r="AC35" s="242"/>
      <c r="AD35" s="242"/>
      <c r="AE35" s="242"/>
      <c r="AF35" s="242"/>
      <c r="AG35" s="242"/>
    </row>
    <row r="36" spans="1:33" s="421" customFormat="1" ht="23.25" customHeight="1">
      <c r="A36" s="414"/>
      <c r="B36" s="88"/>
      <c r="C36" s="200"/>
      <c r="D36" s="242"/>
      <c r="E36" s="242"/>
      <c r="F36" s="242"/>
      <c r="G36" s="242"/>
      <c r="H36" s="242"/>
      <c r="I36" s="242"/>
      <c r="J36" s="242"/>
      <c r="K36" s="242"/>
      <c r="L36" s="242"/>
      <c r="M36" s="242"/>
      <c r="N36" s="242"/>
      <c r="O36" s="242"/>
      <c r="P36" s="242"/>
      <c r="Q36" s="242"/>
      <c r="R36" s="242"/>
      <c r="S36" s="242"/>
      <c r="T36" s="242"/>
      <c r="U36" s="242"/>
      <c r="V36" s="242"/>
      <c r="W36" s="242"/>
      <c r="X36" s="242"/>
      <c r="Y36" s="242"/>
      <c r="Z36" s="242"/>
      <c r="AA36" s="242"/>
      <c r="AB36" s="242"/>
      <c r="AC36" s="242"/>
      <c r="AD36" s="242"/>
      <c r="AE36" s="242"/>
      <c r="AF36" s="242"/>
      <c r="AG36" s="242"/>
    </row>
    <row r="37" spans="1:33" s="85" customFormat="1">
      <c r="B37" s="106"/>
      <c r="C37" s="200"/>
      <c r="D37" s="105"/>
      <c r="E37" s="106"/>
      <c r="F37" s="106"/>
      <c r="G37" s="106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</row>
    <row r="38" spans="1:33" s="85" customFormat="1" ht="12" customHeight="1">
      <c r="B38" s="106"/>
      <c r="C38" s="200"/>
      <c r="D38" s="105"/>
      <c r="E38" s="106"/>
      <c r="F38" s="106"/>
      <c r="G38" s="106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</row>
    <row r="39" spans="1:33" s="85" customFormat="1" ht="0.75" customHeight="1">
      <c r="B39" s="106"/>
      <c r="C39" s="106"/>
      <c r="D39" s="105"/>
      <c r="E39" s="106"/>
      <c r="F39" s="106"/>
      <c r="G39" s="106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</row>
    <row r="40" spans="1:33" s="85" customFormat="1" ht="12" customHeight="1">
      <c r="A40" s="105"/>
      <c r="B40" s="633"/>
      <c r="C40" s="633"/>
      <c r="D40" s="105"/>
      <c r="E40" s="106"/>
      <c r="F40" s="106"/>
      <c r="G40" s="106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</row>
    <row r="41" spans="1:33" s="85" customFormat="1" ht="23.25" hidden="1" customHeight="1">
      <c r="A41" s="106"/>
      <c r="B41" s="633"/>
      <c r="C41" s="633"/>
      <c r="D41" s="105"/>
      <c r="E41" s="106"/>
      <c r="F41" s="106"/>
      <c r="G41" s="106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</row>
    <row r="42" spans="1:33" s="85" customFormat="1" ht="9" customHeight="1">
      <c r="A42" s="106"/>
      <c r="B42" s="633"/>
      <c r="C42" s="633"/>
      <c r="D42" s="81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</row>
    <row r="43" spans="1:33" s="85" customFormat="1">
      <c r="A43" s="106"/>
      <c r="B43" s="633"/>
      <c r="C43" s="633"/>
      <c r="D43" s="81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</row>
    <row r="44" spans="1:33" s="85" customFormat="1" ht="12.75" customHeight="1">
      <c r="A44" s="106"/>
      <c r="B44" s="633"/>
      <c r="C44" s="633"/>
      <c r="D44" s="81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</row>
    <row r="45" spans="1:33" s="85" customFormat="1" ht="15" customHeight="1">
      <c r="A45" s="633"/>
      <c r="B45" s="633"/>
      <c r="C45" s="633"/>
      <c r="D45" s="633"/>
      <c r="E45" s="81"/>
      <c r="F45" s="81"/>
      <c r="G45" s="81"/>
    </row>
    <row r="46" spans="1:33" s="85" customFormat="1" ht="12.75" customHeight="1">
      <c r="A46" s="633"/>
      <c r="B46" s="633"/>
      <c r="C46" s="633"/>
      <c r="D46" s="633"/>
      <c r="E46" s="81"/>
      <c r="F46" s="81"/>
      <c r="G46" s="81"/>
    </row>
    <row r="47" spans="1:33" s="85" customFormat="1" ht="15" customHeight="1">
      <c r="A47" s="633"/>
      <c r="B47" s="633"/>
      <c r="C47" s="633"/>
      <c r="D47" s="633"/>
      <c r="E47" s="81"/>
      <c r="F47" s="81"/>
      <c r="G47" s="81"/>
    </row>
    <row r="48" spans="1:33" s="85" customFormat="1" ht="12.75" customHeight="1">
      <c r="A48" s="633"/>
      <c r="B48" s="633"/>
      <c r="C48" s="633"/>
      <c r="D48" s="633"/>
      <c r="E48" s="81"/>
      <c r="F48" s="81"/>
      <c r="G48" s="81"/>
    </row>
    <row r="49" spans="1:15" s="85" customFormat="1">
      <c r="A49" s="633"/>
      <c r="B49" s="633"/>
      <c r="C49" s="633"/>
      <c r="D49" s="633"/>
      <c r="E49" s="81"/>
      <c r="F49" s="81"/>
      <c r="G49" s="81"/>
    </row>
    <row r="50" spans="1:15" s="85" customFormat="1" ht="12.75" customHeight="1">
      <c r="A50" s="633"/>
      <c r="B50" s="633"/>
      <c r="C50" s="633"/>
      <c r="D50" s="633"/>
      <c r="E50" s="81"/>
      <c r="F50" s="81"/>
      <c r="G50" s="81"/>
    </row>
    <row r="51" spans="1:15" s="85" customFormat="1">
      <c r="A51" s="633"/>
      <c r="B51" s="633"/>
      <c r="C51" s="633"/>
      <c r="D51" s="633"/>
      <c r="E51" s="81"/>
      <c r="F51" s="81"/>
      <c r="G51" s="81"/>
    </row>
    <row r="52" spans="1:15" s="85" customFormat="1" ht="12.75" customHeight="1">
      <c r="A52" s="633"/>
      <c r="B52" s="633"/>
      <c r="C52" s="633"/>
      <c r="D52" s="633"/>
      <c r="E52" s="81"/>
      <c r="F52" s="81"/>
      <c r="G52" s="81"/>
    </row>
    <row r="53" spans="1:15" s="85" customFormat="1">
      <c r="A53" s="633"/>
      <c r="B53" s="633"/>
      <c r="C53" s="633"/>
      <c r="D53" s="633"/>
      <c r="E53" s="81"/>
      <c r="F53" s="81"/>
      <c r="G53" s="81"/>
    </row>
    <row r="54" spans="1:15" s="85" customFormat="1" ht="12.75" customHeight="1">
      <c r="A54" s="633"/>
      <c r="B54" s="633"/>
      <c r="C54" s="633"/>
      <c r="D54" s="633"/>
      <c r="E54" s="81"/>
      <c r="F54" s="81"/>
      <c r="G54" s="81"/>
    </row>
    <row r="55" spans="1:15" s="85" customFormat="1">
      <c r="A55" s="633"/>
      <c r="B55" s="633"/>
      <c r="C55" s="633"/>
      <c r="D55" s="633"/>
      <c r="E55" s="81"/>
      <c r="F55" s="81"/>
      <c r="G55" s="81"/>
    </row>
    <row r="56" spans="1:15" s="85" customFormat="1">
      <c r="A56" s="633"/>
      <c r="B56" s="633"/>
      <c r="C56" s="633"/>
      <c r="D56" s="633"/>
      <c r="E56" s="81"/>
      <c r="F56" s="81"/>
      <c r="G56" s="81"/>
    </row>
    <row r="57" spans="1:15" s="85" customFormat="1">
      <c r="A57" s="633"/>
      <c r="B57" s="633"/>
      <c r="C57" s="633"/>
      <c r="D57" s="633"/>
      <c r="E57" s="81"/>
      <c r="F57" s="81"/>
      <c r="G57" s="81"/>
    </row>
    <row r="58" spans="1:15" s="85" customFormat="1">
      <c r="A58" s="633"/>
      <c r="B58" s="633"/>
      <c r="C58" s="633"/>
      <c r="D58" s="633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</row>
    <row r="59" spans="1:15" s="85" customFormat="1">
      <c r="A59" s="633"/>
      <c r="B59" s="633"/>
      <c r="C59" s="633"/>
      <c r="D59" s="633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</row>
    <row r="60" spans="1:15">
      <c r="A60" s="633"/>
      <c r="B60" s="633"/>
      <c r="C60" s="633"/>
      <c r="D60" s="633"/>
    </row>
    <row r="61" spans="1:15">
      <c r="A61" s="633"/>
      <c r="B61" s="633"/>
      <c r="C61" s="633"/>
      <c r="D61" s="633"/>
    </row>
    <row r="62" spans="1:15">
      <c r="A62" s="633"/>
      <c r="B62" s="633"/>
      <c r="C62" s="633"/>
      <c r="D62" s="633"/>
    </row>
    <row r="63" spans="1:15">
      <c r="A63" s="633"/>
      <c r="B63" s="633"/>
      <c r="C63" s="633"/>
      <c r="D63" s="633"/>
    </row>
    <row r="64" spans="1:15">
      <c r="A64" s="633"/>
      <c r="B64" s="633"/>
      <c r="C64" s="633"/>
      <c r="D64" s="633"/>
    </row>
    <row r="65" spans="1:15">
      <c r="A65" s="633"/>
      <c r="B65" s="633"/>
      <c r="C65" s="633"/>
      <c r="D65" s="633"/>
    </row>
    <row r="66" spans="1:15">
      <c r="A66" s="633"/>
      <c r="B66" s="633"/>
      <c r="C66" s="633"/>
      <c r="D66" s="633"/>
    </row>
    <row r="67" spans="1:15" s="85" customFormat="1" ht="12.75" customHeight="1">
      <c r="A67" s="633"/>
      <c r="B67" s="633"/>
      <c r="C67" s="633"/>
      <c r="D67" s="633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</row>
    <row r="68" spans="1:15" s="85" customFormat="1">
      <c r="A68" s="633"/>
      <c r="B68" s="633"/>
      <c r="C68" s="633"/>
      <c r="D68" s="633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</row>
    <row r="69" spans="1:15" s="85" customFormat="1">
      <c r="A69" s="633"/>
      <c r="B69" s="633"/>
      <c r="C69" s="633"/>
      <c r="D69" s="633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</row>
    <row r="70" spans="1:15" s="85" customFormat="1">
      <c r="A70" s="633"/>
      <c r="B70" s="633"/>
      <c r="C70" s="633"/>
      <c r="D70" s="633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</row>
    <row r="71" spans="1:15" s="85" customFormat="1">
      <c r="A71" s="633"/>
      <c r="B71" s="633"/>
      <c r="C71" s="633"/>
      <c r="D71" s="633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</row>
    <row r="72" spans="1:15" s="85" customFormat="1">
      <c r="A72" s="633"/>
      <c r="B72" s="633"/>
      <c r="C72" s="633"/>
      <c r="D72" s="633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</row>
    <row r="73" spans="1:15">
      <c r="A73" s="633"/>
      <c r="B73" s="633"/>
      <c r="C73" s="633"/>
      <c r="D73" s="633"/>
    </row>
    <row r="74" spans="1:15">
      <c r="A74" s="633"/>
      <c r="B74" s="633"/>
      <c r="C74" s="633"/>
      <c r="D74" s="633"/>
    </row>
    <row r="75" spans="1:15">
      <c r="A75" s="633"/>
      <c r="B75" s="633"/>
      <c r="C75" s="633"/>
      <c r="D75" s="633"/>
    </row>
    <row r="76" spans="1:15">
      <c r="A76" s="633"/>
      <c r="B76" s="633"/>
      <c r="C76" s="633"/>
      <c r="D76" s="633"/>
    </row>
    <row r="77" spans="1:15">
      <c r="A77" s="633"/>
      <c r="B77" s="633"/>
      <c r="C77" s="633"/>
      <c r="D77" s="633"/>
    </row>
    <row r="78" spans="1:15">
      <c r="A78" s="633"/>
      <c r="B78" s="633"/>
      <c r="C78" s="633"/>
      <c r="D78" s="633"/>
    </row>
    <row r="79" spans="1:15">
      <c r="A79" s="633"/>
      <c r="B79" s="633"/>
      <c r="C79" s="633"/>
      <c r="D79" s="633"/>
    </row>
    <row r="80" spans="1:15">
      <c r="A80" s="633"/>
      <c r="B80" s="633"/>
      <c r="C80" s="633"/>
      <c r="D80" s="633"/>
    </row>
    <row r="81" spans="1:4">
      <c r="A81" s="633"/>
      <c r="B81" s="633"/>
      <c r="C81" s="633"/>
      <c r="D81" s="633"/>
    </row>
    <row r="82" spans="1:4">
      <c r="A82" s="633"/>
      <c r="B82" s="633"/>
      <c r="C82" s="633"/>
      <c r="D82" s="633"/>
    </row>
    <row r="83" spans="1:4">
      <c r="A83" s="633"/>
      <c r="B83" s="633"/>
      <c r="C83" s="633"/>
      <c r="D83" s="633"/>
    </row>
    <row r="84" spans="1:4">
      <c r="A84" s="633"/>
      <c r="B84" s="633"/>
      <c r="C84" s="633"/>
      <c r="D84" s="633"/>
    </row>
    <row r="85" spans="1:4">
      <c r="A85" s="633"/>
      <c r="B85" s="633"/>
      <c r="C85" s="633"/>
      <c r="D85" s="633"/>
    </row>
    <row r="86" spans="1:4">
      <c r="A86" s="633"/>
      <c r="B86" s="633"/>
      <c r="C86" s="633"/>
      <c r="D86" s="633"/>
    </row>
    <row r="87" spans="1:4">
      <c r="A87" s="633"/>
      <c r="B87" s="633"/>
      <c r="C87" s="633"/>
      <c r="D87" s="633"/>
    </row>
    <row r="88" spans="1:4">
      <c r="A88" s="633"/>
      <c r="B88" s="633"/>
      <c r="C88" s="633"/>
      <c r="D88" s="633"/>
    </row>
    <row r="89" spans="1:4">
      <c r="A89" s="633"/>
      <c r="B89" s="633"/>
      <c r="C89" s="633"/>
      <c r="D89" s="633"/>
    </row>
    <row r="90" spans="1:4">
      <c r="A90" s="633"/>
      <c r="B90" s="633"/>
      <c r="C90" s="633"/>
      <c r="D90" s="633"/>
    </row>
    <row r="91" spans="1:4">
      <c r="A91" s="633"/>
      <c r="B91" s="633"/>
      <c r="C91" s="633"/>
      <c r="D91" s="633"/>
    </row>
    <row r="92" spans="1:4">
      <c r="A92" s="633"/>
      <c r="B92" s="633"/>
      <c r="C92" s="633"/>
      <c r="D92" s="633"/>
    </row>
    <row r="93" spans="1:4">
      <c r="A93" s="633"/>
      <c r="B93" s="633"/>
      <c r="C93" s="633"/>
      <c r="D93" s="633"/>
    </row>
    <row r="94" spans="1:4">
      <c r="A94" s="633"/>
      <c r="B94" s="633"/>
      <c r="C94" s="633"/>
      <c r="D94" s="633"/>
    </row>
    <row r="95" spans="1:4">
      <c r="A95" s="633"/>
      <c r="B95" s="633"/>
      <c r="C95" s="633"/>
      <c r="D95" s="633"/>
    </row>
    <row r="96" spans="1:4">
      <c r="A96" s="633"/>
      <c r="B96" s="633"/>
      <c r="C96" s="633"/>
      <c r="D96" s="633"/>
    </row>
    <row r="97" spans="1:4">
      <c r="A97" s="633"/>
      <c r="B97" s="633"/>
      <c r="C97" s="633"/>
      <c r="D97" s="633"/>
    </row>
    <row r="98" spans="1:4">
      <c r="A98" s="633"/>
      <c r="B98" s="633"/>
      <c r="C98" s="633"/>
      <c r="D98" s="633"/>
    </row>
    <row r="99" spans="1:4">
      <c r="A99" s="633"/>
      <c r="B99" s="633"/>
      <c r="C99" s="633"/>
      <c r="D99" s="633"/>
    </row>
    <row r="100" spans="1:4">
      <c r="A100" s="633"/>
      <c r="B100" s="633"/>
      <c r="C100" s="633"/>
      <c r="D100" s="633"/>
    </row>
    <row r="101" spans="1:4">
      <c r="A101" s="633"/>
      <c r="B101" s="633"/>
      <c r="C101" s="633"/>
      <c r="D101" s="633"/>
    </row>
    <row r="102" spans="1:4">
      <c r="A102" s="633"/>
      <c r="B102" s="633"/>
      <c r="C102" s="633"/>
      <c r="D102" s="633"/>
    </row>
    <row r="103" spans="1:4">
      <c r="A103" s="633"/>
      <c r="B103" s="633"/>
      <c r="C103" s="633"/>
      <c r="D103" s="633"/>
    </row>
    <row r="104" spans="1:4">
      <c r="A104" s="633"/>
      <c r="B104" s="633"/>
      <c r="C104" s="633"/>
      <c r="D104" s="633"/>
    </row>
    <row r="105" spans="1:4">
      <c r="A105" s="633"/>
      <c r="B105" s="633"/>
      <c r="C105" s="633"/>
      <c r="D105" s="633"/>
    </row>
    <row r="106" spans="1:4">
      <c r="A106" s="633"/>
      <c r="B106" s="633"/>
      <c r="C106" s="633"/>
      <c r="D106" s="633"/>
    </row>
    <row r="107" spans="1:4">
      <c r="A107" s="633"/>
      <c r="B107" s="633"/>
      <c r="C107" s="633"/>
      <c r="D107" s="633"/>
    </row>
    <row r="108" spans="1:4">
      <c r="A108" s="633"/>
      <c r="B108" s="633"/>
      <c r="C108" s="633"/>
      <c r="D108" s="633"/>
    </row>
    <row r="109" spans="1:4">
      <c r="A109" s="633"/>
      <c r="B109" s="633"/>
      <c r="C109" s="633"/>
      <c r="D109" s="633"/>
    </row>
    <row r="110" spans="1:4">
      <c r="A110" s="633"/>
      <c r="B110" s="633"/>
      <c r="C110" s="633"/>
      <c r="D110" s="633"/>
    </row>
    <row r="111" spans="1:4">
      <c r="A111" s="633"/>
      <c r="B111" s="633"/>
      <c r="C111" s="633"/>
      <c r="D111" s="633"/>
    </row>
    <row r="112" spans="1:4">
      <c r="A112" s="633"/>
      <c r="B112" s="633"/>
      <c r="C112" s="633"/>
      <c r="D112" s="633"/>
    </row>
    <row r="113" spans="1:4">
      <c r="A113" s="633"/>
      <c r="B113" s="633"/>
      <c r="C113" s="633"/>
      <c r="D113" s="633"/>
    </row>
    <row r="114" spans="1:4">
      <c r="A114" s="633"/>
      <c r="B114" s="633"/>
      <c r="C114" s="633"/>
      <c r="D114" s="633"/>
    </row>
    <row r="115" spans="1:4">
      <c r="A115" s="633"/>
      <c r="B115" s="633"/>
      <c r="C115" s="633"/>
      <c r="D115" s="633"/>
    </row>
    <row r="116" spans="1:4">
      <c r="A116" s="633"/>
      <c r="B116" s="633"/>
      <c r="C116" s="633"/>
      <c r="D116" s="633"/>
    </row>
    <row r="117" spans="1:4">
      <c r="A117" s="633"/>
      <c r="B117" s="633"/>
      <c r="C117" s="633"/>
      <c r="D117" s="633"/>
    </row>
    <row r="118" spans="1:4">
      <c r="A118" s="633"/>
      <c r="D118" s="633"/>
    </row>
    <row r="119" spans="1:4">
      <c r="A119" s="633"/>
      <c r="D119" s="633"/>
    </row>
    <row r="120" spans="1:4">
      <c r="A120" s="633"/>
      <c r="D120" s="633"/>
    </row>
    <row r="121" spans="1:4">
      <c r="A121" s="633"/>
      <c r="D121" s="633"/>
    </row>
    <row r="122" spans="1:4">
      <c r="A122" s="633"/>
      <c r="D122" s="633"/>
    </row>
  </sheetData>
  <mergeCells count="10">
    <mergeCell ref="A4:B6"/>
    <mergeCell ref="A16:C16"/>
    <mergeCell ref="A7:C7"/>
    <mergeCell ref="A19:B19"/>
    <mergeCell ref="A20:B20"/>
    <mergeCell ref="A17:C17"/>
    <mergeCell ref="A15:B15"/>
    <mergeCell ref="A18:B18"/>
    <mergeCell ref="A11:C11"/>
    <mergeCell ref="A10:B10"/>
  </mergeCells>
  <conditionalFormatting sqref="A15:A17 B12:C13 C9:C14 A9:A13 B8:C8">
    <cfRule type="cellIs" dxfId="14" priority="2" operator="equal">
      <formula>0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11811023622047245" bottom="0.39370078740157483" header="0.59055118110236227" footer="0.31496062992125984"/>
  <pageSetup paperSize="9" scale="60" firstPageNumber="49" orientation="landscape" useFirstPageNumber="1" r:id="rId1"/>
  <headerFooter>
    <oddFooter>&amp;L&amp;P&amp;R&amp;G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Лист33">
    <tabColor rgb="FF92D050"/>
  </sheetPr>
  <dimension ref="A1:XFD36"/>
  <sheetViews>
    <sheetView view="pageBreakPreview" zoomScaleNormal="100" zoomScaleSheetLayoutView="100" zoomScalePageLayoutView="90" workbookViewId="0">
      <pane ySplit="1" topLeftCell="A2" activePane="bottomLeft" state="frozen"/>
      <selection pane="bottomLeft" activeCell="B1" sqref="B1"/>
    </sheetView>
  </sheetViews>
  <sheetFormatPr defaultColWidth="8.85546875" defaultRowHeight="12.75"/>
  <cols>
    <col min="1" max="1" width="5.7109375" style="81" customWidth="1"/>
    <col min="2" max="2" width="9.85546875" style="81" customWidth="1"/>
    <col min="3" max="3" width="36.28515625" style="81" customWidth="1"/>
    <col min="4" max="4" width="5.7109375" style="81" hidden="1" customWidth="1"/>
    <col min="5" max="9" width="20.7109375" style="85" customWidth="1"/>
    <col min="10" max="10" width="18.7109375" style="85" customWidth="1"/>
    <col min="11" max="11" width="18.5703125" style="85" customWidth="1"/>
    <col min="12" max="32" width="8.85546875" style="85"/>
    <col min="33" max="16384" width="8.85546875" style="81"/>
  </cols>
  <sheetData>
    <row r="1" spans="1:32" ht="18" customHeight="1">
      <c r="A1" s="15"/>
      <c r="B1" s="2285" t="s">
        <v>490</v>
      </c>
      <c r="C1" s="400"/>
      <c r="D1" s="2777"/>
    </row>
    <row r="2" spans="1:32" ht="18" customHeight="1">
      <c r="A2" s="85"/>
      <c r="B2" s="85"/>
      <c r="C2" s="85"/>
      <c r="D2" s="85"/>
      <c r="AB2" s="81"/>
      <c r="AC2" s="81"/>
      <c r="AD2" s="81"/>
      <c r="AE2" s="81"/>
      <c r="AF2" s="81"/>
    </row>
    <row r="3" spans="1:32" ht="13.5" thickBot="1">
      <c r="A3" s="85"/>
      <c r="B3" s="85"/>
      <c r="C3" s="85"/>
      <c r="D3" s="85"/>
      <c r="J3" s="3904">
        <v>5000</v>
      </c>
      <c r="AB3" s="81"/>
      <c r="AC3" s="81"/>
      <c r="AD3" s="81"/>
      <c r="AE3" s="81"/>
      <c r="AF3" s="81"/>
    </row>
    <row r="4" spans="1:32" s="82" customFormat="1" ht="18" customHeight="1">
      <c r="A4" s="85"/>
      <c r="B4" s="5525" t="s">
        <v>3272</v>
      </c>
      <c r="C4" s="5526"/>
      <c r="D4" s="589"/>
      <c r="E4" s="5529" t="s">
        <v>3284</v>
      </c>
      <c r="F4" s="5530"/>
      <c r="G4" s="5530"/>
      <c r="H4" s="5531"/>
      <c r="I4" s="5534" t="s">
        <v>3278</v>
      </c>
      <c r="J4" s="5535"/>
      <c r="K4" s="4030" t="s">
        <v>3279</v>
      </c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</row>
    <row r="5" spans="1:32" s="83" customFormat="1" ht="15">
      <c r="A5" s="422"/>
      <c r="B5" s="5527"/>
      <c r="C5" s="4297"/>
      <c r="D5" s="589"/>
      <c r="E5" s="3686" t="s">
        <v>30</v>
      </c>
      <c r="F5" s="5532" t="s">
        <v>721</v>
      </c>
      <c r="G5" s="5532"/>
      <c r="H5" s="5533"/>
      <c r="I5" s="5522" t="s">
        <v>3268</v>
      </c>
      <c r="J5" s="5523"/>
      <c r="K5" s="5524"/>
      <c r="L5" s="422"/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  <c r="Y5" s="422"/>
      <c r="Z5" s="422"/>
      <c r="AA5" s="422"/>
    </row>
    <row r="6" spans="1:32" s="83" customFormat="1" ht="37.5" customHeight="1">
      <c r="A6" s="422"/>
      <c r="B6" s="5528"/>
      <c r="C6" s="4298"/>
      <c r="D6" s="102"/>
      <c r="E6" s="3684" t="s">
        <v>284</v>
      </c>
      <c r="F6" s="3677" t="s">
        <v>3269</v>
      </c>
      <c r="G6" s="3676" t="s">
        <v>2570</v>
      </c>
      <c r="H6" s="3905" t="s">
        <v>2624</v>
      </c>
      <c r="I6" s="3684" t="s">
        <v>202</v>
      </c>
      <c r="J6" s="4024" t="s">
        <v>3422</v>
      </c>
      <c r="K6" s="4026" t="s">
        <v>3271</v>
      </c>
      <c r="L6" s="422"/>
      <c r="M6" s="422"/>
      <c r="N6" s="422"/>
      <c r="O6" s="422"/>
      <c r="P6" s="422"/>
      <c r="Q6" s="422"/>
      <c r="R6" s="422"/>
      <c r="S6" s="422"/>
      <c r="T6" s="422"/>
      <c r="U6" s="422"/>
      <c r="V6" s="422"/>
      <c r="W6" s="422"/>
      <c r="X6" s="422"/>
      <c r="Y6" s="422"/>
      <c r="Z6" s="422"/>
      <c r="AA6" s="422"/>
    </row>
    <row r="7" spans="1:32" s="84" customFormat="1" ht="15" hidden="1">
      <c r="A7" s="2487"/>
      <c r="B7" s="102"/>
      <c r="C7" s="102"/>
      <c r="D7" s="102"/>
      <c r="E7" s="3687"/>
      <c r="F7" s="3685">
        <v>0.05</v>
      </c>
      <c r="G7" s="1267">
        <v>0.1</v>
      </c>
      <c r="H7" s="3906">
        <v>0.15</v>
      </c>
      <c r="I7" s="3688">
        <v>0.35</v>
      </c>
      <c r="J7" s="4025"/>
      <c r="K7" s="4027">
        <v>1.1000000000000001</v>
      </c>
      <c r="L7" s="423"/>
      <c r="M7" s="423"/>
      <c r="N7" s="423"/>
      <c r="O7" s="423"/>
      <c r="P7" s="423"/>
      <c r="Q7" s="423"/>
      <c r="R7" s="423"/>
      <c r="S7" s="423"/>
      <c r="T7" s="423"/>
      <c r="U7" s="423"/>
      <c r="V7" s="423"/>
      <c r="W7" s="423"/>
      <c r="X7" s="423"/>
      <c r="Y7" s="423"/>
      <c r="Z7" s="423"/>
      <c r="AA7" s="423"/>
    </row>
    <row r="8" spans="1:32" ht="35.1" customHeight="1">
      <c r="A8" s="2487"/>
      <c r="B8" s="5519" t="s">
        <v>3281</v>
      </c>
      <c r="C8" s="3678" t="s">
        <v>3273</v>
      </c>
      <c r="D8" s="589"/>
      <c r="E8" s="3680">
        <f>CEILING('Перегородки база '!F20*(1+скидки_наценки!$B$28)*скидки_наценки!$D$19*скидки_наценки!$F$19/скидки_наценки!$B$4, 50)</f>
        <v>16100</v>
      </c>
      <c r="F8" s="2933">
        <f>CEILING(E8*(1+F7), 100)</f>
        <v>17000</v>
      </c>
      <c r="G8" s="2932">
        <f>CEILING(E8*(1+G7), 100)</f>
        <v>17800</v>
      </c>
      <c r="H8" s="3907">
        <f>CEILING(E8*(1+H7), 100)</f>
        <v>18600</v>
      </c>
      <c r="I8" s="3680">
        <f>CEILING(E8*(1+I7), 100)</f>
        <v>21800</v>
      </c>
      <c r="J8" s="4023">
        <f>I8+$J$3</f>
        <v>26800</v>
      </c>
      <c r="K8" s="4028">
        <f>CEILING(E8*(1+K7), 100)</f>
        <v>33900</v>
      </c>
      <c r="AB8" s="81"/>
      <c r="AC8" s="81"/>
      <c r="AD8" s="81"/>
      <c r="AE8" s="81"/>
      <c r="AF8" s="81"/>
    </row>
    <row r="9" spans="1:32" s="84" customFormat="1" ht="35.1" customHeight="1">
      <c r="A9" s="2487"/>
      <c r="B9" s="5520"/>
      <c r="C9" s="3678" t="s">
        <v>3258</v>
      </c>
      <c r="D9" s="403">
        <v>0.1</v>
      </c>
      <c r="E9" s="3680">
        <f>CEILING($E$8*(1+D9), 100)</f>
        <v>17800</v>
      </c>
      <c r="F9" s="2933">
        <f t="shared" ref="F9:F16" si="0">CEILING($F$8*(1+D9), 100)</f>
        <v>18700</v>
      </c>
      <c r="G9" s="2932">
        <f t="shared" ref="G9:G16" si="1">CEILING($G$8*(1+D9), 100)</f>
        <v>19600</v>
      </c>
      <c r="H9" s="3907">
        <f t="shared" ref="H9:H16" si="2">CEILING($H$8*(1+D9), 100)</f>
        <v>20500</v>
      </c>
      <c r="I9" s="3680">
        <f t="shared" ref="I9:I16" si="3">CEILING($I$8*(1+D9), 100)</f>
        <v>24000</v>
      </c>
      <c r="J9" s="4023">
        <f t="shared" ref="J9:J16" si="4">I9+$J$3</f>
        <v>29000</v>
      </c>
      <c r="K9" s="4028">
        <f>CEILING($K$8*(1+D9), 100)</f>
        <v>37300</v>
      </c>
      <c r="L9" s="423"/>
      <c r="M9" s="423"/>
      <c r="N9" s="423"/>
      <c r="O9" s="423"/>
      <c r="P9" s="423"/>
      <c r="Q9" s="423"/>
      <c r="R9" s="423"/>
      <c r="S9" s="423"/>
      <c r="T9" s="423"/>
      <c r="U9" s="423"/>
      <c r="V9" s="423"/>
      <c r="W9" s="423"/>
      <c r="X9" s="423"/>
      <c r="Y9" s="423"/>
      <c r="Z9" s="423"/>
      <c r="AA9" s="423"/>
    </row>
    <row r="10" spans="1:32" s="84" customFormat="1" ht="35.1" customHeight="1">
      <c r="A10" s="2487"/>
      <c r="B10" s="5520"/>
      <c r="C10" s="3678" t="s">
        <v>3277</v>
      </c>
      <c r="D10" s="403">
        <v>0.25</v>
      </c>
      <c r="E10" s="3680">
        <f t="shared" ref="E10:E16" si="5">CEILING($E$8*(1+D10), 100)</f>
        <v>20200</v>
      </c>
      <c r="F10" s="2933">
        <f t="shared" si="0"/>
        <v>21300</v>
      </c>
      <c r="G10" s="2932">
        <f t="shared" si="1"/>
        <v>22300</v>
      </c>
      <c r="H10" s="3907">
        <f t="shared" si="2"/>
        <v>23300</v>
      </c>
      <c r="I10" s="3680">
        <f t="shared" si="3"/>
        <v>27300</v>
      </c>
      <c r="J10" s="4023">
        <f t="shared" si="4"/>
        <v>32300</v>
      </c>
      <c r="K10" s="4028">
        <f>CEILING($K$8*(1+D10), 100)</f>
        <v>42400</v>
      </c>
      <c r="L10" s="423"/>
      <c r="M10" s="423"/>
      <c r="N10" s="423"/>
      <c r="O10" s="423"/>
      <c r="P10" s="423"/>
      <c r="Q10" s="423"/>
      <c r="R10" s="423"/>
      <c r="S10" s="423"/>
      <c r="T10" s="423"/>
      <c r="U10" s="423"/>
      <c r="V10" s="423"/>
      <c r="W10" s="423"/>
      <c r="X10" s="423"/>
      <c r="Y10" s="423"/>
      <c r="Z10" s="423"/>
      <c r="AA10" s="423"/>
    </row>
    <row r="11" spans="1:32" ht="35.1" customHeight="1">
      <c r="A11" s="88"/>
      <c r="B11" s="5520"/>
      <c r="C11" s="3678" t="s">
        <v>3434</v>
      </c>
      <c r="D11" s="403">
        <v>0.3</v>
      </c>
      <c r="E11" s="3680">
        <f t="shared" si="5"/>
        <v>21000</v>
      </c>
      <c r="F11" s="2933">
        <f t="shared" si="0"/>
        <v>22100</v>
      </c>
      <c r="G11" s="2932">
        <f t="shared" si="1"/>
        <v>23200</v>
      </c>
      <c r="H11" s="3907">
        <f t="shared" si="2"/>
        <v>24200</v>
      </c>
      <c r="I11" s="3680">
        <f t="shared" si="3"/>
        <v>28400</v>
      </c>
      <c r="J11" s="4023">
        <f t="shared" si="4"/>
        <v>33400</v>
      </c>
      <c r="K11" s="4028">
        <f>CEILING($K$8*(1+D11), 100)</f>
        <v>44100</v>
      </c>
      <c r="AB11" s="81"/>
      <c r="AC11" s="81"/>
      <c r="AD11" s="81"/>
      <c r="AE11" s="81"/>
      <c r="AF11" s="81"/>
    </row>
    <row r="12" spans="1:32" ht="35.1" customHeight="1">
      <c r="A12" s="88"/>
      <c r="B12" s="5520"/>
      <c r="C12" s="3678" t="s">
        <v>3447</v>
      </c>
      <c r="D12" s="403">
        <v>0.4</v>
      </c>
      <c r="E12" s="3680">
        <f>CEILING($E$8*(1+D12), 100)</f>
        <v>22600</v>
      </c>
      <c r="F12" s="2933">
        <f t="shared" si="0"/>
        <v>23800</v>
      </c>
      <c r="G12" s="2932">
        <f t="shared" si="1"/>
        <v>25000</v>
      </c>
      <c r="H12" s="3907">
        <f t="shared" si="2"/>
        <v>26100</v>
      </c>
      <c r="I12" s="3680">
        <f t="shared" si="3"/>
        <v>30600</v>
      </c>
      <c r="J12" s="4023">
        <f t="shared" si="4"/>
        <v>35600</v>
      </c>
      <c r="K12" s="4028">
        <f>CEILING($K$8*(1+D12), 100)</f>
        <v>47500</v>
      </c>
      <c r="AB12" s="81"/>
      <c r="AC12" s="81"/>
      <c r="AD12" s="81"/>
      <c r="AE12" s="81"/>
      <c r="AF12" s="81"/>
    </row>
    <row r="13" spans="1:32" ht="35.1" customHeight="1">
      <c r="B13" s="5520"/>
      <c r="C13" s="3678" t="s">
        <v>3274</v>
      </c>
      <c r="D13" s="403">
        <v>0.45</v>
      </c>
      <c r="E13" s="3680">
        <f t="shared" si="5"/>
        <v>23400</v>
      </c>
      <c r="F13" s="2933">
        <f t="shared" si="0"/>
        <v>24700</v>
      </c>
      <c r="G13" s="2932">
        <f t="shared" si="1"/>
        <v>25900</v>
      </c>
      <c r="H13" s="3907">
        <f t="shared" si="2"/>
        <v>27000</v>
      </c>
      <c r="I13" s="3680">
        <f t="shared" si="3"/>
        <v>31700</v>
      </c>
      <c r="J13" s="4023">
        <f t="shared" si="4"/>
        <v>36700</v>
      </c>
      <c r="K13" s="4028">
        <f>CEILING($K$8*(1+D13), 100)</f>
        <v>49200</v>
      </c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</row>
    <row r="14" spans="1:32" ht="35.1" customHeight="1">
      <c r="B14" s="5521"/>
      <c r="C14" s="4022" t="s">
        <v>3503</v>
      </c>
      <c r="D14" s="403">
        <v>0.45</v>
      </c>
      <c r="E14" s="3680" t="s">
        <v>4</v>
      </c>
      <c r="F14" s="4023" t="s">
        <v>4</v>
      </c>
      <c r="G14" s="3909" t="s">
        <v>4</v>
      </c>
      <c r="H14" s="3907" t="s">
        <v>4</v>
      </c>
      <c r="I14" s="3680">
        <f t="shared" si="3"/>
        <v>31700</v>
      </c>
      <c r="J14" s="4023" t="s">
        <v>4</v>
      </c>
      <c r="K14" s="4028" t="s">
        <v>4</v>
      </c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</row>
    <row r="15" spans="1:32" ht="35.1" customHeight="1">
      <c r="A15" s="88"/>
      <c r="B15" s="3678" t="s">
        <v>3270</v>
      </c>
      <c r="C15" s="3678" t="s">
        <v>3280</v>
      </c>
      <c r="D15" s="403">
        <v>0.7</v>
      </c>
      <c r="E15" s="3680">
        <f t="shared" si="5"/>
        <v>27400</v>
      </c>
      <c r="F15" s="2933">
        <f t="shared" si="0"/>
        <v>28900</v>
      </c>
      <c r="G15" s="2932">
        <f t="shared" si="1"/>
        <v>30300</v>
      </c>
      <c r="H15" s="3907">
        <f>CEILING($H$8*(1+D15), 100)</f>
        <v>31700</v>
      </c>
      <c r="I15" s="3680">
        <f t="shared" si="3"/>
        <v>37100</v>
      </c>
      <c r="J15" s="4023">
        <f t="shared" si="4"/>
        <v>42100</v>
      </c>
      <c r="K15" s="4028" t="s">
        <v>4</v>
      </c>
      <c r="AB15" s="81"/>
      <c r="AC15" s="81"/>
      <c r="AD15" s="81"/>
      <c r="AE15" s="81"/>
      <c r="AF15" s="81"/>
    </row>
    <row r="16" spans="1:32" ht="35.1" customHeight="1" thickBot="1">
      <c r="A16" s="88"/>
      <c r="B16" s="3678" t="s">
        <v>3281</v>
      </c>
      <c r="C16" s="3678" t="s">
        <v>3285</v>
      </c>
      <c r="D16" s="3679">
        <v>1.1000000000000001</v>
      </c>
      <c r="E16" s="3681">
        <f t="shared" si="5"/>
        <v>33900</v>
      </c>
      <c r="F16" s="3682">
        <f t="shared" si="0"/>
        <v>35700</v>
      </c>
      <c r="G16" s="3683">
        <f t="shared" si="1"/>
        <v>37400</v>
      </c>
      <c r="H16" s="3908">
        <f t="shared" si="2"/>
        <v>39100</v>
      </c>
      <c r="I16" s="3681">
        <f t="shared" si="3"/>
        <v>45800</v>
      </c>
      <c r="J16" s="3682">
        <f t="shared" si="4"/>
        <v>50800</v>
      </c>
      <c r="K16" s="4029" t="s">
        <v>4</v>
      </c>
      <c r="AB16" s="81"/>
      <c r="AC16" s="81"/>
      <c r="AD16" s="81"/>
      <c r="AE16" s="81"/>
      <c r="AF16" s="81"/>
    </row>
    <row r="17" spans="1:16384" ht="18" customHeight="1">
      <c r="A17" s="88"/>
      <c r="B17" s="85"/>
      <c r="C17" s="85"/>
      <c r="D17" s="85"/>
      <c r="AB17" s="81"/>
      <c r="AC17" s="81"/>
      <c r="AD17" s="81"/>
      <c r="AE17" s="81"/>
      <c r="AF17" s="81"/>
    </row>
    <row r="18" spans="1:16384" ht="18" customHeight="1">
      <c r="B18" s="266" t="s">
        <v>127</v>
      </c>
    </row>
    <row r="19" spans="1:16384" ht="15.75">
      <c r="B19" s="521" t="s">
        <v>3350</v>
      </c>
    </row>
    <row r="20" spans="1:16384" ht="15.75">
      <c r="B20" s="521" t="s">
        <v>3276</v>
      </c>
    </row>
    <row r="21" spans="1:16384" ht="15.75">
      <c r="B21" s="521" t="s">
        <v>3282</v>
      </c>
    </row>
    <row r="22" spans="1:16384" ht="15.75">
      <c r="B22" s="521" t="s">
        <v>3283</v>
      </c>
    </row>
    <row r="23" spans="1:16384" ht="15.75">
      <c r="A23" s="3741"/>
      <c r="B23" s="521"/>
      <c r="C23" s="3741"/>
      <c r="D23" s="3741"/>
      <c r="E23" s="3741"/>
      <c r="F23" s="3741"/>
      <c r="G23" s="3741"/>
      <c r="H23" s="3741"/>
      <c r="I23" s="3741"/>
      <c r="J23" s="3741"/>
      <c r="K23" s="3741"/>
      <c r="L23" s="3741"/>
      <c r="M23" s="3741"/>
      <c r="N23" s="3741"/>
      <c r="O23" s="3741"/>
      <c r="P23" s="3741"/>
      <c r="Q23" s="3741"/>
      <c r="R23" s="3741"/>
      <c r="S23" s="3741"/>
      <c r="T23" s="3741"/>
      <c r="U23" s="3741"/>
      <c r="V23" s="3741"/>
      <c r="W23" s="3741"/>
      <c r="X23" s="3741"/>
      <c r="Y23" s="3741"/>
      <c r="Z23" s="3741"/>
      <c r="AA23" s="3741"/>
      <c r="AB23" s="3741"/>
      <c r="AC23" s="3741"/>
      <c r="AD23" s="3741"/>
      <c r="AE23" s="3741"/>
      <c r="AF23" s="3741"/>
      <c r="AG23" s="3741"/>
      <c r="AH23" s="3741"/>
      <c r="AI23" s="3741"/>
      <c r="AJ23" s="3741"/>
      <c r="AK23" s="3741"/>
      <c r="AL23" s="3741"/>
      <c r="AM23" s="3741"/>
      <c r="AN23" s="3741"/>
      <c r="AO23" s="3741"/>
      <c r="AP23" s="3741"/>
      <c r="AQ23" s="3741"/>
      <c r="AR23" s="3741"/>
      <c r="AS23" s="3741"/>
      <c r="AT23" s="3741"/>
      <c r="AU23" s="3741"/>
      <c r="AV23" s="3741"/>
      <c r="AW23" s="3741"/>
      <c r="AX23" s="3741"/>
      <c r="AY23" s="3741"/>
      <c r="AZ23" s="3741"/>
      <c r="BA23" s="3741"/>
      <c r="BB23" s="3741"/>
      <c r="BC23" s="3741"/>
      <c r="BD23" s="3741"/>
      <c r="BE23" s="3741"/>
      <c r="BF23" s="3741"/>
      <c r="BG23" s="3741"/>
      <c r="BH23" s="3741"/>
      <c r="BI23" s="3741"/>
      <c r="BJ23" s="3741"/>
      <c r="BK23" s="3741"/>
      <c r="BL23" s="3741"/>
      <c r="BM23" s="3741"/>
      <c r="BN23" s="3741"/>
      <c r="BO23" s="3741"/>
      <c r="BP23" s="3741"/>
      <c r="BQ23" s="3741"/>
      <c r="BR23" s="3741"/>
      <c r="BS23" s="3741"/>
      <c r="BT23" s="3741"/>
      <c r="BU23" s="3741"/>
      <c r="BV23" s="3741"/>
      <c r="BW23" s="3741"/>
      <c r="BX23" s="3741"/>
      <c r="BY23" s="3741"/>
      <c r="BZ23" s="3741"/>
      <c r="CA23" s="3741"/>
      <c r="CB23" s="3741"/>
      <c r="CC23" s="3741"/>
      <c r="CD23" s="3741"/>
      <c r="CE23" s="3741"/>
      <c r="CF23" s="3741"/>
      <c r="CG23" s="3741"/>
      <c r="CH23" s="3741"/>
      <c r="CI23" s="3741"/>
      <c r="CJ23" s="3741"/>
      <c r="CK23" s="3741"/>
      <c r="CL23" s="3741"/>
      <c r="CM23" s="3741"/>
      <c r="CN23" s="3741"/>
      <c r="CO23" s="3741"/>
      <c r="CP23" s="3741"/>
      <c r="CQ23" s="3741"/>
      <c r="CR23" s="3741"/>
      <c r="CS23" s="3741"/>
      <c r="CT23" s="3741"/>
      <c r="CU23" s="3741"/>
      <c r="CV23" s="3741"/>
      <c r="CW23" s="3741"/>
      <c r="CX23" s="3741"/>
      <c r="CY23" s="3741"/>
      <c r="CZ23" s="3741"/>
      <c r="DA23" s="3741"/>
      <c r="DB23" s="3741"/>
      <c r="DC23" s="3741"/>
      <c r="DD23" s="3741"/>
      <c r="DE23" s="3741"/>
      <c r="DF23" s="3741"/>
      <c r="DG23" s="3741"/>
      <c r="DH23" s="3741"/>
      <c r="DI23" s="3741"/>
      <c r="DJ23" s="3741"/>
      <c r="DK23" s="3741"/>
      <c r="DL23" s="3741"/>
      <c r="DM23" s="3741"/>
      <c r="DN23" s="3741"/>
      <c r="DO23" s="3741"/>
      <c r="DP23" s="3741"/>
      <c r="DQ23" s="3741"/>
      <c r="DR23" s="3741"/>
      <c r="DS23" s="3741"/>
      <c r="DT23" s="3741"/>
      <c r="DU23" s="3741"/>
      <c r="DV23" s="3741"/>
      <c r="DW23" s="3741"/>
      <c r="DX23" s="3741"/>
      <c r="DY23" s="3741"/>
      <c r="DZ23" s="3741"/>
      <c r="EA23" s="3741"/>
      <c r="EB23" s="3741"/>
      <c r="EC23" s="3741"/>
      <c r="ED23" s="3741"/>
      <c r="EE23" s="3741"/>
      <c r="EF23" s="3741"/>
      <c r="EG23" s="3741"/>
      <c r="EH23" s="3741"/>
      <c r="EI23" s="3741"/>
      <c r="EJ23" s="3741"/>
      <c r="EK23" s="3741"/>
      <c r="EL23" s="3741"/>
      <c r="EM23" s="3741"/>
      <c r="EN23" s="3741"/>
      <c r="EO23" s="3741"/>
      <c r="EP23" s="3741"/>
      <c r="EQ23" s="3741"/>
      <c r="ER23" s="3741"/>
      <c r="ES23" s="3741"/>
      <c r="ET23" s="3741"/>
      <c r="EU23" s="3741"/>
      <c r="EV23" s="3741"/>
      <c r="EW23" s="3741"/>
      <c r="EX23" s="3741"/>
      <c r="EY23" s="3741"/>
      <c r="EZ23" s="3741"/>
      <c r="FA23" s="3741"/>
      <c r="FB23" s="3741"/>
      <c r="FC23" s="3741"/>
      <c r="FD23" s="3741"/>
      <c r="FE23" s="3741"/>
      <c r="FF23" s="3741"/>
      <c r="FG23" s="3741"/>
      <c r="FH23" s="3741"/>
      <c r="FI23" s="3741"/>
      <c r="FJ23" s="3741"/>
      <c r="FK23" s="3741"/>
      <c r="FL23" s="3741"/>
      <c r="FM23" s="3741"/>
      <c r="FN23" s="3741"/>
      <c r="FO23" s="3741"/>
      <c r="FP23" s="3741"/>
      <c r="FQ23" s="3741"/>
      <c r="FR23" s="3741"/>
      <c r="FS23" s="3741"/>
      <c r="FT23" s="3741"/>
      <c r="FU23" s="3741"/>
      <c r="FV23" s="3741"/>
      <c r="FW23" s="3741"/>
      <c r="FX23" s="3741"/>
      <c r="FY23" s="3741"/>
      <c r="FZ23" s="3741"/>
      <c r="GA23" s="3741"/>
      <c r="GB23" s="3741"/>
      <c r="GC23" s="3741"/>
      <c r="GD23" s="3741"/>
      <c r="GE23" s="3741"/>
      <c r="GF23" s="3741"/>
      <c r="GG23" s="3741"/>
      <c r="GH23" s="3741"/>
      <c r="GI23" s="3741"/>
      <c r="GJ23" s="3741"/>
      <c r="GK23" s="3741"/>
      <c r="GL23" s="3741"/>
      <c r="GM23" s="3741"/>
      <c r="GN23" s="3741"/>
      <c r="GO23" s="3741"/>
      <c r="GP23" s="3741"/>
      <c r="GQ23" s="3741"/>
      <c r="GR23" s="3741"/>
      <c r="GS23" s="3741"/>
      <c r="GT23" s="3741"/>
      <c r="GU23" s="3741"/>
      <c r="GV23" s="3741"/>
      <c r="GW23" s="3741"/>
      <c r="GX23" s="3741"/>
      <c r="GY23" s="3741"/>
      <c r="GZ23" s="3741"/>
      <c r="HA23" s="3741"/>
      <c r="HB23" s="3741"/>
      <c r="HC23" s="3741"/>
      <c r="HD23" s="3741"/>
      <c r="HE23" s="3741"/>
      <c r="HF23" s="3741"/>
      <c r="HG23" s="3741"/>
      <c r="HH23" s="3741"/>
      <c r="HI23" s="3741"/>
      <c r="HJ23" s="3741"/>
      <c r="HK23" s="3741"/>
      <c r="HL23" s="3741"/>
      <c r="HM23" s="3741"/>
      <c r="HN23" s="3741"/>
      <c r="HO23" s="3741"/>
      <c r="HP23" s="3741"/>
      <c r="HQ23" s="3741"/>
      <c r="HR23" s="3741"/>
      <c r="HS23" s="3741"/>
      <c r="HT23" s="3741"/>
      <c r="HU23" s="3741"/>
      <c r="HV23" s="3741"/>
      <c r="HW23" s="3741"/>
      <c r="HX23" s="3741"/>
      <c r="HY23" s="3741"/>
      <c r="HZ23" s="3741"/>
      <c r="IA23" s="3741"/>
      <c r="IB23" s="3741"/>
      <c r="IC23" s="3741"/>
      <c r="ID23" s="3741"/>
      <c r="IE23" s="3741"/>
      <c r="IF23" s="3741"/>
      <c r="IG23" s="3741"/>
      <c r="IH23" s="3741"/>
      <c r="II23" s="3741"/>
      <c r="IJ23" s="3741"/>
      <c r="IK23" s="3741"/>
      <c r="IL23" s="3741"/>
      <c r="IM23" s="3741"/>
      <c r="IN23" s="3741"/>
      <c r="IO23" s="3741"/>
      <c r="IP23" s="3741"/>
      <c r="IQ23" s="3741"/>
      <c r="IR23" s="3741"/>
      <c r="IS23" s="3741"/>
      <c r="IT23" s="3741"/>
      <c r="IU23" s="3741"/>
      <c r="IV23" s="3741"/>
      <c r="IW23" s="3741"/>
      <c r="IX23" s="3741"/>
      <c r="IY23" s="3741"/>
      <c r="IZ23" s="3741"/>
      <c r="JA23" s="3741"/>
      <c r="JB23" s="3741"/>
      <c r="JC23" s="3741"/>
      <c r="JD23" s="3741"/>
      <c r="JE23" s="3741"/>
      <c r="JF23" s="3741"/>
      <c r="JG23" s="3741"/>
      <c r="JH23" s="3741"/>
      <c r="JI23" s="3741"/>
      <c r="JJ23" s="3741"/>
      <c r="JK23" s="3741"/>
      <c r="JL23" s="3741"/>
      <c r="JM23" s="3741"/>
      <c r="JN23" s="3741"/>
      <c r="JO23" s="3741"/>
      <c r="JP23" s="3741"/>
      <c r="JQ23" s="3741"/>
      <c r="JR23" s="3741"/>
      <c r="JS23" s="3741"/>
      <c r="JT23" s="3741"/>
      <c r="JU23" s="3741"/>
      <c r="JV23" s="3741"/>
      <c r="JW23" s="3741"/>
      <c r="JX23" s="3741"/>
      <c r="JY23" s="3741"/>
      <c r="JZ23" s="3741"/>
      <c r="KA23" s="3741"/>
      <c r="KB23" s="3741"/>
      <c r="KC23" s="3741"/>
      <c r="KD23" s="3741"/>
      <c r="KE23" s="3741"/>
      <c r="KF23" s="3741"/>
      <c r="KG23" s="3741"/>
      <c r="KH23" s="3741"/>
      <c r="KI23" s="3741"/>
      <c r="KJ23" s="3741"/>
      <c r="KK23" s="3741"/>
      <c r="KL23" s="3741"/>
      <c r="KM23" s="3741"/>
      <c r="KN23" s="3741"/>
      <c r="KO23" s="3741"/>
      <c r="KP23" s="3741"/>
      <c r="KQ23" s="3741"/>
      <c r="KR23" s="3741"/>
      <c r="KS23" s="3741"/>
      <c r="KT23" s="3741"/>
      <c r="KU23" s="3741"/>
      <c r="KV23" s="3741"/>
      <c r="KW23" s="3741"/>
      <c r="KX23" s="3741"/>
      <c r="KY23" s="3741"/>
      <c r="KZ23" s="3741"/>
      <c r="LA23" s="3741"/>
      <c r="LB23" s="3741"/>
      <c r="LC23" s="3741"/>
      <c r="LD23" s="3741"/>
      <c r="LE23" s="3741"/>
      <c r="LF23" s="3741"/>
      <c r="LG23" s="3741"/>
      <c r="LH23" s="3741"/>
      <c r="LI23" s="3741"/>
      <c r="LJ23" s="3741"/>
      <c r="LK23" s="3741"/>
      <c r="LL23" s="3741"/>
      <c r="LM23" s="3741"/>
      <c r="LN23" s="3741"/>
      <c r="LO23" s="3741"/>
      <c r="LP23" s="3741"/>
      <c r="LQ23" s="3741"/>
      <c r="LR23" s="3741"/>
      <c r="LS23" s="3741"/>
      <c r="LT23" s="3741"/>
      <c r="LU23" s="3741"/>
      <c r="LV23" s="3741"/>
      <c r="LW23" s="3741"/>
      <c r="LX23" s="3741"/>
      <c r="LY23" s="3741"/>
      <c r="LZ23" s="3741"/>
      <c r="MA23" s="3741"/>
      <c r="MB23" s="3741"/>
      <c r="MC23" s="3741"/>
      <c r="MD23" s="3741"/>
      <c r="ME23" s="3741"/>
      <c r="MF23" s="3741"/>
      <c r="MG23" s="3741"/>
      <c r="MH23" s="3741"/>
      <c r="MI23" s="3741"/>
      <c r="MJ23" s="3741"/>
      <c r="MK23" s="3741"/>
      <c r="ML23" s="3741"/>
      <c r="MM23" s="3741"/>
      <c r="MN23" s="3741"/>
      <c r="MO23" s="3741"/>
      <c r="MP23" s="3741"/>
      <c r="MQ23" s="3741"/>
      <c r="MR23" s="3741"/>
      <c r="MS23" s="3741"/>
      <c r="MT23" s="3741"/>
      <c r="MU23" s="3741"/>
      <c r="MV23" s="3741"/>
      <c r="MW23" s="3741"/>
      <c r="MX23" s="3741"/>
      <c r="MY23" s="3741"/>
      <c r="MZ23" s="3741"/>
      <c r="NA23" s="3741"/>
      <c r="NB23" s="3741"/>
      <c r="NC23" s="3741"/>
      <c r="ND23" s="3741"/>
      <c r="NE23" s="3741"/>
      <c r="NF23" s="3741"/>
      <c r="NG23" s="3741"/>
      <c r="NH23" s="3741"/>
      <c r="NI23" s="3741"/>
      <c r="NJ23" s="3741"/>
      <c r="NK23" s="3741"/>
      <c r="NL23" s="3741"/>
      <c r="NM23" s="3741"/>
      <c r="NN23" s="3741"/>
      <c r="NO23" s="3741"/>
      <c r="NP23" s="3741"/>
      <c r="NQ23" s="3741"/>
      <c r="NR23" s="3741"/>
      <c r="NS23" s="3741"/>
      <c r="NT23" s="3741"/>
      <c r="NU23" s="3741"/>
      <c r="NV23" s="3741"/>
      <c r="NW23" s="3741"/>
      <c r="NX23" s="3741"/>
      <c r="NY23" s="3741"/>
      <c r="NZ23" s="3741"/>
      <c r="OA23" s="3741"/>
      <c r="OB23" s="3741"/>
      <c r="OC23" s="3741"/>
      <c r="OD23" s="3741"/>
      <c r="OE23" s="3741"/>
      <c r="OF23" s="3741"/>
      <c r="OG23" s="3741"/>
      <c r="OH23" s="3741"/>
      <c r="OI23" s="3741"/>
      <c r="OJ23" s="3741"/>
      <c r="OK23" s="3741"/>
      <c r="OL23" s="3741"/>
      <c r="OM23" s="3741"/>
      <c r="ON23" s="3741"/>
      <c r="OO23" s="3741"/>
      <c r="OP23" s="3741"/>
      <c r="OQ23" s="3741"/>
      <c r="OR23" s="3741"/>
      <c r="OS23" s="3741"/>
      <c r="OT23" s="3741"/>
      <c r="OU23" s="3741"/>
      <c r="OV23" s="3741"/>
      <c r="OW23" s="3741"/>
      <c r="OX23" s="3741"/>
      <c r="OY23" s="3741"/>
      <c r="OZ23" s="3741"/>
      <c r="PA23" s="3741"/>
      <c r="PB23" s="3741"/>
      <c r="PC23" s="3741"/>
      <c r="PD23" s="3741"/>
      <c r="PE23" s="3741"/>
      <c r="PF23" s="3741"/>
      <c r="PG23" s="3741"/>
      <c r="PH23" s="3741"/>
      <c r="PI23" s="3741"/>
      <c r="PJ23" s="3741"/>
      <c r="PK23" s="3741"/>
      <c r="PL23" s="3741"/>
      <c r="PM23" s="3741"/>
      <c r="PN23" s="3741"/>
      <c r="PO23" s="3741"/>
      <c r="PP23" s="3741"/>
      <c r="PQ23" s="3741"/>
      <c r="PR23" s="3741"/>
      <c r="PS23" s="3741"/>
      <c r="PT23" s="3741"/>
      <c r="PU23" s="3741"/>
      <c r="PV23" s="3741"/>
      <c r="PW23" s="3741"/>
      <c r="PX23" s="3741"/>
      <c r="PY23" s="3741"/>
      <c r="PZ23" s="3741"/>
      <c r="QA23" s="3741"/>
      <c r="QB23" s="3741"/>
      <c r="QC23" s="3741"/>
      <c r="QD23" s="3741"/>
      <c r="QE23" s="3741"/>
      <c r="QF23" s="3741"/>
      <c r="QG23" s="3741"/>
      <c r="QH23" s="3741"/>
      <c r="QI23" s="3741"/>
      <c r="QJ23" s="3741"/>
      <c r="QK23" s="3741"/>
      <c r="QL23" s="3741"/>
      <c r="QM23" s="3741"/>
      <c r="QN23" s="3741"/>
      <c r="QO23" s="3741"/>
      <c r="QP23" s="3741"/>
      <c r="QQ23" s="3741"/>
      <c r="QR23" s="3741"/>
      <c r="QS23" s="3741"/>
      <c r="QT23" s="3741"/>
      <c r="QU23" s="3741"/>
      <c r="QV23" s="3741"/>
      <c r="QW23" s="3741"/>
      <c r="QX23" s="3741"/>
      <c r="QY23" s="3741"/>
      <c r="QZ23" s="3741"/>
      <c r="RA23" s="3741"/>
      <c r="RB23" s="3741"/>
      <c r="RC23" s="3741"/>
      <c r="RD23" s="3741"/>
      <c r="RE23" s="3741"/>
      <c r="RF23" s="3741"/>
      <c r="RG23" s="3741"/>
      <c r="RH23" s="3741"/>
      <c r="RI23" s="3741"/>
      <c r="RJ23" s="3741"/>
      <c r="RK23" s="3741"/>
      <c r="RL23" s="3741"/>
      <c r="RM23" s="3741"/>
      <c r="RN23" s="3741"/>
      <c r="RO23" s="3741"/>
      <c r="RP23" s="3741"/>
      <c r="RQ23" s="3741"/>
      <c r="RR23" s="3741"/>
      <c r="RS23" s="3741"/>
      <c r="RT23" s="3741"/>
      <c r="RU23" s="3741"/>
      <c r="RV23" s="3741"/>
      <c r="RW23" s="3741"/>
      <c r="RX23" s="3741"/>
      <c r="RY23" s="3741"/>
      <c r="RZ23" s="3741"/>
      <c r="SA23" s="3741"/>
      <c r="SB23" s="3741"/>
      <c r="SC23" s="3741"/>
      <c r="SD23" s="3741"/>
      <c r="SE23" s="3741"/>
      <c r="SF23" s="3741"/>
      <c r="SG23" s="3741"/>
      <c r="SH23" s="3741"/>
      <c r="SI23" s="3741"/>
      <c r="SJ23" s="3741"/>
      <c r="SK23" s="3741"/>
      <c r="SL23" s="3741"/>
      <c r="SM23" s="3741"/>
      <c r="SN23" s="3741"/>
      <c r="SO23" s="3741"/>
      <c r="SP23" s="3741"/>
      <c r="SQ23" s="3741"/>
      <c r="SR23" s="3741"/>
      <c r="SS23" s="3741"/>
      <c r="ST23" s="3741"/>
      <c r="SU23" s="3741"/>
      <c r="SV23" s="3741"/>
      <c r="SW23" s="3741"/>
      <c r="SX23" s="3741"/>
      <c r="SY23" s="3741"/>
      <c r="SZ23" s="3741"/>
      <c r="TA23" s="3741"/>
      <c r="TB23" s="3741"/>
      <c r="TC23" s="3741"/>
      <c r="TD23" s="3741"/>
      <c r="TE23" s="3741"/>
      <c r="TF23" s="3741"/>
      <c r="TG23" s="3741"/>
      <c r="TH23" s="3741"/>
      <c r="TI23" s="3741"/>
      <c r="TJ23" s="3741"/>
      <c r="TK23" s="3741"/>
      <c r="TL23" s="3741"/>
      <c r="TM23" s="3741"/>
      <c r="TN23" s="3741"/>
      <c r="TO23" s="3741"/>
      <c r="TP23" s="3741"/>
      <c r="TQ23" s="3741"/>
      <c r="TR23" s="3741"/>
      <c r="TS23" s="3741"/>
      <c r="TT23" s="3741"/>
      <c r="TU23" s="3741"/>
      <c r="TV23" s="3741"/>
      <c r="TW23" s="3741"/>
      <c r="TX23" s="3741"/>
      <c r="TY23" s="3741"/>
      <c r="TZ23" s="3741"/>
      <c r="UA23" s="3741"/>
      <c r="UB23" s="3741"/>
      <c r="UC23" s="3741"/>
      <c r="UD23" s="3741"/>
      <c r="UE23" s="3741"/>
      <c r="UF23" s="3741"/>
      <c r="UG23" s="3741"/>
      <c r="UH23" s="3741"/>
      <c r="UI23" s="3741"/>
      <c r="UJ23" s="3741"/>
      <c r="UK23" s="3741"/>
      <c r="UL23" s="3741"/>
      <c r="UM23" s="3741"/>
      <c r="UN23" s="3741"/>
      <c r="UO23" s="3741"/>
      <c r="UP23" s="3741"/>
      <c r="UQ23" s="3741"/>
      <c r="UR23" s="3741"/>
      <c r="US23" s="3741"/>
      <c r="UT23" s="3741"/>
      <c r="UU23" s="3741"/>
      <c r="UV23" s="3741"/>
      <c r="UW23" s="3741"/>
      <c r="UX23" s="3741"/>
      <c r="UY23" s="3741"/>
      <c r="UZ23" s="3741"/>
      <c r="VA23" s="3741"/>
      <c r="VB23" s="3741"/>
      <c r="VC23" s="3741"/>
      <c r="VD23" s="3741"/>
      <c r="VE23" s="3741"/>
      <c r="VF23" s="3741"/>
      <c r="VG23" s="3741"/>
      <c r="VH23" s="3741"/>
      <c r="VI23" s="3741"/>
      <c r="VJ23" s="3741"/>
      <c r="VK23" s="3741"/>
      <c r="VL23" s="3741"/>
      <c r="VM23" s="3741"/>
      <c r="VN23" s="3741"/>
      <c r="VO23" s="3741"/>
      <c r="VP23" s="3741"/>
      <c r="VQ23" s="3741"/>
      <c r="VR23" s="3741"/>
      <c r="VS23" s="3741"/>
      <c r="VT23" s="3741"/>
      <c r="VU23" s="3741"/>
      <c r="VV23" s="3741"/>
      <c r="VW23" s="3741"/>
      <c r="VX23" s="3741"/>
      <c r="VY23" s="3741"/>
      <c r="VZ23" s="3741"/>
      <c r="WA23" s="3741"/>
      <c r="WB23" s="3741"/>
      <c r="WC23" s="3741"/>
      <c r="WD23" s="3741"/>
      <c r="WE23" s="3741"/>
      <c r="WF23" s="3741"/>
      <c r="WG23" s="3741"/>
      <c r="WH23" s="3741"/>
      <c r="WI23" s="3741"/>
      <c r="WJ23" s="3741"/>
      <c r="WK23" s="3741"/>
      <c r="WL23" s="3741"/>
      <c r="WM23" s="3741"/>
      <c r="WN23" s="3741"/>
      <c r="WO23" s="3741"/>
      <c r="WP23" s="3741"/>
      <c r="WQ23" s="3741"/>
      <c r="WR23" s="3741"/>
      <c r="WS23" s="3741"/>
      <c r="WT23" s="3741"/>
      <c r="WU23" s="3741"/>
      <c r="WV23" s="3741"/>
      <c r="WW23" s="3741"/>
      <c r="WX23" s="3741"/>
      <c r="WY23" s="3741"/>
      <c r="WZ23" s="3741"/>
      <c r="XA23" s="3741"/>
      <c r="XB23" s="3741"/>
      <c r="XC23" s="3741"/>
      <c r="XD23" s="3741"/>
      <c r="XE23" s="3741"/>
      <c r="XF23" s="3741"/>
      <c r="XG23" s="3741"/>
      <c r="XH23" s="3741"/>
      <c r="XI23" s="3741"/>
      <c r="XJ23" s="3741"/>
      <c r="XK23" s="3741"/>
      <c r="XL23" s="3741"/>
      <c r="XM23" s="3741"/>
      <c r="XN23" s="3741"/>
      <c r="XO23" s="3741"/>
      <c r="XP23" s="3741"/>
      <c r="XQ23" s="3741"/>
      <c r="XR23" s="3741"/>
      <c r="XS23" s="3741"/>
      <c r="XT23" s="3741"/>
      <c r="XU23" s="3741"/>
      <c r="XV23" s="3741"/>
      <c r="XW23" s="3741"/>
      <c r="XX23" s="3741"/>
      <c r="XY23" s="3741"/>
      <c r="XZ23" s="3741"/>
      <c r="YA23" s="3741"/>
      <c r="YB23" s="3741"/>
      <c r="YC23" s="3741"/>
      <c r="YD23" s="3741"/>
      <c r="YE23" s="3741"/>
      <c r="YF23" s="3741"/>
      <c r="YG23" s="3741"/>
      <c r="YH23" s="3741"/>
      <c r="YI23" s="3741"/>
      <c r="YJ23" s="3741"/>
      <c r="YK23" s="3741"/>
      <c r="YL23" s="3741"/>
      <c r="YM23" s="3741"/>
      <c r="YN23" s="3741"/>
      <c r="YO23" s="3741"/>
      <c r="YP23" s="3741"/>
      <c r="YQ23" s="3741"/>
      <c r="YR23" s="3741"/>
      <c r="YS23" s="3741"/>
      <c r="YT23" s="3741"/>
      <c r="YU23" s="3741"/>
      <c r="YV23" s="3741"/>
      <c r="YW23" s="3741"/>
      <c r="YX23" s="3741"/>
      <c r="YY23" s="3741"/>
      <c r="YZ23" s="3741"/>
      <c r="ZA23" s="3741"/>
      <c r="ZB23" s="3741"/>
      <c r="ZC23" s="3741"/>
      <c r="ZD23" s="3741"/>
      <c r="ZE23" s="3741"/>
      <c r="ZF23" s="3741"/>
      <c r="ZG23" s="3741"/>
      <c r="ZH23" s="3741"/>
      <c r="ZI23" s="3741"/>
      <c r="ZJ23" s="3741"/>
      <c r="ZK23" s="3741"/>
      <c r="ZL23" s="3741"/>
      <c r="ZM23" s="3741"/>
      <c r="ZN23" s="3741"/>
      <c r="ZO23" s="3741"/>
      <c r="ZP23" s="3741"/>
      <c r="ZQ23" s="3741"/>
      <c r="ZR23" s="3741"/>
      <c r="ZS23" s="3741"/>
      <c r="ZT23" s="3741"/>
      <c r="ZU23" s="3741"/>
      <c r="ZV23" s="3741"/>
      <c r="ZW23" s="3741"/>
      <c r="ZX23" s="3741"/>
      <c r="ZY23" s="3741"/>
      <c r="ZZ23" s="3741"/>
      <c r="AAA23" s="3741"/>
      <c r="AAB23" s="3741"/>
      <c r="AAC23" s="3741"/>
      <c r="AAD23" s="3741"/>
      <c r="AAE23" s="3741"/>
      <c r="AAF23" s="3741"/>
      <c r="AAG23" s="3741"/>
      <c r="AAH23" s="3741"/>
      <c r="AAI23" s="3741"/>
      <c r="AAJ23" s="3741"/>
      <c r="AAK23" s="3741"/>
      <c r="AAL23" s="3741"/>
      <c r="AAM23" s="3741"/>
      <c r="AAN23" s="3741"/>
      <c r="AAO23" s="3741"/>
      <c r="AAP23" s="3741"/>
      <c r="AAQ23" s="3741"/>
      <c r="AAR23" s="3741"/>
      <c r="AAS23" s="3741"/>
      <c r="AAT23" s="3741"/>
      <c r="AAU23" s="3741"/>
      <c r="AAV23" s="3741"/>
      <c r="AAW23" s="3741"/>
      <c r="AAX23" s="3741"/>
      <c r="AAY23" s="3741"/>
      <c r="AAZ23" s="3741"/>
      <c r="ABA23" s="3741"/>
      <c r="ABB23" s="3741"/>
      <c r="ABC23" s="3741"/>
      <c r="ABD23" s="3741"/>
      <c r="ABE23" s="3741"/>
      <c r="ABF23" s="3741"/>
      <c r="ABG23" s="3741"/>
      <c r="ABH23" s="3741"/>
      <c r="ABI23" s="3741"/>
      <c r="ABJ23" s="3741"/>
      <c r="ABK23" s="3741"/>
      <c r="ABL23" s="3741"/>
      <c r="ABM23" s="3741"/>
      <c r="ABN23" s="3741"/>
      <c r="ABO23" s="3741"/>
      <c r="ABP23" s="3741"/>
      <c r="ABQ23" s="3741"/>
      <c r="ABR23" s="3741"/>
      <c r="ABS23" s="3741"/>
      <c r="ABT23" s="3741"/>
      <c r="ABU23" s="3741"/>
      <c r="ABV23" s="3741"/>
      <c r="ABW23" s="3741"/>
      <c r="ABX23" s="3741"/>
      <c r="ABY23" s="3741"/>
      <c r="ABZ23" s="3741"/>
      <c r="ACA23" s="3741"/>
      <c r="ACB23" s="3741"/>
      <c r="ACC23" s="3741"/>
      <c r="ACD23" s="3741"/>
      <c r="ACE23" s="3741"/>
      <c r="ACF23" s="3741"/>
      <c r="ACG23" s="3741"/>
      <c r="ACH23" s="3741"/>
      <c r="ACI23" s="3741"/>
      <c r="ACJ23" s="3741"/>
      <c r="ACK23" s="3741"/>
      <c r="ACL23" s="3741"/>
      <c r="ACM23" s="3741"/>
      <c r="ACN23" s="3741"/>
      <c r="ACO23" s="3741"/>
      <c r="ACP23" s="3741"/>
      <c r="ACQ23" s="3741"/>
      <c r="ACR23" s="3741"/>
      <c r="ACS23" s="3741"/>
      <c r="ACT23" s="3741"/>
      <c r="ACU23" s="3741"/>
      <c r="ACV23" s="3741"/>
      <c r="ACW23" s="3741"/>
      <c r="ACX23" s="3741"/>
      <c r="ACY23" s="3741"/>
      <c r="ACZ23" s="3741"/>
      <c r="ADA23" s="3741"/>
      <c r="ADB23" s="3741"/>
      <c r="ADC23" s="3741"/>
      <c r="ADD23" s="3741"/>
      <c r="ADE23" s="3741"/>
      <c r="ADF23" s="3741"/>
      <c r="ADG23" s="3741"/>
      <c r="ADH23" s="3741"/>
      <c r="ADI23" s="3741"/>
      <c r="ADJ23" s="3741"/>
      <c r="ADK23" s="3741"/>
      <c r="ADL23" s="3741"/>
      <c r="ADM23" s="3741"/>
      <c r="ADN23" s="3741"/>
      <c r="ADO23" s="3741"/>
      <c r="ADP23" s="3741"/>
      <c r="ADQ23" s="3741"/>
      <c r="ADR23" s="3741"/>
      <c r="ADS23" s="3741"/>
      <c r="ADT23" s="3741"/>
      <c r="ADU23" s="3741"/>
      <c r="ADV23" s="3741"/>
      <c r="ADW23" s="3741"/>
      <c r="ADX23" s="3741"/>
      <c r="ADY23" s="3741"/>
      <c r="ADZ23" s="3741"/>
      <c r="AEA23" s="3741"/>
      <c r="AEB23" s="3741"/>
      <c r="AEC23" s="3741"/>
      <c r="AED23" s="3741"/>
      <c r="AEE23" s="3741"/>
      <c r="AEF23" s="3741"/>
      <c r="AEG23" s="3741"/>
      <c r="AEH23" s="3741"/>
      <c r="AEI23" s="3741"/>
      <c r="AEJ23" s="3741"/>
      <c r="AEK23" s="3741"/>
      <c r="AEL23" s="3741"/>
      <c r="AEM23" s="3741"/>
      <c r="AEN23" s="3741"/>
      <c r="AEO23" s="3741"/>
      <c r="AEP23" s="3741"/>
      <c r="AEQ23" s="3741"/>
      <c r="AER23" s="3741"/>
      <c r="AES23" s="3741"/>
      <c r="AET23" s="3741"/>
      <c r="AEU23" s="3741"/>
      <c r="AEV23" s="3741"/>
      <c r="AEW23" s="3741"/>
      <c r="AEX23" s="3741"/>
      <c r="AEY23" s="3741"/>
      <c r="AEZ23" s="3741"/>
      <c r="AFA23" s="3741"/>
      <c r="AFB23" s="3741"/>
      <c r="AFC23" s="3741"/>
      <c r="AFD23" s="3741"/>
      <c r="AFE23" s="3741"/>
      <c r="AFF23" s="3741"/>
      <c r="AFG23" s="3741"/>
      <c r="AFH23" s="3741"/>
      <c r="AFI23" s="3741"/>
      <c r="AFJ23" s="3741"/>
      <c r="AFK23" s="3741"/>
      <c r="AFL23" s="3741"/>
      <c r="AFM23" s="3741"/>
      <c r="AFN23" s="3741"/>
      <c r="AFO23" s="3741"/>
      <c r="AFP23" s="3741"/>
      <c r="AFQ23" s="3741"/>
      <c r="AFR23" s="3741"/>
      <c r="AFS23" s="3741"/>
      <c r="AFT23" s="3741"/>
      <c r="AFU23" s="3741"/>
      <c r="AFV23" s="3741"/>
      <c r="AFW23" s="3741"/>
      <c r="AFX23" s="3741"/>
      <c r="AFY23" s="3741"/>
      <c r="AFZ23" s="3741"/>
      <c r="AGA23" s="3741"/>
      <c r="AGB23" s="3741"/>
      <c r="AGC23" s="3741"/>
      <c r="AGD23" s="3741"/>
      <c r="AGE23" s="3741"/>
      <c r="AGF23" s="3741"/>
      <c r="AGG23" s="3741"/>
      <c r="AGH23" s="3741"/>
      <c r="AGI23" s="3741"/>
      <c r="AGJ23" s="3741"/>
      <c r="AGK23" s="3741"/>
      <c r="AGL23" s="3741"/>
      <c r="AGM23" s="3741"/>
      <c r="AGN23" s="3741"/>
      <c r="AGO23" s="3741"/>
      <c r="AGP23" s="3741"/>
      <c r="AGQ23" s="3741"/>
      <c r="AGR23" s="3741"/>
      <c r="AGS23" s="3741"/>
      <c r="AGT23" s="3741"/>
      <c r="AGU23" s="3741"/>
      <c r="AGV23" s="3741"/>
      <c r="AGW23" s="3741"/>
      <c r="AGX23" s="3741"/>
      <c r="AGY23" s="3741"/>
      <c r="AGZ23" s="3741"/>
      <c r="AHA23" s="3741"/>
      <c r="AHB23" s="3741"/>
      <c r="AHC23" s="3741"/>
      <c r="AHD23" s="3741"/>
      <c r="AHE23" s="3741"/>
      <c r="AHF23" s="3741"/>
      <c r="AHG23" s="3741"/>
      <c r="AHH23" s="3741"/>
      <c r="AHI23" s="3741"/>
      <c r="AHJ23" s="3741"/>
      <c r="AHK23" s="3741"/>
      <c r="AHL23" s="3741"/>
      <c r="AHM23" s="3741"/>
      <c r="AHN23" s="3741"/>
      <c r="AHO23" s="3741"/>
      <c r="AHP23" s="3741"/>
      <c r="AHQ23" s="3741"/>
      <c r="AHR23" s="3741"/>
      <c r="AHS23" s="3741"/>
      <c r="AHT23" s="3741"/>
      <c r="AHU23" s="3741"/>
      <c r="AHV23" s="3741"/>
      <c r="AHW23" s="3741"/>
      <c r="AHX23" s="3741"/>
      <c r="AHY23" s="3741"/>
      <c r="AHZ23" s="3741"/>
      <c r="AIA23" s="3741"/>
      <c r="AIB23" s="3741"/>
      <c r="AIC23" s="3741"/>
      <c r="AID23" s="3741"/>
      <c r="AIE23" s="3741"/>
      <c r="AIF23" s="3741"/>
      <c r="AIG23" s="3741"/>
      <c r="AIH23" s="3741"/>
      <c r="AII23" s="3741"/>
      <c r="AIJ23" s="3741"/>
      <c r="AIK23" s="3741"/>
      <c r="AIL23" s="3741"/>
      <c r="AIM23" s="3741"/>
      <c r="AIN23" s="3741"/>
      <c r="AIO23" s="3741"/>
      <c r="AIP23" s="3741"/>
      <c r="AIQ23" s="3741"/>
      <c r="AIR23" s="3741"/>
      <c r="AIS23" s="3741"/>
      <c r="AIT23" s="3741"/>
      <c r="AIU23" s="3741"/>
      <c r="AIV23" s="3741"/>
      <c r="AIW23" s="3741"/>
      <c r="AIX23" s="3741"/>
      <c r="AIY23" s="3741"/>
      <c r="AIZ23" s="3741"/>
      <c r="AJA23" s="3741"/>
      <c r="AJB23" s="3741"/>
      <c r="AJC23" s="3741"/>
      <c r="AJD23" s="3741"/>
      <c r="AJE23" s="3741"/>
      <c r="AJF23" s="3741"/>
      <c r="AJG23" s="3741"/>
      <c r="AJH23" s="3741"/>
      <c r="AJI23" s="3741"/>
      <c r="AJJ23" s="3741"/>
      <c r="AJK23" s="3741"/>
      <c r="AJL23" s="3741"/>
      <c r="AJM23" s="3741"/>
      <c r="AJN23" s="3741"/>
      <c r="AJO23" s="3741"/>
      <c r="AJP23" s="3741"/>
      <c r="AJQ23" s="3741"/>
      <c r="AJR23" s="3741"/>
      <c r="AJS23" s="3741"/>
      <c r="AJT23" s="3741"/>
      <c r="AJU23" s="3741"/>
      <c r="AJV23" s="3741"/>
      <c r="AJW23" s="3741"/>
      <c r="AJX23" s="3741"/>
      <c r="AJY23" s="3741"/>
      <c r="AJZ23" s="3741"/>
      <c r="AKA23" s="3741"/>
      <c r="AKB23" s="3741"/>
      <c r="AKC23" s="3741"/>
      <c r="AKD23" s="3741"/>
      <c r="AKE23" s="3741"/>
      <c r="AKF23" s="3741"/>
      <c r="AKG23" s="3741"/>
      <c r="AKH23" s="3741"/>
      <c r="AKI23" s="3741"/>
      <c r="AKJ23" s="3741"/>
      <c r="AKK23" s="3741"/>
      <c r="AKL23" s="3741"/>
      <c r="AKM23" s="3741"/>
      <c r="AKN23" s="3741"/>
      <c r="AKO23" s="3741"/>
      <c r="AKP23" s="3741"/>
      <c r="AKQ23" s="3741"/>
      <c r="AKR23" s="3741"/>
      <c r="AKS23" s="3741"/>
      <c r="AKT23" s="3741"/>
      <c r="AKU23" s="3741"/>
      <c r="AKV23" s="3741"/>
      <c r="AKW23" s="3741"/>
      <c r="AKX23" s="3741"/>
      <c r="AKY23" s="3741"/>
      <c r="AKZ23" s="3741"/>
      <c r="ALA23" s="3741"/>
      <c r="ALB23" s="3741"/>
      <c r="ALC23" s="3741"/>
      <c r="ALD23" s="3741"/>
      <c r="ALE23" s="3741"/>
      <c r="ALF23" s="3741"/>
      <c r="ALG23" s="3741"/>
      <c r="ALH23" s="3741"/>
      <c r="ALI23" s="3741"/>
      <c r="ALJ23" s="3741"/>
      <c r="ALK23" s="3741"/>
      <c r="ALL23" s="3741"/>
      <c r="ALM23" s="3741"/>
      <c r="ALN23" s="3741"/>
      <c r="ALO23" s="3741"/>
      <c r="ALP23" s="3741"/>
      <c r="ALQ23" s="3741"/>
      <c r="ALR23" s="3741"/>
      <c r="ALS23" s="3741"/>
      <c r="ALT23" s="3741"/>
      <c r="ALU23" s="3741"/>
      <c r="ALV23" s="3741"/>
      <c r="ALW23" s="3741"/>
      <c r="ALX23" s="3741"/>
      <c r="ALY23" s="3741"/>
      <c r="ALZ23" s="3741"/>
      <c r="AMA23" s="3741"/>
      <c r="AMB23" s="3741"/>
      <c r="AMC23" s="3741"/>
      <c r="AMD23" s="3741"/>
      <c r="AME23" s="3741"/>
      <c r="AMF23" s="3741"/>
      <c r="AMG23" s="3741"/>
      <c r="AMH23" s="3741"/>
      <c r="AMI23" s="3741"/>
      <c r="AMJ23" s="3741"/>
      <c r="AMK23" s="3741"/>
      <c r="AML23" s="3741"/>
      <c r="AMM23" s="3741"/>
      <c r="AMN23" s="3741"/>
      <c r="AMO23" s="3741"/>
      <c r="AMP23" s="3741"/>
      <c r="AMQ23" s="3741"/>
      <c r="AMR23" s="3741"/>
      <c r="AMS23" s="3741"/>
      <c r="AMT23" s="3741"/>
      <c r="AMU23" s="3741"/>
      <c r="AMV23" s="3741"/>
      <c r="AMW23" s="3741"/>
      <c r="AMX23" s="3741"/>
      <c r="AMY23" s="3741"/>
      <c r="AMZ23" s="3741"/>
      <c r="ANA23" s="3741"/>
      <c r="ANB23" s="3741"/>
      <c r="ANC23" s="3741"/>
      <c r="AND23" s="3741"/>
      <c r="ANE23" s="3741"/>
      <c r="ANF23" s="3741"/>
      <c r="ANG23" s="3741"/>
      <c r="ANH23" s="3741"/>
      <c r="ANI23" s="3741"/>
      <c r="ANJ23" s="3741"/>
      <c r="ANK23" s="3741"/>
      <c r="ANL23" s="3741"/>
      <c r="ANM23" s="3741"/>
      <c r="ANN23" s="3741"/>
      <c r="ANO23" s="3741"/>
      <c r="ANP23" s="3741"/>
      <c r="ANQ23" s="3741"/>
      <c r="ANR23" s="3741"/>
      <c r="ANS23" s="3741"/>
      <c r="ANT23" s="3741"/>
      <c r="ANU23" s="3741"/>
      <c r="ANV23" s="3741"/>
      <c r="ANW23" s="3741"/>
      <c r="ANX23" s="3741"/>
      <c r="ANY23" s="3741"/>
      <c r="ANZ23" s="3741"/>
      <c r="AOA23" s="3741"/>
      <c r="AOB23" s="3741"/>
      <c r="AOC23" s="3741"/>
      <c r="AOD23" s="3741"/>
      <c r="AOE23" s="3741"/>
      <c r="AOF23" s="3741"/>
      <c r="AOG23" s="3741"/>
      <c r="AOH23" s="3741"/>
      <c r="AOI23" s="3741"/>
      <c r="AOJ23" s="3741"/>
      <c r="AOK23" s="3741"/>
      <c r="AOL23" s="3741"/>
      <c r="AOM23" s="3741"/>
      <c r="AON23" s="3741"/>
      <c r="AOO23" s="3741"/>
      <c r="AOP23" s="3741"/>
      <c r="AOQ23" s="3741"/>
      <c r="AOR23" s="3741"/>
      <c r="AOS23" s="3741"/>
      <c r="AOT23" s="3741"/>
      <c r="AOU23" s="3741"/>
      <c r="AOV23" s="3741"/>
      <c r="AOW23" s="3741"/>
      <c r="AOX23" s="3741"/>
      <c r="AOY23" s="3741"/>
      <c r="AOZ23" s="3741"/>
      <c r="APA23" s="3741"/>
      <c r="APB23" s="3741"/>
      <c r="APC23" s="3741"/>
      <c r="APD23" s="3741"/>
      <c r="APE23" s="3741"/>
      <c r="APF23" s="3741"/>
      <c r="APG23" s="3741"/>
      <c r="APH23" s="3741"/>
      <c r="API23" s="3741"/>
      <c r="APJ23" s="3741"/>
      <c r="APK23" s="3741"/>
      <c r="APL23" s="3741"/>
      <c r="APM23" s="3741"/>
      <c r="APN23" s="3741"/>
      <c r="APO23" s="3741"/>
      <c r="APP23" s="3741"/>
      <c r="APQ23" s="3741"/>
      <c r="APR23" s="3741"/>
      <c r="APS23" s="3741"/>
      <c r="APT23" s="3741"/>
      <c r="APU23" s="3741"/>
      <c r="APV23" s="3741"/>
      <c r="APW23" s="3741"/>
      <c r="APX23" s="3741"/>
      <c r="APY23" s="3741"/>
      <c r="APZ23" s="3741"/>
      <c r="AQA23" s="3741"/>
      <c r="AQB23" s="3741"/>
      <c r="AQC23" s="3741"/>
      <c r="AQD23" s="3741"/>
      <c r="AQE23" s="3741"/>
      <c r="AQF23" s="3741"/>
      <c r="AQG23" s="3741"/>
      <c r="AQH23" s="3741"/>
      <c r="AQI23" s="3741"/>
      <c r="AQJ23" s="3741"/>
      <c r="AQK23" s="3741"/>
      <c r="AQL23" s="3741"/>
      <c r="AQM23" s="3741"/>
      <c r="AQN23" s="3741"/>
      <c r="AQO23" s="3741"/>
      <c r="AQP23" s="3741"/>
      <c r="AQQ23" s="3741"/>
      <c r="AQR23" s="3741"/>
      <c r="AQS23" s="3741"/>
      <c r="AQT23" s="3741"/>
      <c r="AQU23" s="3741"/>
      <c r="AQV23" s="3741"/>
      <c r="AQW23" s="3741"/>
      <c r="AQX23" s="3741"/>
      <c r="AQY23" s="3741"/>
      <c r="AQZ23" s="3741"/>
      <c r="ARA23" s="3741"/>
      <c r="ARB23" s="3741"/>
      <c r="ARC23" s="3741"/>
      <c r="ARD23" s="3741"/>
      <c r="ARE23" s="3741"/>
      <c r="ARF23" s="3741"/>
      <c r="ARG23" s="3741"/>
      <c r="ARH23" s="3741"/>
      <c r="ARI23" s="3741"/>
      <c r="ARJ23" s="3741"/>
      <c r="ARK23" s="3741"/>
      <c r="ARL23" s="3741"/>
      <c r="ARM23" s="3741"/>
      <c r="ARN23" s="3741"/>
      <c r="ARO23" s="3741"/>
      <c r="ARP23" s="3741"/>
      <c r="ARQ23" s="3741"/>
      <c r="ARR23" s="3741"/>
      <c r="ARS23" s="3741"/>
      <c r="ART23" s="3741"/>
      <c r="ARU23" s="3741"/>
      <c r="ARV23" s="3741"/>
      <c r="ARW23" s="3741"/>
      <c r="ARX23" s="3741"/>
      <c r="ARY23" s="3741"/>
      <c r="ARZ23" s="3741"/>
      <c r="ASA23" s="3741"/>
      <c r="ASB23" s="3741"/>
      <c r="ASC23" s="3741"/>
      <c r="ASD23" s="3741"/>
      <c r="ASE23" s="3741"/>
      <c r="ASF23" s="3741"/>
      <c r="ASG23" s="3741"/>
      <c r="ASH23" s="3741"/>
      <c r="ASI23" s="3741"/>
      <c r="ASJ23" s="3741"/>
      <c r="ASK23" s="3741"/>
      <c r="ASL23" s="3741"/>
      <c r="ASM23" s="3741"/>
      <c r="ASN23" s="3741"/>
      <c r="ASO23" s="3741"/>
      <c r="ASP23" s="3741"/>
      <c r="ASQ23" s="3741"/>
      <c r="ASR23" s="3741"/>
      <c r="ASS23" s="3741"/>
      <c r="AST23" s="3741"/>
      <c r="ASU23" s="3741"/>
      <c r="ASV23" s="3741"/>
      <c r="ASW23" s="3741"/>
      <c r="ASX23" s="3741"/>
      <c r="ASY23" s="3741"/>
      <c r="ASZ23" s="3741"/>
      <c r="ATA23" s="3741"/>
      <c r="ATB23" s="3741"/>
      <c r="ATC23" s="3741"/>
      <c r="ATD23" s="3741"/>
      <c r="ATE23" s="3741"/>
      <c r="ATF23" s="3741"/>
      <c r="ATG23" s="3741"/>
      <c r="ATH23" s="3741"/>
      <c r="ATI23" s="3741"/>
      <c r="ATJ23" s="3741"/>
      <c r="ATK23" s="3741"/>
      <c r="ATL23" s="3741"/>
      <c r="ATM23" s="3741"/>
      <c r="ATN23" s="3741"/>
      <c r="ATO23" s="3741"/>
      <c r="ATP23" s="3741"/>
      <c r="ATQ23" s="3741"/>
      <c r="ATR23" s="3741"/>
      <c r="ATS23" s="3741"/>
      <c r="ATT23" s="3741"/>
      <c r="ATU23" s="3741"/>
      <c r="ATV23" s="3741"/>
      <c r="ATW23" s="3741"/>
      <c r="ATX23" s="3741"/>
      <c r="ATY23" s="3741"/>
      <c r="ATZ23" s="3741"/>
      <c r="AUA23" s="3741"/>
      <c r="AUB23" s="3741"/>
      <c r="AUC23" s="3741"/>
      <c r="AUD23" s="3741"/>
      <c r="AUE23" s="3741"/>
      <c r="AUF23" s="3741"/>
      <c r="AUG23" s="3741"/>
      <c r="AUH23" s="3741"/>
      <c r="AUI23" s="3741"/>
      <c r="AUJ23" s="3741"/>
      <c r="AUK23" s="3741"/>
      <c r="AUL23" s="3741"/>
      <c r="AUM23" s="3741"/>
      <c r="AUN23" s="3741"/>
      <c r="AUO23" s="3741"/>
      <c r="AUP23" s="3741"/>
      <c r="AUQ23" s="3741"/>
      <c r="AUR23" s="3741"/>
      <c r="AUS23" s="3741"/>
      <c r="AUT23" s="3741"/>
      <c r="AUU23" s="3741"/>
      <c r="AUV23" s="3741"/>
      <c r="AUW23" s="3741"/>
      <c r="AUX23" s="3741"/>
      <c r="AUY23" s="3741"/>
      <c r="AUZ23" s="3741"/>
      <c r="AVA23" s="3741"/>
      <c r="AVB23" s="3741"/>
      <c r="AVC23" s="3741"/>
      <c r="AVD23" s="3741"/>
      <c r="AVE23" s="3741"/>
      <c r="AVF23" s="3741"/>
      <c r="AVG23" s="3741"/>
      <c r="AVH23" s="3741"/>
      <c r="AVI23" s="3741"/>
      <c r="AVJ23" s="3741"/>
      <c r="AVK23" s="3741"/>
      <c r="AVL23" s="3741"/>
      <c r="AVM23" s="3741"/>
      <c r="AVN23" s="3741"/>
      <c r="AVO23" s="3741"/>
      <c r="AVP23" s="3741"/>
      <c r="AVQ23" s="3741"/>
      <c r="AVR23" s="3741"/>
      <c r="AVS23" s="3741"/>
      <c r="AVT23" s="3741"/>
      <c r="AVU23" s="3741"/>
      <c r="AVV23" s="3741"/>
      <c r="AVW23" s="3741"/>
      <c r="AVX23" s="3741"/>
      <c r="AVY23" s="3741"/>
      <c r="AVZ23" s="3741"/>
      <c r="AWA23" s="3741"/>
      <c r="AWB23" s="3741"/>
      <c r="AWC23" s="3741"/>
      <c r="AWD23" s="3741"/>
      <c r="AWE23" s="3741"/>
      <c r="AWF23" s="3741"/>
      <c r="AWG23" s="3741"/>
      <c r="AWH23" s="3741"/>
      <c r="AWI23" s="3741"/>
      <c r="AWJ23" s="3741"/>
      <c r="AWK23" s="3741"/>
      <c r="AWL23" s="3741"/>
      <c r="AWM23" s="3741"/>
      <c r="AWN23" s="3741"/>
      <c r="AWO23" s="3741"/>
      <c r="AWP23" s="3741"/>
      <c r="AWQ23" s="3741"/>
      <c r="AWR23" s="3741"/>
      <c r="AWS23" s="3741"/>
      <c r="AWT23" s="3741"/>
      <c r="AWU23" s="3741"/>
      <c r="AWV23" s="3741"/>
      <c r="AWW23" s="3741"/>
      <c r="AWX23" s="3741"/>
      <c r="AWY23" s="3741"/>
      <c r="AWZ23" s="3741"/>
      <c r="AXA23" s="3741"/>
      <c r="AXB23" s="3741"/>
      <c r="AXC23" s="3741"/>
      <c r="AXD23" s="3741"/>
      <c r="AXE23" s="3741"/>
      <c r="AXF23" s="3741"/>
      <c r="AXG23" s="3741"/>
      <c r="AXH23" s="3741"/>
      <c r="AXI23" s="3741"/>
      <c r="AXJ23" s="3741"/>
      <c r="AXK23" s="3741"/>
      <c r="AXL23" s="3741"/>
      <c r="AXM23" s="3741"/>
      <c r="AXN23" s="3741"/>
      <c r="AXO23" s="3741"/>
      <c r="AXP23" s="3741"/>
      <c r="AXQ23" s="3741"/>
      <c r="AXR23" s="3741"/>
      <c r="AXS23" s="3741"/>
      <c r="AXT23" s="3741"/>
      <c r="AXU23" s="3741"/>
      <c r="AXV23" s="3741"/>
      <c r="AXW23" s="3741"/>
      <c r="AXX23" s="3741"/>
      <c r="AXY23" s="3741"/>
      <c r="AXZ23" s="3741"/>
      <c r="AYA23" s="3741"/>
      <c r="AYB23" s="3741"/>
      <c r="AYC23" s="3741"/>
      <c r="AYD23" s="3741"/>
      <c r="AYE23" s="3741"/>
      <c r="AYF23" s="3741"/>
      <c r="AYG23" s="3741"/>
      <c r="AYH23" s="3741"/>
      <c r="AYI23" s="3741"/>
      <c r="AYJ23" s="3741"/>
      <c r="AYK23" s="3741"/>
      <c r="AYL23" s="3741"/>
      <c r="AYM23" s="3741"/>
      <c r="AYN23" s="3741"/>
      <c r="AYO23" s="3741"/>
      <c r="AYP23" s="3741"/>
      <c r="AYQ23" s="3741"/>
      <c r="AYR23" s="3741"/>
      <c r="AYS23" s="3741"/>
      <c r="AYT23" s="3741"/>
      <c r="AYU23" s="3741"/>
      <c r="AYV23" s="3741"/>
      <c r="AYW23" s="3741"/>
      <c r="AYX23" s="3741"/>
      <c r="AYY23" s="3741"/>
      <c r="AYZ23" s="3741"/>
      <c r="AZA23" s="3741"/>
      <c r="AZB23" s="3741"/>
      <c r="AZC23" s="3741"/>
      <c r="AZD23" s="3741"/>
      <c r="AZE23" s="3741"/>
      <c r="AZF23" s="3741"/>
      <c r="AZG23" s="3741"/>
      <c r="AZH23" s="3741"/>
      <c r="AZI23" s="3741"/>
      <c r="AZJ23" s="3741"/>
      <c r="AZK23" s="3741"/>
      <c r="AZL23" s="3741"/>
      <c r="AZM23" s="3741"/>
      <c r="AZN23" s="3741"/>
      <c r="AZO23" s="3741"/>
      <c r="AZP23" s="3741"/>
      <c r="AZQ23" s="3741"/>
      <c r="AZR23" s="3741"/>
      <c r="AZS23" s="3741"/>
      <c r="AZT23" s="3741"/>
      <c r="AZU23" s="3741"/>
      <c r="AZV23" s="3741"/>
      <c r="AZW23" s="3741"/>
      <c r="AZX23" s="3741"/>
      <c r="AZY23" s="3741"/>
      <c r="AZZ23" s="3741"/>
      <c r="BAA23" s="3741"/>
      <c r="BAB23" s="3741"/>
      <c r="BAC23" s="3741"/>
      <c r="BAD23" s="3741"/>
      <c r="BAE23" s="3741"/>
      <c r="BAF23" s="3741"/>
      <c r="BAG23" s="3741"/>
      <c r="BAH23" s="3741"/>
      <c r="BAI23" s="3741"/>
      <c r="BAJ23" s="3741"/>
      <c r="BAK23" s="3741"/>
      <c r="BAL23" s="3741"/>
      <c r="BAM23" s="3741"/>
      <c r="BAN23" s="3741"/>
      <c r="BAO23" s="3741"/>
      <c r="BAP23" s="3741"/>
      <c r="BAQ23" s="3741"/>
      <c r="BAR23" s="3741"/>
      <c r="BAS23" s="3741"/>
      <c r="BAT23" s="3741"/>
      <c r="BAU23" s="3741"/>
      <c r="BAV23" s="3741"/>
      <c r="BAW23" s="3741"/>
      <c r="BAX23" s="3741"/>
      <c r="BAY23" s="3741"/>
      <c r="BAZ23" s="3741"/>
      <c r="BBA23" s="3741"/>
      <c r="BBB23" s="3741"/>
      <c r="BBC23" s="3741"/>
      <c r="BBD23" s="3741"/>
      <c r="BBE23" s="3741"/>
      <c r="BBF23" s="3741"/>
      <c r="BBG23" s="3741"/>
      <c r="BBH23" s="3741"/>
      <c r="BBI23" s="3741"/>
      <c r="BBJ23" s="3741"/>
      <c r="BBK23" s="3741"/>
      <c r="BBL23" s="3741"/>
      <c r="BBM23" s="3741"/>
      <c r="BBN23" s="3741"/>
      <c r="BBO23" s="3741"/>
      <c r="BBP23" s="3741"/>
      <c r="BBQ23" s="3741"/>
      <c r="BBR23" s="3741"/>
      <c r="BBS23" s="3741"/>
      <c r="BBT23" s="3741"/>
      <c r="BBU23" s="3741"/>
      <c r="BBV23" s="3741"/>
      <c r="BBW23" s="3741"/>
      <c r="BBX23" s="3741"/>
      <c r="BBY23" s="3741"/>
      <c r="BBZ23" s="3741"/>
      <c r="BCA23" s="3741"/>
      <c r="BCB23" s="3741"/>
      <c r="BCC23" s="3741"/>
      <c r="BCD23" s="3741"/>
      <c r="BCE23" s="3741"/>
      <c r="BCF23" s="3741"/>
      <c r="BCG23" s="3741"/>
      <c r="BCH23" s="3741"/>
      <c r="BCI23" s="3741"/>
      <c r="BCJ23" s="3741"/>
      <c r="BCK23" s="3741"/>
      <c r="BCL23" s="3741"/>
      <c r="BCM23" s="3741"/>
      <c r="BCN23" s="3741"/>
      <c r="BCO23" s="3741"/>
      <c r="BCP23" s="3741"/>
      <c r="BCQ23" s="3741"/>
      <c r="BCR23" s="3741"/>
      <c r="BCS23" s="3741"/>
      <c r="BCT23" s="3741"/>
      <c r="BCU23" s="3741"/>
      <c r="BCV23" s="3741"/>
      <c r="BCW23" s="3741"/>
      <c r="BCX23" s="3741"/>
      <c r="BCY23" s="3741"/>
      <c r="BCZ23" s="3741"/>
      <c r="BDA23" s="3741"/>
      <c r="BDB23" s="3741"/>
      <c r="BDC23" s="3741"/>
      <c r="BDD23" s="3741"/>
      <c r="BDE23" s="3741"/>
      <c r="BDF23" s="3741"/>
      <c r="BDG23" s="3741"/>
      <c r="BDH23" s="3741"/>
      <c r="BDI23" s="3741"/>
      <c r="BDJ23" s="3741"/>
      <c r="BDK23" s="3741"/>
      <c r="BDL23" s="3741"/>
      <c r="BDM23" s="3741"/>
      <c r="BDN23" s="3741"/>
      <c r="BDO23" s="3741"/>
      <c r="BDP23" s="3741"/>
      <c r="BDQ23" s="3741"/>
      <c r="BDR23" s="3741"/>
      <c r="BDS23" s="3741"/>
      <c r="BDT23" s="3741"/>
      <c r="BDU23" s="3741"/>
      <c r="BDV23" s="3741"/>
      <c r="BDW23" s="3741"/>
      <c r="BDX23" s="3741"/>
      <c r="BDY23" s="3741"/>
      <c r="BDZ23" s="3741"/>
      <c r="BEA23" s="3741"/>
      <c r="BEB23" s="3741"/>
      <c r="BEC23" s="3741"/>
      <c r="BED23" s="3741"/>
      <c r="BEE23" s="3741"/>
      <c r="BEF23" s="3741"/>
      <c r="BEG23" s="3741"/>
      <c r="BEH23" s="3741"/>
      <c r="BEI23" s="3741"/>
      <c r="BEJ23" s="3741"/>
      <c r="BEK23" s="3741"/>
      <c r="BEL23" s="3741"/>
      <c r="BEM23" s="3741"/>
      <c r="BEN23" s="3741"/>
      <c r="BEO23" s="3741"/>
      <c r="BEP23" s="3741"/>
      <c r="BEQ23" s="3741"/>
      <c r="BER23" s="3741"/>
      <c r="BES23" s="3741"/>
      <c r="BET23" s="3741"/>
      <c r="BEU23" s="3741"/>
      <c r="BEV23" s="3741"/>
      <c r="BEW23" s="3741"/>
      <c r="BEX23" s="3741"/>
      <c r="BEY23" s="3741"/>
      <c r="BEZ23" s="3741"/>
      <c r="BFA23" s="3741"/>
      <c r="BFB23" s="3741"/>
      <c r="BFC23" s="3741"/>
      <c r="BFD23" s="3741"/>
      <c r="BFE23" s="3741"/>
      <c r="BFF23" s="3741"/>
      <c r="BFG23" s="3741"/>
      <c r="BFH23" s="3741"/>
      <c r="BFI23" s="3741"/>
      <c r="BFJ23" s="3741"/>
      <c r="BFK23" s="3741"/>
      <c r="BFL23" s="3741"/>
      <c r="BFM23" s="3741"/>
      <c r="BFN23" s="3741"/>
      <c r="BFO23" s="3741"/>
      <c r="BFP23" s="3741"/>
      <c r="BFQ23" s="3741"/>
      <c r="BFR23" s="3741"/>
      <c r="BFS23" s="3741"/>
      <c r="BFT23" s="3741"/>
      <c r="BFU23" s="3741"/>
      <c r="BFV23" s="3741"/>
      <c r="BFW23" s="3741"/>
      <c r="BFX23" s="3741"/>
      <c r="BFY23" s="3741"/>
      <c r="BFZ23" s="3741"/>
      <c r="BGA23" s="3741"/>
      <c r="BGB23" s="3741"/>
      <c r="BGC23" s="3741"/>
      <c r="BGD23" s="3741"/>
      <c r="BGE23" s="3741"/>
      <c r="BGF23" s="3741"/>
      <c r="BGG23" s="3741"/>
      <c r="BGH23" s="3741"/>
      <c r="BGI23" s="3741"/>
      <c r="BGJ23" s="3741"/>
      <c r="BGK23" s="3741"/>
      <c r="BGL23" s="3741"/>
      <c r="BGM23" s="3741"/>
      <c r="BGN23" s="3741"/>
      <c r="BGO23" s="3741"/>
      <c r="BGP23" s="3741"/>
      <c r="BGQ23" s="3741"/>
      <c r="BGR23" s="3741"/>
      <c r="BGS23" s="3741"/>
      <c r="BGT23" s="3741"/>
      <c r="BGU23" s="3741"/>
      <c r="BGV23" s="3741"/>
      <c r="BGW23" s="3741"/>
      <c r="BGX23" s="3741"/>
      <c r="BGY23" s="3741"/>
      <c r="BGZ23" s="3741"/>
      <c r="BHA23" s="3741"/>
      <c r="BHB23" s="3741"/>
      <c r="BHC23" s="3741"/>
      <c r="BHD23" s="3741"/>
      <c r="BHE23" s="3741"/>
      <c r="BHF23" s="3741"/>
      <c r="BHG23" s="3741"/>
      <c r="BHH23" s="3741"/>
      <c r="BHI23" s="3741"/>
      <c r="BHJ23" s="3741"/>
      <c r="BHK23" s="3741"/>
      <c r="BHL23" s="3741"/>
      <c r="BHM23" s="3741"/>
      <c r="BHN23" s="3741"/>
      <c r="BHO23" s="3741"/>
      <c r="BHP23" s="3741"/>
      <c r="BHQ23" s="3741"/>
      <c r="BHR23" s="3741"/>
      <c r="BHS23" s="3741"/>
      <c r="BHT23" s="3741"/>
      <c r="BHU23" s="3741"/>
      <c r="BHV23" s="3741"/>
      <c r="BHW23" s="3741"/>
      <c r="BHX23" s="3741"/>
      <c r="BHY23" s="3741"/>
      <c r="BHZ23" s="3741"/>
      <c r="BIA23" s="3741"/>
      <c r="BIB23" s="3741"/>
      <c r="BIC23" s="3741"/>
      <c r="BID23" s="3741"/>
      <c r="BIE23" s="3741"/>
      <c r="BIF23" s="3741"/>
      <c r="BIG23" s="3741"/>
      <c r="BIH23" s="3741"/>
      <c r="BII23" s="3741"/>
      <c r="BIJ23" s="3741"/>
      <c r="BIK23" s="3741"/>
      <c r="BIL23" s="3741"/>
      <c r="BIM23" s="3741"/>
      <c r="BIN23" s="3741"/>
      <c r="BIO23" s="3741"/>
      <c r="BIP23" s="3741"/>
      <c r="BIQ23" s="3741"/>
      <c r="BIR23" s="3741"/>
      <c r="BIS23" s="3741"/>
      <c r="BIT23" s="3741"/>
      <c r="BIU23" s="3741"/>
      <c r="BIV23" s="3741"/>
      <c r="BIW23" s="3741"/>
      <c r="BIX23" s="3741"/>
      <c r="BIY23" s="3741"/>
      <c r="BIZ23" s="3741"/>
      <c r="BJA23" s="3741"/>
      <c r="BJB23" s="3741"/>
      <c r="BJC23" s="3741"/>
      <c r="BJD23" s="3741"/>
      <c r="BJE23" s="3741"/>
      <c r="BJF23" s="3741"/>
      <c r="BJG23" s="3741"/>
      <c r="BJH23" s="3741"/>
      <c r="BJI23" s="3741"/>
      <c r="BJJ23" s="3741"/>
      <c r="BJK23" s="3741"/>
      <c r="BJL23" s="3741"/>
      <c r="BJM23" s="3741"/>
      <c r="BJN23" s="3741"/>
      <c r="BJO23" s="3741"/>
      <c r="BJP23" s="3741"/>
      <c r="BJQ23" s="3741"/>
      <c r="BJR23" s="3741"/>
      <c r="BJS23" s="3741"/>
      <c r="BJT23" s="3741"/>
      <c r="BJU23" s="3741"/>
      <c r="BJV23" s="3741"/>
      <c r="BJW23" s="3741"/>
      <c r="BJX23" s="3741"/>
      <c r="BJY23" s="3741"/>
      <c r="BJZ23" s="3741"/>
      <c r="BKA23" s="3741"/>
      <c r="BKB23" s="3741"/>
      <c r="BKC23" s="3741"/>
      <c r="BKD23" s="3741"/>
      <c r="BKE23" s="3741"/>
      <c r="BKF23" s="3741"/>
      <c r="BKG23" s="3741"/>
      <c r="BKH23" s="3741"/>
      <c r="BKI23" s="3741"/>
      <c r="BKJ23" s="3741"/>
      <c r="BKK23" s="3741"/>
      <c r="BKL23" s="3741"/>
      <c r="BKM23" s="3741"/>
      <c r="BKN23" s="3741"/>
      <c r="BKO23" s="3741"/>
      <c r="BKP23" s="3741"/>
      <c r="BKQ23" s="3741"/>
      <c r="BKR23" s="3741"/>
      <c r="BKS23" s="3741"/>
      <c r="BKT23" s="3741"/>
      <c r="BKU23" s="3741"/>
      <c r="BKV23" s="3741"/>
      <c r="BKW23" s="3741"/>
      <c r="BKX23" s="3741"/>
      <c r="BKY23" s="3741"/>
      <c r="BKZ23" s="3741"/>
      <c r="BLA23" s="3741"/>
      <c r="BLB23" s="3741"/>
      <c r="BLC23" s="3741"/>
      <c r="BLD23" s="3741"/>
      <c r="BLE23" s="3741"/>
      <c r="BLF23" s="3741"/>
      <c r="BLG23" s="3741"/>
      <c r="BLH23" s="3741"/>
      <c r="BLI23" s="3741"/>
      <c r="BLJ23" s="3741"/>
      <c r="BLK23" s="3741"/>
      <c r="BLL23" s="3741"/>
      <c r="BLM23" s="3741"/>
      <c r="BLN23" s="3741"/>
      <c r="BLO23" s="3741"/>
      <c r="BLP23" s="3741"/>
      <c r="BLQ23" s="3741"/>
      <c r="BLR23" s="3741"/>
      <c r="BLS23" s="3741"/>
      <c r="BLT23" s="3741"/>
      <c r="BLU23" s="3741"/>
      <c r="BLV23" s="3741"/>
      <c r="BLW23" s="3741"/>
      <c r="BLX23" s="3741"/>
      <c r="BLY23" s="3741"/>
      <c r="BLZ23" s="3741"/>
      <c r="BMA23" s="3741"/>
      <c r="BMB23" s="3741"/>
      <c r="BMC23" s="3741"/>
      <c r="BMD23" s="3741"/>
      <c r="BME23" s="3741"/>
      <c r="BMF23" s="3741"/>
      <c r="BMG23" s="3741"/>
      <c r="BMH23" s="3741"/>
      <c r="BMI23" s="3741"/>
      <c r="BMJ23" s="3741"/>
      <c r="BMK23" s="3741"/>
      <c r="BML23" s="3741"/>
      <c r="BMM23" s="3741"/>
      <c r="BMN23" s="3741"/>
      <c r="BMO23" s="3741"/>
      <c r="BMP23" s="3741"/>
      <c r="BMQ23" s="3741"/>
      <c r="BMR23" s="3741"/>
      <c r="BMS23" s="3741"/>
      <c r="BMT23" s="3741"/>
      <c r="BMU23" s="3741"/>
      <c r="BMV23" s="3741"/>
      <c r="BMW23" s="3741"/>
      <c r="BMX23" s="3741"/>
      <c r="BMY23" s="3741"/>
      <c r="BMZ23" s="3741"/>
      <c r="BNA23" s="3741"/>
      <c r="BNB23" s="3741"/>
      <c r="BNC23" s="3741"/>
      <c r="BND23" s="3741"/>
      <c r="BNE23" s="3741"/>
      <c r="BNF23" s="3741"/>
      <c r="BNG23" s="3741"/>
      <c r="BNH23" s="3741"/>
      <c r="BNI23" s="3741"/>
      <c r="BNJ23" s="3741"/>
      <c r="BNK23" s="3741"/>
      <c r="BNL23" s="3741"/>
      <c r="BNM23" s="3741"/>
      <c r="BNN23" s="3741"/>
      <c r="BNO23" s="3741"/>
      <c r="BNP23" s="3741"/>
      <c r="BNQ23" s="3741"/>
      <c r="BNR23" s="3741"/>
      <c r="BNS23" s="3741"/>
      <c r="BNT23" s="3741"/>
      <c r="BNU23" s="3741"/>
      <c r="BNV23" s="3741"/>
      <c r="BNW23" s="3741"/>
      <c r="BNX23" s="3741"/>
      <c r="BNY23" s="3741"/>
      <c r="BNZ23" s="3741"/>
      <c r="BOA23" s="3741"/>
      <c r="BOB23" s="3741"/>
      <c r="BOC23" s="3741"/>
      <c r="BOD23" s="3741"/>
      <c r="BOE23" s="3741"/>
      <c r="BOF23" s="3741"/>
      <c r="BOG23" s="3741"/>
      <c r="BOH23" s="3741"/>
      <c r="BOI23" s="3741"/>
      <c r="BOJ23" s="3741"/>
      <c r="BOK23" s="3741"/>
      <c r="BOL23" s="3741"/>
      <c r="BOM23" s="3741"/>
      <c r="BON23" s="3741"/>
      <c r="BOO23" s="3741"/>
      <c r="BOP23" s="3741"/>
      <c r="BOQ23" s="3741"/>
      <c r="BOR23" s="3741"/>
      <c r="BOS23" s="3741"/>
      <c r="BOT23" s="3741"/>
      <c r="BOU23" s="3741"/>
      <c r="BOV23" s="3741"/>
      <c r="BOW23" s="3741"/>
      <c r="BOX23" s="3741"/>
      <c r="BOY23" s="3741"/>
      <c r="BOZ23" s="3741"/>
      <c r="BPA23" s="3741"/>
      <c r="BPB23" s="3741"/>
      <c r="BPC23" s="3741"/>
      <c r="BPD23" s="3741"/>
      <c r="BPE23" s="3741"/>
      <c r="BPF23" s="3741"/>
      <c r="BPG23" s="3741"/>
      <c r="BPH23" s="3741"/>
      <c r="BPI23" s="3741"/>
      <c r="BPJ23" s="3741"/>
      <c r="BPK23" s="3741"/>
      <c r="BPL23" s="3741"/>
      <c r="BPM23" s="3741"/>
      <c r="BPN23" s="3741"/>
      <c r="BPO23" s="3741"/>
      <c r="BPP23" s="3741"/>
      <c r="BPQ23" s="3741"/>
      <c r="BPR23" s="3741"/>
      <c r="BPS23" s="3741"/>
      <c r="BPT23" s="3741"/>
      <c r="BPU23" s="3741"/>
      <c r="BPV23" s="3741"/>
      <c r="BPW23" s="3741"/>
      <c r="BPX23" s="3741"/>
      <c r="BPY23" s="3741"/>
      <c r="BPZ23" s="3741"/>
      <c r="BQA23" s="3741"/>
      <c r="BQB23" s="3741"/>
      <c r="BQC23" s="3741"/>
      <c r="BQD23" s="3741"/>
      <c r="BQE23" s="3741"/>
      <c r="BQF23" s="3741"/>
      <c r="BQG23" s="3741"/>
      <c r="BQH23" s="3741"/>
      <c r="BQI23" s="3741"/>
      <c r="BQJ23" s="3741"/>
      <c r="BQK23" s="3741"/>
      <c r="BQL23" s="3741"/>
      <c r="BQM23" s="3741"/>
      <c r="BQN23" s="3741"/>
      <c r="BQO23" s="3741"/>
      <c r="BQP23" s="3741"/>
      <c r="BQQ23" s="3741"/>
      <c r="BQR23" s="3741"/>
      <c r="BQS23" s="3741"/>
      <c r="BQT23" s="3741"/>
      <c r="BQU23" s="3741"/>
      <c r="BQV23" s="3741"/>
      <c r="BQW23" s="3741"/>
      <c r="BQX23" s="3741"/>
      <c r="BQY23" s="3741"/>
      <c r="BQZ23" s="3741"/>
      <c r="BRA23" s="3741"/>
      <c r="BRB23" s="3741"/>
      <c r="BRC23" s="3741"/>
      <c r="BRD23" s="3741"/>
      <c r="BRE23" s="3741"/>
      <c r="BRF23" s="3741"/>
      <c r="BRG23" s="3741"/>
      <c r="BRH23" s="3741"/>
      <c r="BRI23" s="3741"/>
      <c r="BRJ23" s="3741"/>
      <c r="BRK23" s="3741"/>
      <c r="BRL23" s="3741"/>
      <c r="BRM23" s="3741"/>
      <c r="BRN23" s="3741"/>
      <c r="BRO23" s="3741"/>
      <c r="BRP23" s="3741"/>
      <c r="BRQ23" s="3741"/>
      <c r="BRR23" s="3741"/>
      <c r="BRS23" s="3741"/>
      <c r="BRT23" s="3741"/>
      <c r="BRU23" s="3741"/>
      <c r="BRV23" s="3741"/>
      <c r="BRW23" s="3741"/>
      <c r="BRX23" s="3741"/>
      <c r="BRY23" s="3741"/>
      <c r="BRZ23" s="3741"/>
      <c r="BSA23" s="3741"/>
      <c r="BSB23" s="3741"/>
      <c r="BSC23" s="3741"/>
      <c r="BSD23" s="3741"/>
      <c r="BSE23" s="3741"/>
      <c r="BSF23" s="3741"/>
      <c r="BSG23" s="3741"/>
      <c r="BSH23" s="3741"/>
      <c r="BSI23" s="3741"/>
      <c r="BSJ23" s="3741"/>
      <c r="BSK23" s="3741"/>
      <c r="BSL23" s="3741"/>
      <c r="BSM23" s="3741"/>
      <c r="BSN23" s="3741"/>
      <c r="BSO23" s="3741"/>
      <c r="BSP23" s="3741"/>
      <c r="BSQ23" s="3741"/>
      <c r="BSR23" s="3741"/>
      <c r="BSS23" s="3741"/>
      <c r="BST23" s="3741"/>
      <c r="BSU23" s="3741"/>
      <c r="BSV23" s="3741"/>
      <c r="BSW23" s="3741"/>
      <c r="BSX23" s="3741"/>
      <c r="BSY23" s="3741"/>
      <c r="BSZ23" s="3741"/>
      <c r="BTA23" s="3741"/>
      <c r="BTB23" s="3741"/>
      <c r="BTC23" s="3741"/>
      <c r="BTD23" s="3741"/>
      <c r="BTE23" s="3741"/>
      <c r="BTF23" s="3741"/>
      <c r="BTG23" s="3741"/>
      <c r="BTH23" s="3741"/>
      <c r="BTI23" s="3741"/>
      <c r="BTJ23" s="3741"/>
      <c r="BTK23" s="3741"/>
      <c r="BTL23" s="3741"/>
      <c r="BTM23" s="3741"/>
      <c r="BTN23" s="3741"/>
      <c r="BTO23" s="3741"/>
      <c r="BTP23" s="3741"/>
      <c r="BTQ23" s="3741"/>
      <c r="BTR23" s="3741"/>
      <c r="BTS23" s="3741"/>
      <c r="BTT23" s="3741"/>
      <c r="BTU23" s="3741"/>
      <c r="BTV23" s="3741"/>
      <c r="BTW23" s="3741"/>
      <c r="BTX23" s="3741"/>
      <c r="BTY23" s="3741"/>
      <c r="BTZ23" s="3741"/>
      <c r="BUA23" s="3741"/>
      <c r="BUB23" s="3741"/>
      <c r="BUC23" s="3741"/>
      <c r="BUD23" s="3741"/>
      <c r="BUE23" s="3741"/>
      <c r="BUF23" s="3741"/>
      <c r="BUG23" s="3741"/>
      <c r="BUH23" s="3741"/>
      <c r="BUI23" s="3741"/>
      <c r="BUJ23" s="3741"/>
      <c r="BUK23" s="3741"/>
      <c r="BUL23" s="3741"/>
      <c r="BUM23" s="3741"/>
      <c r="BUN23" s="3741"/>
      <c r="BUO23" s="3741"/>
      <c r="BUP23" s="3741"/>
      <c r="BUQ23" s="3741"/>
      <c r="BUR23" s="3741"/>
      <c r="BUS23" s="3741"/>
      <c r="BUT23" s="3741"/>
      <c r="BUU23" s="3741"/>
      <c r="BUV23" s="3741"/>
      <c r="BUW23" s="3741"/>
      <c r="BUX23" s="3741"/>
      <c r="BUY23" s="3741"/>
      <c r="BUZ23" s="3741"/>
      <c r="BVA23" s="3741"/>
      <c r="BVB23" s="3741"/>
      <c r="BVC23" s="3741"/>
      <c r="BVD23" s="3741"/>
      <c r="BVE23" s="3741"/>
      <c r="BVF23" s="3741"/>
      <c r="BVG23" s="3741"/>
      <c r="BVH23" s="3741"/>
      <c r="BVI23" s="3741"/>
      <c r="BVJ23" s="3741"/>
      <c r="BVK23" s="3741"/>
      <c r="BVL23" s="3741"/>
      <c r="BVM23" s="3741"/>
      <c r="BVN23" s="3741"/>
      <c r="BVO23" s="3741"/>
      <c r="BVP23" s="3741"/>
      <c r="BVQ23" s="3741"/>
      <c r="BVR23" s="3741"/>
      <c r="BVS23" s="3741"/>
      <c r="BVT23" s="3741"/>
      <c r="BVU23" s="3741"/>
      <c r="BVV23" s="3741"/>
      <c r="BVW23" s="3741"/>
      <c r="BVX23" s="3741"/>
      <c r="BVY23" s="3741"/>
      <c r="BVZ23" s="3741"/>
      <c r="BWA23" s="3741"/>
      <c r="BWB23" s="3741"/>
      <c r="BWC23" s="3741"/>
      <c r="BWD23" s="3741"/>
      <c r="BWE23" s="3741"/>
      <c r="BWF23" s="3741"/>
      <c r="BWG23" s="3741"/>
      <c r="BWH23" s="3741"/>
      <c r="BWI23" s="3741"/>
      <c r="BWJ23" s="3741"/>
      <c r="BWK23" s="3741"/>
      <c r="BWL23" s="3741"/>
      <c r="BWM23" s="3741"/>
      <c r="BWN23" s="3741"/>
      <c r="BWO23" s="3741"/>
      <c r="BWP23" s="3741"/>
      <c r="BWQ23" s="3741"/>
      <c r="BWR23" s="3741"/>
      <c r="BWS23" s="3741"/>
      <c r="BWT23" s="3741"/>
      <c r="BWU23" s="3741"/>
      <c r="BWV23" s="3741"/>
      <c r="BWW23" s="3741"/>
      <c r="BWX23" s="3741"/>
      <c r="BWY23" s="3741"/>
      <c r="BWZ23" s="3741"/>
      <c r="BXA23" s="3741"/>
      <c r="BXB23" s="3741"/>
      <c r="BXC23" s="3741"/>
      <c r="BXD23" s="3741"/>
      <c r="BXE23" s="3741"/>
      <c r="BXF23" s="3741"/>
      <c r="BXG23" s="3741"/>
      <c r="BXH23" s="3741"/>
      <c r="BXI23" s="3741"/>
      <c r="BXJ23" s="3741"/>
      <c r="BXK23" s="3741"/>
      <c r="BXL23" s="3741"/>
      <c r="BXM23" s="3741"/>
      <c r="BXN23" s="3741"/>
      <c r="BXO23" s="3741"/>
      <c r="BXP23" s="3741"/>
      <c r="BXQ23" s="3741"/>
      <c r="BXR23" s="3741"/>
      <c r="BXS23" s="3741"/>
      <c r="BXT23" s="3741"/>
      <c r="BXU23" s="3741"/>
      <c r="BXV23" s="3741"/>
      <c r="BXW23" s="3741"/>
      <c r="BXX23" s="3741"/>
      <c r="BXY23" s="3741"/>
      <c r="BXZ23" s="3741"/>
      <c r="BYA23" s="3741"/>
      <c r="BYB23" s="3741"/>
      <c r="BYC23" s="3741"/>
      <c r="BYD23" s="3741"/>
      <c r="BYE23" s="3741"/>
      <c r="BYF23" s="3741"/>
      <c r="BYG23" s="3741"/>
      <c r="BYH23" s="3741"/>
      <c r="BYI23" s="3741"/>
      <c r="BYJ23" s="3741"/>
      <c r="BYK23" s="3741"/>
      <c r="BYL23" s="3741"/>
      <c r="BYM23" s="3741"/>
      <c r="BYN23" s="3741"/>
      <c r="BYO23" s="3741"/>
      <c r="BYP23" s="3741"/>
      <c r="BYQ23" s="3741"/>
      <c r="BYR23" s="3741"/>
      <c r="BYS23" s="3741"/>
      <c r="BYT23" s="3741"/>
      <c r="BYU23" s="3741"/>
      <c r="BYV23" s="3741"/>
      <c r="BYW23" s="3741"/>
      <c r="BYX23" s="3741"/>
      <c r="BYY23" s="3741"/>
      <c r="BYZ23" s="3741"/>
      <c r="BZA23" s="3741"/>
      <c r="BZB23" s="3741"/>
      <c r="BZC23" s="3741"/>
      <c r="BZD23" s="3741"/>
      <c r="BZE23" s="3741"/>
      <c r="BZF23" s="3741"/>
      <c r="BZG23" s="3741"/>
      <c r="BZH23" s="3741"/>
      <c r="BZI23" s="3741"/>
      <c r="BZJ23" s="3741"/>
      <c r="BZK23" s="3741"/>
      <c r="BZL23" s="3741"/>
      <c r="BZM23" s="3741"/>
      <c r="BZN23" s="3741"/>
      <c r="BZO23" s="3741"/>
      <c r="BZP23" s="3741"/>
      <c r="BZQ23" s="3741"/>
      <c r="BZR23" s="3741"/>
      <c r="BZS23" s="3741"/>
      <c r="BZT23" s="3741"/>
      <c r="BZU23" s="3741"/>
      <c r="BZV23" s="3741"/>
      <c r="BZW23" s="3741"/>
      <c r="BZX23" s="3741"/>
      <c r="BZY23" s="3741"/>
      <c r="BZZ23" s="3741"/>
      <c r="CAA23" s="3741"/>
      <c r="CAB23" s="3741"/>
      <c r="CAC23" s="3741"/>
      <c r="CAD23" s="3741"/>
      <c r="CAE23" s="3741"/>
      <c r="CAF23" s="3741"/>
      <c r="CAG23" s="3741"/>
      <c r="CAH23" s="3741"/>
      <c r="CAI23" s="3741"/>
      <c r="CAJ23" s="3741"/>
      <c r="CAK23" s="3741"/>
      <c r="CAL23" s="3741"/>
      <c r="CAM23" s="3741"/>
      <c r="CAN23" s="3741"/>
      <c r="CAO23" s="3741"/>
      <c r="CAP23" s="3741"/>
      <c r="CAQ23" s="3741"/>
      <c r="CAR23" s="3741"/>
      <c r="CAS23" s="3741"/>
      <c r="CAT23" s="3741"/>
      <c r="CAU23" s="3741"/>
      <c r="CAV23" s="3741"/>
      <c r="CAW23" s="3741"/>
      <c r="CAX23" s="3741"/>
      <c r="CAY23" s="3741"/>
      <c r="CAZ23" s="3741"/>
      <c r="CBA23" s="3741"/>
      <c r="CBB23" s="3741"/>
      <c r="CBC23" s="3741"/>
      <c r="CBD23" s="3741"/>
      <c r="CBE23" s="3741"/>
      <c r="CBF23" s="3741"/>
      <c r="CBG23" s="3741"/>
      <c r="CBH23" s="3741"/>
      <c r="CBI23" s="3741"/>
      <c r="CBJ23" s="3741"/>
      <c r="CBK23" s="3741"/>
      <c r="CBL23" s="3741"/>
      <c r="CBM23" s="3741"/>
      <c r="CBN23" s="3741"/>
      <c r="CBO23" s="3741"/>
      <c r="CBP23" s="3741"/>
      <c r="CBQ23" s="3741"/>
      <c r="CBR23" s="3741"/>
      <c r="CBS23" s="3741"/>
      <c r="CBT23" s="3741"/>
      <c r="CBU23" s="3741"/>
      <c r="CBV23" s="3741"/>
      <c r="CBW23" s="3741"/>
      <c r="CBX23" s="3741"/>
      <c r="CBY23" s="3741"/>
      <c r="CBZ23" s="3741"/>
      <c r="CCA23" s="3741"/>
      <c r="CCB23" s="3741"/>
      <c r="CCC23" s="3741"/>
      <c r="CCD23" s="3741"/>
      <c r="CCE23" s="3741"/>
      <c r="CCF23" s="3741"/>
      <c r="CCG23" s="3741"/>
      <c r="CCH23" s="3741"/>
      <c r="CCI23" s="3741"/>
      <c r="CCJ23" s="3741"/>
      <c r="CCK23" s="3741"/>
      <c r="CCL23" s="3741"/>
      <c r="CCM23" s="3741"/>
      <c r="CCN23" s="3741"/>
      <c r="CCO23" s="3741"/>
      <c r="CCP23" s="3741"/>
      <c r="CCQ23" s="3741"/>
      <c r="CCR23" s="3741"/>
      <c r="CCS23" s="3741"/>
      <c r="CCT23" s="3741"/>
      <c r="CCU23" s="3741"/>
      <c r="CCV23" s="3741"/>
      <c r="CCW23" s="3741"/>
      <c r="CCX23" s="3741"/>
      <c r="CCY23" s="3741"/>
      <c r="CCZ23" s="3741"/>
      <c r="CDA23" s="3741"/>
      <c r="CDB23" s="3741"/>
      <c r="CDC23" s="3741"/>
      <c r="CDD23" s="3741"/>
      <c r="CDE23" s="3741"/>
      <c r="CDF23" s="3741"/>
      <c r="CDG23" s="3741"/>
      <c r="CDH23" s="3741"/>
      <c r="CDI23" s="3741"/>
      <c r="CDJ23" s="3741"/>
      <c r="CDK23" s="3741"/>
      <c r="CDL23" s="3741"/>
      <c r="CDM23" s="3741"/>
      <c r="CDN23" s="3741"/>
      <c r="CDO23" s="3741"/>
      <c r="CDP23" s="3741"/>
      <c r="CDQ23" s="3741"/>
      <c r="CDR23" s="3741"/>
      <c r="CDS23" s="3741"/>
      <c r="CDT23" s="3741"/>
      <c r="CDU23" s="3741"/>
      <c r="CDV23" s="3741"/>
      <c r="CDW23" s="3741"/>
      <c r="CDX23" s="3741"/>
      <c r="CDY23" s="3741"/>
      <c r="CDZ23" s="3741"/>
      <c r="CEA23" s="3741"/>
      <c r="CEB23" s="3741"/>
      <c r="CEC23" s="3741"/>
      <c r="CED23" s="3741"/>
      <c r="CEE23" s="3741"/>
      <c r="CEF23" s="3741"/>
      <c r="CEG23" s="3741"/>
      <c r="CEH23" s="3741"/>
      <c r="CEI23" s="3741"/>
      <c r="CEJ23" s="3741"/>
      <c r="CEK23" s="3741"/>
      <c r="CEL23" s="3741"/>
      <c r="CEM23" s="3741"/>
      <c r="CEN23" s="3741"/>
      <c r="CEO23" s="3741"/>
      <c r="CEP23" s="3741"/>
      <c r="CEQ23" s="3741"/>
      <c r="CER23" s="3741"/>
      <c r="CES23" s="3741"/>
      <c r="CET23" s="3741"/>
      <c r="CEU23" s="3741"/>
      <c r="CEV23" s="3741"/>
      <c r="CEW23" s="3741"/>
      <c r="CEX23" s="3741"/>
      <c r="CEY23" s="3741"/>
      <c r="CEZ23" s="3741"/>
      <c r="CFA23" s="3741"/>
      <c r="CFB23" s="3741"/>
      <c r="CFC23" s="3741"/>
      <c r="CFD23" s="3741"/>
      <c r="CFE23" s="3741"/>
      <c r="CFF23" s="3741"/>
      <c r="CFG23" s="3741"/>
      <c r="CFH23" s="3741"/>
      <c r="CFI23" s="3741"/>
      <c r="CFJ23" s="3741"/>
      <c r="CFK23" s="3741"/>
      <c r="CFL23" s="3741"/>
      <c r="CFM23" s="3741"/>
      <c r="CFN23" s="3741"/>
      <c r="CFO23" s="3741"/>
      <c r="CFP23" s="3741"/>
      <c r="CFQ23" s="3741"/>
      <c r="CFR23" s="3741"/>
      <c r="CFS23" s="3741"/>
      <c r="CFT23" s="3741"/>
      <c r="CFU23" s="3741"/>
      <c r="CFV23" s="3741"/>
      <c r="CFW23" s="3741"/>
      <c r="CFX23" s="3741"/>
      <c r="CFY23" s="3741"/>
      <c r="CFZ23" s="3741"/>
      <c r="CGA23" s="3741"/>
      <c r="CGB23" s="3741"/>
      <c r="CGC23" s="3741"/>
      <c r="CGD23" s="3741"/>
      <c r="CGE23" s="3741"/>
      <c r="CGF23" s="3741"/>
      <c r="CGG23" s="3741"/>
      <c r="CGH23" s="3741"/>
      <c r="CGI23" s="3741"/>
      <c r="CGJ23" s="3741"/>
      <c r="CGK23" s="3741"/>
      <c r="CGL23" s="3741"/>
      <c r="CGM23" s="3741"/>
      <c r="CGN23" s="3741"/>
      <c r="CGO23" s="3741"/>
      <c r="CGP23" s="3741"/>
      <c r="CGQ23" s="3741"/>
      <c r="CGR23" s="3741"/>
      <c r="CGS23" s="3741"/>
      <c r="CGT23" s="3741"/>
      <c r="CGU23" s="3741"/>
      <c r="CGV23" s="3741"/>
      <c r="CGW23" s="3741"/>
      <c r="CGX23" s="3741"/>
      <c r="CGY23" s="3741"/>
      <c r="CGZ23" s="3741"/>
      <c r="CHA23" s="3741"/>
      <c r="CHB23" s="3741"/>
      <c r="CHC23" s="3741"/>
      <c r="CHD23" s="3741"/>
      <c r="CHE23" s="3741"/>
      <c r="CHF23" s="3741"/>
      <c r="CHG23" s="3741"/>
      <c r="CHH23" s="3741"/>
      <c r="CHI23" s="3741"/>
      <c r="CHJ23" s="3741"/>
      <c r="CHK23" s="3741"/>
      <c r="CHL23" s="3741"/>
      <c r="CHM23" s="3741"/>
      <c r="CHN23" s="3741"/>
      <c r="CHO23" s="3741"/>
      <c r="CHP23" s="3741"/>
      <c r="CHQ23" s="3741"/>
      <c r="CHR23" s="3741"/>
      <c r="CHS23" s="3741"/>
      <c r="CHT23" s="3741"/>
      <c r="CHU23" s="3741"/>
      <c r="CHV23" s="3741"/>
      <c r="CHW23" s="3741"/>
      <c r="CHX23" s="3741"/>
      <c r="CHY23" s="3741"/>
      <c r="CHZ23" s="3741"/>
      <c r="CIA23" s="3741"/>
      <c r="CIB23" s="3741"/>
      <c r="CIC23" s="3741"/>
      <c r="CID23" s="3741"/>
      <c r="CIE23" s="3741"/>
      <c r="CIF23" s="3741"/>
      <c r="CIG23" s="3741"/>
      <c r="CIH23" s="3741"/>
      <c r="CII23" s="3741"/>
      <c r="CIJ23" s="3741"/>
      <c r="CIK23" s="3741"/>
      <c r="CIL23" s="3741"/>
      <c r="CIM23" s="3741"/>
      <c r="CIN23" s="3741"/>
      <c r="CIO23" s="3741"/>
      <c r="CIP23" s="3741"/>
      <c r="CIQ23" s="3741"/>
      <c r="CIR23" s="3741"/>
      <c r="CIS23" s="3741"/>
      <c r="CIT23" s="3741"/>
      <c r="CIU23" s="3741"/>
      <c r="CIV23" s="3741"/>
      <c r="CIW23" s="3741"/>
      <c r="CIX23" s="3741"/>
      <c r="CIY23" s="3741"/>
      <c r="CIZ23" s="3741"/>
      <c r="CJA23" s="3741"/>
      <c r="CJB23" s="3741"/>
      <c r="CJC23" s="3741"/>
      <c r="CJD23" s="3741"/>
      <c r="CJE23" s="3741"/>
      <c r="CJF23" s="3741"/>
      <c r="CJG23" s="3741"/>
      <c r="CJH23" s="3741"/>
      <c r="CJI23" s="3741"/>
      <c r="CJJ23" s="3741"/>
      <c r="CJK23" s="3741"/>
      <c r="CJL23" s="3741"/>
      <c r="CJM23" s="3741"/>
      <c r="CJN23" s="3741"/>
      <c r="CJO23" s="3741"/>
      <c r="CJP23" s="3741"/>
      <c r="CJQ23" s="3741"/>
      <c r="CJR23" s="3741"/>
      <c r="CJS23" s="3741"/>
      <c r="CJT23" s="3741"/>
      <c r="CJU23" s="3741"/>
      <c r="CJV23" s="3741"/>
      <c r="CJW23" s="3741"/>
      <c r="CJX23" s="3741"/>
      <c r="CJY23" s="3741"/>
      <c r="CJZ23" s="3741"/>
      <c r="CKA23" s="3741"/>
      <c r="CKB23" s="3741"/>
      <c r="CKC23" s="3741"/>
      <c r="CKD23" s="3741"/>
      <c r="CKE23" s="3741"/>
      <c r="CKF23" s="3741"/>
      <c r="CKG23" s="3741"/>
      <c r="CKH23" s="3741"/>
      <c r="CKI23" s="3741"/>
      <c r="CKJ23" s="3741"/>
      <c r="CKK23" s="3741"/>
      <c r="CKL23" s="3741"/>
      <c r="CKM23" s="3741"/>
      <c r="CKN23" s="3741"/>
      <c r="CKO23" s="3741"/>
      <c r="CKP23" s="3741"/>
      <c r="CKQ23" s="3741"/>
      <c r="CKR23" s="3741"/>
      <c r="CKS23" s="3741"/>
      <c r="CKT23" s="3741"/>
      <c r="CKU23" s="3741"/>
      <c r="CKV23" s="3741"/>
      <c r="CKW23" s="3741"/>
      <c r="CKX23" s="3741"/>
      <c r="CKY23" s="3741"/>
      <c r="CKZ23" s="3741"/>
      <c r="CLA23" s="3741"/>
      <c r="CLB23" s="3741"/>
      <c r="CLC23" s="3741"/>
      <c r="CLD23" s="3741"/>
      <c r="CLE23" s="3741"/>
      <c r="CLF23" s="3741"/>
      <c r="CLG23" s="3741"/>
      <c r="CLH23" s="3741"/>
      <c r="CLI23" s="3741"/>
      <c r="CLJ23" s="3741"/>
      <c r="CLK23" s="3741"/>
      <c r="CLL23" s="3741"/>
      <c r="CLM23" s="3741"/>
      <c r="CLN23" s="3741"/>
      <c r="CLO23" s="3741"/>
      <c r="CLP23" s="3741"/>
      <c r="CLQ23" s="3741"/>
      <c r="CLR23" s="3741"/>
      <c r="CLS23" s="3741"/>
      <c r="CLT23" s="3741"/>
      <c r="CLU23" s="3741"/>
      <c r="CLV23" s="3741"/>
      <c r="CLW23" s="3741"/>
      <c r="CLX23" s="3741"/>
      <c r="CLY23" s="3741"/>
      <c r="CLZ23" s="3741"/>
      <c r="CMA23" s="3741"/>
      <c r="CMB23" s="3741"/>
      <c r="CMC23" s="3741"/>
      <c r="CMD23" s="3741"/>
      <c r="CME23" s="3741"/>
      <c r="CMF23" s="3741"/>
      <c r="CMG23" s="3741"/>
      <c r="CMH23" s="3741"/>
      <c r="CMI23" s="3741"/>
      <c r="CMJ23" s="3741"/>
      <c r="CMK23" s="3741"/>
      <c r="CML23" s="3741"/>
      <c r="CMM23" s="3741"/>
      <c r="CMN23" s="3741"/>
      <c r="CMO23" s="3741"/>
      <c r="CMP23" s="3741"/>
      <c r="CMQ23" s="3741"/>
      <c r="CMR23" s="3741"/>
      <c r="CMS23" s="3741"/>
      <c r="CMT23" s="3741"/>
      <c r="CMU23" s="3741"/>
      <c r="CMV23" s="3741"/>
      <c r="CMW23" s="3741"/>
      <c r="CMX23" s="3741"/>
      <c r="CMY23" s="3741"/>
      <c r="CMZ23" s="3741"/>
      <c r="CNA23" s="3741"/>
      <c r="CNB23" s="3741"/>
      <c r="CNC23" s="3741"/>
      <c r="CND23" s="3741"/>
      <c r="CNE23" s="3741"/>
      <c r="CNF23" s="3741"/>
      <c r="CNG23" s="3741"/>
      <c r="CNH23" s="3741"/>
      <c r="CNI23" s="3741"/>
      <c r="CNJ23" s="3741"/>
      <c r="CNK23" s="3741"/>
      <c r="CNL23" s="3741"/>
      <c r="CNM23" s="3741"/>
      <c r="CNN23" s="3741"/>
      <c r="CNO23" s="3741"/>
      <c r="CNP23" s="3741"/>
      <c r="CNQ23" s="3741"/>
      <c r="CNR23" s="3741"/>
      <c r="CNS23" s="3741"/>
      <c r="CNT23" s="3741"/>
      <c r="CNU23" s="3741"/>
      <c r="CNV23" s="3741"/>
      <c r="CNW23" s="3741"/>
      <c r="CNX23" s="3741"/>
      <c r="CNY23" s="3741"/>
      <c r="CNZ23" s="3741"/>
      <c r="COA23" s="3741"/>
      <c r="COB23" s="3741"/>
      <c r="COC23" s="3741"/>
      <c r="COD23" s="3741"/>
      <c r="COE23" s="3741"/>
      <c r="COF23" s="3741"/>
      <c r="COG23" s="3741"/>
      <c r="COH23" s="3741"/>
      <c r="COI23" s="3741"/>
      <c r="COJ23" s="3741"/>
      <c r="COK23" s="3741"/>
      <c r="COL23" s="3741"/>
      <c r="COM23" s="3741"/>
      <c r="CON23" s="3741"/>
      <c r="COO23" s="3741"/>
      <c r="COP23" s="3741"/>
      <c r="COQ23" s="3741"/>
      <c r="COR23" s="3741"/>
      <c r="COS23" s="3741"/>
      <c r="COT23" s="3741"/>
      <c r="COU23" s="3741"/>
      <c r="COV23" s="3741"/>
      <c r="COW23" s="3741"/>
      <c r="COX23" s="3741"/>
      <c r="COY23" s="3741"/>
      <c r="COZ23" s="3741"/>
      <c r="CPA23" s="3741"/>
      <c r="CPB23" s="3741"/>
      <c r="CPC23" s="3741"/>
      <c r="CPD23" s="3741"/>
      <c r="CPE23" s="3741"/>
      <c r="CPF23" s="3741"/>
      <c r="CPG23" s="3741"/>
      <c r="CPH23" s="3741"/>
      <c r="CPI23" s="3741"/>
      <c r="CPJ23" s="3741"/>
      <c r="CPK23" s="3741"/>
      <c r="CPL23" s="3741"/>
      <c r="CPM23" s="3741"/>
      <c r="CPN23" s="3741"/>
      <c r="CPO23" s="3741"/>
      <c r="CPP23" s="3741"/>
      <c r="CPQ23" s="3741"/>
      <c r="CPR23" s="3741"/>
      <c r="CPS23" s="3741"/>
      <c r="CPT23" s="3741"/>
      <c r="CPU23" s="3741"/>
      <c r="CPV23" s="3741"/>
      <c r="CPW23" s="3741"/>
      <c r="CPX23" s="3741"/>
      <c r="CPY23" s="3741"/>
      <c r="CPZ23" s="3741"/>
      <c r="CQA23" s="3741"/>
      <c r="CQB23" s="3741"/>
      <c r="CQC23" s="3741"/>
      <c r="CQD23" s="3741"/>
      <c r="CQE23" s="3741"/>
      <c r="CQF23" s="3741"/>
      <c r="CQG23" s="3741"/>
      <c r="CQH23" s="3741"/>
      <c r="CQI23" s="3741"/>
      <c r="CQJ23" s="3741"/>
      <c r="CQK23" s="3741"/>
      <c r="CQL23" s="3741"/>
      <c r="CQM23" s="3741"/>
      <c r="CQN23" s="3741"/>
      <c r="CQO23" s="3741"/>
      <c r="CQP23" s="3741"/>
      <c r="CQQ23" s="3741"/>
      <c r="CQR23" s="3741"/>
      <c r="CQS23" s="3741"/>
      <c r="CQT23" s="3741"/>
      <c r="CQU23" s="3741"/>
      <c r="CQV23" s="3741"/>
      <c r="CQW23" s="3741"/>
      <c r="CQX23" s="3741"/>
      <c r="CQY23" s="3741"/>
      <c r="CQZ23" s="3741"/>
      <c r="CRA23" s="3741"/>
      <c r="CRB23" s="3741"/>
      <c r="CRC23" s="3741"/>
      <c r="CRD23" s="3741"/>
      <c r="CRE23" s="3741"/>
      <c r="CRF23" s="3741"/>
      <c r="CRG23" s="3741"/>
      <c r="CRH23" s="3741"/>
      <c r="CRI23" s="3741"/>
      <c r="CRJ23" s="3741"/>
      <c r="CRK23" s="3741"/>
      <c r="CRL23" s="3741"/>
      <c r="CRM23" s="3741"/>
      <c r="CRN23" s="3741"/>
      <c r="CRO23" s="3741"/>
      <c r="CRP23" s="3741"/>
      <c r="CRQ23" s="3741"/>
      <c r="CRR23" s="3741"/>
      <c r="CRS23" s="3741"/>
      <c r="CRT23" s="3741"/>
      <c r="CRU23" s="3741"/>
      <c r="CRV23" s="3741"/>
      <c r="CRW23" s="3741"/>
      <c r="CRX23" s="3741"/>
      <c r="CRY23" s="3741"/>
      <c r="CRZ23" s="3741"/>
      <c r="CSA23" s="3741"/>
      <c r="CSB23" s="3741"/>
      <c r="CSC23" s="3741"/>
      <c r="CSD23" s="3741"/>
      <c r="CSE23" s="3741"/>
      <c r="CSF23" s="3741"/>
      <c r="CSG23" s="3741"/>
      <c r="CSH23" s="3741"/>
      <c r="CSI23" s="3741"/>
      <c r="CSJ23" s="3741"/>
      <c r="CSK23" s="3741"/>
      <c r="CSL23" s="3741"/>
      <c r="CSM23" s="3741"/>
      <c r="CSN23" s="3741"/>
      <c r="CSO23" s="3741"/>
      <c r="CSP23" s="3741"/>
      <c r="CSQ23" s="3741"/>
      <c r="CSR23" s="3741"/>
      <c r="CSS23" s="3741"/>
      <c r="CST23" s="3741"/>
      <c r="CSU23" s="3741"/>
      <c r="CSV23" s="3741"/>
      <c r="CSW23" s="3741"/>
      <c r="CSX23" s="3741"/>
      <c r="CSY23" s="3741"/>
      <c r="CSZ23" s="3741"/>
      <c r="CTA23" s="3741"/>
      <c r="CTB23" s="3741"/>
      <c r="CTC23" s="3741"/>
      <c r="CTD23" s="3741"/>
      <c r="CTE23" s="3741"/>
      <c r="CTF23" s="3741"/>
      <c r="CTG23" s="3741"/>
      <c r="CTH23" s="3741"/>
      <c r="CTI23" s="3741"/>
      <c r="CTJ23" s="3741"/>
      <c r="CTK23" s="3741"/>
      <c r="CTL23" s="3741"/>
      <c r="CTM23" s="3741"/>
      <c r="CTN23" s="3741"/>
      <c r="CTO23" s="3741"/>
      <c r="CTP23" s="3741"/>
      <c r="CTQ23" s="3741"/>
      <c r="CTR23" s="3741"/>
      <c r="CTS23" s="3741"/>
      <c r="CTT23" s="3741"/>
      <c r="CTU23" s="3741"/>
      <c r="CTV23" s="3741"/>
      <c r="CTW23" s="3741"/>
      <c r="CTX23" s="3741"/>
      <c r="CTY23" s="3741"/>
      <c r="CTZ23" s="3741"/>
      <c r="CUA23" s="3741"/>
      <c r="CUB23" s="3741"/>
      <c r="CUC23" s="3741"/>
      <c r="CUD23" s="3741"/>
      <c r="CUE23" s="3741"/>
      <c r="CUF23" s="3741"/>
      <c r="CUG23" s="3741"/>
      <c r="CUH23" s="3741"/>
      <c r="CUI23" s="3741"/>
      <c r="CUJ23" s="3741"/>
      <c r="CUK23" s="3741"/>
      <c r="CUL23" s="3741"/>
      <c r="CUM23" s="3741"/>
      <c r="CUN23" s="3741"/>
      <c r="CUO23" s="3741"/>
      <c r="CUP23" s="3741"/>
      <c r="CUQ23" s="3741"/>
      <c r="CUR23" s="3741"/>
      <c r="CUS23" s="3741"/>
      <c r="CUT23" s="3741"/>
      <c r="CUU23" s="3741"/>
      <c r="CUV23" s="3741"/>
      <c r="CUW23" s="3741"/>
      <c r="CUX23" s="3741"/>
      <c r="CUY23" s="3741"/>
      <c r="CUZ23" s="3741"/>
      <c r="CVA23" s="3741"/>
      <c r="CVB23" s="3741"/>
      <c r="CVC23" s="3741"/>
      <c r="CVD23" s="3741"/>
      <c r="CVE23" s="3741"/>
      <c r="CVF23" s="3741"/>
      <c r="CVG23" s="3741"/>
      <c r="CVH23" s="3741"/>
      <c r="CVI23" s="3741"/>
      <c r="CVJ23" s="3741"/>
      <c r="CVK23" s="3741"/>
      <c r="CVL23" s="3741"/>
      <c r="CVM23" s="3741"/>
      <c r="CVN23" s="3741"/>
      <c r="CVO23" s="3741"/>
      <c r="CVP23" s="3741"/>
      <c r="CVQ23" s="3741"/>
      <c r="CVR23" s="3741"/>
      <c r="CVS23" s="3741"/>
      <c r="CVT23" s="3741"/>
      <c r="CVU23" s="3741"/>
      <c r="CVV23" s="3741"/>
      <c r="CVW23" s="3741"/>
      <c r="CVX23" s="3741"/>
      <c r="CVY23" s="3741"/>
      <c r="CVZ23" s="3741"/>
      <c r="CWA23" s="3741"/>
      <c r="CWB23" s="3741"/>
      <c r="CWC23" s="3741"/>
      <c r="CWD23" s="3741"/>
      <c r="CWE23" s="3741"/>
      <c r="CWF23" s="3741"/>
      <c r="CWG23" s="3741"/>
      <c r="CWH23" s="3741"/>
      <c r="CWI23" s="3741"/>
      <c r="CWJ23" s="3741"/>
      <c r="CWK23" s="3741"/>
      <c r="CWL23" s="3741"/>
      <c r="CWM23" s="3741"/>
      <c r="CWN23" s="3741"/>
      <c r="CWO23" s="3741"/>
      <c r="CWP23" s="3741"/>
      <c r="CWQ23" s="3741"/>
      <c r="CWR23" s="3741"/>
      <c r="CWS23" s="3741"/>
      <c r="CWT23" s="3741"/>
      <c r="CWU23" s="3741"/>
      <c r="CWV23" s="3741"/>
      <c r="CWW23" s="3741"/>
      <c r="CWX23" s="3741"/>
      <c r="CWY23" s="3741"/>
      <c r="CWZ23" s="3741"/>
      <c r="CXA23" s="3741"/>
      <c r="CXB23" s="3741"/>
      <c r="CXC23" s="3741"/>
      <c r="CXD23" s="3741"/>
      <c r="CXE23" s="3741"/>
      <c r="CXF23" s="3741"/>
      <c r="CXG23" s="3741"/>
      <c r="CXH23" s="3741"/>
      <c r="CXI23" s="3741"/>
      <c r="CXJ23" s="3741"/>
      <c r="CXK23" s="3741"/>
      <c r="CXL23" s="3741"/>
      <c r="CXM23" s="3741"/>
      <c r="CXN23" s="3741"/>
      <c r="CXO23" s="3741"/>
      <c r="CXP23" s="3741"/>
      <c r="CXQ23" s="3741"/>
      <c r="CXR23" s="3741"/>
      <c r="CXS23" s="3741"/>
      <c r="CXT23" s="3741"/>
      <c r="CXU23" s="3741"/>
      <c r="CXV23" s="3741"/>
      <c r="CXW23" s="3741"/>
      <c r="CXX23" s="3741"/>
      <c r="CXY23" s="3741"/>
      <c r="CXZ23" s="3741"/>
      <c r="CYA23" s="3741"/>
      <c r="CYB23" s="3741"/>
      <c r="CYC23" s="3741"/>
      <c r="CYD23" s="3741"/>
      <c r="CYE23" s="3741"/>
      <c r="CYF23" s="3741"/>
      <c r="CYG23" s="3741"/>
      <c r="CYH23" s="3741"/>
      <c r="CYI23" s="3741"/>
      <c r="CYJ23" s="3741"/>
      <c r="CYK23" s="3741"/>
      <c r="CYL23" s="3741"/>
      <c r="CYM23" s="3741"/>
      <c r="CYN23" s="3741"/>
      <c r="CYO23" s="3741"/>
      <c r="CYP23" s="3741"/>
      <c r="CYQ23" s="3741"/>
      <c r="CYR23" s="3741"/>
      <c r="CYS23" s="3741"/>
      <c r="CYT23" s="3741"/>
      <c r="CYU23" s="3741"/>
      <c r="CYV23" s="3741"/>
      <c r="CYW23" s="3741"/>
      <c r="CYX23" s="3741"/>
      <c r="CYY23" s="3741"/>
      <c r="CYZ23" s="3741"/>
      <c r="CZA23" s="3741"/>
      <c r="CZB23" s="3741"/>
      <c r="CZC23" s="3741"/>
      <c r="CZD23" s="3741"/>
      <c r="CZE23" s="3741"/>
      <c r="CZF23" s="3741"/>
      <c r="CZG23" s="3741"/>
      <c r="CZH23" s="3741"/>
      <c r="CZI23" s="3741"/>
      <c r="CZJ23" s="3741"/>
      <c r="CZK23" s="3741"/>
      <c r="CZL23" s="3741"/>
      <c r="CZM23" s="3741"/>
      <c r="CZN23" s="3741"/>
      <c r="CZO23" s="3741"/>
      <c r="CZP23" s="3741"/>
      <c r="CZQ23" s="3741"/>
      <c r="CZR23" s="3741"/>
      <c r="CZS23" s="3741"/>
      <c r="CZT23" s="3741"/>
      <c r="CZU23" s="3741"/>
      <c r="CZV23" s="3741"/>
      <c r="CZW23" s="3741"/>
      <c r="CZX23" s="3741"/>
      <c r="CZY23" s="3741"/>
      <c r="CZZ23" s="3741"/>
      <c r="DAA23" s="3741"/>
      <c r="DAB23" s="3741"/>
      <c r="DAC23" s="3741"/>
      <c r="DAD23" s="3741"/>
      <c r="DAE23" s="3741"/>
      <c r="DAF23" s="3741"/>
      <c r="DAG23" s="3741"/>
      <c r="DAH23" s="3741"/>
      <c r="DAI23" s="3741"/>
      <c r="DAJ23" s="3741"/>
      <c r="DAK23" s="3741"/>
      <c r="DAL23" s="3741"/>
      <c r="DAM23" s="3741"/>
      <c r="DAN23" s="3741"/>
      <c r="DAO23" s="3741"/>
      <c r="DAP23" s="3741"/>
      <c r="DAQ23" s="3741"/>
      <c r="DAR23" s="3741"/>
      <c r="DAS23" s="3741"/>
      <c r="DAT23" s="3741"/>
      <c r="DAU23" s="3741"/>
      <c r="DAV23" s="3741"/>
      <c r="DAW23" s="3741"/>
      <c r="DAX23" s="3741"/>
      <c r="DAY23" s="3741"/>
      <c r="DAZ23" s="3741"/>
      <c r="DBA23" s="3741"/>
      <c r="DBB23" s="3741"/>
      <c r="DBC23" s="3741"/>
      <c r="DBD23" s="3741"/>
      <c r="DBE23" s="3741"/>
      <c r="DBF23" s="3741"/>
      <c r="DBG23" s="3741"/>
      <c r="DBH23" s="3741"/>
      <c r="DBI23" s="3741"/>
      <c r="DBJ23" s="3741"/>
      <c r="DBK23" s="3741"/>
      <c r="DBL23" s="3741"/>
      <c r="DBM23" s="3741"/>
      <c r="DBN23" s="3741"/>
      <c r="DBO23" s="3741"/>
      <c r="DBP23" s="3741"/>
      <c r="DBQ23" s="3741"/>
      <c r="DBR23" s="3741"/>
      <c r="DBS23" s="3741"/>
      <c r="DBT23" s="3741"/>
      <c r="DBU23" s="3741"/>
      <c r="DBV23" s="3741"/>
      <c r="DBW23" s="3741"/>
      <c r="DBX23" s="3741"/>
      <c r="DBY23" s="3741"/>
      <c r="DBZ23" s="3741"/>
      <c r="DCA23" s="3741"/>
      <c r="DCB23" s="3741"/>
      <c r="DCC23" s="3741"/>
      <c r="DCD23" s="3741"/>
      <c r="DCE23" s="3741"/>
      <c r="DCF23" s="3741"/>
      <c r="DCG23" s="3741"/>
      <c r="DCH23" s="3741"/>
      <c r="DCI23" s="3741"/>
      <c r="DCJ23" s="3741"/>
      <c r="DCK23" s="3741"/>
      <c r="DCL23" s="3741"/>
      <c r="DCM23" s="3741"/>
      <c r="DCN23" s="3741"/>
      <c r="DCO23" s="3741"/>
      <c r="DCP23" s="3741"/>
      <c r="DCQ23" s="3741"/>
      <c r="DCR23" s="3741"/>
      <c r="DCS23" s="3741"/>
      <c r="DCT23" s="3741"/>
      <c r="DCU23" s="3741"/>
      <c r="DCV23" s="3741"/>
      <c r="DCW23" s="3741"/>
      <c r="DCX23" s="3741"/>
      <c r="DCY23" s="3741"/>
      <c r="DCZ23" s="3741"/>
      <c r="DDA23" s="3741"/>
      <c r="DDB23" s="3741"/>
      <c r="DDC23" s="3741"/>
      <c r="DDD23" s="3741"/>
      <c r="DDE23" s="3741"/>
      <c r="DDF23" s="3741"/>
      <c r="DDG23" s="3741"/>
      <c r="DDH23" s="3741"/>
      <c r="DDI23" s="3741"/>
      <c r="DDJ23" s="3741"/>
      <c r="DDK23" s="3741"/>
      <c r="DDL23" s="3741"/>
      <c r="DDM23" s="3741"/>
      <c r="DDN23" s="3741"/>
      <c r="DDO23" s="3741"/>
      <c r="DDP23" s="3741"/>
      <c r="DDQ23" s="3741"/>
      <c r="DDR23" s="3741"/>
      <c r="DDS23" s="3741"/>
      <c r="DDT23" s="3741"/>
      <c r="DDU23" s="3741"/>
      <c r="DDV23" s="3741"/>
      <c r="DDW23" s="3741"/>
      <c r="DDX23" s="3741"/>
      <c r="DDY23" s="3741"/>
      <c r="DDZ23" s="3741"/>
      <c r="DEA23" s="3741"/>
      <c r="DEB23" s="3741"/>
      <c r="DEC23" s="3741"/>
      <c r="DED23" s="3741"/>
      <c r="DEE23" s="3741"/>
      <c r="DEF23" s="3741"/>
      <c r="DEG23" s="3741"/>
      <c r="DEH23" s="3741"/>
      <c r="DEI23" s="3741"/>
      <c r="DEJ23" s="3741"/>
      <c r="DEK23" s="3741"/>
      <c r="DEL23" s="3741"/>
      <c r="DEM23" s="3741"/>
      <c r="DEN23" s="3741"/>
      <c r="DEO23" s="3741"/>
      <c r="DEP23" s="3741"/>
      <c r="DEQ23" s="3741"/>
      <c r="DER23" s="3741"/>
      <c r="DES23" s="3741"/>
      <c r="DET23" s="3741"/>
      <c r="DEU23" s="3741"/>
      <c r="DEV23" s="3741"/>
      <c r="DEW23" s="3741"/>
      <c r="DEX23" s="3741"/>
      <c r="DEY23" s="3741"/>
      <c r="DEZ23" s="3741"/>
      <c r="DFA23" s="3741"/>
      <c r="DFB23" s="3741"/>
      <c r="DFC23" s="3741"/>
      <c r="DFD23" s="3741"/>
      <c r="DFE23" s="3741"/>
      <c r="DFF23" s="3741"/>
      <c r="DFG23" s="3741"/>
      <c r="DFH23" s="3741"/>
      <c r="DFI23" s="3741"/>
      <c r="DFJ23" s="3741"/>
      <c r="DFK23" s="3741"/>
      <c r="DFL23" s="3741"/>
      <c r="DFM23" s="3741"/>
      <c r="DFN23" s="3741"/>
      <c r="DFO23" s="3741"/>
      <c r="DFP23" s="3741"/>
      <c r="DFQ23" s="3741"/>
      <c r="DFR23" s="3741"/>
      <c r="DFS23" s="3741"/>
      <c r="DFT23" s="3741"/>
      <c r="DFU23" s="3741"/>
      <c r="DFV23" s="3741"/>
      <c r="DFW23" s="3741"/>
      <c r="DFX23" s="3741"/>
      <c r="DFY23" s="3741"/>
      <c r="DFZ23" s="3741"/>
      <c r="DGA23" s="3741"/>
      <c r="DGB23" s="3741"/>
      <c r="DGC23" s="3741"/>
      <c r="DGD23" s="3741"/>
      <c r="DGE23" s="3741"/>
      <c r="DGF23" s="3741"/>
      <c r="DGG23" s="3741"/>
      <c r="DGH23" s="3741"/>
      <c r="DGI23" s="3741"/>
      <c r="DGJ23" s="3741"/>
      <c r="DGK23" s="3741"/>
      <c r="DGL23" s="3741"/>
      <c r="DGM23" s="3741"/>
      <c r="DGN23" s="3741"/>
      <c r="DGO23" s="3741"/>
      <c r="DGP23" s="3741"/>
      <c r="DGQ23" s="3741"/>
      <c r="DGR23" s="3741"/>
      <c r="DGS23" s="3741"/>
      <c r="DGT23" s="3741"/>
      <c r="DGU23" s="3741"/>
      <c r="DGV23" s="3741"/>
      <c r="DGW23" s="3741"/>
      <c r="DGX23" s="3741"/>
      <c r="DGY23" s="3741"/>
      <c r="DGZ23" s="3741"/>
      <c r="DHA23" s="3741"/>
      <c r="DHB23" s="3741"/>
      <c r="DHC23" s="3741"/>
      <c r="DHD23" s="3741"/>
      <c r="DHE23" s="3741"/>
      <c r="DHF23" s="3741"/>
      <c r="DHG23" s="3741"/>
      <c r="DHH23" s="3741"/>
      <c r="DHI23" s="3741"/>
      <c r="DHJ23" s="3741"/>
      <c r="DHK23" s="3741"/>
      <c r="DHL23" s="3741"/>
      <c r="DHM23" s="3741"/>
      <c r="DHN23" s="3741"/>
      <c r="DHO23" s="3741"/>
      <c r="DHP23" s="3741"/>
      <c r="DHQ23" s="3741"/>
      <c r="DHR23" s="3741"/>
      <c r="DHS23" s="3741"/>
      <c r="DHT23" s="3741"/>
      <c r="DHU23" s="3741"/>
      <c r="DHV23" s="3741"/>
      <c r="DHW23" s="3741"/>
      <c r="DHX23" s="3741"/>
      <c r="DHY23" s="3741"/>
      <c r="DHZ23" s="3741"/>
      <c r="DIA23" s="3741"/>
      <c r="DIB23" s="3741"/>
      <c r="DIC23" s="3741"/>
      <c r="DID23" s="3741"/>
      <c r="DIE23" s="3741"/>
      <c r="DIF23" s="3741"/>
      <c r="DIG23" s="3741"/>
      <c r="DIH23" s="3741"/>
      <c r="DII23" s="3741"/>
      <c r="DIJ23" s="3741"/>
      <c r="DIK23" s="3741"/>
      <c r="DIL23" s="3741"/>
      <c r="DIM23" s="3741"/>
      <c r="DIN23" s="3741"/>
      <c r="DIO23" s="3741"/>
      <c r="DIP23" s="3741"/>
      <c r="DIQ23" s="3741"/>
      <c r="DIR23" s="3741"/>
      <c r="DIS23" s="3741"/>
      <c r="DIT23" s="3741"/>
      <c r="DIU23" s="3741"/>
      <c r="DIV23" s="3741"/>
      <c r="DIW23" s="3741"/>
      <c r="DIX23" s="3741"/>
      <c r="DIY23" s="3741"/>
      <c r="DIZ23" s="3741"/>
      <c r="DJA23" s="3741"/>
      <c r="DJB23" s="3741"/>
      <c r="DJC23" s="3741"/>
      <c r="DJD23" s="3741"/>
      <c r="DJE23" s="3741"/>
      <c r="DJF23" s="3741"/>
      <c r="DJG23" s="3741"/>
      <c r="DJH23" s="3741"/>
      <c r="DJI23" s="3741"/>
      <c r="DJJ23" s="3741"/>
      <c r="DJK23" s="3741"/>
      <c r="DJL23" s="3741"/>
      <c r="DJM23" s="3741"/>
      <c r="DJN23" s="3741"/>
      <c r="DJO23" s="3741"/>
      <c r="DJP23" s="3741"/>
      <c r="DJQ23" s="3741"/>
      <c r="DJR23" s="3741"/>
      <c r="DJS23" s="3741"/>
      <c r="DJT23" s="3741"/>
      <c r="DJU23" s="3741"/>
      <c r="DJV23" s="3741"/>
      <c r="DJW23" s="3741"/>
      <c r="DJX23" s="3741"/>
      <c r="DJY23" s="3741"/>
      <c r="DJZ23" s="3741"/>
      <c r="DKA23" s="3741"/>
      <c r="DKB23" s="3741"/>
      <c r="DKC23" s="3741"/>
      <c r="DKD23" s="3741"/>
      <c r="DKE23" s="3741"/>
      <c r="DKF23" s="3741"/>
      <c r="DKG23" s="3741"/>
      <c r="DKH23" s="3741"/>
      <c r="DKI23" s="3741"/>
      <c r="DKJ23" s="3741"/>
      <c r="DKK23" s="3741"/>
      <c r="DKL23" s="3741"/>
      <c r="DKM23" s="3741"/>
      <c r="DKN23" s="3741"/>
      <c r="DKO23" s="3741"/>
      <c r="DKP23" s="3741"/>
      <c r="DKQ23" s="3741"/>
      <c r="DKR23" s="3741"/>
      <c r="DKS23" s="3741"/>
      <c r="DKT23" s="3741"/>
      <c r="DKU23" s="3741"/>
      <c r="DKV23" s="3741"/>
      <c r="DKW23" s="3741"/>
      <c r="DKX23" s="3741"/>
      <c r="DKY23" s="3741"/>
      <c r="DKZ23" s="3741"/>
      <c r="DLA23" s="3741"/>
      <c r="DLB23" s="3741"/>
      <c r="DLC23" s="3741"/>
      <c r="DLD23" s="3741"/>
      <c r="DLE23" s="3741"/>
      <c r="DLF23" s="3741"/>
      <c r="DLG23" s="3741"/>
      <c r="DLH23" s="3741"/>
      <c r="DLI23" s="3741"/>
      <c r="DLJ23" s="3741"/>
      <c r="DLK23" s="3741"/>
      <c r="DLL23" s="3741"/>
      <c r="DLM23" s="3741"/>
      <c r="DLN23" s="3741"/>
      <c r="DLO23" s="3741"/>
      <c r="DLP23" s="3741"/>
      <c r="DLQ23" s="3741"/>
      <c r="DLR23" s="3741"/>
      <c r="DLS23" s="3741"/>
      <c r="DLT23" s="3741"/>
      <c r="DLU23" s="3741"/>
      <c r="DLV23" s="3741"/>
      <c r="DLW23" s="3741"/>
      <c r="DLX23" s="3741"/>
      <c r="DLY23" s="3741"/>
      <c r="DLZ23" s="3741"/>
      <c r="DMA23" s="3741"/>
      <c r="DMB23" s="3741"/>
      <c r="DMC23" s="3741"/>
      <c r="DMD23" s="3741"/>
      <c r="DME23" s="3741"/>
      <c r="DMF23" s="3741"/>
      <c r="DMG23" s="3741"/>
      <c r="DMH23" s="3741"/>
      <c r="DMI23" s="3741"/>
      <c r="DMJ23" s="3741"/>
      <c r="DMK23" s="3741"/>
      <c r="DML23" s="3741"/>
      <c r="DMM23" s="3741"/>
      <c r="DMN23" s="3741"/>
      <c r="DMO23" s="3741"/>
      <c r="DMP23" s="3741"/>
      <c r="DMQ23" s="3741"/>
      <c r="DMR23" s="3741"/>
      <c r="DMS23" s="3741"/>
      <c r="DMT23" s="3741"/>
      <c r="DMU23" s="3741"/>
      <c r="DMV23" s="3741"/>
      <c r="DMW23" s="3741"/>
      <c r="DMX23" s="3741"/>
      <c r="DMY23" s="3741"/>
      <c r="DMZ23" s="3741"/>
      <c r="DNA23" s="3741"/>
      <c r="DNB23" s="3741"/>
      <c r="DNC23" s="3741"/>
      <c r="DND23" s="3741"/>
      <c r="DNE23" s="3741"/>
      <c r="DNF23" s="3741"/>
      <c r="DNG23" s="3741"/>
      <c r="DNH23" s="3741"/>
      <c r="DNI23" s="3741"/>
      <c r="DNJ23" s="3741"/>
      <c r="DNK23" s="3741"/>
      <c r="DNL23" s="3741"/>
      <c r="DNM23" s="3741"/>
      <c r="DNN23" s="3741"/>
      <c r="DNO23" s="3741"/>
      <c r="DNP23" s="3741"/>
      <c r="DNQ23" s="3741"/>
      <c r="DNR23" s="3741"/>
      <c r="DNS23" s="3741"/>
      <c r="DNT23" s="3741"/>
      <c r="DNU23" s="3741"/>
      <c r="DNV23" s="3741"/>
      <c r="DNW23" s="3741"/>
      <c r="DNX23" s="3741"/>
      <c r="DNY23" s="3741"/>
      <c r="DNZ23" s="3741"/>
      <c r="DOA23" s="3741"/>
      <c r="DOB23" s="3741"/>
      <c r="DOC23" s="3741"/>
      <c r="DOD23" s="3741"/>
      <c r="DOE23" s="3741"/>
      <c r="DOF23" s="3741"/>
      <c r="DOG23" s="3741"/>
      <c r="DOH23" s="3741"/>
      <c r="DOI23" s="3741"/>
      <c r="DOJ23" s="3741"/>
      <c r="DOK23" s="3741"/>
      <c r="DOL23" s="3741"/>
      <c r="DOM23" s="3741"/>
      <c r="DON23" s="3741"/>
      <c r="DOO23" s="3741"/>
      <c r="DOP23" s="3741"/>
      <c r="DOQ23" s="3741"/>
      <c r="DOR23" s="3741"/>
      <c r="DOS23" s="3741"/>
      <c r="DOT23" s="3741"/>
      <c r="DOU23" s="3741"/>
      <c r="DOV23" s="3741"/>
      <c r="DOW23" s="3741"/>
      <c r="DOX23" s="3741"/>
      <c r="DOY23" s="3741"/>
      <c r="DOZ23" s="3741"/>
      <c r="DPA23" s="3741"/>
      <c r="DPB23" s="3741"/>
      <c r="DPC23" s="3741"/>
      <c r="DPD23" s="3741"/>
      <c r="DPE23" s="3741"/>
      <c r="DPF23" s="3741"/>
      <c r="DPG23" s="3741"/>
      <c r="DPH23" s="3741"/>
      <c r="DPI23" s="3741"/>
      <c r="DPJ23" s="3741"/>
      <c r="DPK23" s="3741"/>
      <c r="DPL23" s="3741"/>
      <c r="DPM23" s="3741"/>
      <c r="DPN23" s="3741"/>
      <c r="DPO23" s="3741"/>
      <c r="DPP23" s="3741"/>
      <c r="DPQ23" s="3741"/>
      <c r="DPR23" s="3741"/>
      <c r="DPS23" s="3741"/>
      <c r="DPT23" s="3741"/>
      <c r="DPU23" s="3741"/>
      <c r="DPV23" s="3741"/>
      <c r="DPW23" s="3741"/>
      <c r="DPX23" s="3741"/>
      <c r="DPY23" s="3741"/>
      <c r="DPZ23" s="3741"/>
      <c r="DQA23" s="3741"/>
      <c r="DQB23" s="3741"/>
      <c r="DQC23" s="3741"/>
      <c r="DQD23" s="3741"/>
      <c r="DQE23" s="3741"/>
      <c r="DQF23" s="3741"/>
      <c r="DQG23" s="3741"/>
      <c r="DQH23" s="3741"/>
      <c r="DQI23" s="3741"/>
      <c r="DQJ23" s="3741"/>
      <c r="DQK23" s="3741"/>
      <c r="DQL23" s="3741"/>
      <c r="DQM23" s="3741"/>
      <c r="DQN23" s="3741"/>
      <c r="DQO23" s="3741"/>
      <c r="DQP23" s="3741"/>
      <c r="DQQ23" s="3741"/>
      <c r="DQR23" s="3741"/>
      <c r="DQS23" s="3741"/>
      <c r="DQT23" s="3741"/>
      <c r="DQU23" s="3741"/>
      <c r="DQV23" s="3741"/>
      <c r="DQW23" s="3741"/>
      <c r="DQX23" s="3741"/>
      <c r="DQY23" s="3741"/>
      <c r="DQZ23" s="3741"/>
      <c r="DRA23" s="3741"/>
      <c r="DRB23" s="3741"/>
      <c r="DRC23" s="3741"/>
      <c r="DRD23" s="3741"/>
      <c r="DRE23" s="3741"/>
      <c r="DRF23" s="3741"/>
      <c r="DRG23" s="3741"/>
      <c r="DRH23" s="3741"/>
      <c r="DRI23" s="3741"/>
      <c r="DRJ23" s="3741"/>
      <c r="DRK23" s="3741"/>
      <c r="DRL23" s="3741"/>
      <c r="DRM23" s="3741"/>
      <c r="DRN23" s="3741"/>
      <c r="DRO23" s="3741"/>
      <c r="DRP23" s="3741"/>
      <c r="DRQ23" s="3741"/>
      <c r="DRR23" s="3741"/>
      <c r="DRS23" s="3741"/>
      <c r="DRT23" s="3741"/>
      <c r="DRU23" s="3741"/>
      <c r="DRV23" s="3741"/>
      <c r="DRW23" s="3741"/>
      <c r="DRX23" s="3741"/>
      <c r="DRY23" s="3741"/>
      <c r="DRZ23" s="3741"/>
      <c r="DSA23" s="3741"/>
      <c r="DSB23" s="3741"/>
      <c r="DSC23" s="3741"/>
      <c r="DSD23" s="3741"/>
      <c r="DSE23" s="3741"/>
      <c r="DSF23" s="3741"/>
      <c r="DSG23" s="3741"/>
      <c r="DSH23" s="3741"/>
      <c r="DSI23" s="3741"/>
      <c r="DSJ23" s="3741"/>
      <c r="DSK23" s="3741"/>
      <c r="DSL23" s="3741"/>
      <c r="DSM23" s="3741"/>
      <c r="DSN23" s="3741"/>
      <c r="DSO23" s="3741"/>
      <c r="DSP23" s="3741"/>
      <c r="DSQ23" s="3741"/>
      <c r="DSR23" s="3741"/>
      <c r="DSS23" s="3741"/>
      <c r="DST23" s="3741"/>
      <c r="DSU23" s="3741"/>
      <c r="DSV23" s="3741"/>
      <c r="DSW23" s="3741"/>
      <c r="DSX23" s="3741"/>
      <c r="DSY23" s="3741"/>
      <c r="DSZ23" s="3741"/>
      <c r="DTA23" s="3741"/>
      <c r="DTB23" s="3741"/>
      <c r="DTC23" s="3741"/>
      <c r="DTD23" s="3741"/>
      <c r="DTE23" s="3741"/>
      <c r="DTF23" s="3741"/>
      <c r="DTG23" s="3741"/>
      <c r="DTH23" s="3741"/>
      <c r="DTI23" s="3741"/>
      <c r="DTJ23" s="3741"/>
      <c r="DTK23" s="3741"/>
      <c r="DTL23" s="3741"/>
      <c r="DTM23" s="3741"/>
      <c r="DTN23" s="3741"/>
      <c r="DTO23" s="3741"/>
      <c r="DTP23" s="3741"/>
      <c r="DTQ23" s="3741"/>
      <c r="DTR23" s="3741"/>
      <c r="DTS23" s="3741"/>
      <c r="DTT23" s="3741"/>
      <c r="DTU23" s="3741"/>
      <c r="DTV23" s="3741"/>
      <c r="DTW23" s="3741"/>
      <c r="DTX23" s="3741"/>
      <c r="DTY23" s="3741"/>
      <c r="DTZ23" s="3741"/>
      <c r="DUA23" s="3741"/>
      <c r="DUB23" s="3741"/>
      <c r="DUC23" s="3741"/>
      <c r="DUD23" s="3741"/>
      <c r="DUE23" s="3741"/>
      <c r="DUF23" s="3741"/>
      <c r="DUG23" s="3741"/>
      <c r="DUH23" s="3741"/>
      <c r="DUI23" s="3741"/>
      <c r="DUJ23" s="3741"/>
      <c r="DUK23" s="3741"/>
      <c r="DUL23" s="3741"/>
      <c r="DUM23" s="3741"/>
      <c r="DUN23" s="3741"/>
      <c r="DUO23" s="3741"/>
      <c r="DUP23" s="3741"/>
      <c r="DUQ23" s="3741"/>
      <c r="DUR23" s="3741"/>
      <c r="DUS23" s="3741"/>
      <c r="DUT23" s="3741"/>
      <c r="DUU23" s="3741"/>
      <c r="DUV23" s="3741"/>
      <c r="DUW23" s="3741"/>
      <c r="DUX23" s="3741"/>
      <c r="DUY23" s="3741"/>
      <c r="DUZ23" s="3741"/>
      <c r="DVA23" s="3741"/>
      <c r="DVB23" s="3741"/>
      <c r="DVC23" s="3741"/>
      <c r="DVD23" s="3741"/>
      <c r="DVE23" s="3741"/>
      <c r="DVF23" s="3741"/>
      <c r="DVG23" s="3741"/>
      <c r="DVH23" s="3741"/>
      <c r="DVI23" s="3741"/>
      <c r="DVJ23" s="3741"/>
      <c r="DVK23" s="3741"/>
      <c r="DVL23" s="3741"/>
      <c r="DVM23" s="3741"/>
      <c r="DVN23" s="3741"/>
      <c r="DVO23" s="3741"/>
      <c r="DVP23" s="3741"/>
      <c r="DVQ23" s="3741"/>
      <c r="DVR23" s="3741"/>
      <c r="DVS23" s="3741"/>
      <c r="DVT23" s="3741"/>
      <c r="DVU23" s="3741"/>
      <c r="DVV23" s="3741"/>
      <c r="DVW23" s="3741"/>
      <c r="DVX23" s="3741"/>
      <c r="DVY23" s="3741"/>
      <c r="DVZ23" s="3741"/>
      <c r="DWA23" s="3741"/>
      <c r="DWB23" s="3741"/>
      <c r="DWC23" s="3741"/>
      <c r="DWD23" s="3741"/>
      <c r="DWE23" s="3741"/>
      <c r="DWF23" s="3741"/>
      <c r="DWG23" s="3741"/>
      <c r="DWH23" s="3741"/>
      <c r="DWI23" s="3741"/>
      <c r="DWJ23" s="3741"/>
      <c r="DWK23" s="3741"/>
      <c r="DWL23" s="3741"/>
      <c r="DWM23" s="3741"/>
      <c r="DWN23" s="3741"/>
      <c r="DWO23" s="3741"/>
      <c r="DWP23" s="3741"/>
      <c r="DWQ23" s="3741"/>
      <c r="DWR23" s="3741"/>
      <c r="DWS23" s="3741"/>
      <c r="DWT23" s="3741"/>
      <c r="DWU23" s="3741"/>
      <c r="DWV23" s="3741"/>
      <c r="DWW23" s="3741"/>
      <c r="DWX23" s="3741"/>
      <c r="DWY23" s="3741"/>
      <c r="DWZ23" s="3741"/>
      <c r="DXA23" s="3741"/>
      <c r="DXB23" s="3741"/>
      <c r="DXC23" s="3741"/>
      <c r="DXD23" s="3741"/>
      <c r="DXE23" s="3741"/>
      <c r="DXF23" s="3741"/>
      <c r="DXG23" s="3741"/>
      <c r="DXH23" s="3741"/>
      <c r="DXI23" s="3741"/>
      <c r="DXJ23" s="3741"/>
      <c r="DXK23" s="3741"/>
      <c r="DXL23" s="3741"/>
      <c r="DXM23" s="3741"/>
      <c r="DXN23" s="3741"/>
      <c r="DXO23" s="3741"/>
      <c r="DXP23" s="3741"/>
      <c r="DXQ23" s="3741"/>
      <c r="DXR23" s="3741"/>
      <c r="DXS23" s="3741"/>
      <c r="DXT23" s="3741"/>
      <c r="DXU23" s="3741"/>
      <c r="DXV23" s="3741"/>
      <c r="DXW23" s="3741"/>
      <c r="DXX23" s="3741"/>
      <c r="DXY23" s="3741"/>
      <c r="DXZ23" s="3741"/>
      <c r="DYA23" s="3741"/>
      <c r="DYB23" s="3741"/>
      <c r="DYC23" s="3741"/>
      <c r="DYD23" s="3741"/>
      <c r="DYE23" s="3741"/>
      <c r="DYF23" s="3741"/>
      <c r="DYG23" s="3741"/>
      <c r="DYH23" s="3741"/>
      <c r="DYI23" s="3741"/>
      <c r="DYJ23" s="3741"/>
      <c r="DYK23" s="3741"/>
      <c r="DYL23" s="3741"/>
      <c r="DYM23" s="3741"/>
      <c r="DYN23" s="3741"/>
      <c r="DYO23" s="3741"/>
      <c r="DYP23" s="3741"/>
      <c r="DYQ23" s="3741"/>
      <c r="DYR23" s="3741"/>
      <c r="DYS23" s="3741"/>
      <c r="DYT23" s="3741"/>
      <c r="DYU23" s="3741"/>
      <c r="DYV23" s="3741"/>
      <c r="DYW23" s="3741"/>
      <c r="DYX23" s="3741"/>
      <c r="DYY23" s="3741"/>
      <c r="DYZ23" s="3741"/>
      <c r="DZA23" s="3741"/>
      <c r="DZB23" s="3741"/>
      <c r="DZC23" s="3741"/>
      <c r="DZD23" s="3741"/>
      <c r="DZE23" s="3741"/>
      <c r="DZF23" s="3741"/>
      <c r="DZG23" s="3741"/>
      <c r="DZH23" s="3741"/>
      <c r="DZI23" s="3741"/>
      <c r="DZJ23" s="3741"/>
      <c r="DZK23" s="3741"/>
      <c r="DZL23" s="3741"/>
      <c r="DZM23" s="3741"/>
      <c r="DZN23" s="3741"/>
      <c r="DZO23" s="3741"/>
      <c r="DZP23" s="3741"/>
      <c r="DZQ23" s="3741"/>
      <c r="DZR23" s="3741"/>
      <c r="DZS23" s="3741"/>
      <c r="DZT23" s="3741"/>
      <c r="DZU23" s="3741"/>
      <c r="DZV23" s="3741"/>
      <c r="DZW23" s="3741"/>
      <c r="DZX23" s="3741"/>
      <c r="DZY23" s="3741"/>
      <c r="DZZ23" s="3741"/>
      <c r="EAA23" s="3741"/>
      <c r="EAB23" s="3741"/>
      <c r="EAC23" s="3741"/>
      <c r="EAD23" s="3741"/>
      <c r="EAE23" s="3741"/>
      <c r="EAF23" s="3741"/>
      <c r="EAG23" s="3741"/>
      <c r="EAH23" s="3741"/>
      <c r="EAI23" s="3741"/>
      <c r="EAJ23" s="3741"/>
      <c r="EAK23" s="3741"/>
      <c r="EAL23" s="3741"/>
      <c r="EAM23" s="3741"/>
      <c r="EAN23" s="3741"/>
      <c r="EAO23" s="3741"/>
      <c r="EAP23" s="3741"/>
      <c r="EAQ23" s="3741"/>
      <c r="EAR23" s="3741"/>
      <c r="EAS23" s="3741"/>
      <c r="EAT23" s="3741"/>
      <c r="EAU23" s="3741"/>
      <c r="EAV23" s="3741"/>
      <c r="EAW23" s="3741"/>
      <c r="EAX23" s="3741"/>
      <c r="EAY23" s="3741"/>
      <c r="EAZ23" s="3741"/>
      <c r="EBA23" s="3741"/>
      <c r="EBB23" s="3741"/>
      <c r="EBC23" s="3741"/>
      <c r="EBD23" s="3741"/>
      <c r="EBE23" s="3741"/>
      <c r="EBF23" s="3741"/>
      <c r="EBG23" s="3741"/>
      <c r="EBH23" s="3741"/>
      <c r="EBI23" s="3741"/>
      <c r="EBJ23" s="3741"/>
      <c r="EBK23" s="3741"/>
      <c r="EBL23" s="3741"/>
      <c r="EBM23" s="3741"/>
      <c r="EBN23" s="3741"/>
      <c r="EBO23" s="3741"/>
      <c r="EBP23" s="3741"/>
      <c r="EBQ23" s="3741"/>
      <c r="EBR23" s="3741"/>
      <c r="EBS23" s="3741"/>
      <c r="EBT23" s="3741"/>
      <c r="EBU23" s="3741"/>
      <c r="EBV23" s="3741"/>
      <c r="EBW23" s="3741"/>
      <c r="EBX23" s="3741"/>
      <c r="EBY23" s="3741"/>
      <c r="EBZ23" s="3741"/>
      <c r="ECA23" s="3741"/>
      <c r="ECB23" s="3741"/>
      <c r="ECC23" s="3741"/>
      <c r="ECD23" s="3741"/>
      <c r="ECE23" s="3741"/>
      <c r="ECF23" s="3741"/>
      <c r="ECG23" s="3741"/>
      <c r="ECH23" s="3741"/>
      <c r="ECI23" s="3741"/>
      <c r="ECJ23" s="3741"/>
      <c r="ECK23" s="3741"/>
      <c r="ECL23" s="3741"/>
      <c r="ECM23" s="3741"/>
      <c r="ECN23" s="3741"/>
      <c r="ECO23" s="3741"/>
      <c r="ECP23" s="3741"/>
      <c r="ECQ23" s="3741"/>
      <c r="ECR23" s="3741"/>
      <c r="ECS23" s="3741"/>
      <c r="ECT23" s="3741"/>
      <c r="ECU23" s="3741"/>
      <c r="ECV23" s="3741"/>
      <c r="ECW23" s="3741"/>
      <c r="ECX23" s="3741"/>
      <c r="ECY23" s="3741"/>
      <c r="ECZ23" s="3741"/>
      <c r="EDA23" s="3741"/>
      <c r="EDB23" s="3741"/>
      <c r="EDC23" s="3741"/>
      <c r="EDD23" s="3741"/>
      <c r="EDE23" s="3741"/>
      <c r="EDF23" s="3741"/>
      <c r="EDG23" s="3741"/>
      <c r="EDH23" s="3741"/>
      <c r="EDI23" s="3741"/>
      <c r="EDJ23" s="3741"/>
      <c r="EDK23" s="3741"/>
      <c r="EDL23" s="3741"/>
      <c r="EDM23" s="3741"/>
      <c r="EDN23" s="3741"/>
      <c r="EDO23" s="3741"/>
      <c r="EDP23" s="3741"/>
      <c r="EDQ23" s="3741"/>
      <c r="EDR23" s="3741"/>
      <c r="EDS23" s="3741"/>
      <c r="EDT23" s="3741"/>
      <c r="EDU23" s="3741"/>
      <c r="EDV23" s="3741"/>
      <c r="EDW23" s="3741"/>
      <c r="EDX23" s="3741"/>
      <c r="EDY23" s="3741"/>
      <c r="EDZ23" s="3741"/>
      <c r="EEA23" s="3741"/>
      <c r="EEB23" s="3741"/>
      <c r="EEC23" s="3741"/>
      <c r="EED23" s="3741"/>
      <c r="EEE23" s="3741"/>
      <c r="EEF23" s="3741"/>
      <c r="EEG23" s="3741"/>
      <c r="EEH23" s="3741"/>
      <c r="EEI23" s="3741"/>
      <c r="EEJ23" s="3741"/>
      <c r="EEK23" s="3741"/>
      <c r="EEL23" s="3741"/>
      <c r="EEM23" s="3741"/>
      <c r="EEN23" s="3741"/>
      <c r="EEO23" s="3741"/>
      <c r="EEP23" s="3741"/>
      <c r="EEQ23" s="3741"/>
      <c r="EER23" s="3741"/>
      <c r="EES23" s="3741"/>
      <c r="EET23" s="3741"/>
      <c r="EEU23" s="3741"/>
      <c r="EEV23" s="3741"/>
      <c r="EEW23" s="3741"/>
      <c r="EEX23" s="3741"/>
      <c r="EEY23" s="3741"/>
      <c r="EEZ23" s="3741"/>
      <c r="EFA23" s="3741"/>
      <c r="EFB23" s="3741"/>
      <c r="EFC23" s="3741"/>
      <c r="EFD23" s="3741"/>
      <c r="EFE23" s="3741"/>
      <c r="EFF23" s="3741"/>
      <c r="EFG23" s="3741"/>
      <c r="EFH23" s="3741"/>
      <c r="EFI23" s="3741"/>
      <c r="EFJ23" s="3741"/>
      <c r="EFK23" s="3741"/>
      <c r="EFL23" s="3741"/>
      <c r="EFM23" s="3741"/>
      <c r="EFN23" s="3741"/>
      <c r="EFO23" s="3741"/>
      <c r="EFP23" s="3741"/>
      <c r="EFQ23" s="3741"/>
      <c r="EFR23" s="3741"/>
      <c r="EFS23" s="3741"/>
      <c r="EFT23" s="3741"/>
      <c r="EFU23" s="3741"/>
      <c r="EFV23" s="3741"/>
      <c r="EFW23" s="3741"/>
      <c r="EFX23" s="3741"/>
      <c r="EFY23" s="3741"/>
      <c r="EFZ23" s="3741"/>
      <c r="EGA23" s="3741"/>
      <c r="EGB23" s="3741"/>
      <c r="EGC23" s="3741"/>
      <c r="EGD23" s="3741"/>
      <c r="EGE23" s="3741"/>
      <c r="EGF23" s="3741"/>
      <c r="EGG23" s="3741"/>
      <c r="EGH23" s="3741"/>
      <c r="EGI23" s="3741"/>
      <c r="EGJ23" s="3741"/>
      <c r="EGK23" s="3741"/>
      <c r="EGL23" s="3741"/>
      <c r="EGM23" s="3741"/>
      <c r="EGN23" s="3741"/>
      <c r="EGO23" s="3741"/>
      <c r="EGP23" s="3741"/>
      <c r="EGQ23" s="3741"/>
      <c r="EGR23" s="3741"/>
      <c r="EGS23" s="3741"/>
      <c r="EGT23" s="3741"/>
      <c r="EGU23" s="3741"/>
      <c r="EGV23" s="3741"/>
      <c r="EGW23" s="3741"/>
      <c r="EGX23" s="3741"/>
      <c r="EGY23" s="3741"/>
      <c r="EGZ23" s="3741"/>
      <c r="EHA23" s="3741"/>
      <c r="EHB23" s="3741"/>
      <c r="EHC23" s="3741"/>
      <c r="EHD23" s="3741"/>
      <c r="EHE23" s="3741"/>
      <c r="EHF23" s="3741"/>
      <c r="EHG23" s="3741"/>
      <c r="EHH23" s="3741"/>
      <c r="EHI23" s="3741"/>
      <c r="EHJ23" s="3741"/>
      <c r="EHK23" s="3741"/>
      <c r="EHL23" s="3741"/>
      <c r="EHM23" s="3741"/>
      <c r="EHN23" s="3741"/>
      <c r="EHO23" s="3741"/>
      <c r="EHP23" s="3741"/>
      <c r="EHQ23" s="3741"/>
      <c r="EHR23" s="3741"/>
      <c r="EHS23" s="3741"/>
      <c r="EHT23" s="3741"/>
      <c r="EHU23" s="3741"/>
      <c r="EHV23" s="3741"/>
      <c r="EHW23" s="3741"/>
      <c r="EHX23" s="3741"/>
      <c r="EHY23" s="3741"/>
      <c r="EHZ23" s="3741"/>
      <c r="EIA23" s="3741"/>
      <c r="EIB23" s="3741"/>
      <c r="EIC23" s="3741"/>
      <c r="EID23" s="3741"/>
      <c r="EIE23" s="3741"/>
      <c r="EIF23" s="3741"/>
      <c r="EIG23" s="3741"/>
      <c r="EIH23" s="3741"/>
      <c r="EII23" s="3741"/>
      <c r="EIJ23" s="3741"/>
      <c r="EIK23" s="3741"/>
      <c r="EIL23" s="3741"/>
      <c r="EIM23" s="3741"/>
      <c r="EIN23" s="3741"/>
      <c r="EIO23" s="3741"/>
      <c r="EIP23" s="3741"/>
      <c r="EIQ23" s="3741"/>
      <c r="EIR23" s="3741"/>
      <c r="EIS23" s="3741"/>
      <c r="EIT23" s="3741"/>
      <c r="EIU23" s="3741"/>
      <c r="EIV23" s="3741"/>
      <c r="EIW23" s="3741"/>
      <c r="EIX23" s="3741"/>
      <c r="EIY23" s="3741"/>
      <c r="EIZ23" s="3741"/>
      <c r="EJA23" s="3741"/>
      <c r="EJB23" s="3741"/>
      <c r="EJC23" s="3741"/>
      <c r="EJD23" s="3741"/>
      <c r="EJE23" s="3741"/>
      <c r="EJF23" s="3741"/>
      <c r="EJG23" s="3741"/>
      <c r="EJH23" s="3741"/>
      <c r="EJI23" s="3741"/>
      <c r="EJJ23" s="3741"/>
      <c r="EJK23" s="3741"/>
      <c r="EJL23" s="3741"/>
      <c r="EJM23" s="3741"/>
      <c r="EJN23" s="3741"/>
      <c r="EJO23" s="3741"/>
      <c r="EJP23" s="3741"/>
      <c r="EJQ23" s="3741"/>
      <c r="EJR23" s="3741"/>
      <c r="EJS23" s="3741"/>
      <c r="EJT23" s="3741"/>
      <c r="EJU23" s="3741"/>
      <c r="EJV23" s="3741"/>
      <c r="EJW23" s="3741"/>
      <c r="EJX23" s="3741"/>
      <c r="EJY23" s="3741"/>
      <c r="EJZ23" s="3741"/>
      <c r="EKA23" s="3741"/>
      <c r="EKB23" s="3741"/>
      <c r="EKC23" s="3741"/>
      <c r="EKD23" s="3741"/>
      <c r="EKE23" s="3741"/>
      <c r="EKF23" s="3741"/>
      <c r="EKG23" s="3741"/>
      <c r="EKH23" s="3741"/>
      <c r="EKI23" s="3741"/>
      <c r="EKJ23" s="3741"/>
      <c r="EKK23" s="3741"/>
      <c r="EKL23" s="3741"/>
      <c r="EKM23" s="3741"/>
      <c r="EKN23" s="3741"/>
      <c r="EKO23" s="3741"/>
      <c r="EKP23" s="3741"/>
      <c r="EKQ23" s="3741"/>
      <c r="EKR23" s="3741"/>
      <c r="EKS23" s="3741"/>
      <c r="EKT23" s="3741"/>
      <c r="EKU23" s="3741"/>
      <c r="EKV23" s="3741"/>
      <c r="EKW23" s="3741"/>
      <c r="EKX23" s="3741"/>
      <c r="EKY23" s="3741"/>
      <c r="EKZ23" s="3741"/>
      <c r="ELA23" s="3741"/>
      <c r="ELB23" s="3741"/>
      <c r="ELC23" s="3741"/>
      <c r="ELD23" s="3741"/>
      <c r="ELE23" s="3741"/>
      <c r="ELF23" s="3741"/>
      <c r="ELG23" s="3741"/>
      <c r="ELH23" s="3741"/>
      <c r="ELI23" s="3741"/>
      <c r="ELJ23" s="3741"/>
      <c r="ELK23" s="3741"/>
      <c r="ELL23" s="3741"/>
      <c r="ELM23" s="3741"/>
      <c r="ELN23" s="3741"/>
      <c r="ELO23" s="3741"/>
      <c r="ELP23" s="3741"/>
      <c r="ELQ23" s="3741"/>
      <c r="ELR23" s="3741"/>
      <c r="ELS23" s="3741"/>
      <c r="ELT23" s="3741"/>
      <c r="ELU23" s="3741"/>
      <c r="ELV23" s="3741"/>
      <c r="ELW23" s="3741"/>
      <c r="ELX23" s="3741"/>
      <c r="ELY23" s="3741"/>
      <c r="ELZ23" s="3741"/>
      <c r="EMA23" s="3741"/>
      <c r="EMB23" s="3741"/>
      <c r="EMC23" s="3741"/>
      <c r="EMD23" s="3741"/>
      <c r="EME23" s="3741"/>
      <c r="EMF23" s="3741"/>
      <c r="EMG23" s="3741"/>
      <c r="EMH23" s="3741"/>
      <c r="EMI23" s="3741"/>
      <c r="EMJ23" s="3741"/>
      <c r="EMK23" s="3741"/>
      <c r="EML23" s="3741"/>
      <c r="EMM23" s="3741"/>
      <c r="EMN23" s="3741"/>
      <c r="EMO23" s="3741"/>
      <c r="EMP23" s="3741"/>
      <c r="EMQ23" s="3741"/>
      <c r="EMR23" s="3741"/>
      <c r="EMS23" s="3741"/>
      <c r="EMT23" s="3741"/>
      <c r="EMU23" s="3741"/>
      <c r="EMV23" s="3741"/>
      <c r="EMW23" s="3741"/>
      <c r="EMX23" s="3741"/>
      <c r="EMY23" s="3741"/>
      <c r="EMZ23" s="3741"/>
      <c r="ENA23" s="3741"/>
      <c r="ENB23" s="3741"/>
      <c r="ENC23" s="3741"/>
      <c r="END23" s="3741"/>
      <c r="ENE23" s="3741"/>
      <c r="ENF23" s="3741"/>
      <c r="ENG23" s="3741"/>
      <c r="ENH23" s="3741"/>
      <c r="ENI23" s="3741"/>
      <c r="ENJ23" s="3741"/>
      <c r="ENK23" s="3741"/>
      <c r="ENL23" s="3741"/>
      <c r="ENM23" s="3741"/>
      <c r="ENN23" s="3741"/>
      <c r="ENO23" s="3741"/>
      <c r="ENP23" s="3741"/>
      <c r="ENQ23" s="3741"/>
      <c r="ENR23" s="3741"/>
      <c r="ENS23" s="3741"/>
      <c r="ENT23" s="3741"/>
      <c r="ENU23" s="3741"/>
      <c r="ENV23" s="3741"/>
      <c r="ENW23" s="3741"/>
      <c r="ENX23" s="3741"/>
      <c r="ENY23" s="3741"/>
      <c r="ENZ23" s="3741"/>
      <c r="EOA23" s="3741"/>
      <c r="EOB23" s="3741"/>
      <c r="EOC23" s="3741"/>
      <c r="EOD23" s="3741"/>
      <c r="EOE23" s="3741"/>
      <c r="EOF23" s="3741"/>
      <c r="EOG23" s="3741"/>
      <c r="EOH23" s="3741"/>
      <c r="EOI23" s="3741"/>
      <c r="EOJ23" s="3741"/>
      <c r="EOK23" s="3741"/>
      <c r="EOL23" s="3741"/>
      <c r="EOM23" s="3741"/>
      <c r="EON23" s="3741"/>
      <c r="EOO23" s="3741"/>
      <c r="EOP23" s="3741"/>
      <c r="EOQ23" s="3741"/>
      <c r="EOR23" s="3741"/>
      <c r="EOS23" s="3741"/>
      <c r="EOT23" s="3741"/>
      <c r="EOU23" s="3741"/>
      <c r="EOV23" s="3741"/>
      <c r="EOW23" s="3741"/>
      <c r="EOX23" s="3741"/>
      <c r="EOY23" s="3741"/>
      <c r="EOZ23" s="3741"/>
      <c r="EPA23" s="3741"/>
      <c r="EPB23" s="3741"/>
      <c r="EPC23" s="3741"/>
      <c r="EPD23" s="3741"/>
      <c r="EPE23" s="3741"/>
      <c r="EPF23" s="3741"/>
      <c r="EPG23" s="3741"/>
      <c r="EPH23" s="3741"/>
      <c r="EPI23" s="3741"/>
      <c r="EPJ23" s="3741"/>
      <c r="EPK23" s="3741"/>
      <c r="EPL23" s="3741"/>
      <c r="EPM23" s="3741"/>
      <c r="EPN23" s="3741"/>
      <c r="EPO23" s="3741"/>
      <c r="EPP23" s="3741"/>
      <c r="EPQ23" s="3741"/>
      <c r="EPR23" s="3741"/>
      <c r="EPS23" s="3741"/>
      <c r="EPT23" s="3741"/>
      <c r="EPU23" s="3741"/>
      <c r="EPV23" s="3741"/>
      <c r="EPW23" s="3741"/>
      <c r="EPX23" s="3741"/>
      <c r="EPY23" s="3741"/>
      <c r="EPZ23" s="3741"/>
      <c r="EQA23" s="3741"/>
      <c r="EQB23" s="3741"/>
      <c r="EQC23" s="3741"/>
      <c r="EQD23" s="3741"/>
      <c r="EQE23" s="3741"/>
      <c r="EQF23" s="3741"/>
      <c r="EQG23" s="3741"/>
      <c r="EQH23" s="3741"/>
      <c r="EQI23" s="3741"/>
      <c r="EQJ23" s="3741"/>
      <c r="EQK23" s="3741"/>
      <c r="EQL23" s="3741"/>
      <c r="EQM23" s="3741"/>
      <c r="EQN23" s="3741"/>
      <c r="EQO23" s="3741"/>
      <c r="EQP23" s="3741"/>
      <c r="EQQ23" s="3741"/>
      <c r="EQR23" s="3741"/>
      <c r="EQS23" s="3741"/>
      <c r="EQT23" s="3741"/>
      <c r="EQU23" s="3741"/>
      <c r="EQV23" s="3741"/>
      <c r="EQW23" s="3741"/>
      <c r="EQX23" s="3741"/>
      <c r="EQY23" s="3741"/>
      <c r="EQZ23" s="3741"/>
      <c r="ERA23" s="3741"/>
      <c r="ERB23" s="3741"/>
      <c r="ERC23" s="3741"/>
      <c r="ERD23" s="3741"/>
      <c r="ERE23" s="3741"/>
      <c r="ERF23" s="3741"/>
      <c r="ERG23" s="3741"/>
      <c r="ERH23" s="3741"/>
      <c r="ERI23" s="3741"/>
      <c r="ERJ23" s="3741"/>
      <c r="ERK23" s="3741"/>
      <c r="ERL23" s="3741"/>
      <c r="ERM23" s="3741"/>
      <c r="ERN23" s="3741"/>
      <c r="ERO23" s="3741"/>
      <c r="ERP23" s="3741"/>
      <c r="ERQ23" s="3741"/>
      <c r="ERR23" s="3741"/>
      <c r="ERS23" s="3741"/>
      <c r="ERT23" s="3741"/>
      <c r="ERU23" s="3741"/>
      <c r="ERV23" s="3741"/>
      <c r="ERW23" s="3741"/>
      <c r="ERX23" s="3741"/>
      <c r="ERY23" s="3741"/>
      <c r="ERZ23" s="3741"/>
      <c r="ESA23" s="3741"/>
      <c r="ESB23" s="3741"/>
      <c r="ESC23" s="3741"/>
      <c r="ESD23" s="3741"/>
      <c r="ESE23" s="3741"/>
      <c r="ESF23" s="3741"/>
      <c r="ESG23" s="3741"/>
      <c r="ESH23" s="3741"/>
      <c r="ESI23" s="3741"/>
      <c r="ESJ23" s="3741"/>
      <c r="ESK23" s="3741"/>
      <c r="ESL23" s="3741"/>
      <c r="ESM23" s="3741"/>
      <c r="ESN23" s="3741"/>
      <c r="ESO23" s="3741"/>
      <c r="ESP23" s="3741"/>
      <c r="ESQ23" s="3741"/>
      <c r="ESR23" s="3741"/>
      <c r="ESS23" s="3741"/>
      <c r="EST23" s="3741"/>
      <c r="ESU23" s="3741"/>
      <c r="ESV23" s="3741"/>
      <c r="ESW23" s="3741"/>
      <c r="ESX23" s="3741"/>
      <c r="ESY23" s="3741"/>
      <c r="ESZ23" s="3741"/>
      <c r="ETA23" s="3741"/>
      <c r="ETB23" s="3741"/>
      <c r="ETC23" s="3741"/>
      <c r="ETD23" s="3741"/>
      <c r="ETE23" s="3741"/>
      <c r="ETF23" s="3741"/>
      <c r="ETG23" s="3741"/>
      <c r="ETH23" s="3741"/>
      <c r="ETI23" s="3741"/>
      <c r="ETJ23" s="3741"/>
      <c r="ETK23" s="3741"/>
      <c r="ETL23" s="3741"/>
      <c r="ETM23" s="3741"/>
      <c r="ETN23" s="3741"/>
      <c r="ETO23" s="3741"/>
      <c r="ETP23" s="3741"/>
      <c r="ETQ23" s="3741"/>
      <c r="ETR23" s="3741"/>
      <c r="ETS23" s="3741"/>
      <c r="ETT23" s="3741"/>
      <c r="ETU23" s="3741"/>
      <c r="ETV23" s="3741"/>
      <c r="ETW23" s="3741"/>
      <c r="ETX23" s="3741"/>
      <c r="ETY23" s="3741"/>
      <c r="ETZ23" s="3741"/>
      <c r="EUA23" s="3741"/>
      <c r="EUB23" s="3741"/>
      <c r="EUC23" s="3741"/>
      <c r="EUD23" s="3741"/>
      <c r="EUE23" s="3741"/>
      <c r="EUF23" s="3741"/>
      <c r="EUG23" s="3741"/>
      <c r="EUH23" s="3741"/>
      <c r="EUI23" s="3741"/>
      <c r="EUJ23" s="3741"/>
      <c r="EUK23" s="3741"/>
      <c r="EUL23" s="3741"/>
      <c r="EUM23" s="3741"/>
      <c r="EUN23" s="3741"/>
      <c r="EUO23" s="3741"/>
      <c r="EUP23" s="3741"/>
      <c r="EUQ23" s="3741"/>
      <c r="EUR23" s="3741"/>
      <c r="EUS23" s="3741"/>
      <c r="EUT23" s="3741"/>
      <c r="EUU23" s="3741"/>
      <c r="EUV23" s="3741"/>
      <c r="EUW23" s="3741"/>
      <c r="EUX23" s="3741"/>
      <c r="EUY23" s="3741"/>
      <c r="EUZ23" s="3741"/>
      <c r="EVA23" s="3741"/>
      <c r="EVB23" s="3741"/>
      <c r="EVC23" s="3741"/>
      <c r="EVD23" s="3741"/>
      <c r="EVE23" s="3741"/>
      <c r="EVF23" s="3741"/>
      <c r="EVG23" s="3741"/>
      <c r="EVH23" s="3741"/>
      <c r="EVI23" s="3741"/>
      <c r="EVJ23" s="3741"/>
      <c r="EVK23" s="3741"/>
      <c r="EVL23" s="3741"/>
      <c r="EVM23" s="3741"/>
      <c r="EVN23" s="3741"/>
      <c r="EVO23" s="3741"/>
      <c r="EVP23" s="3741"/>
      <c r="EVQ23" s="3741"/>
      <c r="EVR23" s="3741"/>
      <c r="EVS23" s="3741"/>
      <c r="EVT23" s="3741"/>
      <c r="EVU23" s="3741"/>
      <c r="EVV23" s="3741"/>
      <c r="EVW23" s="3741"/>
      <c r="EVX23" s="3741"/>
      <c r="EVY23" s="3741"/>
      <c r="EVZ23" s="3741"/>
      <c r="EWA23" s="3741"/>
      <c r="EWB23" s="3741"/>
      <c r="EWC23" s="3741"/>
      <c r="EWD23" s="3741"/>
      <c r="EWE23" s="3741"/>
      <c r="EWF23" s="3741"/>
      <c r="EWG23" s="3741"/>
      <c r="EWH23" s="3741"/>
      <c r="EWI23" s="3741"/>
      <c r="EWJ23" s="3741"/>
      <c r="EWK23" s="3741"/>
      <c r="EWL23" s="3741"/>
      <c r="EWM23" s="3741"/>
      <c r="EWN23" s="3741"/>
      <c r="EWO23" s="3741"/>
      <c r="EWP23" s="3741"/>
      <c r="EWQ23" s="3741"/>
      <c r="EWR23" s="3741"/>
      <c r="EWS23" s="3741"/>
      <c r="EWT23" s="3741"/>
      <c r="EWU23" s="3741"/>
      <c r="EWV23" s="3741"/>
      <c r="EWW23" s="3741"/>
      <c r="EWX23" s="3741"/>
      <c r="EWY23" s="3741"/>
      <c r="EWZ23" s="3741"/>
      <c r="EXA23" s="3741"/>
      <c r="EXB23" s="3741"/>
      <c r="EXC23" s="3741"/>
      <c r="EXD23" s="3741"/>
      <c r="EXE23" s="3741"/>
      <c r="EXF23" s="3741"/>
      <c r="EXG23" s="3741"/>
      <c r="EXH23" s="3741"/>
      <c r="EXI23" s="3741"/>
      <c r="EXJ23" s="3741"/>
      <c r="EXK23" s="3741"/>
      <c r="EXL23" s="3741"/>
      <c r="EXM23" s="3741"/>
      <c r="EXN23" s="3741"/>
      <c r="EXO23" s="3741"/>
      <c r="EXP23" s="3741"/>
      <c r="EXQ23" s="3741"/>
      <c r="EXR23" s="3741"/>
      <c r="EXS23" s="3741"/>
      <c r="EXT23" s="3741"/>
      <c r="EXU23" s="3741"/>
      <c r="EXV23" s="3741"/>
      <c r="EXW23" s="3741"/>
      <c r="EXX23" s="3741"/>
      <c r="EXY23" s="3741"/>
      <c r="EXZ23" s="3741"/>
      <c r="EYA23" s="3741"/>
      <c r="EYB23" s="3741"/>
      <c r="EYC23" s="3741"/>
      <c r="EYD23" s="3741"/>
      <c r="EYE23" s="3741"/>
      <c r="EYF23" s="3741"/>
      <c r="EYG23" s="3741"/>
      <c r="EYH23" s="3741"/>
      <c r="EYI23" s="3741"/>
      <c r="EYJ23" s="3741"/>
      <c r="EYK23" s="3741"/>
      <c r="EYL23" s="3741"/>
      <c r="EYM23" s="3741"/>
      <c r="EYN23" s="3741"/>
      <c r="EYO23" s="3741"/>
      <c r="EYP23" s="3741"/>
      <c r="EYQ23" s="3741"/>
      <c r="EYR23" s="3741"/>
      <c r="EYS23" s="3741"/>
      <c r="EYT23" s="3741"/>
      <c r="EYU23" s="3741"/>
      <c r="EYV23" s="3741"/>
      <c r="EYW23" s="3741"/>
      <c r="EYX23" s="3741"/>
      <c r="EYY23" s="3741"/>
      <c r="EYZ23" s="3741"/>
      <c r="EZA23" s="3741"/>
      <c r="EZB23" s="3741"/>
      <c r="EZC23" s="3741"/>
      <c r="EZD23" s="3741"/>
      <c r="EZE23" s="3741"/>
      <c r="EZF23" s="3741"/>
      <c r="EZG23" s="3741"/>
      <c r="EZH23" s="3741"/>
      <c r="EZI23" s="3741"/>
      <c r="EZJ23" s="3741"/>
      <c r="EZK23" s="3741"/>
      <c r="EZL23" s="3741"/>
      <c r="EZM23" s="3741"/>
      <c r="EZN23" s="3741"/>
      <c r="EZO23" s="3741"/>
      <c r="EZP23" s="3741"/>
      <c r="EZQ23" s="3741"/>
      <c r="EZR23" s="3741"/>
      <c r="EZS23" s="3741"/>
      <c r="EZT23" s="3741"/>
      <c r="EZU23" s="3741"/>
      <c r="EZV23" s="3741"/>
      <c r="EZW23" s="3741"/>
      <c r="EZX23" s="3741"/>
      <c r="EZY23" s="3741"/>
      <c r="EZZ23" s="3741"/>
      <c r="FAA23" s="3741"/>
      <c r="FAB23" s="3741"/>
      <c r="FAC23" s="3741"/>
      <c r="FAD23" s="3741"/>
      <c r="FAE23" s="3741"/>
      <c r="FAF23" s="3741"/>
      <c r="FAG23" s="3741"/>
      <c r="FAH23" s="3741"/>
      <c r="FAI23" s="3741"/>
      <c r="FAJ23" s="3741"/>
      <c r="FAK23" s="3741"/>
      <c r="FAL23" s="3741"/>
      <c r="FAM23" s="3741"/>
      <c r="FAN23" s="3741"/>
      <c r="FAO23" s="3741"/>
      <c r="FAP23" s="3741"/>
      <c r="FAQ23" s="3741"/>
      <c r="FAR23" s="3741"/>
      <c r="FAS23" s="3741"/>
      <c r="FAT23" s="3741"/>
      <c r="FAU23" s="3741"/>
      <c r="FAV23" s="3741"/>
      <c r="FAW23" s="3741"/>
      <c r="FAX23" s="3741"/>
      <c r="FAY23" s="3741"/>
      <c r="FAZ23" s="3741"/>
      <c r="FBA23" s="3741"/>
      <c r="FBB23" s="3741"/>
      <c r="FBC23" s="3741"/>
      <c r="FBD23" s="3741"/>
      <c r="FBE23" s="3741"/>
      <c r="FBF23" s="3741"/>
      <c r="FBG23" s="3741"/>
      <c r="FBH23" s="3741"/>
      <c r="FBI23" s="3741"/>
      <c r="FBJ23" s="3741"/>
      <c r="FBK23" s="3741"/>
      <c r="FBL23" s="3741"/>
      <c r="FBM23" s="3741"/>
      <c r="FBN23" s="3741"/>
      <c r="FBO23" s="3741"/>
      <c r="FBP23" s="3741"/>
      <c r="FBQ23" s="3741"/>
      <c r="FBR23" s="3741"/>
      <c r="FBS23" s="3741"/>
      <c r="FBT23" s="3741"/>
      <c r="FBU23" s="3741"/>
      <c r="FBV23" s="3741"/>
      <c r="FBW23" s="3741"/>
      <c r="FBX23" s="3741"/>
      <c r="FBY23" s="3741"/>
      <c r="FBZ23" s="3741"/>
      <c r="FCA23" s="3741"/>
      <c r="FCB23" s="3741"/>
      <c r="FCC23" s="3741"/>
      <c r="FCD23" s="3741"/>
      <c r="FCE23" s="3741"/>
      <c r="FCF23" s="3741"/>
      <c r="FCG23" s="3741"/>
      <c r="FCH23" s="3741"/>
      <c r="FCI23" s="3741"/>
      <c r="FCJ23" s="3741"/>
      <c r="FCK23" s="3741"/>
      <c r="FCL23" s="3741"/>
      <c r="FCM23" s="3741"/>
      <c r="FCN23" s="3741"/>
      <c r="FCO23" s="3741"/>
      <c r="FCP23" s="3741"/>
      <c r="FCQ23" s="3741"/>
      <c r="FCR23" s="3741"/>
      <c r="FCS23" s="3741"/>
      <c r="FCT23" s="3741"/>
      <c r="FCU23" s="3741"/>
      <c r="FCV23" s="3741"/>
      <c r="FCW23" s="3741"/>
      <c r="FCX23" s="3741"/>
      <c r="FCY23" s="3741"/>
      <c r="FCZ23" s="3741"/>
      <c r="FDA23" s="3741"/>
      <c r="FDB23" s="3741"/>
      <c r="FDC23" s="3741"/>
      <c r="FDD23" s="3741"/>
      <c r="FDE23" s="3741"/>
      <c r="FDF23" s="3741"/>
      <c r="FDG23" s="3741"/>
      <c r="FDH23" s="3741"/>
      <c r="FDI23" s="3741"/>
      <c r="FDJ23" s="3741"/>
      <c r="FDK23" s="3741"/>
      <c r="FDL23" s="3741"/>
      <c r="FDM23" s="3741"/>
      <c r="FDN23" s="3741"/>
      <c r="FDO23" s="3741"/>
      <c r="FDP23" s="3741"/>
      <c r="FDQ23" s="3741"/>
      <c r="FDR23" s="3741"/>
      <c r="FDS23" s="3741"/>
      <c r="FDT23" s="3741"/>
      <c r="FDU23" s="3741"/>
      <c r="FDV23" s="3741"/>
      <c r="FDW23" s="3741"/>
      <c r="FDX23" s="3741"/>
      <c r="FDY23" s="3741"/>
      <c r="FDZ23" s="3741"/>
      <c r="FEA23" s="3741"/>
      <c r="FEB23" s="3741"/>
      <c r="FEC23" s="3741"/>
      <c r="FED23" s="3741"/>
      <c r="FEE23" s="3741"/>
      <c r="FEF23" s="3741"/>
      <c r="FEG23" s="3741"/>
      <c r="FEH23" s="3741"/>
      <c r="FEI23" s="3741"/>
      <c r="FEJ23" s="3741"/>
      <c r="FEK23" s="3741"/>
      <c r="FEL23" s="3741"/>
      <c r="FEM23" s="3741"/>
      <c r="FEN23" s="3741"/>
      <c r="FEO23" s="3741"/>
      <c r="FEP23" s="3741"/>
      <c r="FEQ23" s="3741"/>
      <c r="FER23" s="3741"/>
      <c r="FES23" s="3741"/>
      <c r="FET23" s="3741"/>
      <c r="FEU23" s="3741"/>
      <c r="FEV23" s="3741"/>
      <c r="FEW23" s="3741"/>
      <c r="FEX23" s="3741"/>
      <c r="FEY23" s="3741"/>
      <c r="FEZ23" s="3741"/>
      <c r="FFA23" s="3741"/>
      <c r="FFB23" s="3741"/>
      <c r="FFC23" s="3741"/>
      <c r="FFD23" s="3741"/>
      <c r="FFE23" s="3741"/>
      <c r="FFF23" s="3741"/>
      <c r="FFG23" s="3741"/>
      <c r="FFH23" s="3741"/>
      <c r="FFI23" s="3741"/>
      <c r="FFJ23" s="3741"/>
      <c r="FFK23" s="3741"/>
      <c r="FFL23" s="3741"/>
      <c r="FFM23" s="3741"/>
      <c r="FFN23" s="3741"/>
      <c r="FFO23" s="3741"/>
      <c r="FFP23" s="3741"/>
      <c r="FFQ23" s="3741"/>
      <c r="FFR23" s="3741"/>
      <c r="FFS23" s="3741"/>
      <c r="FFT23" s="3741"/>
      <c r="FFU23" s="3741"/>
      <c r="FFV23" s="3741"/>
      <c r="FFW23" s="3741"/>
      <c r="FFX23" s="3741"/>
      <c r="FFY23" s="3741"/>
      <c r="FFZ23" s="3741"/>
      <c r="FGA23" s="3741"/>
      <c r="FGB23" s="3741"/>
      <c r="FGC23" s="3741"/>
      <c r="FGD23" s="3741"/>
      <c r="FGE23" s="3741"/>
      <c r="FGF23" s="3741"/>
      <c r="FGG23" s="3741"/>
      <c r="FGH23" s="3741"/>
      <c r="FGI23" s="3741"/>
      <c r="FGJ23" s="3741"/>
      <c r="FGK23" s="3741"/>
      <c r="FGL23" s="3741"/>
      <c r="FGM23" s="3741"/>
      <c r="FGN23" s="3741"/>
      <c r="FGO23" s="3741"/>
      <c r="FGP23" s="3741"/>
      <c r="FGQ23" s="3741"/>
      <c r="FGR23" s="3741"/>
      <c r="FGS23" s="3741"/>
      <c r="FGT23" s="3741"/>
      <c r="FGU23" s="3741"/>
      <c r="FGV23" s="3741"/>
      <c r="FGW23" s="3741"/>
      <c r="FGX23" s="3741"/>
      <c r="FGY23" s="3741"/>
      <c r="FGZ23" s="3741"/>
      <c r="FHA23" s="3741"/>
      <c r="FHB23" s="3741"/>
      <c r="FHC23" s="3741"/>
      <c r="FHD23" s="3741"/>
      <c r="FHE23" s="3741"/>
      <c r="FHF23" s="3741"/>
      <c r="FHG23" s="3741"/>
      <c r="FHH23" s="3741"/>
      <c r="FHI23" s="3741"/>
      <c r="FHJ23" s="3741"/>
      <c r="FHK23" s="3741"/>
      <c r="FHL23" s="3741"/>
      <c r="FHM23" s="3741"/>
      <c r="FHN23" s="3741"/>
      <c r="FHO23" s="3741"/>
      <c r="FHP23" s="3741"/>
      <c r="FHQ23" s="3741"/>
      <c r="FHR23" s="3741"/>
      <c r="FHS23" s="3741"/>
      <c r="FHT23" s="3741"/>
      <c r="FHU23" s="3741"/>
      <c r="FHV23" s="3741"/>
      <c r="FHW23" s="3741"/>
      <c r="FHX23" s="3741"/>
      <c r="FHY23" s="3741"/>
      <c r="FHZ23" s="3741"/>
      <c r="FIA23" s="3741"/>
      <c r="FIB23" s="3741"/>
      <c r="FIC23" s="3741"/>
      <c r="FID23" s="3741"/>
      <c r="FIE23" s="3741"/>
      <c r="FIF23" s="3741"/>
      <c r="FIG23" s="3741"/>
      <c r="FIH23" s="3741"/>
      <c r="FII23" s="3741"/>
      <c r="FIJ23" s="3741"/>
      <c r="FIK23" s="3741"/>
      <c r="FIL23" s="3741"/>
      <c r="FIM23" s="3741"/>
      <c r="FIN23" s="3741"/>
      <c r="FIO23" s="3741"/>
      <c r="FIP23" s="3741"/>
      <c r="FIQ23" s="3741"/>
      <c r="FIR23" s="3741"/>
      <c r="FIS23" s="3741"/>
      <c r="FIT23" s="3741"/>
      <c r="FIU23" s="3741"/>
      <c r="FIV23" s="3741"/>
      <c r="FIW23" s="3741"/>
      <c r="FIX23" s="3741"/>
      <c r="FIY23" s="3741"/>
      <c r="FIZ23" s="3741"/>
      <c r="FJA23" s="3741"/>
      <c r="FJB23" s="3741"/>
      <c r="FJC23" s="3741"/>
      <c r="FJD23" s="3741"/>
      <c r="FJE23" s="3741"/>
      <c r="FJF23" s="3741"/>
      <c r="FJG23" s="3741"/>
      <c r="FJH23" s="3741"/>
      <c r="FJI23" s="3741"/>
      <c r="FJJ23" s="3741"/>
      <c r="FJK23" s="3741"/>
      <c r="FJL23" s="3741"/>
      <c r="FJM23" s="3741"/>
      <c r="FJN23" s="3741"/>
      <c r="FJO23" s="3741"/>
      <c r="FJP23" s="3741"/>
      <c r="FJQ23" s="3741"/>
      <c r="FJR23" s="3741"/>
      <c r="FJS23" s="3741"/>
      <c r="FJT23" s="3741"/>
      <c r="FJU23" s="3741"/>
      <c r="FJV23" s="3741"/>
      <c r="FJW23" s="3741"/>
      <c r="FJX23" s="3741"/>
      <c r="FJY23" s="3741"/>
      <c r="FJZ23" s="3741"/>
      <c r="FKA23" s="3741"/>
      <c r="FKB23" s="3741"/>
      <c r="FKC23" s="3741"/>
      <c r="FKD23" s="3741"/>
      <c r="FKE23" s="3741"/>
      <c r="FKF23" s="3741"/>
      <c r="FKG23" s="3741"/>
      <c r="FKH23" s="3741"/>
      <c r="FKI23" s="3741"/>
      <c r="FKJ23" s="3741"/>
      <c r="FKK23" s="3741"/>
      <c r="FKL23" s="3741"/>
      <c r="FKM23" s="3741"/>
      <c r="FKN23" s="3741"/>
      <c r="FKO23" s="3741"/>
      <c r="FKP23" s="3741"/>
      <c r="FKQ23" s="3741"/>
      <c r="FKR23" s="3741"/>
      <c r="FKS23" s="3741"/>
      <c r="FKT23" s="3741"/>
      <c r="FKU23" s="3741"/>
      <c r="FKV23" s="3741"/>
      <c r="FKW23" s="3741"/>
      <c r="FKX23" s="3741"/>
      <c r="FKY23" s="3741"/>
      <c r="FKZ23" s="3741"/>
      <c r="FLA23" s="3741"/>
      <c r="FLB23" s="3741"/>
      <c r="FLC23" s="3741"/>
      <c r="FLD23" s="3741"/>
      <c r="FLE23" s="3741"/>
      <c r="FLF23" s="3741"/>
      <c r="FLG23" s="3741"/>
      <c r="FLH23" s="3741"/>
      <c r="FLI23" s="3741"/>
      <c r="FLJ23" s="3741"/>
      <c r="FLK23" s="3741"/>
      <c r="FLL23" s="3741"/>
      <c r="FLM23" s="3741"/>
      <c r="FLN23" s="3741"/>
      <c r="FLO23" s="3741"/>
      <c r="FLP23" s="3741"/>
      <c r="FLQ23" s="3741"/>
      <c r="FLR23" s="3741"/>
      <c r="FLS23" s="3741"/>
      <c r="FLT23" s="3741"/>
      <c r="FLU23" s="3741"/>
      <c r="FLV23" s="3741"/>
      <c r="FLW23" s="3741"/>
      <c r="FLX23" s="3741"/>
      <c r="FLY23" s="3741"/>
      <c r="FLZ23" s="3741"/>
      <c r="FMA23" s="3741"/>
      <c r="FMB23" s="3741"/>
      <c r="FMC23" s="3741"/>
      <c r="FMD23" s="3741"/>
      <c r="FME23" s="3741"/>
      <c r="FMF23" s="3741"/>
      <c r="FMG23" s="3741"/>
      <c r="FMH23" s="3741"/>
      <c r="FMI23" s="3741"/>
      <c r="FMJ23" s="3741"/>
      <c r="FMK23" s="3741"/>
      <c r="FML23" s="3741"/>
      <c r="FMM23" s="3741"/>
      <c r="FMN23" s="3741"/>
      <c r="FMO23" s="3741"/>
      <c r="FMP23" s="3741"/>
      <c r="FMQ23" s="3741"/>
      <c r="FMR23" s="3741"/>
      <c r="FMS23" s="3741"/>
      <c r="FMT23" s="3741"/>
      <c r="FMU23" s="3741"/>
      <c r="FMV23" s="3741"/>
      <c r="FMW23" s="3741"/>
      <c r="FMX23" s="3741"/>
      <c r="FMY23" s="3741"/>
      <c r="FMZ23" s="3741"/>
      <c r="FNA23" s="3741"/>
      <c r="FNB23" s="3741"/>
      <c r="FNC23" s="3741"/>
      <c r="FND23" s="3741"/>
      <c r="FNE23" s="3741"/>
      <c r="FNF23" s="3741"/>
      <c r="FNG23" s="3741"/>
      <c r="FNH23" s="3741"/>
      <c r="FNI23" s="3741"/>
      <c r="FNJ23" s="3741"/>
      <c r="FNK23" s="3741"/>
      <c r="FNL23" s="3741"/>
      <c r="FNM23" s="3741"/>
      <c r="FNN23" s="3741"/>
      <c r="FNO23" s="3741"/>
      <c r="FNP23" s="3741"/>
      <c r="FNQ23" s="3741"/>
      <c r="FNR23" s="3741"/>
      <c r="FNS23" s="3741"/>
      <c r="FNT23" s="3741"/>
      <c r="FNU23" s="3741"/>
      <c r="FNV23" s="3741"/>
      <c r="FNW23" s="3741"/>
      <c r="FNX23" s="3741"/>
      <c r="FNY23" s="3741"/>
      <c r="FNZ23" s="3741"/>
      <c r="FOA23" s="3741"/>
      <c r="FOB23" s="3741"/>
      <c r="FOC23" s="3741"/>
      <c r="FOD23" s="3741"/>
      <c r="FOE23" s="3741"/>
      <c r="FOF23" s="3741"/>
      <c r="FOG23" s="3741"/>
      <c r="FOH23" s="3741"/>
      <c r="FOI23" s="3741"/>
      <c r="FOJ23" s="3741"/>
      <c r="FOK23" s="3741"/>
      <c r="FOL23" s="3741"/>
      <c r="FOM23" s="3741"/>
      <c r="FON23" s="3741"/>
      <c r="FOO23" s="3741"/>
      <c r="FOP23" s="3741"/>
      <c r="FOQ23" s="3741"/>
      <c r="FOR23" s="3741"/>
      <c r="FOS23" s="3741"/>
      <c r="FOT23" s="3741"/>
      <c r="FOU23" s="3741"/>
      <c r="FOV23" s="3741"/>
      <c r="FOW23" s="3741"/>
      <c r="FOX23" s="3741"/>
      <c r="FOY23" s="3741"/>
      <c r="FOZ23" s="3741"/>
      <c r="FPA23" s="3741"/>
      <c r="FPB23" s="3741"/>
      <c r="FPC23" s="3741"/>
      <c r="FPD23" s="3741"/>
      <c r="FPE23" s="3741"/>
      <c r="FPF23" s="3741"/>
      <c r="FPG23" s="3741"/>
      <c r="FPH23" s="3741"/>
      <c r="FPI23" s="3741"/>
      <c r="FPJ23" s="3741"/>
      <c r="FPK23" s="3741"/>
      <c r="FPL23" s="3741"/>
      <c r="FPM23" s="3741"/>
      <c r="FPN23" s="3741"/>
      <c r="FPO23" s="3741"/>
      <c r="FPP23" s="3741"/>
      <c r="FPQ23" s="3741"/>
      <c r="FPR23" s="3741"/>
      <c r="FPS23" s="3741"/>
      <c r="FPT23" s="3741"/>
      <c r="FPU23" s="3741"/>
      <c r="FPV23" s="3741"/>
      <c r="FPW23" s="3741"/>
      <c r="FPX23" s="3741"/>
      <c r="FPY23" s="3741"/>
      <c r="FPZ23" s="3741"/>
      <c r="FQA23" s="3741"/>
      <c r="FQB23" s="3741"/>
      <c r="FQC23" s="3741"/>
      <c r="FQD23" s="3741"/>
      <c r="FQE23" s="3741"/>
      <c r="FQF23" s="3741"/>
      <c r="FQG23" s="3741"/>
      <c r="FQH23" s="3741"/>
      <c r="FQI23" s="3741"/>
      <c r="FQJ23" s="3741"/>
      <c r="FQK23" s="3741"/>
      <c r="FQL23" s="3741"/>
      <c r="FQM23" s="3741"/>
      <c r="FQN23" s="3741"/>
      <c r="FQO23" s="3741"/>
      <c r="FQP23" s="3741"/>
      <c r="FQQ23" s="3741"/>
      <c r="FQR23" s="3741"/>
      <c r="FQS23" s="3741"/>
      <c r="FQT23" s="3741"/>
      <c r="FQU23" s="3741"/>
      <c r="FQV23" s="3741"/>
      <c r="FQW23" s="3741"/>
      <c r="FQX23" s="3741"/>
      <c r="FQY23" s="3741"/>
      <c r="FQZ23" s="3741"/>
      <c r="FRA23" s="3741"/>
      <c r="FRB23" s="3741"/>
      <c r="FRC23" s="3741"/>
      <c r="FRD23" s="3741"/>
      <c r="FRE23" s="3741"/>
      <c r="FRF23" s="3741"/>
      <c r="FRG23" s="3741"/>
      <c r="FRH23" s="3741"/>
      <c r="FRI23" s="3741"/>
      <c r="FRJ23" s="3741"/>
      <c r="FRK23" s="3741"/>
      <c r="FRL23" s="3741"/>
      <c r="FRM23" s="3741"/>
      <c r="FRN23" s="3741"/>
      <c r="FRO23" s="3741"/>
      <c r="FRP23" s="3741"/>
      <c r="FRQ23" s="3741"/>
      <c r="FRR23" s="3741"/>
      <c r="FRS23" s="3741"/>
      <c r="FRT23" s="3741"/>
      <c r="FRU23" s="3741"/>
      <c r="FRV23" s="3741"/>
      <c r="FRW23" s="3741"/>
      <c r="FRX23" s="3741"/>
      <c r="FRY23" s="3741"/>
      <c r="FRZ23" s="3741"/>
      <c r="FSA23" s="3741"/>
      <c r="FSB23" s="3741"/>
      <c r="FSC23" s="3741"/>
      <c r="FSD23" s="3741"/>
      <c r="FSE23" s="3741"/>
      <c r="FSF23" s="3741"/>
      <c r="FSG23" s="3741"/>
      <c r="FSH23" s="3741"/>
      <c r="FSI23" s="3741"/>
      <c r="FSJ23" s="3741"/>
      <c r="FSK23" s="3741"/>
      <c r="FSL23" s="3741"/>
      <c r="FSM23" s="3741"/>
      <c r="FSN23" s="3741"/>
      <c r="FSO23" s="3741"/>
      <c r="FSP23" s="3741"/>
      <c r="FSQ23" s="3741"/>
      <c r="FSR23" s="3741"/>
      <c r="FSS23" s="3741"/>
      <c r="FST23" s="3741"/>
      <c r="FSU23" s="3741"/>
      <c r="FSV23" s="3741"/>
      <c r="FSW23" s="3741"/>
      <c r="FSX23" s="3741"/>
      <c r="FSY23" s="3741"/>
      <c r="FSZ23" s="3741"/>
      <c r="FTA23" s="3741"/>
      <c r="FTB23" s="3741"/>
      <c r="FTC23" s="3741"/>
      <c r="FTD23" s="3741"/>
      <c r="FTE23" s="3741"/>
      <c r="FTF23" s="3741"/>
      <c r="FTG23" s="3741"/>
      <c r="FTH23" s="3741"/>
      <c r="FTI23" s="3741"/>
      <c r="FTJ23" s="3741"/>
      <c r="FTK23" s="3741"/>
      <c r="FTL23" s="3741"/>
      <c r="FTM23" s="3741"/>
      <c r="FTN23" s="3741"/>
      <c r="FTO23" s="3741"/>
      <c r="FTP23" s="3741"/>
      <c r="FTQ23" s="3741"/>
      <c r="FTR23" s="3741"/>
      <c r="FTS23" s="3741"/>
      <c r="FTT23" s="3741"/>
      <c r="FTU23" s="3741"/>
      <c r="FTV23" s="3741"/>
      <c r="FTW23" s="3741"/>
      <c r="FTX23" s="3741"/>
      <c r="FTY23" s="3741"/>
      <c r="FTZ23" s="3741"/>
      <c r="FUA23" s="3741"/>
      <c r="FUB23" s="3741"/>
      <c r="FUC23" s="3741"/>
      <c r="FUD23" s="3741"/>
      <c r="FUE23" s="3741"/>
      <c r="FUF23" s="3741"/>
      <c r="FUG23" s="3741"/>
      <c r="FUH23" s="3741"/>
      <c r="FUI23" s="3741"/>
      <c r="FUJ23" s="3741"/>
      <c r="FUK23" s="3741"/>
      <c r="FUL23" s="3741"/>
      <c r="FUM23" s="3741"/>
      <c r="FUN23" s="3741"/>
      <c r="FUO23" s="3741"/>
      <c r="FUP23" s="3741"/>
      <c r="FUQ23" s="3741"/>
      <c r="FUR23" s="3741"/>
      <c r="FUS23" s="3741"/>
      <c r="FUT23" s="3741"/>
      <c r="FUU23" s="3741"/>
      <c r="FUV23" s="3741"/>
      <c r="FUW23" s="3741"/>
      <c r="FUX23" s="3741"/>
      <c r="FUY23" s="3741"/>
      <c r="FUZ23" s="3741"/>
      <c r="FVA23" s="3741"/>
      <c r="FVB23" s="3741"/>
      <c r="FVC23" s="3741"/>
      <c r="FVD23" s="3741"/>
      <c r="FVE23" s="3741"/>
      <c r="FVF23" s="3741"/>
      <c r="FVG23" s="3741"/>
      <c r="FVH23" s="3741"/>
      <c r="FVI23" s="3741"/>
      <c r="FVJ23" s="3741"/>
      <c r="FVK23" s="3741"/>
      <c r="FVL23" s="3741"/>
      <c r="FVM23" s="3741"/>
      <c r="FVN23" s="3741"/>
      <c r="FVO23" s="3741"/>
      <c r="FVP23" s="3741"/>
      <c r="FVQ23" s="3741"/>
      <c r="FVR23" s="3741"/>
      <c r="FVS23" s="3741"/>
      <c r="FVT23" s="3741"/>
      <c r="FVU23" s="3741"/>
      <c r="FVV23" s="3741"/>
      <c r="FVW23" s="3741"/>
      <c r="FVX23" s="3741"/>
      <c r="FVY23" s="3741"/>
      <c r="FVZ23" s="3741"/>
      <c r="FWA23" s="3741"/>
      <c r="FWB23" s="3741"/>
      <c r="FWC23" s="3741"/>
      <c r="FWD23" s="3741"/>
      <c r="FWE23" s="3741"/>
      <c r="FWF23" s="3741"/>
      <c r="FWG23" s="3741"/>
      <c r="FWH23" s="3741"/>
      <c r="FWI23" s="3741"/>
      <c r="FWJ23" s="3741"/>
      <c r="FWK23" s="3741"/>
      <c r="FWL23" s="3741"/>
      <c r="FWM23" s="3741"/>
      <c r="FWN23" s="3741"/>
      <c r="FWO23" s="3741"/>
      <c r="FWP23" s="3741"/>
      <c r="FWQ23" s="3741"/>
      <c r="FWR23" s="3741"/>
      <c r="FWS23" s="3741"/>
      <c r="FWT23" s="3741"/>
      <c r="FWU23" s="3741"/>
      <c r="FWV23" s="3741"/>
      <c r="FWW23" s="3741"/>
      <c r="FWX23" s="3741"/>
      <c r="FWY23" s="3741"/>
      <c r="FWZ23" s="3741"/>
      <c r="FXA23" s="3741"/>
      <c r="FXB23" s="3741"/>
      <c r="FXC23" s="3741"/>
      <c r="FXD23" s="3741"/>
      <c r="FXE23" s="3741"/>
      <c r="FXF23" s="3741"/>
      <c r="FXG23" s="3741"/>
      <c r="FXH23" s="3741"/>
      <c r="FXI23" s="3741"/>
      <c r="FXJ23" s="3741"/>
      <c r="FXK23" s="3741"/>
      <c r="FXL23" s="3741"/>
      <c r="FXM23" s="3741"/>
      <c r="FXN23" s="3741"/>
      <c r="FXO23" s="3741"/>
      <c r="FXP23" s="3741"/>
      <c r="FXQ23" s="3741"/>
      <c r="FXR23" s="3741"/>
      <c r="FXS23" s="3741"/>
      <c r="FXT23" s="3741"/>
      <c r="FXU23" s="3741"/>
      <c r="FXV23" s="3741"/>
      <c r="FXW23" s="3741"/>
      <c r="FXX23" s="3741"/>
      <c r="FXY23" s="3741"/>
      <c r="FXZ23" s="3741"/>
      <c r="FYA23" s="3741"/>
      <c r="FYB23" s="3741"/>
      <c r="FYC23" s="3741"/>
      <c r="FYD23" s="3741"/>
      <c r="FYE23" s="3741"/>
      <c r="FYF23" s="3741"/>
      <c r="FYG23" s="3741"/>
      <c r="FYH23" s="3741"/>
      <c r="FYI23" s="3741"/>
      <c r="FYJ23" s="3741"/>
      <c r="FYK23" s="3741"/>
      <c r="FYL23" s="3741"/>
      <c r="FYM23" s="3741"/>
      <c r="FYN23" s="3741"/>
      <c r="FYO23" s="3741"/>
      <c r="FYP23" s="3741"/>
      <c r="FYQ23" s="3741"/>
      <c r="FYR23" s="3741"/>
      <c r="FYS23" s="3741"/>
      <c r="FYT23" s="3741"/>
      <c r="FYU23" s="3741"/>
      <c r="FYV23" s="3741"/>
      <c r="FYW23" s="3741"/>
      <c r="FYX23" s="3741"/>
      <c r="FYY23" s="3741"/>
      <c r="FYZ23" s="3741"/>
      <c r="FZA23" s="3741"/>
      <c r="FZB23" s="3741"/>
      <c r="FZC23" s="3741"/>
      <c r="FZD23" s="3741"/>
      <c r="FZE23" s="3741"/>
      <c r="FZF23" s="3741"/>
      <c r="FZG23" s="3741"/>
      <c r="FZH23" s="3741"/>
      <c r="FZI23" s="3741"/>
      <c r="FZJ23" s="3741"/>
      <c r="FZK23" s="3741"/>
      <c r="FZL23" s="3741"/>
      <c r="FZM23" s="3741"/>
      <c r="FZN23" s="3741"/>
      <c r="FZO23" s="3741"/>
      <c r="FZP23" s="3741"/>
      <c r="FZQ23" s="3741"/>
      <c r="FZR23" s="3741"/>
      <c r="FZS23" s="3741"/>
      <c r="FZT23" s="3741"/>
      <c r="FZU23" s="3741"/>
      <c r="FZV23" s="3741"/>
      <c r="FZW23" s="3741"/>
      <c r="FZX23" s="3741"/>
      <c r="FZY23" s="3741"/>
      <c r="FZZ23" s="3741"/>
      <c r="GAA23" s="3741"/>
      <c r="GAB23" s="3741"/>
      <c r="GAC23" s="3741"/>
      <c r="GAD23" s="3741"/>
      <c r="GAE23" s="3741"/>
      <c r="GAF23" s="3741"/>
      <c r="GAG23" s="3741"/>
      <c r="GAH23" s="3741"/>
      <c r="GAI23" s="3741"/>
      <c r="GAJ23" s="3741"/>
      <c r="GAK23" s="3741"/>
      <c r="GAL23" s="3741"/>
      <c r="GAM23" s="3741"/>
      <c r="GAN23" s="3741"/>
      <c r="GAO23" s="3741"/>
      <c r="GAP23" s="3741"/>
      <c r="GAQ23" s="3741"/>
      <c r="GAR23" s="3741"/>
      <c r="GAS23" s="3741"/>
      <c r="GAT23" s="3741"/>
      <c r="GAU23" s="3741"/>
      <c r="GAV23" s="3741"/>
      <c r="GAW23" s="3741"/>
      <c r="GAX23" s="3741"/>
      <c r="GAY23" s="3741"/>
      <c r="GAZ23" s="3741"/>
      <c r="GBA23" s="3741"/>
      <c r="GBB23" s="3741"/>
      <c r="GBC23" s="3741"/>
      <c r="GBD23" s="3741"/>
      <c r="GBE23" s="3741"/>
      <c r="GBF23" s="3741"/>
      <c r="GBG23" s="3741"/>
      <c r="GBH23" s="3741"/>
      <c r="GBI23" s="3741"/>
      <c r="GBJ23" s="3741"/>
      <c r="GBK23" s="3741"/>
      <c r="GBL23" s="3741"/>
      <c r="GBM23" s="3741"/>
      <c r="GBN23" s="3741"/>
      <c r="GBO23" s="3741"/>
      <c r="GBP23" s="3741"/>
      <c r="GBQ23" s="3741"/>
      <c r="GBR23" s="3741"/>
      <c r="GBS23" s="3741"/>
      <c r="GBT23" s="3741"/>
      <c r="GBU23" s="3741"/>
      <c r="GBV23" s="3741"/>
      <c r="GBW23" s="3741"/>
      <c r="GBX23" s="3741"/>
      <c r="GBY23" s="3741"/>
      <c r="GBZ23" s="3741"/>
      <c r="GCA23" s="3741"/>
      <c r="GCB23" s="3741"/>
      <c r="GCC23" s="3741"/>
      <c r="GCD23" s="3741"/>
      <c r="GCE23" s="3741"/>
      <c r="GCF23" s="3741"/>
      <c r="GCG23" s="3741"/>
      <c r="GCH23" s="3741"/>
      <c r="GCI23" s="3741"/>
      <c r="GCJ23" s="3741"/>
      <c r="GCK23" s="3741"/>
      <c r="GCL23" s="3741"/>
      <c r="GCM23" s="3741"/>
      <c r="GCN23" s="3741"/>
      <c r="GCO23" s="3741"/>
      <c r="GCP23" s="3741"/>
      <c r="GCQ23" s="3741"/>
      <c r="GCR23" s="3741"/>
      <c r="GCS23" s="3741"/>
      <c r="GCT23" s="3741"/>
      <c r="GCU23" s="3741"/>
      <c r="GCV23" s="3741"/>
      <c r="GCW23" s="3741"/>
      <c r="GCX23" s="3741"/>
      <c r="GCY23" s="3741"/>
      <c r="GCZ23" s="3741"/>
      <c r="GDA23" s="3741"/>
      <c r="GDB23" s="3741"/>
      <c r="GDC23" s="3741"/>
      <c r="GDD23" s="3741"/>
      <c r="GDE23" s="3741"/>
      <c r="GDF23" s="3741"/>
      <c r="GDG23" s="3741"/>
      <c r="GDH23" s="3741"/>
      <c r="GDI23" s="3741"/>
      <c r="GDJ23" s="3741"/>
      <c r="GDK23" s="3741"/>
      <c r="GDL23" s="3741"/>
      <c r="GDM23" s="3741"/>
      <c r="GDN23" s="3741"/>
      <c r="GDO23" s="3741"/>
      <c r="GDP23" s="3741"/>
      <c r="GDQ23" s="3741"/>
      <c r="GDR23" s="3741"/>
      <c r="GDS23" s="3741"/>
      <c r="GDT23" s="3741"/>
      <c r="GDU23" s="3741"/>
      <c r="GDV23" s="3741"/>
      <c r="GDW23" s="3741"/>
      <c r="GDX23" s="3741"/>
      <c r="GDY23" s="3741"/>
      <c r="GDZ23" s="3741"/>
      <c r="GEA23" s="3741"/>
      <c r="GEB23" s="3741"/>
      <c r="GEC23" s="3741"/>
      <c r="GED23" s="3741"/>
      <c r="GEE23" s="3741"/>
      <c r="GEF23" s="3741"/>
      <c r="GEG23" s="3741"/>
      <c r="GEH23" s="3741"/>
      <c r="GEI23" s="3741"/>
      <c r="GEJ23" s="3741"/>
      <c r="GEK23" s="3741"/>
      <c r="GEL23" s="3741"/>
      <c r="GEM23" s="3741"/>
      <c r="GEN23" s="3741"/>
      <c r="GEO23" s="3741"/>
      <c r="GEP23" s="3741"/>
      <c r="GEQ23" s="3741"/>
      <c r="GER23" s="3741"/>
      <c r="GES23" s="3741"/>
      <c r="GET23" s="3741"/>
      <c r="GEU23" s="3741"/>
      <c r="GEV23" s="3741"/>
      <c r="GEW23" s="3741"/>
      <c r="GEX23" s="3741"/>
      <c r="GEY23" s="3741"/>
      <c r="GEZ23" s="3741"/>
      <c r="GFA23" s="3741"/>
      <c r="GFB23" s="3741"/>
      <c r="GFC23" s="3741"/>
      <c r="GFD23" s="3741"/>
      <c r="GFE23" s="3741"/>
      <c r="GFF23" s="3741"/>
      <c r="GFG23" s="3741"/>
      <c r="GFH23" s="3741"/>
      <c r="GFI23" s="3741"/>
      <c r="GFJ23" s="3741"/>
      <c r="GFK23" s="3741"/>
      <c r="GFL23" s="3741"/>
      <c r="GFM23" s="3741"/>
      <c r="GFN23" s="3741"/>
      <c r="GFO23" s="3741"/>
      <c r="GFP23" s="3741"/>
      <c r="GFQ23" s="3741"/>
      <c r="GFR23" s="3741"/>
      <c r="GFS23" s="3741"/>
      <c r="GFT23" s="3741"/>
      <c r="GFU23" s="3741"/>
      <c r="GFV23" s="3741"/>
      <c r="GFW23" s="3741"/>
      <c r="GFX23" s="3741"/>
      <c r="GFY23" s="3741"/>
      <c r="GFZ23" s="3741"/>
      <c r="GGA23" s="3741"/>
      <c r="GGB23" s="3741"/>
      <c r="GGC23" s="3741"/>
      <c r="GGD23" s="3741"/>
      <c r="GGE23" s="3741"/>
      <c r="GGF23" s="3741"/>
      <c r="GGG23" s="3741"/>
      <c r="GGH23" s="3741"/>
      <c r="GGI23" s="3741"/>
      <c r="GGJ23" s="3741"/>
      <c r="GGK23" s="3741"/>
      <c r="GGL23" s="3741"/>
      <c r="GGM23" s="3741"/>
      <c r="GGN23" s="3741"/>
      <c r="GGO23" s="3741"/>
      <c r="GGP23" s="3741"/>
      <c r="GGQ23" s="3741"/>
      <c r="GGR23" s="3741"/>
      <c r="GGS23" s="3741"/>
      <c r="GGT23" s="3741"/>
      <c r="GGU23" s="3741"/>
      <c r="GGV23" s="3741"/>
      <c r="GGW23" s="3741"/>
      <c r="GGX23" s="3741"/>
      <c r="GGY23" s="3741"/>
      <c r="GGZ23" s="3741"/>
      <c r="GHA23" s="3741"/>
      <c r="GHB23" s="3741"/>
      <c r="GHC23" s="3741"/>
      <c r="GHD23" s="3741"/>
      <c r="GHE23" s="3741"/>
      <c r="GHF23" s="3741"/>
      <c r="GHG23" s="3741"/>
      <c r="GHH23" s="3741"/>
      <c r="GHI23" s="3741"/>
      <c r="GHJ23" s="3741"/>
      <c r="GHK23" s="3741"/>
      <c r="GHL23" s="3741"/>
      <c r="GHM23" s="3741"/>
      <c r="GHN23" s="3741"/>
      <c r="GHO23" s="3741"/>
      <c r="GHP23" s="3741"/>
      <c r="GHQ23" s="3741"/>
      <c r="GHR23" s="3741"/>
      <c r="GHS23" s="3741"/>
      <c r="GHT23" s="3741"/>
      <c r="GHU23" s="3741"/>
      <c r="GHV23" s="3741"/>
      <c r="GHW23" s="3741"/>
      <c r="GHX23" s="3741"/>
      <c r="GHY23" s="3741"/>
      <c r="GHZ23" s="3741"/>
      <c r="GIA23" s="3741"/>
      <c r="GIB23" s="3741"/>
      <c r="GIC23" s="3741"/>
      <c r="GID23" s="3741"/>
      <c r="GIE23" s="3741"/>
      <c r="GIF23" s="3741"/>
      <c r="GIG23" s="3741"/>
      <c r="GIH23" s="3741"/>
      <c r="GII23" s="3741"/>
      <c r="GIJ23" s="3741"/>
      <c r="GIK23" s="3741"/>
      <c r="GIL23" s="3741"/>
      <c r="GIM23" s="3741"/>
      <c r="GIN23" s="3741"/>
      <c r="GIO23" s="3741"/>
      <c r="GIP23" s="3741"/>
      <c r="GIQ23" s="3741"/>
      <c r="GIR23" s="3741"/>
      <c r="GIS23" s="3741"/>
      <c r="GIT23" s="3741"/>
      <c r="GIU23" s="3741"/>
      <c r="GIV23" s="3741"/>
      <c r="GIW23" s="3741"/>
      <c r="GIX23" s="3741"/>
      <c r="GIY23" s="3741"/>
      <c r="GIZ23" s="3741"/>
      <c r="GJA23" s="3741"/>
      <c r="GJB23" s="3741"/>
      <c r="GJC23" s="3741"/>
      <c r="GJD23" s="3741"/>
      <c r="GJE23" s="3741"/>
      <c r="GJF23" s="3741"/>
      <c r="GJG23" s="3741"/>
      <c r="GJH23" s="3741"/>
      <c r="GJI23" s="3741"/>
      <c r="GJJ23" s="3741"/>
      <c r="GJK23" s="3741"/>
      <c r="GJL23" s="3741"/>
      <c r="GJM23" s="3741"/>
      <c r="GJN23" s="3741"/>
      <c r="GJO23" s="3741"/>
      <c r="GJP23" s="3741"/>
      <c r="GJQ23" s="3741"/>
      <c r="GJR23" s="3741"/>
      <c r="GJS23" s="3741"/>
      <c r="GJT23" s="3741"/>
      <c r="GJU23" s="3741"/>
      <c r="GJV23" s="3741"/>
      <c r="GJW23" s="3741"/>
      <c r="GJX23" s="3741"/>
      <c r="GJY23" s="3741"/>
      <c r="GJZ23" s="3741"/>
      <c r="GKA23" s="3741"/>
      <c r="GKB23" s="3741"/>
      <c r="GKC23" s="3741"/>
      <c r="GKD23" s="3741"/>
      <c r="GKE23" s="3741"/>
      <c r="GKF23" s="3741"/>
      <c r="GKG23" s="3741"/>
      <c r="GKH23" s="3741"/>
      <c r="GKI23" s="3741"/>
      <c r="GKJ23" s="3741"/>
      <c r="GKK23" s="3741"/>
      <c r="GKL23" s="3741"/>
      <c r="GKM23" s="3741"/>
      <c r="GKN23" s="3741"/>
      <c r="GKO23" s="3741"/>
      <c r="GKP23" s="3741"/>
      <c r="GKQ23" s="3741"/>
      <c r="GKR23" s="3741"/>
      <c r="GKS23" s="3741"/>
      <c r="GKT23" s="3741"/>
      <c r="GKU23" s="3741"/>
      <c r="GKV23" s="3741"/>
      <c r="GKW23" s="3741"/>
      <c r="GKX23" s="3741"/>
      <c r="GKY23" s="3741"/>
      <c r="GKZ23" s="3741"/>
      <c r="GLA23" s="3741"/>
      <c r="GLB23" s="3741"/>
      <c r="GLC23" s="3741"/>
      <c r="GLD23" s="3741"/>
      <c r="GLE23" s="3741"/>
      <c r="GLF23" s="3741"/>
      <c r="GLG23" s="3741"/>
      <c r="GLH23" s="3741"/>
      <c r="GLI23" s="3741"/>
      <c r="GLJ23" s="3741"/>
      <c r="GLK23" s="3741"/>
      <c r="GLL23" s="3741"/>
      <c r="GLM23" s="3741"/>
      <c r="GLN23" s="3741"/>
      <c r="GLO23" s="3741"/>
      <c r="GLP23" s="3741"/>
      <c r="GLQ23" s="3741"/>
      <c r="GLR23" s="3741"/>
      <c r="GLS23" s="3741"/>
      <c r="GLT23" s="3741"/>
      <c r="GLU23" s="3741"/>
      <c r="GLV23" s="3741"/>
      <c r="GLW23" s="3741"/>
      <c r="GLX23" s="3741"/>
      <c r="GLY23" s="3741"/>
      <c r="GLZ23" s="3741"/>
      <c r="GMA23" s="3741"/>
      <c r="GMB23" s="3741"/>
      <c r="GMC23" s="3741"/>
      <c r="GMD23" s="3741"/>
      <c r="GME23" s="3741"/>
      <c r="GMF23" s="3741"/>
      <c r="GMG23" s="3741"/>
      <c r="GMH23" s="3741"/>
      <c r="GMI23" s="3741"/>
      <c r="GMJ23" s="3741"/>
      <c r="GMK23" s="3741"/>
      <c r="GML23" s="3741"/>
      <c r="GMM23" s="3741"/>
      <c r="GMN23" s="3741"/>
      <c r="GMO23" s="3741"/>
      <c r="GMP23" s="3741"/>
      <c r="GMQ23" s="3741"/>
      <c r="GMR23" s="3741"/>
      <c r="GMS23" s="3741"/>
      <c r="GMT23" s="3741"/>
      <c r="GMU23" s="3741"/>
      <c r="GMV23" s="3741"/>
      <c r="GMW23" s="3741"/>
      <c r="GMX23" s="3741"/>
      <c r="GMY23" s="3741"/>
      <c r="GMZ23" s="3741"/>
      <c r="GNA23" s="3741"/>
      <c r="GNB23" s="3741"/>
      <c r="GNC23" s="3741"/>
      <c r="GND23" s="3741"/>
      <c r="GNE23" s="3741"/>
      <c r="GNF23" s="3741"/>
      <c r="GNG23" s="3741"/>
      <c r="GNH23" s="3741"/>
      <c r="GNI23" s="3741"/>
      <c r="GNJ23" s="3741"/>
      <c r="GNK23" s="3741"/>
      <c r="GNL23" s="3741"/>
      <c r="GNM23" s="3741"/>
      <c r="GNN23" s="3741"/>
      <c r="GNO23" s="3741"/>
      <c r="GNP23" s="3741"/>
      <c r="GNQ23" s="3741"/>
      <c r="GNR23" s="3741"/>
      <c r="GNS23" s="3741"/>
      <c r="GNT23" s="3741"/>
      <c r="GNU23" s="3741"/>
      <c r="GNV23" s="3741"/>
      <c r="GNW23" s="3741"/>
      <c r="GNX23" s="3741"/>
      <c r="GNY23" s="3741"/>
      <c r="GNZ23" s="3741"/>
      <c r="GOA23" s="3741"/>
      <c r="GOB23" s="3741"/>
      <c r="GOC23" s="3741"/>
      <c r="GOD23" s="3741"/>
      <c r="GOE23" s="3741"/>
      <c r="GOF23" s="3741"/>
      <c r="GOG23" s="3741"/>
      <c r="GOH23" s="3741"/>
      <c r="GOI23" s="3741"/>
      <c r="GOJ23" s="3741"/>
      <c r="GOK23" s="3741"/>
      <c r="GOL23" s="3741"/>
      <c r="GOM23" s="3741"/>
      <c r="GON23" s="3741"/>
      <c r="GOO23" s="3741"/>
      <c r="GOP23" s="3741"/>
      <c r="GOQ23" s="3741"/>
      <c r="GOR23" s="3741"/>
      <c r="GOS23" s="3741"/>
      <c r="GOT23" s="3741"/>
      <c r="GOU23" s="3741"/>
      <c r="GOV23" s="3741"/>
      <c r="GOW23" s="3741"/>
      <c r="GOX23" s="3741"/>
      <c r="GOY23" s="3741"/>
      <c r="GOZ23" s="3741"/>
      <c r="GPA23" s="3741"/>
      <c r="GPB23" s="3741"/>
      <c r="GPC23" s="3741"/>
      <c r="GPD23" s="3741"/>
      <c r="GPE23" s="3741"/>
      <c r="GPF23" s="3741"/>
      <c r="GPG23" s="3741"/>
      <c r="GPH23" s="3741"/>
      <c r="GPI23" s="3741"/>
      <c r="GPJ23" s="3741"/>
      <c r="GPK23" s="3741"/>
      <c r="GPL23" s="3741"/>
      <c r="GPM23" s="3741"/>
      <c r="GPN23" s="3741"/>
      <c r="GPO23" s="3741"/>
      <c r="GPP23" s="3741"/>
      <c r="GPQ23" s="3741"/>
      <c r="GPR23" s="3741"/>
      <c r="GPS23" s="3741"/>
      <c r="GPT23" s="3741"/>
      <c r="GPU23" s="3741"/>
      <c r="GPV23" s="3741"/>
      <c r="GPW23" s="3741"/>
      <c r="GPX23" s="3741"/>
      <c r="GPY23" s="3741"/>
      <c r="GPZ23" s="3741"/>
      <c r="GQA23" s="3741"/>
      <c r="GQB23" s="3741"/>
      <c r="GQC23" s="3741"/>
      <c r="GQD23" s="3741"/>
      <c r="GQE23" s="3741"/>
      <c r="GQF23" s="3741"/>
      <c r="GQG23" s="3741"/>
      <c r="GQH23" s="3741"/>
      <c r="GQI23" s="3741"/>
      <c r="GQJ23" s="3741"/>
      <c r="GQK23" s="3741"/>
      <c r="GQL23" s="3741"/>
      <c r="GQM23" s="3741"/>
      <c r="GQN23" s="3741"/>
      <c r="GQO23" s="3741"/>
      <c r="GQP23" s="3741"/>
      <c r="GQQ23" s="3741"/>
      <c r="GQR23" s="3741"/>
      <c r="GQS23" s="3741"/>
      <c r="GQT23" s="3741"/>
      <c r="GQU23" s="3741"/>
      <c r="GQV23" s="3741"/>
      <c r="GQW23" s="3741"/>
      <c r="GQX23" s="3741"/>
      <c r="GQY23" s="3741"/>
      <c r="GQZ23" s="3741"/>
      <c r="GRA23" s="3741"/>
      <c r="GRB23" s="3741"/>
      <c r="GRC23" s="3741"/>
      <c r="GRD23" s="3741"/>
      <c r="GRE23" s="3741"/>
      <c r="GRF23" s="3741"/>
      <c r="GRG23" s="3741"/>
      <c r="GRH23" s="3741"/>
      <c r="GRI23" s="3741"/>
      <c r="GRJ23" s="3741"/>
      <c r="GRK23" s="3741"/>
      <c r="GRL23" s="3741"/>
      <c r="GRM23" s="3741"/>
      <c r="GRN23" s="3741"/>
      <c r="GRO23" s="3741"/>
      <c r="GRP23" s="3741"/>
      <c r="GRQ23" s="3741"/>
      <c r="GRR23" s="3741"/>
      <c r="GRS23" s="3741"/>
      <c r="GRT23" s="3741"/>
      <c r="GRU23" s="3741"/>
      <c r="GRV23" s="3741"/>
      <c r="GRW23" s="3741"/>
      <c r="GRX23" s="3741"/>
      <c r="GRY23" s="3741"/>
      <c r="GRZ23" s="3741"/>
      <c r="GSA23" s="3741"/>
      <c r="GSB23" s="3741"/>
      <c r="GSC23" s="3741"/>
      <c r="GSD23" s="3741"/>
      <c r="GSE23" s="3741"/>
      <c r="GSF23" s="3741"/>
      <c r="GSG23" s="3741"/>
      <c r="GSH23" s="3741"/>
      <c r="GSI23" s="3741"/>
      <c r="GSJ23" s="3741"/>
      <c r="GSK23" s="3741"/>
      <c r="GSL23" s="3741"/>
      <c r="GSM23" s="3741"/>
      <c r="GSN23" s="3741"/>
      <c r="GSO23" s="3741"/>
      <c r="GSP23" s="3741"/>
      <c r="GSQ23" s="3741"/>
      <c r="GSR23" s="3741"/>
      <c r="GSS23" s="3741"/>
      <c r="GST23" s="3741"/>
      <c r="GSU23" s="3741"/>
      <c r="GSV23" s="3741"/>
      <c r="GSW23" s="3741"/>
      <c r="GSX23" s="3741"/>
      <c r="GSY23" s="3741"/>
      <c r="GSZ23" s="3741"/>
      <c r="GTA23" s="3741"/>
      <c r="GTB23" s="3741"/>
      <c r="GTC23" s="3741"/>
      <c r="GTD23" s="3741"/>
      <c r="GTE23" s="3741"/>
      <c r="GTF23" s="3741"/>
      <c r="GTG23" s="3741"/>
      <c r="GTH23" s="3741"/>
      <c r="GTI23" s="3741"/>
      <c r="GTJ23" s="3741"/>
      <c r="GTK23" s="3741"/>
      <c r="GTL23" s="3741"/>
      <c r="GTM23" s="3741"/>
      <c r="GTN23" s="3741"/>
      <c r="GTO23" s="3741"/>
      <c r="GTP23" s="3741"/>
      <c r="GTQ23" s="3741"/>
      <c r="GTR23" s="3741"/>
      <c r="GTS23" s="3741"/>
      <c r="GTT23" s="3741"/>
      <c r="GTU23" s="3741"/>
      <c r="GTV23" s="3741"/>
      <c r="GTW23" s="3741"/>
      <c r="GTX23" s="3741"/>
      <c r="GTY23" s="3741"/>
      <c r="GTZ23" s="3741"/>
      <c r="GUA23" s="3741"/>
      <c r="GUB23" s="3741"/>
      <c r="GUC23" s="3741"/>
      <c r="GUD23" s="3741"/>
      <c r="GUE23" s="3741"/>
      <c r="GUF23" s="3741"/>
      <c r="GUG23" s="3741"/>
      <c r="GUH23" s="3741"/>
      <c r="GUI23" s="3741"/>
      <c r="GUJ23" s="3741"/>
      <c r="GUK23" s="3741"/>
      <c r="GUL23" s="3741"/>
      <c r="GUM23" s="3741"/>
      <c r="GUN23" s="3741"/>
      <c r="GUO23" s="3741"/>
      <c r="GUP23" s="3741"/>
      <c r="GUQ23" s="3741"/>
      <c r="GUR23" s="3741"/>
      <c r="GUS23" s="3741"/>
      <c r="GUT23" s="3741"/>
      <c r="GUU23" s="3741"/>
      <c r="GUV23" s="3741"/>
      <c r="GUW23" s="3741"/>
      <c r="GUX23" s="3741"/>
      <c r="GUY23" s="3741"/>
      <c r="GUZ23" s="3741"/>
      <c r="GVA23" s="3741"/>
      <c r="GVB23" s="3741"/>
      <c r="GVC23" s="3741"/>
      <c r="GVD23" s="3741"/>
      <c r="GVE23" s="3741"/>
      <c r="GVF23" s="3741"/>
      <c r="GVG23" s="3741"/>
      <c r="GVH23" s="3741"/>
      <c r="GVI23" s="3741"/>
      <c r="GVJ23" s="3741"/>
      <c r="GVK23" s="3741"/>
      <c r="GVL23" s="3741"/>
      <c r="GVM23" s="3741"/>
      <c r="GVN23" s="3741"/>
      <c r="GVO23" s="3741"/>
      <c r="GVP23" s="3741"/>
      <c r="GVQ23" s="3741"/>
      <c r="GVR23" s="3741"/>
      <c r="GVS23" s="3741"/>
      <c r="GVT23" s="3741"/>
      <c r="GVU23" s="3741"/>
      <c r="GVV23" s="3741"/>
      <c r="GVW23" s="3741"/>
      <c r="GVX23" s="3741"/>
      <c r="GVY23" s="3741"/>
      <c r="GVZ23" s="3741"/>
      <c r="GWA23" s="3741"/>
      <c r="GWB23" s="3741"/>
      <c r="GWC23" s="3741"/>
      <c r="GWD23" s="3741"/>
      <c r="GWE23" s="3741"/>
      <c r="GWF23" s="3741"/>
      <c r="GWG23" s="3741"/>
      <c r="GWH23" s="3741"/>
      <c r="GWI23" s="3741"/>
      <c r="GWJ23" s="3741"/>
      <c r="GWK23" s="3741"/>
      <c r="GWL23" s="3741"/>
      <c r="GWM23" s="3741"/>
      <c r="GWN23" s="3741"/>
      <c r="GWO23" s="3741"/>
      <c r="GWP23" s="3741"/>
      <c r="GWQ23" s="3741"/>
      <c r="GWR23" s="3741"/>
      <c r="GWS23" s="3741"/>
      <c r="GWT23" s="3741"/>
      <c r="GWU23" s="3741"/>
      <c r="GWV23" s="3741"/>
      <c r="GWW23" s="3741"/>
      <c r="GWX23" s="3741"/>
      <c r="GWY23" s="3741"/>
      <c r="GWZ23" s="3741"/>
      <c r="GXA23" s="3741"/>
      <c r="GXB23" s="3741"/>
      <c r="GXC23" s="3741"/>
      <c r="GXD23" s="3741"/>
      <c r="GXE23" s="3741"/>
      <c r="GXF23" s="3741"/>
      <c r="GXG23" s="3741"/>
      <c r="GXH23" s="3741"/>
      <c r="GXI23" s="3741"/>
      <c r="GXJ23" s="3741"/>
      <c r="GXK23" s="3741"/>
      <c r="GXL23" s="3741"/>
      <c r="GXM23" s="3741"/>
      <c r="GXN23" s="3741"/>
      <c r="GXO23" s="3741"/>
      <c r="GXP23" s="3741"/>
      <c r="GXQ23" s="3741"/>
      <c r="GXR23" s="3741"/>
      <c r="GXS23" s="3741"/>
      <c r="GXT23" s="3741"/>
      <c r="GXU23" s="3741"/>
      <c r="GXV23" s="3741"/>
      <c r="GXW23" s="3741"/>
      <c r="GXX23" s="3741"/>
      <c r="GXY23" s="3741"/>
      <c r="GXZ23" s="3741"/>
      <c r="GYA23" s="3741"/>
      <c r="GYB23" s="3741"/>
      <c r="GYC23" s="3741"/>
      <c r="GYD23" s="3741"/>
      <c r="GYE23" s="3741"/>
      <c r="GYF23" s="3741"/>
      <c r="GYG23" s="3741"/>
      <c r="GYH23" s="3741"/>
      <c r="GYI23" s="3741"/>
      <c r="GYJ23" s="3741"/>
      <c r="GYK23" s="3741"/>
      <c r="GYL23" s="3741"/>
      <c r="GYM23" s="3741"/>
      <c r="GYN23" s="3741"/>
      <c r="GYO23" s="3741"/>
      <c r="GYP23" s="3741"/>
      <c r="GYQ23" s="3741"/>
      <c r="GYR23" s="3741"/>
      <c r="GYS23" s="3741"/>
      <c r="GYT23" s="3741"/>
      <c r="GYU23" s="3741"/>
      <c r="GYV23" s="3741"/>
      <c r="GYW23" s="3741"/>
      <c r="GYX23" s="3741"/>
      <c r="GYY23" s="3741"/>
      <c r="GYZ23" s="3741"/>
      <c r="GZA23" s="3741"/>
      <c r="GZB23" s="3741"/>
      <c r="GZC23" s="3741"/>
      <c r="GZD23" s="3741"/>
      <c r="GZE23" s="3741"/>
      <c r="GZF23" s="3741"/>
      <c r="GZG23" s="3741"/>
      <c r="GZH23" s="3741"/>
      <c r="GZI23" s="3741"/>
      <c r="GZJ23" s="3741"/>
      <c r="GZK23" s="3741"/>
      <c r="GZL23" s="3741"/>
      <c r="GZM23" s="3741"/>
      <c r="GZN23" s="3741"/>
      <c r="GZO23" s="3741"/>
      <c r="GZP23" s="3741"/>
      <c r="GZQ23" s="3741"/>
      <c r="GZR23" s="3741"/>
      <c r="GZS23" s="3741"/>
      <c r="GZT23" s="3741"/>
      <c r="GZU23" s="3741"/>
      <c r="GZV23" s="3741"/>
      <c r="GZW23" s="3741"/>
      <c r="GZX23" s="3741"/>
      <c r="GZY23" s="3741"/>
      <c r="GZZ23" s="3741"/>
      <c r="HAA23" s="3741"/>
      <c r="HAB23" s="3741"/>
      <c r="HAC23" s="3741"/>
      <c r="HAD23" s="3741"/>
      <c r="HAE23" s="3741"/>
      <c r="HAF23" s="3741"/>
      <c r="HAG23" s="3741"/>
      <c r="HAH23" s="3741"/>
      <c r="HAI23" s="3741"/>
      <c r="HAJ23" s="3741"/>
      <c r="HAK23" s="3741"/>
      <c r="HAL23" s="3741"/>
      <c r="HAM23" s="3741"/>
      <c r="HAN23" s="3741"/>
      <c r="HAO23" s="3741"/>
      <c r="HAP23" s="3741"/>
      <c r="HAQ23" s="3741"/>
      <c r="HAR23" s="3741"/>
      <c r="HAS23" s="3741"/>
      <c r="HAT23" s="3741"/>
      <c r="HAU23" s="3741"/>
      <c r="HAV23" s="3741"/>
      <c r="HAW23" s="3741"/>
      <c r="HAX23" s="3741"/>
      <c r="HAY23" s="3741"/>
      <c r="HAZ23" s="3741"/>
      <c r="HBA23" s="3741"/>
      <c r="HBB23" s="3741"/>
      <c r="HBC23" s="3741"/>
      <c r="HBD23" s="3741"/>
      <c r="HBE23" s="3741"/>
      <c r="HBF23" s="3741"/>
      <c r="HBG23" s="3741"/>
      <c r="HBH23" s="3741"/>
      <c r="HBI23" s="3741"/>
      <c r="HBJ23" s="3741"/>
      <c r="HBK23" s="3741"/>
      <c r="HBL23" s="3741"/>
      <c r="HBM23" s="3741"/>
      <c r="HBN23" s="3741"/>
      <c r="HBO23" s="3741"/>
      <c r="HBP23" s="3741"/>
      <c r="HBQ23" s="3741"/>
      <c r="HBR23" s="3741"/>
      <c r="HBS23" s="3741"/>
      <c r="HBT23" s="3741"/>
      <c r="HBU23" s="3741"/>
      <c r="HBV23" s="3741"/>
      <c r="HBW23" s="3741"/>
      <c r="HBX23" s="3741"/>
      <c r="HBY23" s="3741"/>
      <c r="HBZ23" s="3741"/>
      <c r="HCA23" s="3741"/>
      <c r="HCB23" s="3741"/>
      <c r="HCC23" s="3741"/>
      <c r="HCD23" s="3741"/>
      <c r="HCE23" s="3741"/>
      <c r="HCF23" s="3741"/>
      <c r="HCG23" s="3741"/>
      <c r="HCH23" s="3741"/>
      <c r="HCI23" s="3741"/>
      <c r="HCJ23" s="3741"/>
      <c r="HCK23" s="3741"/>
      <c r="HCL23" s="3741"/>
      <c r="HCM23" s="3741"/>
      <c r="HCN23" s="3741"/>
      <c r="HCO23" s="3741"/>
      <c r="HCP23" s="3741"/>
      <c r="HCQ23" s="3741"/>
      <c r="HCR23" s="3741"/>
      <c r="HCS23" s="3741"/>
      <c r="HCT23" s="3741"/>
      <c r="HCU23" s="3741"/>
      <c r="HCV23" s="3741"/>
      <c r="HCW23" s="3741"/>
      <c r="HCX23" s="3741"/>
      <c r="HCY23" s="3741"/>
      <c r="HCZ23" s="3741"/>
      <c r="HDA23" s="3741"/>
      <c r="HDB23" s="3741"/>
      <c r="HDC23" s="3741"/>
      <c r="HDD23" s="3741"/>
      <c r="HDE23" s="3741"/>
      <c r="HDF23" s="3741"/>
      <c r="HDG23" s="3741"/>
      <c r="HDH23" s="3741"/>
      <c r="HDI23" s="3741"/>
      <c r="HDJ23" s="3741"/>
      <c r="HDK23" s="3741"/>
      <c r="HDL23" s="3741"/>
      <c r="HDM23" s="3741"/>
      <c r="HDN23" s="3741"/>
      <c r="HDO23" s="3741"/>
      <c r="HDP23" s="3741"/>
      <c r="HDQ23" s="3741"/>
      <c r="HDR23" s="3741"/>
      <c r="HDS23" s="3741"/>
      <c r="HDT23" s="3741"/>
      <c r="HDU23" s="3741"/>
      <c r="HDV23" s="3741"/>
      <c r="HDW23" s="3741"/>
      <c r="HDX23" s="3741"/>
      <c r="HDY23" s="3741"/>
      <c r="HDZ23" s="3741"/>
      <c r="HEA23" s="3741"/>
      <c r="HEB23" s="3741"/>
      <c r="HEC23" s="3741"/>
      <c r="HED23" s="3741"/>
      <c r="HEE23" s="3741"/>
      <c r="HEF23" s="3741"/>
      <c r="HEG23" s="3741"/>
      <c r="HEH23" s="3741"/>
      <c r="HEI23" s="3741"/>
      <c r="HEJ23" s="3741"/>
      <c r="HEK23" s="3741"/>
      <c r="HEL23" s="3741"/>
      <c r="HEM23" s="3741"/>
      <c r="HEN23" s="3741"/>
      <c r="HEO23" s="3741"/>
      <c r="HEP23" s="3741"/>
      <c r="HEQ23" s="3741"/>
      <c r="HER23" s="3741"/>
      <c r="HES23" s="3741"/>
      <c r="HET23" s="3741"/>
      <c r="HEU23" s="3741"/>
      <c r="HEV23" s="3741"/>
      <c r="HEW23" s="3741"/>
      <c r="HEX23" s="3741"/>
      <c r="HEY23" s="3741"/>
      <c r="HEZ23" s="3741"/>
      <c r="HFA23" s="3741"/>
      <c r="HFB23" s="3741"/>
      <c r="HFC23" s="3741"/>
      <c r="HFD23" s="3741"/>
      <c r="HFE23" s="3741"/>
      <c r="HFF23" s="3741"/>
      <c r="HFG23" s="3741"/>
      <c r="HFH23" s="3741"/>
      <c r="HFI23" s="3741"/>
      <c r="HFJ23" s="3741"/>
      <c r="HFK23" s="3741"/>
      <c r="HFL23" s="3741"/>
      <c r="HFM23" s="3741"/>
      <c r="HFN23" s="3741"/>
      <c r="HFO23" s="3741"/>
      <c r="HFP23" s="3741"/>
      <c r="HFQ23" s="3741"/>
      <c r="HFR23" s="3741"/>
      <c r="HFS23" s="3741"/>
      <c r="HFT23" s="3741"/>
      <c r="HFU23" s="3741"/>
      <c r="HFV23" s="3741"/>
      <c r="HFW23" s="3741"/>
      <c r="HFX23" s="3741"/>
      <c r="HFY23" s="3741"/>
      <c r="HFZ23" s="3741"/>
      <c r="HGA23" s="3741"/>
      <c r="HGB23" s="3741"/>
      <c r="HGC23" s="3741"/>
      <c r="HGD23" s="3741"/>
      <c r="HGE23" s="3741"/>
      <c r="HGF23" s="3741"/>
      <c r="HGG23" s="3741"/>
      <c r="HGH23" s="3741"/>
      <c r="HGI23" s="3741"/>
      <c r="HGJ23" s="3741"/>
      <c r="HGK23" s="3741"/>
      <c r="HGL23" s="3741"/>
      <c r="HGM23" s="3741"/>
      <c r="HGN23" s="3741"/>
      <c r="HGO23" s="3741"/>
      <c r="HGP23" s="3741"/>
      <c r="HGQ23" s="3741"/>
      <c r="HGR23" s="3741"/>
      <c r="HGS23" s="3741"/>
      <c r="HGT23" s="3741"/>
      <c r="HGU23" s="3741"/>
      <c r="HGV23" s="3741"/>
      <c r="HGW23" s="3741"/>
      <c r="HGX23" s="3741"/>
      <c r="HGY23" s="3741"/>
      <c r="HGZ23" s="3741"/>
      <c r="HHA23" s="3741"/>
      <c r="HHB23" s="3741"/>
      <c r="HHC23" s="3741"/>
      <c r="HHD23" s="3741"/>
      <c r="HHE23" s="3741"/>
      <c r="HHF23" s="3741"/>
      <c r="HHG23" s="3741"/>
      <c r="HHH23" s="3741"/>
      <c r="HHI23" s="3741"/>
      <c r="HHJ23" s="3741"/>
      <c r="HHK23" s="3741"/>
      <c r="HHL23" s="3741"/>
      <c r="HHM23" s="3741"/>
      <c r="HHN23" s="3741"/>
      <c r="HHO23" s="3741"/>
      <c r="HHP23" s="3741"/>
      <c r="HHQ23" s="3741"/>
      <c r="HHR23" s="3741"/>
      <c r="HHS23" s="3741"/>
      <c r="HHT23" s="3741"/>
      <c r="HHU23" s="3741"/>
      <c r="HHV23" s="3741"/>
      <c r="HHW23" s="3741"/>
      <c r="HHX23" s="3741"/>
      <c r="HHY23" s="3741"/>
      <c r="HHZ23" s="3741"/>
      <c r="HIA23" s="3741"/>
      <c r="HIB23" s="3741"/>
      <c r="HIC23" s="3741"/>
      <c r="HID23" s="3741"/>
      <c r="HIE23" s="3741"/>
      <c r="HIF23" s="3741"/>
      <c r="HIG23" s="3741"/>
      <c r="HIH23" s="3741"/>
      <c r="HII23" s="3741"/>
      <c r="HIJ23" s="3741"/>
      <c r="HIK23" s="3741"/>
      <c r="HIL23" s="3741"/>
      <c r="HIM23" s="3741"/>
      <c r="HIN23" s="3741"/>
      <c r="HIO23" s="3741"/>
      <c r="HIP23" s="3741"/>
      <c r="HIQ23" s="3741"/>
      <c r="HIR23" s="3741"/>
      <c r="HIS23" s="3741"/>
      <c r="HIT23" s="3741"/>
      <c r="HIU23" s="3741"/>
      <c r="HIV23" s="3741"/>
      <c r="HIW23" s="3741"/>
      <c r="HIX23" s="3741"/>
      <c r="HIY23" s="3741"/>
      <c r="HIZ23" s="3741"/>
      <c r="HJA23" s="3741"/>
      <c r="HJB23" s="3741"/>
      <c r="HJC23" s="3741"/>
      <c r="HJD23" s="3741"/>
      <c r="HJE23" s="3741"/>
      <c r="HJF23" s="3741"/>
      <c r="HJG23" s="3741"/>
      <c r="HJH23" s="3741"/>
      <c r="HJI23" s="3741"/>
      <c r="HJJ23" s="3741"/>
      <c r="HJK23" s="3741"/>
      <c r="HJL23" s="3741"/>
      <c r="HJM23" s="3741"/>
      <c r="HJN23" s="3741"/>
      <c r="HJO23" s="3741"/>
      <c r="HJP23" s="3741"/>
      <c r="HJQ23" s="3741"/>
      <c r="HJR23" s="3741"/>
      <c r="HJS23" s="3741"/>
      <c r="HJT23" s="3741"/>
      <c r="HJU23" s="3741"/>
      <c r="HJV23" s="3741"/>
      <c r="HJW23" s="3741"/>
      <c r="HJX23" s="3741"/>
      <c r="HJY23" s="3741"/>
      <c r="HJZ23" s="3741"/>
      <c r="HKA23" s="3741"/>
      <c r="HKB23" s="3741"/>
      <c r="HKC23" s="3741"/>
      <c r="HKD23" s="3741"/>
      <c r="HKE23" s="3741"/>
      <c r="HKF23" s="3741"/>
      <c r="HKG23" s="3741"/>
      <c r="HKH23" s="3741"/>
      <c r="HKI23" s="3741"/>
      <c r="HKJ23" s="3741"/>
      <c r="HKK23" s="3741"/>
      <c r="HKL23" s="3741"/>
      <c r="HKM23" s="3741"/>
      <c r="HKN23" s="3741"/>
      <c r="HKO23" s="3741"/>
      <c r="HKP23" s="3741"/>
      <c r="HKQ23" s="3741"/>
      <c r="HKR23" s="3741"/>
      <c r="HKS23" s="3741"/>
      <c r="HKT23" s="3741"/>
      <c r="HKU23" s="3741"/>
      <c r="HKV23" s="3741"/>
      <c r="HKW23" s="3741"/>
      <c r="HKX23" s="3741"/>
      <c r="HKY23" s="3741"/>
      <c r="HKZ23" s="3741"/>
      <c r="HLA23" s="3741"/>
      <c r="HLB23" s="3741"/>
      <c r="HLC23" s="3741"/>
      <c r="HLD23" s="3741"/>
      <c r="HLE23" s="3741"/>
      <c r="HLF23" s="3741"/>
      <c r="HLG23" s="3741"/>
      <c r="HLH23" s="3741"/>
      <c r="HLI23" s="3741"/>
      <c r="HLJ23" s="3741"/>
      <c r="HLK23" s="3741"/>
      <c r="HLL23" s="3741"/>
      <c r="HLM23" s="3741"/>
      <c r="HLN23" s="3741"/>
      <c r="HLO23" s="3741"/>
      <c r="HLP23" s="3741"/>
      <c r="HLQ23" s="3741"/>
      <c r="HLR23" s="3741"/>
      <c r="HLS23" s="3741"/>
      <c r="HLT23" s="3741"/>
      <c r="HLU23" s="3741"/>
      <c r="HLV23" s="3741"/>
      <c r="HLW23" s="3741"/>
      <c r="HLX23" s="3741"/>
      <c r="HLY23" s="3741"/>
      <c r="HLZ23" s="3741"/>
      <c r="HMA23" s="3741"/>
      <c r="HMB23" s="3741"/>
      <c r="HMC23" s="3741"/>
      <c r="HMD23" s="3741"/>
      <c r="HME23" s="3741"/>
      <c r="HMF23" s="3741"/>
      <c r="HMG23" s="3741"/>
      <c r="HMH23" s="3741"/>
      <c r="HMI23" s="3741"/>
      <c r="HMJ23" s="3741"/>
      <c r="HMK23" s="3741"/>
      <c r="HML23" s="3741"/>
      <c r="HMM23" s="3741"/>
      <c r="HMN23" s="3741"/>
      <c r="HMO23" s="3741"/>
      <c r="HMP23" s="3741"/>
      <c r="HMQ23" s="3741"/>
      <c r="HMR23" s="3741"/>
      <c r="HMS23" s="3741"/>
      <c r="HMT23" s="3741"/>
      <c r="HMU23" s="3741"/>
      <c r="HMV23" s="3741"/>
      <c r="HMW23" s="3741"/>
      <c r="HMX23" s="3741"/>
      <c r="HMY23" s="3741"/>
      <c r="HMZ23" s="3741"/>
      <c r="HNA23" s="3741"/>
      <c r="HNB23" s="3741"/>
      <c r="HNC23" s="3741"/>
      <c r="HND23" s="3741"/>
      <c r="HNE23" s="3741"/>
      <c r="HNF23" s="3741"/>
      <c r="HNG23" s="3741"/>
      <c r="HNH23" s="3741"/>
      <c r="HNI23" s="3741"/>
      <c r="HNJ23" s="3741"/>
      <c r="HNK23" s="3741"/>
      <c r="HNL23" s="3741"/>
      <c r="HNM23" s="3741"/>
      <c r="HNN23" s="3741"/>
      <c r="HNO23" s="3741"/>
      <c r="HNP23" s="3741"/>
      <c r="HNQ23" s="3741"/>
      <c r="HNR23" s="3741"/>
      <c r="HNS23" s="3741"/>
      <c r="HNT23" s="3741"/>
      <c r="HNU23" s="3741"/>
      <c r="HNV23" s="3741"/>
      <c r="HNW23" s="3741"/>
      <c r="HNX23" s="3741"/>
      <c r="HNY23" s="3741"/>
      <c r="HNZ23" s="3741"/>
      <c r="HOA23" s="3741"/>
      <c r="HOB23" s="3741"/>
      <c r="HOC23" s="3741"/>
      <c r="HOD23" s="3741"/>
      <c r="HOE23" s="3741"/>
      <c r="HOF23" s="3741"/>
      <c r="HOG23" s="3741"/>
      <c r="HOH23" s="3741"/>
      <c r="HOI23" s="3741"/>
      <c r="HOJ23" s="3741"/>
      <c r="HOK23" s="3741"/>
      <c r="HOL23" s="3741"/>
      <c r="HOM23" s="3741"/>
      <c r="HON23" s="3741"/>
      <c r="HOO23" s="3741"/>
      <c r="HOP23" s="3741"/>
      <c r="HOQ23" s="3741"/>
      <c r="HOR23" s="3741"/>
      <c r="HOS23" s="3741"/>
      <c r="HOT23" s="3741"/>
      <c r="HOU23" s="3741"/>
      <c r="HOV23" s="3741"/>
      <c r="HOW23" s="3741"/>
      <c r="HOX23" s="3741"/>
      <c r="HOY23" s="3741"/>
      <c r="HOZ23" s="3741"/>
      <c r="HPA23" s="3741"/>
      <c r="HPB23" s="3741"/>
      <c r="HPC23" s="3741"/>
      <c r="HPD23" s="3741"/>
      <c r="HPE23" s="3741"/>
      <c r="HPF23" s="3741"/>
      <c r="HPG23" s="3741"/>
      <c r="HPH23" s="3741"/>
      <c r="HPI23" s="3741"/>
      <c r="HPJ23" s="3741"/>
      <c r="HPK23" s="3741"/>
      <c r="HPL23" s="3741"/>
      <c r="HPM23" s="3741"/>
      <c r="HPN23" s="3741"/>
      <c r="HPO23" s="3741"/>
      <c r="HPP23" s="3741"/>
      <c r="HPQ23" s="3741"/>
      <c r="HPR23" s="3741"/>
      <c r="HPS23" s="3741"/>
      <c r="HPT23" s="3741"/>
      <c r="HPU23" s="3741"/>
      <c r="HPV23" s="3741"/>
      <c r="HPW23" s="3741"/>
      <c r="HPX23" s="3741"/>
      <c r="HPY23" s="3741"/>
      <c r="HPZ23" s="3741"/>
      <c r="HQA23" s="3741"/>
      <c r="HQB23" s="3741"/>
      <c r="HQC23" s="3741"/>
      <c r="HQD23" s="3741"/>
      <c r="HQE23" s="3741"/>
      <c r="HQF23" s="3741"/>
      <c r="HQG23" s="3741"/>
      <c r="HQH23" s="3741"/>
      <c r="HQI23" s="3741"/>
      <c r="HQJ23" s="3741"/>
      <c r="HQK23" s="3741"/>
      <c r="HQL23" s="3741"/>
      <c r="HQM23" s="3741"/>
      <c r="HQN23" s="3741"/>
      <c r="HQO23" s="3741"/>
      <c r="HQP23" s="3741"/>
      <c r="HQQ23" s="3741"/>
      <c r="HQR23" s="3741"/>
      <c r="HQS23" s="3741"/>
      <c r="HQT23" s="3741"/>
      <c r="HQU23" s="3741"/>
      <c r="HQV23" s="3741"/>
      <c r="HQW23" s="3741"/>
      <c r="HQX23" s="3741"/>
      <c r="HQY23" s="3741"/>
      <c r="HQZ23" s="3741"/>
      <c r="HRA23" s="3741"/>
      <c r="HRB23" s="3741"/>
      <c r="HRC23" s="3741"/>
      <c r="HRD23" s="3741"/>
      <c r="HRE23" s="3741"/>
      <c r="HRF23" s="3741"/>
      <c r="HRG23" s="3741"/>
      <c r="HRH23" s="3741"/>
      <c r="HRI23" s="3741"/>
      <c r="HRJ23" s="3741"/>
      <c r="HRK23" s="3741"/>
      <c r="HRL23" s="3741"/>
      <c r="HRM23" s="3741"/>
      <c r="HRN23" s="3741"/>
      <c r="HRO23" s="3741"/>
      <c r="HRP23" s="3741"/>
      <c r="HRQ23" s="3741"/>
      <c r="HRR23" s="3741"/>
      <c r="HRS23" s="3741"/>
      <c r="HRT23" s="3741"/>
      <c r="HRU23" s="3741"/>
      <c r="HRV23" s="3741"/>
      <c r="HRW23" s="3741"/>
      <c r="HRX23" s="3741"/>
      <c r="HRY23" s="3741"/>
      <c r="HRZ23" s="3741"/>
      <c r="HSA23" s="3741"/>
      <c r="HSB23" s="3741"/>
      <c r="HSC23" s="3741"/>
      <c r="HSD23" s="3741"/>
      <c r="HSE23" s="3741"/>
      <c r="HSF23" s="3741"/>
      <c r="HSG23" s="3741"/>
      <c r="HSH23" s="3741"/>
      <c r="HSI23" s="3741"/>
      <c r="HSJ23" s="3741"/>
      <c r="HSK23" s="3741"/>
      <c r="HSL23" s="3741"/>
      <c r="HSM23" s="3741"/>
      <c r="HSN23" s="3741"/>
      <c r="HSO23" s="3741"/>
      <c r="HSP23" s="3741"/>
      <c r="HSQ23" s="3741"/>
      <c r="HSR23" s="3741"/>
      <c r="HSS23" s="3741"/>
      <c r="HST23" s="3741"/>
      <c r="HSU23" s="3741"/>
      <c r="HSV23" s="3741"/>
      <c r="HSW23" s="3741"/>
      <c r="HSX23" s="3741"/>
      <c r="HSY23" s="3741"/>
      <c r="HSZ23" s="3741"/>
      <c r="HTA23" s="3741"/>
      <c r="HTB23" s="3741"/>
      <c r="HTC23" s="3741"/>
      <c r="HTD23" s="3741"/>
      <c r="HTE23" s="3741"/>
      <c r="HTF23" s="3741"/>
      <c r="HTG23" s="3741"/>
      <c r="HTH23" s="3741"/>
      <c r="HTI23" s="3741"/>
      <c r="HTJ23" s="3741"/>
      <c r="HTK23" s="3741"/>
      <c r="HTL23" s="3741"/>
      <c r="HTM23" s="3741"/>
      <c r="HTN23" s="3741"/>
      <c r="HTO23" s="3741"/>
      <c r="HTP23" s="3741"/>
      <c r="HTQ23" s="3741"/>
      <c r="HTR23" s="3741"/>
      <c r="HTS23" s="3741"/>
      <c r="HTT23" s="3741"/>
      <c r="HTU23" s="3741"/>
      <c r="HTV23" s="3741"/>
      <c r="HTW23" s="3741"/>
      <c r="HTX23" s="3741"/>
      <c r="HTY23" s="3741"/>
      <c r="HTZ23" s="3741"/>
      <c r="HUA23" s="3741"/>
      <c r="HUB23" s="3741"/>
      <c r="HUC23" s="3741"/>
      <c r="HUD23" s="3741"/>
      <c r="HUE23" s="3741"/>
      <c r="HUF23" s="3741"/>
      <c r="HUG23" s="3741"/>
      <c r="HUH23" s="3741"/>
      <c r="HUI23" s="3741"/>
      <c r="HUJ23" s="3741"/>
      <c r="HUK23" s="3741"/>
      <c r="HUL23" s="3741"/>
      <c r="HUM23" s="3741"/>
      <c r="HUN23" s="3741"/>
      <c r="HUO23" s="3741"/>
      <c r="HUP23" s="3741"/>
      <c r="HUQ23" s="3741"/>
      <c r="HUR23" s="3741"/>
      <c r="HUS23" s="3741"/>
      <c r="HUT23" s="3741"/>
      <c r="HUU23" s="3741"/>
      <c r="HUV23" s="3741"/>
      <c r="HUW23" s="3741"/>
      <c r="HUX23" s="3741"/>
      <c r="HUY23" s="3741"/>
      <c r="HUZ23" s="3741"/>
      <c r="HVA23" s="3741"/>
      <c r="HVB23" s="3741"/>
      <c r="HVC23" s="3741"/>
      <c r="HVD23" s="3741"/>
      <c r="HVE23" s="3741"/>
      <c r="HVF23" s="3741"/>
      <c r="HVG23" s="3741"/>
      <c r="HVH23" s="3741"/>
      <c r="HVI23" s="3741"/>
      <c r="HVJ23" s="3741"/>
      <c r="HVK23" s="3741"/>
      <c r="HVL23" s="3741"/>
      <c r="HVM23" s="3741"/>
      <c r="HVN23" s="3741"/>
      <c r="HVO23" s="3741"/>
      <c r="HVP23" s="3741"/>
      <c r="HVQ23" s="3741"/>
      <c r="HVR23" s="3741"/>
      <c r="HVS23" s="3741"/>
      <c r="HVT23" s="3741"/>
      <c r="HVU23" s="3741"/>
      <c r="HVV23" s="3741"/>
      <c r="HVW23" s="3741"/>
      <c r="HVX23" s="3741"/>
      <c r="HVY23" s="3741"/>
      <c r="HVZ23" s="3741"/>
      <c r="HWA23" s="3741"/>
      <c r="HWB23" s="3741"/>
      <c r="HWC23" s="3741"/>
      <c r="HWD23" s="3741"/>
      <c r="HWE23" s="3741"/>
      <c r="HWF23" s="3741"/>
      <c r="HWG23" s="3741"/>
      <c r="HWH23" s="3741"/>
      <c r="HWI23" s="3741"/>
      <c r="HWJ23" s="3741"/>
      <c r="HWK23" s="3741"/>
      <c r="HWL23" s="3741"/>
      <c r="HWM23" s="3741"/>
      <c r="HWN23" s="3741"/>
      <c r="HWO23" s="3741"/>
      <c r="HWP23" s="3741"/>
      <c r="HWQ23" s="3741"/>
      <c r="HWR23" s="3741"/>
      <c r="HWS23" s="3741"/>
      <c r="HWT23" s="3741"/>
      <c r="HWU23" s="3741"/>
      <c r="HWV23" s="3741"/>
      <c r="HWW23" s="3741"/>
      <c r="HWX23" s="3741"/>
      <c r="HWY23" s="3741"/>
      <c r="HWZ23" s="3741"/>
      <c r="HXA23" s="3741"/>
      <c r="HXB23" s="3741"/>
      <c r="HXC23" s="3741"/>
      <c r="HXD23" s="3741"/>
      <c r="HXE23" s="3741"/>
      <c r="HXF23" s="3741"/>
      <c r="HXG23" s="3741"/>
      <c r="HXH23" s="3741"/>
      <c r="HXI23" s="3741"/>
      <c r="HXJ23" s="3741"/>
      <c r="HXK23" s="3741"/>
      <c r="HXL23" s="3741"/>
      <c r="HXM23" s="3741"/>
      <c r="HXN23" s="3741"/>
      <c r="HXO23" s="3741"/>
      <c r="HXP23" s="3741"/>
      <c r="HXQ23" s="3741"/>
      <c r="HXR23" s="3741"/>
      <c r="HXS23" s="3741"/>
      <c r="HXT23" s="3741"/>
      <c r="HXU23" s="3741"/>
      <c r="HXV23" s="3741"/>
      <c r="HXW23" s="3741"/>
      <c r="HXX23" s="3741"/>
      <c r="HXY23" s="3741"/>
      <c r="HXZ23" s="3741"/>
      <c r="HYA23" s="3741"/>
      <c r="HYB23" s="3741"/>
      <c r="HYC23" s="3741"/>
      <c r="HYD23" s="3741"/>
      <c r="HYE23" s="3741"/>
      <c r="HYF23" s="3741"/>
      <c r="HYG23" s="3741"/>
      <c r="HYH23" s="3741"/>
      <c r="HYI23" s="3741"/>
      <c r="HYJ23" s="3741"/>
      <c r="HYK23" s="3741"/>
      <c r="HYL23" s="3741"/>
      <c r="HYM23" s="3741"/>
      <c r="HYN23" s="3741"/>
      <c r="HYO23" s="3741"/>
      <c r="HYP23" s="3741"/>
      <c r="HYQ23" s="3741"/>
      <c r="HYR23" s="3741"/>
      <c r="HYS23" s="3741"/>
      <c r="HYT23" s="3741"/>
      <c r="HYU23" s="3741"/>
      <c r="HYV23" s="3741"/>
      <c r="HYW23" s="3741"/>
      <c r="HYX23" s="3741"/>
      <c r="HYY23" s="3741"/>
      <c r="HYZ23" s="3741"/>
      <c r="HZA23" s="3741"/>
      <c r="HZB23" s="3741"/>
      <c r="HZC23" s="3741"/>
      <c r="HZD23" s="3741"/>
      <c r="HZE23" s="3741"/>
      <c r="HZF23" s="3741"/>
      <c r="HZG23" s="3741"/>
      <c r="HZH23" s="3741"/>
      <c r="HZI23" s="3741"/>
      <c r="HZJ23" s="3741"/>
      <c r="HZK23" s="3741"/>
      <c r="HZL23" s="3741"/>
      <c r="HZM23" s="3741"/>
      <c r="HZN23" s="3741"/>
      <c r="HZO23" s="3741"/>
      <c r="HZP23" s="3741"/>
      <c r="HZQ23" s="3741"/>
      <c r="HZR23" s="3741"/>
      <c r="HZS23" s="3741"/>
      <c r="HZT23" s="3741"/>
      <c r="HZU23" s="3741"/>
      <c r="HZV23" s="3741"/>
      <c r="HZW23" s="3741"/>
      <c r="HZX23" s="3741"/>
      <c r="HZY23" s="3741"/>
      <c r="HZZ23" s="3741"/>
      <c r="IAA23" s="3741"/>
      <c r="IAB23" s="3741"/>
      <c r="IAC23" s="3741"/>
      <c r="IAD23" s="3741"/>
      <c r="IAE23" s="3741"/>
      <c r="IAF23" s="3741"/>
      <c r="IAG23" s="3741"/>
      <c r="IAH23" s="3741"/>
      <c r="IAI23" s="3741"/>
      <c r="IAJ23" s="3741"/>
      <c r="IAK23" s="3741"/>
      <c r="IAL23" s="3741"/>
      <c r="IAM23" s="3741"/>
      <c r="IAN23" s="3741"/>
      <c r="IAO23" s="3741"/>
      <c r="IAP23" s="3741"/>
      <c r="IAQ23" s="3741"/>
      <c r="IAR23" s="3741"/>
      <c r="IAS23" s="3741"/>
      <c r="IAT23" s="3741"/>
      <c r="IAU23" s="3741"/>
      <c r="IAV23" s="3741"/>
      <c r="IAW23" s="3741"/>
      <c r="IAX23" s="3741"/>
      <c r="IAY23" s="3741"/>
      <c r="IAZ23" s="3741"/>
      <c r="IBA23" s="3741"/>
      <c r="IBB23" s="3741"/>
      <c r="IBC23" s="3741"/>
      <c r="IBD23" s="3741"/>
      <c r="IBE23" s="3741"/>
      <c r="IBF23" s="3741"/>
      <c r="IBG23" s="3741"/>
      <c r="IBH23" s="3741"/>
      <c r="IBI23" s="3741"/>
      <c r="IBJ23" s="3741"/>
      <c r="IBK23" s="3741"/>
      <c r="IBL23" s="3741"/>
      <c r="IBM23" s="3741"/>
      <c r="IBN23" s="3741"/>
      <c r="IBO23" s="3741"/>
      <c r="IBP23" s="3741"/>
      <c r="IBQ23" s="3741"/>
      <c r="IBR23" s="3741"/>
      <c r="IBS23" s="3741"/>
      <c r="IBT23" s="3741"/>
      <c r="IBU23" s="3741"/>
      <c r="IBV23" s="3741"/>
      <c r="IBW23" s="3741"/>
      <c r="IBX23" s="3741"/>
      <c r="IBY23" s="3741"/>
      <c r="IBZ23" s="3741"/>
      <c r="ICA23" s="3741"/>
      <c r="ICB23" s="3741"/>
      <c r="ICC23" s="3741"/>
      <c r="ICD23" s="3741"/>
      <c r="ICE23" s="3741"/>
      <c r="ICF23" s="3741"/>
      <c r="ICG23" s="3741"/>
      <c r="ICH23" s="3741"/>
      <c r="ICI23" s="3741"/>
      <c r="ICJ23" s="3741"/>
      <c r="ICK23" s="3741"/>
      <c r="ICL23" s="3741"/>
      <c r="ICM23" s="3741"/>
      <c r="ICN23" s="3741"/>
      <c r="ICO23" s="3741"/>
      <c r="ICP23" s="3741"/>
      <c r="ICQ23" s="3741"/>
      <c r="ICR23" s="3741"/>
      <c r="ICS23" s="3741"/>
      <c r="ICT23" s="3741"/>
      <c r="ICU23" s="3741"/>
      <c r="ICV23" s="3741"/>
      <c r="ICW23" s="3741"/>
      <c r="ICX23" s="3741"/>
      <c r="ICY23" s="3741"/>
      <c r="ICZ23" s="3741"/>
      <c r="IDA23" s="3741"/>
      <c r="IDB23" s="3741"/>
      <c r="IDC23" s="3741"/>
      <c r="IDD23" s="3741"/>
      <c r="IDE23" s="3741"/>
      <c r="IDF23" s="3741"/>
      <c r="IDG23" s="3741"/>
      <c r="IDH23" s="3741"/>
      <c r="IDI23" s="3741"/>
      <c r="IDJ23" s="3741"/>
      <c r="IDK23" s="3741"/>
      <c r="IDL23" s="3741"/>
      <c r="IDM23" s="3741"/>
      <c r="IDN23" s="3741"/>
      <c r="IDO23" s="3741"/>
      <c r="IDP23" s="3741"/>
      <c r="IDQ23" s="3741"/>
      <c r="IDR23" s="3741"/>
      <c r="IDS23" s="3741"/>
      <c r="IDT23" s="3741"/>
      <c r="IDU23" s="3741"/>
      <c r="IDV23" s="3741"/>
      <c r="IDW23" s="3741"/>
      <c r="IDX23" s="3741"/>
      <c r="IDY23" s="3741"/>
      <c r="IDZ23" s="3741"/>
      <c r="IEA23" s="3741"/>
      <c r="IEB23" s="3741"/>
      <c r="IEC23" s="3741"/>
      <c r="IED23" s="3741"/>
      <c r="IEE23" s="3741"/>
      <c r="IEF23" s="3741"/>
      <c r="IEG23" s="3741"/>
      <c r="IEH23" s="3741"/>
      <c r="IEI23" s="3741"/>
      <c r="IEJ23" s="3741"/>
      <c r="IEK23" s="3741"/>
      <c r="IEL23" s="3741"/>
      <c r="IEM23" s="3741"/>
      <c r="IEN23" s="3741"/>
      <c r="IEO23" s="3741"/>
      <c r="IEP23" s="3741"/>
      <c r="IEQ23" s="3741"/>
      <c r="IER23" s="3741"/>
      <c r="IES23" s="3741"/>
      <c r="IET23" s="3741"/>
      <c r="IEU23" s="3741"/>
      <c r="IEV23" s="3741"/>
      <c r="IEW23" s="3741"/>
      <c r="IEX23" s="3741"/>
      <c r="IEY23" s="3741"/>
      <c r="IEZ23" s="3741"/>
      <c r="IFA23" s="3741"/>
      <c r="IFB23" s="3741"/>
      <c r="IFC23" s="3741"/>
      <c r="IFD23" s="3741"/>
      <c r="IFE23" s="3741"/>
      <c r="IFF23" s="3741"/>
      <c r="IFG23" s="3741"/>
      <c r="IFH23" s="3741"/>
      <c r="IFI23" s="3741"/>
      <c r="IFJ23" s="3741"/>
      <c r="IFK23" s="3741"/>
      <c r="IFL23" s="3741"/>
      <c r="IFM23" s="3741"/>
      <c r="IFN23" s="3741"/>
      <c r="IFO23" s="3741"/>
      <c r="IFP23" s="3741"/>
      <c r="IFQ23" s="3741"/>
      <c r="IFR23" s="3741"/>
      <c r="IFS23" s="3741"/>
      <c r="IFT23" s="3741"/>
      <c r="IFU23" s="3741"/>
      <c r="IFV23" s="3741"/>
      <c r="IFW23" s="3741"/>
      <c r="IFX23" s="3741"/>
      <c r="IFY23" s="3741"/>
      <c r="IFZ23" s="3741"/>
      <c r="IGA23" s="3741"/>
      <c r="IGB23" s="3741"/>
      <c r="IGC23" s="3741"/>
      <c r="IGD23" s="3741"/>
      <c r="IGE23" s="3741"/>
      <c r="IGF23" s="3741"/>
      <c r="IGG23" s="3741"/>
      <c r="IGH23" s="3741"/>
      <c r="IGI23" s="3741"/>
      <c r="IGJ23" s="3741"/>
      <c r="IGK23" s="3741"/>
      <c r="IGL23" s="3741"/>
      <c r="IGM23" s="3741"/>
      <c r="IGN23" s="3741"/>
      <c r="IGO23" s="3741"/>
      <c r="IGP23" s="3741"/>
      <c r="IGQ23" s="3741"/>
      <c r="IGR23" s="3741"/>
      <c r="IGS23" s="3741"/>
      <c r="IGT23" s="3741"/>
      <c r="IGU23" s="3741"/>
      <c r="IGV23" s="3741"/>
      <c r="IGW23" s="3741"/>
      <c r="IGX23" s="3741"/>
      <c r="IGY23" s="3741"/>
      <c r="IGZ23" s="3741"/>
      <c r="IHA23" s="3741"/>
      <c r="IHB23" s="3741"/>
      <c r="IHC23" s="3741"/>
      <c r="IHD23" s="3741"/>
      <c r="IHE23" s="3741"/>
      <c r="IHF23" s="3741"/>
      <c r="IHG23" s="3741"/>
      <c r="IHH23" s="3741"/>
      <c r="IHI23" s="3741"/>
      <c r="IHJ23" s="3741"/>
      <c r="IHK23" s="3741"/>
      <c r="IHL23" s="3741"/>
      <c r="IHM23" s="3741"/>
      <c r="IHN23" s="3741"/>
      <c r="IHO23" s="3741"/>
      <c r="IHP23" s="3741"/>
      <c r="IHQ23" s="3741"/>
      <c r="IHR23" s="3741"/>
      <c r="IHS23" s="3741"/>
      <c r="IHT23" s="3741"/>
      <c r="IHU23" s="3741"/>
      <c r="IHV23" s="3741"/>
      <c r="IHW23" s="3741"/>
      <c r="IHX23" s="3741"/>
      <c r="IHY23" s="3741"/>
      <c r="IHZ23" s="3741"/>
      <c r="IIA23" s="3741"/>
      <c r="IIB23" s="3741"/>
      <c r="IIC23" s="3741"/>
      <c r="IID23" s="3741"/>
      <c r="IIE23" s="3741"/>
      <c r="IIF23" s="3741"/>
      <c r="IIG23" s="3741"/>
      <c r="IIH23" s="3741"/>
      <c r="III23" s="3741"/>
      <c r="IIJ23" s="3741"/>
      <c r="IIK23" s="3741"/>
      <c r="IIL23" s="3741"/>
      <c r="IIM23" s="3741"/>
      <c r="IIN23" s="3741"/>
      <c r="IIO23" s="3741"/>
      <c r="IIP23" s="3741"/>
      <c r="IIQ23" s="3741"/>
      <c r="IIR23" s="3741"/>
      <c r="IIS23" s="3741"/>
      <c r="IIT23" s="3741"/>
      <c r="IIU23" s="3741"/>
      <c r="IIV23" s="3741"/>
      <c r="IIW23" s="3741"/>
      <c r="IIX23" s="3741"/>
      <c r="IIY23" s="3741"/>
      <c r="IIZ23" s="3741"/>
      <c r="IJA23" s="3741"/>
      <c r="IJB23" s="3741"/>
      <c r="IJC23" s="3741"/>
      <c r="IJD23" s="3741"/>
      <c r="IJE23" s="3741"/>
      <c r="IJF23" s="3741"/>
      <c r="IJG23" s="3741"/>
      <c r="IJH23" s="3741"/>
      <c r="IJI23" s="3741"/>
      <c r="IJJ23" s="3741"/>
      <c r="IJK23" s="3741"/>
      <c r="IJL23" s="3741"/>
      <c r="IJM23" s="3741"/>
      <c r="IJN23" s="3741"/>
      <c r="IJO23" s="3741"/>
      <c r="IJP23" s="3741"/>
      <c r="IJQ23" s="3741"/>
      <c r="IJR23" s="3741"/>
      <c r="IJS23" s="3741"/>
      <c r="IJT23" s="3741"/>
      <c r="IJU23" s="3741"/>
      <c r="IJV23" s="3741"/>
      <c r="IJW23" s="3741"/>
      <c r="IJX23" s="3741"/>
      <c r="IJY23" s="3741"/>
      <c r="IJZ23" s="3741"/>
      <c r="IKA23" s="3741"/>
      <c r="IKB23" s="3741"/>
      <c r="IKC23" s="3741"/>
      <c r="IKD23" s="3741"/>
      <c r="IKE23" s="3741"/>
      <c r="IKF23" s="3741"/>
      <c r="IKG23" s="3741"/>
      <c r="IKH23" s="3741"/>
      <c r="IKI23" s="3741"/>
      <c r="IKJ23" s="3741"/>
      <c r="IKK23" s="3741"/>
      <c r="IKL23" s="3741"/>
      <c r="IKM23" s="3741"/>
      <c r="IKN23" s="3741"/>
      <c r="IKO23" s="3741"/>
      <c r="IKP23" s="3741"/>
      <c r="IKQ23" s="3741"/>
      <c r="IKR23" s="3741"/>
      <c r="IKS23" s="3741"/>
      <c r="IKT23" s="3741"/>
      <c r="IKU23" s="3741"/>
      <c r="IKV23" s="3741"/>
      <c r="IKW23" s="3741"/>
      <c r="IKX23" s="3741"/>
      <c r="IKY23" s="3741"/>
      <c r="IKZ23" s="3741"/>
      <c r="ILA23" s="3741"/>
      <c r="ILB23" s="3741"/>
      <c r="ILC23" s="3741"/>
      <c r="ILD23" s="3741"/>
      <c r="ILE23" s="3741"/>
      <c r="ILF23" s="3741"/>
      <c r="ILG23" s="3741"/>
      <c r="ILH23" s="3741"/>
      <c r="ILI23" s="3741"/>
      <c r="ILJ23" s="3741"/>
      <c r="ILK23" s="3741"/>
      <c r="ILL23" s="3741"/>
      <c r="ILM23" s="3741"/>
      <c r="ILN23" s="3741"/>
      <c r="ILO23" s="3741"/>
      <c r="ILP23" s="3741"/>
      <c r="ILQ23" s="3741"/>
      <c r="ILR23" s="3741"/>
      <c r="ILS23" s="3741"/>
      <c r="ILT23" s="3741"/>
      <c r="ILU23" s="3741"/>
      <c r="ILV23" s="3741"/>
      <c r="ILW23" s="3741"/>
      <c r="ILX23" s="3741"/>
      <c r="ILY23" s="3741"/>
      <c r="ILZ23" s="3741"/>
      <c r="IMA23" s="3741"/>
      <c r="IMB23" s="3741"/>
      <c r="IMC23" s="3741"/>
      <c r="IMD23" s="3741"/>
      <c r="IME23" s="3741"/>
      <c r="IMF23" s="3741"/>
      <c r="IMG23" s="3741"/>
      <c r="IMH23" s="3741"/>
      <c r="IMI23" s="3741"/>
      <c r="IMJ23" s="3741"/>
      <c r="IMK23" s="3741"/>
      <c r="IML23" s="3741"/>
      <c r="IMM23" s="3741"/>
      <c r="IMN23" s="3741"/>
      <c r="IMO23" s="3741"/>
      <c r="IMP23" s="3741"/>
      <c r="IMQ23" s="3741"/>
      <c r="IMR23" s="3741"/>
      <c r="IMS23" s="3741"/>
      <c r="IMT23" s="3741"/>
      <c r="IMU23" s="3741"/>
      <c r="IMV23" s="3741"/>
      <c r="IMW23" s="3741"/>
      <c r="IMX23" s="3741"/>
      <c r="IMY23" s="3741"/>
      <c r="IMZ23" s="3741"/>
      <c r="INA23" s="3741"/>
      <c r="INB23" s="3741"/>
      <c r="INC23" s="3741"/>
      <c r="IND23" s="3741"/>
      <c r="INE23" s="3741"/>
      <c r="INF23" s="3741"/>
      <c r="ING23" s="3741"/>
      <c r="INH23" s="3741"/>
      <c r="INI23" s="3741"/>
      <c r="INJ23" s="3741"/>
      <c r="INK23" s="3741"/>
      <c r="INL23" s="3741"/>
      <c r="INM23" s="3741"/>
      <c r="INN23" s="3741"/>
      <c r="INO23" s="3741"/>
      <c r="INP23" s="3741"/>
      <c r="INQ23" s="3741"/>
      <c r="INR23" s="3741"/>
      <c r="INS23" s="3741"/>
      <c r="INT23" s="3741"/>
      <c r="INU23" s="3741"/>
      <c r="INV23" s="3741"/>
      <c r="INW23" s="3741"/>
      <c r="INX23" s="3741"/>
      <c r="INY23" s="3741"/>
      <c r="INZ23" s="3741"/>
      <c r="IOA23" s="3741"/>
      <c r="IOB23" s="3741"/>
      <c r="IOC23" s="3741"/>
      <c r="IOD23" s="3741"/>
      <c r="IOE23" s="3741"/>
      <c r="IOF23" s="3741"/>
      <c r="IOG23" s="3741"/>
      <c r="IOH23" s="3741"/>
      <c r="IOI23" s="3741"/>
      <c r="IOJ23" s="3741"/>
      <c r="IOK23" s="3741"/>
      <c r="IOL23" s="3741"/>
      <c r="IOM23" s="3741"/>
      <c r="ION23" s="3741"/>
      <c r="IOO23" s="3741"/>
      <c r="IOP23" s="3741"/>
      <c r="IOQ23" s="3741"/>
      <c r="IOR23" s="3741"/>
      <c r="IOS23" s="3741"/>
      <c r="IOT23" s="3741"/>
      <c r="IOU23" s="3741"/>
      <c r="IOV23" s="3741"/>
      <c r="IOW23" s="3741"/>
      <c r="IOX23" s="3741"/>
      <c r="IOY23" s="3741"/>
      <c r="IOZ23" s="3741"/>
      <c r="IPA23" s="3741"/>
      <c r="IPB23" s="3741"/>
      <c r="IPC23" s="3741"/>
      <c r="IPD23" s="3741"/>
      <c r="IPE23" s="3741"/>
      <c r="IPF23" s="3741"/>
      <c r="IPG23" s="3741"/>
      <c r="IPH23" s="3741"/>
      <c r="IPI23" s="3741"/>
      <c r="IPJ23" s="3741"/>
      <c r="IPK23" s="3741"/>
      <c r="IPL23" s="3741"/>
      <c r="IPM23" s="3741"/>
      <c r="IPN23" s="3741"/>
      <c r="IPO23" s="3741"/>
      <c r="IPP23" s="3741"/>
      <c r="IPQ23" s="3741"/>
      <c r="IPR23" s="3741"/>
      <c r="IPS23" s="3741"/>
      <c r="IPT23" s="3741"/>
      <c r="IPU23" s="3741"/>
      <c r="IPV23" s="3741"/>
      <c r="IPW23" s="3741"/>
      <c r="IPX23" s="3741"/>
      <c r="IPY23" s="3741"/>
      <c r="IPZ23" s="3741"/>
      <c r="IQA23" s="3741"/>
      <c r="IQB23" s="3741"/>
      <c r="IQC23" s="3741"/>
      <c r="IQD23" s="3741"/>
      <c r="IQE23" s="3741"/>
      <c r="IQF23" s="3741"/>
      <c r="IQG23" s="3741"/>
      <c r="IQH23" s="3741"/>
      <c r="IQI23" s="3741"/>
      <c r="IQJ23" s="3741"/>
      <c r="IQK23" s="3741"/>
      <c r="IQL23" s="3741"/>
      <c r="IQM23" s="3741"/>
      <c r="IQN23" s="3741"/>
      <c r="IQO23" s="3741"/>
      <c r="IQP23" s="3741"/>
      <c r="IQQ23" s="3741"/>
      <c r="IQR23" s="3741"/>
      <c r="IQS23" s="3741"/>
      <c r="IQT23" s="3741"/>
      <c r="IQU23" s="3741"/>
      <c r="IQV23" s="3741"/>
      <c r="IQW23" s="3741"/>
      <c r="IQX23" s="3741"/>
      <c r="IQY23" s="3741"/>
      <c r="IQZ23" s="3741"/>
      <c r="IRA23" s="3741"/>
      <c r="IRB23" s="3741"/>
      <c r="IRC23" s="3741"/>
      <c r="IRD23" s="3741"/>
      <c r="IRE23" s="3741"/>
      <c r="IRF23" s="3741"/>
      <c r="IRG23" s="3741"/>
      <c r="IRH23" s="3741"/>
      <c r="IRI23" s="3741"/>
      <c r="IRJ23" s="3741"/>
      <c r="IRK23" s="3741"/>
      <c r="IRL23" s="3741"/>
      <c r="IRM23" s="3741"/>
      <c r="IRN23" s="3741"/>
      <c r="IRO23" s="3741"/>
      <c r="IRP23" s="3741"/>
      <c r="IRQ23" s="3741"/>
      <c r="IRR23" s="3741"/>
      <c r="IRS23" s="3741"/>
      <c r="IRT23" s="3741"/>
      <c r="IRU23" s="3741"/>
      <c r="IRV23" s="3741"/>
      <c r="IRW23" s="3741"/>
      <c r="IRX23" s="3741"/>
      <c r="IRY23" s="3741"/>
      <c r="IRZ23" s="3741"/>
      <c r="ISA23" s="3741"/>
      <c r="ISB23" s="3741"/>
      <c r="ISC23" s="3741"/>
      <c r="ISD23" s="3741"/>
      <c r="ISE23" s="3741"/>
      <c r="ISF23" s="3741"/>
      <c r="ISG23" s="3741"/>
      <c r="ISH23" s="3741"/>
      <c r="ISI23" s="3741"/>
      <c r="ISJ23" s="3741"/>
      <c r="ISK23" s="3741"/>
      <c r="ISL23" s="3741"/>
      <c r="ISM23" s="3741"/>
      <c r="ISN23" s="3741"/>
      <c r="ISO23" s="3741"/>
      <c r="ISP23" s="3741"/>
      <c r="ISQ23" s="3741"/>
      <c r="ISR23" s="3741"/>
      <c r="ISS23" s="3741"/>
      <c r="IST23" s="3741"/>
      <c r="ISU23" s="3741"/>
      <c r="ISV23" s="3741"/>
      <c r="ISW23" s="3741"/>
      <c r="ISX23" s="3741"/>
      <c r="ISY23" s="3741"/>
      <c r="ISZ23" s="3741"/>
      <c r="ITA23" s="3741"/>
      <c r="ITB23" s="3741"/>
      <c r="ITC23" s="3741"/>
      <c r="ITD23" s="3741"/>
      <c r="ITE23" s="3741"/>
      <c r="ITF23" s="3741"/>
      <c r="ITG23" s="3741"/>
      <c r="ITH23" s="3741"/>
      <c r="ITI23" s="3741"/>
      <c r="ITJ23" s="3741"/>
      <c r="ITK23" s="3741"/>
      <c r="ITL23" s="3741"/>
      <c r="ITM23" s="3741"/>
      <c r="ITN23" s="3741"/>
      <c r="ITO23" s="3741"/>
      <c r="ITP23" s="3741"/>
      <c r="ITQ23" s="3741"/>
      <c r="ITR23" s="3741"/>
      <c r="ITS23" s="3741"/>
      <c r="ITT23" s="3741"/>
      <c r="ITU23" s="3741"/>
      <c r="ITV23" s="3741"/>
      <c r="ITW23" s="3741"/>
      <c r="ITX23" s="3741"/>
      <c r="ITY23" s="3741"/>
      <c r="ITZ23" s="3741"/>
      <c r="IUA23" s="3741"/>
      <c r="IUB23" s="3741"/>
      <c r="IUC23" s="3741"/>
      <c r="IUD23" s="3741"/>
      <c r="IUE23" s="3741"/>
      <c r="IUF23" s="3741"/>
      <c r="IUG23" s="3741"/>
      <c r="IUH23" s="3741"/>
      <c r="IUI23" s="3741"/>
      <c r="IUJ23" s="3741"/>
      <c r="IUK23" s="3741"/>
      <c r="IUL23" s="3741"/>
      <c r="IUM23" s="3741"/>
      <c r="IUN23" s="3741"/>
      <c r="IUO23" s="3741"/>
      <c r="IUP23" s="3741"/>
      <c r="IUQ23" s="3741"/>
      <c r="IUR23" s="3741"/>
      <c r="IUS23" s="3741"/>
      <c r="IUT23" s="3741"/>
      <c r="IUU23" s="3741"/>
      <c r="IUV23" s="3741"/>
      <c r="IUW23" s="3741"/>
      <c r="IUX23" s="3741"/>
      <c r="IUY23" s="3741"/>
      <c r="IUZ23" s="3741"/>
      <c r="IVA23" s="3741"/>
      <c r="IVB23" s="3741"/>
      <c r="IVC23" s="3741"/>
      <c r="IVD23" s="3741"/>
      <c r="IVE23" s="3741"/>
      <c r="IVF23" s="3741"/>
      <c r="IVG23" s="3741"/>
      <c r="IVH23" s="3741"/>
      <c r="IVI23" s="3741"/>
      <c r="IVJ23" s="3741"/>
      <c r="IVK23" s="3741"/>
      <c r="IVL23" s="3741"/>
      <c r="IVM23" s="3741"/>
      <c r="IVN23" s="3741"/>
      <c r="IVO23" s="3741"/>
      <c r="IVP23" s="3741"/>
      <c r="IVQ23" s="3741"/>
      <c r="IVR23" s="3741"/>
      <c r="IVS23" s="3741"/>
      <c r="IVT23" s="3741"/>
      <c r="IVU23" s="3741"/>
      <c r="IVV23" s="3741"/>
      <c r="IVW23" s="3741"/>
      <c r="IVX23" s="3741"/>
      <c r="IVY23" s="3741"/>
      <c r="IVZ23" s="3741"/>
      <c r="IWA23" s="3741"/>
      <c r="IWB23" s="3741"/>
      <c r="IWC23" s="3741"/>
      <c r="IWD23" s="3741"/>
      <c r="IWE23" s="3741"/>
      <c r="IWF23" s="3741"/>
      <c r="IWG23" s="3741"/>
      <c r="IWH23" s="3741"/>
      <c r="IWI23" s="3741"/>
      <c r="IWJ23" s="3741"/>
      <c r="IWK23" s="3741"/>
      <c r="IWL23" s="3741"/>
      <c r="IWM23" s="3741"/>
      <c r="IWN23" s="3741"/>
      <c r="IWO23" s="3741"/>
      <c r="IWP23" s="3741"/>
      <c r="IWQ23" s="3741"/>
      <c r="IWR23" s="3741"/>
      <c r="IWS23" s="3741"/>
      <c r="IWT23" s="3741"/>
      <c r="IWU23" s="3741"/>
      <c r="IWV23" s="3741"/>
      <c r="IWW23" s="3741"/>
      <c r="IWX23" s="3741"/>
      <c r="IWY23" s="3741"/>
      <c r="IWZ23" s="3741"/>
      <c r="IXA23" s="3741"/>
      <c r="IXB23" s="3741"/>
      <c r="IXC23" s="3741"/>
      <c r="IXD23" s="3741"/>
      <c r="IXE23" s="3741"/>
      <c r="IXF23" s="3741"/>
      <c r="IXG23" s="3741"/>
      <c r="IXH23" s="3741"/>
      <c r="IXI23" s="3741"/>
      <c r="IXJ23" s="3741"/>
      <c r="IXK23" s="3741"/>
      <c r="IXL23" s="3741"/>
      <c r="IXM23" s="3741"/>
      <c r="IXN23" s="3741"/>
      <c r="IXO23" s="3741"/>
      <c r="IXP23" s="3741"/>
      <c r="IXQ23" s="3741"/>
      <c r="IXR23" s="3741"/>
      <c r="IXS23" s="3741"/>
      <c r="IXT23" s="3741"/>
      <c r="IXU23" s="3741"/>
      <c r="IXV23" s="3741"/>
      <c r="IXW23" s="3741"/>
      <c r="IXX23" s="3741"/>
      <c r="IXY23" s="3741"/>
      <c r="IXZ23" s="3741"/>
      <c r="IYA23" s="3741"/>
      <c r="IYB23" s="3741"/>
      <c r="IYC23" s="3741"/>
      <c r="IYD23" s="3741"/>
      <c r="IYE23" s="3741"/>
      <c r="IYF23" s="3741"/>
      <c r="IYG23" s="3741"/>
      <c r="IYH23" s="3741"/>
      <c r="IYI23" s="3741"/>
      <c r="IYJ23" s="3741"/>
      <c r="IYK23" s="3741"/>
      <c r="IYL23" s="3741"/>
      <c r="IYM23" s="3741"/>
      <c r="IYN23" s="3741"/>
      <c r="IYO23" s="3741"/>
      <c r="IYP23" s="3741"/>
      <c r="IYQ23" s="3741"/>
      <c r="IYR23" s="3741"/>
      <c r="IYS23" s="3741"/>
      <c r="IYT23" s="3741"/>
      <c r="IYU23" s="3741"/>
      <c r="IYV23" s="3741"/>
      <c r="IYW23" s="3741"/>
      <c r="IYX23" s="3741"/>
      <c r="IYY23" s="3741"/>
      <c r="IYZ23" s="3741"/>
      <c r="IZA23" s="3741"/>
      <c r="IZB23" s="3741"/>
      <c r="IZC23" s="3741"/>
      <c r="IZD23" s="3741"/>
      <c r="IZE23" s="3741"/>
      <c r="IZF23" s="3741"/>
      <c r="IZG23" s="3741"/>
      <c r="IZH23" s="3741"/>
      <c r="IZI23" s="3741"/>
      <c r="IZJ23" s="3741"/>
      <c r="IZK23" s="3741"/>
      <c r="IZL23" s="3741"/>
      <c r="IZM23" s="3741"/>
      <c r="IZN23" s="3741"/>
      <c r="IZO23" s="3741"/>
      <c r="IZP23" s="3741"/>
      <c r="IZQ23" s="3741"/>
      <c r="IZR23" s="3741"/>
      <c r="IZS23" s="3741"/>
      <c r="IZT23" s="3741"/>
      <c r="IZU23" s="3741"/>
      <c r="IZV23" s="3741"/>
      <c r="IZW23" s="3741"/>
      <c r="IZX23" s="3741"/>
      <c r="IZY23" s="3741"/>
      <c r="IZZ23" s="3741"/>
      <c r="JAA23" s="3741"/>
      <c r="JAB23" s="3741"/>
      <c r="JAC23" s="3741"/>
      <c r="JAD23" s="3741"/>
      <c r="JAE23" s="3741"/>
      <c r="JAF23" s="3741"/>
      <c r="JAG23" s="3741"/>
      <c r="JAH23" s="3741"/>
      <c r="JAI23" s="3741"/>
      <c r="JAJ23" s="3741"/>
      <c r="JAK23" s="3741"/>
      <c r="JAL23" s="3741"/>
      <c r="JAM23" s="3741"/>
      <c r="JAN23" s="3741"/>
      <c r="JAO23" s="3741"/>
      <c r="JAP23" s="3741"/>
      <c r="JAQ23" s="3741"/>
      <c r="JAR23" s="3741"/>
      <c r="JAS23" s="3741"/>
      <c r="JAT23" s="3741"/>
      <c r="JAU23" s="3741"/>
      <c r="JAV23" s="3741"/>
      <c r="JAW23" s="3741"/>
      <c r="JAX23" s="3741"/>
      <c r="JAY23" s="3741"/>
      <c r="JAZ23" s="3741"/>
      <c r="JBA23" s="3741"/>
      <c r="JBB23" s="3741"/>
      <c r="JBC23" s="3741"/>
      <c r="JBD23" s="3741"/>
      <c r="JBE23" s="3741"/>
      <c r="JBF23" s="3741"/>
      <c r="JBG23" s="3741"/>
      <c r="JBH23" s="3741"/>
      <c r="JBI23" s="3741"/>
      <c r="JBJ23" s="3741"/>
      <c r="JBK23" s="3741"/>
      <c r="JBL23" s="3741"/>
      <c r="JBM23" s="3741"/>
      <c r="JBN23" s="3741"/>
      <c r="JBO23" s="3741"/>
      <c r="JBP23" s="3741"/>
      <c r="JBQ23" s="3741"/>
      <c r="JBR23" s="3741"/>
      <c r="JBS23" s="3741"/>
      <c r="JBT23" s="3741"/>
      <c r="JBU23" s="3741"/>
      <c r="JBV23" s="3741"/>
      <c r="JBW23" s="3741"/>
      <c r="JBX23" s="3741"/>
      <c r="JBY23" s="3741"/>
      <c r="JBZ23" s="3741"/>
      <c r="JCA23" s="3741"/>
      <c r="JCB23" s="3741"/>
      <c r="JCC23" s="3741"/>
      <c r="JCD23" s="3741"/>
      <c r="JCE23" s="3741"/>
      <c r="JCF23" s="3741"/>
      <c r="JCG23" s="3741"/>
      <c r="JCH23" s="3741"/>
      <c r="JCI23" s="3741"/>
      <c r="JCJ23" s="3741"/>
      <c r="JCK23" s="3741"/>
      <c r="JCL23" s="3741"/>
      <c r="JCM23" s="3741"/>
      <c r="JCN23" s="3741"/>
      <c r="JCO23" s="3741"/>
      <c r="JCP23" s="3741"/>
      <c r="JCQ23" s="3741"/>
      <c r="JCR23" s="3741"/>
      <c r="JCS23" s="3741"/>
      <c r="JCT23" s="3741"/>
      <c r="JCU23" s="3741"/>
      <c r="JCV23" s="3741"/>
      <c r="JCW23" s="3741"/>
      <c r="JCX23" s="3741"/>
      <c r="JCY23" s="3741"/>
      <c r="JCZ23" s="3741"/>
      <c r="JDA23" s="3741"/>
      <c r="JDB23" s="3741"/>
      <c r="JDC23" s="3741"/>
      <c r="JDD23" s="3741"/>
      <c r="JDE23" s="3741"/>
      <c r="JDF23" s="3741"/>
      <c r="JDG23" s="3741"/>
      <c r="JDH23" s="3741"/>
      <c r="JDI23" s="3741"/>
      <c r="JDJ23" s="3741"/>
      <c r="JDK23" s="3741"/>
      <c r="JDL23" s="3741"/>
      <c r="JDM23" s="3741"/>
      <c r="JDN23" s="3741"/>
      <c r="JDO23" s="3741"/>
      <c r="JDP23" s="3741"/>
      <c r="JDQ23" s="3741"/>
      <c r="JDR23" s="3741"/>
      <c r="JDS23" s="3741"/>
      <c r="JDT23" s="3741"/>
      <c r="JDU23" s="3741"/>
      <c r="JDV23" s="3741"/>
      <c r="JDW23" s="3741"/>
      <c r="JDX23" s="3741"/>
      <c r="JDY23" s="3741"/>
      <c r="JDZ23" s="3741"/>
      <c r="JEA23" s="3741"/>
      <c r="JEB23" s="3741"/>
      <c r="JEC23" s="3741"/>
      <c r="JED23" s="3741"/>
      <c r="JEE23" s="3741"/>
      <c r="JEF23" s="3741"/>
      <c r="JEG23" s="3741"/>
      <c r="JEH23" s="3741"/>
      <c r="JEI23" s="3741"/>
      <c r="JEJ23" s="3741"/>
      <c r="JEK23" s="3741"/>
      <c r="JEL23" s="3741"/>
      <c r="JEM23" s="3741"/>
      <c r="JEN23" s="3741"/>
      <c r="JEO23" s="3741"/>
      <c r="JEP23" s="3741"/>
      <c r="JEQ23" s="3741"/>
      <c r="JER23" s="3741"/>
      <c r="JES23" s="3741"/>
      <c r="JET23" s="3741"/>
      <c r="JEU23" s="3741"/>
      <c r="JEV23" s="3741"/>
      <c r="JEW23" s="3741"/>
      <c r="JEX23" s="3741"/>
      <c r="JEY23" s="3741"/>
      <c r="JEZ23" s="3741"/>
      <c r="JFA23" s="3741"/>
      <c r="JFB23" s="3741"/>
      <c r="JFC23" s="3741"/>
      <c r="JFD23" s="3741"/>
      <c r="JFE23" s="3741"/>
      <c r="JFF23" s="3741"/>
      <c r="JFG23" s="3741"/>
      <c r="JFH23" s="3741"/>
      <c r="JFI23" s="3741"/>
      <c r="JFJ23" s="3741"/>
      <c r="JFK23" s="3741"/>
      <c r="JFL23" s="3741"/>
      <c r="JFM23" s="3741"/>
      <c r="JFN23" s="3741"/>
      <c r="JFO23" s="3741"/>
      <c r="JFP23" s="3741"/>
      <c r="JFQ23" s="3741"/>
      <c r="JFR23" s="3741"/>
      <c r="JFS23" s="3741"/>
      <c r="JFT23" s="3741"/>
      <c r="JFU23" s="3741"/>
      <c r="JFV23" s="3741"/>
      <c r="JFW23" s="3741"/>
      <c r="JFX23" s="3741"/>
      <c r="JFY23" s="3741"/>
      <c r="JFZ23" s="3741"/>
      <c r="JGA23" s="3741"/>
      <c r="JGB23" s="3741"/>
      <c r="JGC23" s="3741"/>
      <c r="JGD23" s="3741"/>
      <c r="JGE23" s="3741"/>
      <c r="JGF23" s="3741"/>
      <c r="JGG23" s="3741"/>
      <c r="JGH23" s="3741"/>
      <c r="JGI23" s="3741"/>
      <c r="JGJ23" s="3741"/>
      <c r="JGK23" s="3741"/>
      <c r="JGL23" s="3741"/>
      <c r="JGM23" s="3741"/>
      <c r="JGN23" s="3741"/>
      <c r="JGO23" s="3741"/>
      <c r="JGP23" s="3741"/>
      <c r="JGQ23" s="3741"/>
      <c r="JGR23" s="3741"/>
      <c r="JGS23" s="3741"/>
      <c r="JGT23" s="3741"/>
      <c r="JGU23" s="3741"/>
      <c r="JGV23" s="3741"/>
      <c r="JGW23" s="3741"/>
      <c r="JGX23" s="3741"/>
      <c r="JGY23" s="3741"/>
      <c r="JGZ23" s="3741"/>
      <c r="JHA23" s="3741"/>
      <c r="JHB23" s="3741"/>
      <c r="JHC23" s="3741"/>
      <c r="JHD23" s="3741"/>
      <c r="JHE23" s="3741"/>
      <c r="JHF23" s="3741"/>
      <c r="JHG23" s="3741"/>
      <c r="JHH23" s="3741"/>
      <c r="JHI23" s="3741"/>
      <c r="JHJ23" s="3741"/>
      <c r="JHK23" s="3741"/>
      <c r="JHL23" s="3741"/>
      <c r="JHM23" s="3741"/>
      <c r="JHN23" s="3741"/>
      <c r="JHO23" s="3741"/>
      <c r="JHP23" s="3741"/>
      <c r="JHQ23" s="3741"/>
      <c r="JHR23" s="3741"/>
      <c r="JHS23" s="3741"/>
      <c r="JHT23" s="3741"/>
      <c r="JHU23" s="3741"/>
      <c r="JHV23" s="3741"/>
      <c r="JHW23" s="3741"/>
      <c r="JHX23" s="3741"/>
      <c r="JHY23" s="3741"/>
      <c r="JHZ23" s="3741"/>
      <c r="JIA23" s="3741"/>
      <c r="JIB23" s="3741"/>
      <c r="JIC23" s="3741"/>
      <c r="JID23" s="3741"/>
      <c r="JIE23" s="3741"/>
      <c r="JIF23" s="3741"/>
      <c r="JIG23" s="3741"/>
      <c r="JIH23" s="3741"/>
      <c r="JII23" s="3741"/>
      <c r="JIJ23" s="3741"/>
      <c r="JIK23" s="3741"/>
      <c r="JIL23" s="3741"/>
      <c r="JIM23" s="3741"/>
      <c r="JIN23" s="3741"/>
      <c r="JIO23" s="3741"/>
      <c r="JIP23" s="3741"/>
      <c r="JIQ23" s="3741"/>
      <c r="JIR23" s="3741"/>
      <c r="JIS23" s="3741"/>
      <c r="JIT23" s="3741"/>
      <c r="JIU23" s="3741"/>
      <c r="JIV23" s="3741"/>
      <c r="JIW23" s="3741"/>
      <c r="JIX23" s="3741"/>
      <c r="JIY23" s="3741"/>
      <c r="JIZ23" s="3741"/>
      <c r="JJA23" s="3741"/>
      <c r="JJB23" s="3741"/>
      <c r="JJC23" s="3741"/>
      <c r="JJD23" s="3741"/>
      <c r="JJE23" s="3741"/>
      <c r="JJF23" s="3741"/>
      <c r="JJG23" s="3741"/>
      <c r="JJH23" s="3741"/>
      <c r="JJI23" s="3741"/>
      <c r="JJJ23" s="3741"/>
      <c r="JJK23" s="3741"/>
      <c r="JJL23" s="3741"/>
      <c r="JJM23" s="3741"/>
      <c r="JJN23" s="3741"/>
      <c r="JJO23" s="3741"/>
      <c r="JJP23" s="3741"/>
      <c r="JJQ23" s="3741"/>
      <c r="JJR23" s="3741"/>
      <c r="JJS23" s="3741"/>
      <c r="JJT23" s="3741"/>
      <c r="JJU23" s="3741"/>
      <c r="JJV23" s="3741"/>
      <c r="JJW23" s="3741"/>
      <c r="JJX23" s="3741"/>
      <c r="JJY23" s="3741"/>
      <c r="JJZ23" s="3741"/>
      <c r="JKA23" s="3741"/>
      <c r="JKB23" s="3741"/>
      <c r="JKC23" s="3741"/>
      <c r="JKD23" s="3741"/>
      <c r="JKE23" s="3741"/>
      <c r="JKF23" s="3741"/>
      <c r="JKG23" s="3741"/>
      <c r="JKH23" s="3741"/>
      <c r="JKI23" s="3741"/>
      <c r="JKJ23" s="3741"/>
      <c r="JKK23" s="3741"/>
      <c r="JKL23" s="3741"/>
      <c r="JKM23" s="3741"/>
      <c r="JKN23" s="3741"/>
      <c r="JKO23" s="3741"/>
      <c r="JKP23" s="3741"/>
      <c r="JKQ23" s="3741"/>
      <c r="JKR23" s="3741"/>
      <c r="JKS23" s="3741"/>
      <c r="JKT23" s="3741"/>
      <c r="JKU23" s="3741"/>
      <c r="JKV23" s="3741"/>
      <c r="JKW23" s="3741"/>
      <c r="JKX23" s="3741"/>
      <c r="JKY23" s="3741"/>
      <c r="JKZ23" s="3741"/>
      <c r="JLA23" s="3741"/>
      <c r="JLB23" s="3741"/>
      <c r="JLC23" s="3741"/>
      <c r="JLD23" s="3741"/>
      <c r="JLE23" s="3741"/>
      <c r="JLF23" s="3741"/>
      <c r="JLG23" s="3741"/>
      <c r="JLH23" s="3741"/>
      <c r="JLI23" s="3741"/>
      <c r="JLJ23" s="3741"/>
      <c r="JLK23" s="3741"/>
      <c r="JLL23" s="3741"/>
      <c r="JLM23" s="3741"/>
      <c r="JLN23" s="3741"/>
      <c r="JLO23" s="3741"/>
      <c r="JLP23" s="3741"/>
      <c r="JLQ23" s="3741"/>
      <c r="JLR23" s="3741"/>
      <c r="JLS23" s="3741"/>
      <c r="JLT23" s="3741"/>
      <c r="JLU23" s="3741"/>
      <c r="JLV23" s="3741"/>
      <c r="JLW23" s="3741"/>
      <c r="JLX23" s="3741"/>
      <c r="JLY23" s="3741"/>
      <c r="JLZ23" s="3741"/>
      <c r="JMA23" s="3741"/>
      <c r="JMB23" s="3741"/>
      <c r="JMC23" s="3741"/>
      <c r="JMD23" s="3741"/>
      <c r="JME23" s="3741"/>
      <c r="JMF23" s="3741"/>
      <c r="JMG23" s="3741"/>
      <c r="JMH23" s="3741"/>
      <c r="JMI23" s="3741"/>
      <c r="JMJ23" s="3741"/>
      <c r="JMK23" s="3741"/>
      <c r="JML23" s="3741"/>
      <c r="JMM23" s="3741"/>
      <c r="JMN23" s="3741"/>
      <c r="JMO23" s="3741"/>
      <c r="JMP23" s="3741"/>
      <c r="JMQ23" s="3741"/>
      <c r="JMR23" s="3741"/>
      <c r="JMS23" s="3741"/>
      <c r="JMT23" s="3741"/>
      <c r="JMU23" s="3741"/>
      <c r="JMV23" s="3741"/>
      <c r="JMW23" s="3741"/>
      <c r="JMX23" s="3741"/>
      <c r="JMY23" s="3741"/>
      <c r="JMZ23" s="3741"/>
      <c r="JNA23" s="3741"/>
      <c r="JNB23" s="3741"/>
      <c r="JNC23" s="3741"/>
      <c r="JND23" s="3741"/>
      <c r="JNE23" s="3741"/>
      <c r="JNF23" s="3741"/>
      <c r="JNG23" s="3741"/>
      <c r="JNH23" s="3741"/>
      <c r="JNI23" s="3741"/>
      <c r="JNJ23" s="3741"/>
      <c r="JNK23" s="3741"/>
      <c r="JNL23" s="3741"/>
      <c r="JNM23" s="3741"/>
      <c r="JNN23" s="3741"/>
      <c r="JNO23" s="3741"/>
      <c r="JNP23" s="3741"/>
      <c r="JNQ23" s="3741"/>
      <c r="JNR23" s="3741"/>
      <c r="JNS23" s="3741"/>
      <c r="JNT23" s="3741"/>
      <c r="JNU23" s="3741"/>
      <c r="JNV23" s="3741"/>
      <c r="JNW23" s="3741"/>
      <c r="JNX23" s="3741"/>
      <c r="JNY23" s="3741"/>
      <c r="JNZ23" s="3741"/>
      <c r="JOA23" s="3741"/>
      <c r="JOB23" s="3741"/>
      <c r="JOC23" s="3741"/>
      <c r="JOD23" s="3741"/>
      <c r="JOE23" s="3741"/>
      <c r="JOF23" s="3741"/>
      <c r="JOG23" s="3741"/>
      <c r="JOH23" s="3741"/>
      <c r="JOI23" s="3741"/>
      <c r="JOJ23" s="3741"/>
      <c r="JOK23" s="3741"/>
      <c r="JOL23" s="3741"/>
      <c r="JOM23" s="3741"/>
      <c r="JON23" s="3741"/>
      <c r="JOO23" s="3741"/>
      <c r="JOP23" s="3741"/>
      <c r="JOQ23" s="3741"/>
      <c r="JOR23" s="3741"/>
      <c r="JOS23" s="3741"/>
      <c r="JOT23" s="3741"/>
      <c r="JOU23" s="3741"/>
      <c r="JOV23" s="3741"/>
      <c r="JOW23" s="3741"/>
      <c r="JOX23" s="3741"/>
      <c r="JOY23" s="3741"/>
      <c r="JOZ23" s="3741"/>
      <c r="JPA23" s="3741"/>
      <c r="JPB23" s="3741"/>
      <c r="JPC23" s="3741"/>
      <c r="JPD23" s="3741"/>
      <c r="JPE23" s="3741"/>
      <c r="JPF23" s="3741"/>
      <c r="JPG23" s="3741"/>
      <c r="JPH23" s="3741"/>
      <c r="JPI23" s="3741"/>
      <c r="JPJ23" s="3741"/>
      <c r="JPK23" s="3741"/>
      <c r="JPL23" s="3741"/>
      <c r="JPM23" s="3741"/>
      <c r="JPN23" s="3741"/>
      <c r="JPO23" s="3741"/>
      <c r="JPP23" s="3741"/>
      <c r="JPQ23" s="3741"/>
      <c r="JPR23" s="3741"/>
      <c r="JPS23" s="3741"/>
      <c r="JPT23" s="3741"/>
      <c r="JPU23" s="3741"/>
      <c r="JPV23" s="3741"/>
      <c r="JPW23" s="3741"/>
      <c r="JPX23" s="3741"/>
      <c r="JPY23" s="3741"/>
      <c r="JPZ23" s="3741"/>
      <c r="JQA23" s="3741"/>
      <c r="JQB23" s="3741"/>
      <c r="JQC23" s="3741"/>
      <c r="JQD23" s="3741"/>
      <c r="JQE23" s="3741"/>
      <c r="JQF23" s="3741"/>
      <c r="JQG23" s="3741"/>
      <c r="JQH23" s="3741"/>
      <c r="JQI23" s="3741"/>
      <c r="JQJ23" s="3741"/>
      <c r="JQK23" s="3741"/>
      <c r="JQL23" s="3741"/>
      <c r="JQM23" s="3741"/>
      <c r="JQN23" s="3741"/>
      <c r="JQO23" s="3741"/>
      <c r="JQP23" s="3741"/>
      <c r="JQQ23" s="3741"/>
      <c r="JQR23" s="3741"/>
      <c r="JQS23" s="3741"/>
      <c r="JQT23" s="3741"/>
      <c r="JQU23" s="3741"/>
      <c r="JQV23" s="3741"/>
      <c r="JQW23" s="3741"/>
      <c r="JQX23" s="3741"/>
      <c r="JQY23" s="3741"/>
      <c r="JQZ23" s="3741"/>
      <c r="JRA23" s="3741"/>
      <c r="JRB23" s="3741"/>
      <c r="JRC23" s="3741"/>
      <c r="JRD23" s="3741"/>
      <c r="JRE23" s="3741"/>
      <c r="JRF23" s="3741"/>
      <c r="JRG23" s="3741"/>
      <c r="JRH23" s="3741"/>
      <c r="JRI23" s="3741"/>
      <c r="JRJ23" s="3741"/>
      <c r="JRK23" s="3741"/>
      <c r="JRL23" s="3741"/>
      <c r="JRM23" s="3741"/>
      <c r="JRN23" s="3741"/>
      <c r="JRO23" s="3741"/>
      <c r="JRP23" s="3741"/>
      <c r="JRQ23" s="3741"/>
      <c r="JRR23" s="3741"/>
      <c r="JRS23" s="3741"/>
      <c r="JRT23" s="3741"/>
      <c r="JRU23" s="3741"/>
      <c r="JRV23" s="3741"/>
      <c r="JRW23" s="3741"/>
      <c r="JRX23" s="3741"/>
      <c r="JRY23" s="3741"/>
      <c r="JRZ23" s="3741"/>
      <c r="JSA23" s="3741"/>
      <c r="JSB23" s="3741"/>
      <c r="JSC23" s="3741"/>
      <c r="JSD23" s="3741"/>
      <c r="JSE23" s="3741"/>
      <c r="JSF23" s="3741"/>
      <c r="JSG23" s="3741"/>
      <c r="JSH23" s="3741"/>
      <c r="JSI23" s="3741"/>
      <c r="JSJ23" s="3741"/>
      <c r="JSK23" s="3741"/>
      <c r="JSL23" s="3741"/>
      <c r="JSM23" s="3741"/>
      <c r="JSN23" s="3741"/>
      <c r="JSO23" s="3741"/>
      <c r="JSP23" s="3741"/>
      <c r="JSQ23" s="3741"/>
      <c r="JSR23" s="3741"/>
      <c r="JSS23" s="3741"/>
      <c r="JST23" s="3741"/>
      <c r="JSU23" s="3741"/>
      <c r="JSV23" s="3741"/>
      <c r="JSW23" s="3741"/>
      <c r="JSX23" s="3741"/>
      <c r="JSY23" s="3741"/>
      <c r="JSZ23" s="3741"/>
      <c r="JTA23" s="3741"/>
      <c r="JTB23" s="3741"/>
      <c r="JTC23" s="3741"/>
      <c r="JTD23" s="3741"/>
      <c r="JTE23" s="3741"/>
      <c r="JTF23" s="3741"/>
      <c r="JTG23" s="3741"/>
      <c r="JTH23" s="3741"/>
      <c r="JTI23" s="3741"/>
      <c r="JTJ23" s="3741"/>
      <c r="JTK23" s="3741"/>
      <c r="JTL23" s="3741"/>
      <c r="JTM23" s="3741"/>
      <c r="JTN23" s="3741"/>
      <c r="JTO23" s="3741"/>
      <c r="JTP23" s="3741"/>
      <c r="JTQ23" s="3741"/>
      <c r="JTR23" s="3741"/>
      <c r="JTS23" s="3741"/>
      <c r="JTT23" s="3741"/>
      <c r="JTU23" s="3741"/>
      <c r="JTV23" s="3741"/>
      <c r="JTW23" s="3741"/>
      <c r="JTX23" s="3741"/>
      <c r="JTY23" s="3741"/>
      <c r="JTZ23" s="3741"/>
      <c r="JUA23" s="3741"/>
      <c r="JUB23" s="3741"/>
      <c r="JUC23" s="3741"/>
      <c r="JUD23" s="3741"/>
      <c r="JUE23" s="3741"/>
      <c r="JUF23" s="3741"/>
      <c r="JUG23" s="3741"/>
      <c r="JUH23" s="3741"/>
      <c r="JUI23" s="3741"/>
      <c r="JUJ23" s="3741"/>
      <c r="JUK23" s="3741"/>
      <c r="JUL23" s="3741"/>
      <c r="JUM23" s="3741"/>
      <c r="JUN23" s="3741"/>
      <c r="JUO23" s="3741"/>
      <c r="JUP23" s="3741"/>
      <c r="JUQ23" s="3741"/>
      <c r="JUR23" s="3741"/>
      <c r="JUS23" s="3741"/>
      <c r="JUT23" s="3741"/>
      <c r="JUU23" s="3741"/>
      <c r="JUV23" s="3741"/>
      <c r="JUW23" s="3741"/>
      <c r="JUX23" s="3741"/>
      <c r="JUY23" s="3741"/>
      <c r="JUZ23" s="3741"/>
      <c r="JVA23" s="3741"/>
      <c r="JVB23" s="3741"/>
      <c r="JVC23" s="3741"/>
      <c r="JVD23" s="3741"/>
      <c r="JVE23" s="3741"/>
      <c r="JVF23" s="3741"/>
      <c r="JVG23" s="3741"/>
      <c r="JVH23" s="3741"/>
      <c r="JVI23" s="3741"/>
      <c r="JVJ23" s="3741"/>
      <c r="JVK23" s="3741"/>
      <c r="JVL23" s="3741"/>
      <c r="JVM23" s="3741"/>
      <c r="JVN23" s="3741"/>
      <c r="JVO23" s="3741"/>
      <c r="JVP23" s="3741"/>
      <c r="JVQ23" s="3741"/>
      <c r="JVR23" s="3741"/>
      <c r="JVS23" s="3741"/>
      <c r="JVT23" s="3741"/>
      <c r="JVU23" s="3741"/>
      <c r="JVV23" s="3741"/>
      <c r="JVW23" s="3741"/>
      <c r="JVX23" s="3741"/>
      <c r="JVY23" s="3741"/>
      <c r="JVZ23" s="3741"/>
      <c r="JWA23" s="3741"/>
      <c r="JWB23" s="3741"/>
      <c r="JWC23" s="3741"/>
      <c r="JWD23" s="3741"/>
      <c r="JWE23" s="3741"/>
      <c r="JWF23" s="3741"/>
      <c r="JWG23" s="3741"/>
      <c r="JWH23" s="3741"/>
      <c r="JWI23" s="3741"/>
      <c r="JWJ23" s="3741"/>
      <c r="JWK23" s="3741"/>
      <c r="JWL23" s="3741"/>
      <c r="JWM23" s="3741"/>
      <c r="JWN23" s="3741"/>
      <c r="JWO23" s="3741"/>
      <c r="JWP23" s="3741"/>
      <c r="JWQ23" s="3741"/>
      <c r="JWR23" s="3741"/>
      <c r="JWS23" s="3741"/>
      <c r="JWT23" s="3741"/>
      <c r="JWU23" s="3741"/>
      <c r="JWV23" s="3741"/>
      <c r="JWW23" s="3741"/>
      <c r="JWX23" s="3741"/>
      <c r="JWY23" s="3741"/>
      <c r="JWZ23" s="3741"/>
      <c r="JXA23" s="3741"/>
      <c r="JXB23" s="3741"/>
      <c r="JXC23" s="3741"/>
      <c r="JXD23" s="3741"/>
      <c r="JXE23" s="3741"/>
      <c r="JXF23" s="3741"/>
      <c r="JXG23" s="3741"/>
      <c r="JXH23" s="3741"/>
      <c r="JXI23" s="3741"/>
      <c r="JXJ23" s="3741"/>
      <c r="JXK23" s="3741"/>
      <c r="JXL23" s="3741"/>
      <c r="JXM23" s="3741"/>
      <c r="JXN23" s="3741"/>
      <c r="JXO23" s="3741"/>
      <c r="JXP23" s="3741"/>
      <c r="JXQ23" s="3741"/>
      <c r="JXR23" s="3741"/>
      <c r="JXS23" s="3741"/>
      <c r="JXT23" s="3741"/>
      <c r="JXU23" s="3741"/>
      <c r="JXV23" s="3741"/>
      <c r="JXW23" s="3741"/>
      <c r="JXX23" s="3741"/>
      <c r="JXY23" s="3741"/>
      <c r="JXZ23" s="3741"/>
      <c r="JYA23" s="3741"/>
      <c r="JYB23" s="3741"/>
      <c r="JYC23" s="3741"/>
      <c r="JYD23" s="3741"/>
      <c r="JYE23" s="3741"/>
      <c r="JYF23" s="3741"/>
      <c r="JYG23" s="3741"/>
      <c r="JYH23" s="3741"/>
      <c r="JYI23" s="3741"/>
      <c r="JYJ23" s="3741"/>
      <c r="JYK23" s="3741"/>
      <c r="JYL23" s="3741"/>
      <c r="JYM23" s="3741"/>
      <c r="JYN23" s="3741"/>
      <c r="JYO23" s="3741"/>
      <c r="JYP23" s="3741"/>
      <c r="JYQ23" s="3741"/>
      <c r="JYR23" s="3741"/>
      <c r="JYS23" s="3741"/>
      <c r="JYT23" s="3741"/>
      <c r="JYU23" s="3741"/>
      <c r="JYV23" s="3741"/>
      <c r="JYW23" s="3741"/>
      <c r="JYX23" s="3741"/>
      <c r="JYY23" s="3741"/>
      <c r="JYZ23" s="3741"/>
      <c r="JZA23" s="3741"/>
      <c r="JZB23" s="3741"/>
      <c r="JZC23" s="3741"/>
      <c r="JZD23" s="3741"/>
      <c r="JZE23" s="3741"/>
      <c r="JZF23" s="3741"/>
      <c r="JZG23" s="3741"/>
      <c r="JZH23" s="3741"/>
      <c r="JZI23" s="3741"/>
      <c r="JZJ23" s="3741"/>
      <c r="JZK23" s="3741"/>
      <c r="JZL23" s="3741"/>
      <c r="JZM23" s="3741"/>
      <c r="JZN23" s="3741"/>
      <c r="JZO23" s="3741"/>
      <c r="JZP23" s="3741"/>
      <c r="JZQ23" s="3741"/>
      <c r="JZR23" s="3741"/>
      <c r="JZS23" s="3741"/>
      <c r="JZT23" s="3741"/>
      <c r="JZU23" s="3741"/>
      <c r="JZV23" s="3741"/>
      <c r="JZW23" s="3741"/>
      <c r="JZX23" s="3741"/>
      <c r="JZY23" s="3741"/>
      <c r="JZZ23" s="3741"/>
      <c r="KAA23" s="3741"/>
      <c r="KAB23" s="3741"/>
      <c r="KAC23" s="3741"/>
      <c r="KAD23" s="3741"/>
      <c r="KAE23" s="3741"/>
      <c r="KAF23" s="3741"/>
      <c r="KAG23" s="3741"/>
      <c r="KAH23" s="3741"/>
      <c r="KAI23" s="3741"/>
      <c r="KAJ23" s="3741"/>
      <c r="KAK23" s="3741"/>
      <c r="KAL23" s="3741"/>
      <c r="KAM23" s="3741"/>
      <c r="KAN23" s="3741"/>
      <c r="KAO23" s="3741"/>
      <c r="KAP23" s="3741"/>
      <c r="KAQ23" s="3741"/>
      <c r="KAR23" s="3741"/>
      <c r="KAS23" s="3741"/>
      <c r="KAT23" s="3741"/>
      <c r="KAU23" s="3741"/>
      <c r="KAV23" s="3741"/>
      <c r="KAW23" s="3741"/>
      <c r="KAX23" s="3741"/>
      <c r="KAY23" s="3741"/>
      <c r="KAZ23" s="3741"/>
      <c r="KBA23" s="3741"/>
      <c r="KBB23" s="3741"/>
      <c r="KBC23" s="3741"/>
      <c r="KBD23" s="3741"/>
      <c r="KBE23" s="3741"/>
      <c r="KBF23" s="3741"/>
      <c r="KBG23" s="3741"/>
      <c r="KBH23" s="3741"/>
      <c r="KBI23" s="3741"/>
      <c r="KBJ23" s="3741"/>
      <c r="KBK23" s="3741"/>
      <c r="KBL23" s="3741"/>
      <c r="KBM23" s="3741"/>
      <c r="KBN23" s="3741"/>
      <c r="KBO23" s="3741"/>
      <c r="KBP23" s="3741"/>
      <c r="KBQ23" s="3741"/>
      <c r="KBR23" s="3741"/>
      <c r="KBS23" s="3741"/>
      <c r="KBT23" s="3741"/>
      <c r="KBU23" s="3741"/>
      <c r="KBV23" s="3741"/>
      <c r="KBW23" s="3741"/>
      <c r="KBX23" s="3741"/>
      <c r="KBY23" s="3741"/>
      <c r="KBZ23" s="3741"/>
      <c r="KCA23" s="3741"/>
      <c r="KCB23" s="3741"/>
      <c r="KCC23" s="3741"/>
      <c r="KCD23" s="3741"/>
      <c r="KCE23" s="3741"/>
      <c r="KCF23" s="3741"/>
      <c r="KCG23" s="3741"/>
      <c r="KCH23" s="3741"/>
      <c r="KCI23" s="3741"/>
      <c r="KCJ23" s="3741"/>
      <c r="KCK23" s="3741"/>
      <c r="KCL23" s="3741"/>
      <c r="KCM23" s="3741"/>
      <c r="KCN23" s="3741"/>
      <c r="KCO23" s="3741"/>
      <c r="KCP23" s="3741"/>
      <c r="KCQ23" s="3741"/>
      <c r="KCR23" s="3741"/>
      <c r="KCS23" s="3741"/>
      <c r="KCT23" s="3741"/>
      <c r="KCU23" s="3741"/>
      <c r="KCV23" s="3741"/>
      <c r="KCW23" s="3741"/>
      <c r="KCX23" s="3741"/>
      <c r="KCY23" s="3741"/>
      <c r="KCZ23" s="3741"/>
      <c r="KDA23" s="3741"/>
      <c r="KDB23" s="3741"/>
      <c r="KDC23" s="3741"/>
      <c r="KDD23" s="3741"/>
      <c r="KDE23" s="3741"/>
      <c r="KDF23" s="3741"/>
      <c r="KDG23" s="3741"/>
      <c r="KDH23" s="3741"/>
      <c r="KDI23" s="3741"/>
      <c r="KDJ23" s="3741"/>
      <c r="KDK23" s="3741"/>
      <c r="KDL23" s="3741"/>
      <c r="KDM23" s="3741"/>
      <c r="KDN23" s="3741"/>
      <c r="KDO23" s="3741"/>
      <c r="KDP23" s="3741"/>
      <c r="KDQ23" s="3741"/>
      <c r="KDR23" s="3741"/>
      <c r="KDS23" s="3741"/>
      <c r="KDT23" s="3741"/>
      <c r="KDU23" s="3741"/>
      <c r="KDV23" s="3741"/>
      <c r="KDW23" s="3741"/>
      <c r="KDX23" s="3741"/>
      <c r="KDY23" s="3741"/>
      <c r="KDZ23" s="3741"/>
      <c r="KEA23" s="3741"/>
      <c r="KEB23" s="3741"/>
      <c r="KEC23" s="3741"/>
      <c r="KED23" s="3741"/>
      <c r="KEE23" s="3741"/>
      <c r="KEF23" s="3741"/>
      <c r="KEG23" s="3741"/>
      <c r="KEH23" s="3741"/>
      <c r="KEI23" s="3741"/>
      <c r="KEJ23" s="3741"/>
      <c r="KEK23" s="3741"/>
      <c r="KEL23" s="3741"/>
      <c r="KEM23" s="3741"/>
      <c r="KEN23" s="3741"/>
      <c r="KEO23" s="3741"/>
      <c r="KEP23" s="3741"/>
      <c r="KEQ23" s="3741"/>
      <c r="KER23" s="3741"/>
      <c r="KES23" s="3741"/>
      <c r="KET23" s="3741"/>
      <c r="KEU23" s="3741"/>
      <c r="KEV23" s="3741"/>
      <c r="KEW23" s="3741"/>
      <c r="KEX23" s="3741"/>
      <c r="KEY23" s="3741"/>
      <c r="KEZ23" s="3741"/>
      <c r="KFA23" s="3741"/>
      <c r="KFB23" s="3741"/>
      <c r="KFC23" s="3741"/>
      <c r="KFD23" s="3741"/>
      <c r="KFE23" s="3741"/>
      <c r="KFF23" s="3741"/>
      <c r="KFG23" s="3741"/>
      <c r="KFH23" s="3741"/>
      <c r="KFI23" s="3741"/>
      <c r="KFJ23" s="3741"/>
      <c r="KFK23" s="3741"/>
      <c r="KFL23" s="3741"/>
      <c r="KFM23" s="3741"/>
      <c r="KFN23" s="3741"/>
      <c r="KFO23" s="3741"/>
      <c r="KFP23" s="3741"/>
      <c r="KFQ23" s="3741"/>
      <c r="KFR23" s="3741"/>
      <c r="KFS23" s="3741"/>
      <c r="KFT23" s="3741"/>
      <c r="KFU23" s="3741"/>
      <c r="KFV23" s="3741"/>
      <c r="KFW23" s="3741"/>
      <c r="KFX23" s="3741"/>
      <c r="KFY23" s="3741"/>
      <c r="KFZ23" s="3741"/>
      <c r="KGA23" s="3741"/>
      <c r="KGB23" s="3741"/>
      <c r="KGC23" s="3741"/>
      <c r="KGD23" s="3741"/>
      <c r="KGE23" s="3741"/>
      <c r="KGF23" s="3741"/>
      <c r="KGG23" s="3741"/>
      <c r="KGH23" s="3741"/>
      <c r="KGI23" s="3741"/>
      <c r="KGJ23" s="3741"/>
      <c r="KGK23" s="3741"/>
      <c r="KGL23" s="3741"/>
      <c r="KGM23" s="3741"/>
      <c r="KGN23" s="3741"/>
      <c r="KGO23" s="3741"/>
      <c r="KGP23" s="3741"/>
      <c r="KGQ23" s="3741"/>
      <c r="KGR23" s="3741"/>
      <c r="KGS23" s="3741"/>
      <c r="KGT23" s="3741"/>
      <c r="KGU23" s="3741"/>
      <c r="KGV23" s="3741"/>
      <c r="KGW23" s="3741"/>
      <c r="KGX23" s="3741"/>
      <c r="KGY23" s="3741"/>
      <c r="KGZ23" s="3741"/>
      <c r="KHA23" s="3741"/>
      <c r="KHB23" s="3741"/>
      <c r="KHC23" s="3741"/>
      <c r="KHD23" s="3741"/>
      <c r="KHE23" s="3741"/>
      <c r="KHF23" s="3741"/>
      <c r="KHG23" s="3741"/>
      <c r="KHH23" s="3741"/>
      <c r="KHI23" s="3741"/>
      <c r="KHJ23" s="3741"/>
      <c r="KHK23" s="3741"/>
      <c r="KHL23" s="3741"/>
      <c r="KHM23" s="3741"/>
      <c r="KHN23" s="3741"/>
      <c r="KHO23" s="3741"/>
      <c r="KHP23" s="3741"/>
      <c r="KHQ23" s="3741"/>
      <c r="KHR23" s="3741"/>
      <c r="KHS23" s="3741"/>
      <c r="KHT23" s="3741"/>
      <c r="KHU23" s="3741"/>
      <c r="KHV23" s="3741"/>
      <c r="KHW23" s="3741"/>
      <c r="KHX23" s="3741"/>
      <c r="KHY23" s="3741"/>
      <c r="KHZ23" s="3741"/>
      <c r="KIA23" s="3741"/>
      <c r="KIB23" s="3741"/>
      <c r="KIC23" s="3741"/>
      <c r="KID23" s="3741"/>
      <c r="KIE23" s="3741"/>
      <c r="KIF23" s="3741"/>
      <c r="KIG23" s="3741"/>
      <c r="KIH23" s="3741"/>
      <c r="KII23" s="3741"/>
      <c r="KIJ23" s="3741"/>
      <c r="KIK23" s="3741"/>
      <c r="KIL23" s="3741"/>
      <c r="KIM23" s="3741"/>
      <c r="KIN23" s="3741"/>
      <c r="KIO23" s="3741"/>
      <c r="KIP23" s="3741"/>
      <c r="KIQ23" s="3741"/>
      <c r="KIR23" s="3741"/>
      <c r="KIS23" s="3741"/>
      <c r="KIT23" s="3741"/>
      <c r="KIU23" s="3741"/>
      <c r="KIV23" s="3741"/>
      <c r="KIW23" s="3741"/>
      <c r="KIX23" s="3741"/>
      <c r="KIY23" s="3741"/>
      <c r="KIZ23" s="3741"/>
      <c r="KJA23" s="3741"/>
      <c r="KJB23" s="3741"/>
      <c r="KJC23" s="3741"/>
      <c r="KJD23" s="3741"/>
      <c r="KJE23" s="3741"/>
      <c r="KJF23" s="3741"/>
      <c r="KJG23" s="3741"/>
      <c r="KJH23" s="3741"/>
      <c r="KJI23" s="3741"/>
      <c r="KJJ23" s="3741"/>
      <c r="KJK23" s="3741"/>
      <c r="KJL23" s="3741"/>
      <c r="KJM23" s="3741"/>
      <c r="KJN23" s="3741"/>
      <c r="KJO23" s="3741"/>
      <c r="KJP23" s="3741"/>
      <c r="KJQ23" s="3741"/>
      <c r="KJR23" s="3741"/>
      <c r="KJS23" s="3741"/>
      <c r="KJT23" s="3741"/>
      <c r="KJU23" s="3741"/>
      <c r="KJV23" s="3741"/>
      <c r="KJW23" s="3741"/>
      <c r="KJX23" s="3741"/>
      <c r="KJY23" s="3741"/>
      <c r="KJZ23" s="3741"/>
      <c r="KKA23" s="3741"/>
      <c r="KKB23" s="3741"/>
      <c r="KKC23" s="3741"/>
      <c r="KKD23" s="3741"/>
      <c r="KKE23" s="3741"/>
      <c r="KKF23" s="3741"/>
      <c r="KKG23" s="3741"/>
      <c r="KKH23" s="3741"/>
      <c r="KKI23" s="3741"/>
      <c r="KKJ23" s="3741"/>
      <c r="KKK23" s="3741"/>
      <c r="KKL23" s="3741"/>
      <c r="KKM23" s="3741"/>
      <c r="KKN23" s="3741"/>
      <c r="KKO23" s="3741"/>
      <c r="KKP23" s="3741"/>
      <c r="KKQ23" s="3741"/>
      <c r="KKR23" s="3741"/>
      <c r="KKS23" s="3741"/>
      <c r="KKT23" s="3741"/>
      <c r="KKU23" s="3741"/>
      <c r="KKV23" s="3741"/>
      <c r="KKW23" s="3741"/>
      <c r="KKX23" s="3741"/>
      <c r="KKY23" s="3741"/>
      <c r="KKZ23" s="3741"/>
      <c r="KLA23" s="3741"/>
      <c r="KLB23" s="3741"/>
      <c r="KLC23" s="3741"/>
      <c r="KLD23" s="3741"/>
      <c r="KLE23" s="3741"/>
      <c r="KLF23" s="3741"/>
      <c r="KLG23" s="3741"/>
      <c r="KLH23" s="3741"/>
      <c r="KLI23" s="3741"/>
      <c r="KLJ23" s="3741"/>
      <c r="KLK23" s="3741"/>
      <c r="KLL23" s="3741"/>
      <c r="KLM23" s="3741"/>
      <c r="KLN23" s="3741"/>
      <c r="KLO23" s="3741"/>
      <c r="KLP23" s="3741"/>
      <c r="KLQ23" s="3741"/>
      <c r="KLR23" s="3741"/>
      <c r="KLS23" s="3741"/>
      <c r="KLT23" s="3741"/>
      <c r="KLU23" s="3741"/>
      <c r="KLV23" s="3741"/>
      <c r="KLW23" s="3741"/>
      <c r="KLX23" s="3741"/>
      <c r="KLY23" s="3741"/>
      <c r="KLZ23" s="3741"/>
      <c r="KMA23" s="3741"/>
      <c r="KMB23" s="3741"/>
      <c r="KMC23" s="3741"/>
      <c r="KMD23" s="3741"/>
      <c r="KME23" s="3741"/>
      <c r="KMF23" s="3741"/>
      <c r="KMG23" s="3741"/>
      <c r="KMH23" s="3741"/>
      <c r="KMI23" s="3741"/>
      <c r="KMJ23" s="3741"/>
      <c r="KMK23" s="3741"/>
      <c r="KML23" s="3741"/>
      <c r="KMM23" s="3741"/>
      <c r="KMN23" s="3741"/>
      <c r="KMO23" s="3741"/>
      <c r="KMP23" s="3741"/>
      <c r="KMQ23" s="3741"/>
      <c r="KMR23" s="3741"/>
      <c r="KMS23" s="3741"/>
      <c r="KMT23" s="3741"/>
      <c r="KMU23" s="3741"/>
      <c r="KMV23" s="3741"/>
      <c r="KMW23" s="3741"/>
      <c r="KMX23" s="3741"/>
      <c r="KMY23" s="3741"/>
      <c r="KMZ23" s="3741"/>
      <c r="KNA23" s="3741"/>
      <c r="KNB23" s="3741"/>
      <c r="KNC23" s="3741"/>
      <c r="KND23" s="3741"/>
      <c r="KNE23" s="3741"/>
      <c r="KNF23" s="3741"/>
      <c r="KNG23" s="3741"/>
      <c r="KNH23" s="3741"/>
      <c r="KNI23" s="3741"/>
      <c r="KNJ23" s="3741"/>
      <c r="KNK23" s="3741"/>
      <c r="KNL23" s="3741"/>
      <c r="KNM23" s="3741"/>
      <c r="KNN23" s="3741"/>
      <c r="KNO23" s="3741"/>
      <c r="KNP23" s="3741"/>
      <c r="KNQ23" s="3741"/>
      <c r="KNR23" s="3741"/>
      <c r="KNS23" s="3741"/>
      <c r="KNT23" s="3741"/>
      <c r="KNU23" s="3741"/>
      <c r="KNV23" s="3741"/>
      <c r="KNW23" s="3741"/>
      <c r="KNX23" s="3741"/>
      <c r="KNY23" s="3741"/>
      <c r="KNZ23" s="3741"/>
      <c r="KOA23" s="3741"/>
      <c r="KOB23" s="3741"/>
      <c r="KOC23" s="3741"/>
      <c r="KOD23" s="3741"/>
      <c r="KOE23" s="3741"/>
      <c r="KOF23" s="3741"/>
      <c r="KOG23" s="3741"/>
      <c r="KOH23" s="3741"/>
      <c r="KOI23" s="3741"/>
      <c r="KOJ23" s="3741"/>
      <c r="KOK23" s="3741"/>
      <c r="KOL23" s="3741"/>
      <c r="KOM23" s="3741"/>
      <c r="KON23" s="3741"/>
      <c r="KOO23" s="3741"/>
      <c r="KOP23" s="3741"/>
      <c r="KOQ23" s="3741"/>
      <c r="KOR23" s="3741"/>
      <c r="KOS23" s="3741"/>
      <c r="KOT23" s="3741"/>
      <c r="KOU23" s="3741"/>
      <c r="KOV23" s="3741"/>
      <c r="KOW23" s="3741"/>
      <c r="KOX23" s="3741"/>
      <c r="KOY23" s="3741"/>
      <c r="KOZ23" s="3741"/>
      <c r="KPA23" s="3741"/>
      <c r="KPB23" s="3741"/>
      <c r="KPC23" s="3741"/>
      <c r="KPD23" s="3741"/>
      <c r="KPE23" s="3741"/>
      <c r="KPF23" s="3741"/>
      <c r="KPG23" s="3741"/>
      <c r="KPH23" s="3741"/>
      <c r="KPI23" s="3741"/>
      <c r="KPJ23" s="3741"/>
      <c r="KPK23" s="3741"/>
      <c r="KPL23" s="3741"/>
      <c r="KPM23" s="3741"/>
      <c r="KPN23" s="3741"/>
      <c r="KPO23" s="3741"/>
      <c r="KPP23" s="3741"/>
      <c r="KPQ23" s="3741"/>
      <c r="KPR23" s="3741"/>
      <c r="KPS23" s="3741"/>
      <c r="KPT23" s="3741"/>
      <c r="KPU23" s="3741"/>
      <c r="KPV23" s="3741"/>
      <c r="KPW23" s="3741"/>
      <c r="KPX23" s="3741"/>
      <c r="KPY23" s="3741"/>
      <c r="KPZ23" s="3741"/>
      <c r="KQA23" s="3741"/>
      <c r="KQB23" s="3741"/>
      <c r="KQC23" s="3741"/>
      <c r="KQD23" s="3741"/>
      <c r="KQE23" s="3741"/>
      <c r="KQF23" s="3741"/>
      <c r="KQG23" s="3741"/>
      <c r="KQH23" s="3741"/>
      <c r="KQI23" s="3741"/>
      <c r="KQJ23" s="3741"/>
      <c r="KQK23" s="3741"/>
      <c r="KQL23" s="3741"/>
      <c r="KQM23" s="3741"/>
      <c r="KQN23" s="3741"/>
      <c r="KQO23" s="3741"/>
      <c r="KQP23" s="3741"/>
      <c r="KQQ23" s="3741"/>
      <c r="KQR23" s="3741"/>
      <c r="KQS23" s="3741"/>
      <c r="KQT23" s="3741"/>
      <c r="KQU23" s="3741"/>
      <c r="KQV23" s="3741"/>
      <c r="KQW23" s="3741"/>
      <c r="KQX23" s="3741"/>
      <c r="KQY23" s="3741"/>
      <c r="KQZ23" s="3741"/>
      <c r="KRA23" s="3741"/>
      <c r="KRB23" s="3741"/>
      <c r="KRC23" s="3741"/>
      <c r="KRD23" s="3741"/>
      <c r="KRE23" s="3741"/>
      <c r="KRF23" s="3741"/>
      <c r="KRG23" s="3741"/>
      <c r="KRH23" s="3741"/>
      <c r="KRI23" s="3741"/>
      <c r="KRJ23" s="3741"/>
      <c r="KRK23" s="3741"/>
      <c r="KRL23" s="3741"/>
      <c r="KRM23" s="3741"/>
      <c r="KRN23" s="3741"/>
      <c r="KRO23" s="3741"/>
      <c r="KRP23" s="3741"/>
      <c r="KRQ23" s="3741"/>
      <c r="KRR23" s="3741"/>
      <c r="KRS23" s="3741"/>
      <c r="KRT23" s="3741"/>
      <c r="KRU23" s="3741"/>
      <c r="KRV23" s="3741"/>
      <c r="KRW23" s="3741"/>
      <c r="KRX23" s="3741"/>
      <c r="KRY23" s="3741"/>
      <c r="KRZ23" s="3741"/>
      <c r="KSA23" s="3741"/>
      <c r="KSB23" s="3741"/>
      <c r="KSC23" s="3741"/>
      <c r="KSD23" s="3741"/>
      <c r="KSE23" s="3741"/>
      <c r="KSF23" s="3741"/>
      <c r="KSG23" s="3741"/>
      <c r="KSH23" s="3741"/>
      <c r="KSI23" s="3741"/>
      <c r="KSJ23" s="3741"/>
      <c r="KSK23" s="3741"/>
      <c r="KSL23" s="3741"/>
      <c r="KSM23" s="3741"/>
      <c r="KSN23" s="3741"/>
      <c r="KSO23" s="3741"/>
      <c r="KSP23" s="3741"/>
      <c r="KSQ23" s="3741"/>
      <c r="KSR23" s="3741"/>
      <c r="KSS23" s="3741"/>
      <c r="KST23" s="3741"/>
      <c r="KSU23" s="3741"/>
      <c r="KSV23" s="3741"/>
      <c r="KSW23" s="3741"/>
      <c r="KSX23" s="3741"/>
      <c r="KSY23" s="3741"/>
      <c r="KSZ23" s="3741"/>
      <c r="KTA23" s="3741"/>
      <c r="KTB23" s="3741"/>
      <c r="KTC23" s="3741"/>
      <c r="KTD23" s="3741"/>
      <c r="KTE23" s="3741"/>
      <c r="KTF23" s="3741"/>
      <c r="KTG23" s="3741"/>
      <c r="KTH23" s="3741"/>
      <c r="KTI23" s="3741"/>
      <c r="KTJ23" s="3741"/>
      <c r="KTK23" s="3741"/>
      <c r="KTL23" s="3741"/>
      <c r="KTM23" s="3741"/>
      <c r="KTN23" s="3741"/>
      <c r="KTO23" s="3741"/>
      <c r="KTP23" s="3741"/>
      <c r="KTQ23" s="3741"/>
      <c r="KTR23" s="3741"/>
      <c r="KTS23" s="3741"/>
      <c r="KTT23" s="3741"/>
      <c r="KTU23" s="3741"/>
      <c r="KTV23" s="3741"/>
      <c r="KTW23" s="3741"/>
      <c r="KTX23" s="3741"/>
      <c r="KTY23" s="3741"/>
      <c r="KTZ23" s="3741"/>
      <c r="KUA23" s="3741"/>
      <c r="KUB23" s="3741"/>
      <c r="KUC23" s="3741"/>
      <c r="KUD23" s="3741"/>
      <c r="KUE23" s="3741"/>
      <c r="KUF23" s="3741"/>
      <c r="KUG23" s="3741"/>
      <c r="KUH23" s="3741"/>
      <c r="KUI23" s="3741"/>
      <c r="KUJ23" s="3741"/>
      <c r="KUK23" s="3741"/>
      <c r="KUL23" s="3741"/>
      <c r="KUM23" s="3741"/>
      <c r="KUN23" s="3741"/>
      <c r="KUO23" s="3741"/>
      <c r="KUP23" s="3741"/>
      <c r="KUQ23" s="3741"/>
      <c r="KUR23" s="3741"/>
      <c r="KUS23" s="3741"/>
      <c r="KUT23" s="3741"/>
      <c r="KUU23" s="3741"/>
      <c r="KUV23" s="3741"/>
      <c r="KUW23" s="3741"/>
      <c r="KUX23" s="3741"/>
      <c r="KUY23" s="3741"/>
      <c r="KUZ23" s="3741"/>
      <c r="KVA23" s="3741"/>
      <c r="KVB23" s="3741"/>
      <c r="KVC23" s="3741"/>
      <c r="KVD23" s="3741"/>
      <c r="KVE23" s="3741"/>
      <c r="KVF23" s="3741"/>
      <c r="KVG23" s="3741"/>
      <c r="KVH23" s="3741"/>
      <c r="KVI23" s="3741"/>
      <c r="KVJ23" s="3741"/>
      <c r="KVK23" s="3741"/>
      <c r="KVL23" s="3741"/>
      <c r="KVM23" s="3741"/>
      <c r="KVN23" s="3741"/>
      <c r="KVO23" s="3741"/>
      <c r="KVP23" s="3741"/>
      <c r="KVQ23" s="3741"/>
      <c r="KVR23" s="3741"/>
      <c r="KVS23" s="3741"/>
      <c r="KVT23" s="3741"/>
      <c r="KVU23" s="3741"/>
      <c r="KVV23" s="3741"/>
      <c r="KVW23" s="3741"/>
      <c r="KVX23" s="3741"/>
      <c r="KVY23" s="3741"/>
      <c r="KVZ23" s="3741"/>
      <c r="KWA23" s="3741"/>
      <c r="KWB23" s="3741"/>
      <c r="KWC23" s="3741"/>
      <c r="KWD23" s="3741"/>
      <c r="KWE23" s="3741"/>
      <c r="KWF23" s="3741"/>
      <c r="KWG23" s="3741"/>
      <c r="KWH23" s="3741"/>
      <c r="KWI23" s="3741"/>
      <c r="KWJ23" s="3741"/>
      <c r="KWK23" s="3741"/>
      <c r="KWL23" s="3741"/>
      <c r="KWM23" s="3741"/>
      <c r="KWN23" s="3741"/>
      <c r="KWO23" s="3741"/>
      <c r="KWP23" s="3741"/>
      <c r="KWQ23" s="3741"/>
      <c r="KWR23" s="3741"/>
      <c r="KWS23" s="3741"/>
      <c r="KWT23" s="3741"/>
      <c r="KWU23" s="3741"/>
      <c r="KWV23" s="3741"/>
      <c r="KWW23" s="3741"/>
      <c r="KWX23" s="3741"/>
      <c r="KWY23" s="3741"/>
      <c r="KWZ23" s="3741"/>
      <c r="KXA23" s="3741"/>
      <c r="KXB23" s="3741"/>
      <c r="KXC23" s="3741"/>
      <c r="KXD23" s="3741"/>
      <c r="KXE23" s="3741"/>
      <c r="KXF23" s="3741"/>
      <c r="KXG23" s="3741"/>
      <c r="KXH23" s="3741"/>
      <c r="KXI23" s="3741"/>
      <c r="KXJ23" s="3741"/>
      <c r="KXK23" s="3741"/>
      <c r="KXL23" s="3741"/>
      <c r="KXM23" s="3741"/>
      <c r="KXN23" s="3741"/>
      <c r="KXO23" s="3741"/>
      <c r="KXP23" s="3741"/>
      <c r="KXQ23" s="3741"/>
      <c r="KXR23" s="3741"/>
      <c r="KXS23" s="3741"/>
      <c r="KXT23" s="3741"/>
      <c r="KXU23" s="3741"/>
      <c r="KXV23" s="3741"/>
      <c r="KXW23" s="3741"/>
      <c r="KXX23" s="3741"/>
      <c r="KXY23" s="3741"/>
      <c r="KXZ23" s="3741"/>
      <c r="KYA23" s="3741"/>
      <c r="KYB23" s="3741"/>
      <c r="KYC23" s="3741"/>
      <c r="KYD23" s="3741"/>
      <c r="KYE23" s="3741"/>
      <c r="KYF23" s="3741"/>
      <c r="KYG23" s="3741"/>
      <c r="KYH23" s="3741"/>
      <c r="KYI23" s="3741"/>
      <c r="KYJ23" s="3741"/>
      <c r="KYK23" s="3741"/>
      <c r="KYL23" s="3741"/>
      <c r="KYM23" s="3741"/>
      <c r="KYN23" s="3741"/>
      <c r="KYO23" s="3741"/>
      <c r="KYP23" s="3741"/>
      <c r="KYQ23" s="3741"/>
      <c r="KYR23" s="3741"/>
      <c r="KYS23" s="3741"/>
      <c r="KYT23" s="3741"/>
      <c r="KYU23" s="3741"/>
      <c r="KYV23" s="3741"/>
      <c r="KYW23" s="3741"/>
      <c r="KYX23" s="3741"/>
      <c r="KYY23" s="3741"/>
      <c r="KYZ23" s="3741"/>
      <c r="KZA23" s="3741"/>
      <c r="KZB23" s="3741"/>
      <c r="KZC23" s="3741"/>
      <c r="KZD23" s="3741"/>
      <c r="KZE23" s="3741"/>
      <c r="KZF23" s="3741"/>
      <c r="KZG23" s="3741"/>
      <c r="KZH23" s="3741"/>
      <c r="KZI23" s="3741"/>
      <c r="KZJ23" s="3741"/>
      <c r="KZK23" s="3741"/>
      <c r="KZL23" s="3741"/>
      <c r="KZM23" s="3741"/>
      <c r="KZN23" s="3741"/>
      <c r="KZO23" s="3741"/>
      <c r="KZP23" s="3741"/>
      <c r="KZQ23" s="3741"/>
      <c r="KZR23" s="3741"/>
      <c r="KZS23" s="3741"/>
      <c r="KZT23" s="3741"/>
      <c r="KZU23" s="3741"/>
      <c r="KZV23" s="3741"/>
      <c r="KZW23" s="3741"/>
      <c r="KZX23" s="3741"/>
      <c r="KZY23" s="3741"/>
      <c r="KZZ23" s="3741"/>
      <c r="LAA23" s="3741"/>
      <c r="LAB23" s="3741"/>
      <c r="LAC23" s="3741"/>
      <c r="LAD23" s="3741"/>
      <c r="LAE23" s="3741"/>
      <c r="LAF23" s="3741"/>
      <c r="LAG23" s="3741"/>
      <c r="LAH23" s="3741"/>
      <c r="LAI23" s="3741"/>
      <c r="LAJ23" s="3741"/>
      <c r="LAK23" s="3741"/>
      <c r="LAL23" s="3741"/>
      <c r="LAM23" s="3741"/>
      <c r="LAN23" s="3741"/>
      <c r="LAO23" s="3741"/>
      <c r="LAP23" s="3741"/>
      <c r="LAQ23" s="3741"/>
      <c r="LAR23" s="3741"/>
      <c r="LAS23" s="3741"/>
      <c r="LAT23" s="3741"/>
      <c r="LAU23" s="3741"/>
      <c r="LAV23" s="3741"/>
      <c r="LAW23" s="3741"/>
      <c r="LAX23" s="3741"/>
      <c r="LAY23" s="3741"/>
      <c r="LAZ23" s="3741"/>
      <c r="LBA23" s="3741"/>
      <c r="LBB23" s="3741"/>
      <c r="LBC23" s="3741"/>
      <c r="LBD23" s="3741"/>
      <c r="LBE23" s="3741"/>
      <c r="LBF23" s="3741"/>
      <c r="LBG23" s="3741"/>
      <c r="LBH23" s="3741"/>
      <c r="LBI23" s="3741"/>
      <c r="LBJ23" s="3741"/>
      <c r="LBK23" s="3741"/>
      <c r="LBL23" s="3741"/>
      <c r="LBM23" s="3741"/>
      <c r="LBN23" s="3741"/>
      <c r="LBO23" s="3741"/>
      <c r="LBP23" s="3741"/>
      <c r="LBQ23" s="3741"/>
      <c r="LBR23" s="3741"/>
      <c r="LBS23" s="3741"/>
      <c r="LBT23" s="3741"/>
      <c r="LBU23" s="3741"/>
      <c r="LBV23" s="3741"/>
      <c r="LBW23" s="3741"/>
      <c r="LBX23" s="3741"/>
      <c r="LBY23" s="3741"/>
      <c r="LBZ23" s="3741"/>
      <c r="LCA23" s="3741"/>
      <c r="LCB23" s="3741"/>
      <c r="LCC23" s="3741"/>
      <c r="LCD23" s="3741"/>
      <c r="LCE23" s="3741"/>
      <c r="LCF23" s="3741"/>
      <c r="LCG23" s="3741"/>
      <c r="LCH23" s="3741"/>
      <c r="LCI23" s="3741"/>
      <c r="LCJ23" s="3741"/>
      <c r="LCK23" s="3741"/>
      <c r="LCL23" s="3741"/>
      <c r="LCM23" s="3741"/>
      <c r="LCN23" s="3741"/>
      <c r="LCO23" s="3741"/>
      <c r="LCP23" s="3741"/>
      <c r="LCQ23" s="3741"/>
      <c r="LCR23" s="3741"/>
      <c r="LCS23" s="3741"/>
      <c r="LCT23" s="3741"/>
      <c r="LCU23" s="3741"/>
      <c r="LCV23" s="3741"/>
      <c r="LCW23" s="3741"/>
      <c r="LCX23" s="3741"/>
      <c r="LCY23" s="3741"/>
      <c r="LCZ23" s="3741"/>
      <c r="LDA23" s="3741"/>
      <c r="LDB23" s="3741"/>
      <c r="LDC23" s="3741"/>
      <c r="LDD23" s="3741"/>
      <c r="LDE23" s="3741"/>
      <c r="LDF23" s="3741"/>
      <c r="LDG23" s="3741"/>
      <c r="LDH23" s="3741"/>
      <c r="LDI23" s="3741"/>
      <c r="LDJ23" s="3741"/>
      <c r="LDK23" s="3741"/>
      <c r="LDL23" s="3741"/>
      <c r="LDM23" s="3741"/>
      <c r="LDN23" s="3741"/>
      <c r="LDO23" s="3741"/>
      <c r="LDP23" s="3741"/>
      <c r="LDQ23" s="3741"/>
      <c r="LDR23" s="3741"/>
      <c r="LDS23" s="3741"/>
      <c r="LDT23" s="3741"/>
      <c r="LDU23" s="3741"/>
      <c r="LDV23" s="3741"/>
      <c r="LDW23" s="3741"/>
      <c r="LDX23" s="3741"/>
      <c r="LDY23" s="3741"/>
      <c r="LDZ23" s="3741"/>
      <c r="LEA23" s="3741"/>
      <c r="LEB23" s="3741"/>
      <c r="LEC23" s="3741"/>
      <c r="LED23" s="3741"/>
      <c r="LEE23" s="3741"/>
      <c r="LEF23" s="3741"/>
      <c r="LEG23" s="3741"/>
      <c r="LEH23" s="3741"/>
      <c r="LEI23" s="3741"/>
      <c r="LEJ23" s="3741"/>
      <c r="LEK23" s="3741"/>
      <c r="LEL23" s="3741"/>
      <c r="LEM23" s="3741"/>
      <c r="LEN23" s="3741"/>
      <c r="LEO23" s="3741"/>
      <c r="LEP23" s="3741"/>
      <c r="LEQ23" s="3741"/>
      <c r="LER23" s="3741"/>
      <c r="LES23" s="3741"/>
      <c r="LET23" s="3741"/>
      <c r="LEU23" s="3741"/>
      <c r="LEV23" s="3741"/>
      <c r="LEW23" s="3741"/>
      <c r="LEX23" s="3741"/>
      <c r="LEY23" s="3741"/>
      <c r="LEZ23" s="3741"/>
      <c r="LFA23" s="3741"/>
      <c r="LFB23" s="3741"/>
      <c r="LFC23" s="3741"/>
      <c r="LFD23" s="3741"/>
      <c r="LFE23" s="3741"/>
      <c r="LFF23" s="3741"/>
      <c r="LFG23" s="3741"/>
      <c r="LFH23" s="3741"/>
      <c r="LFI23" s="3741"/>
      <c r="LFJ23" s="3741"/>
      <c r="LFK23" s="3741"/>
      <c r="LFL23" s="3741"/>
      <c r="LFM23" s="3741"/>
      <c r="LFN23" s="3741"/>
      <c r="LFO23" s="3741"/>
      <c r="LFP23" s="3741"/>
      <c r="LFQ23" s="3741"/>
      <c r="LFR23" s="3741"/>
      <c r="LFS23" s="3741"/>
      <c r="LFT23" s="3741"/>
      <c r="LFU23" s="3741"/>
      <c r="LFV23" s="3741"/>
      <c r="LFW23" s="3741"/>
      <c r="LFX23" s="3741"/>
      <c r="LFY23" s="3741"/>
      <c r="LFZ23" s="3741"/>
      <c r="LGA23" s="3741"/>
      <c r="LGB23" s="3741"/>
      <c r="LGC23" s="3741"/>
      <c r="LGD23" s="3741"/>
      <c r="LGE23" s="3741"/>
      <c r="LGF23" s="3741"/>
      <c r="LGG23" s="3741"/>
      <c r="LGH23" s="3741"/>
      <c r="LGI23" s="3741"/>
      <c r="LGJ23" s="3741"/>
      <c r="LGK23" s="3741"/>
      <c r="LGL23" s="3741"/>
      <c r="LGM23" s="3741"/>
      <c r="LGN23" s="3741"/>
      <c r="LGO23" s="3741"/>
      <c r="LGP23" s="3741"/>
      <c r="LGQ23" s="3741"/>
      <c r="LGR23" s="3741"/>
      <c r="LGS23" s="3741"/>
      <c r="LGT23" s="3741"/>
      <c r="LGU23" s="3741"/>
      <c r="LGV23" s="3741"/>
      <c r="LGW23" s="3741"/>
      <c r="LGX23" s="3741"/>
      <c r="LGY23" s="3741"/>
      <c r="LGZ23" s="3741"/>
      <c r="LHA23" s="3741"/>
      <c r="LHB23" s="3741"/>
      <c r="LHC23" s="3741"/>
      <c r="LHD23" s="3741"/>
      <c r="LHE23" s="3741"/>
      <c r="LHF23" s="3741"/>
      <c r="LHG23" s="3741"/>
      <c r="LHH23" s="3741"/>
      <c r="LHI23" s="3741"/>
      <c r="LHJ23" s="3741"/>
      <c r="LHK23" s="3741"/>
      <c r="LHL23" s="3741"/>
      <c r="LHM23" s="3741"/>
      <c r="LHN23" s="3741"/>
      <c r="LHO23" s="3741"/>
      <c r="LHP23" s="3741"/>
      <c r="LHQ23" s="3741"/>
      <c r="LHR23" s="3741"/>
      <c r="LHS23" s="3741"/>
      <c r="LHT23" s="3741"/>
      <c r="LHU23" s="3741"/>
      <c r="LHV23" s="3741"/>
      <c r="LHW23" s="3741"/>
      <c r="LHX23" s="3741"/>
      <c r="LHY23" s="3741"/>
      <c r="LHZ23" s="3741"/>
      <c r="LIA23" s="3741"/>
      <c r="LIB23" s="3741"/>
      <c r="LIC23" s="3741"/>
      <c r="LID23" s="3741"/>
      <c r="LIE23" s="3741"/>
      <c r="LIF23" s="3741"/>
      <c r="LIG23" s="3741"/>
      <c r="LIH23" s="3741"/>
      <c r="LII23" s="3741"/>
      <c r="LIJ23" s="3741"/>
      <c r="LIK23" s="3741"/>
      <c r="LIL23" s="3741"/>
      <c r="LIM23" s="3741"/>
      <c r="LIN23" s="3741"/>
      <c r="LIO23" s="3741"/>
      <c r="LIP23" s="3741"/>
      <c r="LIQ23" s="3741"/>
      <c r="LIR23" s="3741"/>
      <c r="LIS23" s="3741"/>
      <c r="LIT23" s="3741"/>
      <c r="LIU23" s="3741"/>
      <c r="LIV23" s="3741"/>
      <c r="LIW23" s="3741"/>
      <c r="LIX23" s="3741"/>
      <c r="LIY23" s="3741"/>
      <c r="LIZ23" s="3741"/>
      <c r="LJA23" s="3741"/>
      <c r="LJB23" s="3741"/>
      <c r="LJC23" s="3741"/>
      <c r="LJD23" s="3741"/>
      <c r="LJE23" s="3741"/>
      <c r="LJF23" s="3741"/>
      <c r="LJG23" s="3741"/>
      <c r="LJH23" s="3741"/>
      <c r="LJI23" s="3741"/>
      <c r="LJJ23" s="3741"/>
      <c r="LJK23" s="3741"/>
      <c r="LJL23" s="3741"/>
      <c r="LJM23" s="3741"/>
      <c r="LJN23" s="3741"/>
      <c r="LJO23" s="3741"/>
      <c r="LJP23" s="3741"/>
      <c r="LJQ23" s="3741"/>
      <c r="LJR23" s="3741"/>
      <c r="LJS23" s="3741"/>
      <c r="LJT23" s="3741"/>
      <c r="LJU23" s="3741"/>
      <c r="LJV23" s="3741"/>
      <c r="LJW23" s="3741"/>
      <c r="LJX23" s="3741"/>
      <c r="LJY23" s="3741"/>
      <c r="LJZ23" s="3741"/>
      <c r="LKA23" s="3741"/>
      <c r="LKB23" s="3741"/>
      <c r="LKC23" s="3741"/>
      <c r="LKD23" s="3741"/>
      <c r="LKE23" s="3741"/>
      <c r="LKF23" s="3741"/>
      <c r="LKG23" s="3741"/>
      <c r="LKH23" s="3741"/>
      <c r="LKI23" s="3741"/>
      <c r="LKJ23" s="3741"/>
      <c r="LKK23" s="3741"/>
      <c r="LKL23" s="3741"/>
      <c r="LKM23" s="3741"/>
      <c r="LKN23" s="3741"/>
      <c r="LKO23" s="3741"/>
      <c r="LKP23" s="3741"/>
      <c r="LKQ23" s="3741"/>
      <c r="LKR23" s="3741"/>
      <c r="LKS23" s="3741"/>
      <c r="LKT23" s="3741"/>
      <c r="LKU23" s="3741"/>
      <c r="LKV23" s="3741"/>
      <c r="LKW23" s="3741"/>
      <c r="LKX23" s="3741"/>
      <c r="LKY23" s="3741"/>
      <c r="LKZ23" s="3741"/>
      <c r="LLA23" s="3741"/>
      <c r="LLB23" s="3741"/>
      <c r="LLC23" s="3741"/>
      <c r="LLD23" s="3741"/>
      <c r="LLE23" s="3741"/>
      <c r="LLF23" s="3741"/>
      <c r="LLG23" s="3741"/>
      <c r="LLH23" s="3741"/>
      <c r="LLI23" s="3741"/>
      <c r="LLJ23" s="3741"/>
      <c r="LLK23" s="3741"/>
      <c r="LLL23" s="3741"/>
      <c r="LLM23" s="3741"/>
      <c r="LLN23" s="3741"/>
      <c r="LLO23" s="3741"/>
      <c r="LLP23" s="3741"/>
      <c r="LLQ23" s="3741"/>
      <c r="LLR23" s="3741"/>
      <c r="LLS23" s="3741"/>
      <c r="LLT23" s="3741"/>
      <c r="LLU23" s="3741"/>
      <c r="LLV23" s="3741"/>
      <c r="LLW23" s="3741"/>
      <c r="LLX23" s="3741"/>
      <c r="LLY23" s="3741"/>
      <c r="LLZ23" s="3741"/>
      <c r="LMA23" s="3741"/>
      <c r="LMB23" s="3741"/>
      <c r="LMC23" s="3741"/>
      <c r="LMD23" s="3741"/>
      <c r="LME23" s="3741"/>
      <c r="LMF23" s="3741"/>
      <c r="LMG23" s="3741"/>
      <c r="LMH23" s="3741"/>
      <c r="LMI23" s="3741"/>
      <c r="LMJ23" s="3741"/>
      <c r="LMK23" s="3741"/>
      <c r="LML23" s="3741"/>
      <c r="LMM23" s="3741"/>
      <c r="LMN23" s="3741"/>
      <c r="LMO23" s="3741"/>
      <c r="LMP23" s="3741"/>
      <c r="LMQ23" s="3741"/>
      <c r="LMR23" s="3741"/>
      <c r="LMS23" s="3741"/>
      <c r="LMT23" s="3741"/>
      <c r="LMU23" s="3741"/>
      <c r="LMV23" s="3741"/>
      <c r="LMW23" s="3741"/>
      <c r="LMX23" s="3741"/>
      <c r="LMY23" s="3741"/>
      <c r="LMZ23" s="3741"/>
      <c r="LNA23" s="3741"/>
      <c r="LNB23" s="3741"/>
      <c r="LNC23" s="3741"/>
      <c r="LND23" s="3741"/>
      <c r="LNE23" s="3741"/>
      <c r="LNF23" s="3741"/>
      <c r="LNG23" s="3741"/>
      <c r="LNH23" s="3741"/>
      <c r="LNI23" s="3741"/>
      <c r="LNJ23" s="3741"/>
      <c r="LNK23" s="3741"/>
      <c r="LNL23" s="3741"/>
      <c r="LNM23" s="3741"/>
      <c r="LNN23" s="3741"/>
      <c r="LNO23" s="3741"/>
      <c r="LNP23" s="3741"/>
      <c r="LNQ23" s="3741"/>
      <c r="LNR23" s="3741"/>
      <c r="LNS23" s="3741"/>
      <c r="LNT23" s="3741"/>
      <c r="LNU23" s="3741"/>
      <c r="LNV23" s="3741"/>
      <c r="LNW23" s="3741"/>
      <c r="LNX23" s="3741"/>
      <c r="LNY23" s="3741"/>
      <c r="LNZ23" s="3741"/>
      <c r="LOA23" s="3741"/>
      <c r="LOB23" s="3741"/>
      <c r="LOC23" s="3741"/>
      <c r="LOD23" s="3741"/>
      <c r="LOE23" s="3741"/>
      <c r="LOF23" s="3741"/>
      <c r="LOG23" s="3741"/>
      <c r="LOH23" s="3741"/>
      <c r="LOI23" s="3741"/>
      <c r="LOJ23" s="3741"/>
      <c r="LOK23" s="3741"/>
      <c r="LOL23" s="3741"/>
      <c r="LOM23" s="3741"/>
      <c r="LON23" s="3741"/>
      <c r="LOO23" s="3741"/>
      <c r="LOP23" s="3741"/>
      <c r="LOQ23" s="3741"/>
      <c r="LOR23" s="3741"/>
      <c r="LOS23" s="3741"/>
      <c r="LOT23" s="3741"/>
      <c r="LOU23" s="3741"/>
      <c r="LOV23" s="3741"/>
      <c r="LOW23" s="3741"/>
      <c r="LOX23" s="3741"/>
      <c r="LOY23" s="3741"/>
      <c r="LOZ23" s="3741"/>
      <c r="LPA23" s="3741"/>
      <c r="LPB23" s="3741"/>
      <c r="LPC23" s="3741"/>
      <c r="LPD23" s="3741"/>
      <c r="LPE23" s="3741"/>
      <c r="LPF23" s="3741"/>
      <c r="LPG23" s="3741"/>
      <c r="LPH23" s="3741"/>
      <c r="LPI23" s="3741"/>
      <c r="LPJ23" s="3741"/>
      <c r="LPK23" s="3741"/>
      <c r="LPL23" s="3741"/>
      <c r="LPM23" s="3741"/>
      <c r="LPN23" s="3741"/>
      <c r="LPO23" s="3741"/>
      <c r="LPP23" s="3741"/>
      <c r="LPQ23" s="3741"/>
      <c r="LPR23" s="3741"/>
      <c r="LPS23" s="3741"/>
      <c r="LPT23" s="3741"/>
      <c r="LPU23" s="3741"/>
      <c r="LPV23" s="3741"/>
      <c r="LPW23" s="3741"/>
      <c r="LPX23" s="3741"/>
      <c r="LPY23" s="3741"/>
      <c r="LPZ23" s="3741"/>
      <c r="LQA23" s="3741"/>
      <c r="LQB23" s="3741"/>
      <c r="LQC23" s="3741"/>
      <c r="LQD23" s="3741"/>
      <c r="LQE23" s="3741"/>
      <c r="LQF23" s="3741"/>
      <c r="LQG23" s="3741"/>
      <c r="LQH23" s="3741"/>
      <c r="LQI23" s="3741"/>
      <c r="LQJ23" s="3741"/>
      <c r="LQK23" s="3741"/>
      <c r="LQL23" s="3741"/>
      <c r="LQM23" s="3741"/>
      <c r="LQN23" s="3741"/>
      <c r="LQO23" s="3741"/>
      <c r="LQP23" s="3741"/>
      <c r="LQQ23" s="3741"/>
      <c r="LQR23" s="3741"/>
      <c r="LQS23" s="3741"/>
      <c r="LQT23" s="3741"/>
      <c r="LQU23" s="3741"/>
      <c r="LQV23" s="3741"/>
      <c r="LQW23" s="3741"/>
      <c r="LQX23" s="3741"/>
      <c r="LQY23" s="3741"/>
      <c r="LQZ23" s="3741"/>
      <c r="LRA23" s="3741"/>
      <c r="LRB23" s="3741"/>
      <c r="LRC23" s="3741"/>
      <c r="LRD23" s="3741"/>
      <c r="LRE23" s="3741"/>
      <c r="LRF23" s="3741"/>
      <c r="LRG23" s="3741"/>
      <c r="LRH23" s="3741"/>
      <c r="LRI23" s="3741"/>
      <c r="LRJ23" s="3741"/>
      <c r="LRK23" s="3741"/>
      <c r="LRL23" s="3741"/>
      <c r="LRM23" s="3741"/>
      <c r="LRN23" s="3741"/>
      <c r="LRO23" s="3741"/>
      <c r="LRP23" s="3741"/>
      <c r="LRQ23" s="3741"/>
      <c r="LRR23" s="3741"/>
      <c r="LRS23" s="3741"/>
      <c r="LRT23" s="3741"/>
      <c r="LRU23" s="3741"/>
      <c r="LRV23" s="3741"/>
      <c r="LRW23" s="3741"/>
      <c r="LRX23" s="3741"/>
      <c r="LRY23" s="3741"/>
      <c r="LRZ23" s="3741"/>
      <c r="LSA23" s="3741"/>
      <c r="LSB23" s="3741"/>
      <c r="LSC23" s="3741"/>
      <c r="LSD23" s="3741"/>
      <c r="LSE23" s="3741"/>
      <c r="LSF23" s="3741"/>
      <c r="LSG23" s="3741"/>
      <c r="LSH23" s="3741"/>
      <c r="LSI23" s="3741"/>
      <c r="LSJ23" s="3741"/>
      <c r="LSK23" s="3741"/>
      <c r="LSL23" s="3741"/>
      <c r="LSM23" s="3741"/>
      <c r="LSN23" s="3741"/>
      <c r="LSO23" s="3741"/>
      <c r="LSP23" s="3741"/>
      <c r="LSQ23" s="3741"/>
      <c r="LSR23" s="3741"/>
      <c r="LSS23" s="3741"/>
      <c r="LST23" s="3741"/>
      <c r="LSU23" s="3741"/>
      <c r="LSV23" s="3741"/>
      <c r="LSW23" s="3741"/>
      <c r="LSX23" s="3741"/>
      <c r="LSY23" s="3741"/>
      <c r="LSZ23" s="3741"/>
      <c r="LTA23" s="3741"/>
      <c r="LTB23" s="3741"/>
      <c r="LTC23" s="3741"/>
      <c r="LTD23" s="3741"/>
      <c r="LTE23" s="3741"/>
      <c r="LTF23" s="3741"/>
      <c r="LTG23" s="3741"/>
      <c r="LTH23" s="3741"/>
      <c r="LTI23" s="3741"/>
      <c r="LTJ23" s="3741"/>
      <c r="LTK23" s="3741"/>
      <c r="LTL23" s="3741"/>
      <c r="LTM23" s="3741"/>
      <c r="LTN23" s="3741"/>
      <c r="LTO23" s="3741"/>
      <c r="LTP23" s="3741"/>
      <c r="LTQ23" s="3741"/>
      <c r="LTR23" s="3741"/>
      <c r="LTS23" s="3741"/>
      <c r="LTT23" s="3741"/>
      <c r="LTU23" s="3741"/>
      <c r="LTV23" s="3741"/>
      <c r="LTW23" s="3741"/>
      <c r="LTX23" s="3741"/>
      <c r="LTY23" s="3741"/>
      <c r="LTZ23" s="3741"/>
      <c r="LUA23" s="3741"/>
      <c r="LUB23" s="3741"/>
      <c r="LUC23" s="3741"/>
      <c r="LUD23" s="3741"/>
      <c r="LUE23" s="3741"/>
      <c r="LUF23" s="3741"/>
      <c r="LUG23" s="3741"/>
      <c r="LUH23" s="3741"/>
      <c r="LUI23" s="3741"/>
      <c r="LUJ23" s="3741"/>
      <c r="LUK23" s="3741"/>
      <c r="LUL23" s="3741"/>
      <c r="LUM23" s="3741"/>
      <c r="LUN23" s="3741"/>
      <c r="LUO23" s="3741"/>
      <c r="LUP23" s="3741"/>
      <c r="LUQ23" s="3741"/>
      <c r="LUR23" s="3741"/>
      <c r="LUS23" s="3741"/>
      <c r="LUT23" s="3741"/>
      <c r="LUU23" s="3741"/>
      <c r="LUV23" s="3741"/>
      <c r="LUW23" s="3741"/>
      <c r="LUX23" s="3741"/>
      <c r="LUY23" s="3741"/>
      <c r="LUZ23" s="3741"/>
      <c r="LVA23" s="3741"/>
      <c r="LVB23" s="3741"/>
      <c r="LVC23" s="3741"/>
      <c r="LVD23" s="3741"/>
      <c r="LVE23" s="3741"/>
      <c r="LVF23" s="3741"/>
      <c r="LVG23" s="3741"/>
      <c r="LVH23" s="3741"/>
      <c r="LVI23" s="3741"/>
      <c r="LVJ23" s="3741"/>
      <c r="LVK23" s="3741"/>
      <c r="LVL23" s="3741"/>
      <c r="LVM23" s="3741"/>
      <c r="LVN23" s="3741"/>
      <c r="LVO23" s="3741"/>
      <c r="LVP23" s="3741"/>
      <c r="LVQ23" s="3741"/>
      <c r="LVR23" s="3741"/>
      <c r="LVS23" s="3741"/>
      <c r="LVT23" s="3741"/>
      <c r="LVU23" s="3741"/>
      <c r="LVV23" s="3741"/>
      <c r="LVW23" s="3741"/>
      <c r="LVX23" s="3741"/>
      <c r="LVY23" s="3741"/>
      <c r="LVZ23" s="3741"/>
      <c r="LWA23" s="3741"/>
      <c r="LWB23" s="3741"/>
      <c r="LWC23" s="3741"/>
      <c r="LWD23" s="3741"/>
      <c r="LWE23" s="3741"/>
      <c r="LWF23" s="3741"/>
      <c r="LWG23" s="3741"/>
      <c r="LWH23" s="3741"/>
      <c r="LWI23" s="3741"/>
      <c r="LWJ23" s="3741"/>
      <c r="LWK23" s="3741"/>
      <c r="LWL23" s="3741"/>
      <c r="LWM23" s="3741"/>
      <c r="LWN23" s="3741"/>
      <c r="LWO23" s="3741"/>
      <c r="LWP23" s="3741"/>
      <c r="LWQ23" s="3741"/>
      <c r="LWR23" s="3741"/>
      <c r="LWS23" s="3741"/>
      <c r="LWT23" s="3741"/>
      <c r="LWU23" s="3741"/>
      <c r="LWV23" s="3741"/>
      <c r="LWW23" s="3741"/>
      <c r="LWX23" s="3741"/>
      <c r="LWY23" s="3741"/>
      <c r="LWZ23" s="3741"/>
      <c r="LXA23" s="3741"/>
      <c r="LXB23" s="3741"/>
      <c r="LXC23" s="3741"/>
      <c r="LXD23" s="3741"/>
      <c r="LXE23" s="3741"/>
      <c r="LXF23" s="3741"/>
      <c r="LXG23" s="3741"/>
      <c r="LXH23" s="3741"/>
      <c r="LXI23" s="3741"/>
      <c r="LXJ23" s="3741"/>
      <c r="LXK23" s="3741"/>
      <c r="LXL23" s="3741"/>
      <c r="LXM23" s="3741"/>
      <c r="LXN23" s="3741"/>
      <c r="LXO23" s="3741"/>
      <c r="LXP23" s="3741"/>
      <c r="LXQ23" s="3741"/>
      <c r="LXR23" s="3741"/>
      <c r="LXS23" s="3741"/>
      <c r="LXT23" s="3741"/>
      <c r="LXU23" s="3741"/>
      <c r="LXV23" s="3741"/>
      <c r="LXW23" s="3741"/>
      <c r="LXX23" s="3741"/>
      <c r="LXY23" s="3741"/>
      <c r="LXZ23" s="3741"/>
      <c r="LYA23" s="3741"/>
      <c r="LYB23" s="3741"/>
      <c r="LYC23" s="3741"/>
      <c r="LYD23" s="3741"/>
      <c r="LYE23" s="3741"/>
      <c r="LYF23" s="3741"/>
      <c r="LYG23" s="3741"/>
      <c r="LYH23" s="3741"/>
      <c r="LYI23" s="3741"/>
      <c r="LYJ23" s="3741"/>
      <c r="LYK23" s="3741"/>
      <c r="LYL23" s="3741"/>
      <c r="LYM23" s="3741"/>
      <c r="LYN23" s="3741"/>
      <c r="LYO23" s="3741"/>
      <c r="LYP23" s="3741"/>
      <c r="LYQ23" s="3741"/>
      <c r="LYR23" s="3741"/>
      <c r="LYS23" s="3741"/>
      <c r="LYT23" s="3741"/>
      <c r="LYU23" s="3741"/>
      <c r="LYV23" s="3741"/>
      <c r="LYW23" s="3741"/>
      <c r="LYX23" s="3741"/>
      <c r="LYY23" s="3741"/>
      <c r="LYZ23" s="3741"/>
      <c r="LZA23" s="3741"/>
      <c r="LZB23" s="3741"/>
      <c r="LZC23" s="3741"/>
      <c r="LZD23" s="3741"/>
      <c r="LZE23" s="3741"/>
      <c r="LZF23" s="3741"/>
      <c r="LZG23" s="3741"/>
      <c r="LZH23" s="3741"/>
      <c r="LZI23" s="3741"/>
      <c r="LZJ23" s="3741"/>
      <c r="LZK23" s="3741"/>
      <c r="LZL23" s="3741"/>
      <c r="LZM23" s="3741"/>
      <c r="LZN23" s="3741"/>
      <c r="LZO23" s="3741"/>
      <c r="LZP23" s="3741"/>
      <c r="LZQ23" s="3741"/>
      <c r="LZR23" s="3741"/>
      <c r="LZS23" s="3741"/>
      <c r="LZT23" s="3741"/>
      <c r="LZU23" s="3741"/>
      <c r="LZV23" s="3741"/>
      <c r="LZW23" s="3741"/>
      <c r="LZX23" s="3741"/>
      <c r="LZY23" s="3741"/>
      <c r="LZZ23" s="3741"/>
      <c r="MAA23" s="3741"/>
      <c r="MAB23" s="3741"/>
      <c r="MAC23" s="3741"/>
      <c r="MAD23" s="3741"/>
      <c r="MAE23" s="3741"/>
      <c r="MAF23" s="3741"/>
      <c r="MAG23" s="3741"/>
      <c r="MAH23" s="3741"/>
      <c r="MAI23" s="3741"/>
      <c r="MAJ23" s="3741"/>
      <c r="MAK23" s="3741"/>
      <c r="MAL23" s="3741"/>
      <c r="MAM23" s="3741"/>
      <c r="MAN23" s="3741"/>
      <c r="MAO23" s="3741"/>
      <c r="MAP23" s="3741"/>
      <c r="MAQ23" s="3741"/>
      <c r="MAR23" s="3741"/>
      <c r="MAS23" s="3741"/>
      <c r="MAT23" s="3741"/>
      <c r="MAU23" s="3741"/>
      <c r="MAV23" s="3741"/>
      <c r="MAW23" s="3741"/>
      <c r="MAX23" s="3741"/>
      <c r="MAY23" s="3741"/>
      <c r="MAZ23" s="3741"/>
      <c r="MBA23" s="3741"/>
      <c r="MBB23" s="3741"/>
      <c r="MBC23" s="3741"/>
      <c r="MBD23" s="3741"/>
      <c r="MBE23" s="3741"/>
      <c r="MBF23" s="3741"/>
      <c r="MBG23" s="3741"/>
      <c r="MBH23" s="3741"/>
      <c r="MBI23" s="3741"/>
      <c r="MBJ23" s="3741"/>
      <c r="MBK23" s="3741"/>
      <c r="MBL23" s="3741"/>
      <c r="MBM23" s="3741"/>
      <c r="MBN23" s="3741"/>
      <c r="MBO23" s="3741"/>
      <c r="MBP23" s="3741"/>
      <c r="MBQ23" s="3741"/>
      <c r="MBR23" s="3741"/>
      <c r="MBS23" s="3741"/>
      <c r="MBT23" s="3741"/>
      <c r="MBU23" s="3741"/>
      <c r="MBV23" s="3741"/>
      <c r="MBW23" s="3741"/>
      <c r="MBX23" s="3741"/>
      <c r="MBY23" s="3741"/>
      <c r="MBZ23" s="3741"/>
      <c r="MCA23" s="3741"/>
      <c r="MCB23" s="3741"/>
      <c r="MCC23" s="3741"/>
      <c r="MCD23" s="3741"/>
      <c r="MCE23" s="3741"/>
      <c r="MCF23" s="3741"/>
      <c r="MCG23" s="3741"/>
      <c r="MCH23" s="3741"/>
      <c r="MCI23" s="3741"/>
      <c r="MCJ23" s="3741"/>
      <c r="MCK23" s="3741"/>
      <c r="MCL23" s="3741"/>
      <c r="MCM23" s="3741"/>
      <c r="MCN23" s="3741"/>
      <c r="MCO23" s="3741"/>
      <c r="MCP23" s="3741"/>
      <c r="MCQ23" s="3741"/>
      <c r="MCR23" s="3741"/>
      <c r="MCS23" s="3741"/>
      <c r="MCT23" s="3741"/>
      <c r="MCU23" s="3741"/>
      <c r="MCV23" s="3741"/>
      <c r="MCW23" s="3741"/>
      <c r="MCX23" s="3741"/>
      <c r="MCY23" s="3741"/>
      <c r="MCZ23" s="3741"/>
      <c r="MDA23" s="3741"/>
      <c r="MDB23" s="3741"/>
      <c r="MDC23" s="3741"/>
      <c r="MDD23" s="3741"/>
      <c r="MDE23" s="3741"/>
      <c r="MDF23" s="3741"/>
      <c r="MDG23" s="3741"/>
      <c r="MDH23" s="3741"/>
      <c r="MDI23" s="3741"/>
      <c r="MDJ23" s="3741"/>
      <c r="MDK23" s="3741"/>
      <c r="MDL23" s="3741"/>
      <c r="MDM23" s="3741"/>
      <c r="MDN23" s="3741"/>
      <c r="MDO23" s="3741"/>
      <c r="MDP23" s="3741"/>
      <c r="MDQ23" s="3741"/>
      <c r="MDR23" s="3741"/>
      <c r="MDS23" s="3741"/>
      <c r="MDT23" s="3741"/>
      <c r="MDU23" s="3741"/>
      <c r="MDV23" s="3741"/>
      <c r="MDW23" s="3741"/>
      <c r="MDX23" s="3741"/>
      <c r="MDY23" s="3741"/>
      <c r="MDZ23" s="3741"/>
      <c r="MEA23" s="3741"/>
      <c r="MEB23" s="3741"/>
      <c r="MEC23" s="3741"/>
      <c r="MED23" s="3741"/>
      <c r="MEE23" s="3741"/>
      <c r="MEF23" s="3741"/>
      <c r="MEG23" s="3741"/>
      <c r="MEH23" s="3741"/>
      <c r="MEI23" s="3741"/>
      <c r="MEJ23" s="3741"/>
      <c r="MEK23" s="3741"/>
      <c r="MEL23" s="3741"/>
      <c r="MEM23" s="3741"/>
      <c r="MEN23" s="3741"/>
      <c r="MEO23" s="3741"/>
      <c r="MEP23" s="3741"/>
      <c r="MEQ23" s="3741"/>
      <c r="MER23" s="3741"/>
      <c r="MES23" s="3741"/>
      <c r="MET23" s="3741"/>
      <c r="MEU23" s="3741"/>
      <c r="MEV23" s="3741"/>
      <c r="MEW23" s="3741"/>
      <c r="MEX23" s="3741"/>
      <c r="MEY23" s="3741"/>
      <c r="MEZ23" s="3741"/>
      <c r="MFA23" s="3741"/>
      <c r="MFB23" s="3741"/>
      <c r="MFC23" s="3741"/>
      <c r="MFD23" s="3741"/>
      <c r="MFE23" s="3741"/>
      <c r="MFF23" s="3741"/>
      <c r="MFG23" s="3741"/>
      <c r="MFH23" s="3741"/>
      <c r="MFI23" s="3741"/>
      <c r="MFJ23" s="3741"/>
      <c r="MFK23" s="3741"/>
      <c r="MFL23" s="3741"/>
      <c r="MFM23" s="3741"/>
      <c r="MFN23" s="3741"/>
      <c r="MFO23" s="3741"/>
      <c r="MFP23" s="3741"/>
      <c r="MFQ23" s="3741"/>
      <c r="MFR23" s="3741"/>
      <c r="MFS23" s="3741"/>
      <c r="MFT23" s="3741"/>
      <c r="MFU23" s="3741"/>
      <c r="MFV23" s="3741"/>
      <c r="MFW23" s="3741"/>
      <c r="MFX23" s="3741"/>
      <c r="MFY23" s="3741"/>
      <c r="MFZ23" s="3741"/>
      <c r="MGA23" s="3741"/>
      <c r="MGB23" s="3741"/>
      <c r="MGC23" s="3741"/>
      <c r="MGD23" s="3741"/>
      <c r="MGE23" s="3741"/>
      <c r="MGF23" s="3741"/>
      <c r="MGG23" s="3741"/>
      <c r="MGH23" s="3741"/>
      <c r="MGI23" s="3741"/>
      <c r="MGJ23" s="3741"/>
      <c r="MGK23" s="3741"/>
      <c r="MGL23" s="3741"/>
      <c r="MGM23" s="3741"/>
      <c r="MGN23" s="3741"/>
      <c r="MGO23" s="3741"/>
      <c r="MGP23" s="3741"/>
      <c r="MGQ23" s="3741"/>
      <c r="MGR23" s="3741"/>
      <c r="MGS23" s="3741"/>
      <c r="MGT23" s="3741"/>
      <c r="MGU23" s="3741"/>
      <c r="MGV23" s="3741"/>
      <c r="MGW23" s="3741"/>
      <c r="MGX23" s="3741"/>
      <c r="MGY23" s="3741"/>
      <c r="MGZ23" s="3741"/>
      <c r="MHA23" s="3741"/>
      <c r="MHB23" s="3741"/>
      <c r="MHC23" s="3741"/>
      <c r="MHD23" s="3741"/>
      <c r="MHE23" s="3741"/>
      <c r="MHF23" s="3741"/>
      <c r="MHG23" s="3741"/>
      <c r="MHH23" s="3741"/>
      <c r="MHI23" s="3741"/>
      <c r="MHJ23" s="3741"/>
      <c r="MHK23" s="3741"/>
      <c r="MHL23" s="3741"/>
      <c r="MHM23" s="3741"/>
      <c r="MHN23" s="3741"/>
      <c r="MHO23" s="3741"/>
      <c r="MHP23" s="3741"/>
      <c r="MHQ23" s="3741"/>
      <c r="MHR23" s="3741"/>
      <c r="MHS23" s="3741"/>
      <c r="MHT23" s="3741"/>
      <c r="MHU23" s="3741"/>
      <c r="MHV23" s="3741"/>
      <c r="MHW23" s="3741"/>
      <c r="MHX23" s="3741"/>
      <c r="MHY23" s="3741"/>
      <c r="MHZ23" s="3741"/>
      <c r="MIA23" s="3741"/>
      <c r="MIB23" s="3741"/>
      <c r="MIC23" s="3741"/>
      <c r="MID23" s="3741"/>
      <c r="MIE23" s="3741"/>
      <c r="MIF23" s="3741"/>
      <c r="MIG23" s="3741"/>
      <c r="MIH23" s="3741"/>
      <c r="MII23" s="3741"/>
      <c r="MIJ23" s="3741"/>
      <c r="MIK23" s="3741"/>
      <c r="MIL23" s="3741"/>
      <c r="MIM23" s="3741"/>
      <c r="MIN23" s="3741"/>
      <c r="MIO23" s="3741"/>
      <c r="MIP23" s="3741"/>
      <c r="MIQ23" s="3741"/>
      <c r="MIR23" s="3741"/>
      <c r="MIS23" s="3741"/>
      <c r="MIT23" s="3741"/>
      <c r="MIU23" s="3741"/>
      <c r="MIV23" s="3741"/>
      <c r="MIW23" s="3741"/>
      <c r="MIX23" s="3741"/>
      <c r="MIY23" s="3741"/>
      <c r="MIZ23" s="3741"/>
      <c r="MJA23" s="3741"/>
      <c r="MJB23" s="3741"/>
      <c r="MJC23" s="3741"/>
      <c r="MJD23" s="3741"/>
      <c r="MJE23" s="3741"/>
      <c r="MJF23" s="3741"/>
      <c r="MJG23" s="3741"/>
      <c r="MJH23" s="3741"/>
      <c r="MJI23" s="3741"/>
      <c r="MJJ23" s="3741"/>
      <c r="MJK23" s="3741"/>
      <c r="MJL23" s="3741"/>
      <c r="MJM23" s="3741"/>
      <c r="MJN23" s="3741"/>
      <c r="MJO23" s="3741"/>
      <c r="MJP23" s="3741"/>
      <c r="MJQ23" s="3741"/>
      <c r="MJR23" s="3741"/>
      <c r="MJS23" s="3741"/>
      <c r="MJT23" s="3741"/>
      <c r="MJU23" s="3741"/>
      <c r="MJV23" s="3741"/>
      <c r="MJW23" s="3741"/>
      <c r="MJX23" s="3741"/>
      <c r="MJY23" s="3741"/>
      <c r="MJZ23" s="3741"/>
      <c r="MKA23" s="3741"/>
      <c r="MKB23" s="3741"/>
      <c r="MKC23" s="3741"/>
      <c r="MKD23" s="3741"/>
      <c r="MKE23" s="3741"/>
      <c r="MKF23" s="3741"/>
      <c r="MKG23" s="3741"/>
      <c r="MKH23" s="3741"/>
      <c r="MKI23" s="3741"/>
      <c r="MKJ23" s="3741"/>
      <c r="MKK23" s="3741"/>
      <c r="MKL23" s="3741"/>
      <c r="MKM23" s="3741"/>
      <c r="MKN23" s="3741"/>
      <c r="MKO23" s="3741"/>
      <c r="MKP23" s="3741"/>
      <c r="MKQ23" s="3741"/>
      <c r="MKR23" s="3741"/>
      <c r="MKS23" s="3741"/>
      <c r="MKT23" s="3741"/>
      <c r="MKU23" s="3741"/>
      <c r="MKV23" s="3741"/>
      <c r="MKW23" s="3741"/>
      <c r="MKX23" s="3741"/>
      <c r="MKY23" s="3741"/>
      <c r="MKZ23" s="3741"/>
      <c r="MLA23" s="3741"/>
      <c r="MLB23" s="3741"/>
      <c r="MLC23" s="3741"/>
      <c r="MLD23" s="3741"/>
      <c r="MLE23" s="3741"/>
      <c r="MLF23" s="3741"/>
      <c r="MLG23" s="3741"/>
      <c r="MLH23" s="3741"/>
      <c r="MLI23" s="3741"/>
      <c r="MLJ23" s="3741"/>
      <c r="MLK23" s="3741"/>
      <c r="MLL23" s="3741"/>
      <c r="MLM23" s="3741"/>
      <c r="MLN23" s="3741"/>
      <c r="MLO23" s="3741"/>
      <c r="MLP23" s="3741"/>
      <c r="MLQ23" s="3741"/>
      <c r="MLR23" s="3741"/>
      <c r="MLS23" s="3741"/>
      <c r="MLT23" s="3741"/>
      <c r="MLU23" s="3741"/>
      <c r="MLV23" s="3741"/>
      <c r="MLW23" s="3741"/>
      <c r="MLX23" s="3741"/>
      <c r="MLY23" s="3741"/>
      <c r="MLZ23" s="3741"/>
      <c r="MMA23" s="3741"/>
      <c r="MMB23" s="3741"/>
      <c r="MMC23" s="3741"/>
      <c r="MMD23" s="3741"/>
      <c r="MME23" s="3741"/>
      <c r="MMF23" s="3741"/>
      <c r="MMG23" s="3741"/>
      <c r="MMH23" s="3741"/>
      <c r="MMI23" s="3741"/>
      <c r="MMJ23" s="3741"/>
      <c r="MMK23" s="3741"/>
      <c r="MML23" s="3741"/>
      <c r="MMM23" s="3741"/>
      <c r="MMN23" s="3741"/>
      <c r="MMO23" s="3741"/>
      <c r="MMP23" s="3741"/>
      <c r="MMQ23" s="3741"/>
      <c r="MMR23" s="3741"/>
      <c r="MMS23" s="3741"/>
      <c r="MMT23" s="3741"/>
      <c r="MMU23" s="3741"/>
      <c r="MMV23" s="3741"/>
      <c r="MMW23" s="3741"/>
      <c r="MMX23" s="3741"/>
      <c r="MMY23" s="3741"/>
      <c r="MMZ23" s="3741"/>
      <c r="MNA23" s="3741"/>
      <c r="MNB23" s="3741"/>
      <c r="MNC23" s="3741"/>
      <c r="MND23" s="3741"/>
      <c r="MNE23" s="3741"/>
      <c r="MNF23" s="3741"/>
      <c r="MNG23" s="3741"/>
      <c r="MNH23" s="3741"/>
      <c r="MNI23" s="3741"/>
      <c r="MNJ23" s="3741"/>
      <c r="MNK23" s="3741"/>
      <c r="MNL23" s="3741"/>
      <c r="MNM23" s="3741"/>
      <c r="MNN23" s="3741"/>
      <c r="MNO23" s="3741"/>
      <c r="MNP23" s="3741"/>
      <c r="MNQ23" s="3741"/>
      <c r="MNR23" s="3741"/>
      <c r="MNS23" s="3741"/>
      <c r="MNT23" s="3741"/>
      <c r="MNU23" s="3741"/>
      <c r="MNV23" s="3741"/>
      <c r="MNW23" s="3741"/>
      <c r="MNX23" s="3741"/>
      <c r="MNY23" s="3741"/>
      <c r="MNZ23" s="3741"/>
      <c r="MOA23" s="3741"/>
      <c r="MOB23" s="3741"/>
      <c r="MOC23" s="3741"/>
      <c r="MOD23" s="3741"/>
      <c r="MOE23" s="3741"/>
      <c r="MOF23" s="3741"/>
      <c r="MOG23" s="3741"/>
      <c r="MOH23" s="3741"/>
      <c r="MOI23" s="3741"/>
      <c r="MOJ23" s="3741"/>
      <c r="MOK23" s="3741"/>
      <c r="MOL23" s="3741"/>
      <c r="MOM23" s="3741"/>
      <c r="MON23" s="3741"/>
      <c r="MOO23" s="3741"/>
      <c r="MOP23" s="3741"/>
      <c r="MOQ23" s="3741"/>
      <c r="MOR23" s="3741"/>
      <c r="MOS23" s="3741"/>
      <c r="MOT23" s="3741"/>
      <c r="MOU23" s="3741"/>
      <c r="MOV23" s="3741"/>
      <c r="MOW23" s="3741"/>
      <c r="MOX23" s="3741"/>
      <c r="MOY23" s="3741"/>
      <c r="MOZ23" s="3741"/>
      <c r="MPA23" s="3741"/>
      <c r="MPB23" s="3741"/>
      <c r="MPC23" s="3741"/>
      <c r="MPD23" s="3741"/>
      <c r="MPE23" s="3741"/>
      <c r="MPF23" s="3741"/>
      <c r="MPG23" s="3741"/>
      <c r="MPH23" s="3741"/>
      <c r="MPI23" s="3741"/>
      <c r="MPJ23" s="3741"/>
      <c r="MPK23" s="3741"/>
      <c r="MPL23" s="3741"/>
      <c r="MPM23" s="3741"/>
      <c r="MPN23" s="3741"/>
      <c r="MPO23" s="3741"/>
      <c r="MPP23" s="3741"/>
      <c r="MPQ23" s="3741"/>
      <c r="MPR23" s="3741"/>
      <c r="MPS23" s="3741"/>
      <c r="MPT23" s="3741"/>
      <c r="MPU23" s="3741"/>
      <c r="MPV23" s="3741"/>
      <c r="MPW23" s="3741"/>
      <c r="MPX23" s="3741"/>
      <c r="MPY23" s="3741"/>
      <c r="MPZ23" s="3741"/>
      <c r="MQA23" s="3741"/>
      <c r="MQB23" s="3741"/>
      <c r="MQC23" s="3741"/>
      <c r="MQD23" s="3741"/>
      <c r="MQE23" s="3741"/>
      <c r="MQF23" s="3741"/>
      <c r="MQG23" s="3741"/>
      <c r="MQH23" s="3741"/>
      <c r="MQI23" s="3741"/>
      <c r="MQJ23" s="3741"/>
      <c r="MQK23" s="3741"/>
      <c r="MQL23" s="3741"/>
      <c r="MQM23" s="3741"/>
      <c r="MQN23" s="3741"/>
      <c r="MQO23" s="3741"/>
      <c r="MQP23" s="3741"/>
      <c r="MQQ23" s="3741"/>
      <c r="MQR23" s="3741"/>
      <c r="MQS23" s="3741"/>
      <c r="MQT23" s="3741"/>
      <c r="MQU23" s="3741"/>
      <c r="MQV23" s="3741"/>
      <c r="MQW23" s="3741"/>
      <c r="MQX23" s="3741"/>
      <c r="MQY23" s="3741"/>
      <c r="MQZ23" s="3741"/>
      <c r="MRA23" s="3741"/>
      <c r="MRB23" s="3741"/>
      <c r="MRC23" s="3741"/>
      <c r="MRD23" s="3741"/>
      <c r="MRE23" s="3741"/>
      <c r="MRF23" s="3741"/>
      <c r="MRG23" s="3741"/>
      <c r="MRH23" s="3741"/>
      <c r="MRI23" s="3741"/>
      <c r="MRJ23" s="3741"/>
      <c r="MRK23" s="3741"/>
      <c r="MRL23" s="3741"/>
      <c r="MRM23" s="3741"/>
      <c r="MRN23" s="3741"/>
      <c r="MRO23" s="3741"/>
      <c r="MRP23" s="3741"/>
      <c r="MRQ23" s="3741"/>
      <c r="MRR23" s="3741"/>
      <c r="MRS23" s="3741"/>
      <c r="MRT23" s="3741"/>
      <c r="MRU23" s="3741"/>
      <c r="MRV23" s="3741"/>
      <c r="MRW23" s="3741"/>
      <c r="MRX23" s="3741"/>
      <c r="MRY23" s="3741"/>
      <c r="MRZ23" s="3741"/>
      <c r="MSA23" s="3741"/>
      <c r="MSB23" s="3741"/>
      <c r="MSC23" s="3741"/>
      <c r="MSD23" s="3741"/>
      <c r="MSE23" s="3741"/>
      <c r="MSF23" s="3741"/>
      <c r="MSG23" s="3741"/>
      <c r="MSH23" s="3741"/>
      <c r="MSI23" s="3741"/>
      <c r="MSJ23" s="3741"/>
      <c r="MSK23" s="3741"/>
      <c r="MSL23" s="3741"/>
      <c r="MSM23" s="3741"/>
      <c r="MSN23" s="3741"/>
      <c r="MSO23" s="3741"/>
      <c r="MSP23" s="3741"/>
      <c r="MSQ23" s="3741"/>
      <c r="MSR23" s="3741"/>
      <c r="MSS23" s="3741"/>
      <c r="MST23" s="3741"/>
      <c r="MSU23" s="3741"/>
      <c r="MSV23" s="3741"/>
      <c r="MSW23" s="3741"/>
      <c r="MSX23" s="3741"/>
      <c r="MSY23" s="3741"/>
      <c r="MSZ23" s="3741"/>
      <c r="MTA23" s="3741"/>
      <c r="MTB23" s="3741"/>
      <c r="MTC23" s="3741"/>
      <c r="MTD23" s="3741"/>
      <c r="MTE23" s="3741"/>
      <c r="MTF23" s="3741"/>
      <c r="MTG23" s="3741"/>
      <c r="MTH23" s="3741"/>
      <c r="MTI23" s="3741"/>
      <c r="MTJ23" s="3741"/>
      <c r="MTK23" s="3741"/>
      <c r="MTL23" s="3741"/>
      <c r="MTM23" s="3741"/>
      <c r="MTN23" s="3741"/>
      <c r="MTO23" s="3741"/>
      <c r="MTP23" s="3741"/>
      <c r="MTQ23" s="3741"/>
      <c r="MTR23" s="3741"/>
      <c r="MTS23" s="3741"/>
      <c r="MTT23" s="3741"/>
      <c r="MTU23" s="3741"/>
      <c r="MTV23" s="3741"/>
      <c r="MTW23" s="3741"/>
      <c r="MTX23" s="3741"/>
      <c r="MTY23" s="3741"/>
      <c r="MTZ23" s="3741"/>
      <c r="MUA23" s="3741"/>
      <c r="MUB23" s="3741"/>
      <c r="MUC23" s="3741"/>
      <c r="MUD23" s="3741"/>
      <c r="MUE23" s="3741"/>
      <c r="MUF23" s="3741"/>
      <c r="MUG23" s="3741"/>
      <c r="MUH23" s="3741"/>
      <c r="MUI23" s="3741"/>
      <c r="MUJ23" s="3741"/>
      <c r="MUK23" s="3741"/>
      <c r="MUL23" s="3741"/>
      <c r="MUM23" s="3741"/>
      <c r="MUN23" s="3741"/>
      <c r="MUO23" s="3741"/>
      <c r="MUP23" s="3741"/>
      <c r="MUQ23" s="3741"/>
      <c r="MUR23" s="3741"/>
      <c r="MUS23" s="3741"/>
      <c r="MUT23" s="3741"/>
      <c r="MUU23" s="3741"/>
      <c r="MUV23" s="3741"/>
      <c r="MUW23" s="3741"/>
      <c r="MUX23" s="3741"/>
      <c r="MUY23" s="3741"/>
      <c r="MUZ23" s="3741"/>
      <c r="MVA23" s="3741"/>
      <c r="MVB23" s="3741"/>
      <c r="MVC23" s="3741"/>
      <c r="MVD23" s="3741"/>
      <c r="MVE23" s="3741"/>
      <c r="MVF23" s="3741"/>
      <c r="MVG23" s="3741"/>
      <c r="MVH23" s="3741"/>
      <c r="MVI23" s="3741"/>
      <c r="MVJ23" s="3741"/>
      <c r="MVK23" s="3741"/>
      <c r="MVL23" s="3741"/>
      <c r="MVM23" s="3741"/>
      <c r="MVN23" s="3741"/>
      <c r="MVO23" s="3741"/>
      <c r="MVP23" s="3741"/>
      <c r="MVQ23" s="3741"/>
      <c r="MVR23" s="3741"/>
      <c r="MVS23" s="3741"/>
      <c r="MVT23" s="3741"/>
      <c r="MVU23" s="3741"/>
      <c r="MVV23" s="3741"/>
      <c r="MVW23" s="3741"/>
      <c r="MVX23" s="3741"/>
      <c r="MVY23" s="3741"/>
      <c r="MVZ23" s="3741"/>
      <c r="MWA23" s="3741"/>
      <c r="MWB23" s="3741"/>
      <c r="MWC23" s="3741"/>
      <c r="MWD23" s="3741"/>
      <c r="MWE23" s="3741"/>
      <c r="MWF23" s="3741"/>
      <c r="MWG23" s="3741"/>
      <c r="MWH23" s="3741"/>
      <c r="MWI23" s="3741"/>
      <c r="MWJ23" s="3741"/>
      <c r="MWK23" s="3741"/>
      <c r="MWL23" s="3741"/>
      <c r="MWM23" s="3741"/>
      <c r="MWN23" s="3741"/>
      <c r="MWO23" s="3741"/>
      <c r="MWP23" s="3741"/>
      <c r="MWQ23" s="3741"/>
      <c r="MWR23" s="3741"/>
      <c r="MWS23" s="3741"/>
      <c r="MWT23" s="3741"/>
      <c r="MWU23" s="3741"/>
      <c r="MWV23" s="3741"/>
      <c r="MWW23" s="3741"/>
      <c r="MWX23" s="3741"/>
      <c r="MWY23" s="3741"/>
      <c r="MWZ23" s="3741"/>
      <c r="MXA23" s="3741"/>
      <c r="MXB23" s="3741"/>
      <c r="MXC23" s="3741"/>
      <c r="MXD23" s="3741"/>
      <c r="MXE23" s="3741"/>
      <c r="MXF23" s="3741"/>
      <c r="MXG23" s="3741"/>
      <c r="MXH23" s="3741"/>
      <c r="MXI23" s="3741"/>
      <c r="MXJ23" s="3741"/>
      <c r="MXK23" s="3741"/>
      <c r="MXL23" s="3741"/>
      <c r="MXM23" s="3741"/>
      <c r="MXN23" s="3741"/>
      <c r="MXO23" s="3741"/>
      <c r="MXP23" s="3741"/>
      <c r="MXQ23" s="3741"/>
      <c r="MXR23" s="3741"/>
      <c r="MXS23" s="3741"/>
      <c r="MXT23" s="3741"/>
      <c r="MXU23" s="3741"/>
      <c r="MXV23" s="3741"/>
      <c r="MXW23" s="3741"/>
      <c r="MXX23" s="3741"/>
      <c r="MXY23" s="3741"/>
      <c r="MXZ23" s="3741"/>
      <c r="MYA23" s="3741"/>
      <c r="MYB23" s="3741"/>
      <c r="MYC23" s="3741"/>
      <c r="MYD23" s="3741"/>
      <c r="MYE23" s="3741"/>
      <c r="MYF23" s="3741"/>
      <c r="MYG23" s="3741"/>
      <c r="MYH23" s="3741"/>
      <c r="MYI23" s="3741"/>
      <c r="MYJ23" s="3741"/>
      <c r="MYK23" s="3741"/>
      <c r="MYL23" s="3741"/>
      <c r="MYM23" s="3741"/>
      <c r="MYN23" s="3741"/>
      <c r="MYO23" s="3741"/>
      <c r="MYP23" s="3741"/>
      <c r="MYQ23" s="3741"/>
      <c r="MYR23" s="3741"/>
      <c r="MYS23" s="3741"/>
      <c r="MYT23" s="3741"/>
      <c r="MYU23" s="3741"/>
      <c r="MYV23" s="3741"/>
      <c r="MYW23" s="3741"/>
      <c r="MYX23" s="3741"/>
      <c r="MYY23" s="3741"/>
      <c r="MYZ23" s="3741"/>
      <c r="MZA23" s="3741"/>
      <c r="MZB23" s="3741"/>
      <c r="MZC23" s="3741"/>
      <c r="MZD23" s="3741"/>
      <c r="MZE23" s="3741"/>
      <c r="MZF23" s="3741"/>
      <c r="MZG23" s="3741"/>
      <c r="MZH23" s="3741"/>
      <c r="MZI23" s="3741"/>
      <c r="MZJ23" s="3741"/>
      <c r="MZK23" s="3741"/>
      <c r="MZL23" s="3741"/>
      <c r="MZM23" s="3741"/>
      <c r="MZN23" s="3741"/>
      <c r="MZO23" s="3741"/>
      <c r="MZP23" s="3741"/>
      <c r="MZQ23" s="3741"/>
      <c r="MZR23" s="3741"/>
      <c r="MZS23" s="3741"/>
      <c r="MZT23" s="3741"/>
      <c r="MZU23" s="3741"/>
      <c r="MZV23" s="3741"/>
      <c r="MZW23" s="3741"/>
      <c r="MZX23" s="3741"/>
      <c r="MZY23" s="3741"/>
      <c r="MZZ23" s="3741"/>
      <c r="NAA23" s="3741"/>
      <c r="NAB23" s="3741"/>
      <c r="NAC23" s="3741"/>
      <c r="NAD23" s="3741"/>
      <c r="NAE23" s="3741"/>
      <c r="NAF23" s="3741"/>
      <c r="NAG23" s="3741"/>
      <c r="NAH23" s="3741"/>
      <c r="NAI23" s="3741"/>
      <c r="NAJ23" s="3741"/>
      <c r="NAK23" s="3741"/>
      <c r="NAL23" s="3741"/>
      <c r="NAM23" s="3741"/>
      <c r="NAN23" s="3741"/>
      <c r="NAO23" s="3741"/>
      <c r="NAP23" s="3741"/>
      <c r="NAQ23" s="3741"/>
      <c r="NAR23" s="3741"/>
      <c r="NAS23" s="3741"/>
      <c r="NAT23" s="3741"/>
      <c r="NAU23" s="3741"/>
      <c r="NAV23" s="3741"/>
      <c r="NAW23" s="3741"/>
      <c r="NAX23" s="3741"/>
      <c r="NAY23" s="3741"/>
      <c r="NAZ23" s="3741"/>
      <c r="NBA23" s="3741"/>
      <c r="NBB23" s="3741"/>
      <c r="NBC23" s="3741"/>
      <c r="NBD23" s="3741"/>
      <c r="NBE23" s="3741"/>
      <c r="NBF23" s="3741"/>
      <c r="NBG23" s="3741"/>
      <c r="NBH23" s="3741"/>
      <c r="NBI23" s="3741"/>
      <c r="NBJ23" s="3741"/>
      <c r="NBK23" s="3741"/>
      <c r="NBL23" s="3741"/>
      <c r="NBM23" s="3741"/>
      <c r="NBN23" s="3741"/>
      <c r="NBO23" s="3741"/>
      <c r="NBP23" s="3741"/>
      <c r="NBQ23" s="3741"/>
      <c r="NBR23" s="3741"/>
      <c r="NBS23" s="3741"/>
      <c r="NBT23" s="3741"/>
      <c r="NBU23" s="3741"/>
      <c r="NBV23" s="3741"/>
      <c r="NBW23" s="3741"/>
      <c r="NBX23" s="3741"/>
      <c r="NBY23" s="3741"/>
      <c r="NBZ23" s="3741"/>
      <c r="NCA23" s="3741"/>
      <c r="NCB23" s="3741"/>
      <c r="NCC23" s="3741"/>
      <c r="NCD23" s="3741"/>
      <c r="NCE23" s="3741"/>
      <c r="NCF23" s="3741"/>
      <c r="NCG23" s="3741"/>
      <c r="NCH23" s="3741"/>
      <c r="NCI23" s="3741"/>
      <c r="NCJ23" s="3741"/>
      <c r="NCK23" s="3741"/>
      <c r="NCL23" s="3741"/>
      <c r="NCM23" s="3741"/>
      <c r="NCN23" s="3741"/>
      <c r="NCO23" s="3741"/>
      <c r="NCP23" s="3741"/>
      <c r="NCQ23" s="3741"/>
      <c r="NCR23" s="3741"/>
      <c r="NCS23" s="3741"/>
      <c r="NCT23" s="3741"/>
      <c r="NCU23" s="3741"/>
      <c r="NCV23" s="3741"/>
      <c r="NCW23" s="3741"/>
      <c r="NCX23" s="3741"/>
      <c r="NCY23" s="3741"/>
      <c r="NCZ23" s="3741"/>
      <c r="NDA23" s="3741"/>
      <c r="NDB23" s="3741"/>
      <c r="NDC23" s="3741"/>
      <c r="NDD23" s="3741"/>
      <c r="NDE23" s="3741"/>
      <c r="NDF23" s="3741"/>
      <c r="NDG23" s="3741"/>
      <c r="NDH23" s="3741"/>
      <c r="NDI23" s="3741"/>
      <c r="NDJ23" s="3741"/>
      <c r="NDK23" s="3741"/>
      <c r="NDL23" s="3741"/>
      <c r="NDM23" s="3741"/>
      <c r="NDN23" s="3741"/>
      <c r="NDO23" s="3741"/>
      <c r="NDP23" s="3741"/>
      <c r="NDQ23" s="3741"/>
      <c r="NDR23" s="3741"/>
      <c r="NDS23" s="3741"/>
      <c r="NDT23" s="3741"/>
      <c r="NDU23" s="3741"/>
      <c r="NDV23" s="3741"/>
      <c r="NDW23" s="3741"/>
      <c r="NDX23" s="3741"/>
      <c r="NDY23" s="3741"/>
      <c r="NDZ23" s="3741"/>
      <c r="NEA23" s="3741"/>
      <c r="NEB23" s="3741"/>
      <c r="NEC23" s="3741"/>
      <c r="NED23" s="3741"/>
      <c r="NEE23" s="3741"/>
      <c r="NEF23" s="3741"/>
      <c r="NEG23" s="3741"/>
      <c r="NEH23" s="3741"/>
      <c r="NEI23" s="3741"/>
      <c r="NEJ23" s="3741"/>
      <c r="NEK23" s="3741"/>
      <c r="NEL23" s="3741"/>
      <c r="NEM23" s="3741"/>
      <c r="NEN23" s="3741"/>
      <c r="NEO23" s="3741"/>
      <c r="NEP23" s="3741"/>
      <c r="NEQ23" s="3741"/>
      <c r="NER23" s="3741"/>
      <c r="NES23" s="3741"/>
      <c r="NET23" s="3741"/>
      <c r="NEU23" s="3741"/>
      <c r="NEV23" s="3741"/>
      <c r="NEW23" s="3741"/>
      <c r="NEX23" s="3741"/>
      <c r="NEY23" s="3741"/>
      <c r="NEZ23" s="3741"/>
      <c r="NFA23" s="3741"/>
      <c r="NFB23" s="3741"/>
      <c r="NFC23" s="3741"/>
      <c r="NFD23" s="3741"/>
      <c r="NFE23" s="3741"/>
      <c r="NFF23" s="3741"/>
      <c r="NFG23" s="3741"/>
      <c r="NFH23" s="3741"/>
      <c r="NFI23" s="3741"/>
      <c r="NFJ23" s="3741"/>
      <c r="NFK23" s="3741"/>
      <c r="NFL23" s="3741"/>
      <c r="NFM23" s="3741"/>
      <c r="NFN23" s="3741"/>
      <c r="NFO23" s="3741"/>
      <c r="NFP23" s="3741"/>
      <c r="NFQ23" s="3741"/>
      <c r="NFR23" s="3741"/>
      <c r="NFS23" s="3741"/>
      <c r="NFT23" s="3741"/>
      <c r="NFU23" s="3741"/>
      <c r="NFV23" s="3741"/>
      <c r="NFW23" s="3741"/>
      <c r="NFX23" s="3741"/>
      <c r="NFY23" s="3741"/>
      <c r="NFZ23" s="3741"/>
      <c r="NGA23" s="3741"/>
      <c r="NGB23" s="3741"/>
      <c r="NGC23" s="3741"/>
      <c r="NGD23" s="3741"/>
      <c r="NGE23" s="3741"/>
      <c r="NGF23" s="3741"/>
      <c r="NGG23" s="3741"/>
      <c r="NGH23" s="3741"/>
      <c r="NGI23" s="3741"/>
      <c r="NGJ23" s="3741"/>
      <c r="NGK23" s="3741"/>
      <c r="NGL23" s="3741"/>
      <c r="NGM23" s="3741"/>
      <c r="NGN23" s="3741"/>
      <c r="NGO23" s="3741"/>
      <c r="NGP23" s="3741"/>
      <c r="NGQ23" s="3741"/>
      <c r="NGR23" s="3741"/>
      <c r="NGS23" s="3741"/>
      <c r="NGT23" s="3741"/>
      <c r="NGU23" s="3741"/>
      <c r="NGV23" s="3741"/>
      <c r="NGW23" s="3741"/>
      <c r="NGX23" s="3741"/>
      <c r="NGY23" s="3741"/>
      <c r="NGZ23" s="3741"/>
      <c r="NHA23" s="3741"/>
      <c r="NHB23" s="3741"/>
      <c r="NHC23" s="3741"/>
      <c r="NHD23" s="3741"/>
      <c r="NHE23" s="3741"/>
      <c r="NHF23" s="3741"/>
      <c r="NHG23" s="3741"/>
      <c r="NHH23" s="3741"/>
      <c r="NHI23" s="3741"/>
      <c r="NHJ23" s="3741"/>
      <c r="NHK23" s="3741"/>
      <c r="NHL23" s="3741"/>
      <c r="NHM23" s="3741"/>
      <c r="NHN23" s="3741"/>
      <c r="NHO23" s="3741"/>
      <c r="NHP23" s="3741"/>
      <c r="NHQ23" s="3741"/>
      <c r="NHR23" s="3741"/>
      <c r="NHS23" s="3741"/>
      <c r="NHT23" s="3741"/>
      <c r="NHU23" s="3741"/>
      <c r="NHV23" s="3741"/>
      <c r="NHW23" s="3741"/>
      <c r="NHX23" s="3741"/>
      <c r="NHY23" s="3741"/>
      <c r="NHZ23" s="3741"/>
      <c r="NIA23" s="3741"/>
      <c r="NIB23" s="3741"/>
      <c r="NIC23" s="3741"/>
      <c r="NID23" s="3741"/>
      <c r="NIE23" s="3741"/>
      <c r="NIF23" s="3741"/>
      <c r="NIG23" s="3741"/>
      <c r="NIH23" s="3741"/>
      <c r="NII23" s="3741"/>
      <c r="NIJ23" s="3741"/>
      <c r="NIK23" s="3741"/>
      <c r="NIL23" s="3741"/>
      <c r="NIM23" s="3741"/>
      <c r="NIN23" s="3741"/>
      <c r="NIO23" s="3741"/>
      <c r="NIP23" s="3741"/>
      <c r="NIQ23" s="3741"/>
      <c r="NIR23" s="3741"/>
      <c r="NIS23" s="3741"/>
      <c r="NIT23" s="3741"/>
      <c r="NIU23" s="3741"/>
      <c r="NIV23" s="3741"/>
      <c r="NIW23" s="3741"/>
      <c r="NIX23" s="3741"/>
      <c r="NIY23" s="3741"/>
      <c r="NIZ23" s="3741"/>
      <c r="NJA23" s="3741"/>
      <c r="NJB23" s="3741"/>
      <c r="NJC23" s="3741"/>
      <c r="NJD23" s="3741"/>
      <c r="NJE23" s="3741"/>
      <c r="NJF23" s="3741"/>
      <c r="NJG23" s="3741"/>
      <c r="NJH23" s="3741"/>
      <c r="NJI23" s="3741"/>
      <c r="NJJ23" s="3741"/>
      <c r="NJK23" s="3741"/>
      <c r="NJL23" s="3741"/>
      <c r="NJM23" s="3741"/>
      <c r="NJN23" s="3741"/>
      <c r="NJO23" s="3741"/>
      <c r="NJP23" s="3741"/>
      <c r="NJQ23" s="3741"/>
      <c r="NJR23" s="3741"/>
      <c r="NJS23" s="3741"/>
      <c r="NJT23" s="3741"/>
      <c r="NJU23" s="3741"/>
      <c r="NJV23" s="3741"/>
      <c r="NJW23" s="3741"/>
      <c r="NJX23" s="3741"/>
      <c r="NJY23" s="3741"/>
      <c r="NJZ23" s="3741"/>
      <c r="NKA23" s="3741"/>
      <c r="NKB23" s="3741"/>
      <c r="NKC23" s="3741"/>
      <c r="NKD23" s="3741"/>
      <c r="NKE23" s="3741"/>
      <c r="NKF23" s="3741"/>
      <c r="NKG23" s="3741"/>
      <c r="NKH23" s="3741"/>
      <c r="NKI23" s="3741"/>
      <c r="NKJ23" s="3741"/>
      <c r="NKK23" s="3741"/>
      <c r="NKL23" s="3741"/>
      <c r="NKM23" s="3741"/>
      <c r="NKN23" s="3741"/>
      <c r="NKO23" s="3741"/>
      <c r="NKP23" s="3741"/>
      <c r="NKQ23" s="3741"/>
      <c r="NKR23" s="3741"/>
      <c r="NKS23" s="3741"/>
      <c r="NKT23" s="3741"/>
      <c r="NKU23" s="3741"/>
      <c r="NKV23" s="3741"/>
      <c r="NKW23" s="3741"/>
      <c r="NKX23" s="3741"/>
      <c r="NKY23" s="3741"/>
      <c r="NKZ23" s="3741"/>
      <c r="NLA23" s="3741"/>
      <c r="NLB23" s="3741"/>
      <c r="NLC23" s="3741"/>
      <c r="NLD23" s="3741"/>
      <c r="NLE23" s="3741"/>
      <c r="NLF23" s="3741"/>
      <c r="NLG23" s="3741"/>
      <c r="NLH23" s="3741"/>
      <c r="NLI23" s="3741"/>
      <c r="NLJ23" s="3741"/>
      <c r="NLK23" s="3741"/>
      <c r="NLL23" s="3741"/>
      <c r="NLM23" s="3741"/>
      <c r="NLN23" s="3741"/>
      <c r="NLO23" s="3741"/>
      <c r="NLP23" s="3741"/>
      <c r="NLQ23" s="3741"/>
      <c r="NLR23" s="3741"/>
      <c r="NLS23" s="3741"/>
      <c r="NLT23" s="3741"/>
      <c r="NLU23" s="3741"/>
      <c r="NLV23" s="3741"/>
      <c r="NLW23" s="3741"/>
      <c r="NLX23" s="3741"/>
      <c r="NLY23" s="3741"/>
      <c r="NLZ23" s="3741"/>
      <c r="NMA23" s="3741"/>
      <c r="NMB23" s="3741"/>
      <c r="NMC23" s="3741"/>
      <c r="NMD23" s="3741"/>
      <c r="NME23" s="3741"/>
      <c r="NMF23" s="3741"/>
      <c r="NMG23" s="3741"/>
      <c r="NMH23" s="3741"/>
      <c r="NMI23" s="3741"/>
      <c r="NMJ23" s="3741"/>
      <c r="NMK23" s="3741"/>
      <c r="NML23" s="3741"/>
      <c r="NMM23" s="3741"/>
      <c r="NMN23" s="3741"/>
      <c r="NMO23" s="3741"/>
      <c r="NMP23" s="3741"/>
      <c r="NMQ23" s="3741"/>
      <c r="NMR23" s="3741"/>
      <c r="NMS23" s="3741"/>
      <c r="NMT23" s="3741"/>
      <c r="NMU23" s="3741"/>
      <c r="NMV23" s="3741"/>
      <c r="NMW23" s="3741"/>
      <c r="NMX23" s="3741"/>
      <c r="NMY23" s="3741"/>
      <c r="NMZ23" s="3741"/>
      <c r="NNA23" s="3741"/>
      <c r="NNB23" s="3741"/>
      <c r="NNC23" s="3741"/>
      <c r="NND23" s="3741"/>
      <c r="NNE23" s="3741"/>
      <c r="NNF23" s="3741"/>
      <c r="NNG23" s="3741"/>
      <c r="NNH23" s="3741"/>
      <c r="NNI23" s="3741"/>
      <c r="NNJ23" s="3741"/>
      <c r="NNK23" s="3741"/>
      <c r="NNL23" s="3741"/>
      <c r="NNM23" s="3741"/>
      <c r="NNN23" s="3741"/>
      <c r="NNO23" s="3741"/>
      <c r="NNP23" s="3741"/>
      <c r="NNQ23" s="3741"/>
      <c r="NNR23" s="3741"/>
      <c r="NNS23" s="3741"/>
      <c r="NNT23" s="3741"/>
      <c r="NNU23" s="3741"/>
      <c r="NNV23" s="3741"/>
      <c r="NNW23" s="3741"/>
      <c r="NNX23" s="3741"/>
      <c r="NNY23" s="3741"/>
      <c r="NNZ23" s="3741"/>
      <c r="NOA23" s="3741"/>
      <c r="NOB23" s="3741"/>
      <c r="NOC23" s="3741"/>
      <c r="NOD23" s="3741"/>
      <c r="NOE23" s="3741"/>
      <c r="NOF23" s="3741"/>
      <c r="NOG23" s="3741"/>
      <c r="NOH23" s="3741"/>
      <c r="NOI23" s="3741"/>
      <c r="NOJ23" s="3741"/>
      <c r="NOK23" s="3741"/>
      <c r="NOL23" s="3741"/>
      <c r="NOM23" s="3741"/>
      <c r="NON23" s="3741"/>
      <c r="NOO23" s="3741"/>
      <c r="NOP23" s="3741"/>
      <c r="NOQ23" s="3741"/>
      <c r="NOR23" s="3741"/>
      <c r="NOS23" s="3741"/>
      <c r="NOT23" s="3741"/>
      <c r="NOU23" s="3741"/>
      <c r="NOV23" s="3741"/>
      <c r="NOW23" s="3741"/>
      <c r="NOX23" s="3741"/>
      <c r="NOY23" s="3741"/>
      <c r="NOZ23" s="3741"/>
      <c r="NPA23" s="3741"/>
      <c r="NPB23" s="3741"/>
      <c r="NPC23" s="3741"/>
      <c r="NPD23" s="3741"/>
      <c r="NPE23" s="3741"/>
      <c r="NPF23" s="3741"/>
      <c r="NPG23" s="3741"/>
      <c r="NPH23" s="3741"/>
      <c r="NPI23" s="3741"/>
      <c r="NPJ23" s="3741"/>
      <c r="NPK23" s="3741"/>
      <c r="NPL23" s="3741"/>
      <c r="NPM23" s="3741"/>
      <c r="NPN23" s="3741"/>
      <c r="NPO23" s="3741"/>
      <c r="NPP23" s="3741"/>
      <c r="NPQ23" s="3741"/>
      <c r="NPR23" s="3741"/>
      <c r="NPS23" s="3741"/>
      <c r="NPT23" s="3741"/>
      <c r="NPU23" s="3741"/>
      <c r="NPV23" s="3741"/>
      <c r="NPW23" s="3741"/>
      <c r="NPX23" s="3741"/>
      <c r="NPY23" s="3741"/>
      <c r="NPZ23" s="3741"/>
      <c r="NQA23" s="3741"/>
      <c r="NQB23" s="3741"/>
      <c r="NQC23" s="3741"/>
      <c r="NQD23" s="3741"/>
      <c r="NQE23" s="3741"/>
      <c r="NQF23" s="3741"/>
      <c r="NQG23" s="3741"/>
      <c r="NQH23" s="3741"/>
      <c r="NQI23" s="3741"/>
      <c r="NQJ23" s="3741"/>
      <c r="NQK23" s="3741"/>
      <c r="NQL23" s="3741"/>
      <c r="NQM23" s="3741"/>
      <c r="NQN23" s="3741"/>
      <c r="NQO23" s="3741"/>
      <c r="NQP23" s="3741"/>
      <c r="NQQ23" s="3741"/>
      <c r="NQR23" s="3741"/>
      <c r="NQS23" s="3741"/>
      <c r="NQT23" s="3741"/>
      <c r="NQU23" s="3741"/>
      <c r="NQV23" s="3741"/>
      <c r="NQW23" s="3741"/>
      <c r="NQX23" s="3741"/>
      <c r="NQY23" s="3741"/>
      <c r="NQZ23" s="3741"/>
      <c r="NRA23" s="3741"/>
      <c r="NRB23" s="3741"/>
      <c r="NRC23" s="3741"/>
      <c r="NRD23" s="3741"/>
      <c r="NRE23" s="3741"/>
      <c r="NRF23" s="3741"/>
      <c r="NRG23" s="3741"/>
      <c r="NRH23" s="3741"/>
      <c r="NRI23" s="3741"/>
      <c r="NRJ23" s="3741"/>
      <c r="NRK23" s="3741"/>
      <c r="NRL23" s="3741"/>
      <c r="NRM23" s="3741"/>
      <c r="NRN23" s="3741"/>
      <c r="NRO23" s="3741"/>
      <c r="NRP23" s="3741"/>
      <c r="NRQ23" s="3741"/>
      <c r="NRR23" s="3741"/>
      <c r="NRS23" s="3741"/>
      <c r="NRT23" s="3741"/>
      <c r="NRU23" s="3741"/>
      <c r="NRV23" s="3741"/>
      <c r="NRW23" s="3741"/>
      <c r="NRX23" s="3741"/>
      <c r="NRY23" s="3741"/>
      <c r="NRZ23" s="3741"/>
      <c r="NSA23" s="3741"/>
      <c r="NSB23" s="3741"/>
      <c r="NSC23" s="3741"/>
      <c r="NSD23" s="3741"/>
      <c r="NSE23" s="3741"/>
      <c r="NSF23" s="3741"/>
      <c r="NSG23" s="3741"/>
      <c r="NSH23" s="3741"/>
      <c r="NSI23" s="3741"/>
      <c r="NSJ23" s="3741"/>
      <c r="NSK23" s="3741"/>
      <c r="NSL23" s="3741"/>
      <c r="NSM23" s="3741"/>
      <c r="NSN23" s="3741"/>
      <c r="NSO23" s="3741"/>
      <c r="NSP23" s="3741"/>
      <c r="NSQ23" s="3741"/>
      <c r="NSR23" s="3741"/>
      <c r="NSS23" s="3741"/>
      <c r="NST23" s="3741"/>
      <c r="NSU23" s="3741"/>
      <c r="NSV23" s="3741"/>
      <c r="NSW23" s="3741"/>
      <c r="NSX23" s="3741"/>
      <c r="NSY23" s="3741"/>
      <c r="NSZ23" s="3741"/>
      <c r="NTA23" s="3741"/>
      <c r="NTB23" s="3741"/>
      <c r="NTC23" s="3741"/>
      <c r="NTD23" s="3741"/>
      <c r="NTE23" s="3741"/>
      <c r="NTF23" s="3741"/>
      <c r="NTG23" s="3741"/>
      <c r="NTH23" s="3741"/>
      <c r="NTI23" s="3741"/>
      <c r="NTJ23" s="3741"/>
      <c r="NTK23" s="3741"/>
      <c r="NTL23" s="3741"/>
      <c r="NTM23" s="3741"/>
      <c r="NTN23" s="3741"/>
      <c r="NTO23" s="3741"/>
      <c r="NTP23" s="3741"/>
      <c r="NTQ23" s="3741"/>
      <c r="NTR23" s="3741"/>
      <c r="NTS23" s="3741"/>
      <c r="NTT23" s="3741"/>
      <c r="NTU23" s="3741"/>
      <c r="NTV23" s="3741"/>
      <c r="NTW23" s="3741"/>
      <c r="NTX23" s="3741"/>
      <c r="NTY23" s="3741"/>
      <c r="NTZ23" s="3741"/>
      <c r="NUA23" s="3741"/>
      <c r="NUB23" s="3741"/>
      <c r="NUC23" s="3741"/>
      <c r="NUD23" s="3741"/>
      <c r="NUE23" s="3741"/>
      <c r="NUF23" s="3741"/>
      <c r="NUG23" s="3741"/>
      <c r="NUH23" s="3741"/>
      <c r="NUI23" s="3741"/>
      <c r="NUJ23" s="3741"/>
      <c r="NUK23" s="3741"/>
      <c r="NUL23" s="3741"/>
      <c r="NUM23" s="3741"/>
      <c r="NUN23" s="3741"/>
      <c r="NUO23" s="3741"/>
      <c r="NUP23" s="3741"/>
      <c r="NUQ23" s="3741"/>
      <c r="NUR23" s="3741"/>
      <c r="NUS23" s="3741"/>
      <c r="NUT23" s="3741"/>
      <c r="NUU23" s="3741"/>
      <c r="NUV23" s="3741"/>
      <c r="NUW23" s="3741"/>
      <c r="NUX23" s="3741"/>
      <c r="NUY23" s="3741"/>
      <c r="NUZ23" s="3741"/>
      <c r="NVA23" s="3741"/>
      <c r="NVB23" s="3741"/>
      <c r="NVC23" s="3741"/>
      <c r="NVD23" s="3741"/>
      <c r="NVE23" s="3741"/>
      <c r="NVF23" s="3741"/>
      <c r="NVG23" s="3741"/>
      <c r="NVH23" s="3741"/>
      <c r="NVI23" s="3741"/>
      <c r="NVJ23" s="3741"/>
      <c r="NVK23" s="3741"/>
      <c r="NVL23" s="3741"/>
      <c r="NVM23" s="3741"/>
      <c r="NVN23" s="3741"/>
      <c r="NVO23" s="3741"/>
      <c r="NVP23" s="3741"/>
      <c r="NVQ23" s="3741"/>
      <c r="NVR23" s="3741"/>
      <c r="NVS23" s="3741"/>
      <c r="NVT23" s="3741"/>
      <c r="NVU23" s="3741"/>
      <c r="NVV23" s="3741"/>
      <c r="NVW23" s="3741"/>
      <c r="NVX23" s="3741"/>
      <c r="NVY23" s="3741"/>
      <c r="NVZ23" s="3741"/>
      <c r="NWA23" s="3741"/>
      <c r="NWB23" s="3741"/>
      <c r="NWC23" s="3741"/>
      <c r="NWD23" s="3741"/>
      <c r="NWE23" s="3741"/>
      <c r="NWF23" s="3741"/>
      <c r="NWG23" s="3741"/>
      <c r="NWH23" s="3741"/>
      <c r="NWI23" s="3741"/>
      <c r="NWJ23" s="3741"/>
      <c r="NWK23" s="3741"/>
      <c r="NWL23" s="3741"/>
      <c r="NWM23" s="3741"/>
      <c r="NWN23" s="3741"/>
      <c r="NWO23" s="3741"/>
      <c r="NWP23" s="3741"/>
      <c r="NWQ23" s="3741"/>
      <c r="NWR23" s="3741"/>
      <c r="NWS23" s="3741"/>
      <c r="NWT23" s="3741"/>
      <c r="NWU23" s="3741"/>
      <c r="NWV23" s="3741"/>
      <c r="NWW23" s="3741"/>
      <c r="NWX23" s="3741"/>
      <c r="NWY23" s="3741"/>
      <c r="NWZ23" s="3741"/>
      <c r="NXA23" s="3741"/>
      <c r="NXB23" s="3741"/>
      <c r="NXC23" s="3741"/>
      <c r="NXD23" s="3741"/>
      <c r="NXE23" s="3741"/>
      <c r="NXF23" s="3741"/>
      <c r="NXG23" s="3741"/>
      <c r="NXH23" s="3741"/>
      <c r="NXI23" s="3741"/>
      <c r="NXJ23" s="3741"/>
      <c r="NXK23" s="3741"/>
      <c r="NXL23" s="3741"/>
      <c r="NXM23" s="3741"/>
      <c r="NXN23" s="3741"/>
      <c r="NXO23" s="3741"/>
      <c r="NXP23" s="3741"/>
      <c r="NXQ23" s="3741"/>
      <c r="NXR23" s="3741"/>
      <c r="NXS23" s="3741"/>
      <c r="NXT23" s="3741"/>
      <c r="NXU23" s="3741"/>
      <c r="NXV23" s="3741"/>
      <c r="NXW23" s="3741"/>
      <c r="NXX23" s="3741"/>
      <c r="NXY23" s="3741"/>
      <c r="NXZ23" s="3741"/>
      <c r="NYA23" s="3741"/>
      <c r="NYB23" s="3741"/>
      <c r="NYC23" s="3741"/>
      <c r="NYD23" s="3741"/>
      <c r="NYE23" s="3741"/>
      <c r="NYF23" s="3741"/>
      <c r="NYG23" s="3741"/>
      <c r="NYH23" s="3741"/>
      <c r="NYI23" s="3741"/>
      <c r="NYJ23" s="3741"/>
      <c r="NYK23" s="3741"/>
      <c r="NYL23" s="3741"/>
      <c r="NYM23" s="3741"/>
      <c r="NYN23" s="3741"/>
      <c r="NYO23" s="3741"/>
      <c r="NYP23" s="3741"/>
      <c r="NYQ23" s="3741"/>
      <c r="NYR23" s="3741"/>
      <c r="NYS23" s="3741"/>
      <c r="NYT23" s="3741"/>
      <c r="NYU23" s="3741"/>
      <c r="NYV23" s="3741"/>
      <c r="NYW23" s="3741"/>
      <c r="NYX23" s="3741"/>
      <c r="NYY23" s="3741"/>
      <c r="NYZ23" s="3741"/>
      <c r="NZA23" s="3741"/>
      <c r="NZB23" s="3741"/>
      <c r="NZC23" s="3741"/>
      <c r="NZD23" s="3741"/>
      <c r="NZE23" s="3741"/>
      <c r="NZF23" s="3741"/>
      <c r="NZG23" s="3741"/>
      <c r="NZH23" s="3741"/>
      <c r="NZI23" s="3741"/>
      <c r="NZJ23" s="3741"/>
      <c r="NZK23" s="3741"/>
      <c r="NZL23" s="3741"/>
      <c r="NZM23" s="3741"/>
      <c r="NZN23" s="3741"/>
      <c r="NZO23" s="3741"/>
      <c r="NZP23" s="3741"/>
      <c r="NZQ23" s="3741"/>
      <c r="NZR23" s="3741"/>
      <c r="NZS23" s="3741"/>
      <c r="NZT23" s="3741"/>
      <c r="NZU23" s="3741"/>
      <c r="NZV23" s="3741"/>
      <c r="NZW23" s="3741"/>
      <c r="NZX23" s="3741"/>
      <c r="NZY23" s="3741"/>
      <c r="NZZ23" s="3741"/>
      <c r="OAA23" s="3741"/>
      <c r="OAB23" s="3741"/>
      <c r="OAC23" s="3741"/>
      <c r="OAD23" s="3741"/>
      <c r="OAE23" s="3741"/>
      <c r="OAF23" s="3741"/>
      <c r="OAG23" s="3741"/>
      <c r="OAH23" s="3741"/>
      <c r="OAI23" s="3741"/>
      <c r="OAJ23" s="3741"/>
      <c r="OAK23" s="3741"/>
      <c r="OAL23" s="3741"/>
      <c r="OAM23" s="3741"/>
      <c r="OAN23" s="3741"/>
      <c r="OAO23" s="3741"/>
      <c r="OAP23" s="3741"/>
      <c r="OAQ23" s="3741"/>
      <c r="OAR23" s="3741"/>
      <c r="OAS23" s="3741"/>
      <c r="OAT23" s="3741"/>
      <c r="OAU23" s="3741"/>
      <c r="OAV23" s="3741"/>
      <c r="OAW23" s="3741"/>
      <c r="OAX23" s="3741"/>
      <c r="OAY23" s="3741"/>
      <c r="OAZ23" s="3741"/>
      <c r="OBA23" s="3741"/>
      <c r="OBB23" s="3741"/>
      <c r="OBC23" s="3741"/>
      <c r="OBD23" s="3741"/>
      <c r="OBE23" s="3741"/>
      <c r="OBF23" s="3741"/>
      <c r="OBG23" s="3741"/>
      <c r="OBH23" s="3741"/>
      <c r="OBI23" s="3741"/>
      <c r="OBJ23" s="3741"/>
      <c r="OBK23" s="3741"/>
      <c r="OBL23" s="3741"/>
      <c r="OBM23" s="3741"/>
      <c r="OBN23" s="3741"/>
      <c r="OBO23" s="3741"/>
      <c r="OBP23" s="3741"/>
      <c r="OBQ23" s="3741"/>
      <c r="OBR23" s="3741"/>
      <c r="OBS23" s="3741"/>
      <c r="OBT23" s="3741"/>
      <c r="OBU23" s="3741"/>
      <c r="OBV23" s="3741"/>
      <c r="OBW23" s="3741"/>
      <c r="OBX23" s="3741"/>
      <c r="OBY23" s="3741"/>
      <c r="OBZ23" s="3741"/>
      <c r="OCA23" s="3741"/>
      <c r="OCB23" s="3741"/>
      <c r="OCC23" s="3741"/>
      <c r="OCD23" s="3741"/>
      <c r="OCE23" s="3741"/>
      <c r="OCF23" s="3741"/>
      <c r="OCG23" s="3741"/>
      <c r="OCH23" s="3741"/>
      <c r="OCI23" s="3741"/>
      <c r="OCJ23" s="3741"/>
      <c r="OCK23" s="3741"/>
      <c r="OCL23" s="3741"/>
      <c r="OCM23" s="3741"/>
      <c r="OCN23" s="3741"/>
      <c r="OCO23" s="3741"/>
      <c r="OCP23" s="3741"/>
      <c r="OCQ23" s="3741"/>
      <c r="OCR23" s="3741"/>
      <c r="OCS23" s="3741"/>
      <c r="OCT23" s="3741"/>
      <c r="OCU23" s="3741"/>
      <c r="OCV23" s="3741"/>
      <c r="OCW23" s="3741"/>
      <c r="OCX23" s="3741"/>
      <c r="OCY23" s="3741"/>
      <c r="OCZ23" s="3741"/>
      <c r="ODA23" s="3741"/>
      <c r="ODB23" s="3741"/>
      <c r="ODC23" s="3741"/>
      <c r="ODD23" s="3741"/>
      <c r="ODE23" s="3741"/>
      <c r="ODF23" s="3741"/>
      <c r="ODG23" s="3741"/>
      <c r="ODH23" s="3741"/>
      <c r="ODI23" s="3741"/>
      <c r="ODJ23" s="3741"/>
      <c r="ODK23" s="3741"/>
      <c r="ODL23" s="3741"/>
      <c r="ODM23" s="3741"/>
      <c r="ODN23" s="3741"/>
      <c r="ODO23" s="3741"/>
      <c r="ODP23" s="3741"/>
      <c r="ODQ23" s="3741"/>
      <c r="ODR23" s="3741"/>
      <c r="ODS23" s="3741"/>
      <c r="ODT23" s="3741"/>
      <c r="ODU23" s="3741"/>
      <c r="ODV23" s="3741"/>
      <c r="ODW23" s="3741"/>
      <c r="ODX23" s="3741"/>
      <c r="ODY23" s="3741"/>
      <c r="ODZ23" s="3741"/>
      <c r="OEA23" s="3741"/>
      <c r="OEB23" s="3741"/>
      <c r="OEC23" s="3741"/>
      <c r="OED23" s="3741"/>
      <c r="OEE23" s="3741"/>
      <c r="OEF23" s="3741"/>
      <c r="OEG23" s="3741"/>
      <c r="OEH23" s="3741"/>
      <c r="OEI23" s="3741"/>
      <c r="OEJ23" s="3741"/>
      <c r="OEK23" s="3741"/>
      <c r="OEL23" s="3741"/>
      <c r="OEM23" s="3741"/>
      <c r="OEN23" s="3741"/>
      <c r="OEO23" s="3741"/>
      <c r="OEP23" s="3741"/>
      <c r="OEQ23" s="3741"/>
      <c r="OER23" s="3741"/>
      <c r="OES23" s="3741"/>
      <c r="OET23" s="3741"/>
      <c r="OEU23" s="3741"/>
      <c r="OEV23" s="3741"/>
      <c r="OEW23" s="3741"/>
      <c r="OEX23" s="3741"/>
      <c r="OEY23" s="3741"/>
      <c r="OEZ23" s="3741"/>
      <c r="OFA23" s="3741"/>
      <c r="OFB23" s="3741"/>
      <c r="OFC23" s="3741"/>
      <c r="OFD23" s="3741"/>
      <c r="OFE23" s="3741"/>
      <c r="OFF23" s="3741"/>
      <c r="OFG23" s="3741"/>
      <c r="OFH23" s="3741"/>
      <c r="OFI23" s="3741"/>
      <c r="OFJ23" s="3741"/>
      <c r="OFK23" s="3741"/>
      <c r="OFL23" s="3741"/>
      <c r="OFM23" s="3741"/>
      <c r="OFN23" s="3741"/>
      <c r="OFO23" s="3741"/>
      <c r="OFP23" s="3741"/>
      <c r="OFQ23" s="3741"/>
      <c r="OFR23" s="3741"/>
      <c r="OFS23" s="3741"/>
      <c r="OFT23" s="3741"/>
      <c r="OFU23" s="3741"/>
      <c r="OFV23" s="3741"/>
      <c r="OFW23" s="3741"/>
      <c r="OFX23" s="3741"/>
      <c r="OFY23" s="3741"/>
      <c r="OFZ23" s="3741"/>
      <c r="OGA23" s="3741"/>
      <c r="OGB23" s="3741"/>
      <c r="OGC23" s="3741"/>
      <c r="OGD23" s="3741"/>
      <c r="OGE23" s="3741"/>
      <c r="OGF23" s="3741"/>
      <c r="OGG23" s="3741"/>
      <c r="OGH23" s="3741"/>
      <c r="OGI23" s="3741"/>
      <c r="OGJ23" s="3741"/>
      <c r="OGK23" s="3741"/>
      <c r="OGL23" s="3741"/>
      <c r="OGM23" s="3741"/>
      <c r="OGN23" s="3741"/>
      <c r="OGO23" s="3741"/>
      <c r="OGP23" s="3741"/>
      <c r="OGQ23" s="3741"/>
      <c r="OGR23" s="3741"/>
      <c r="OGS23" s="3741"/>
      <c r="OGT23" s="3741"/>
      <c r="OGU23" s="3741"/>
      <c r="OGV23" s="3741"/>
      <c r="OGW23" s="3741"/>
      <c r="OGX23" s="3741"/>
      <c r="OGY23" s="3741"/>
      <c r="OGZ23" s="3741"/>
      <c r="OHA23" s="3741"/>
      <c r="OHB23" s="3741"/>
      <c r="OHC23" s="3741"/>
      <c r="OHD23" s="3741"/>
      <c r="OHE23" s="3741"/>
      <c r="OHF23" s="3741"/>
      <c r="OHG23" s="3741"/>
      <c r="OHH23" s="3741"/>
      <c r="OHI23" s="3741"/>
      <c r="OHJ23" s="3741"/>
      <c r="OHK23" s="3741"/>
      <c r="OHL23" s="3741"/>
      <c r="OHM23" s="3741"/>
      <c r="OHN23" s="3741"/>
      <c r="OHO23" s="3741"/>
      <c r="OHP23" s="3741"/>
      <c r="OHQ23" s="3741"/>
      <c r="OHR23" s="3741"/>
      <c r="OHS23" s="3741"/>
      <c r="OHT23" s="3741"/>
      <c r="OHU23" s="3741"/>
      <c r="OHV23" s="3741"/>
      <c r="OHW23" s="3741"/>
      <c r="OHX23" s="3741"/>
      <c r="OHY23" s="3741"/>
      <c r="OHZ23" s="3741"/>
      <c r="OIA23" s="3741"/>
      <c r="OIB23" s="3741"/>
      <c r="OIC23" s="3741"/>
      <c r="OID23" s="3741"/>
      <c r="OIE23" s="3741"/>
      <c r="OIF23" s="3741"/>
      <c r="OIG23" s="3741"/>
      <c r="OIH23" s="3741"/>
      <c r="OII23" s="3741"/>
      <c r="OIJ23" s="3741"/>
      <c r="OIK23" s="3741"/>
      <c r="OIL23" s="3741"/>
      <c r="OIM23" s="3741"/>
      <c r="OIN23" s="3741"/>
      <c r="OIO23" s="3741"/>
      <c r="OIP23" s="3741"/>
      <c r="OIQ23" s="3741"/>
      <c r="OIR23" s="3741"/>
      <c r="OIS23" s="3741"/>
      <c r="OIT23" s="3741"/>
      <c r="OIU23" s="3741"/>
      <c r="OIV23" s="3741"/>
      <c r="OIW23" s="3741"/>
      <c r="OIX23" s="3741"/>
      <c r="OIY23" s="3741"/>
      <c r="OIZ23" s="3741"/>
      <c r="OJA23" s="3741"/>
      <c r="OJB23" s="3741"/>
      <c r="OJC23" s="3741"/>
      <c r="OJD23" s="3741"/>
      <c r="OJE23" s="3741"/>
      <c r="OJF23" s="3741"/>
      <c r="OJG23" s="3741"/>
      <c r="OJH23" s="3741"/>
      <c r="OJI23" s="3741"/>
      <c r="OJJ23" s="3741"/>
      <c r="OJK23" s="3741"/>
      <c r="OJL23" s="3741"/>
      <c r="OJM23" s="3741"/>
      <c r="OJN23" s="3741"/>
      <c r="OJO23" s="3741"/>
      <c r="OJP23" s="3741"/>
      <c r="OJQ23" s="3741"/>
      <c r="OJR23" s="3741"/>
      <c r="OJS23" s="3741"/>
      <c r="OJT23" s="3741"/>
      <c r="OJU23" s="3741"/>
      <c r="OJV23" s="3741"/>
      <c r="OJW23" s="3741"/>
      <c r="OJX23" s="3741"/>
      <c r="OJY23" s="3741"/>
      <c r="OJZ23" s="3741"/>
      <c r="OKA23" s="3741"/>
      <c r="OKB23" s="3741"/>
      <c r="OKC23" s="3741"/>
      <c r="OKD23" s="3741"/>
      <c r="OKE23" s="3741"/>
      <c r="OKF23" s="3741"/>
      <c r="OKG23" s="3741"/>
      <c r="OKH23" s="3741"/>
      <c r="OKI23" s="3741"/>
      <c r="OKJ23" s="3741"/>
      <c r="OKK23" s="3741"/>
      <c r="OKL23" s="3741"/>
      <c r="OKM23" s="3741"/>
      <c r="OKN23" s="3741"/>
      <c r="OKO23" s="3741"/>
      <c r="OKP23" s="3741"/>
      <c r="OKQ23" s="3741"/>
      <c r="OKR23" s="3741"/>
      <c r="OKS23" s="3741"/>
      <c r="OKT23" s="3741"/>
      <c r="OKU23" s="3741"/>
      <c r="OKV23" s="3741"/>
      <c r="OKW23" s="3741"/>
      <c r="OKX23" s="3741"/>
      <c r="OKY23" s="3741"/>
      <c r="OKZ23" s="3741"/>
      <c r="OLA23" s="3741"/>
      <c r="OLB23" s="3741"/>
      <c r="OLC23" s="3741"/>
      <c r="OLD23" s="3741"/>
      <c r="OLE23" s="3741"/>
      <c r="OLF23" s="3741"/>
      <c r="OLG23" s="3741"/>
      <c r="OLH23" s="3741"/>
      <c r="OLI23" s="3741"/>
      <c r="OLJ23" s="3741"/>
      <c r="OLK23" s="3741"/>
      <c r="OLL23" s="3741"/>
      <c r="OLM23" s="3741"/>
      <c r="OLN23" s="3741"/>
      <c r="OLO23" s="3741"/>
      <c r="OLP23" s="3741"/>
      <c r="OLQ23" s="3741"/>
      <c r="OLR23" s="3741"/>
      <c r="OLS23" s="3741"/>
      <c r="OLT23" s="3741"/>
      <c r="OLU23" s="3741"/>
      <c r="OLV23" s="3741"/>
      <c r="OLW23" s="3741"/>
      <c r="OLX23" s="3741"/>
      <c r="OLY23" s="3741"/>
      <c r="OLZ23" s="3741"/>
      <c r="OMA23" s="3741"/>
      <c r="OMB23" s="3741"/>
      <c r="OMC23" s="3741"/>
      <c r="OMD23" s="3741"/>
      <c r="OME23" s="3741"/>
      <c r="OMF23" s="3741"/>
      <c r="OMG23" s="3741"/>
      <c r="OMH23" s="3741"/>
      <c r="OMI23" s="3741"/>
      <c r="OMJ23" s="3741"/>
      <c r="OMK23" s="3741"/>
      <c r="OML23" s="3741"/>
      <c r="OMM23" s="3741"/>
      <c r="OMN23" s="3741"/>
      <c r="OMO23" s="3741"/>
      <c r="OMP23" s="3741"/>
      <c r="OMQ23" s="3741"/>
      <c r="OMR23" s="3741"/>
      <c r="OMS23" s="3741"/>
      <c r="OMT23" s="3741"/>
      <c r="OMU23" s="3741"/>
      <c r="OMV23" s="3741"/>
      <c r="OMW23" s="3741"/>
      <c r="OMX23" s="3741"/>
      <c r="OMY23" s="3741"/>
      <c r="OMZ23" s="3741"/>
      <c r="ONA23" s="3741"/>
      <c r="ONB23" s="3741"/>
      <c r="ONC23" s="3741"/>
      <c r="OND23" s="3741"/>
      <c r="ONE23" s="3741"/>
      <c r="ONF23" s="3741"/>
      <c r="ONG23" s="3741"/>
      <c r="ONH23" s="3741"/>
      <c r="ONI23" s="3741"/>
      <c r="ONJ23" s="3741"/>
      <c r="ONK23" s="3741"/>
      <c r="ONL23" s="3741"/>
      <c r="ONM23" s="3741"/>
      <c r="ONN23" s="3741"/>
      <c r="ONO23" s="3741"/>
      <c r="ONP23" s="3741"/>
      <c r="ONQ23" s="3741"/>
      <c r="ONR23" s="3741"/>
      <c r="ONS23" s="3741"/>
      <c r="ONT23" s="3741"/>
      <c r="ONU23" s="3741"/>
      <c r="ONV23" s="3741"/>
      <c r="ONW23" s="3741"/>
      <c r="ONX23" s="3741"/>
      <c r="ONY23" s="3741"/>
      <c r="ONZ23" s="3741"/>
      <c r="OOA23" s="3741"/>
      <c r="OOB23" s="3741"/>
      <c r="OOC23" s="3741"/>
      <c r="OOD23" s="3741"/>
      <c r="OOE23" s="3741"/>
      <c r="OOF23" s="3741"/>
      <c r="OOG23" s="3741"/>
      <c r="OOH23" s="3741"/>
      <c r="OOI23" s="3741"/>
      <c r="OOJ23" s="3741"/>
      <c r="OOK23" s="3741"/>
      <c r="OOL23" s="3741"/>
      <c r="OOM23" s="3741"/>
      <c r="OON23" s="3741"/>
      <c r="OOO23" s="3741"/>
      <c r="OOP23" s="3741"/>
      <c r="OOQ23" s="3741"/>
      <c r="OOR23" s="3741"/>
      <c r="OOS23" s="3741"/>
      <c r="OOT23" s="3741"/>
      <c r="OOU23" s="3741"/>
      <c r="OOV23" s="3741"/>
      <c r="OOW23" s="3741"/>
      <c r="OOX23" s="3741"/>
      <c r="OOY23" s="3741"/>
      <c r="OOZ23" s="3741"/>
      <c r="OPA23" s="3741"/>
      <c r="OPB23" s="3741"/>
      <c r="OPC23" s="3741"/>
      <c r="OPD23" s="3741"/>
      <c r="OPE23" s="3741"/>
      <c r="OPF23" s="3741"/>
      <c r="OPG23" s="3741"/>
      <c r="OPH23" s="3741"/>
      <c r="OPI23" s="3741"/>
      <c r="OPJ23" s="3741"/>
      <c r="OPK23" s="3741"/>
      <c r="OPL23" s="3741"/>
      <c r="OPM23" s="3741"/>
      <c r="OPN23" s="3741"/>
      <c r="OPO23" s="3741"/>
      <c r="OPP23" s="3741"/>
      <c r="OPQ23" s="3741"/>
      <c r="OPR23" s="3741"/>
      <c r="OPS23" s="3741"/>
      <c r="OPT23" s="3741"/>
      <c r="OPU23" s="3741"/>
      <c r="OPV23" s="3741"/>
      <c r="OPW23" s="3741"/>
      <c r="OPX23" s="3741"/>
      <c r="OPY23" s="3741"/>
      <c r="OPZ23" s="3741"/>
      <c r="OQA23" s="3741"/>
      <c r="OQB23" s="3741"/>
      <c r="OQC23" s="3741"/>
      <c r="OQD23" s="3741"/>
      <c r="OQE23" s="3741"/>
      <c r="OQF23" s="3741"/>
      <c r="OQG23" s="3741"/>
      <c r="OQH23" s="3741"/>
      <c r="OQI23" s="3741"/>
      <c r="OQJ23" s="3741"/>
      <c r="OQK23" s="3741"/>
      <c r="OQL23" s="3741"/>
      <c r="OQM23" s="3741"/>
      <c r="OQN23" s="3741"/>
      <c r="OQO23" s="3741"/>
      <c r="OQP23" s="3741"/>
      <c r="OQQ23" s="3741"/>
      <c r="OQR23" s="3741"/>
      <c r="OQS23" s="3741"/>
      <c r="OQT23" s="3741"/>
      <c r="OQU23" s="3741"/>
      <c r="OQV23" s="3741"/>
      <c r="OQW23" s="3741"/>
      <c r="OQX23" s="3741"/>
      <c r="OQY23" s="3741"/>
      <c r="OQZ23" s="3741"/>
      <c r="ORA23" s="3741"/>
      <c r="ORB23" s="3741"/>
      <c r="ORC23" s="3741"/>
      <c r="ORD23" s="3741"/>
      <c r="ORE23" s="3741"/>
      <c r="ORF23" s="3741"/>
      <c r="ORG23" s="3741"/>
      <c r="ORH23" s="3741"/>
      <c r="ORI23" s="3741"/>
      <c r="ORJ23" s="3741"/>
      <c r="ORK23" s="3741"/>
      <c r="ORL23" s="3741"/>
      <c r="ORM23" s="3741"/>
      <c r="ORN23" s="3741"/>
      <c r="ORO23" s="3741"/>
      <c r="ORP23" s="3741"/>
      <c r="ORQ23" s="3741"/>
      <c r="ORR23" s="3741"/>
      <c r="ORS23" s="3741"/>
      <c r="ORT23" s="3741"/>
      <c r="ORU23" s="3741"/>
      <c r="ORV23" s="3741"/>
      <c r="ORW23" s="3741"/>
      <c r="ORX23" s="3741"/>
      <c r="ORY23" s="3741"/>
      <c r="ORZ23" s="3741"/>
      <c r="OSA23" s="3741"/>
      <c r="OSB23" s="3741"/>
      <c r="OSC23" s="3741"/>
      <c r="OSD23" s="3741"/>
      <c r="OSE23" s="3741"/>
      <c r="OSF23" s="3741"/>
      <c r="OSG23" s="3741"/>
      <c r="OSH23" s="3741"/>
      <c r="OSI23" s="3741"/>
      <c r="OSJ23" s="3741"/>
      <c r="OSK23" s="3741"/>
      <c r="OSL23" s="3741"/>
      <c r="OSM23" s="3741"/>
      <c r="OSN23" s="3741"/>
      <c r="OSO23" s="3741"/>
      <c r="OSP23" s="3741"/>
      <c r="OSQ23" s="3741"/>
      <c r="OSR23" s="3741"/>
      <c r="OSS23" s="3741"/>
      <c r="OST23" s="3741"/>
      <c r="OSU23" s="3741"/>
      <c r="OSV23" s="3741"/>
      <c r="OSW23" s="3741"/>
      <c r="OSX23" s="3741"/>
      <c r="OSY23" s="3741"/>
      <c r="OSZ23" s="3741"/>
      <c r="OTA23" s="3741"/>
      <c r="OTB23" s="3741"/>
      <c r="OTC23" s="3741"/>
      <c r="OTD23" s="3741"/>
      <c r="OTE23" s="3741"/>
      <c r="OTF23" s="3741"/>
      <c r="OTG23" s="3741"/>
      <c r="OTH23" s="3741"/>
      <c r="OTI23" s="3741"/>
      <c r="OTJ23" s="3741"/>
      <c r="OTK23" s="3741"/>
      <c r="OTL23" s="3741"/>
      <c r="OTM23" s="3741"/>
      <c r="OTN23" s="3741"/>
      <c r="OTO23" s="3741"/>
      <c r="OTP23" s="3741"/>
      <c r="OTQ23" s="3741"/>
      <c r="OTR23" s="3741"/>
      <c r="OTS23" s="3741"/>
      <c r="OTT23" s="3741"/>
      <c r="OTU23" s="3741"/>
      <c r="OTV23" s="3741"/>
      <c r="OTW23" s="3741"/>
      <c r="OTX23" s="3741"/>
      <c r="OTY23" s="3741"/>
      <c r="OTZ23" s="3741"/>
      <c r="OUA23" s="3741"/>
      <c r="OUB23" s="3741"/>
      <c r="OUC23" s="3741"/>
      <c r="OUD23" s="3741"/>
      <c r="OUE23" s="3741"/>
      <c r="OUF23" s="3741"/>
      <c r="OUG23" s="3741"/>
      <c r="OUH23" s="3741"/>
      <c r="OUI23" s="3741"/>
      <c r="OUJ23" s="3741"/>
      <c r="OUK23" s="3741"/>
      <c r="OUL23" s="3741"/>
      <c r="OUM23" s="3741"/>
      <c r="OUN23" s="3741"/>
      <c r="OUO23" s="3741"/>
      <c r="OUP23" s="3741"/>
      <c r="OUQ23" s="3741"/>
      <c r="OUR23" s="3741"/>
      <c r="OUS23" s="3741"/>
      <c r="OUT23" s="3741"/>
      <c r="OUU23" s="3741"/>
      <c r="OUV23" s="3741"/>
      <c r="OUW23" s="3741"/>
      <c r="OUX23" s="3741"/>
      <c r="OUY23" s="3741"/>
      <c r="OUZ23" s="3741"/>
      <c r="OVA23" s="3741"/>
      <c r="OVB23" s="3741"/>
      <c r="OVC23" s="3741"/>
      <c r="OVD23" s="3741"/>
      <c r="OVE23" s="3741"/>
      <c r="OVF23" s="3741"/>
      <c r="OVG23" s="3741"/>
      <c r="OVH23" s="3741"/>
      <c r="OVI23" s="3741"/>
      <c r="OVJ23" s="3741"/>
      <c r="OVK23" s="3741"/>
      <c r="OVL23" s="3741"/>
      <c r="OVM23" s="3741"/>
      <c r="OVN23" s="3741"/>
      <c r="OVO23" s="3741"/>
      <c r="OVP23" s="3741"/>
      <c r="OVQ23" s="3741"/>
      <c r="OVR23" s="3741"/>
      <c r="OVS23" s="3741"/>
      <c r="OVT23" s="3741"/>
      <c r="OVU23" s="3741"/>
      <c r="OVV23" s="3741"/>
      <c r="OVW23" s="3741"/>
      <c r="OVX23" s="3741"/>
      <c r="OVY23" s="3741"/>
      <c r="OVZ23" s="3741"/>
      <c r="OWA23" s="3741"/>
      <c r="OWB23" s="3741"/>
      <c r="OWC23" s="3741"/>
      <c r="OWD23" s="3741"/>
      <c r="OWE23" s="3741"/>
      <c r="OWF23" s="3741"/>
      <c r="OWG23" s="3741"/>
      <c r="OWH23" s="3741"/>
      <c r="OWI23" s="3741"/>
      <c r="OWJ23" s="3741"/>
      <c r="OWK23" s="3741"/>
      <c r="OWL23" s="3741"/>
      <c r="OWM23" s="3741"/>
      <c r="OWN23" s="3741"/>
      <c r="OWO23" s="3741"/>
      <c r="OWP23" s="3741"/>
      <c r="OWQ23" s="3741"/>
      <c r="OWR23" s="3741"/>
      <c r="OWS23" s="3741"/>
      <c r="OWT23" s="3741"/>
      <c r="OWU23" s="3741"/>
      <c r="OWV23" s="3741"/>
      <c r="OWW23" s="3741"/>
      <c r="OWX23" s="3741"/>
      <c r="OWY23" s="3741"/>
      <c r="OWZ23" s="3741"/>
      <c r="OXA23" s="3741"/>
      <c r="OXB23" s="3741"/>
      <c r="OXC23" s="3741"/>
      <c r="OXD23" s="3741"/>
      <c r="OXE23" s="3741"/>
      <c r="OXF23" s="3741"/>
      <c r="OXG23" s="3741"/>
      <c r="OXH23" s="3741"/>
      <c r="OXI23" s="3741"/>
      <c r="OXJ23" s="3741"/>
      <c r="OXK23" s="3741"/>
      <c r="OXL23" s="3741"/>
      <c r="OXM23" s="3741"/>
      <c r="OXN23" s="3741"/>
      <c r="OXO23" s="3741"/>
      <c r="OXP23" s="3741"/>
      <c r="OXQ23" s="3741"/>
      <c r="OXR23" s="3741"/>
      <c r="OXS23" s="3741"/>
      <c r="OXT23" s="3741"/>
      <c r="OXU23" s="3741"/>
      <c r="OXV23" s="3741"/>
      <c r="OXW23" s="3741"/>
      <c r="OXX23" s="3741"/>
      <c r="OXY23" s="3741"/>
      <c r="OXZ23" s="3741"/>
      <c r="OYA23" s="3741"/>
      <c r="OYB23" s="3741"/>
      <c r="OYC23" s="3741"/>
      <c r="OYD23" s="3741"/>
      <c r="OYE23" s="3741"/>
      <c r="OYF23" s="3741"/>
      <c r="OYG23" s="3741"/>
      <c r="OYH23" s="3741"/>
      <c r="OYI23" s="3741"/>
      <c r="OYJ23" s="3741"/>
      <c r="OYK23" s="3741"/>
      <c r="OYL23" s="3741"/>
      <c r="OYM23" s="3741"/>
      <c r="OYN23" s="3741"/>
      <c r="OYO23" s="3741"/>
      <c r="OYP23" s="3741"/>
      <c r="OYQ23" s="3741"/>
      <c r="OYR23" s="3741"/>
      <c r="OYS23" s="3741"/>
      <c r="OYT23" s="3741"/>
      <c r="OYU23" s="3741"/>
      <c r="OYV23" s="3741"/>
      <c r="OYW23" s="3741"/>
      <c r="OYX23" s="3741"/>
      <c r="OYY23" s="3741"/>
      <c r="OYZ23" s="3741"/>
      <c r="OZA23" s="3741"/>
      <c r="OZB23" s="3741"/>
      <c r="OZC23" s="3741"/>
      <c r="OZD23" s="3741"/>
      <c r="OZE23" s="3741"/>
      <c r="OZF23" s="3741"/>
      <c r="OZG23" s="3741"/>
      <c r="OZH23" s="3741"/>
      <c r="OZI23" s="3741"/>
      <c r="OZJ23" s="3741"/>
      <c r="OZK23" s="3741"/>
      <c r="OZL23" s="3741"/>
      <c r="OZM23" s="3741"/>
      <c r="OZN23" s="3741"/>
      <c r="OZO23" s="3741"/>
      <c r="OZP23" s="3741"/>
      <c r="OZQ23" s="3741"/>
      <c r="OZR23" s="3741"/>
      <c r="OZS23" s="3741"/>
      <c r="OZT23" s="3741"/>
      <c r="OZU23" s="3741"/>
      <c r="OZV23" s="3741"/>
      <c r="OZW23" s="3741"/>
      <c r="OZX23" s="3741"/>
      <c r="OZY23" s="3741"/>
      <c r="OZZ23" s="3741"/>
      <c r="PAA23" s="3741"/>
      <c r="PAB23" s="3741"/>
      <c r="PAC23" s="3741"/>
      <c r="PAD23" s="3741"/>
      <c r="PAE23" s="3741"/>
      <c r="PAF23" s="3741"/>
      <c r="PAG23" s="3741"/>
      <c r="PAH23" s="3741"/>
      <c r="PAI23" s="3741"/>
      <c r="PAJ23" s="3741"/>
      <c r="PAK23" s="3741"/>
      <c r="PAL23" s="3741"/>
      <c r="PAM23" s="3741"/>
      <c r="PAN23" s="3741"/>
      <c r="PAO23" s="3741"/>
      <c r="PAP23" s="3741"/>
      <c r="PAQ23" s="3741"/>
      <c r="PAR23" s="3741"/>
      <c r="PAS23" s="3741"/>
      <c r="PAT23" s="3741"/>
      <c r="PAU23" s="3741"/>
      <c r="PAV23" s="3741"/>
      <c r="PAW23" s="3741"/>
      <c r="PAX23" s="3741"/>
      <c r="PAY23" s="3741"/>
      <c r="PAZ23" s="3741"/>
      <c r="PBA23" s="3741"/>
      <c r="PBB23" s="3741"/>
      <c r="PBC23" s="3741"/>
      <c r="PBD23" s="3741"/>
      <c r="PBE23" s="3741"/>
      <c r="PBF23" s="3741"/>
      <c r="PBG23" s="3741"/>
      <c r="PBH23" s="3741"/>
      <c r="PBI23" s="3741"/>
      <c r="PBJ23" s="3741"/>
      <c r="PBK23" s="3741"/>
      <c r="PBL23" s="3741"/>
      <c r="PBM23" s="3741"/>
      <c r="PBN23" s="3741"/>
      <c r="PBO23" s="3741"/>
      <c r="PBP23" s="3741"/>
      <c r="PBQ23" s="3741"/>
      <c r="PBR23" s="3741"/>
      <c r="PBS23" s="3741"/>
      <c r="PBT23" s="3741"/>
      <c r="PBU23" s="3741"/>
      <c r="PBV23" s="3741"/>
      <c r="PBW23" s="3741"/>
      <c r="PBX23" s="3741"/>
      <c r="PBY23" s="3741"/>
      <c r="PBZ23" s="3741"/>
      <c r="PCA23" s="3741"/>
      <c r="PCB23" s="3741"/>
      <c r="PCC23" s="3741"/>
      <c r="PCD23" s="3741"/>
      <c r="PCE23" s="3741"/>
      <c r="PCF23" s="3741"/>
      <c r="PCG23" s="3741"/>
      <c r="PCH23" s="3741"/>
      <c r="PCI23" s="3741"/>
      <c r="PCJ23" s="3741"/>
      <c r="PCK23" s="3741"/>
      <c r="PCL23" s="3741"/>
      <c r="PCM23" s="3741"/>
      <c r="PCN23" s="3741"/>
      <c r="PCO23" s="3741"/>
      <c r="PCP23" s="3741"/>
      <c r="PCQ23" s="3741"/>
      <c r="PCR23" s="3741"/>
      <c r="PCS23" s="3741"/>
      <c r="PCT23" s="3741"/>
      <c r="PCU23" s="3741"/>
      <c r="PCV23" s="3741"/>
      <c r="PCW23" s="3741"/>
      <c r="PCX23" s="3741"/>
      <c r="PCY23" s="3741"/>
      <c r="PCZ23" s="3741"/>
      <c r="PDA23" s="3741"/>
      <c r="PDB23" s="3741"/>
      <c r="PDC23" s="3741"/>
      <c r="PDD23" s="3741"/>
      <c r="PDE23" s="3741"/>
      <c r="PDF23" s="3741"/>
      <c r="PDG23" s="3741"/>
      <c r="PDH23" s="3741"/>
      <c r="PDI23" s="3741"/>
      <c r="PDJ23" s="3741"/>
      <c r="PDK23" s="3741"/>
      <c r="PDL23" s="3741"/>
      <c r="PDM23" s="3741"/>
      <c r="PDN23" s="3741"/>
      <c r="PDO23" s="3741"/>
      <c r="PDP23" s="3741"/>
      <c r="PDQ23" s="3741"/>
      <c r="PDR23" s="3741"/>
      <c r="PDS23" s="3741"/>
      <c r="PDT23" s="3741"/>
      <c r="PDU23" s="3741"/>
      <c r="PDV23" s="3741"/>
      <c r="PDW23" s="3741"/>
      <c r="PDX23" s="3741"/>
      <c r="PDY23" s="3741"/>
      <c r="PDZ23" s="3741"/>
      <c r="PEA23" s="3741"/>
      <c r="PEB23" s="3741"/>
      <c r="PEC23" s="3741"/>
      <c r="PED23" s="3741"/>
      <c r="PEE23" s="3741"/>
      <c r="PEF23" s="3741"/>
      <c r="PEG23" s="3741"/>
      <c r="PEH23" s="3741"/>
      <c r="PEI23" s="3741"/>
      <c r="PEJ23" s="3741"/>
      <c r="PEK23" s="3741"/>
      <c r="PEL23" s="3741"/>
      <c r="PEM23" s="3741"/>
      <c r="PEN23" s="3741"/>
      <c r="PEO23" s="3741"/>
      <c r="PEP23" s="3741"/>
      <c r="PEQ23" s="3741"/>
      <c r="PER23" s="3741"/>
      <c r="PES23" s="3741"/>
      <c r="PET23" s="3741"/>
      <c r="PEU23" s="3741"/>
      <c r="PEV23" s="3741"/>
      <c r="PEW23" s="3741"/>
      <c r="PEX23" s="3741"/>
      <c r="PEY23" s="3741"/>
      <c r="PEZ23" s="3741"/>
      <c r="PFA23" s="3741"/>
      <c r="PFB23" s="3741"/>
      <c r="PFC23" s="3741"/>
      <c r="PFD23" s="3741"/>
      <c r="PFE23" s="3741"/>
      <c r="PFF23" s="3741"/>
      <c r="PFG23" s="3741"/>
      <c r="PFH23" s="3741"/>
      <c r="PFI23" s="3741"/>
      <c r="PFJ23" s="3741"/>
      <c r="PFK23" s="3741"/>
      <c r="PFL23" s="3741"/>
      <c r="PFM23" s="3741"/>
      <c r="PFN23" s="3741"/>
      <c r="PFO23" s="3741"/>
      <c r="PFP23" s="3741"/>
      <c r="PFQ23" s="3741"/>
      <c r="PFR23" s="3741"/>
      <c r="PFS23" s="3741"/>
      <c r="PFT23" s="3741"/>
      <c r="PFU23" s="3741"/>
      <c r="PFV23" s="3741"/>
      <c r="PFW23" s="3741"/>
      <c r="PFX23" s="3741"/>
      <c r="PFY23" s="3741"/>
      <c r="PFZ23" s="3741"/>
      <c r="PGA23" s="3741"/>
      <c r="PGB23" s="3741"/>
      <c r="PGC23" s="3741"/>
      <c r="PGD23" s="3741"/>
      <c r="PGE23" s="3741"/>
      <c r="PGF23" s="3741"/>
      <c r="PGG23" s="3741"/>
      <c r="PGH23" s="3741"/>
      <c r="PGI23" s="3741"/>
      <c r="PGJ23" s="3741"/>
      <c r="PGK23" s="3741"/>
      <c r="PGL23" s="3741"/>
      <c r="PGM23" s="3741"/>
      <c r="PGN23" s="3741"/>
      <c r="PGO23" s="3741"/>
      <c r="PGP23" s="3741"/>
      <c r="PGQ23" s="3741"/>
      <c r="PGR23" s="3741"/>
      <c r="PGS23" s="3741"/>
      <c r="PGT23" s="3741"/>
      <c r="PGU23" s="3741"/>
      <c r="PGV23" s="3741"/>
      <c r="PGW23" s="3741"/>
      <c r="PGX23" s="3741"/>
      <c r="PGY23" s="3741"/>
      <c r="PGZ23" s="3741"/>
      <c r="PHA23" s="3741"/>
      <c r="PHB23" s="3741"/>
      <c r="PHC23" s="3741"/>
      <c r="PHD23" s="3741"/>
      <c r="PHE23" s="3741"/>
      <c r="PHF23" s="3741"/>
      <c r="PHG23" s="3741"/>
      <c r="PHH23" s="3741"/>
      <c r="PHI23" s="3741"/>
      <c r="PHJ23" s="3741"/>
      <c r="PHK23" s="3741"/>
      <c r="PHL23" s="3741"/>
      <c r="PHM23" s="3741"/>
      <c r="PHN23" s="3741"/>
      <c r="PHO23" s="3741"/>
      <c r="PHP23" s="3741"/>
      <c r="PHQ23" s="3741"/>
      <c r="PHR23" s="3741"/>
      <c r="PHS23" s="3741"/>
      <c r="PHT23" s="3741"/>
      <c r="PHU23" s="3741"/>
      <c r="PHV23" s="3741"/>
      <c r="PHW23" s="3741"/>
      <c r="PHX23" s="3741"/>
      <c r="PHY23" s="3741"/>
      <c r="PHZ23" s="3741"/>
      <c r="PIA23" s="3741"/>
      <c r="PIB23" s="3741"/>
      <c r="PIC23" s="3741"/>
      <c r="PID23" s="3741"/>
      <c r="PIE23" s="3741"/>
      <c r="PIF23" s="3741"/>
      <c r="PIG23" s="3741"/>
      <c r="PIH23" s="3741"/>
      <c r="PII23" s="3741"/>
      <c r="PIJ23" s="3741"/>
      <c r="PIK23" s="3741"/>
      <c r="PIL23" s="3741"/>
      <c r="PIM23" s="3741"/>
      <c r="PIN23" s="3741"/>
      <c r="PIO23" s="3741"/>
      <c r="PIP23" s="3741"/>
      <c r="PIQ23" s="3741"/>
      <c r="PIR23" s="3741"/>
      <c r="PIS23" s="3741"/>
      <c r="PIT23" s="3741"/>
      <c r="PIU23" s="3741"/>
      <c r="PIV23" s="3741"/>
      <c r="PIW23" s="3741"/>
      <c r="PIX23" s="3741"/>
      <c r="PIY23" s="3741"/>
      <c r="PIZ23" s="3741"/>
      <c r="PJA23" s="3741"/>
      <c r="PJB23" s="3741"/>
      <c r="PJC23" s="3741"/>
      <c r="PJD23" s="3741"/>
      <c r="PJE23" s="3741"/>
      <c r="PJF23" s="3741"/>
      <c r="PJG23" s="3741"/>
      <c r="PJH23" s="3741"/>
      <c r="PJI23" s="3741"/>
      <c r="PJJ23" s="3741"/>
      <c r="PJK23" s="3741"/>
      <c r="PJL23" s="3741"/>
      <c r="PJM23" s="3741"/>
      <c r="PJN23" s="3741"/>
      <c r="PJO23" s="3741"/>
      <c r="PJP23" s="3741"/>
      <c r="PJQ23" s="3741"/>
      <c r="PJR23" s="3741"/>
      <c r="PJS23" s="3741"/>
      <c r="PJT23" s="3741"/>
      <c r="PJU23" s="3741"/>
      <c r="PJV23" s="3741"/>
      <c r="PJW23" s="3741"/>
      <c r="PJX23" s="3741"/>
      <c r="PJY23" s="3741"/>
      <c r="PJZ23" s="3741"/>
      <c r="PKA23" s="3741"/>
      <c r="PKB23" s="3741"/>
      <c r="PKC23" s="3741"/>
      <c r="PKD23" s="3741"/>
      <c r="PKE23" s="3741"/>
      <c r="PKF23" s="3741"/>
      <c r="PKG23" s="3741"/>
      <c r="PKH23" s="3741"/>
      <c r="PKI23" s="3741"/>
      <c r="PKJ23" s="3741"/>
      <c r="PKK23" s="3741"/>
      <c r="PKL23" s="3741"/>
      <c r="PKM23" s="3741"/>
      <c r="PKN23" s="3741"/>
      <c r="PKO23" s="3741"/>
      <c r="PKP23" s="3741"/>
      <c r="PKQ23" s="3741"/>
      <c r="PKR23" s="3741"/>
      <c r="PKS23" s="3741"/>
      <c r="PKT23" s="3741"/>
      <c r="PKU23" s="3741"/>
      <c r="PKV23" s="3741"/>
      <c r="PKW23" s="3741"/>
      <c r="PKX23" s="3741"/>
      <c r="PKY23" s="3741"/>
      <c r="PKZ23" s="3741"/>
      <c r="PLA23" s="3741"/>
      <c r="PLB23" s="3741"/>
      <c r="PLC23" s="3741"/>
      <c r="PLD23" s="3741"/>
      <c r="PLE23" s="3741"/>
      <c r="PLF23" s="3741"/>
      <c r="PLG23" s="3741"/>
      <c r="PLH23" s="3741"/>
      <c r="PLI23" s="3741"/>
      <c r="PLJ23" s="3741"/>
      <c r="PLK23" s="3741"/>
      <c r="PLL23" s="3741"/>
      <c r="PLM23" s="3741"/>
      <c r="PLN23" s="3741"/>
      <c r="PLO23" s="3741"/>
      <c r="PLP23" s="3741"/>
      <c r="PLQ23" s="3741"/>
      <c r="PLR23" s="3741"/>
      <c r="PLS23" s="3741"/>
      <c r="PLT23" s="3741"/>
      <c r="PLU23" s="3741"/>
      <c r="PLV23" s="3741"/>
      <c r="PLW23" s="3741"/>
      <c r="PLX23" s="3741"/>
      <c r="PLY23" s="3741"/>
      <c r="PLZ23" s="3741"/>
      <c r="PMA23" s="3741"/>
      <c r="PMB23" s="3741"/>
      <c r="PMC23" s="3741"/>
      <c r="PMD23" s="3741"/>
      <c r="PME23" s="3741"/>
      <c r="PMF23" s="3741"/>
      <c r="PMG23" s="3741"/>
      <c r="PMH23" s="3741"/>
      <c r="PMI23" s="3741"/>
      <c r="PMJ23" s="3741"/>
      <c r="PMK23" s="3741"/>
      <c r="PML23" s="3741"/>
      <c r="PMM23" s="3741"/>
      <c r="PMN23" s="3741"/>
      <c r="PMO23" s="3741"/>
      <c r="PMP23" s="3741"/>
      <c r="PMQ23" s="3741"/>
      <c r="PMR23" s="3741"/>
      <c r="PMS23" s="3741"/>
      <c r="PMT23" s="3741"/>
      <c r="PMU23" s="3741"/>
      <c r="PMV23" s="3741"/>
      <c r="PMW23" s="3741"/>
      <c r="PMX23" s="3741"/>
      <c r="PMY23" s="3741"/>
      <c r="PMZ23" s="3741"/>
      <c r="PNA23" s="3741"/>
      <c r="PNB23" s="3741"/>
      <c r="PNC23" s="3741"/>
      <c r="PND23" s="3741"/>
      <c r="PNE23" s="3741"/>
      <c r="PNF23" s="3741"/>
      <c r="PNG23" s="3741"/>
      <c r="PNH23" s="3741"/>
      <c r="PNI23" s="3741"/>
      <c r="PNJ23" s="3741"/>
      <c r="PNK23" s="3741"/>
      <c r="PNL23" s="3741"/>
      <c r="PNM23" s="3741"/>
      <c r="PNN23" s="3741"/>
      <c r="PNO23" s="3741"/>
      <c r="PNP23" s="3741"/>
      <c r="PNQ23" s="3741"/>
      <c r="PNR23" s="3741"/>
      <c r="PNS23" s="3741"/>
      <c r="PNT23" s="3741"/>
      <c r="PNU23" s="3741"/>
      <c r="PNV23" s="3741"/>
      <c r="PNW23" s="3741"/>
      <c r="PNX23" s="3741"/>
      <c r="PNY23" s="3741"/>
      <c r="PNZ23" s="3741"/>
      <c r="POA23" s="3741"/>
      <c r="POB23" s="3741"/>
      <c r="POC23" s="3741"/>
      <c r="POD23" s="3741"/>
      <c r="POE23" s="3741"/>
      <c r="POF23" s="3741"/>
      <c r="POG23" s="3741"/>
      <c r="POH23" s="3741"/>
      <c r="POI23" s="3741"/>
      <c r="POJ23" s="3741"/>
      <c r="POK23" s="3741"/>
      <c r="POL23" s="3741"/>
      <c r="POM23" s="3741"/>
      <c r="PON23" s="3741"/>
      <c r="POO23" s="3741"/>
      <c r="POP23" s="3741"/>
      <c r="POQ23" s="3741"/>
      <c r="POR23" s="3741"/>
      <c r="POS23" s="3741"/>
      <c r="POT23" s="3741"/>
      <c r="POU23" s="3741"/>
      <c r="POV23" s="3741"/>
      <c r="POW23" s="3741"/>
      <c r="POX23" s="3741"/>
      <c r="POY23" s="3741"/>
      <c r="POZ23" s="3741"/>
      <c r="PPA23" s="3741"/>
      <c r="PPB23" s="3741"/>
      <c r="PPC23" s="3741"/>
      <c r="PPD23" s="3741"/>
      <c r="PPE23" s="3741"/>
      <c r="PPF23" s="3741"/>
      <c r="PPG23" s="3741"/>
      <c r="PPH23" s="3741"/>
      <c r="PPI23" s="3741"/>
      <c r="PPJ23" s="3741"/>
      <c r="PPK23" s="3741"/>
      <c r="PPL23" s="3741"/>
      <c r="PPM23" s="3741"/>
      <c r="PPN23" s="3741"/>
      <c r="PPO23" s="3741"/>
      <c r="PPP23" s="3741"/>
      <c r="PPQ23" s="3741"/>
      <c r="PPR23" s="3741"/>
      <c r="PPS23" s="3741"/>
      <c r="PPT23" s="3741"/>
      <c r="PPU23" s="3741"/>
      <c r="PPV23" s="3741"/>
      <c r="PPW23" s="3741"/>
      <c r="PPX23" s="3741"/>
      <c r="PPY23" s="3741"/>
      <c r="PPZ23" s="3741"/>
      <c r="PQA23" s="3741"/>
      <c r="PQB23" s="3741"/>
      <c r="PQC23" s="3741"/>
      <c r="PQD23" s="3741"/>
      <c r="PQE23" s="3741"/>
      <c r="PQF23" s="3741"/>
      <c r="PQG23" s="3741"/>
      <c r="PQH23" s="3741"/>
      <c r="PQI23" s="3741"/>
      <c r="PQJ23" s="3741"/>
      <c r="PQK23" s="3741"/>
      <c r="PQL23" s="3741"/>
      <c r="PQM23" s="3741"/>
      <c r="PQN23" s="3741"/>
      <c r="PQO23" s="3741"/>
      <c r="PQP23" s="3741"/>
      <c r="PQQ23" s="3741"/>
      <c r="PQR23" s="3741"/>
      <c r="PQS23" s="3741"/>
      <c r="PQT23" s="3741"/>
      <c r="PQU23" s="3741"/>
      <c r="PQV23" s="3741"/>
      <c r="PQW23" s="3741"/>
      <c r="PQX23" s="3741"/>
      <c r="PQY23" s="3741"/>
      <c r="PQZ23" s="3741"/>
      <c r="PRA23" s="3741"/>
      <c r="PRB23" s="3741"/>
      <c r="PRC23" s="3741"/>
      <c r="PRD23" s="3741"/>
      <c r="PRE23" s="3741"/>
      <c r="PRF23" s="3741"/>
      <c r="PRG23" s="3741"/>
      <c r="PRH23" s="3741"/>
      <c r="PRI23" s="3741"/>
      <c r="PRJ23" s="3741"/>
      <c r="PRK23" s="3741"/>
      <c r="PRL23" s="3741"/>
      <c r="PRM23" s="3741"/>
      <c r="PRN23" s="3741"/>
      <c r="PRO23" s="3741"/>
      <c r="PRP23" s="3741"/>
      <c r="PRQ23" s="3741"/>
      <c r="PRR23" s="3741"/>
      <c r="PRS23" s="3741"/>
      <c r="PRT23" s="3741"/>
      <c r="PRU23" s="3741"/>
      <c r="PRV23" s="3741"/>
      <c r="PRW23" s="3741"/>
      <c r="PRX23" s="3741"/>
      <c r="PRY23" s="3741"/>
      <c r="PRZ23" s="3741"/>
      <c r="PSA23" s="3741"/>
      <c r="PSB23" s="3741"/>
      <c r="PSC23" s="3741"/>
      <c r="PSD23" s="3741"/>
      <c r="PSE23" s="3741"/>
      <c r="PSF23" s="3741"/>
      <c r="PSG23" s="3741"/>
      <c r="PSH23" s="3741"/>
      <c r="PSI23" s="3741"/>
      <c r="PSJ23" s="3741"/>
      <c r="PSK23" s="3741"/>
      <c r="PSL23" s="3741"/>
      <c r="PSM23" s="3741"/>
      <c r="PSN23" s="3741"/>
      <c r="PSO23" s="3741"/>
      <c r="PSP23" s="3741"/>
      <c r="PSQ23" s="3741"/>
      <c r="PSR23" s="3741"/>
      <c r="PSS23" s="3741"/>
      <c r="PST23" s="3741"/>
      <c r="PSU23" s="3741"/>
      <c r="PSV23" s="3741"/>
      <c r="PSW23" s="3741"/>
      <c r="PSX23" s="3741"/>
      <c r="PSY23" s="3741"/>
      <c r="PSZ23" s="3741"/>
      <c r="PTA23" s="3741"/>
      <c r="PTB23" s="3741"/>
      <c r="PTC23" s="3741"/>
      <c r="PTD23" s="3741"/>
      <c r="PTE23" s="3741"/>
      <c r="PTF23" s="3741"/>
      <c r="PTG23" s="3741"/>
      <c r="PTH23" s="3741"/>
      <c r="PTI23" s="3741"/>
      <c r="PTJ23" s="3741"/>
      <c r="PTK23" s="3741"/>
      <c r="PTL23" s="3741"/>
      <c r="PTM23" s="3741"/>
      <c r="PTN23" s="3741"/>
      <c r="PTO23" s="3741"/>
      <c r="PTP23" s="3741"/>
      <c r="PTQ23" s="3741"/>
      <c r="PTR23" s="3741"/>
      <c r="PTS23" s="3741"/>
      <c r="PTT23" s="3741"/>
      <c r="PTU23" s="3741"/>
      <c r="PTV23" s="3741"/>
      <c r="PTW23" s="3741"/>
      <c r="PTX23" s="3741"/>
      <c r="PTY23" s="3741"/>
      <c r="PTZ23" s="3741"/>
      <c r="PUA23" s="3741"/>
      <c r="PUB23" s="3741"/>
      <c r="PUC23" s="3741"/>
      <c r="PUD23" s="3741"/>
      <c r="PUE23" s="3741"/>
      <c r="PUF23" s="3741"/>
      <c r="PUG23" s="3741"/>
      <c r="PUH23" s="3741"/>
      <c r="PUI23" s="3741"/>
      <c r="PUJ23" s="3741"/>
      <c r="PUK23" s="3741"/>
      <c r="PUL23" s="3741"/>
      <c r="PUM23" s="3741"/>
      <c r="PUN23" s="3741"/>
      <c r="PUO23" s="3741"/>
      <c r="PUP23" s="3741"/>
      <c r="PUQ23" s="3741"/>
      <c r="PUR23" s="3741"/>
      <c r="PUS23" s="3741"/>
      <c r="PUT23" s="3741"/>
      <c r="PUU23" s="3741"/>
      <c r="PUV23" s="3741"/>
      <c r="PUW23" s="3741"/>
      <c r="PUX23" s="3741"/>
      <c r="PUY23" s="3741"/>
      <c r="PUZ23" s="3741"/>
      <c r="PVA23" s="3741"/>
      <c r="PVB23" s="3741"/>
      <c r="PVC23" s="3741"/>
      <c r="PVD23" s="3741"/>
      <c r="PVE23" s="3741"/>
      <c r="PVF23" s="3741"/>
      <c r="PVG23" s="3741"/>
      <c r="PVH23" s="3741"/>
      <c r="PVI23" s="3741"/>
      <c r="PVJ23" s="3741"/>
      <c r="PVK23" s="3741"/>
      <c r="PVL23" s="3741"/>
      <c r="PVM23" s="3741"/>
      <c r="PVN23" s="3741"/>
      <c r="PVO23" s="3741"/>
      <c r="PVP23" s="3741"/>
      <c r="PVQ23" s="3741"/>
      <c r="PVR23" s="3741"/>
      <c r="PVS23" s="3741"/>
      <c r="PVT23" s="3741"/>
      <c r="PVU23" s="3741"/>
      <c r="PVV23" s="3741"/>
      <c r="PVW23" s="3741"/>
      <c r="PVX23" s="3741"/>
      <c r="PVY23" s="3741"/>
      <c r="PVZ23" s="3741"/>
      <c r="PWA23" s="3741"/>
      <c r="PWB23" s="3741"/>
      <c r="PWC23" s="3741"/>
      <c r="PWD23" s="3741"/>
      <c r="PWE23" s="3741"/>
      <c r="PWF23" s="3741"/>
      <c r="PWG23" s="3741"/>
      <c r="PWH23" s="3741"/>
      <c r="PWI23" s="3741"/>
      <c r="PWJ23" s="3741"/>
      <c r="PWK23" s="3741"/>
      <c r="PWL23" s="3741"/>
      <c r="PWM23" s="3741"/>
      <c r="PWN23" s="3741"/>
      <c r="PWO23" s="3741"/>
      <c r="PWP23" s="3741"/>
      <c r="PWQ23" s="3741"/>
      <c r="PWR23" s="3741"/>
      <c r="PWS23" s="3741"/>
      <c r="PWT23" s="3741"/>
      <c r="PWU23" s="3741"/>
      <c r="PWV23" s="3741"/>
      <c r="PWW23" s="3741"/>
      <c r="PWX23" s="3741"/>
      <c r="PWY23" s="3741"/>
      <c r="PWZ23" s="3741"/>
      <c r="PXA23" s="3741"/>
      <c r="PXB23" s="3741"/>
      <c r="PXC23" s="3741"/>
      <c r="PXD23" s="3741"/>
      <c r="PXE23" s="3741"/>
      <c r="PXF23" s="3741"/>
      <c r="PXG23" s="3741"/>
      <c r="PXH23" s="3741"/>
      <c r="PXI23" s="3741"/>
      <c r="PXJ23" s="3741"/>
      <c r="PXK23" s="3741"/>
      <c r="PXL23" s="3741"/>
      <c r="PXM23" s="3741"/>
      <c r="PXN23" s="3741"/>
      <c r="PXO23" s="3741"/>
      <c r="PXP23" s="3741"/>
      <c r="PXQ23" s="3741"/>
      <c r="PXR23" s="3741"/>
      <c r="PXS23" s="3741"/>
      <c r="PXT23" s="3741"/>
      <c r="PXU23" s="3741"/>
      <c r="PXV23" s="3741"/>
      <c r="PXW23" s="3741"/>
      <c r="PXX23" s="3741"/>
      <c r="PXY23" s="3741"/>
      <c r="PXZ23" s="3741"/>
      <c r="PYA23" s="3741"/>
      <c r="PYB23" s="3741"/>
      <c r="PYC23" s="3741"/>
      <c r="PYD23" s="3741"/>
      <c r="PYE23" s="3741"/>
      <c r="PYF23" s="3741"/>
      <c r="PYG23" s="3741"/>
      <c r="PYH23" s="3741"/>
      <c r="PYI23" s="3741"/>
      <c r="PYJ23" s="3741"/>
      <c r="PYK23" s="3741"/>
      <c r="PYL23" s="3741"/>
      <c r="PYM23" s="3741"/>
      <c r="PYN23" s="3741"/>
      <c r="PYO23" s="3741"/>
      <c r="PYP23" s="3741"/>
      <c r="PYQ23" s="3741"/>
      <c r="PYR23" s="3741"/>
      <c r="PYS23" s="3741"/>
      <c r="PYT23" s="3741"/>
      <c r="PYU23" s="3741"/>
      <c r="PYV23" s="3741"/>
      <c r="PYW23" s="3741"/>
      <c r="PYX23" s="3741"/>
      <c r="PYY23" s="3741"/>
      <c r="PYZ23" s="3741"/>
      <c r="PZA23" s="3741"/>
      <c r="PZB23" s="3741"/>
      <c r="PZC23" s="3741"/>
      <c r="PZD23" s="3741"/>
      <c r="PZE23" s="3741"/>
      <c r="PZF23" s="3741"/>
      <c r="PZG23" s="3741"/>
      <c r="PZH23" s="3741"/>
      <c r="PZI23" s="3741"/>
      <c r="PZJ23" s="3741"/>
      <c r="PZK23" s="3741"/>
      <c r="PZL23" s="3741"/>
      <c r="PZM23" s="3741"/>
      <c r="PZN23" s="3741"/>
      <c r="PZO23" s="3741"/>
      <c r="PZP23" s="3741"/>
      <c r="PZQ23" s="3741"/>
      <c r="PZR23" s="3741"/>
      <c r="PZS23" s="3741"/>
      <c r="PZT23" s="3741"/>
      <c r="PZU23" s="3741"/>
      <c r="PZV23" s="3741"/>
      <c r="PZW23" s="3741"/>
      <c r="PZX23" s="3741"/>
      <c r="PZY23" s="3741"/>
      <c r="PZZ23" s="3741"/>
      <c r="QAA23" s="3741"/>
      <c r="QAB23" s="3741"/>
      <c r="QAC23" s="3741"/>
      <c r="QAD23" s="3741"/>
      <c r="QAE23" s="3741"/>
      <c r="QAF23" s="3741"/>
      <c r="QAG23" s="3741"/>
      <c r="QAH23" s="3741"/>
      <c r="QAI23" s="3741"/>
      <c r="QAJ23" s="3741"/>
      <c r="QAK23" s="3741"/>
      <c r="QAL23" s="3741"/>
      <c r="QAM23" s="3741"/>
      <c r="QAN23" s="3741"/>
      <c r="QAO23" s="3741"/>
      <c r="QAP23" s="3741"/>
      <c r="QAQ23" s="3741"/>
      <c r="QAR23" s="3741"/>
      <c r="QAS23" s="3741"/>
      <c r="QAT23" s="3741"/>
      <c r="QAU23" s="3741"/>
      <c r="QAV23" s="3741"/>
      <c r="QAW23" s="3741"/>
      <c r="QAX23" s="3741"/>
      <c r="QAY23" s="3741"/>
      <c r="QAZ23" s="3741"/>
      <c r="QBA23" s="3741"/>
      <c r="QBB23" s="3741"/>
      <c r="QBC23" s="3741"/>
      <c r="QBD23" s="3741"/>
      <c r="QBE23" s="3741"/>
      <c r="QBF23" s="3741"/>
      <c r="QBG23" s="3741"/>
      <c r="QBH23" s="3741"/>
      <c r="QBI23" s="3741"/>
      <c r="QBJ23" s="3741"/>
      <c r="QBK23" s="3741"/>
      <c r="QBL23" s="3741"/>
      <c r="QBM23" s="3741"/>
      <c r="QBN23" s="3741"/>
      <c r="QBO23" s="3741"/>
      <c r="QBP23" s="3741"/>
      <c r="QBQ23" s="3741"/>
      <c r="QBR23" s="3741"/>
      <c r="QBS23" s="3741"/>
      <c r="QBT23" s="3741"/>
      <c r="QBU23" s="3741"/>
      <c r="QBV23" s="3741"/>
      <c r="QBW23" s="3741"/>
      <c r="QBX23" s="3741"/>
      <c r="QBY23" s="3741"/>
      <c r="QBZ23" s="3741"/>
      <c r="QCA23" s="3741"/>
      <c r="QCB23" s="3741"/>
      <c r="QCC23" s="3741"/>
      <c r="QCD23" s="3741"/>
      <c r="QCE23" s="3741"/>
      <c r="QCF23" s="3741"/>
      <c r="QCG23" s="3741"/>
      <c r="QCH23" s="3741"/>
      <c r="QCI23" s="3741"/>
      <c r="QCJ23" s="3741"/>
      <c r="QCK23" s="3741"/>
      <c r="QCL23" s="3741"/>
      <c r="QCM23" s="3741"/>
      <c r="QCN23" s="3741"/>
      <c r="QCO23" s="3741"/>
      <c r="QCP23" s="3741"/>
      <c r="QCQ23" s="3741"/>
      <c r="QCR23" s="3741"/>
      <c r="QCS23" s="3741"/>
      <c r="QCT23" s="3741"/>
      <c r="QCU23" s="3741"/>
      <c r="QCV23" s="3741"/>
      <c r="QCW23" s="3741"/>
      <c r="QCX23" s="3741"/>
      <c r="QCY23" s="3741"/>
      <c r="QCZ23" s="3741"/>
      <c r="QDA23" s="3741"/>
      <c r="QDB23" s="3741"/>
      <c r="QDC23" s="3741"/>
      <c r="QDD23" s="3741"/>
      <c r="QDE23" s="3741"/>
      <c r="QDF23" s="3741"/>
      <c r="QDG23" s="3741"/>
      <c r="QDH23" s="3741"/>
      <c r="QDI23" s="3741"/>
      <c r="QDJ23" s="3741"/>
      <c r="QDK23" s="3741"/>
      <c r="QDL23" s="3741"/>
      <c r="QDM23" s="3741"/>
      <c r="QDN23" s="3741"/>
      <c r="QDO23" s="3741"/>
      <c r="QDP23" s="3741"/>
      <c r="QDQ23" s="3741"/>
      <c r="QDR23" s="3741"/>
      <c r="QDS23" s="3741"/>
      <c r="QDT23" s="3741"/>
      <c r="QDU23" s="3741"/>
      <c r="QDV23" s="3741"/>
      <c r="QDW23" s="3741"/>
      <c r="QDX23" s="3741"/>
      <c r="QDY23" s="3741"/>
      <c r="QDZ23" s="3741"/>
      <c r="QEA23" s="3741"/>
      <c r="QEB23" s="3741"/>
      <c r="QEC23" s="3741"/>
      <c r="QED23" s="3741"/>
      <c r="QEE23" s="3741"/>
      <c r="QEF23" s="3741"/>
      <c r="QEG23" s="3741"/>
      <c r="QEH23" s="3741"/>
      <c r="QEI23" s="3741"/>
      <c r="QEJ23" s="3741"/>
      <c r="QEK23" s="3741"/>
      <c r="QEL23" s="3741"/>
      <c r="QEM23" s="3741"/>
      <c r="QEN23" s="3741"/>
      <c r="QEO23" s="3741"/>
      <c r="QEP23" s="3741"/>
      <c r="QEQ23" s="3741"/>
      <c r="QER23" s="3741"/>
      <c r="QES23" s="3741"/>
      <c r="QET23" s="3741"/>
      <c r="QEU23" s="3741"/>
      <c r="QEV23" s="3741"/>
      <c r="QEW23" s="3741"/>
      <c r="QEX23" s="3741"/>
      <c r="QEY23" s="3741"/>
      <c r="QEZ23" s="3741"/>
      <c r="QFA23" s="3741"/>
      <c r="QFB23" s="3741"/>
      <c r="QFC23" s="3741"/>
      <c r="QFD23" s="3741"/>
      <c r="QFE23" s="3741"/>
      <c r="QFF23" s="3741"/>
      <c r="QFG23" s="3741"/>
      <c r="QFH23" s="3741"/>
      <c r="QFI23" s="3741"/>
      <c r="QFJ23" s="3741"/>
      <c r="QFK23" s="3741"/>
      <c r="QFL23" s="3741"/>
      <c r="QFM23" s="3741"/>
      <c r="QFN23" s="3741"/>
      <c r="QFO23" s="3741"/>
      <c r="QFP23" s="3741"/>
      <c r="QFQ23" s="3741"/>
      <c r="QFR23" s="3741"/>
      <c r="QFS23" s="3741"/>
      <c r="QFT23" s="3741"/>
      <c r="QFU23" s="3741"/>
      <c r="QFV23" s="3741"/>
      <c r="QFW23" s="3741"/>
      <c r="QFX23" s="3741"/>
      <c r="QFY23" s="3741"/>
      <c r="QFZ23" s="3741"/>
      <c r="QGA23" s="3741"/>
      <c r="QGB23" s="3741"/>
      <c r="QGC23" s="3741"/>
      <c r="QGD23" s="3741"/>
      <c r="QGE23" s="3741"/>
      <c r="QGF23" s="3741"/>
      <c r="QGG23" s="3741"/>
      <c r="QGH23" s="3741"/>
      <c r="QGI23" s="3741"/>
      <c r="QGJ23" s="3741"/>
      <c r="QGK23" s="3741"/>
      <c r="QGL23" s="3741"/>
      <c r="QGM23" s="3741"/>
      <c r="QGN23" s="3741"/>
      <c r="QGO23" s="3741"/>
      <c r="QGP23" s="3741"/>
      <c r="QGQ23" s="3741"/>
      <c r="QGR23" s="3741"/>
      <c r="QGS23" s="3741"/>
      <c r="QGT23" s="3741"/>
      <c r="QGU23" s="3741"/>
      <c r="QGV23" s="3741"/>
      <c r="QGW23" s="3741"/>
      <c r="QGX23" s="3741"/>
      <c r="QGY23" s="3741"/>
      <c r="QGZ23" s="3741"/>
      <c r="QHA23" s="3741"/>
      <c r="QHB23" s="3741"/>
      <c r="QHC23" s="3741"/>
      <c r="QHD23" s="3741"/>
      <c r="QHE23" s="3741"/>
      <c r="QHF23" s="3741"/>
      <c r="QHG23" s="3741"/>
      <c r="QHH23" s="3741"/>
      <c r="QHI23" s="3741"/>
      <c r="QHJ23" s="3741"/>
      <c r="QHK23" s="3741"/>
      <c r="QHL23" s="3741"/>
      <c r="QHM23" s="3741"/>
      <c r="QHN23" s="3741"/>
      <c r="QHO23" s="3741"/>
      <c r="QHP23" s="3741"/>
      <c r="QHQ23" s="3741"/>
      <c r="QHR23" s="3741"/>
      <c r="QHS23" s="3741"/>
      <c r="QHT23" s="3741"/>
      <c r="QHU23" s="3741"/>
      <c r="QHV23" s="3741"/>
      <c r="QHW23" s="3741"/>
      <c r="QHX23" s="3741"/>
      <c r="QHY23" s="3741"/>
      <c r="QHZ23" s="3741"/>
      <c r="QIA23" s="3741"/>
      <c r="QIB23" s="3741"/>
      <c r="QIC23" s="3741"/>
      <c r="QID23" s="3741"/>
      <c r="QIE23" s="3741"/>
      <c r="QIF23" s="3741"/>
      <c r="QIG23" s="3741"/>
      <c r="QIH23" s="3741"/>
      <c r="QII23" s="3741"/>
      <c r="QIJ23" s="3741"/>
      <c r="QIK23" s="3741"/>
      <c r="QIL23" s="3741"/>
      <c r="QIM23" s="3741"/>
      <c r="QIN23" s="3741"/>
      <c r="QIO23" s="3741"/>
      <c r="QIP23" s="3741"/>
      <c r="QIQ23" s="3741"/>
      <c r="QIR23" s="3741"/>
      <c r="QIS23" s="3741"/>
      <c r="QIT23" s="3741"/>
      <c r="QIU23" s="3741"/>
      <c r="QIV23" s="3741"/>
      <c r="QIW23" s="3741"/>
      <c r="QIX23" s="3741"/>
      <c r="QIY23" s="3741"/>
      <c r="QIZ23" s="3741"/>
      <c r="QJA23" s="3741"/>
      <c r="QJB23" s="3741"/>
      <c r="QJC23" s="3741"/>
      <c r="QJD23" s="3741"/>
      <c r="QJE23" s="3741"/>
      <c r="QJF23" s="3741"/>
      <c r="QJG23" s="3741"/>
      <c r="QJH23" s="3741"/>
      <c r="QJI23" s="3741"/>
      <c r="QJJ23" s="3741"/>
      <c r="QJK23" s="3741"/>
      <c r="QJL23" s="3741"/>
      <c r="QJM23" s="3741"/>
      <c r="QJN23" s="3741"/>
      <c r="QJO23" s="3741"/>
      <c r="QJP23" s="3741"/>
      <c r="QJQ23" s="3741"/>
      <c r="QJR23" s="3741"/>
      <c r="QJS23" s="3741"/>
      <c r="QJT23" s="3741"/>
      <c r="QJU23" s="3741"/>
      <c r="QJV23" s="3741"/>
      <c r="QJW23" s="3741"/>
      <c r="QJX23" s="3741"/>
      <c r="QJY23" s="3741"/>
      <c r="QJZ23" s="3741"/>
      <c r="QKA23" s="3741"/>
      <c r="QKB23" s="3741"/>
      <c r="QKC23" s="3741"/>
      <c r="QKD23" s="3741"/>
      <c r="QKE23" s="3741"/>
      <c r="QKF23" s="3741"/>
      <c r="QKG23" s="3741"/>
      <c r="QKH23" s="3741"/>
      <c r="QKI23" s="3741"/>
      <c r="QKJ23" s="3741"/>
      <c r="QKK23" s="3741"/>
      <c r="QKL23" s="3741"/>
      <c r="QKM23" s="3741"/>
      <c r="QKN23" s="3741"/>
      <c r="QKO23" s="3741"/>
      <c r="QKP23" s="3741"/>
      <c r="QKQ23" s="3741"/>
      <c r="QKR23" s="3741"/>
      <c r="QKS23" s="3741"/>
      <c r="QKT23" s="3741"/>
      <c r="QKU23" s="3741"/>
      <c r="QKV23" s="3741"/>
      <c r="QKW23" s="3741"/>
      <c r="QKX23" s="3741"/>
      <c r="QKY23" s="3741"/>
      <c r="QKZ23" s="3741"/>
      <c r="QLA23" s="3741"/>
      <c r="QLB23" s="3741"/>
      <c r="QLC23" s="3741"/>
      <c r="QLD23" s="3741"/>
      <c r="QLE23" s="3741"/>
      <c r="QLF23" s="3741"/>
      <c r="QLG23" s="3741"/>
      <c r="QLH23" s="3741"/>
      <c r="QLI23" s="3741"/>
      <c r="QLJ23" s="3741"/>
      <c r="QLK23" s="3741"/>
      <c r="QLL23" s="3741"/>
      <c r="QLM23" s="3741"/>
      <c r="QLN23" s="3741"/>
      <c r="QLO23" s="3741"/>
      <c r="QLP23" s="3741"/>
      <c r="QLQ23" s="3741"/>
      <c r="QLR23" s="3741"/>
      <c r="QLS23" s="3741"/>
      <c r="QLT23" s="3741"/>
      <c r="QLU23" s="3741"/>
      <c r="QLV23" s="3741"/>
      <c r="QLW23" s="3741"/>
      <c r="QLX23" s="3741"/>
      <c r="QLY23" s="3741"/>
      <c r="QLZ23" s="3741"/>
      <c r="QMA23" s="3741"/>
      <c r="QMB23" s="3741"/>
      <c r="QMC23" s="3741"/>
      <c r="QMD23" s="3741"/>
      <c r="QME23" s="3741"/>
      <c r="QMF23" s="3741"/>
      <c r="QMG23" s="3741"/>
      <c r="QMH23" s="3741"/>
      <c r="QMI23" s="3741"/>
      <c r="QMJ23" s="3741"/>
      <c r="QMK23" s="3741"/>
      <c r="QML23" s="3741"/>
      <c r="QMM23" s="3741"/>
      <c r="QMN23" s="3741"/>
      <c r="QMO23" s="3741"/>
      <c r="QMP23" s="3741"/>
      <c r="QMQ23" s="3741"/>
      <c r="QMR23" s="3741"/>
      <c r="QMS23" s="3741"/>
      <c r="QMT23" s="3741"/>
      <c r="QMU23" s="3741"/>
      <c r="QMV23" s="3741"/>
      <c r="QMW23" s="3741"/>
      <c r="QMX23" s="3741"/>
      <c r="QMY23" s="3741"/>
      <c r="QMZ23" s="3741"/>
      <c r="QNA23" s="3741"/>
      <c r="QNB23" s="3741"/>
      <c r="QNC23" s="3741"/>
      <c r="QND23" s="3741"/>
      <c r="QNE23" s="3741"/>
      <c r="QNF23" s="3741"/>
      <c r="QNG23" s="3741"/>
      <c r="QNH23" s="3741"/>
      <c r="QNI23" s="3741"/>
      <c r="QNJ23" s="3741"/>
      <c r="QNK23" s="3741"/>
      <c r="QNL23" s="3741"/>
      <c r="QNM23" s="3741"/>
      <c r="QNN23" s="3741"/>
      <c r="QNO23" s="3741"/>
      <c r="QNP23" s="3741"/>
      <c r="QNQ23" s="3741"/>
      <c r="QNR23" s="3741"/>
      <c r="QNS23" s="3741"/>
      <c r="QNT23" s="3741"/>
      <c r="QNU23" s="3741"/>
      <c r="QNV23" s="3741"/>
      <c r="QNW23" s="3741"/>
      <c r="QNX23" s="3741"/>
      <c r="QNY23" s="3741"/>
      <c r="QNZ23" s="3741"/>
      <c r="QOA23" s="3741"/>
      <c r="QOB23" s="3741"/>
      <c r="QOC23" s="3741"/>
      <c r="QOD23" s="3741"/>
      <c r="QOE23" s="3741"/>
      <c r="QOF23" s="3741"/>
      <c r="QOG23" s="3741"/>
      <c r="QOH23" s="3741"/>
      <c r="QOI23" s="3741"/>
      <c r="QOJ23" s="3741"/>
      <c r="QOK23" s="3741"/>
      <c r="QOL23" s="3741"/>
      <c r="QOM23" s="3741"/>
      <c r="QON23" s="3741"/>
      <c r="QOO23" s="3741"/>
      <c r="QOP23" s="3741"/>
      <c r="QOQ23" s="3741"/>
      <c r="QOR23" s="3741"/>
      <c r="QOS23" s="3741"/>
      <c r="QOT23" s="3741"/>
      <c r="QOU23" s="3741"/>
      <c r="QOV23" s="3741"/>
      <c r="QOW23" s="3741"/>
      <c r="QOX23" s="3741"/>
      <c r="QOY23" s="3741"/>
      <c r="QOZ23" s="3741"/>
      <c r="QPA23" s="3741"/>
      <c r="QPB23" s="3741"/>
      <c r="QPC23" s="3741"/>
      <c r="QPD23" s="3741"/>
      <c r="QPE23" s="3741"/>
      <c r="QPF23" s="3741"/>
      <c r="QPG23" s="3741"/>
      <c r="QPH23" s="3741"/>
      <c r="QPI23" s="3741"/>
      <c r="QPJ23" s="3741"/>
      <c r="QPK23" s="3741"/>
      <c r="QPL23" s="3741"/>
      <c r="QPM23" s="3741"/>
      <c r="QPN23" s="3741"/>
      <c r="QPO23" s="3741"/>
      <c r="QPP23" s="3741"/>
      <c r="QPQ23" s="3741"/>
      <c r="QPR23" s="3741"/>
      <c r="QPS23" s="3741"/>
      <c r="QPT23" s="3741"/>
      <c r="QPU23" s="3741"/>
      <c r="QPV23" s="3741"/>
      <c r="QPW23" s="3741"/>
      <c r="QPX23" s="3741"/>
      <c r="QPY23" s="3741"/>
      <c r="QPZ23" s="3741"/>
      <c r="QQA23" s="3741"/>
      <c r="QQB23" s="3741"/>
      <c r="QQC23" s="3741"/>
      <c r="QQD23" s="3741"/>
      <c r="QQE23" s="3741"/>
      <c r="QQF23" s="3741"/>
      <c r="QQG23" s="3741"/>
      <c r="QQH23" s="3741"/>
      <c r="QQI23" s="3741"/>
      <c r="QQJ23" s="3741"/>
      <c r="QQK23" s="3741"/>
      <c r="QQL23" s="3741"/>
      <c r="QQM23" s="3741"/>
      <c r="QQN23" s="3741"/>
      <c r="QQO23" s="3741"/>
      <c r="QQP23" s="3741"/>
      <c r="QQQ23" s="3741"/>
      <c r="QQR23" s="3741"/>
      <c r="QQS23" s="3741"/>
      <c r="QQT23" s="3741"/>
      <c r="QQU23" s="3741"/>
      <c r="QQV23" s="3741"/>
      <c r="QQW23" s="3741"/>
      <c r="QQX23" s="3741"/>
      <c r="QQY23" s="3741"/>
      <c r="QQZ23" s="3741"/>
      <c r="QRA23" s="3741"/>
      <c r="QRB23" s="3741"/>
      <c r="QRC23" s="3741"/>
      <c r="QRD23" s="3741"/>
      <c r="QRE23" s="3741"/>
      <c r="QRF23" s="3741"/>
      <c r="QRG23" s="3741"/>
      <c r="QRH23" s="3741"/>
      <c r="QRI23" s="3741"/>
      <c r="QRJ23" s="3741"/>
      <c r="QRK23" s="3741"/>
      <c r="QRL23" s="3741"/>
      <c r="QRM23" s="3741"/>
      <c r="QRN23" s="3741"/>
      <c r="QRO23" s="3741"/>
      <c r="QRP23" s="3741"/>
      <c r="QRQ23" s="3741"/>
      <c r="QRR23" s="3741"/>
      <c r="QRS23" s="3741"/>
      <c r="QRT23" s="3741"/>
      <c r="QRU23" s="3741"/>
      <c r="QRV23" s="3741"/>
      <c r="QRW23" s="3741"/>
      <c r="QRX23" s="3741"/>
      <c r="QRY23" s="3741"/>
      <c r="QRZ23" s="3741"/>
      <c r="QSA23" s="3741"/>
      <c r="QSB23" s="3741"/>
      <c r="QSC23" s="3741"/>
      <c r="QSD23" s="3741"/>
      <c r="QSE23" s="3741"/>
      <c r="QSF23" s="3741"/>
      <c r="QSG23" s="3741"/>
      <c r="QSH23" s="3741"/>
      <c r="QSI23" s="3741"/>
      <c r="QSJ23" s="3741"/>
      <c r="QSK23" s="3741"/>
      <c r="QSL23" s="3741"/>
      <c r="QSM23" s="3741"/>
      <c r="QSN23" s="3741"/>
      <c r="QSO23" s="3741"/>
      <c r="QSP23" s="3741"/>
      <c r="QSQ23" s="3741"/>
      <c r="QSR23" s="3741"/>
      <c r="QSS23" s="3741"/>
      <c r="QST23" s="3741"/>
      <c r="QSU23" s="3741"/>
      <c r="QSV23" s="3741"/>
      <c r="QSW23" s="3741"/>
      <c r="QSX23" s="3741"/>
      <c r="QSY23" s="3741"/>
      <c r="QSZ23" s="3741"/>
      <c r="QTA23" s="3741"/>
      <c r="QTB23" s="3741"/>
      <c r="QTC23" s="3741"/>
      <c r="QTD23" s="3741"/>
      <c r="QTE23" s="3741"/>
      <c r="QTF23" s="3741"/>
      <c r="QTG23" s="3741"/>
      <c r="QTH23" s="3741"/>
      <c r="QTI23" s="3741"/>
      <c r="QTJ23" s="3741"/>
      <c r="QTK23" s="3741"/>
      <c r="QTL23" s="3741"/>
      <c r="QTM23" s="3741"/>
      <c r="QTN23" s="3741"/>
      <c r="QTO23" s="3741"/>
      <c r="QTP23" s="3741"/>
      <c r="QTQ23" s="3741"/>
      <c r="QTR23" s="3741"/>
      <c r="QTS23" s="3741"/>
      <c r="QTT23" s="3741"/>
      <c r="QTU23" s="3741"/>
      <c r="QTV23" s="3741"/>
      <c r="QTW23" s="3741"/>
      <c r="QTX23" s="3741"/>
      <c r="QTY23" s="3741"/>
      <c r="QTZ23" s="3741"/>
      <c r="QUA23" s="3741"/>
      <c r="QUB23" s="3741"/>
      <c r="QUC23" s="3741"/>
      <c r="QUD23" s="3741"/>
      <c r="QUE23" s="3741"/>
      <c r="QUF23" s="3741"/>
      <c r="QUG23" s="3741"/>
      <c r="QUH23" s="3741"/>
      <c r="QUI23" s="3741"/>
      <c r="QUJ23" s="3741"/>
      <c r="QUK23" s="3741"/>
      <c r="QUL23" s="3741"/>
      <c r="QUM23" s="3741"/>
      <c r="QUN23" s="3741"/>
      <c r="QUO23" s="3741"/>
      <c r="QUP23" s="3741"/>
      <c r="QUQ23" s="3741"/>
      <c r="QUR23" s="3741"/>
      <c r="QUS23" s="3741"/>
      <c r="QUT23" s="3741"/>
      <c r="QUU23" s="3741"/>
      <c r="QUV23" s="3741"/>
      <c r="QUW23" s="3741"/>
      <c r="QUX23" s="3741"/>
      <c r="QUY23" s="3741"/>
      <c r="QUZ23" s="3741"/>
      <c r="QVA23" s="3741"/>
      <c r="QVB23" s="3741"/>
      <c r="QVC23" s="3741"/>
      <c r="QVD23" s="3741"/>
      <c r="QVE23" s="3741"/>
      <c r="QVF23" s="3741"/>
      <c r="QVG23" s="3741"/>
      <c r="QVH23" s="3741"/>
      <c r="QVI23" s="3741"/>
      <c r="QVJ23" s="3741"/>
      <c r="QVK23" s="3741"/>
      <c r="QVL23" s="3741"/>
      <c r="QVM23" s="3741"/>
      <c r="QVN23" s="3741"/>
      <c r="QVO23" s="3741"/>
      <c r="QVP23" s="3741"/>
      <c r="QVQ23" s="3741"/>
      <c r="QVR23" s="3741"/>
      <c r="QVS23" s="3741"/>
      <c r="QVT23" s="3741"/>
      <c r="QVU23" s="3741"/>
      <c r="QVV23" s="3741"/>
      <c r="QVW23" s="3741"/>
      <c r="QVX23" s="3741"/>
      <c r="QVY23" s="3741"/>
      <c r="QVZ23" s="3741"/>
      <c r="QWA23" s="3741"/>
      <c r="QWB23" s="3741"/>
      <c r="QWC23" s="3741"/>
      <c r="QWD23" s="3741"/>
      <c r="QWE23" s="3741"/>
      <c r="QWF23" s="3741"/>
      <c r="QWG23" s="3741"/>
      <c r="QWH23" s="3741"/>
      <c r="QWI23" s="3741"/>
      <c r="QWJ23" s="3741"/>
      <c r="QWK23" s="3741"/>
      <c r="QWL23" s="3741"/>
      <c r="QWM23" s="3741"/>
      <c r="QWN23" s="3741"/>
      <c r="QWO23" s="3741"/>
      <c r="QWP23" s="3741"/>
      <c r="QWQ23" s="3741"/>
      <c r="QWR23" s="3741"/>
      <c r="QWS23" s="3741"/>
      <c r="QWT23" s="3741"/>
      <c r="QWU23" s="3741"/>
      <c r="QWV23" s="3741"/>
      <c r="QWW23" s="3741"/>
      <c r="QWX23" s="3741"/>
      <c r="QWY23" s="3741"/>
      <c r="QWZ23" s="3741"/>
      <c r="QXA23" s="3741"/>
      <c r="QXB23" s="3741"/>
      <c r="QXC23" s="3741"/>
      <c r="QXD23" s="3741"/>
      <c r="QXE23" s="3741"/>
      <c r="QXF23" s="3741"/>
      <c r="QXG23" s="3741"/>
      <c r="QXH23" s="3741"/>
      <c r="QXI23" s="3741"/>
      <c r="QXJ23" s="3741"/>
      <c r="QXK23" s="3741"/>
      <c r="QXL23" s="3741"/>
      <c r="QXM23" s="3741"/>
      <c r="QXN23" s="3741"/>
      <c r="QXO23" s="3741"/>
      <c r="QXP23" s="3741"/>
      <c r="QXQ23" s="3741"/>
      <c r="QXR23" s="3741"/>
      <c r="QXS23" s="3741"/>
      <c r="QXT23" s="3741"/>
      <c r="QXU23" s="3741"/>
      <c r="QXV23" s="3741"/>
      <c r="QXW23" s="3741"/>
      <c r="QXX23" s="3741"/>
      <c r="QXY23" s="3741"/>
      <c r="QXZ23" s="3741"/>
      <c r="QYA23" s="3741"/>
      <c r="QYB23" s="3741"/>
      <c r="QYC23" s="3741"/>
      <c r="QYD23" s="3741"/>
      <c r="QYE23" s="3741"/>
      <c r="QYF23" s="3741"/>
      <c r="QYG23" s="3741"/>
      <c r="QYH23" s="3741"/>
      <c r="QYI23" s="3741"/>
      <c r="QYJ23" s="3741"/>
      <c r="QYK23" s="3741"/>
      <c r="QYL23" s="3741"/>
      <c r="QYM23" s="3741"/>
      <c r="QYN23" s="3741"/>
      <c r="QYO23" s="3741"/>
      <c r="QYP23" s="3741"/>
      <c r="QYQ23" s="3741"/>
      <c r="QYR23" s="3741"/>
      <c r="QYS23" s="3741"/>
      <c r="QYT23" s="3741"/>
      <c r="QYU23" s="3741"/>
      <c r="QYV23" s="3741"/>
      <c r="QYW23" s="3741"/>
      <c r="QYX23" s="3741"/>
      <c r="QYY23" s="3741"/>
      <c r="QYZ23" s="3741"/>
      <c r="QZA23" s="3741"/>
      <c r="QZB23" s="3741"/>
      <c r="QZC23" s="3741"/>
      <c r="QZD23" s="3741"/>
      <c r="QZE23" s="3741"/>
      <c r="QZF23" s="3741"/>
      <c r="QZG23" s="3741"/>
      <c r="QZH23" s="3741"/>
      <c r="QZI23" s="3741"/>
      <c r="QZJ23" s="3741"/>
      <c r="QZK23" s="3741"/>
      <c r="QZL23" s="3741"/>
      <c r="QZM23" s="3741"/>
      <c r="QZN23" s="3741"/>
      <c r="QZO23" s="3741"/>
      <c r="QZP23" s="3741"/>
      <c r="QZQ23" s="3741"/>
      <c r="QZR23" s="3741"/>
      <c r="QZS23" s="3741"/>
      <c r="QZT23" s="3741"/>
      <c r="QZU23" s="3741"/>
      <c r="QZV23" s="3741"/>
      <c r="QZW23" s="3741"/>
      <c r="QZX23" s="3741"/>
      <c r="QZY23" s="3741"/>
      <c r="QZZ23" s="3741"/>
      <c r="RAA23" s="3741"/>
      <c r="RAB23" s="3741"/>
      <c r="RAC23" s="3741"/>
      <c r="RAD23" s="3741"/>
      <c r="RAE23" s="3741"/>
      <c r="RAF23" s="3741"/>
      <c r="RAG23" s="3741"/>
      <c r="RAH23" s="3741"/>
      <c r="RAI23" s="3741"/>
      <c r="RAJ23" s="3741"/>
      <c r="RAK23" s="3741"/>
      <c r="RAL23" s="3741"/>
      <c r="RAM23" s="3741"/>
      <c r="RAN23" s="3741"/>
      <c r="RAO23" s="3741"/>
      <c r="RAP23" s="3741"/>
      <c r="RAQ23" s="3741"/>
      <c r="RAR23" s="3741"/>
      <c r="RAS23" s="3741"/>
      <c r="RAT23" s="3741"/>
      <c r="RAU23" s="3741"/>
      <c r="RAV23" s="3741"/>
      <c r="RAW23" s="3741"/>
      <c r="RAX23" s="3741"/>
      <c r="RAY23" s="3741"/>
      <c r="RAZ23" s="3741"/>
      <c r="RBA23" s="3741"/>
      <c r="RBB23" s="3741"/>
      <c r="RBC23" s="3741"/>
      <c r="RBD23" s="3741"/>
      <c r="RBE23" s="3741"/>
      <c r="RBF23" s="3741"/>
      <c r="RBG23" s="3741"/>
      <c r="RBH23" s="3741"/>
      <c r="RBI23" s="3741"/>
      <c r="RBJ23" s="3741"/>
      <c r="RBK23" s="3741"/>
      <c r="RBL23" s="3741"/>
      <c r="RBM23" s="3741"/>
      <c r="RBN23" s="3741"/>
      <c r="RBO23" s="3741"/>
      <c r="RBP23" s="3741"/>
      <c r="RBQ23" s="3741"/>
      <c r="RBR23" s="3741"/>
      <c r="RBS23" s="3741"/>
      <c r="RBT23" s="3741"/>
      <c r="RBU23" s="3741"/>
      <c r="RBV23" s="3741"/>
      <c r="RBW23" s="3741"/>
      <c r="RBX23" s="3741"/>
      <c r="RBY23" s="3741"/>
      <c r="RBZ23" s="3741"/>
      <c r="RCA23" s="3741"/>
      <c r="RCB23" s="3741"/>
      <c r="RCC23" s="3741"/>
      <c r="RCD23" s="3741"/>
      <c r="RCE23" s="3741"/>
      <c r="RCF23" s="3741"/>
      <c r="RCG23" s="3741"/>
      <c r="RCH23" s="3741"/>
      <c r="RCI23" s="3741"/>
      <c r="RCJ23" s="3741"/>
      <c r="RCK23" s="3741"/>
      <c r="RCL23" s="3741"/>
      <c r="RCM23" s="3741"/>
      <c r="RCN23" s="3741"/>
      <c r="RCO23" s="3741"/>
      <c r="RCP23" s="3741"/>
      <c r="RCQ23" s="3741"/>
      <c r="RCR23" s="3741"/>
      <c r="RCS23" s="3741"/>
      <c r="RCT23" s="3741"/>
      <c r="RCU23" s="3741"/>
      <c r="RCV23" s="3741"/>
      <c r="RCW23" s="3741"/>
      <c r="RCX23" s="3741"/>
      <c r="RCY23" s="3741"/>
      <c r="RCZ23" s="3741"/>
      <c r="RDA23" s="3741"/>
      <c r="RDB23" s="3741"/>
      <c r="RDC23" s="3741"/>
      <c r="RDD23" s="3741"/>
      <c r="RDE23" s="3741"/>
      <c r="RDF23" s="3741"/>
      <c r="RDG23" s="3741"/>
      <c r="RDH23" s="3741"/>
      <c r="RDI23" s="3741"/>
      <c r="RDJ23" s="3741"/>
      <c r="RDK23" s="3741"/>
      <c r="RDL23" s="3741"/>
      <c r="RDM23" s="3741"/>
      <c r="RDN23" s="3741"/>
      <c r="RDO23" s="3741"/>
      <c r="RDP23" s="3741"/>
      <c r="RDQ23" s="3741"/>
      <c r="RDR23" s="3741"/>
      <c r="RDS23" s="3741"/>
      <c r="RDT23" s="3741"/>
      <c r="RDU23" s="3741"/>
      <c r="RDV23" s="3741"/>
      <c r="RDW23" s="3741"/>
      <c r="RDX23" s="3741"/>
      <c r="RDY23" s="3741"/>
      <c r="RDZ23" s="3741"/>
      <c r="REA23" s="3741"/>
      <c r="REB23" s="3741"/>
      <c r="REC23" s="3741"/>
      <c r="RED23" s="3741"/>
      <c r="REE23" s="3741"/>
      <c r="REF23" s="3741"/>
      <c r="REG23" s="3741"/>
      <c r="REH23" s="3741"/>
      <c r="REI23" s="3741"/>
      <c r="REJ23" s="3741"/>
      <c r="REK23" s="3741"/>
      <c r="REL23" s="3741"/>
      <c r="REM23" s="3741"/>
      <c r="REN23" s="3741"/>
      <c r="REO23" s="3741"/>
      <c r="REP23" s="3741"/>
      <c r="REQ23" s="3741"/>
      <c r="RER23" s="3741"/>
      <c r="RES23" s="3741"/>
      <c r="RET23" s="3741"/>
      <c r="REU23" s="3741"/>
      <c r="REV23" s="3741"/>
      <c r="REW23" s="3741"/>
      <c r="REX23" s="3741"/>
      <c r="REY23" s="3741"/>
      <c r="REZ23" s="3741"/>
      <c r="RFA23" s="3741"/>
      <c r="RFB23" s="3741"/>
      <c r="RFC23" s="3741"/>
      <c r="RFD23" s="3741"/>
      <c r="RFE23" s="3741"/>
      <c r="RFF23" s="3741"/>
      <c r="RFG23" s="3741"/>
      <c r="RFH23" s="3741"/>
      <c r="RFI23" s="3741"/>
      <c r="RFJ23" s="3741"/>
      <c r="RFK23" s="3741"/>
      <c r="RFL23" s="3741"/>
      <c r="RFM23" s="3741"/>
      <c r="RFN23" s="3741"/>
      <c r="RFO23" s="3741"/>
      <c r="RFP23" s="3741"/>
      <c r="RFQ23" s="3741"/>
      <c r="RFR23" s="3741"/>
      <c r="RFS23" s="3741"/>
      <c r="RFT23" s="3741"/>
      <c r="RFU23" s="3741"/>
      <c r="RFV23" s="3741"/>
      <c r="RFW23" s="3741"/>
      <c r="RFX23" s="3741"/>
      <c r="RFY23" s="3741"/>
      <c r="RFZ23" s="3741"/>
      <c r="RGA23" s="3741"/>
      <c r="RGB23" s="3741"/>
      <c r="RGC23" s="3741"/>
      <c r="RGD23" s="3741"/>
      <c r="RGE23" s="3741"/>
      <c r="RGF23" s="3741"/>
      <c r="RGG23" s="3741"/>
      <c r="RGH23" s="3741"/>
      <c r="RGI23" s="3741"/>
      <c r="RGJ23" s="3741"/>
      <c r="RGK23" s="3741"/>
      <c r="RGL23" s="3741"/>
      <c r="RGM23" s="3741"/>
      <c r="RGN23" s="3741"/>
      <c r="RGO23" s="3741"/>
      <c r="RGP23" s="3741"/>
      <c r="RGQ23" s="3741"/>
      <c r="RGR23" s="3741"/>
      <c r="RGS23" s="3741"/>
      <c r="RGT23" s="3741"/>
      <c r="RGU23" s="3741"/>
      <c r="RGV23" s="3741"/>
      <c r="RGW23" s="3741"/>
      <c r="RGX23" s="3741"/>
      <c r="RGY23" s="3741"/>
      <c r="RGZ23" s="3741"/>
      <c r="RHA23" s="3741"/>
      <c r="RHB23" s="3741"/>
      <c r="RHC23" s="3741"/>
      <c r="RHD23" s="3741"/>
      <c r="RHE23" s="3741"/>
      <c r="RHF23" s="3741"/>
      <c r="RHG23" s="3741"/>
      <c r="RHH23" s="3741"/>
      <c r="RHI23" s="3741"/>
      <c r="RHJ23" s="3741"/>
      <c r="RHK23" s="3741"/>
      <c r="RHL23" s="3741"/>
      <c r="RHM23" s="3741"/>
      <c r="RHN23" s="3741"/>
      <c r="RHO23" s="3741"/>
      <c r="RHP23" s="3741"/>
      <c r="RHQ23" s="3741"/>
      <c r="RHR23" s="3741"/>
      <c r="RHS23" s="3741"/>
      <c r="RHT23" s="3741"/>
      <c r="RHU23" s="3741"/>
      <c r="RHV23" s="3741"/>
      <c r="RHW23" s="3741"/>
      <c r="RHX23" s="3741"/>
      <c r="RHY23" s="3741"/>
      <c r="RHZ23" s="3741"/>
      <c r="RIA23" s="3741"/>
      <c r="RIB23" s="3741"/>
      <c r="RIC23" s="3741"/>
      <c r="RID23" s="3741"/>
      <c r="RIE23" s="3741"/>
      <c r="RIF23" s="3741"/>
      <c r="RIG23" s="3741"/>
      <c r="RIH23" s="3741"/>
      <c r="RII23" s="3741"/>
      <c r="RIJ23" s="3741"/>
      <c r="RIK23" s="3741"/>
      <c r="RIL23" s="3741"/>
      <c r="RIM23" s="3741"/>
      <c r="RIN23" s="3741"/>
      <c r="RIO23" s="3741"/>
      <c r="RIP23" s="3741"/>
      <c r="RIQ23" s="3741"/>
      <c r="RIR23" s="3741"/>
      <c r="RIS23" s="3741"/>
      <c r="RIT23" s="3741"/>
      <c r="RIU23" s="3741"/>
      <c r="RIV23" s="3741"/>
      <c r="RIW23" s="3741"/>
      <c r="RIX23" s="3741"/>
      <c r="RIY23" s="3741"/>
      <c r="RIZ23" s="3741"/>
      <c r="RJA23" s="3741"/>
      <c r="RJB23" s="3741"/>
      <c r="RJC23" s="3741"/>
      <c r="RJD23" s="3741"/>
      <c r="RJE23" s="3741"/>
      <c r="RJF23" s="3741"/>
      <c r="RJG23" s="3741"/>
      <c r="RJH23" s="3741"/>
      <c r="RJI23" s="3741"/>
      <c r="RJJ23" s="3741"/>
      <c r="RJK23" s="3741"/>
      <c r="RJL23" s="3741"/>
      <c r="RJM23" s="3741"/>
      <c r="RJN23" s="3741"/>
      <c r="RJO23" s="3741"/>
      <c r="RJP23" s="3741"/>
      <c r="RJQ23" s="3741"/>
      <c r="RJR23" s="3741"/>
      <c r="RJS23" s="3741"/>
      <c r="RJT23" s="3741"/>
      <c r="RJU23" s="3741"/>
      <c r="RJV23" s="3741"/>
      <c r="RJW23" s="3741"/>
      <c r="RJX23" s="3741"/>
      <c r="RJY23" s="3741"/>
      <c r="RJZ23" s="3741"/>
      <c r="RKA23" s="3741"/>
      <c r="RKB23" s="3741"/>
      <c r="RKC23" s="3741"/>
      <c r="RKD23" s="3741"/>
      <c r="RKE23" s="3741"/>
      <c r="RKF23" s="3741"/>
      <c r="RKG23" s="3741"/>
      <c r="RKH23" s="3741"/>
      <c r="RKI23" s="3741"/>
      <c r="RKJ23" s="3741"/>
      <c r="RKK23" s="3741"/>
      <c r="RKL23" s="3741"/>
      <c r="RKM23" s="3741"/>
      <c r="RKN23" s="3741"/>
      <c r="RKO23" s="3741"/>
      <c r="RKP23" s="3741"/>
      <c r="RKQ23" s="3741"/>
      <c r="RKR23" s="3741"/>
      <c r="RKS23" s="3741"/>
      <c r="RKT23" s="3741"/>
      <c r="RKU23" s="3741"/>
      <c r="RKV23" s="3741"/>
      <c r="RKW23" s="3741"/>
      <c r="RKX23" s="3741"/>
      <c r="RKY23" s="3741"/>
      <c r="RKZ23" s="3741"/>
      <c r="RLA23" s="3741"/>
      <c r="RLB23" s="3741"/>
      <c r="RLC23" s="3741"/>
      <c r="RLD23" s="3741"/>
      <c r="RLE23" s="3741"/>
      <c r="RLF23" s="3741"/>
      <c r="RLG23" s="3741"/>
      <c r="RLH23" s="3741"/>
      <c r="RLI23" s="3741"/>
      <c r="RLJ23" s="3741"/>
      <c r="RLK23" s="3741"/>
      <c r="RLL23" s="3741"/>
      <c r="RLM23" s="3741"/>
      <c r="RLN23" s="3741"/>
      <c r="RLO23" s="3741"/>
      <c r="RLP23" s="3741"/>
      <c r="RLQ23" s="3741"/>
      <c r="RLR23" s="3741"/>
      <c r="RLS23" s="3741"/>
      <c r="RLT23" s="3741"/>
      <c r="RLU23" s="3741"/>
      <c r="RLV23" s="3741"/>
      <c r="RLW23" s="3741"/>
      <c r="RLX23" s="3741"/>
      <c r="RLY23" s="3741"/>
      <c r="RLZ23" s="3741"/>
      <c r="RMA23" s="3741"/>
      <c r="RMB23" s="3741"/>
      <c r="RMC23" s="3741"/>
      <c r="RMD23" s="3741"/>
      <c r="RME23" s="3741"/>
      <c r="RMF23" s="3741"/>
      <c r="RMG23" s="3741"/>
      <c r="RMH23" s="3741"/>
      <c r="RMI23" s="3741"/>
      <c r="RMJ23" s="3741"/>
      <c r="RMK23" s="3741"/>
      <c r="RML23" s="3741"/>
      <c r="RMM23" s="3741"/>
      <c r="RMN23" s="3741"/>
      <c r="RMO23" s="3741"/>
      <c r="RMP23" s="3741"/>
      <c r="RMQ23" s="3741"/>
      <c r="RMR23" s="3741"/>
      <c r="RMS23" s="3741"/>
      <c r="RMT23" s="3741"/>
      <c r="RMU23" s="3741"/>
      <c r="RMV23" s="3741"/>
      <c r="RMW23" s="3741"/>
      <c r="RMX23" s="3741"/>
      <c r="RMY23" s="3741"/>
      <c r="RMZ23" s="3741"/>
      <c r="RNA23" s="3741"/>
      <c r="RNB23" s="3741"/>
      <c r="RNC23" s="3741"/>
      <c r="RND23" s="3741"/>
      <c r="RNE23" s="3741"/>
      <c r="RNF23" s="3741"/>
      <c r="RNG23" s="3741"/>
      <c r="RNH23" s="3741"/>
      <c r="RNI23" s="3741"/>
      <c r="RNJ23" s="3741"/>
      <c r="RNK23" s="3741"/>
      <c r="RNL23" s="3741"/>
      <c r="RNM23" s="3741"/>
      <c r="RNN23" s="3741"/>
      <c r="RNO23" s="3741"/>
      <c r="RNP23" s="3741"/>
      <c r="RNQ23" s="3741"/>
      <c r="RNR23" s="3741"/>
      <c r="RNS23" s="3741"/>
      <c r="RNT23" s="3741"/>
      <c r="RNU23" s="3741"/>
      <c r="RNV23" s="3741"/>
      <c r="RNW23" s="3741"/>
      <c r="RNX23" s="3741"/>
      <c r="RNY23" s="3741"/>
      <c r="RNZ23" s="3741"/>
      <c r="ROA23" s="3741"/>
      <c r="ROB23" s="3741"/>
      <c r="ROC23" s="3741"/>
      <c r="ROD23" s="3741"/>
      <c r="ROE23" s="3741"/>
      <c r="ROF23" s="3741"/>
      <c r="ROG23" s="3741"/>
      <c r="ROH23" s="3741"/>
      <c r="ROI23" s="3741"/>
      <c r="ROJ23" s="3741"/>
      <c r="ROK23" s="3741"/>
      <c r="ROL23" s="3741"/>
      <c r="ROM23" s="3741"/>
      <c r="RON23" s="3741"/>
      <c r="ROO23" s="3741"/>
      <c r="ROP23" s="3741"/>
      <c r="ROQ23" s="3741"/>
      <c r="ROR23" s="3741"/>
      <c r="ROS23" s="3741"/>
      <c r="ROT23" s="3741"/>
      <c r="ROU23" s="3741"/>
      <c r="ROV23" s="3741"/>
      <c r="ROW23" s="3741"/>
      <c r="ROX23" s="3741"/>
      <c r="ROY23" s="3741"/>
      <c r="ROZ23" s="3741"/>
      <c r="RPA23" s="3741"/>
      <c r="RPB23" s="3741"/>
      <c r="RPC23" s="3741"/>
      <c r="RPD23" s="3741"/>
      <c r="RPE23" s="3741"/>
      <c r="RPF23" s="3741"/>
      <c r="RPG23" s="3741"/>
      <c r="RPH23" s="3741"/>
      <c r="RPI23" s="3741"/>
      <c r="RPJ23" s="3741"/>
      <c r="RPK23" s="3741"/>
      <c r="RPL23" s="3741"/>
      <c r="RPM23" s="3741"/>
      <c r="RPN23" s="3741"/>
      <c r="RPO23" s="3741"/>
      <c r="RPP23" s="3741"/>
      <c r="RPQ23" s="3741"/>
      <c r="RPR23" s="3741"/>
      <c r="RPS23" s="3741"/>
      <c r="RPT23" s="3741"/>
      <c r="RPU23" s="3741"/>
      <c r="RPV23" s="3741"/>
      <c r="RPW23" s="3741"/>
      <c r="RPX23" s="3741"/>
      <c r="RPY23" s="3741"/>
      <c r="RPZ23" s="3741"/>
      <c r="RQA23" s="3741"/>
      <c r="RQB23" s="3741"/>
      <c r="RQC23" s="3741"/>
      <c r="RQD23" s="3741"/>
      <c r="RQE23" s="3741"/>
      <c r="RQF23" s="3741"/>
      <c r="RQG23" s="3741"/>
      <c r="RQH23" s="3741"/>
      <c r="RQI23" s="3741"/>
      <c r="RQJ23" s="3741"/>
      <c r="RQK23" s="3741"/>
      <c r="RQL23" s="3741"/>
      <c r="RQM23" s="3741"/>
      <c r="RQN23" s="3741"/>
      <c r="RQO23" s="3741"/>
      <c r="RQP23" s="3741"/>
      <c r="RQQ23" s="3741"/>
      <c r="RQR23" s="3741"/>
      <c r="RQS23" s="3741"/>
      <c r="RQT23" s="3741"/>
      <c r="RQU23" s="3741"/>
      <c r="RQV23" s="3741"/>
      <c r="RQW23" s="3741"/>
      <c r="RQX23" s="3741"/>
      <c r="RQY23" s="3741"/>
      <c r="RQZ23" s="3741"/>
      <c r="RRA23" s="3741"/>
      <c r="RRB23" s="3741"/>
      <c r="RRC23" s="3741"/>
      <c r="RRD23" s="3741"/>
      <c r="RRE23" s="3741"/>
      <c r="RRF23" s="3741"/>
      <c r="RRG23" s="3741"/>
      <c r="RRH23" s="3741"/>
      <c r="RRI23" s="3741"/>
      <c r="RRJ23" s="3741"/>
      <c r="RRK23" s="3741"/>
      <c r="RRL23" s="3741"/>
      <c r="RRM23" s="3741"/>
      <c r="RRN23" s="3741"/>
      <c r="RRO23" s="3741"/>
      <c r="RRP23" s="3741"/>
      <c r="RRQ23" s="3741"/>
      <c r="RRR23" s="3741"/>
      <c r="RRS23" s="3741"/>
      <c r="RRT23" s="3741"/>
      <c r="RRU23" s="3741"/>
      <c r="RRV23" s="3741"/>
      <c r="RRW23" s="3741"/>
      <c r="RRX23" s="3741"/>
      <c r="RRY23" s="3741"/>
      <c r="RRZ23" s="3741"/>
      <c r="RSA23" s="3741"/>
      <c r="RSB23" s="3741"/>
      <c r="RSC23" s="3741"/>
      <c r="RSD23" s="3741"/>
      <c r="RSE23" s="3741"/>
      <c r="RSF23" s="3741"/>
      <c r="RSG23" s="3741"/>
      <c r="RSH23" s="3741"/>
      <c r="RSI23" s="3741"/>
      <c r="RSJ23" s="3741"/>
      <c r="RSK23" s="3741"/>
      <c r="RSL23" s="3741"/>
      <c r="RSM23" s="3741"/>
      <c r="RSN23" s="3741"/>
      <c r="RSO23" s="3741"/>
      <c r="RSP23" s="3741"/>
      <c r="RSQ23" s="3741"/>
      <c r="RSR23" s="3741"/>
      <c r="RSS23" s="3741"/>
      <c r="RST23" s="3741"/>
      <c r="RSU23" s="3741"/>
      <c r="RSV23" s="3741"/>
      <c r="RSW23" s="3741"/>
      <c r="RSX23" s="3741"/>
      <c r="RSY23" s="3741"/>
      <c r="RSZ23" s="3741"/>
      <c r="RTA23" s="3741"/>
      <c r="RTB23" s="3741"/>
      <c r="RTC23" s="3741"/>
      <c r="RTD23" s="3741"/>
      <c r="RTE23" s="3741"/>
      <c r="RTF23" s="3741"/>
      <c r="RTG23" s="3741"/>
      <c r="RTH23" s="3741"/>
      <c r="RTI23" s="3741"/>
      <c r="RTJ23" s="3741"/>
      <c r="RTK23" s="3741"/>
      <c r="RTL23" s="3741"/>
      <c r="RTM23" s="3741"/>
      <c r="RTN23" s="3741"/>
      <c r="RTO23" s="3741"/>
      <c r="RTP23" s="3741"/>
      <c r="RTQ23" s="3741"/>
      <c r="RTR23" s="3741"/>
      <c r="RTS23" s="3741"/>
      <c r="RTT23" s="3741"/>
      <c r="RTU23" s="3741"/>
      <c r="RTV23" s="3741"/>
      <c r="RTW23" s="3741"/>
      <c r="RTX23" s="3741"/>
      <c r="RTY23" s="3741"/>
      <c r="RTZ23" s="3741"/>
      <c r="RUA23" s="3741"/>
      <c r="RUB23" s="3741"/>
      <c r="RUC23" s="3741"/>
      <c r="RUD23" s="3741"/>
      <c r="RUE23" s="3741"/>
      <c r="RUF23" s="3741"/>
      <c r="RUG23" s="3741"/>
      <c r="RUH23" s="3741"/>
      <c r="RUI23" s="3741"/>
      <c r="RUJ23" s="3741"/>
      <c r="RUK23" s="3741"/>
      <c r="RUL23" s="3741"/>
      <c r="RUM23" s="3741"/>
      <c r="RUN23" s="3741"/>
      <c r="RUO23" s="3741"/>
      <c r="RUP23" s="3741"/>
      <c r="RUQ23" s="3741"/>
      <c r="RUR23" s="3741"/>
      <c r="RUS23" s="3741"/>
      <c r="RUT23" s="3741"/>
      <c r="RUU23" s="3741"/>
      <c r="RUV23" s="3741"/>
      <c r="RUW23" s="3741"/>
      <c r="RUX23" s="3741"/>
      <c r="RUY23" s="3741"/>
      <c r="RUZ23" s="3741"/>
      <c r="RVA23" s="3741"/>
      <c r="RVB23" s="3741"/>
      <c r="RVC23" s="3741"/>
      <c r="RVD23" s="3741"/>
      <c r="RVE23" s="3741"/>
      <c r="RVF23" s="3741"/>
      <c r="RVG23" s="3741"/>
      <c r="RVH23" s="3741"/>
      <c r="RVI23" s="3741"/>
      <c r="RVJ23" s="3741"/>
      <c r="RVK23" s="3741"/>
      <c r="RVL23" s="3741"/>
      <c r="RVM23" s="3741"/>
      <c r="RVN23" s="3741"/>
      <c r="RVO23" s="3741"/>
      <c r="RVP23" s="3741"/>
      <c r="RVQ23" s="3741"/>
      <c r="RVR23" s="3741"/>
      <c r="RVS23" s="3741"/>
      <c r="RVT23" s="3741"/>
      <c r="RVU23" s="3741"/>
      <c r="RVV23" s="3741"/>
      <c r="RVW23" s="3741"/>
      <c r="RVX23" s="3741"/>
      <c r="RVY23" s="3741"/>
      <c r="RVZ23" s="3741"/>
      <c r="RWA23" s="3741"/>
      <c r="RWB23" s="3741"/>
      <c r="RWC23" s="3741"/>
      <c r="RWD23" s="3741"/>
      <c r="RWE23" s="3741"/>
      <c r="RWF23" s="3741"/>
      <c r="RWG23" s="3741"/>
      <c r="RWH23" s="3741"/>
      <c r="RWI23" s="3741"/>
      <c r="RWJ23" s="3741"/>
      <c r="RWK23" s="3741"/>
      <c r="RWL23" s="3741"/>
      <c r="RWM23" s="3741"/>
      <c r="RWN23" s="3741"/>
      <c r="RWO23" s="3741"/>
      <c r="RWP23" s="3741"/>
      <c r="RWQ23" s="3741"/>
      <c r="RWR23" s="3741"/>
      <c r="RWS23" s="3741"/>
      <c r="RWT23" s="3741"/>
      <c r="RWU23" s="3741"/>
      <c r="RWV23" s="3741"/>
      <c r="RWW23" s="3741"/>
      <c r="RWX23" s="3741"/>
      <c r="RWY23" s="3741"/>
      <c r="RWZ23" s="3741"/>
      <c r="RXA23" s="3741"/>
      <c r="RXB23" s="3741"/>
      <c r="RXC23" s="3741"/>
      <c r="RXD23" s="3741"/>
      <c r="RXE23" s="3741"/>
      <c r="RXF23" s="3741"/>
      <c r="RXG23" s="3741"/>
      <c r="RXH23" s="3741"/>
      <c r="RXI23" s="3741"/>
      <c r="RXJ23" s="3741"/>
      <c r="RXK23" s="3741"/>
      <c r="RXL23" s="3741"/>
      <c r="RXM23" s="3741"/>
      <c r="RXN23" s="3741"/>
      <c r="RXO23" s="3741"/>
      <c r="RXP23" s="3741"/>
      <c r="RXQ23" s="3741"/>
      <c r="RXR23" s="3741"/>
      <c r="RXS23" s="3741"/>
      <c r="RXT23" s="3741"/>
      <c r="RXU23" s="3741"/>
      <c r="RXV23" s="3741"/>
      <c r="RXW23" s="3741"/>
      <c r="RXX23" s="3741"/>
      <c r="RXY23" s="3741"/>
      <c r="RXZ23" s="3741"/>
      <c r="RYA23" s="3741"/>
      <c r="RYB23" s="3741"/>
      <c r="RYC23" s="3741"/>
      <c r="RYD23" s="3741"/>
      <c r="RYE23" s="3741"/>
      <c r="RYF23" s="3741"/>
      <c r="RYG23" s="3741"/>
      <c r="RYH23" s="3741"/>
      <c r="RYI23" s="3741"/>
      <c r="RYJ23" s="3741"/>
      <c r="RYK23" s="3741"/>
      <c r="RYL23" s="3741"/>
      <c r="RYM23" s="3741"/>
      <c r="RYN23" s="3741"/>
      <c r="RYO23" s="3741"/>
      <c r="RYP23" s="3741"/>
      <c r="RYQ23" s="3741"/>
      <c r="RYR23" s="3741"/>
      <c r="RYS23" s="3741"/>
      <c r="RYT23" s="3741"/>
      <c r="RYU23" s="3741"/>
      <c r="RYV23" s="3741"/>
      <c r="RYW23" s="3741"/>
      <c r="RYX23" s="3741"/>
      <c r="RYY23" s="3741"/>
      <c r="RYZ23" s="3741"/>
      <c r="RZA23" s="3741"/>
      <c r="RZB23" s="3741"/>
      <c r="RZC23" s="3741"/>
      <c r="RZD23" s="3741"/>
      <c r="RZE23" s="3741"/>
      <c r="RZF23" s="3741"/>
      <c r="RZG23" s="3741"/>
      <c r="RZH23" s="3741"/>
      <c r="RZI23" s="3741"/>
      <c r="RZJ23" s="3741"/>
      <c r="RZK23" s="3741"/>
      <c r="RZL23" s="3741"/>
      <c r="RZM23" s="3741"/>
      <c r="RZN23" s="3741"/>
      <c r="RZO23" s="3741"/>
      <c r="RZP23" s="3741"/>
      <c r="RZQ23" s="3741"/>
      <c r="RZR23" s="3741"/>
      <c r="RZS23" s="3741"/>
      <c r="RZT23" s="3741"/>
      <c r="RZU23" s="3741"/>
      <c r="RZV23" s="3741"/>
      <c r="RZW23" s="3741"/>
      <c r="RZX23" s="3741"/>
      <c r="RZY23" s="3741"/>
      <c r="RZZ23" s="3741"/>
      <c r="SAA23" s="3741"/>
      <c r="SAB23" s="3741"/>
      <c r="SAC23" s="3741"/>
      <c r="SAD23" s="3741"/>
      <c r="SAE23" s="3741"/>
      <c r="SAF23" s="3741"/>
      <c r="SAG23" s="3741"/>
      <c r="SAH23" s="3741"/>
      <c r="SAI23" s="3741"/>
      <c r="SAJ23" s="3741"/>
      <c r="SAK23" s="3741"/>
      <c r="SAL23" s="3741"/>
      <c r="SAM23" s="3741"/>
      <c r="SAN23" s="3741"/>
      <c r="SAO23" s="3741"/>
      <c r="SAP23" s="3741"/>
      <c r="SAQ23" s="3741"/>
      <c r="SAR23" s="3741"/>
      <c r="SAS23" s="3741"/>
      <c r="SAT23" s="3741"/>
      <c r="SAU23" s="3741"/>
      <c r="SAV23" s="3741"/>
      <c r="SAW23" s="3741"/>
      <c r="SAX23" s="3741"/>
      <c r="SAY23" s="3741"/>
      <c r="SAZ23" s="3741"/>
      <c r="SBA23" s="3741"/>
      <c r="SBB23" s="3741"/>
      <c r="SBC23" s="3741"/>
      <c r="SBD23" s="3741"/>
      <c r="SBE23" s="3741"/>
      <c r="SBF23" s="3741"/>
      <c r="SBG23" s="3741"/>
      <c r="SBH23" s="3741"/>
      <c r="SBI23" s="3741"/>
      <c r="SBJ23" s="3741"/>
      <c r="SBK23" s="3741"/>
      <c r="SBL23" s="3741"/>
      <c r="SBM23" s="3741"/>
      <c r="SBN23" s="3741"/>
      <c r="SBO23" s="3741"/>
      <c r="SBP23" s="3741"/>
      <c r="SBQ23" s="3741"/>
      <c r="SBR23" s="3741"/>
      <c r="SBS23" s="3741"/>
      <c r="SBT23" s="3741"/>
      <c r="SBU23" s="3741"/>
      <c r="SBV23" s="3741"/>
      <c r="SBW23" s="3741"/>
      <c r="SBX23" s="3741"/>
      <c r="SBY23" s="3741"/>
      <c r="SBZ23" s="3741"/>
      <c r="SCA23" s="3741"/>
      <c r="SCB23" s="3741"/>
      <c r="SCC23" s="3741"/>
      <c r="SCD23" s="3741"/>
      <c r="SCE23" s="3741"/>
      <c r="SCF23" s="3741"/>
      <c r="SCG23" s="3741"/>
      <c r="SCH23" s="3741"/>
      <c r="SCI23" s="3741"/>
      <c r="SCJ23" s="3741"/>
      <c r="SCK23" s="3741"/>
      <c r="SCL23" s="3741"/>
      <c r="SCM23" s="3741"/>
      <c r="SCN23" s="3741"/>
      <c r="SCO23" s="3741"/>
      <c r="SCP23" s="3741"/>
      <c r="SCQ23" s="3741"/>
      <c r="SCR23" s="3741"/>
      <c r="SCS23" s="3741"/>
      <c r="SCT23" s="3741"/>
      <c r="SCU23" s="3741"/>
      <c r="SCV23" s="3741"/>
      <c r="SCW23" s="3741"/>
      <c r="SCX23" s="3741"/>
      <c r="SCY23" s="3741"/>
      <c r="SCZ23" s="3741"/>
      <c r="SDA23" s="3741"/>
      <c r="SDB23" s="3741"/>
      <c r="SDC23" s="3741"/>
      <c r="SDD23" s="3741"/>
      <c r="SDE23" s="3741"/>
      <c r="SDF23" s="3741"/>
      <c r="SDG23" s="3741"/>
      <c r="SDH23" s="3741"/>
      <c r="SDI23" s="3741"/>
      <c r="SDJ23" s="3741"/>
      <c r="SDK23" s="3741"/>
      <c r="SDL23" s="3741"/>
      <c r="SDM23" s="3741"/>
      <c r="SDN23" s="3741"/>
      <c r="SDO23" s="3741"/>
      <c r="SDP23" s="3741"/>
      <c r="SDQ23" s="3741"/>
      <c r="SDR23" s="3741"/>
      <c r="SDS23" s="3741"/>
      <c r="SDT23" s="3741"/>
      <c r="SDU23" s="3741"/>
      <c r="SDV23" s="3741"/>
      <c r="SDW23" s="3741"/>
      <c r="SDX23" s="3741"/>
      <c r="SDY23" s="3741"/>
      <c r="SDZ23" s="3741"/>
      <c r="SEA23" s="3741"/>
      <c r="SEB23" s="3741"/>
      <c r="SEC23" s="3741"/>
      <c r="SED23" s="3741"/>
      <c r="SEE23" s="3741"/>
      <c r="SEF23" s="3741"/>
      <c r="SEG23" s="3741"/>
      <c r="SEH23" s="3741"/>
      <c r="SEI23" s="3741"/>
      <c r="SEJ23" s="3741"/>
      <c r="SEK23" s="3741"/>
      <c r="SEL23" s="3741"/>
      <c r="SEM23" s="3741"/>
      <c r="SEN23" s="3741"/>
      <c r="SEO23" s="3741"/>
      <c r="SEP23" s="3741"/>
      <c r="SEQ23" s="3741"/>
      <c r="SER23" s="3741"/>
      <c r="SES23" s="3741"/>
      <c r="SET23" s="3741"/>
      <c r="SEU23" s="3741"/>
      <c r="SEV23" s="3741"/>
      <c r="SEW23" s="3741"/>
      <c r="SEX23" s="3741"/>
      <c r="SEY23" s="3741"/>
      <c r="SEZ23" s="3741"/>
      <c r="SFA23" s="3741"/>
      <c r="SFB23" s="3741"/>
      <c r="SFC23" s="3741"/>
      <c r="SFD23" s="3741"/>
      <c r="SFE23" s="3741"/>
      <c r="SFF23" s="3741"/>
      <c r="SFG23" s="3741"/>
      <c r="SFH23" s="3741"/>
      <c r="SFI23" s="3741"/>
      <c r="SFJ23" s="3741"/>
      <c r="SFK23" s="3741"/>
      <c r="SFL23" s="3741"/>
      <c r="SFM23" s="3741"/>
      <c r="SFN23" s="3741"/>
      <c r="SFO23" s="3741"/>
      <c r="SFP23" s="3741"/>
      <c r="SFQ23" s="3741"/>
      <c r="SFR23" s="3741"/>
      <c r="SFS23" s="3741"/>
      <c r="SFT23" s="3741"/>
      <c r="SFU23" s="3741"/>
      <c r="SFV23" s="3741"/>
      <c r="SFW23" s="3741"/>
      <c r="SFX23" s="3741"/>
      <c r="SFY23" s="3741"/>
      <c r="SFZ23" s="3741"/>
      <c r="SGA23" s="3741"/>
      <c r="SGB23" s="3741"/>
      <c r="SGC23" s="3741"/>
      <c r="SGD23" s="3741"/>
      <c r="SGE23" s="3741"/>
      <c r="SGF23" s="3741"/>
      <c r="SGG23" s="3741"/>
      <c r="SGH23" s="3741"/>
      <c r="SGI23" s="3741"/>
      <c r="SGJ23" s="3741"/>
      <c r="SGK23" s="3741"/>
      <c r="SGL23" s="3741"/>
      <c r="SGM23" s="3741"/>
      <c r="SGN23" s="3741"/>
      <c r="SGO23" s="3741"/>
      <c r="SGP23" s="3741"/>
      <c r="SGQ23" s="3741"/>
      <c r="SGR23" s="3741"/>
      <c r="SGS23" s="3741"/>
      <c r="SGT23" s="3741"/>
      <c r="SGU23" s="3741"/>
      <c r="SGV23" s="3741"/>
      <c r="SGW23" s="3741"/>
      <c r="SGX23" s="3741"/>
      <c r="SGY23" s="3741"/>
      <c r="SGZ23" s="3741"/>
      <c r="SHA23" s="3741"/>
      <c r="SHB23" s="3741"/>
      <c r="SHC23" s="3741"/>
      <c r="SHD23" s="3741"/>
      <c r="SHE23" s="3741"/>
      <c r="SHF23" s="3741"/>
      <c r="SHG23" s="3741"/>
      <c r="SHH23" s="3741"/>
      <c r="SHI23" s="3741"/>
      <c r="SHJ23" s="3741"/>
      <c r="SHK23" s="3741"/>
      <c r="SHL23" s="3741"/>
      <c r="SHM23" s="3741"/>
      <c r="SHN23" s="3741"/>
      <c r="SHO23" s="3741"/>
      <c r="SHP23" s="3741"/>
      <c r="SHQ23" s="3741"/>
      <c r="SHR23" s="3741"/>
      <c r="SHS23" s="3741"/>
      <c r="SHT23" s="3741"/>
      <c r="SHU23" s="3741"/>
      <c r="SHV23" s="3741"/>
      <c r="SHW23" s="3741"/>
      <c r="SHX23" s="3741"/>
      <c r="SHY23" s="3741"/>
      <c r="SHZ23" s="3741"/>
      <c r="SIA23" s="3741"/>
      <c r="SIB23" s="3741"/>
      <c r="SIC23" s="3741"/>
      <c r="SID23" s="3741"/>
      <c r="SIE23" s="3741"/>
      <c r="SIF23" s="3741"/>
      <c r="SIG23" s="3741"/>
      <c r="SIH23" s="3741"/>
      <c r="SII23" s="3741"/>
      <c r="SIJ23" s="3741"/>
      <c r="SIK23" s="3741"/>
      <c r="SIL23" s="3741"/>
      <c r="SIM23" s="3741"/>
      <c r="SIN23" s="3741"/>
      <c r="SIO23" s="3741"/>
      <c r="SIP23" s="3741"/>
      <c r="SIQ23" s="3741"/>
      <c r="SIR23" s="3741"/>
      <c r="SIS23" s="3741"/>
      <c r="SIT23" s="3741"/>
      <c r="SIU23" s="3741"/>
      <c r="SIV23" s="3741"/>
      <c r="SIW23" s="3741"/>
      <c r="SIX23" s="3741"/>
      <c r="SIY23" s="3741"/>
      <c r="SIZ23" s="3741"/>
      <c r="SJA23" s="3741"/>
      <c r="SJB23" s="3741"/>
      <c r="SJC23" s="3741"/>
      <c r="SJD23" s="3741"/>
      <c r="SJE23" s="3741"/>
      <c r="SJF23" s="3741"/>
      <c r="SJG23" s="3741"/>
      <c r="SJH23" s="3741"/>
      <c r="SJI23" s="3741"/>
      <c r="SJJ23" s="3741"/>
      <c r="SJK23" s="3741"/>
      <c r="SJL23" s="3741"/>
      <c r="SJM23" s="3741"/>
      <c r="SJN23" s="3741"/>
      <c r="SJO23" s="3741"/>
      <c r="SJP23" s="3741"/>
      <c r="SJQ23" s="3741"/>
      <c r="SJR23" s="3741"/>
      <c r="SJS23" s="3741"/>
      <c r="SJT23" s="3741"/>
      <c r="SJU23" s="3741"/>
      <c r="SJV23" s="3741"/>
      <c r="SJW23" s="3741"/>
      <c r="SJX23" s="3741"/>
      <c r="SJY23" s="3741"/>
      <c r="SJZ23" s="3741"/>
      <c r="SKA23" s="3741"/>
      <c r="SKB23" s="3741"/>
      <c r="SKC23" s="3741"/>
      <c r="SKD23" s="3741"/>
      <c r="SKE23" s="3741"/>
      <c r="SKF23" s="3741"/>
      <c r="SKG23" s="3741"/>
      <c r="SKH23" s="3741"/>
      <c r="SKI23" s="3741"/>
      <c r="SKJ23" s="3741"/>
      <c r="SKK23" s="3741"/>
      <c r="SKL23" s="3741"/>
      <c r="SKM23" s="3741"/>
      <c r="SKN23" s="3741"/>
      <c r="SKO23" s="3741"/>
      <c r="SKP23" s="3741"/>
      <c r="SKQ23" s="3741"/>
      <c r="SKR23" s="3741"/>
      <c r="SKS23" s="3741"/>
      <c r="SKT23" s="3741"/>
      <c r="SKU23" s="3741"/>
      <c r="SKV23" s="3741"/>
      <c r="SKW23" s="3741"/>
      <c r="SKX23" s="3741"/>
      <c r="SKY23" s="3741"/>
      <c r="SKZ23" s="3741"/>
      <c r="SLA23" s="3741"/>
      <c r="SLB23" s="3741"/>
      <c r="SLC23" s="3741"/>
      <c r="SLD23" s="3741"/>
      <c r="SLE23" s="3741"/>
      <c r="SLF23" s="3741"/>
      <c r="SLG23" s="3741"/>
      <c r="SLH23" s="3741"/>
      <c r="SLI23" s="3741"/>
      <c r="SLJ23" s="3741"/>
      <c r="SLK23" s="3741"/>
      <c r="SLL23" s="3741"/>
      <c r="SLM23" s="3741"/>
      <c r="SLN23" s="3741"/>
      <c r="SLO23" s="3741"/>
      <c r="SLP23" s="3741"/>
      <c r="SLQ23" s="3741"/>
      <c r="SLR23" s="3741"/>
      <c r="SLS23" s="3741"/>
      <c r="SLT23" s="3741"/>
      <c r="SLU23" s="3741"/>
      <c r="SLV23" s="3741"/>
      <c r="SLW23" s="3741"/>
      <c r="SLX23" s="3741"/>
      <c r="SLY23" s="3741"/>
      <c r="SLZ23" s="3741"/>
      <c r="SMA23" s="3741"/>
      <c r="SMB23" s="3741"/>
      <c r="SMC23" s="3741"/>
      <c r="SMD23" s="3741"/>
      <c r="SME23" s="3741"/>
      <c r="SMF23" s="3741"/>
      <c r="SMG23" s="3741"/>
      <c r="SMH23" s="3741"/>
      <c r="SMI23" s="3741"/>
      <c r="SMJ23" s="3741"/>
      <c r="SMK23" s="3741"/>
      <c r="SML23" s="3741"/>
      <c r="SMM23" s="3741"/>
      <c r="SMN23" s="3741"/>
      <c r="SMO23" s="3741"/>
      <c r="SMP23" s="3741"/>
      <c r="SMQ23" s="3741"/>
      <c r="SMR23" s="3741"/>
      <c r="SMS23" s="3741"/>
      <c r="SMT23" s="3741"/>
      <c r="SMU23" s="3741"/>
      <c r="SMV23" s="3741"/>
      <c r="SMW23" s="3741"/>
      <c r="SMX23" s="3741"/>
      <c r="SMY23" s="3741"/>
      <c r="SMZ23" s="3741"/>
      <c r="SNA23" s="3741"/>
      <c r="SNB23" s="3741"/>
      <c r="SNC23" s="3741"/>
      <c r="SND23" s="3741"/>
      <c r="SNE23" s="3741"/>
      <c r="SNF23" s="3741"/>
      <c r="SNG23" s="3741"/>
      <c r="SNH23" s="3741"/>
      <c r="SNI23" s="3741"/>
      <c r="SNJ23" s="3741"/>
      <c r="SNK23" s="3741"/>
      <c r="SNL23" s="3741"/>
      <c r="SNM23" s="3741"/>
      <c r="SNN23" s="3741"/>
      <c r="SNO23" s="3741"/>
      <c r="SNP23" s="3741"/>
      <c r="SNQ23" s="3741"/>
      <c r="SNR23" s="3741"/>
      <c r="SNS23" s="3741"/>
      <c r="SNT23" s="3741"/>
      <c r="SNU23" s="3741"/>
      <c r="SNV23" s="3741"/>
      <c r="SNW23" s="3741"/>
      <c r="SNX23" s="3741"/>
      <c r="SNY23" s="3741"/>
      <c r="SNZ23" s="3741"/>
      <c r="SOA23" s="3741"/>
      <c r="SOB23" s="3741"/>
      <c r="SOC23" s="3741"/>
      <c r="SOD23" s="3741"/>
      <c r="SOE23" s="3741"/>
      <c r="SOF23" s="3741"/>
      <c r="SOG23" s="3741"/>
      <c r="SOH23" s="3741"/>
      <c r="SOI23" s="3741"/>
      <c r="SOJ23" s="3741"/>
      <c r="SOK23" s="3741"/>
      <c r="SOL23" s="3741"/>
      <c r="SOM23" s="3741"/>
      <c r="SON23" s="3741"/>
      <c r="SOO23" s="3741"/>
      <c r="SOP23" s="3741"/>
      <c r="SOQ23" s="3741"/>
      <c r="SOR23" s="3741"/>
      <c r="SOS23" s="3741"/>
      <c r="SOT23" s="3741"/>
      <c r="SOU23" s="3741"/>
      <c r="SOV23" s="3741"/>
      <c r="SOW23" s="3741"/>
      <c r="SOX23" s="3741"/>
      <c r="SOY23" s="3741"/>
      <c r="SOZ23" s="3741"/>
      <c r="SPA23" s="3741"/>
      <c r="SPB23" s="3741"/>
      <c r="SPC23" s="3741"/>
      <c r="SPD23" s="3741"/>
      <c r="SPE23" s="3741"/>
      <c r="SPF23" s="3741"/>
      <c r="SPG23" s="3741"/>
      <c r="SPH23" s="3741"/>
      <c r="SPI23" s="3741"/>
      <c r="SPJ23" s="3741"/>
      <c r="SPK23" s="3741"/>
      <c r="SPL23" s="3741"/>
      <c r="SPM23" s="3741"/>
      <c r="SPN23" s="3741"/>
      <c r="SPO23" s="3741"/>
      <c r="SPP23" s="3741"/>
      <c r="SPQ23" s="3741"/>
      <c r="SPR23" s="3741"/>
      <c r="SPS23" s="3741"/>
      <c r="SPT23" s="3741"/>
      <c r="SPU23" s="3741"/>
      <c r="SPV23" s="3741"/>
      <c r="SPW23" s="3741"/>
      <c r="SPX23" s="3741"/>
      <c r="SPY23" s="3741"/>
      <c r="SPZ23" s="3741"/>
      <c r="SQA23" s="3741"/>
      <c r="SQB23" s="3741"/>
      <c r="SQC23" s="3741"/>
      <c r="SQD23" s="3741"/>
      <c r="SQE23" s="3741"/>
      <c r="SQF23" s="3741"/>
      <c r="SQG23" s="3741"/>
      <c r="SQH23" s="3741"/>
      <c r="SQI23" s="3741"/>
      <c r="SQJ23" s="3741"/>
      <c r="SQK23" s="3741"/>
      <c r="SQL23" s="3741"/>
      <c r="SQM23" s="3741"/>
      <c r="SQN23" s="3741"/>
      <c r="SQO23" s="3741"/>
      <c r="SQP23" s="3741"/>
      <c r="SQQ23" s="3741"/>
      <c r="SQR23" s="3741"/>
      <c r="SQS23" s="3741"/>
      <c r="SQT23" s="3741"/>
      <c r="SQU23" s="3741"/>
      <c r="SQV23" s="3741"/>
      <c r="SQW23" s="3741"/>
      <c r="SQX23" s="3741"/>
      <c r="SQY23" s="3741"/>
      <c r="SQZ23" s="3741"/>
      <c r="SRA23" s="3741"/>
      <c r="SRB23" s="3741"/>
      <c r="SRC23" s="3741"/>
      <c r="SRD23" s="3741"/>
      <c r="SRE23" s="3741"/>
      <c r="SRF23" s="3741"/>
      <c r="SRG23" s="3741"/>
      <c r="SRH23" s="3741"/>
      <c r="SRI23" s="3741"/>
      <c r="SRJ23" s="3741"/>
      <c r="SRK23" s="3741"/>
      <c r="SRL23" s="3741"/>
      <c r="SRM23" s="3741"/>
      <c r="SRN23" s="3741"/>
      <c r="SRO23" s="3741"/>
      <c r="SRP23" s="3741"/>
      <c r="SRQ23" s="3741"/>
      <c r="SRR23" s="3741"/>
      <c r="SRS23" s="3741"/>
      <c r="SRT23" s="3741"/>
      <c r="SRU23" s="3741"/>
      <c r="SRV23" s="3741"/>
      <c r="SRW23" s="3741"/>
      <c r="SRX23" s="3741"/>
      <c r="SRY23" s="3741"/>
      <c r="SRZ23" s="3741"/>
      <c r="SSA23" s="3741"/>
      <c r="SSB23" s="3741"/>
      <c r="SSC23" s="3741"/>
      <c r="SSD23" s="3741"/>
      <c r="SSE23" s="3741"/>
      <c r="SSF23" s="3741"/>
      <c r="SSG23" s="3741"/>
      <c r="SSH23" s="3741"/>
      <c r="SSI23" s="3741"/>
      <c r="SSJ23" s="3741"/>
      <c r="SSK23" s="3741"/>
      <c r="SSL23" s="3741"/>
      <c r="SSM23" s="3741"/>
      <c r="SSN23" s="3741"/>
      <c r="SSO23" s="3741"/>
      <c r="SSP23" s="3741"/>
      <c r="SSQ23" s="3741"/>
      <c r="SSR23" s="3741"/>
      <c r="SSS23" s="3741"/>
      <c r="SST23" s="3741"/>
      <c r="SSU23" s="3741"/>
      <c r="SSV23" s="3741"/>
      <c r="SSW23" s="3741"/>
      <c r="SSX23" s="3741"/>
      <c r="SSY23" s="3741"/>
      <c r="SSZ23" s="3741"/>
      <c r="STA23" s="3741"/>
      <c r="STB23" s="3741"/>
      <c r="STC23" s="3741"/>
      <c r="STD23" s="3741"/>
      <c r="STE23" s="3741"/>
      <c r="STF23" s="3741"/>
      <c r="STG23" s="3741"/>
      <c r="STH23" s="3741"/>
      <c r="STI23" s="3741"/>
      <c r="STJ23" s="3741"/>
      <c r="STK23" s="3741"/>
      <c r="STL23" s="3741"/>
      <c r="STM23" s="3741"/>
      <c r="STN23" s="3741"/>
      <c r="STO23" s="3741"/>
      <c r="STP23" s="3741"/>
      <c r="STQ23" s="3741"/>
      <c r="STR23" s="3741"/>
      <c r="STS23" s="3741"/>
      <c r="STT23" s="3741"/>
      <c r="STU23" s="3741"/>
      <c r="STV23" s="3741"/>
      <c r="STW23" s="3741"/>
      <c r="STX23" s="3741"/>
      <c r="STY23" s="3741"/>
      <c r="STZ23" s="3741"/>
      <c r="SUA23" s="3741"/>
      <c r="SUB23" s="3741"/>
      <c r="SUC23" s="3741"/>
      <c r="SUD23" s="3741"/>
      <c r="SUE23" s="3741"/>
      <c r="SUF23" s="3741"/>
      <c r="SUG23" s="3741"/>
      <c r="SUH23" s="3741"/>
      <c r="SUI23" s="3741"/>
      <c r="SUJ23" s="3741"/>
      <c r="SUK23" s="3741"/>
      <c r="SUL23" s="3741"/>
      <c r="SUM23" s="3741"/>
      <c r="SUN23" s="3741"/>
      <c r="SUO23" s="3741"/>
      <c r="SUP23" s="3741"/>
      <c r="SUQ23" s="3741"/>
      <c r="SUR23" s="3741"/>
      <c r="SUS23" s="3741"/>
      <c r="SUT23" s="3741"/>
      <c r="SUU23" s="3741"/>
      <c r="SUV23" s="3741"/>
      <c r="SUW23" s="3741"/>
      <c r="SUX23" s="3741"/>
      <c r="SUY23" s="3741"/>
      <c r="SUZ23" s="3741"/>
      <c r="SVA23" s="3741"/>
      <c r="SVB23" s="3741"/>
      <c r="SVC23" s="3741"/>
      <c r="SVD23" s="3741"/>
      <c r="SVE23" s="3741"/>
      <c r="SVF23" s="3741"/>
      <c r="SVG23" s="3741"/>
      <c r="SVH23" s="3741"/>
      <c r="SVI23" s="3741"/>
      <c r="SVJ23" s="3741"/>
      <c r="SVK23" s="3741"/>
      <c r="SVL23" s="3741"/>
      <c r="SVM23" s="3741"/>
      <c r="SVN23" s="3741"/>
      <c r="SVO23" s="3741"/>
      <c r="SVP23" s="3741"/>
      <c r="SVQ23" s="3741"/>
      <c r="SVR23" s="3741"/>
      <c r="SVS23" s="3741"/>
      <c r="SVT23" s="3741"/>
      <c r="SVU23" s="3741"/>
      <c r="SVV23" s="3741"/>
      <c r="SVW23" s="3741"/>
      <c r="SVX23" s="3741"/>
      <c r="SVY23" s="3741"/>
      <c r="SVZ23" s="3741"/>
      <c r="SWA23" s="3741"/>
      <c r="SWB23" s="3741"/>
      <c r="SWC23" s="3741"/>
      <c r="SWD23" s="3741"/>
      <c r="SWE23" s="3741"/>
      <c r="SWF23" s="3741"/>
      <c r="SWG23" s="3741"/>
      <c r="SWH23" s="3741"/>
      <c r="SWI23" s="3741"/>
      <c r="SWJ23" s="3741"/>
      <c r="SWK23" s="3741"/>
      <c r="SWL23" s="3741"/>
      <c r="SWM23" s="3741"/>
      <c r="SWN23" s="3741"/>
      <c r="SWO23" s="3741"/>
      <c r="SWP23" s="3741"/>
      <c r="SWQ23" s="3741"/>
      <c r="SWR23" s="3741"/>
      <c r="SWS23" s="3741"/>
      <c r="SWT23" s="3741"/>
      <c r="SWU23" s="3741"/>
      <c r="SWV23" s="3741"/>
      <c r="SWW23" s="3741"/>
      <c r="SWX23" s="3741"/>
      <c r="SWY23" s="3741"/>
      <c r="SWZ23" s="3741"/>
      <c r="SXA23" s="3741"/>
      <c r="SXB23" s="3741"/>
      <c r="SXC23" s="3741"/>
      <c r="SXD23" s="3741"/>
      <c r="SXE23" s="3741"/>
      <c r="SXF23" s="3741"/>
      <c r="SXG23" s="3741"/>
      <c r="SXH23" s="3741"/>
      <c r="SXI23" s="3741"/>
      <c r="SXJ23" s="3741"/>
      <c r="SXK23" s="3741"/>
      <c r="SXL23" s="3741"/>
      <c r="SXM23" s="3741"/>
      <c r="SXN23" s="3741"/>
      <c r="SXO23" s="3741"/>
      <c r="SXP23" s="3741"/>
      <c r="SXQ23" s="3741"/>
      <c r="SXR23" s="3741"/>
      <c r="SXS23" s="3741"/>
      <c r="SXT23" s="3741"/>
      <c r="SXU23" s="3741"/>
      <c r="SXV23" s="3741"/>
      <c r="SXW23" s="3741"/>
      <c r="SXX23" s="3741"/>
      <c r="SXY23" s="3741"/>
      <c r="SXZ23" s="3741"/>
      <c r="SYA23" s="3741"/>
      <c r="SYB23" s="3741"/>
      <c r="SYC23" s="3741"/>
      <c r="SYD23" s="3741"/>
      <c r="SYE23" s="3741"/>
      <c r="SYF23" s="3741"/>
      <c r="SYG23" s="3741"/>
      <c r="SYH23" s="3741"/>
      <c r="SYI23" s="3741"/>
      <c r="SYJ23" s="3741"/>
      <c r="SYK23" s="3741"/>
      <c r="SYL23" s="3741"/>
      <c r="SYM23" s="3741"/>
      <c r="SYN23" s="3741"/>
      <c r="SYO23" s="3741"/>
      <c r="SYP23" s="3741"/>
      <c r="SYQ23" s="3741"/>
      <c r="SYR23" s="3741"/>
      <c r="SYS23" s="3741"/>
      <c r="SYT23" s="3741"/>
      <c r="SYU23" s="3741"/>
      <c r="SYV23" s="3741"/>
      <c r="SYW23" s="3741"/>
      <c r="SYX23" s="3741"/>
      <c r="SYY23" s="3741"/>
      <c r="SYZ23" s="3741"/>
      <c r="SZA23" s="3741"/>
      <c r="SZB23" s="3741"/>
      <c r="SZC23" s="3741"/>
      <c r="SZD23" s="3741"/>
      <c r="SZE23" s="3741"/>
      <c r="SZF23" s="3741"/>
      <c r="SZG23" s="3741"/>
      <c r="SZH23" s="3741"/>
      <c r="SZI23" s="3741"/>
      <c r="SZJ23" s="3741"/>
      <c r="SZK23" s="3741"/>
      <c r="SZL23" s="3741"/>
      <c r="SZM23" s="3741"/>
      <c r="SZN23" s="3741"/>
      <c r="SZO23" s="3741"/>
      <c r="SZP23" s="3741"/>
      <c r="SZQ23" s="3741"/>
      <c r="SZR23" s="3741"/>
      <c r="SZS23" s="3741"/>
      <c r="SZT23" s="3741"/>
      <c r="SZU23" s="3741"/>
      <c r="SZV23" s="3741"/>
      <c r="SZW23" s="3741"/>
      <c r="SZX23" s="3741"/>
      <c r="SZY23" s="3741"/>
      <c r="SZZ23" s="3741"/>
      <c r="TAA23" s="3741"/>
      <c r="TAB23" s="3741"/>
      <c r="TAC23" s="3741"/>
      <c r="TAD23" s="3741"/>
      <c r="TAE23" s="3741"/>
      <c r="TAF23" s="3741"/>
      <c r="TAG23" s="3741"/>
      <c r="TAH23" s="3741"/>
      <c r="TAI23" s="3741"/>
      <c r="TAJ23" s="3741"/>
      <c r="TAK23" s="3741"/>
      <c r="TAL23" s="3741"/>
      <c r="TAM23" s="3741"/>
      <c r="TAN23" s="3741"/>
      <c r="TAO23" s="3741"/>
      <c r="TAP23" s="3741"/>
      <c r="TAQ23" s="3741"/>
      <c r="TAR23" s="3741"/>
      <c r="TAS23" s="3741"/>
      <c r="TAT23" s="3741"/>
      <c r="TAU23" s="3741"/>
      <c r="TAV23" s="3741"/>
      <c r="TAW23" s="3741"/>
      <c r="TAX23" s="3741"/>
      <c r="TAY23" s="3741"/>
      <c r="TAZ23" s="3741"/>
      <c r="TBA23" s="3741"/>
      <c r="TBB23" s="3741"/>
      <c r="TBC23" s="3741"/>
      <c r="TBD23" s="3741"/>
      <c r="TBE23" s="3741"/>
      <c r="TBF23" s="3741"/>
      <c r="TBG23" s="3741"/>
      <c r="TBH23" s="3741"/>
      <c r="TBI23" s="3741"/>
      <c r="TBJ23" s="3741"/>
      <c r="TBK23" s="3741"/>
      <c r="TBL23" s="3741"/>
      <c r="TBM23" s="3741"/>
      <c r="TBN23" s="3741"/>
      <c r="TBO23" s="3741"/>
      <c r="TBP23" s="3741"/>
      <c r="TBQ23" s="3741"/>
      <c r="TBR23" s="3741"/>
      <c r="TBS23" s="3741"/>
      <c r="TBT23" s="3741"/>
      <c r="TBU23" s="3741"/>
      <c r="TBV23" s="3741"/>
      <c r="TBW23" s="3741"/>
      <c r="TBX23" s="3741"/>
      <c r="TBY23" s="3741"/>
      <c r="TBZ23" s="3741"/>
      <c r="TCA23" s="3741"/>
      <c r="TCB23" s="3741"/>
      <c r="TCC23" s="3741"/>
      <c r="TCD23" s="3741"/>
      <c r="TCE23" s="3741"/>
      <c r="TCF23" s="3741"/>
      <c r="TCG23" s="3741"/>
      <c r="TCH23" s="3741"/>
      <c r="TCI23" s="3741"/>
      <c r="TCJ23" s="3741"/>
      <c r="TCK23" s="3741"/>
      <c r="TCL23" s="3741"/>
      <c r="TCM23" s="3741"/>
      <c r="TCN23" s="3741"/>
      <c r="TCO23" s="3741"/>
      <c r="TCP23" s="3741"/>
      <c r="TCQ23" s="3741"/>
      <c r="TCR23" s="3741"/>
      <c r="TCS23" s="3741"/>
      <c r="TCT23" s="3741"/>
      <c r="TCU23" s="3741"/>
      <c r="TCV23" s="3741"/>
      <c r="TCW23" s="3741"/>
      <c r="TCX23" s="3741"/>
      <c r="TCY23" s="3741"/>
      <c r="TCZ23" s="3741"/>
      <c r="TDA23" s="3741"/>
      <c r="TDB23" s="3741"/>
      <c r="TDC23" s="3741"/>
      <c r="TDD23" s="3741"/>
      <c r="TDE23" s="3741"/>
      <c r="TDF23" s="3741"/>
      <c r="TDG23" s="3741"/>
      <c r="TDH23" s="3741"/>
      <c r="TDI23" s="3741"/>
      <c r="TDJ23" s="3741"/>
      <c r="TDK23" s="3741"/>
      <c r="TDL23" s="3741"/>
      <c r="TDM23" s="3741"/>
      <c r="TDN23" s="3741"/>
      <c r="TDO23" s="3741"/>
      <c r="TDP23" s="3741"/>
      <c r="TDQ23" s="3741"/>
      <c r="TDR23" s="3741"/>
      <c r="TDS23" s="3741"/>
      <c r="TDT23" s="3741"/>
      <c r="TDU23" s="3741"/>
      <c r="TDV23" s="3741"/>
      <c r="TDW23" s="3741"/>
      <c r="TDX23" s="3741"/>
      <c r="TDY23" s="3741"/>
      <c r="TDZ23" s="3741"/>
      <c r="TEA23" s="3741"/>
      <c r="TEB23" s="3741"/>
      <c r="TEC23" s="3741"/>
      <c r="TED23" s="3741"/>
      <c r="TEE23" s="3741"/>
      <c r="TEF23" s="3741"/>
      <c r="TEG23" s="3741"/>
      <c r="TEH23" s="3741"/>
      <c r="TEI23" s="3741"/>
      <c r="TEJ23" s="3741"/>
      <c r="TEK23" s="3741"/>
      <c r="TEL23" s="3741"/>
      <c r="TEM23" s="3741"/>
      <c r="TEN23" s="3741"/>
      <c r="TEO23" s="3741"/>
      <c r="TEP23" s="3741"/>
      <c r="TEQ23" s="3741"/>
      <c r="TER23" s="3741"/>
      <c r="TES23" s="3741"/>
      <c r="TET23" s="3741"/>
      <c r="TEU23" s="3741"/>
      <c r="TEV23" s="3741"/>
      <c r="TEW23" s="3741"/>
      <c r="TEX23" s="3741"/>
      <c r="TEY23" s="3741"/>
      <c r="TEZ23" s="3741"/>
      <c r="TFA23" s="3741"/>
      <c r="TFB23" s="3741"/>
      <c r="TFC23" s="3741"/>
      <c r="TFD23" s="3741"/>
      <c r="TFE23" s="3741"/>
      <c r="TFF23" s="3741"/>
      <c r="TFG23" s="3741"/>
      <c r="TFH23" s="3741"/>
      <c r="TFI23" s="3741"/>
      <c r="TFJ23" s="3741"/>
      <c r="TFK23" s="3741"/>
      <c r="TFL23" s="3741"/>
      <c r="TFM23" s="3741"/>
      <c r="TFN23" s="3741"/>
      <c r="TFO23" s="3741"/>
      <c r="TFP23" s="3741"/>
      <c r="TFQ23" s="3741"/>
      <c r="TFR23" s="3741"/>
      <c r="TFS23" s="3741"/>
      <c r="TFT23" s="3741"/>
      <c r="TFU23" s="3741"/>
      <c r="TFV23" s="3741"/>
      <c r="TFW23" s="3741"/>
      <c r="TFX23" s="3741"/>
      <c r="TFY23" s="3741"/>
      <c r="TFZ23" s="3741"/>
      <c r="TGA23" s="3741"/>
      <c r="TGB23" s="3741"/>
      <c r="TGC23" s="3741"/>
      <c r="TGD23" s="3741"/>
      <c r="TGE23" s="3741"/>
      <c r="TGF23" s="3741"/>
      <c r="TGG23" s="3741"/>
      <c r="TGH23" s="3741"/>
      <c r="TGI23" s="3741"/>
      <c r="TGJ23" s="3741"/>
      <c r="TGK23" s="3741"/>
      <c r="TGL23" s="3741"/>
      <c r="TGM23" s="3741"/>
      <c r="TGN23" s="3741"/>
      <c r="TGO23" s="3741"/>
      <c r="TGP23" s="3741"/>
      <c r="TGQ23" s="3741"/>
      <c r="TGR23" s="3741"/>
      <c r="TGS23" s="3741"/>
      <c r="TGT23" s="3741"/>
      <c r="TGU23" s="3741"/>
      <c r="TGV23" s="3741"/>
      <c r="TGW23" s="3741"/>
      <c r="TGX23" s="3741"/>
      <c r="TGY23" s="3741"/>
      <c r="TGZ23" s="3741"/>
      <c r="THA23" s="3741"/>
      <c r="THB23" s="3741"/>
      <c r="THC23" s="3741"/>
      <c r="THD23" s="3741"/>
      <c r="THE23" s="3741"/>
      <c r="THF23" s="3741"/>
      <c r="THG23" s="3741"/>
      <c r="THH23" s="3741"/>
      <c r="THI23" s="3741"/>
      <c r="THJ23" s="3741"/>
      <c r="THK23" s="3741"/>
      <c r="THL23" s="3741"/>
      <c r="THM23" s="3741"/>
      <c r="THN23" s="3741"/>
      <c r="THO23" s="3741"/>
      <c r="THP23" s="3741"/>
      <c r="THQ23" s="3741"/>
      <c r="THR23" s="3741"/>
      <c r="THS23" s="3741"/>
      <c r="THT23" s="3741"/>
      <c r="THU23" s="3741"/>
      <c r="THV23" s="3741"/>
      <c r="THW23" s="3741"/>
      <c r="THX23" s="3741"/>
      <c r="THY23" s="3741"/>
      <c r="THZ23" s="3741"/>
      <c r="TIA23" s="3741"/>
      <c r="TIB23" s="3741"/>
      <c r="TIC23" s="3741"/>
      <c r="TID23" s="3741"/>
      <c r="TIE23" s="3741"/>
      <c r="TIF23" s="3741"/>
      <c r="TIG23" s="3741"/>
      <c r="TIH23" s="3741"/>
      <c r="TII23" s="3741"/>
      <c r="TIJ23" s="3741"/>
      <c r="TIK23" s="3741"/>
      <c r="TIL23" s="3741"/>
      <c r="TIM23" s="3741"/>
      <c r="TIN23" s="3741"/>
      <c r="TIO23" s="3741"/>
      <c r="TIP23" s="3741"/>
      <c r="TIQ23" s="3741"/>
      <c r="TIR23" s="3741"/>
      <c r="TIS23" s="3741"/>
      <c r="TIT23" s="3741"/>
      <c r="TIU23" s="3741"/>
      <c r="TIV23" s="3741"/>
      <c r="TIW23" s="3741"/>
      <c r="TIX23" s="3741"/>
      <c r="TIY23" s="3741"/>
      <c r="TIZ23" s="3741"/>
      <c r="TJA23" s="3741"/>
      <c r="TJB23" s="3741"/>
      <c r="TJC23" s="3741"/>
      <c r="TJD23" s="3741"/>
      <c r="TJE23" s="3741"/>
      <c r="TJF23" s="3741"/>
      <c r="TJG23" s="3741"/>
      <c r="TJH23" s="3741"/>
      <c r="TJI23" s="3741"/>
      <c r="TJJ23" s="3741"/>
      <c r="TJK23" s="3741"/>
      <c r="TJL23" s="3741"/>
      <c r="TJM23" s="3741"/>
      <c r="TJN23" s="3741"/>
      <c r="TJO23" s="3741"/>
      <c r="TJP23" s="3741"/>
      <c r="TJQ23" s="3741"/>
      <c r="TJR23" s="3741"/>
      <c r="TJS23" s="3741"/>
      <c r="TJT23" s="3741"/>
      <c r="TJU23" s="3741"/>
      <c r="TJV23" s="3741"/>
      <c r="TJW23" s="3741"/>
      <c r="TJX23" s="3741"/>
      <c r="TJY23" s="3741"/>
      <c r="TJZ23" s="3741"/>
      <c r="TKA23" s="3741"/>
      <c r="TKB23" s="3741"/>
      <c r="TKC23" s="3741"/>
      <c r="TKD23" s="3741"/>
      <c r="TKE23" s="3741"/>
      <c r="TKF23" s="3741"/>
      <c r="TKG23" s="3741"/>
      <c r="TKH23" s="3741"/>
      <c r="TKI23" s="3741"/>
      <c r="TKJ23" s="3741"/>
      <c r="TKK23" s="3741"/>
      <c r="TKL23" s="3741"/>
      <c r="TKM23" s="3741"/>
      <c r="TKN23" s="3741"/>
      <c r="TKO23" s="3741"/>
      <c r="TKP23" s="3741"/>
      <c r="TKQ23" s="3741"/>
      <c r="TKR23" s="3741"/>
      <c r="TKS23" s="3741"/>
      <c r="TKT23" s="3741"/>
      <c r="TKU23" s="3741"/>
      <c r="TKV23" s="3741"/>
      <c r="TKW23" s="3741"/>
      <c r="TKX23" s="3741"/>
      <c r="TKY23" s="3741"/>
      <c r="TKZ23" s="3741"/>
      <c r="TLA23" s="3741"/>
      <c r="TLB23" s="3741"/>
      <c r="TLC23" s="3741"/>
      <c r="TLD23" s="3741"/>
      <c r="TLE23" s="3741"/>
      <c r="TLF23" s="3741"/>
      <c r="TLG23" s="3741"/>
      <c r="TLH23" s="3741"/>
      <c r="TLI23" s="3741"/>
      <c r="TLJ23" s="3741"/>
      <c r="TLK23" s="3741"/>
      <c r="TLL23" s="3741"/>
      <c r="TLM23" s="3741"/>
      <c r="TLN23" s="3741"/>
      <c r="TLO23" s="3741"/>
      <c r="TLP23" s="3741"/>
      <c r="TLQ23" s="3741"/>
      <c r="TLR23" s="3741"/>
      <c r="TLS23" s="3741"/>
      <c r="TLT23" s="3741"/>
      <c r="TLU23" s="3741"/>
      <c r="TLV23" s="3741"/>
      <c r="TLW23" s="3741"/>
      <c r="TLX23" s="3741"/>
      <c r="TLY23" s="3741"/>
      <c r="TLZ23" s="3741"/>
      <c r="TMA23" s="3741"/>
      <c r="TMB23" s="3741"/>
      <c r="TMC23" s="3741"/>
      <c r="TMD23" s="3741"/>
      <c r="TME23" s="3741"/>
      <c r="TMF23" s="3741"/>
      <c r="TMG23" s="3741"/>
      <c r="TMH23" s="3741"/>
      <c r="TMI23" s="3741"/>
      <c r="TMJ23" s="3741"/>
      <c r="TMK23" s="3741"/>
      <c r="TML23" s="3741"/>
      <c r="TMM23" s="3741"/>
      <c r="TMN23" s="3741"/>
      <c r="TMO23" s="3741"/>
      <c r="TMP23" s="3741"/>
      <c r="TMQ23" s="3741"/>
      <c r="TMR23" s="3741"/>
      <c r="TMS23" s="3741"/>
      <c r="TMT23" s="3741"/>
      <c r="TMU23" s="3741"/>
      <c r="TMV23" s="3741"/>
      <c r="TMW23" s="3741"/>
      <c r="TMX23" s="3741"/>
      <c r="TMY23" s="3741"/>
      <c r="TMZ23" s="3741"/>
      <c r="TNA23" s="3741"/>
      <c r="TNB23" s="3741"/>
      <c r="TNC23" s="3741"/>
      <c r="TND23" s="3741"/>
      <c r="TNE23" s="3741"/>
      <c r="TNF23" s="3741"/>
      <c r="TNG23" s="3741"/>
      <c r="TNH23" s="3741"/>
      <c r="TNI23" s="3741"/>
      <c r="TNJ23" s="3741"/>
      <c r="TNK23" s="3741"/>
      <c r="TNL23" s="3741"/>
      <c r="TNM23" s="3741"/>
      <c r="TNN23" s="3741"/>
      <c r="TNO23" s="3741"/>
      <c r="TNP23" s="3741"/>
      <c r="TNQ23" s="3741"/>
      <c r="TNR23" s="3741"/>
      <c r="TNS23" s="3741"/>
      <c r="TNT23" s="3741"/>
      <c r="TNU23" s="3741"/>
      <c r="TNV23" s="3741"/>
      <c r="TNW23" s="3741"/>
      <c r="TNX23" s="3741"/>
      <c r="TNY23" s="3741"/>
      <c r="TNZ23" s="3741"/>
      <c r="TOA23" s="3741"/>
      <c r="TOB23" s="3741"/>
      <c r="TOC23" s="3741"/>
      <c r="TOD23" s="3741"/>
      <c r="TOE23" s="3741"/>
      <c r="TOF23" s="3741"/>
      <c r="TOG23" s="3741"/>
      <c r="TOH23" s="3741"/>
      <c r="TOI23" s="3741"/>
      <c r="TOJ23" s="3741"/>
      <c r="TOK23" s="3741"/>
      <c r="TOL23" s="3741"/>
      <c r="TOM23" s="3741"/>
      <c r="TON23" s="3741"/>
      <c r="TOO23" s="3741"/>
      <c r="TOP23" s="3741"/>
      <c r="TOQ23" s="3741"/>
      <c r="TOR23" s="3741"/>
      <c r="TOS23" s="3741"/>
      <c r="TOT23" s="3741"/>
      <c r="TOU23" s="3741"/>
      <c r="TOV23" s="3741"/>
      <c r="TOW23" s="3741"/>
      <c r="TOX23" s="3741"/>
      <c r="TOY23" s="3741"/>
      <c r="TOZ23" s="3741"/>
      <c r="TPA23" s="3741"/>
      <c r="TPB23" s="3741"/>
      <c r="TPC23" s="3741"/>
      <c r="TPD23" s="3741"/>
      <c r="TPE23" s="3741"/>
      <c r="TPF23" s="3741"/>
      <c r="TPG23" s="3741"/>
      <c r="TPH23" s="3741"/>
      <c r="TPI23" s="3741"/>
      <c r="TPJ23" s="3741"/>
      <c r="TPK23" s="3741"/>
      <c r="TPL23" s="3741"/>
      <c r="TPM23" s="3741"/>
      <c r="TPN23" s="3741"/>
      <c r="TPO23" s="3741"/>
      <c r="TPP23" s="3741"/>
      <c r="TPQ23" s="3741"/>
      <c r="TPR23" s="3741"/>
      <c r="TPS23" s="3741"/>
      <c r="TPT23" s="3741"/>
      <c r="TPU23" s="3741"/>
      <c r="TPV23" s="3741"/>
      <c r="TPW23" s="3741"/>
      <c r="TPX23" s="3741"/>
      <c r="TPY23" s="3741"/>
      <c r="TPZ23" s="3741"/>
      <c r="TQA23" s="3741"/>
      <c r="TQB23" s="3741"/>
      <c r="TQC23" s="3741"/>
      <c r="TQD23" s="3741"/>
      <c r="TQE23" s="3741"/>
      <c r="TQF23" s="3741"/>
      <c r="TQG23" s="3741"/>
      <c r="TQH23" s="3741"/>
      <c r="TQI23" s="3741"/>
      <c r="TQJ23" s="3741"/>
      <c r="TQK23" s="3741"/>
      <c r="TQL23" s="3741"/>
      <c r="TQM23" s="3741"/>
      <c r="TQN23" s="3741"/>
      <c r="TQO23" s="3741"/>
      <c r="TQP23" s="3741"/>
      <c r="TQQ23" s="3741"/>
      <c r="TQR23" s="3741"/>
      <c r="TQS23" s="3741"/>
      <c r="TQT23" s="3741"/>
      <c r="TQU23" s="3741"/>
      <c r="TQV23" s="3741"/>
      <c r="TQW23" s="3741"/>
      <c r="TQX23" s="3741"/>
      <c r="TQY23" s="3741"/>
      <c r="TQZ23" s="3741"/>
      <c r="TRA23" s="3741"/>
      <c r="TRB23" s="3741"/>
      <c r="TRC23" s="3741"/>
      <c r="TRD23" s="3741"/>
      <c r="TRE23" s="3741"/>
      <c r="TRF23" s="3741"/>
      <c r="TRG23" s="3741"/>
      <c r="TRH23" s="3741"/>
      <c r="TRI23" s="3741"/>
      <c r="TRJ23" s="3741"/>
      <c r="TRK23" s="3741"/>
      <c r="TRL23" s="3741"/>
      <c r="TRM23" s="3741"/>
      <c r="TRN23" s="3741"/>
      <c r="TRO23" s="3741"/>
      <c r="TRP23" s="3741"/>
      <c r="TRQ23" s="3741"/>
      <c r="TRR23" s="3741"/>
      <c r="TRS23" s="3741"/>
      <c r="TRT23" s="3741"/>
      <c r="TRU23" s="3741"/>
      <c r="TRV23" s="3741"/>
      <c r="TRW23" s="3741"/>
      <c r="TRX23" s="3741"/>
      <c r="TRY23" s="3741"/>
      <c r="TRZ23" s="3741"/>
      <c r="TSA23" s="3741"/>
      <c r="TSB23" s="3741"/>
      <c r="TSC23" s="3741"/>
      <c r="TSD23" s="3741"/>
      <c r="TSE23" s="3741"/>
      <c r="TSF23" s="3741"/>
      <c r="TSG23" s="3741"/>
      <c r="TSH23" s="3741"/>
      <c r="TSI23" s="3741"/>
      <c r="TSJ23" s="3741"/>
      <c r="TSK23" s="3741"/>
      <c r="TSL23" s="3741"/>
      <c r="TSM23" s="3741"/>
      <c r="TSN23" s="3741"/>
      <c r="TSO23" s="3741"/>
      <c r="TSP23" s="3741"/>
      <c r="TSQ23" s="3741"/>
      <c r="TSR23" s="3741"/>
      <c r="TSS23" s="3741"/>
      <c r="TST23" s="3741"/>
      <c r="TSU23" s="3741"/>
      <c r="TSV23" s="3741"/>
      <c r="TSW23" s="3741"/>
      <c r="TSX23" s="3741"/>
      <c r="TSY23" s="3741"/>
      <c r="TSZ23" s="3741"/>
      <c r="TTA23" s="3741"/>
      <c r="TTB23" s="3741"/>
      <c r="TTC23" s="3741"/>
      <c r="TTD23" s="3741"/>
      <c r="TTE23" s="3741"/>
      <c r="TTF23" s="3741"/>
      <c r="TTG23" s="3741"/>
      <c r="TTH23" s="3741"/>
      <c r="TTI23" s="3741"/>
      <c r="TTJ23" s="3741"/>
      <c r="TTK23" s="3741"/>
      <c r="TTL23" s="3741"/>
      <c r="TTM23" s="3741"/>
      <c r="TTN23" s="3741"/>
      <c r="TTO23" s="3741"/>
      <c r="TTP23" s="3741"/>
      <c r="TTQ23" s="3741"/>
      <c r="TTR23" s="3741"/>
      <c r="TTS23" s="3741"/>
      <c r="TTT23" s="3741"/>
      <c r="TTU23" s="3741"/>
      <c r="TTV23" s="3741"/>
      <c r="TTW23" s="3741"/>
      <c r="TTX23" s="3741"/>
      <c r="TTY23" s="3741"/>
      <c r="TTZ23" s="3741"/>
      <c r="TUA23" s="3741"/>
      <c r="TUB23" s="3741"/>
      <c r="TUC23" s="3741"/>
      <c r="TUD23" s="3741"/>
      <c r="TUE23" s="3741"/>
      <c r="TUF23" s="3741"/>
      <c r="TUG23" s="3741"/>
      <c r="TUH23" s="3741"/>
      <c r="TUI23" s="3741"/>
      <c r="TUJ23" s="3741"/>
      <c r="TUK23" s="3741"/>
      <c r="TUL23" s="3741"/>
      <c r="TUM23" s="3741"/>
      <c r="TUN23" s="3741"/>
      <c r="TUO23" s="3741"/>
      <c r="TUP23" s="3741"/>
      <c r="TUQ23" s="3741"/>
      <c r="TUR23" s="3741"/>
      <c r="TUS23" s="3741"/>
      <c r="TUT23" s="3741"/>
      <c r="TUU23" s="3741"/>
      <c r="TUV23" s="3741"/>
      <c r="TUW23" s="3741"/>
      <c r="TUX23" s="3741"/>
      <c r="TUY23" s="3741"/>
      <c r="TUZ23" s="3741"/>
      <c r="TVA23" s="3741"/>
      <c r="TVB23" s="3741"/>
      <c r="TVC23" s="3741"/>
      <c r="TVD23" s="3741"/>
      <c r="TVE23" s="3741"/>
      <c r="TVF23" s="3741"/>
      <c r="TVG23" s="3741"/>
      <c r="TVH23" s="3741"/>
      <c r="TVI23" s="3741"/>
      <c r="TVJ23" s="3741"/>
      <c r="TVK23" s="3741"/>
      <c r="TVL23" s="3741"/>
      <c r="TVM23" s="3741"/>
      <c r="TVN23" s="3741"/>
      <c r="TVO23" s="3741"/>
      <c r="TVP23" s="3741"/>
      <c r="TVQ23" s="3741"/>
      <c r="TVR23" s="3741"/>
      <c r="TVS23" s="3741"/>
      <c r="TVT23" s="3741"/>
      <c r="TVU23" s="3741"/>
      <c r="TVV23" s="3741"/>
      <c r="TVW23" s="3741"/>
      <c r="TVX23" s="3741"/>
      <c r="TVY23" s="3741"/>
      <c r="TVZ23" s="3741"/>
      <c r="TWA23" s="3741"/>
      <c r="TWB23" s="3741"/>
      <c r="TWC23" s="3741"/>
      <c r="TWD23" s="3741"/>
      <c r="TWE23" s="3741"/>
      <c r="TWF23" s="3741"/>
      <c r="TWG23" s="3741"/>
      <c r="TWH23" s="3741"/>
      <c r="TWI23" s="3741"/>
      <c r="TWJ23" s="3741"/>
      <c r="TWK23" s="3741"/>
      <c r="TWL23" s="3741"/>
      <c r="TWM23" s="3741"/>
      <c r="TWN23" s="3741"/>
      <c r="TWO23" s="3741"/>
      <c r="TWP23" s="3741"/>
      <c r="TWQ23" s="3741"/>
      <c r="TWR23" s="3741"/>
      <c r="TWS23" s="3741"/>
      <c r="TWT23" s="3741"/>
      <c r="TWU23" s="3741"/>
      <c r="TWV23" s="3741"/>
      <c r="TWW23" s="3741"/>
      <c r="TWX23" s="3741"/>
      <c r="TWY23" s="3741"/>
      <c r="TWZ23" s="3741"/>
      <c r="TXA23" s="3741"/>
      <c r="TXB23" s="3741"/>
      <c r="TXC23" s="3741"/>
      <c r="TXD23" s="3741"/>
      <c r="TXE23" s="3741"/>
      <c r="TXF23" s="3741"/>
      <c r="TXG23" s="3741"/>
      <c r="TXH23" s="3741"/>
      <c r="TXI23" s="3741"/>
      <c r="TXJ23" s="3741"/>
      <c r="TXK23" s="3741"/>
      <c r="TXL23" s="3741"/>
      <c r="TXM23" s="3741"/>
      <c r="TXN23" s="3741"/>
      <c r="TXO23" s="3741"/>
      <c r="TXP23" s="3741"/>
      <c r="TXQ23" s="3741"/>
      <c r="TXR23" s="3741"/>
      <c r="TXS23" s="3741"/>
      <c r="TXT23" s="3741"/>
      <c r="TXU23" s="3741"/>
      <c r="TXV23" s="3741"/>
      <c r="TXW23" s="3741"/>
      <c r="TXX23" s="3741"/>
      <c r="TXY23" s="3741"/>
      <c r="TXZ23" s="3741"/>
      <c r="TYA23" s="3741"/>
      <c r="TYB23" s="3741"/>
      <c r="TYC23" s="3741"/>
      <c r="TYD23" s="3741"/>
      <c r="TYE23" s="3741"/>
      <c r="TYF23" s="3741"/>
      <c r="TYG23" s="3741"/>
      <c r="TYH23" s="3741"/>
      <c r="TYI23" s="3741"/>
      <c r="TYJ23" s="3741"/>
      <c r="TYK23" s="3741"/>
      <c r="TYL23" s="3741"/>
      <c r="TYM23" s="3741"/>
      <c r="TYN23" s="3741"/>
      <c r="TYO23" s="3741"/>
      <c r="TYP23" s="3741"/>
      <c r="TYQ23" s="3741"/>
      <c r="TYR23" s="3741"/>
      <c r="TYS23" s="3741"/>
      <c r="TYT23" s="3741"/>
      <c r="TYU23" s="3741"/>
      <c r="TYV23" s="3741"/>
      <c r="TYW23" s="3741"/>
      <c r="TYX23" s="3741"/>
      <c r="TYY23" s="3741"/>
      <c r="TYZ23" s="3741"/>
      <c r="TZA23" s="3741"/>
      <c r="TZB23" s="3741"/>
      <c r="TZC23" s="3741"/>
      <c r="TZD23" s="3741"/>
      <c r="TZE23" s="3741"/>
      <c r="TZF23" s="3741"/>
      <c r="TZG23" s="3741"/>
      <c r="TZH23" s="3741"/>
      <c r="TZI23" s="3741"/>
      <c r="TZJ23" s="3741"/>
      <c r="TZK23" s="3741"/>
      <c r="TZL23" s="3741"/>
      <c r="TZM23" s="3741"/>
      <c r="TZN23" s="3741"/>
      <c r="TZO23" s="3741"/>
      <c r="TZP23" s="3741"/>
      <c r="TZQ23" s="3741"/>
      <c r="TZR23" s="3741"/>
      <c r="TZS23" s="3741"/>
      <c r="TZT23" s="3741"/>
      <c r="TZU23" s="3741"/>
      <c r="TZV23" s="3741"/>
      <c r="TZW23" s="3741"/>
      <c r="TZX23" s="3741"/>
      <c r="TZY23" s="3741"/>
      <c r="TZZ23" s="3741"/>
      <c r="UAA23" s="3741"/>
      <c r="UAB23" s="3741"/>
      <c r="UAC23" s="3741"/>
      <c r="UAD23" s="3741"/>
      <c r="UAE23" s="3741"/>
      <c r="UAF23" s="3741"/>
      <c r="UAG23" s="3741"/>
      <c r="UAH23" s="3741"/>
      <c r="UAI23" s="3741"/>
      <c r="UAJ23" s="3741"/>
      <c r="UAK23" s="3741"/>
      <c r="UAL23" s="3741"/>
      <c r="UAM23" s="3741"/>
      <c r="UAN23" s="3741"/>
      <c r="UAO23" s="3741"/>
      <c r="UAP23" s="3741"/>
      <c r="UAQ23" s="3741"/>
      <c r="UAR23" s="3741"/>
      <c r="UAS23" s="3741"/>
      <c r="UAT23" s="3741"/>
      <c r="UAU23" s="3741"/>
      <c r="UAV23" s="3741"/>
      <c r="UAW23" s="3741"/>
      <c r="UAX23" s="3741"/>
      <c r="UAY23" s="3741"/>
      <c r="UAZ23" s="3741"/>
      <c r="UBA23" s="3741"/>
      <c r="UBB23" s="3741"/>
      <c r="UBC23" s="3741"/>
      <c r="UBD23" s="3741"/>
      <c r="UBE23" s="3741"/>
      <c r="UBF23" s="3741"/>
      <c r="UBG23" s="3741"/>
      <c r="UBH23" s="3741"/>
      <c r="UBI23" s="3741"/>
      <c r="UBJ23" s="3741"/>
      <c r="UBK23" s="3741"/>
      <c r="UBL23" s="3741"/>
      <c r="UBM23" s="3741"/>
      <c r="UBN23" s="3741"/>
      <c r="UBO23" s="3741"/>
      <c r="UBP23" s="3741"/>
      <c r="UBQ23" s="3741"/>
      <c r="UBR23" s="3741"/>
      <c r="UBS23" s="3741"/>
      <c r="UBT23" s="3741"/>
      <c r="UBU23" s="3741"/>
      <c r="UBV23" s="3741"/>
      <c r="UBW23" s="3741"/>
      <c r="UBX23" s="3741"/>
      <c r="UBY23" s="3741"/>
      <c r="UBZ23" s="3741"/>
      <c r="UCA23" s="3741"/>
      <c r="UCB23" s="3741"/>
      <c r="UCC23" s="3741"/>
      <c r="UCD23" s="3741"/>
      <c r="UCE23" s="3741"/>
      <c r="UCF23" s="3741"/>
      <c r="UCG23" s="3741"/>
      <c r="UCH23" s="3741"/>
      <c r="UCI23" s="3741"/>
      <c r="UCJ23" s="3741"/>
      <c r="UCK23" s="3741"/>
      <c r="UCL23" s="3741"/>
      <c r="UCM23" s="3741"/>
      <c r="UCN23" s="3741"/>
      <c r="UCO23" s="3741"/>
      <c r="UCP23" s="3741"/>
      <c r="UCQ23" s="3741"/>
      <c r="UCR23" s="3741"/>
      <c r="UCS23" s="3741"/>
      <c r="UCT23" s="3741"/>
      <c r="UCU23" s="3741"/>
      <c r="UCV23" s="3741"/>
      <c r="UCW23" s="3741"/>
      <c r="UCX23" s="3741"/>
      <c r="UCY23" s="3741"/>
      <c r="UCZ23" s="3741"/>
      <c r="UDA23" s="3741"/>
      <c r="UDB23" s="3741"/>
      <c r="UDC23" s="3741"/>
      <c r="UDD23" s="3741"/>
      <c r="UDE23" s="3741"/>
      <c r="UDF23" s="3741"/>
      <c r="UDG23" s="3741"/>
      <c r="UDH23" s="3741"/>
      <c r="UDI23" s="3741"/>
      <c r="UDJ23" s="3741"/>
      <c r="UDK23" s="3741"/>
      <c r="UDL23" s="3741"/>
      <c r="UDM23" s="3741"/>
      <c r="UDN23" s="3741"/>
      <c r="UDO23" s="3741"/>
      <c r="UDP23" s="3741"/>
      <c r="UDQ23" s="3741"/>
      <c r="UDR23" s="3741"/>
      <c r="UDS23" s="3741"/>
      <c r="UDT23" s="3741"/>
      <c r="UDU23" s="3741"/>
      <c r="UDV23" s="3741"/>
      <c r="UDW23" s="3741"/>
      <c r="UDX23" s="3741"/>
      <c r="UDY23" s="3741"/>
      <c r="UDZ23" s="3741"/>
      <c r="UEA23" s="3741"/>
      <c r="UEB23" s="3741"/>
      <c r="UEC23" s="3741"/>
      <c r="UED23" s="3741"/>
      <c r="UEE23" s="3741"/>
      <c r="UEF23" s="3741"/>
      <c r="UEG23" s="3741"/>
      <c r="UEH23" s="3741"/>
      <c r="UEI23" s="3741"/>
      <c r="UEJ23" s="3741"/>
      <c r="UEK23" s="3741"/>
      <c r="UEL23" s="3741"/>
      <c r="UEM23" s="3741"/>
      <c r="UEN23" s="3741"/>
      <c r="UEO23" s="3741"/>
      <c r="UEP23" s="3741"/>
      <c r="UEQ23" s="3741"/>
      <c r="UER23" s="3741"/>
      <c r="UES23" s="3741"/>
      <c r="UET23" s="3741"/>
      <c r="UEU23" s="3741"/>
      <c r="UEV23" s="3741"/>
      <c r="UEW23" s="3741"/>
      <c r="UEX23" s="3741"/>
      <c r="UEY23" s="3741"/>
      <c r="UEZ23" s="3741"/>
      <c r="UFA23" s="3741"/>
      <c r="UFB23" s="3741"/>
      <c r="UFC23" s="3741"/>
      <c r="UFD23" s="3741"/>
      <c r="UFE23" s="3741"/>
      <c r="UFF23" s="3741"/>
      <c r="UFG23" s="3741"/>
      <c r="UFH23" s="3741"/>
      <c r="UFI23" s="3741"/>
      <c r="UFJ23" s="3741"/>
      <c r="UFK23" s="3741"/>
      <c r="UFL23" s="3741"/>
      <c r="UFM23" s="3741"/>
      <c r="UFN23" s="3741"/>
      <c r="UFO23" s="3741"/>
      <c r="UFP23" s="3741"/>
      <c r="UFQ23" s="3741"/>
      <c r="UFR23" s="3741"/>
      <c r="UFS23" s="3741"/>
      <c r="UFT23" s="3741"/>
      <c r="UFU23" s="3741"/>
      <c r="UFV23" s="3741"/>
      <c r="UFW23" s="3741"/>
      <c r="UFX23" s="3741"/>
      <c r="UFY23" s="3741"/>
      <c r="UFZ23" s="3741"/>
      <c r="UGA23" s="3741"/>
      <c r="UGB23" s="3741"/>
      <c r="UGC23" s="3741"/>
      <c r="UGD23" s="3741"/>
      <c r="UGE23" s="3741"/>
      <c r="UGF23" s="3741"/>
      <c r="UGG23" s="3741"/>
      <c r="UGH23" s="3741"/>
      <c r="UGI23" s="3741"/>
      <c r="UGJ23" s="3741"/>
      <c r="UGK23" s="3741"/>
      <c r="UGL23" s="3741"/>
      <c r="UGM23" s="3741"/>
      <c r="UGN23" s="3741"/>
      <c r="UGO23" s="3741"/>
      <c r="UGP23" s="3741"/>
      <c r="UGQ23" s="3741"/>
      <c r="UGR23" s="3741"/>
      <c r="UGS23" s="3741"/>
      <c r="UGT23" s="3741"/>
      <c r="UGU23" s="3741"/>
      <c r="UGV23" s="3741"/>
      <c r="UGW23" s="3741"/>
      <c r="UGX23" s="3741"/>
      <c r="UGY23" s="3741"/>
      <c r="UGZ23" s="3741"/>
      <c r="UHA23" s="3741"/>
      <c r="UHB23" s="3741"/>
      <c r="UHC23" s="3741"/>
      <c r="UHD23" s="3741"/>
      <c r="UHE23" s="3741"/>
      <c r="UHF23" s="3741"/>
      <c r="UHG23" s="3741"/>
      <c r="UHH23" s="3741"/>
      <c r="UHI23" s="3741"/>
      <c r="UHJ23" s="3741"/>
      <c r="UHK23" s="3741"/>
      <c r="UHL23" s="3741"/>
      <c r="UHM23" s="3741"/>
      <c r="UHN23" s="3741"/>
      <c r="UHO23" s="3741"/>
      <c r="UHP23" s="3741"/>
      <c r="UHQ23" s="3741"/>
      <c r="UHR23" s="3741"/>
      <c r="UHS23" s="3741"/>
      <c r="UHT23" s="3741"/>
      <c r="UHU23" s="3741"/>
      <c r="UHV23" s="3741"/>
      <c r="UHW23" s="3741"/>
      <c r="UHX23" s="3741"/>
      <c r="UHY23" s="3741"/>
      <c r="UHZ23" s="3741"/>
      <c r="UIA23" s="3741"/>
      <c r="UIB23" s="3741"/>
      <c r="UIC23" s="3741"/>
      <c r="UID23" s="3741"/>
      <c r="UIE23" s="3741"/>
      <c r="UIF23" s="3741"/>
      <c r="UIG23" s="3741"/>
      <c r="UIH23" s="3741"/>
      <c r="UII23" s="3741"/>
      <c r="UIJ23" s="3741"/>
      <c r="UIK23" s="3741"/>
      <c r="UIL23" s="3741"/>
      <c r="UIM23" s="3741"/>
      <c r="UIN23" s="3741"/>
      <c r="UIO23" s="3741"/>
      <c r="UIP23" s="3741"/>
      <c r="UIQ23" s="3741"/>
      <c r="UIR23" s="3741"/>
      <c r="UIS23" s="3741"/>
      <c r="UIT23" s="3741"/>
      <c r="UIU23" s="3741"/>
      <c r="UIV23" s="3741"/>
      <c r="UIW23" s="3741"/>
      <c r="UIX23" s="3741"/>
      <c r="UIY23" s="3741"/>
      <c r="UIZ23" s="3741"/>
      <c r="UJA23" s="3741"/>
      <c r="UJB23" s="3741"/>
      <c r="UJC23" s="3741"/>
      <c r="UJD23" s="3741"/>
      <c r="UJE23" s="3741"/>
      <c r="UJF23" s="3741"/>
      <c r="UJG23" s="3741"/>
      <c r="UJH23" s="3741"/>
      <c r="UJI23" s="3741"/>
      <c r="UJJ23" s="3741"/>
      <c r="UJK23" s="3741"/>
      <c r="UJL23" s="3741"/>
      <c r="UJM23" s="3741"/>
      <c r="UJN23" s="3741"/>
      <c r="UJO23" s="3741"/>
      <c r="UJP23" s="3741"/>
      <c r="UJQ23" s="3741"/>
      <c r="UJR23" s="3741"/>
      <c r="UJS23" s="3741"/>
      <c r="UJT23" s="3741"/>
      <c r="UJU23" s="3741"/>
      <c r="UJV23" s="3741"/>
      <c r="UJW23" s="3741"/>
      <c r="UJX23" s="3741"/>
      <c r="UJY23" s="3741"/>
      <c r="UJZ23" s="3741"/>
      <c r="UKA23" s="3741"/>
      <c r="UKB23" s="3741"/>
      <c r="UKC23" s="3741"/>
      <c r="UKD23" s="3741"/>
      <c r="UKE23" s="3741"/>
      <c r="UKF23" s="3741"/>
      <c r="UKG23" s="3741"/>
      <c r="UKH23" s="3741"/>
      <c r="UKI23" s="3741"/>
      <c r="UKJ23" s="3741"/>
      <c r="UKK23" s="3741"/>
      <c r="UKL23" s="3741"/>
      <c r="UKM23" s="3741"/>
      <c r="UKN23" s="3741"/>
      <c r="UKO23" s="3741"/>
      <c r="UKP23" s="3741"/>
      <c r="UKQ23" s="3741"/>
      <c r="UKR23" s="3741"/>
      <c r="UKS23" s="3741"/>
      <c r="UKT23" s="3741"/>
      <c r="UKU23" s="3741"/>
      <c r="UKV23" s="3741"/>
      <c r="UKW23" s="3741"/>
      <c r="UKX23" s="3741"/>
      <c r="UKY23" s="3741"/>
      <c r="UKZ23" s="3741"/>
      <c r="ULA23" s="3741"/>
      <c r="ULB23" s="3741"/>
      <c r="ULC23" s="3741"/>
      <c r="ULD23" s="3741"/>
      <c r="ULE23" s="3741"/>
      <c r="ULF23" s="3741"/>
      <c r="ULG23" s="3741"/>
      <c r="ULH23" s="3741"/>
      <c r="ULI23" s="3741"/>
      <c r="ULJ23" s="3741"/>
      <c r="ULK23" s="3741"/>
      <c r="ULL23" s="3741"/>
      <c r="ULM23" s="3741"/>
      <c r="ULN23" s="3741"/>
      <c r="ULO23" s="3741"/>
      <c r="ULP23" s="3741"/>
      <c r="ULQ23" s="3741"/>
      <c r="ULR23" s="3741"/>
      <c r="ULS23" s="3741"/>
      <c r="ULT23" s="3741"/>
      <c r="ULU23" s="3741"/>
      <c r="ULV23" s="3741"/>
      <c r="ULW23" s="3741"/>
      <c r="ULX23" s="3741"/>
      <c r="ULY23" s="3741"/>
      <c r="ULZ23" s="3741"/>
      <c r="UMA23" s="3741"/>
      <c r="UMB23" s="3741"/>
      <c r="UMC23" s="3741"/>
      <c r="UMD23" s="3741"/>
      <c r="UME23" s="3741"/>
      <c r="UMF23" s="3741"/>
      <c r="UMG23" s="3741"/>
      <c r="UMH23" s="3741"/>
      <c r="UMI23" s="3741"/>
      <c r="UMJ23" s="3741"/>
      <c r="UMK23" s="3741"/>
      <c r="UML23" s="3741"/>
      <c r="UMM23" s="3741"/>
      <c r="UMN23" s="3741"/>
      <c r="UMO23" s="3741"/>
      <c r="UMP23" s="3741"/>
      <c r="UMQ23" s="3741"/>
      <c r="UMR23" s="3741"/>
      <c r="UMS23" s="3741"/>
      <c r="UMT23" s="3741"/>
      <c r="UMU23" s="3741"/>
      <c r="UMV23" s="3741"/>
      <c r="UMW23" s="3741"/>
      <c r="UMX23" s="3741"/>
      <c r="UMY23" s="3741"/>
      <c r="UMZ23" s="3741"/>
      <c r="UNA23" s="3741"/>
      <c r="UNB23" s="3741"/>
      <c r="UNC23" s="3741"/>
      <c r="UND23" s="3741"/>
      <c r="UNE23" s="3741"/>
      <c r="UNF23" s="3741"/>
      <c r="UNG23" s="3741"/>
      <c r="UNH23" s="3741"/>
      <c r="UNI23" s="3741"/>
      <c r="UNJ23" s="3741"/>
      <c r="UNK23" s="3741"/>
      <c r="UNL23" s="3741"/>
      <c r="UNM23" s="3741"/>
      <c r="UNN23" s="3741"/>
      <c r="UNO23" s="3741"/>
      <c r="UNP23" s="3741"/>
      <c r="UNQ23" s="3741"/>
      <c r="UNR23" s="3741"/>
      <c r="UNS23" s="3741"/>
      <c r="UNT23" s="3741"/>
      <c r="UNU23" s="3741"/>
      <c r="UNV23" s="3741"/>
      <c r="UNW23" s="3741"/>
      <c r="UNX23" s="3741"/>
      <c r="UNY23" s="3741"/>
      <c r="UNZ23" s="3741"/>
      <c r="UOA23" s="3741"/>
      <c r="UOB23" s="3741"/>
      <c r="UOC23" s="3741"/>
      <c r="UOD23" s="3741"/>
      <c r="UOE23" s="3741"/>
      <c r="UOF23" s="3741"/>
      <c r="UOG23" s="3741"/>
      <c r="UOH23" s="3741"/>
      <c r="UOI23" s="3741"/>
      <c r="UOJ23" s="3741"/>
      <c r="UOK23" s="3741"/>
      <c r="UOL23" s="3741"/>
      <c r="UOM23" s="3741"/>
      <c r="UON23" s="3741"/>
      <c r="UOO23" s="3741"/>
      <c r="UOP23" s="3741"/>
      <c r="UOQ23" s="3741"/>
      <c r="UOR23" s="3741"/>
      <c r="UOS23" s="3741"/>
      <c r="UOT23" s="3741"/>
      <c r="UOU23" s="3741"/>
      <c r="UOV23" s="3741"/>
      <c r="UOW23" s="3741"/>
      <c r="UOX23" s="3741"/>
      <c r="UOY23" s="3741"/>
      <c r="UOZ23" s="3741"/>
      <c r="UPA23" s="3741"/>
      <c r="UPB23" s="3741"/>
      <c r="UPC23" s="3741"/>
      <c r="UPD23" s="3741"/>
      <c r="UPE23" s="3741"/>
      <c r="UPF23" s="3741"/>
      <c r="UPG23" s="3741"/>
      <c r="UPH23" s="3741"/>
      <c r="UPI23" s="3741"/>
      <c r="UPJ23" s="3741"/>
      <c r="UPK23" s="3741"/>
      <c r="UPL23" s="3741"/>
      <c r="UPM23" s="3741"/>
      <c r="UPN23" s="3741"/>
      <c r="UPO23" s="3741"/>
      <c r="UPP23" s="3741"/>
      <c r="UPQ23" s="3741"/>
      <c r="UPR23" s="3741"/>
      <c r="UPS23" s="3741"/>
      <c r="UPT23" s="3741"/>
      <c r="UPU23" s="3741"/>
      <c r="UPV23" s="3741"/>
      <c r="UPW23" s="3741"/>
      <c r="UPX23" s="3741"/>
      <c r="UPY23" s="3741"/>
      <c r="UPZ23" s="3741"/>
      <c r="UQA23" s="3741"/>
      <c r="UQB23" s="3741"/>
      <c r="UQC23" s="3741"/>
      <c r="UQD23" s="3741"/>
      <c r="UQE23" s="3741"/>
      <c r="UQF23" s="3741"/>
      <c r="UQG23" s="3741"/>
      <c r="UQH23" s="3741"/>
      <c r="UQI23" s="3741"/>
      <c r="UQJ23" s="3741"/>
      <c r="UQK23" s="3741"/>
      <c r="UQL23" s="3741"/>
      <c r="UQM23" s="3741"/>
      <c r="UQN23" s="3741"/>
      <c r="UQO23" s="3741"/>
      <c r="UQP23" s="3741"/>
      <c r="UQQ23" s="3741"/>
      <c r="UQR23" s="3741"/>
      <c r="UQS23" s="3741"/>
      <c r="UQT23" s="3741"/>
      <c r="UQU23" s="3741"/>
      <c r="UQV23" s="3741"/>
      <c r="UQW23" s="3741"/>
      <c r="UQX23" s="3741"/>
      <c r="UQY23" s="3741"/>
      <c r="UQZ23" s="3741"/>
      <c r="URA23" s="3741"/>
      <c r="URB23" s="3741"/>
      <c r="URC23" s="3741"/>
      <c r="URD23" s="3741"/>
      <c r="URE23" s="3741"/>
      <c r="URF23" s="3741"/>
      <c r="URG23" s="3741"/>
      <c r="URH23" s="3741"/>
      <c r="URI23" s="3741"/>
      <c r="URJ23" s="3741"/>
      <c r="URK23" s="3741"/>
      <c r="URL23" s="3741"/>
      <c r="URM23" s="3741"/>
      <c r="URN23" s="3741"/>
      <c r="URO23" s="3741"/>
      <c r="URP23" s="3741"/>
      <c r="URQ23" s="3741"/>
      <c r="URR23" s="3741"/>
      <c r="URS23" s="3741"/>
      <c r="URT23" s="3741"/>
      <c r="URU23" s="3741"/>
      <c r="URV23" s="3741"/>
      <c r="URW23" s="3741"/>
      <c r="URX23" s="3741"/>
      <c r="URY23" s="3741"/>
      <c r="URZ23" s="3741"/>
      <c r="USA23" s="3741"/>
      <c r="USB23" s="3741"/>
      <c r="USC23" s="3741"/>
      <c r="USD23" s="3741"/>
      <c r="USE23" s="3741"/>
      <c r="USF23" s="3741"/>
      <c r="USG23" s="3741"/>
      <c r="USH23" s="3741"/>
      <c r="USI23" s="3741"/>
      <c r="USJ23" s="3741"/>
      <c r="USK23" s="3741"/>
      <c r="USL23" s="3741"/>
      <c r="USM23" s="3741"/>
      <c r="USN23" s="3741"/>
      <c r="USO23" s="3741"/>
      <c r="USP23" s="3741"/>
      <c r="USQ23" s="3741"/>
      <c r="USR23" s="3741"/>
      <c r="USS23" s="3741"/>
      <c r="UST23" s="3741"/>
      <c r="USU23" s="3741"/>
      <c r="USV23" s="3741"/>
      <c r="USW23" s="3741"/>
      <c r="USX23" s="3741"/>
      <c r="USY23" s="3741"/>
      <c r="USZ23" s="3741"/>
      <c r="UTA23" s="3741"/>
      <c r="UTB23" s="3741"/>
      <c r="UTC23" s="3741"/>
      <c r="UTD23" s="3741"/>
      <c r="UTE23" s="3741"/>
      <c r="UTF23" s="3741"/>
      <c r="UTG23" s="3741"/>
      <c r="UTH23" s="3741"/>
      <c r="UTI23" s="3741"/>
      <c r="UTJ23" s="3741"/>
      <c r="UTK23" s="3741"/>
      <c r="UTL23" s="3741"/>
      <c r="UTM23" s="3741"/>
      <c r="UTN23" s="3741"/>
      <c r="UTO23" s="3741"/>
      <c r="UTP23" s="3741"/>
      <c r="UTQ23" s="3741"/>
      <c r="UTR23" s="3741"/>
      <c r="UTS23" s="3741"/>
      <c r="UTT23" s="3741"/>
      <c r="UTU23" s="3741"/>
      <c r="UTV23" s="3741"/>
      <c r="UTW23" s="3741"/>
      <c r="UTX23" s="3741"/>
      <c r="UTY23" s="3741"/>
      <c r="UTZ23" s="3741"/>
      <c r="UUA23" s="3741"/>
      <c r="UUB23" s="3741"/>
      <c r="UUC23" s="3741"/>
      <c r="UUD23" s="3741"/>
      <c r="UUE23" s="3741"/>
      <c r="UUF23" s="3741"/>
      <c r="UUG23" s="3741"/>
      <c r="UUH23" s="3741"/>
      <c r="UUI23" s="3741"/>
      <c r="UUJ23" s="3741"/>
      <c r="UUK23" s="3741"/>
      <c r="UUL23" s="3741"/>
      <c r="UUM23" s="3741"/>
      <c r="UUN23" s="3741"/>
      <c r="UUO23" s="3741"/>
      <c r="UUP23" s="3741"/>
      <c r="UUQ23" s="3741"/>
      <c r="UUR23" s="3741"/>
      <c r="UUS23" s="3741"/>
      <c r="UUT23" s="3741"/>
      <c r="UUU23" s="3741"/>
      <c r="UUV23" s="3741"/>
      <c r="UUW23" s="3741"/>
      <c r="UUX23" s="3741"/>
      <c r="UUY23" s="3741"/>
      <c r="UUZ23" s="3741"/>
      <c r="UVA23" s="3741"/>
      <c r="UVB23" s="3741"/>
      <c r="UVC23" s="3741"/>
      <c r="UVD23" s="3741"/>
      <c r="UVE23" s="3741"/>
      <c r="UVF23" s="3741"/>
      <c r="UVG23" s="3741"/>
      <c r="UVH23" s="3741"/>
      <c r="UVI23" s="3741"/>
      <c r="UVJ23" s="3741"/>
      <c r="UVK23" s="3741"/>
      <c r="UVL23" s="3741"/>
      <c r="UVM23" s="3741"/>
      <c r="UVN23" s="3741"/>
      <c r="UVO23" s="3741"/>
      <c r="UVP23" s="3741"/>
      <c r="UVQ23" s="3741"/>
      <c r="UVR23" s="3741"/>
      <c r="UVS23" s="3741"/>
      <c r="UVT23" s="3741"/>
      <c r="UVU23" s="3741"/>
      <c r="UVV23" s="3741"/>
      <c r="UVW23" s="3741"/>
      <c r="UVX23" s="3741"/>
      <c r="UVY23" s="3741"/>
      <c r="UVZ23" s="3741"/>
      <c r="UWA23" s="3741"/>
      <c r="UWB23" s="3741"/>
      <c r="UWC23" s="3741"/>
      <c r="UWD23" s="3741"/>
      <c r="UWE23" s="3741"/>
      <c r="UWF23" s="3741"/>
      <c r="UWG23" s="3741"/>
      <c r="UWH23" s="3741"/>
      <c r="UWI23" s="3741"/>
      <c r="UWJ23" s="3741"/>
      <c r="UWK23" s="3741"/>
      <c r="UWL23" s="3741"/>
      <c r="UWM23" s="3741"/>
      <c r="UWN23" s="3741"/>
      <c r="UWO23" s="3741"/>
      <c r="UWP23" s="3741"/>
      <c r="UWQ23" s="3741"/>
      <c r="UWR23" s="3741"/>
      <c r="UWS23" s="3741"/>
      <c r="UWT23" s="3741"/>
      <c r="UWU23" s="3741"/>
      <c r="UWV23" s="3741"/>
      <c r="UWW23" s="3741"/>
      <c r="UWX23" s="3741"/>
      <c r="UWY23" s="3741"/>
      <c r="UWZ23" s="3741"/>
      <c r="UXA23" s="3741"/>
      <c r="UXB23" s="3741"/>
      <c r="UXC23" s="3741"/>
      <c r="UXD23" s="3741"/>
      <c r="UXE23" s="3741"/>
      <c r="UXF23" s="3741"/>
      <c r="UXG23" s="3741"/>
      <c r="UXH23" s="3741"/>
      <c r="UXI23" s="3741"/>
      <c r="UXJ23" s="3741"/>
      <c r="UXK23" s="3741"/>
      <c r="UXL23" s="3741"/>
      <c r="UXM23" s="3741"/>
      <c r="UXN23" s="3741"/>
      <c r="UXO23" s="3741"/>
      <c r="UXP23" s="3741"/>
      <c r="UXQ23" s="3741"/>
      <c r="UXR23" s="3741"/>
      <c r="UXS23" s="3741"/>
      <c r="UXT23" s="3741"/>
      <c r="UXU23" s="3741"/>
      <c r="UXV23" s="3741"/>
      <c r="UXW23" s="3741"/>
      <c r="UXX23" s="3741"/>
      <c r="UXY23" s="3741"/>
      <c r="UXZ23" s="3741"/>
      <c r="UYA23" s="3741"/>
      <c r="UYB23" s="3741"/>
      <c r="UYC23" s="3741"/>
      <c r="UYD23" s="3741"/>
      <c r="UYE23" s="3741"/>
      <c r="UYF23" s="3741"/>
      <c r="UYG23" s="3741"/>
      <c r="UYH23" s="3741"/>
      <c r="UYI23" s="3741"/>
      <c r="UYJ23" s="3741"/>
      <c r="UYK23" s="3741"/>
      <c r="UYL23" s="3741"/>
      <c r="UYM23" s="3741"/>
      <c r="UYN23" s="3741"/>
      <c r="UYO23" s="3741"/>
      <c r="UYP23" s="3741"/>
      <c r="UYQ23" s="3741"/>
      <c r="UYR23" s="3741"/>
      <c r="UYS23" s="3741"/>
      <c r="UYT23" s="3741"/>
      <c r="UYU23" s="3741"/>
      <c r="UYV23" s="3741"/>
      <c r="UYW23" s="3741"/>
      <c r="UYX23" s="3741"/>
      <c r="UYY23" s="3741"/>
      <c r="UYZ23" s="3741"/>
      <c r="UZA23" s="3741"/>
      <c r="UZB23" s="3741"/>
      <c r="UZC23" s="3741"/>
      <c r="UZD23" s="3741"/>
      <c r="UZE23" s="3741"/>
      <c r="UZF23" s="3741"/>
      <c r="UZG23" s="3741"/>
      <c r="UZH23" s="3741"/>
      <c r="UZI23" s="3741"/>
      <c r="UZJ23" s="3741"/>
      <c r="UZK23" s="3741"/>
      <c r="UZL23" s="3741"/>
      <c r="UZM23" s="3741"/>
      <c r="UZN23" s="3741"/>
      <c r="UZO23" s="3741"/>
      <c r="UZP23" s="3741"/>
      <c r="UZQ23" s="3741"/>
      <c r="UZR23" s="3741"/>
      <c r="UZS23" s="3741"/>
      <c r="UZT23" s="3741"/>
      <c r="UZU23" s="3741"/>
      <c r="UZV23" s="3741"/>
      <c r="UZW23" s="3741"/>
      <c r="UZX23" s="3741"/>
      <c r="UZY23" s="3741"/>
      <c r="UZZ23" s="3741"/>
      <c r="VAA23" s="3741"/>
      <c r="VAB23" s="3741"/>
      <c r="VAC23" s="3741"/>
      <c r="VAD23" s="3741"/>
      <c r="VAE23" s="3741"/>
      <c r="VAF23" s="3741"/>
      <c r="VAG23" s="3741"/>
      <c r="VAH23" s="3741"/>
      <c r="VAI23" s="3741"/>
      <c r="VAJ23" s="3741"/>
      <c r="VAK23" s="3741"/>
      <c r="VAL23" s="3741"/>
      <c r="VAM23" s="3741"/>
      <c r="VAN23" s="3741"/>
      <c r="VAO23" s="3741"/>
      <c r="VAP23" s="3741"/>
      <c r="VAQ23" s="3741"/>
      <c r="VAR23" s="3741"/>
      <c r="VAS23" s="3741"/>
      <c r="VAT23" s="3741"/>
      <c r="VAU23" s="3741"/>
      <c r="VAV23" s="3741"/>
      <c r="VAW23" s="3741"/>
      <c r="VAX23" s="3741"/>
      <c r="VAY23" s="3741"/>
      <c r="VAZ23" s="3741"/>
      <c r="VBA23" s="3741"/>
      <c r="VBB23" s="3741"/>
      <c r="VBC23" s="3741"/>
      <c r="VBD23" s="3741"/>
      <c r="VBE23" s="3741"/>
      <c r="VBF23" s="3741"/>
      <c r="VBG23" s="3741"/>
      <c r="VBH23" s="3741"/>
      <c r="VBI23" s="3741"/>
      <c r="VBJ23" s="3741"/>
      <c r="VBK23" s="3741"/>
      <c r="VBL23" s="3741"/>
      <c r="VBM23" s="3741"/>
      <c r="VBN23" s="3741"/>
      <c r="VBO23" s="3741"/>
      <c r="VBP23" s="3741"/>
      <c r="VBQ23" s="3741"/>
      <c r="VBR23" s="3741"/>
      <c r="VBS23" s="3741"/>
      <c r="VBT23" s="3741"/>
      <c r="VBU23" s="3741"/>
      <c r="VBV23" s="3741"/>
      <c r="VBW23" s="3741"/>
      <c r="VBX23" s="3741"/>
      <c r="VBY23" s="3741"/>
      <c r="VBZ23" s="3741"/>
      <c r="VCA23" s="3741"/>
      <c r="VCB23" s="3741"/>
      <c r="VCC23" s="3741"/>
      <c r="VCD23" s="3741"/>
      <c r="VCE23" s="3741"/>
      <c r="VCF23" s="3741"/>
      <c r="VCG23" s="3741"/>
      <c r="VCH23" s="3741"/>
      <c r="VCI23" s="3741"/>
      <c r="VCJ23" s="3741"/>
      <c r="VCK23" s="3741"/>
      <c r="VCL23" s="3741"/>
      <c r="VCM23" s="3741"/>
      <c r="VCN23" s="3741"/>
      <c r="VCO23" s="3741"/>
      <c r="VCP23" s="3741"/>
      <c r="VCQ23" s="3741"/>
      <c r="VCR23" s="3741"/>
      <c r="VCS23" s="3741"/>
      <c r="VCT23" s="3741"/>
      <c r="VCU23" s="3741"/>
      <c r="VCV23" s="3741"/>
      <c r="VCW23" s="3741"/>
      <c r="VCX23" s="3741"/>
      <c r="VCY23" s="3741"/>
      <c r="VCZ23" s="3741"/>
      <c r="VDA23" s="3741"/>
      <c r="VDB23" s="3741"/>
      <c r="VDC23" s="3741"/>
      <c r="VDD23" s="3741"/>
      <c r="VDE23" s="3741"/>
      <c r="VDF23" s="3741"/>
      <c r="VDG23" s="3741"/>
      <c r="VDH23" s="3741"/>
      <c r="VDI23" s="3741"/>
      <c r="VDJ23" s="3741"/>
      <c r="VDK23" s="3741"/>
      <c r="VDL23" s="3741"/>
      <c r="VDM23" s="3741"/>
      <c r="VDN23" s="3741"/>
      <c r="VDO23" s="3741"/>
      <c r="VDP23" s="3741"/>
      <c r="VDQ23" s="3741"/>
      <c r="VDR23" s="3741"/>
      <c r="VDS23" s="3741"/>
      <c r="VDT23" s="3741"/>
      <c r="VDU23" s="3741"/>
      <c r="VDV23" s="3741"/>
      <c r="VDW23" s="3741"/>
      <c r="VDX23" s="3741"/>
      <c r="VDY23" s="3741"/>
      <c r="VDZ23" s="3741"/>
      <c r="VEA23" s="3741"/>
      <c r="VEB23" s="3741"/>
      <c r="VEC23" s="3741"/>
      <c r="VED23" s="3741"/>
      <c r="VEE23" s="3741"/>
      <c r="VEF23" s="3741"/>
      <c r="VEG23" s="3741"/>
      <c r="VEH23" s="3741"/>
      <c r="VEI23" s="3741"/>
      <c r="VEJ23" s="3741"/>
      <c r="VEK23" s="3741"/>
      <c r="VEL23" s="3741"/>
      <c r="VEM23" s="3741"/>
      <c r="VEN23" s="3741"/>
      <c r="VEO23" s="3741"/>
      <c r="VEP23" s="3741"/>
      <c r="VEQ23" s="3741"/>
      <c r="VER23" s="3741"/>
      <c r="VES23" s="3741"/>
      <c r="VET23" s="3741"/>
      <c r="VEU23" s="3741"/>
      <c r="VEV23" s="3741"/>
      <c r="VEW23" s="3741"/>
      <c r="VEX23" s="3741"/>
      <c r="VEY23" s="3741"/>
      <c r="VEZ23" s="3741"/>
      <c r="VFA23" s="3741"/>
      <c r="VFB23" s="3741"/>
      <c r="VFC23" s="3741"/>
      <c r="VFD23" s="3741"/>
      <c r="VFE23" s="3741"/>
      <c r="VFF23" s="3741"/>
      <c r="VFG23" s="3741"/>
      <c r="VFH23" s="3741"/>
      <c r="VFI23" s="3741"/>
      <c r="VFJ23" s="3741"/>
      <c r="VFK23" s="3741"/>
      <c r="VFL23" s="3741"/>
      <c r="VFM23" s="3741"/>
      <c r="VFN23" s="3741"/>
      <c r="VFO23" s="3741"/>
      <c r="VFP23" s="3741"/>
      <c r="VFQ23" s="3741"/>
      <c r="VFR23" s="3741"/>
      <c r="VFS23" s="3741"/>
      <c r="VFT23" s="3741"/>
      <c r="VFU23" s="3741"/>
      <c r="VFV23" s="3741"/>
      <c r="VFW23" s="3741"/>
      <c r="VFX23" s="3741"/>
      <c r="VFY23" s="3741"/>
      <c r="VFZ23" s="3741"/>
      <c r="VGA23" s="3741"/>
      <c r="VGB23" s="3741"/>
      <c r="VGC23" s="3741"/>
      <c r="VGD23" s="3741"/>
      <c r="VGE23" s="3741"/>
      <c r="VGF23" s="3741"/>
      <c r="VGG23" s="3741"/>
      <c r="VGH23" s="3741"/>
      <c r="VGI23" s="3741"/>
      <c r="VGJ23" s="3741"/>
      <c r="VGK23" s="3741"/>
      <c r="VGL23" s="3741"/>
      <c r="VGM23" s="3741"/>
      <c r="VGN23" s="3741"/>
      <c r="VGO23" s="3741"/>
      <c r="VGP23" s="3741"/>
      <c r="VGQ23" s="3741"/>
      <c r="VGR23" s="3741"/>
      <c r="VGS23" s="3741"/>
      <c r="VGT23" s="3741"/>
      <c r="VGU23" s="3741"/>
      <c r="VGV23" s="3741"/>
      <c r="VGW23" s="3741"/>
      <c r="VGX23" s="3741"/>
      <c r="VGY23" s="3741"/>
      <c r="VGZ23" s="3741"/>
      <c r="VHA23" s="3741"/>
      <c r="VHB23" s="3741"/>
      <c r="VHC23" s="3741"/>
      <c r="VHD23" s="3741"/>
      <c r="VHE23" s="3741"/>
      <c r="VHF23" s="3741"/>
      <c r="VHG23" s="3741"/>
      <c r="VHH23" s="3741"/>
      <c r="VHI23" s="3741"/>
      <c r="VHJ23" s="3741"/>
      <c r="VHK23" s="3741"/>
      <c r="VHL23" s="3741"/>
      <c r="VHM23" s="3741"/>
      <c r="VHN23" s="3741"/>
      <c r="VHO23" s="3741"/>
      <c r="VHP23" s="3741"/>
      <c r="VHQ23" s="3741"/>
      <c r="VHR23" s="3741"/>
      <c r="VHS23" s="3741"/>
      <c r="VHT23" s="3741"/>
      <c r="VHU23" s="3741"/>
      <c r="VHV23" s="3741"/>
      <c r="VHW23" s="3741"/>
      <c r="VHX23" s="3741"/>
      <c r="VHY23" s="3741"/>
      <c r="VHZ23" s="3741"/>
      <c r="VIA23" s="3741"/>
      <c r="VIB23" s="3741"/>
      <c r="VIC23" s="3741"/>
      <c r="VID23" s="3741"/>
      <c r="VIE23" s="3741"/>
      <c r="VIF23" s="3741"/>
      <c r="VIG23" s="3741"/>
      <c r="VIH23" s="3741"/>
      <c r="VII23" s="3741"/>
      <c r="VIJ23" s="3741"/>
      <c r="VIK23" s="3741"/>
      <c r="VIL23" s="3741"/>
      <c r="VIM23" s="3741"/>
      <c r="VIN23" s="3741"/>
      <c r="VIO23" s="3741"/>
      <c r="VIP23" s="3741"/>
      <c r="VIQ23" s="3741"/>
      <c r="VIR23" s="3741"/>
      <c r="VIS23" s="3741"/>
      <c r="VIT23" s="3741"/>
      <c r="VIU23" s="3741"/>
      <c r="VIV23" s="3741"/>
      <c r="VIW23" s="3741"/>
      <c r="VIX23" s="3741"/>
      <c r="VIY23" s="3741"/>
      <c r="VIZ23" s="3741"/>
      <c r="VJA23" s="3741"/>
      <c r="VJB23" s="3741"/>
      <c r="VJC23" s="3741"/>
      <c r="VJD23" s="3741"/>
      <c r="VJE23" s="3741"/>
      <c r="VJF23" s="3741"/>
      <c r="VJG23" s="3741"/>
      <c r="VJH23" s="3741"/>
      <c r="VJI23" s="3741"/>
      <c r="VJJ23" s="3741"/>
      <c r="VJK23" s="3741"/>
      <c r="VJL23" s="3741"/>
      <c r="VJM23" s="3741"/>
      <c r="VJN23" s="3741"/>
      <c r="VJO23" s="3741"/>
      <c r="VJP23" s="3741"/>
      <c r="VJQ23" s="3741"/>
      <c r="VJR23" s="3741"/>
      <c r="VJS23" s="3741"/>
      <c r="VJT23" s="3741"/>
      <c r="VJU23" s="3741"/>
      <c r="VJV23" s="3741"/>
      <c r="VJW23" s="3741"/>
      <c r="VJX23" s="3741"/>
      <c r="VJY23" s="3741"/>
      <c r="VJZ23" s="3741"/>
      <c r="VKA23" s="3741"/>
      <c r="VKB23" s="3741"/>
      <c r="VKC23" s="3741"/>
      <c r="VKD23" s="3741"/>
      <c r="VKE23" s="3741"/>
      <c r="VKF23" s="3741"/>
      <c r="VKG23" s="3741"/>
      <c r="VKH23" s="3741"/>
      <c r="VKI23" s="3741"/>
      <c r="VKJ23" s="3741"/>
      <c r="VKK23" s="3741"/>
      <c r="VKL23" s="3741"/>
      <c r="VKM23" s="3741"/>
      <c r="VKN23" s="3741"/>
      <c r="VKO23" s="3741"/>
      <c r="VKP23" s="3741"/>
      <c r="VKQ23" s="3741"/>
      <c r="VKR23" s="3741"/>
      <c r="VKS23" s="3741"/>
      <c r="VKT23" s="3741"/>
      <c r="VKU23" s="3741"/>
      <c r="VKV23" s="3741"/>
      <c r="VKW23" s="3741"/>
      <c r="VKX23" s="3741"/>
      <c r="VKY23" s="3741"/>
      <c r="VKZ23" s="3741"/>
      <c r="VLA23" s="3741"/>
      <c r="VLB23" s="3741"/>
      <c r="VLC23" s="3741"/>
      <c r="VLD23" s="3741"/>
      <c r="VLE23" s="3741"/>
      <c r="VLF23" s="3741"/>
      <c r="VLG23" s="3741"/>
      <c r="VLH23" s="3741"/>
      <c r="VLI23" s="3741"/>
      <c r="VLJ23" s="3741"/>
      <c r="VLK23" s="3741"/>
      <c r="VLL23" s="3741"/>
      <c r="VLM23" s="3741"/>
      <c r="VLN23" s="3741"/>
      <c r="VLO23" s="3741"/>
      <c r="VLP23" s="3741"/>
      <c r="VLQ23" s="3741"/>
      <c r="VLR23" s="3741"/>
      <c r="VLS23" s="3741"/>
      <c r="VLT23" s="3741"/>
      <c r="VLU23" s="3741"/>
      <c r="VLV23" s="3741"/>
      <c r="VLW23" s="3741"/>
      <c r="VLX23" s="3741"/>
      <c r="VLY23" s="3741"/>
      <c r="VLZ23" s="3741"/>
      <c r="VMA23" s="3741"/>
      <c r="VMB23" s="3741"/>
      <c r="VMC23" s="3741"/>
      <c r="VMD23" s="3741"/>
      <c r="VME23" s="3741"/>
      <c r="VMF23" s="3741"/>
      <c r="VMG23" s="3741"/>
      <c r="VMH23" s="3741"/>
      <c r="VMI23" s="3741"/>
      <c r="VMJ23" s="3741"/>
      <c r="VMK23" s="3741"/>
      <c r="VML23" s="3741"/>
      <c r="VMM23" s="3741"/>
      <c r="VMN23" s="3741"/>
      <c r="VMO23" s="3741"/>
      <c r="VMP23" s="3741"/>
      <c r="VMQ23" s="3741"/>
      <c r="VMR23" s="3741"/>
      <c r="VMS23" s="3741"/>
      <c r="VMT23" s="3741"/>
      <c r="VMU23" s="3741"/>
      <c r="VMV23" s="3741"/>
      <c r="VMW23" s="3741"/>
      <c r="VMX23" s="3741"/>
      <c r="VMY23" s="3741"/>
      <c r="VMZ23" s="3741"/>
      <c r="VNA23" s="3741"/>
      <c r="VNB23" s="3741"/>
      <c r="VNC23" s="3741"/>
      <c r="VND23" s="3741"/>
      <c r="VNE23" s="3741"/>
      <c r="VNF23" s="3741"/>
      <c r="VNG23" s="3741"/>
      <c r="VNH23" s="3741"/>
      <c r="VNI23" s="3741"/>
      <c r="VNJ23" s="3741"/>
      <c r="VNK23" s="3741"/>
      <c r="VNL23" s="3741"/>
      <c r="VNM23" s="3741"/>
      <c r="VNN23" s="3741"/>
      <c r="VNO23" s="3741"/>
      <c r="VNP23" s="3741"/>
      <c r="VNQ23" s="3741"/>
      <c r="VNR23" s="3741"/>
      <c r="VNS23" s="3741"/>
      <c r="VNT23" s="3741"/>
      <c r="VNU23" s="3741"/>
      <c r="VNV23" s="3741"/>
      <c r="VNW23" s="3741"/>
      <c r="VNX23" s="3741"/>
      <c r="VNY23" s="3741"/>
      <c r="VNZ23" s="3741"/>
      <c r="VOA23" s="3741"/>
      <c r="VOB23" s="3741"/>
      <c r="VOC23" s="3741"/>
      <c r="VOD23" s="3741"/>
      <c r="VOE23" s="3741"/>
      <c r="VOF23" s="3741"/>
      <c r="VOG23" s="3741"/>
      <c r="VOH23" s="3741"/>
      <c r="VOI23" s="3741"/>
      <c r="VOJ23" s="3741"/>
      <c r="VOK23" s="3741"/>
      <c r="VOL23" s="3741"/>
      <c r="VOM23" s="3741"/>
      <c r="VON23" s="3741"/>
      <c r="VOO23" s="3741"/>
      <c r="VOP23" s="3741"/>
      <c r="VOQ23" s="3741"/>
      <c r="VOR23" s="3741"/>
      <c r="VOS23" s="3741"/>
      <c r="VOT23" s="3741"/>
      <c r="VOU23" s="3741"/>
      <c r="VOV23" s="3741"/>
      <c r="VOW23" s="3741"/>
      <c r="VOX23" s="3741"/>
      <c r="VOY23" s="3741"/>
      <c r="VOZ23" s="3741"/>
      <c r="VPA23" s="3741"/>
      <c r="VPB23" s="3741"/>
      <c r="VPC23" s="3741"/>
      <c r="VPD23" s="3741"/>
      <c r="VPE23" s="3741"/>
      <c r="VPF23" s="3741"/>
      <c r="VPG23" s="3741"/>
      <c r="VPH23" s="3741"/>
      <c r="VPI23" s="3741"/>
      <c r="VPJ23" s="3741"/>
      <c r="VPK23" s="3741"/>
      <c r="VPL23" s="3741"/>
      <c r="VPM23" s="3741"/>
      <c r="VPN23" s="3741"/>
      <c r="VPO23" s="3741"/>
      <c r="VPP23" s="3741"/>
      <c r="VPQ23" s="3741"/>
      <c r="VPR23" s="3741"/>
      <c r="VPS23" s="3741"/>
      <c r="VPT23" s="3741"/>
      <c r="VPU23" s="3741"/>
      <c r="VPV23" s="3741"/>
      <c r="VPW23" s="3741"/>
      <c r="VPX23" s="3741"/>
      <c r="VPY23" s="3741"/>
      <c r="VPZ23" s="3741"/>
      <c r="VQA23" s="3741"/>
      <c r="VQB23" s="3741"/>
      <c r="VQC23" s="3741"/>
      <c r="VQD23" s="3741"/>
      <c r="VQE23" s="3741"/>
      <c r="VQF23" s="3741"/>
      <c r="VQG23" s="3741"/>
      <c r="VQH23" s="3741"/>
      <c r="VQI23" s="3741"/>
      <c r="VQJ23" s="3741"/>
      <c r="VQK23" s="3741"/>
      <c r="VQL23" s="3741"/>
      <c r="VQM23" s="3741"/>
      <c r="VQN23" s="3741"/>
      <c r="VQO23" s="3741"/>
      <c r="VQP23" s="3741"/>
      <c r="VQQ23" s="3741"/>
      <c r="VQR23" s="3741"/>
      <c r="VQS23" s="3741"/>
      <c r="VQT23" s="3741"/>
      <c r="VQU23" s="3741"/>
      <c r="VQV23" s="3741"/>
      <c r="VQW23" s="3741"/>
      <c r="VQX23" s="3741"/>
      <c r="VQY23" s="3741"/>
      <c r="VQZ23" s="3741"/>
      <c r="VRA23" s="3741"/>
      <c r="VRB23" s="3741"/>
      <c r="VRC23" s="3741"/>
      <c r="VRD23" s="3741"/>
      <c r="VRE23" s="3741"/>
      <c r="VRF23" s="3741"/>
      <c r="VRG23" s="3741"/>
      <c r="VRH23" s="3741"/>
      <c r="VRI23" s="3741"/>
      <c r="VRJ23" s="3741"/>
      <c r="VRK23" s="3741"/>
      <c r="VRL23" s="3741"/>
      <c r="VRM23" s="3741"/>
      <c r="VRN23" s="3741"/>
      <c r="VRO23" s="3741"/>
      <c r="VRP23" s="3741"/>
      <c r="VRQ23" s="3741"/>
      <c r="VRR23" s="3741"/>
      <c r="VRS23" s="3741"/>
      <c r="VRT23" s="3741"/>
      <c r="VRU23" s="3741"/>
      <c r="VRV23" s="3741"/>
      <c r="VRW23" s="3741"/>
      <c r="VRX23" s="3741"/>
      <c r="VRY23" s="3741"/>
      <c r="VRZ23" s="3741"/>
      <c r="VSA23" s="3741"/>
      <c r="VSB23" s="3741"/>
      <c r="VSC23" s="3741"/>
      <c r="VSD23" s="3741"/>
      <c r="VSE23" s="3741"/>
      <c r="VSF23" s="3741"/>
      <c r="VSG23" s="3741"/>
      <c r="VSH23" s="3741"/>
      <c r="VSI23" s="3741"/>
      <c r="VSJ23" s="3741"/>
      <c r="VSK23" s="3741"/>
      <c r="VSL23" s="3741"/>
      <c r="VSM23" s="3741"/>
      <c r="VSN23" s="3741"/>
      <c r="VSO23" s="3741"/>
      <c r="VSP23" s="3741"/>
      <c r="VSQ23" s="3741"/>
      <c r="VSR23" s="3741"/>
      <c r="VSS23" s="3741"/>
      <c r="VST23" s="3741"/>
      <c r="VSU23" s="3741"/>
      <c r="VSV23" s="3741"/>
      <c r="VSW23" s="3741"/>
      <c r="VSX23" s="3741"/>
      <c r="VSY23" s="3741"/>
      <c r="VSZ23" s="3741"/>
      <c r="VTA23" s="3741"/>
      <c r="VTB23" s="3741"/>
      <c r="VTC23" s="3741"/>
      <c r="VTD23" s="3741"/>
      <c r="VTE23" s="3741"/>
      <c r="VTF23" s="3741"/>
      <c r="VTG23" s="3741"/>
      <c r="VTH23" s="3741"/>
      <c r="VTI23" s="3741"/>
      <c r="VTJ23" s="3741"/>
      <c r="VTK23" s="3741"/>
      <c r="VTL23" s="3741"/>
      <c r="VTM23" s="3741"/>
      <c r="VTN23" s="3741"/>
      <c r="VTO23" s="3741"/>
      <c r="VTP23" s="3741"/>
      <c r="VTQ23" s="3741"/>
      <c r="VTR23" s="3741"/>
      <c r="VTS23" s="3741"/>
      <c r="VTT23" s="3741"/>
      <c r="VTU23" s="3741"/>
      <c r="VTV23" s="3741"/>
      <c r="VTW23" s="3741"/>
      <c r="VTX23" s="3741"/>
      <c r="VTY23" s="3741"/>
      <c r="VTZ23" s="3741"/>
      <c r="VUA23" s="3741"/>
      <c r="VUB23" s="3741"/>
      <c r="VUC23" s="3741"/>
      <c r="VUD23" s="3741"/>
      <c r="VUE23" s="3741"/>
      <c r="VUF23" s="3741"/>
      <c r="VUG23" s="3741"/>
      <c r="VUH23" s="3741"/>
      <c r="VUI23" s="3741"/>
      <c r="VUJ23" s="3741"/>
      <c r="VUK23" s="3741"/>
      <c r="VUL23" s="3741"/>
      <c r="VUM23" s="3741"/>
      <c r="VUN23" s="3741"/>
      <c r="VUO23" s="3741"/>
      <c r="VUP23" s="3741"/>
      <c r="VUQ23" s="3741"/>
      <c r="VUR23" s="3741"/>
      <c r="VUS23" s="3741"/>
      <c r="VUT23" s="3741"/>
      <c r="VUU23" s="3741"/>
      <c r="VUV23" s="3741"/>
      <c r="VUW23" s="3741"/>
      <c r="VUX23" s="3741"/>
      <c r="VUY23" s="3741"/>
      <c r="VUZ23" s="3741"/>
      <c r="VVA23" s="3741"/>
      <c r="VVB23" s="3741"/>
      <c r="VVC23" s="3741"/>
      <c r="VVD23" s="3741"/>
      <c r="VVE23" s="3741"/>
      <c r="VVF23" s="3741"/>
      <c r="VVG23" s="3741"/>
      <c r="VVH23" s="3741"/>
      <c r="VVI23" s="3741"/>
      <c r="VVJ23" s="3741"/>
      <c r="VVK23" s="3741"/>
      <c r="VVL23" s="3741"/>
      <c r="VVM23" s="3741"/>
      <c r="VVN23" s="3741"/>
      <c r="VVO23" s="3741"/>
      <c r="VVP23" s="3741"/>
      <c r="VVQ23" s="3741"/>
      <c r="VVR23" s="3741"/>
      <c r="VVS23" s="3741"/>
      <c r="VVT23" s="3741"/>
      <c r="VVU23" s="3741"/>
      <c r="VVV23" s="3741"/>
      <c r="VVW23" s="3741"/>
      <c r="VVX23" s="3741"/>
      <c r="VVY23" s="3741"/>
      <c r="VVZ23" s="3741"/>
      <c r="VWA23" s="3741"/>
      <c r="VWB23" s="3741"/>
      <c r="VWC23" s="3741"/>
      <c r="VWD23" s="3741"/>
      <c r="VWE23" s="3741"/>
      <c r="VWF23" s="3741"/>
      <c r="VWG23" s="3741"/>
      <c r="VWH23" s="3741"/>
      <c r="VWI23" s="3741"/>
      <c r="VWJ23" s="3741"/>
      <c r="VWK23" s="3741"/>
      <c r="VWL23" s="3741"/>
      <c r="VWM23" s="3741"/>
      <c r="VWN23" s="3741"/>
      <c r="VWO23" s="3741"/>
      <c r="VWP23" s="3741"/>
      <c r="VWQ23" s="3741"/>
      <c r="VWR23" s="3741"/>
      <c r="VWS23" s="3741"/>
      <c r="VWT23" s="3741"/>
      <c r="VWU23" s="3741"/>
      <c r="VWV23" s="3741"/>
      <c r="VWW23" s="3741"/>
      <c r="VWX23" s="3741"/>
      <c r="VWY23" s="3741"/>
      <c r="VWZ23" s="3741"/>
      <c r="VXA23" s="3741"/>
      <c r="VXB23" s="3741"/>
      <c r="VXC23" s="3741"/>
      <c r="VXD23" s="3741"/>
      <c r="VXE23" s="3741"/>
      <c r="VXF23" s="3741"/>
      <c r="VXG23" s="3741"/>
      <c r="VXH23" s="3741"/>
      <c r="VXI23" s="3741"/>
      <c r="VXJ23" s="3741"/>
      <c r="VXK23" s="3741"/>
      <c r="VXL23" s="3741"/>
      <c r="VXM23" s="3741"/>
      <c r="VXN23" s="3741"/>
      <c r="VXO23" s="3741"/>
      <c r="VXP23" s="3741"/>
      <c r="VXQ23" s="3741"/>
      <c r="VXR23" s="3741"/>
      <c r="VXS23" s="3741"/>
      <c r="VXT23" s="3741"/>
      <c r="VXU23" s="3741"/>
      <c r="VXV23" s="3741"/>
      <c r="VXW23" s="3741"/>
      <c r="VXX23" s="3741"/>
      <c r="VXY23" s="3741"/>
      <c r="VXZ23" s="3741"/>
      <c r="VYA23" s="3741"/>
      <c r="VYB23" s="3741"/>
      <c r="VYC23" s="3741"/>
      <c r="VYD23" s="3741"/>
      <c r="VYE23" s="3741"/>
      <c r="VYF23" s="3741"/>
      <c r="VYG23" s="3741"/>
      <c r="VYH23" s="3741"/>
      <c r="VYI23" s="3741"/>
      <c r="VYJ23" s="3741"/>
      <c r="VYK23" s="3741"/>
      <c r="VYL23" s="3741"/>
      <c r="VYM23" s="3741"/>
      <c r="VYN23" s="3741"/>
      <c r="VYO23" s="3741"/>
      <c r="VYP23" s="3741"/>
      <c r="VYQ23" s="3741"/>
      <c r="VYR23" s="3741"/>
      <c r="VYS23" s="3741"/>
      <c r="VYT23" s="3741"/>
      <c r="VYU23" s="3741"/>
      <c r="VYV23" s="3741"/>
      <c r="VYW23" s="3741"/>
      <c r="VYX23" s="3741"/>
      <c r="VYY23" s="3741"/>
      <c r="VYZ23" s="3741"/>
      <c r="VZA23" s="3741"/>
      <c r="VZB23" s="3741"/>
      <c r="VZC23" s="3741"/>
      <c r="VZD23" s="3741"/>
      <c r="VZE23" s="3741"/>
      <c r="VZF23" s="3741"/>
      <c r="VZG23" s="3741"/>
      <c r="VZH23" s="3741"/>
      <c r="VZI23" s="3741"/>
      <c r="VZJ23" s="3741"/>
      <c r="VZK23" s="3741"/>
      <c r="VZL23" s="3741"/>
      <c r="VZM23" s="3741"/>
      <c r="VZN23" s="3741"/>
      <c r="VZO23" s="3741"/>
      <c r="VZP23" s="3741"/>
      <c r="VZQ23" s="3741"/>
      <c r="VZR23" s="3741"/>
      <c r="VZS23" s="3741"/>
      <c r="VZT23" s="3741"/>
      <c r="VZU23" s="3741"/>
      <c r="VZV23" s="3741"/>
      <c r="VZW23" s="3741"/>
      <c r="VZX23" s="3741"/>
      <c r="VZY23" s="3741"/>
      <c r="VZZ23" s="3741"/>
      <c r="WAA23" s="3741"/>
      <c r="WAB23" s="3741"/>
      <c r="WAC23" s="3741"/>
      <c r="WAD23" s="3741"/>
      <c r="WAE23" s="3741"/>
      <c r="WAF23" s="3741"/>
      <c r="WAG23" s="3741"/>
      <c r="WAH23" s="3741"/>
      <c r="WAI23" s="3741"/>
      <c r="WAJ23" s="3741"/>
      <c r="WAK23" s="3741"/>
      <c r="WAL23" s="3741"/>
      <c r="WAM23" s="3741"/>
      <c r="WAN23" s="3741"/>
      <c r="WAO23" s="3741"/>
      <c r="WAP23" s="3741"/>
      <c r="WAQ23" s="3741"/>
      <c r="WAR23" s="3741"/>
      <c r="WAS23" s="3741"/>
      <c r="WAT23" s="3741"/>
      <c r="WAU23" s="3741"/>
      <c r="WAV23" s="3741"/>
      <c r="WAW23" s="3741"/>
      <c r="WAX23" s="3741"/>
      <c r="WAY23" s="3741"/>
      <c r="WAZ23" s="3741"/>
      <c r="WBA23" s="3741"/>
      <c r="WBB23" s="3741"/>
      <c r="WBC23" s="3741"/>
      <c r="WBD23" s="3741"/>
      <c r="WBE23" s="3741"/>
      <c r="WBF23" s="3741"/>
      <c r="WBG23" s="3741"/>
      <c r="WBH23" s="3741"/>
      <c r="WBI23" s="3741"/>
      <c r="WBJ23" s="3741"/>
      <c r="WBK23" s="3741"/>
      <c r="WBL23" s="3741"/>
      <c r="WBM23" s="3741"/>
      <c r="WBN23" s="3741"/>
      <c r="WBO23" s="3741"/>
      <c r="WBP23" s="3741"/>
      <c r="WBQ23" s="3741"/>
      <c r="WBR23" s="3741"/>
      <c r="WBS23" s="3741"/>
      <c r="WBT23" s="3741"/>
      <c r="WBU23" s="3741"/>
      <c r="WBV23" s="3741"/>
      <c r="WBW23" s="3741"/>
      <c r="WBX23" s="3741"/>
      <c r="WBY23" s="3741"/>
      <c r="WBZ23" s="3741"/>
      <c r="WCA23" s="3741"/>
      <c r="WCB23" s="3741"/>
      <c r="WCC23" s="3741"/>
      <c r="WCD23" s="3741"/>
      <c r="WCE23" s="3741"/>
      <c r="WCF23" s="3741"/>
      <c r="WCG23" s="3741"/>
      <c r="WCH23" s="3741"/>
      <c r="WCI23" s="3741"/>
      <c r="WCJ23" s="3741"/>
      <c r="WCK23" s="3741"/>
      <c r="WCL23" s="3741"/>
      <c r="WCM23" s="3741"/>
      <c r="WCN23" s="3741"/>
      <c r="WCO23" s="3741"/>
      <c r="WCP23" s="3741"/>
      <c r="WCQ23" s="3741"/>
      <c r="WCR23" s="3741"/>
      <c r="WCS23" s="3741"/>
      <c r="WCT23" s="3741"/>
      <c r="WCU23" s="3741"/>
      <c r="WCV23" s="3741"/>
      <c r="WCW23" s="3741"/>
      <c r="WCX23" s="3741"/>
      <c r="WCY23" s="3741"/>
      <c r="WCZ23" s="3741"/>
      <c r="WDA23" s="3741"/>
      <c r="WDB23" s="3741"/>
      <c r="WDC23" s="3741"/>
      <c r="WDD23" s="3741"/>
      <c r="WDE23" s="3741"/>
      <c r="WDF23" s="3741"/>
      <c r="WDG23" s="3741"/>
      <c r="WDH23" s="3741"/>
      <c r="WDI23" s="3741"/>
      <c r="WDJ23" s="3741"/>
      <c r="WDK23" s="3741"/>
      <c r="WDL23" s="3741"/>
      <c r="WDM23" s="3741"/>
      <c r="WDN23" s="3741"/>
      <c r="WDO23" s="3741"/>
      <c r="WDP23" s="3741"/>
      <c r="WDQ23" s="3741"/>
      <c r="WDR23" s="3741"/>
      <c r="WDS23" s="3741"/>
      <c r="WDT23" s="3741"/>
      <c r="WDU23" s="3741"/>
      <c r="WDV23" s="3741"/>
      <c r="WDW23" s="3741"/>
      <c r="WDX23" s="3741"/>
      <c r="WDY23" s="3741"/>
      <c r="WDZ23" s="3741"/>
      <c r="WEA23" s="3741"/>
      <c r="WEB23" s="3741"/>
      <c r="WEC23" s="3741"/>
      <c r="WED23" s="3741"/>
      <c r="WEE23" s="3741"/>
      <c r="WEF23" s="3741"/>
      <c r="WEG23" s="3741"/>
      <c r="WEH23" s="3741"/>
      <c r="WEI23" s="3741"/>
      <c r="WEJ23" s="3741"/>
      <c r="WEK23" s="3741"/>
      <c r="WEL23" s="3741"/>
      <c r="WEM23" s="3741"/>
      <c r="WEN23" s="3741"/>
      <c r="WEO23" s="3741"/>
      <c r="WEP23" s="3741"/>
      <c r="WEQ23" s="3741"/>
      <c r="WER23" s="3741"/>
      <c r="WES23" s="3741"/>
      <c r="WET23" s="3741"/>
      <c r="WEU23" s="3741"/>
      <c r="WEV23" s="3741"/>
      <c r="WEW23" s="3741"/>
      <c r="WEX23" s="3741"/>
      <c r="WEY23" s="3741"/>
      <c r="WEZ23" s="3741"/>
      <c r="WFA23" s="3741"/>
      <c r="WFB23" s="3741"/>
      <c r="WFC23" s="3741"/>
      <c r="WFD23" s="3741"/>
      <c r="WFE23" s="3741"/>
      <c r="WFF23" s="3741"/>
      <c r="WFG23" s="3741"/>
      <c r="WFH23" s="3741"/>
      <c r="WFI23" s="3741"/>
      <c r="WFJ23" s="3741"/>
      <c r="WFK23" s="3741"/>
      <c r="WFL23" s="3741"/>
      <c r="WFM23" s="3741"/>
      <c r="WFN23" s="3741"/>
      <c r="WFO23" s="3741"/>
      <c r="WFP23" s="3741"/>
      <c r="WFQ23" s="3741"/>
      <c r="WFR23" s="3741"/>
      <c r="WFS23" s="3741"/>
      <c r="WFT23" s="3741"/>
      <c r="WFU23" s="3741"/>
      <c r="WFV23" s="3741"/>
      <c r="WFW23" s="3741"/>
      <c r="WFX23" s="3741"/>
      <c r="WFY23" s="3741"/>
      <c r="WFZ23" s="3741"/>
      <c r="WGA23" s="3741"/>
      <c r="WGB23" s="3741"/>
      <c r="WGC23" s="3741"/>
      <c r="WGD23" s="3741"/>
      <c r="WGE23" s="3741"/>
      <c r="WGF23" s="3741"/>
      <c r="WGG23" s="3741"/>
      <c r="WGH23" s="3741"/>
      <c r="WGI23" s="3741"/>
      <c r="WGJ23" s="3741"/>
      <c r="WGK23" s="3741"/>
      <c r="WGL23" s="3741"/>
      <c r="WGM23" s="3741"/>
      <c r="WGN23" s="3741"/>
      <c r="WGO23" s="3741"/>
      <c r="WGP23" s="3741"/>
      <c r="WGQ23" s="3741"/>
      <c r="WGR23" s="3741"/>
      <c r="WGS23" s="3741"/>
      <c r="WGT23" s="3741"/>
      <c r="WGU23" s="3741"/>
      <c r="WGV23" s="3741"/>
      <c r="WGW23" s="3741"/>
      <c r="WGX23" s="3741"/>
      <c r="WGY23" s="3741"/>
      <c r="WGZ23" s="3741"/>
      <c r="WHA23" s="3741"/>
      <c r="WHB23" s="3741"/>
      <c r="WHC23" s="3741"/>
      <c r="WHD23" s="3741"/>
      <c r="WHE23" s="3741"/>
      <c r="WHF23" s="3741"/>
      <c r="WHG23" s="3741"/>
      <c r="WHH23" s="3741"/>
      <c r="WHI23" s="3741"/>
      <c r="WHJ23" s="3741"/>
      <c r="WHK23" s="3741"/>
      <c r="WHL23" s="3741"/>
      <c r="WHM23" s="3741"/>
      <c r="WHN23" s="3741"/>
      <c r="WHO23" s="3741"/>
      <c r="WHP23" s="3741"/>
      <c r="WHQ23" s="3741"/>
      <c r="WHR23" s="3741"/>
      <c r="WHS23" s="3741"/>
      <c r="WHT23" s="3741"/>
      <c r="WHU23" s="3741"/>
      <c r="WHV23" s="3741"/>
      <c r="WHW23" s="3741"/>
      <c r="WHX23" s="3741"/>
      <c r="WHY23" s="3741"/>
      <c r="WHZ23" s="3741"/>
      <c r="WIA23" s="3741"/>
      <c r="WIB23" s="3741"/>
      <c r="WIC23" s="3741"/>
      <c r="WID23" s="3741"/>
      <c r="WIE23" s="3741"/>
      <c r="WIF23" s="3741"/>
      <c r="WIG23" s="3741"/>
      <c r="WIH23" s="3741"/>
      <c r="WII23" s="3741"/>
      <c r="WIJ23" s="3741"/>
      <c r="WIK23" s="3741"/>
      <c r="WIL23" s="3741"/>
      <c r="WIM23" s="3741"/>
      <c r="WIN23" s="3741"/>
      <c r="WIO23" s="3741"/>
      <c r="WIP23" s="3741"/>
      <c r="WIQ23" s="3741"/>
      <c r="WIR23" s="3741"/>
      <c r="WIS23" s="3741"/>
      <c r="WIT23" s="3741"/>
      <c r="WIU23" s="3741"/>
      <c r="WIV23" s="3741"/>
      <c r="WIW23" s="3741"/>
      <c r="WIX23" s="3741"/>
      <c r="WIY23" s="3741"/>
      <c r="WIZ23" s="3741"/>
      <c r="WJA23" s="3741"/>
      <c r="WJB23" s="3741"/>
      <c r="WJC23" s="3741"/>
      <c r="WJD23" s="3741"/>
      <c r="WJE23" s="3741"/>
      <c r="WJF23" s="3741"/>
      <c r="WJG23" s="3741"/>
      <c r="WJH23" s="3741"/>
      <c r="WJI23" s="3741"/>
      <c r="WJJ23" s="3741"/>
      <c r="WJK23" s="3741"/>
      <c r="WJL23" s="3741"/>
      <c r="WJM23" s="3741"/>
      <c r="WJN23" s="3741"/>
      <c r="WJO23" s="3741"/>
      <c r="WJP23" s="3741"/>
      <c r="WJQ23" s="3741"/>
      <c r="WJR23" s="3741"/>
      <c r="WJS23" s="3741"/>
      <c r="WJT23" s="3741"/>
      <c r="WJU23" s="3741"/>
      <c r="WJV23" s="3741"/>
      <c r="WJW23" s="3741"/>
      <c r="WJX23" s="3741"/>
      <c r="WJY23" s="3741"/>
      <c r="WJZ23" s="3741"/>
      <c r="WKA23" s="3741"/>
      <c r="WKB23" s="3741"/>
      <c r="WKC23" s="3741"/>
      <c r="WKD23" s="3741"/>
      <c r="WKE23" s="3741"/>
      <c r="WKF23" s="3741"/>
      <c r="WKG23" s="3741"/>
      <c r="WKH23" s="3741"/>
      <c r="WKI23" s="3741"/>
      <c r="WKJ23" s="3741"/>
      <c r="WKK23" s="3741"/>
      <c r="WKL23" s="3741"/>
      <c r="WKM23" s="3741"/>
      <c r="WKN23" s="3741"/>
      <c r="WKO23" s="3741"/>
      <c r="WKP23" s="3741"/>
      <c r="WKQ23" s="3741"/>
      <c r="WKR23" s="3741"/>
      <c r="WKS23" s="3741"/>
      <c r="WKT23" s="3741"/>
      <c r="WKU23" s="3741"/>
      <c r="WKV23" s="3741"/>
      <c r="WKW23" s="3741"/>
      <c r="WKX23" s="3741"/>
      <c r="WKY23" s="3741"/>
      <c r="WKZ23" s="3741"/>
      <c r="WLA23" s="3741"/>
      <c r="WLB23" s="3741"/>
      <c r="WLC23" s="3741"/>
      <c r="WLD23" s="3741"/>
      <c r="WLE23" s="3741"/>
      <c r="WLF23" s="3741"/>
      <c r="WLG23" s="3741"/>
      <c r="WLH23" s="3741"/>
      <c r="WLI23" s="3741"/>
      <c r="WLJ23" s="3741"/>
      <c r="WLK23" s="3741"/>
      <c r="WLL23" s="3741"/>
      <c r="WLM23" s="3741"/>
      <c r="WLN23" s="3741"/>
      <c r="WLO23" s="3741"/>
      <c r="WLP23" s="3741"/>
      <c r="WLQ23" s="3741"/>
      <c r="WLR23" s="3741"/>
      <c r="WLS23" s="3741"/>
      <c r="WLT23" s="3741"/>
      <c r="WLU23" s="3741"/>
      <c r="WLV23" s="3741"/>
      <c r="WLW23" s="3741"/>
      <c r="WLX23" s="3741"/>
      <c r="WLY23" s="3741"/>
      <c r="WLZ23" s="3741"/>
      <c r="WMA23" s="3741"/>
      <c r="WMB23" s="3741"/>
      <c r="WMC23" s="3741"/>
      <c r="WMD23" s="3741"/>
      <c r="WME23" s="3741"/>
      <c r="WMF23" s="3741"/>
      <c r="WMG23" s="3741"/>
      <c r="WMH23" s="3741"/>
      <c r="WMI23" s="3741"/>
      <c r="WMJ23" s="3741"/>
      <c r="WMK23" s="3741"/>
      <c r="WML23" s="3741"/>
      <c r="WMM23" s="3741"/>
      <c r="WMN23" s="3741"/>
      <c r="WMO23" s="3741"/>
      <c r="WMP23" s="3741"/>
      <c r="WMQ23" s="3741"/>
      <c r="WMR23" s="3741"/>
      <c r="WMS23" s="3741"/>
      <c r="WMT23" s="3741"/>
      <c r="WMU23" s="3741"/>
      <c r="WMV23" s="3741"/>
      <c r="WMW23" s="3741"/>
      <c r="WMX23" s="3741"/>
      <c r="WMY23" s="3741"/>
      <c r="WMZ23" s="3741"/>
      <c r="WNA23" s="3741"/>
      <c r="WNB23" s="3741"/>
      <c r="WNC23" s="3741"/>
      <c r="WND23" s="3741"/>
      <c r="WNE23" s="3741"/>
      <c r="WNF23" s="3741"/>
      <c r="WNG23" s="3741"/>
      <c r="WNH23" s="3741"/>
      <c r="WNI23" s="3741"/>
      <c r="WNJ23" s="3741"/>
      <c r="WNK23" s="3741"/>
      <c r="WNL23" s="3741"/>
      <c r="WNM23" s="3741"/>
      <c r="WNN23" s="3741"/>
      <c r="WNO23" s="3741"/>
      <c r="WNP23" s="3741"/>
      <c r="WNQ23" s="3741"/>
      <c r="WNR23" s="3741"/>
      <c r="WNS23" s="3741"/>
      <c r="WNT23" s="3741"/>
      <c r="WNU23" s="3741"/>
      <c r="WNV23" s="3741"/>
      <c r="WNW23" s="3741"/>
      <c r="WNX23" s="3741"/>
      <c r="WNY23" s="3741"/>
      <c r="WNZ23" s="3741"/>
      <c r="WOA23" s="3741"/>
      <c r="WOB23" s="3741"/>
      <c r="WOC23" s="3741"/>
      <c r="WOD23" s="3741"/>
      <c r="WOE23" s="3741"/>
      <c r="WOF23" s="3741"/>
      <c r="WOG23" s="3741"/>
      <c r="WOH23" s="3741"/>
      <c r="WOI23" s="3741"/>
      <c r="WOJ23" s="3741"/>
      <c r="WOK23" s="3741"/>
      <c r="WOL23" s="3741"/>
      <c r="WOM23" s="3741"/>
      <c r="WON23" s="3741"/>
      <c r="WOO23" s="3741"/>
      <c r="WOP23" s="3741"/>
      <c r="WOQ23" s="3741"/>
      <c r="WOR23" s="3741"/>
      <c r="WOS23" s="3741"/>
      <c r="WOT23" s="3741"/>
      <c r="WOU23" s="3741"/>
      <c r="WOV23" s="3741"/>
      <c r="WOW23" s="3741"/>
      <c r="WOX23" s="3741"/>
      <c r="WOY23" s="3741"/>
      <c r="WOZ23" s="3741"/>
      <c r="WPA23" s="3741"/>
      <c r="WPB23" s="3741"/>
      <c r="WPC23" s="3741"/>
      <c r="WPD23" s="3741"/>
      <c r="WPE23" s="3741"/>
      <c r="WPF23" s="3741"/>
      <c r="WPG23" s="3741"/>
      <c r="WPH23" s="3741"/>
      <c r="WPI23" s="3741"/>
      <c r="WPJ23" s="3741"/>
      <c r="WPK23" s="3741"/>
      <c r="WPL23" s="3741"/>
      <c r="WPM23" s="3741"/>
      <c r="WPN23" s="3741"/>
      <c r="WPO23" s="3741"/>
      <c r="WPP23" s="3741"/>
      <c r="WPQ23" s="3741"/>
      <c r="WPR23" s="3741"/>
      <c r="WPS23" s="3741"/>
      <c r="WPT23" s="3741"/>
      <c r="WPU23" s="3741"/>
      <c r="WPV23" s="3741"/>
      <c r="WPW23" s="3741"/>
      <c r="WPX23" s="3741"/>
      <c r="WPY23" s="3741"/>
      <c r="WPZ23" s="3741"/>
      <c r="WQA23" s="3741"/>
      <c r="WQB23" s="3741"/>
      <c r="WQC23" s="3741"/>
      <c r="WQD23" s="3741"/>
      <c r="WQE23" s="3741"/>
      <c r="WQF23" s="3741"/>
      <c r="WQG23" s="3741"/>
      <c r="WQH23" s="3741"/>
      <c r="WQI23" s="3741"/>
      <c r="WQJ23" s="3741"/>
      <c r="WQK23" s="3741"/>
      <c r="WQL23" s="3741"/>
      <c r="WQM23" s="3741"/>
      <c r="WQN23" s="3741"/>
      <c r="WQO23" s="3741"/>
      <c r="WQP23" s="3741"/>
      <c r="WQQ23" s="3741"/>
      <c r="WQR23" s="3741"/>
      <c r="WQS23" s="3741"/>
      <c r="WQT23" s="3741"/>
      <c r="WQU23" s="3741"/>
      <c r="WQV23" s="3741"/>
      <c r="WQW23" s="3741"/>
      <c r="WQX23" s="3741"/>
      <c r="WQY23" s="3741"/>
      <c r="WQZ23" s="3741"/>
      <c r="WRA23" s="3741"/>
      <c r="WRB23" s="3741"/>
      <c r="WRC23" s="3741"/>
      <c r="WRD23" s="3741"/>
      <c r="WRE23" s="3741"/>
      <c r="WRF23" s="3741"/>
      <c r="WRG23" s="3741"/>
      <c r="WRH23" s="3741"/>
      <c r="WRI23" s="3741"/>
      <c r="WRJ23" s="3741"/>
      <c r="WRK23" s="3741"/>
      <c r="WRL23" s="3741"/>
      <c r="WRM23" s="3741"/>
      <c r="WRN23" s="3741"/>
      <c r="WRO23" s="3741"/>
      <c r="WRP23" s="3741"/>
      <c r="WRQ23" s="3741"/>
      <c r="WRR23" s="3741"/>
      <c r="WRS23" s="3741"/>
      <c r="WRT23" s="3741"/>
      <c r="WRU23" s="3741"/>
      <c r="WRV23" s="3741"/>
      <c r="WRW23" s="3741"/>
      <c r="WRX23" s="3741"/>
      <c r="WRY23" s="3741"/>
      <c r="WRZ23" s="3741"/>
      <c r="WSA23" s="3741"/>
      <c r="WSB23" s="3741"/>
      <c r="WSC23" s="3741"/>
      <c r="WSD23" s="3741"/>
      <c r="WSE23" s="3741"/>
      <c r="WSF23" s="3741"/>
      <c r="WSG23" s="3741"/>
      <c r="WSH23" s="3741"/>
      <c r="WSI23" s="3741"/>
      <c r="WSJ23" s="3741"/>
      <c r="WSK23" s="3741"/>
      <c r="WSL23" s="3741"/>
      <c r="WSM23" s="3741"/>
      <c r="WSN23" s="3741"/>
      <c r="WSO23" s="3741"/>
      <c r="WSP23" s="3741"/>
      <c r="WSQ23" s="3741"/>
      <c r="WSR23" s="3741"/>
      <c r="WSS23" s="3741"/>
      <c r="WST23" s="3741"/>
      <c r="WSU23" s="3741"/>
      <c r="WSV23" s="3741"/>
      <c r="WSW23" s="3741"/>
      <c r="WSX23" s="3741"/>
      <c r="WSY23" s="3741"/>
      <c r="WSZ23" s="3741"/>
      <c r="WTA23" s="3741"/>
      <c r="WTB23" s="3741"/>
      <c r="WTC23" s="3741"/>
      <c r="WTD23" s="3741"/>
      <c r="WTE23" s="3741"/>
      <c r="WTF23" s="3741"/>
      <c r="WTG23" s="3741"/>
      <c r="WTH23" s="3741"/>
      <c r="WTI23" s="3741"/>
      <c r="WTJ23" s="3741"/>
      <c r="WTK23" s="3741"/>
      <c r="WTL23" s="3741"/>
      <c r="WTM23" s="3741"/>
      <c r="WTN23" s="3741"/>
      <c r="WTO23" s="3741"/>
      <c r="WTP23" s="3741"/>
      <c r="WTQ23" s="3741"/>
      <c r="WTR23" s="3741"/>
      <c r="WTS23" s="3741"/>
      <c r="WTT23" s="3741"/>
      <c r="WTU23" s="3741"/>
      <c r="WTV23" s="3741"/>
      <c r="WTW23" s="3741"/>
      <c r="WTX23" s="3741"/>
      <c r="WTY23" s="3741"/>
      <c r="WTZ23" s="3741"/>
      <c r="WUA23" s="3741"/>
      <c r="WUB23" s="3741"/>
      <c r="WUC23" s="3741"/>
      <c r="WUD23" s="3741"/>
      <c r="WUE23" s="3741"/>
      <c r="WUF23" s="3741"/>
      <c r="WUG23" s="3741"/>
      <c r="WUH23" s="3741"/>
      <c r="WUI23" s="3741"/>
      <c r="WUJ23" s="3741"/>
      <c r="WUK23" s="3741"/>
      <c r="WUL23" s="3741"/>
      <c r="WUM23" s="3741"/>
      <c r="WUN23" s="3741"/>
      <c r="WUO23" s="3741"/>
      <c r="WUP23" s="3741"/>
      <c r="WUQ23" s="3741"/>
      <c r="WUR23" s="3741"/>
      <c r="WUS23" s="3741"/>
      <c r="WUT23" s="3741"/>
      <c r="WUU23" s="3741"/>
      <c r="WUV23" s="3741"/>
      <c r="WUW23" s="3741"/>
      <c r="WUX23" s="3741"/>
      <c r="WUY23" s="3741"/>
      <c r="WUZ23" s="3741"/>
      <c r="WVA23" s="3741"/>
      <c r="WVB23" s="3741"/>
      <c r="WVC23" s="3741"/>
      <c r="WVD23" s="3741"/>
      <c r="WVE23" s="3741"/>
      <c r="WVF23" s="3741"/>
      <c r="WVG23" s="3741"/>
      <c r="WVH23" s="3741"/>
      <c r="WVI23" s="3741"/>
      <c r="WVJ23" s="3741"/>
      <c r="WVK23" s="3741"/>
      <c r="WVL23" s="3741"/>
      <c r="WVM23" s="3741"/>
      <c r="WVN23" s="3741"/>
      <c r="WVO23" s="3741"/>
      <c r="WVP23" s="3741"/>
      <c r="WVQ23" s="3741"/>
      <c r="WVR23" s="3741"/>
      <c r="WVS23" s="3741"/>
      <c r="WVT23" s="3741"/>
      <c r="WVU23" s="3741"/>
      <c r="WVV23" s="3741"/>
      <c r="WVW23" s="3741"/>
      <c r="WVX23" s="3741"/>
      <c r="WVY23" s="3741"/>
      <c r="WVZ23" s="3741"/>
      <c r="WWA23" s="3741"/>
      <c r="WWB23" s="3741"/>
      <c r="WWC23" s="3741"/>
      <c r="WWD23" s="3741"/>
      <c r="WWE23" s="3741"/>
      <c r="WWF23" s="3741"/>
      <c r="WWG23" s="3741"/>
      <c r="WWH23" s="3741"/>
      <c r="WWI23" s="3741"/>
      <c r="WWJ23" s="3741"/>
      <c r="WWK23" s="3741"/>
      <c r="WWL23" s="3741"/>
      <c r="WWM23" s="3741"/>
      <c r="WWN23" s="3741"/>
      <c r="WWO23" s="3741"/>
      <c r="WWP23" s="3741"/>
      <c r="WWQ23" s="3741"/>
      <c r="WWR23" s="3741"/>
      <c r="WWS23" s="3741"/>
      <c r="WWT23" s="3741"/>
      <c r="WWU23" s="3741"/>
      <c r="WWV23" s="3741"/>
      <c r="WWW23" s="3741"/>
      <c r="WWX23" s="3741"/>
      <c r="WWY23" s="3741"/>
      <c r="WWZ23" s="3741"/>
      <c r="WXA23" s="3741"/>
      <c r="WXB23" s="3741"/>
      <c r="WXC23" s="3741"/>
      <c r="WXD23" s="3741"/>
      <c r="WXE23" s="3741"/>
      <c r="WXF23" s="3741"/>
      <c r="WXG23" s="3741"/>
      <c r="WXH23" s="3741"/>
      <c r="WXI23" s="3741"/>
      <c r="WXJ23" s="3741"/>
      <c r="WXK23" s="3741"/>
      <c r="WXL23" s="3741"/>
      <c r="WXM23" s="3741"/>
      <c r="WXN23" s="3741"/>
      <c r="WXO23" s="3741"/>
      <c r="WXP23" s="3741"/>
      <c r="WXQ23" s="3741"/>
      <c r="WXR23" s="3741"/>
      <c r="WXS23" s="3741"/>
      <c r="WXT23" s="3741"/>
      <c r="WXU23" s="3741"/>
      <c r="WXV23" s="3741"/>
      <c r="WXW23" s="3741"/>
      <c r="WXX23" s="3741"/>
      <c r="WXY23" s="3741"/>
      <c r="WXZ23" s="3741"/>
      <c r="WYA23" s="3741"/>
      <c r="WYB23" s="3741"/>
      <c r="WYC23" s="3741"/>
      <c r="WYD23" s="3741"/>
      <c r="WYE23" s="3741"/>
      <c r="WYF23" s="3741"/>
      <c r="WYG23" s="3741"/>
      <c r="WYH23" s="3741"/>
      <c r="WYI23" s="3741"/>
      <c r="WYJ23" s="3741"/>
      <c r="WYK23" s="3741"/>
      <c r="WYL23" s="3741"/>
      <c r="WYM23" s="3741"/>
      <c r="WYN23" s="3741"/>
      <c r="WYO23" s="3741"/>
      <c r="WYP23" s="3741"/>
      <c r="WYQ23" s="3741"/>
      <c r="WYR23" s="3741"/>
      <c r="WYS23" s="3741"/>
      <c r="WYT23" s="3741"/>
      <c r="WYU23" s="3741"/>
      <c r="WYV23" s="3741"/>
      <c r="WYW23" s="3741"/>
      <c r="WYX23" s="3741"/>
      <c r="WYY23" s="3741"/>
      <c r="WYZ23" s="3741"/>
      <c r="WZA23" s="3741"/>
      <c r="WZB23" s="3741"/>
      <c r="WZC23" s="3741"/>
      <c r="WZD23" s="3741"/>
      <c r="WZE23" s="3741"/>
      <c r="WZF23" s="3741"/>
      <c r="WZG23" s="3741"/>
      <c r="WZH23" s="3741"/>
      <c r="WZI23" s="3741"/>
      <c r="WZJ23" s="3741"/>
      <c r="WZK23" s="3741"/>
      <c r="WZL23" s="3741"/>
      <c r="WZM23" s="3741"/>
      <c r="WZN23" s="3741"/>
      <c r="WZO23" s="3741"/>
      <c r="WZP23" s="3741"/>
      <c r="WZQ23" s="3741"/>
      <c r="WZR23" s="3741"/>
      <c r="WZS23" s="3741"/>
      <c r="WZT23" s="3741"/>
      <c r="WZU23" s="3741"/>
      <c r="WZV23" s="3741"/>
      <c r="WZW23" s="3741"/>
      <c r="WZX23" s="3741"/>
      <c r="WZY23" s="3741"/>
      <c r="WZZ23" s="3741"/>
      <c r="XAA23" s="3741"/>
      <c r="XAB23" s="3741"/>
      <c r="XAC23" s="3741"/>
      <c r="XAD23" s="3741"/>
      <c r="XAE23" s="3741"/>
      <c r="XAF23" s="3741"/>
      <c r="XAG23" s="3741"/>
      <c r="XAH23" s="3741"/>
      <c r="XAI23" s="3741"/>
      <c r="XAJ23" s="3741"/>
      <c r="XAK23" s="3741"/>
      <c r="XAL23" s="3741"/>
      <c r="XAM23" s="3741"/>
      <c r="XAN23" s="3741"/>
      <c r="XAO23" s="3741"/>
      <c r="XAP23" s="3741"/>
      <c r="XAQ23" s="3741"/>
      <c r="XAR23" s="3741"/>
      <c r="XAS23" s="3741"/>
      <c r="XAT23" s="3741"/>
      <c r="XAU23" s="3741"/>
      <c r="XAV23" s="3741"/>
      <c r="XAW23" s="3741"/>
      <c r="XAX23" s="3741"/>
      <c r="XAY23" s="3741"/>
      <c r="XAZ23" s="3741"/>
      <c r="XBA23" s="3741"/>
      <c r="XBB23" s="3741"/>
      <c r="XBC23" s="3741"/>
      <c r="XBD23" s="3741"/>
      <c r="XBE23" s="3741"/>
      <c r="XBF23" s="3741"/>
      <c r="XBG23" s="3741"/>
      <c r="XBH23" s="3741"/>
      <c r="XBI23" s="3741"/>
      <c r="XBJ23" s="3741"/>
      <c r="XBK23" s="3741"/>
      <c r="XBL23" s="3741"/>
      <c r="XBM23" s="3741"/>
      <c r="XBN23" s="3741"/>
      <c r="XBO23" s="3741"/>
      <c r="XBP23" s="3741"/>
      <c r="XBQ23" s="3741"/>
      <c r="XBR23" s="3741"/>
      <c r="XBS23" s="3741"/>
      <c r="XBT23" s="3741"/>
      <c r="XBU23" s="3741"/>
      <c r="XBV23" s="3741"/>
      <c r="XBW23" s="3741"/>
      <c r="XBX23" s="3741"/>
      <c r="XBY23" s="3741"/>
      <c r="XBZ23" s="3741"/>
      <c r="XCA23" s="3741"/>
      <c r="XCB23" s="3741"/>
      <c r="XCC23" s="3741"/>
      <c r="XCD23" s="3741"/>
      <c r="XCE23" s="3741"/>
      <c r="XCF23" s="3741"/>
      <c r="XCG23" s="3741"/>
      <c r="XCH23" s="3741"/>
      <c r="XCI23" s="3741"/>
      <c r="XCJ23" s="3741"/>
      <c r="XCK23" s="3741"/>
      <c r="XCL23" s="3741"/>
      <c r="XCM23" s="3741"/>
      <c r="XCN23" s="3741"/>
      <c r="XCO23" s="3741"/>
      <c r="XCP23" s="3741"/>
      <c r="XCQ23" s="3741"/>
      <c r="XCR23" s="3741"/>
      <c r="XCS23" s="3741"/>
      <c r="XCT23" s="3741"/>
      <c r="XCU23" s="3741"/>
      <c r="XCV23" s="3741"/>
      <c r="XCW23" s="3741"/>
      <c r="XCX23" s="3741"/>
      <c r="XCY23" s="3741"/>
      <c r="XCZ23" s="3741"/>
      <c r="XDA23" s="3741"/>
      <c r="XDB23" s="3741"/>
      <c r="XDC23" s="3741"/>
      <c r="XDD23" s="3741"/>
      <c r="XDE23" s="3741"/>
      <c r="XDF23" s="3741"/>
      <c r="XDG23" s="3741"/>
      <c r="XDH23" s="3741"/>
      <c r="XDI23" s="3741"/>
      <c r="XDJ23" s="3741"/>
      <c r="XDK23" s="3741"/>
      <c r="XDL23" s="3741"/>
      <c r="XDM23" s="3741"/>
      <c r="XDN23" s="3741"/>
      <c r="XDO23" s="3741"/>
      <c r="XDP23" s="3741"/>
      <c r="XDQ23" s="3741"/>
      <c r="XDR23" s="3741"/>
      <c r="XDS23" s="3741"/>
      <c r="XDT23" s="3741"/>
      <c r="XDU23" s="3741"/>
      <c r="XDV23" s="3741"/>
      <c r="XDW23" s="3741"/>
      <c r="XDX23" s="3741"/>
      <c r="XDY23" s="3741"/>
      <c r="XDZ23" s="3741"/>
      <c r="XEA23" s="3741"/>
      <c r="XEB23" s="3741"/>
      <c r="XEC23" s="3741"/>
      <c r="XED23" s="3741"/>
      <c r="XEE23" s="3741"/>
      <c r="XEF23" s="3741"/>
      <c r="XEG23" s="3741"/>
      <c r="XEH23" s="3741"/>
      <c r="XEI23" s="3741"/>
      <c r="XEJ23" s="3741"/>
      <c r="XEK23" s="3741"/>
      <c r="XEL23" s="3741"/>
      <c r="XEM23" s="3741"/>
      <c r="XEN23" s="3741"/>
      <c r="XEO23" s="3741"/>
      <c r="XEP23" s="3741"/>
      <c r="XEQ23" s="3741"/>
      <c r="XER23" s="3741"/>
      <c r="XES23" s="3741"/>
      <c r="XET23" s="3741"/>
      <c r="XEU23" s="3741"/>
      <c r="XEV23" s="3741"/>
      <c r="XEW23" s="3741"/>
      <c r="XEX23" s="3741"/>
      <c r="XEY23" s="3741"/>
      <c r="XEZ23" s="3741"/>
      <c r="XFA23" s="3741"/>
      <c r="XFB23" s="3741"/>
      <c r="XFC23" s="3741"/>
      <c r="XFD23" s="3741"/>
    </row>
    <row r="24" spans="1:16384" ht="18" customHeight="1">
      <c r="A24" s="85"/>
      <c r="B24" s="85"/>
      <c r="C24" s="85"/>
      <c r="D24" s="85"/>
      <c r="AB24" s="81"/>
      <c r="AC24" s="81"/>
      <c r="AD24" s="81"/>
      <c r="AE24" s="81"/>
      <c r="AF24" s="81"/>
    </row>
    <row r="25" spans="1:16384" ht="18" customHeight="1">
      <c r="A25" s="85"/>
      <c r="B25" s="85"/>
      <c r="C25" s="85"/>
      <c r="D25" s="85"/>
      <c r="AB25" s="81"/>
      <c r="AC25" s="81"/>
      <c r="AD25" s="81"/>
      <c r="AE25" s="81"/>
      <c r="AF25" s="81"/>
    </row>
    <row r="26" spans="1:16384" ht="18" customHeight="1">
      <c r="A26" s="85"/>
      <c r="B26" s="85"/>
      <c r="C26" s="85"/>
      <c r="D26" s="85"/>
      <c r="AB26" s="81"/>
      <c r="AC26" s="81"/>
      <c r="AD26" s="81"/>
      <c r="AE26" s="81"/>
      <c r="AF26" s="81"/>
    </row>
    <row r="27" spans="1:16384" ht="18" customHeight="1">
      <c r="A27" s="85"/>
      <c r="B27" s="85"/>
      <c r="C27" s="85"/>
      <c r="D27" s="85"/>
      <c r="AB27" s="81"/>
      <c r="AC27" s="81"/>
      <c r="AD27" s="81"/>
      <c r="AE27" s="81"/>
      <c r="AF27" s="81"/>
    </row>
    <row r="28" spans="1:16384" ht="18" customHeight="1">
      <c r="A28" s="85"/>
      <c r="B28" s="85"/>
      <c r="C28" s="85"/>
      <c r="D28" s="85"/>
      <c r="AB28" s="81"/>
      <c r="AC28" s="81"/>
      <c r="AD28" s="81"/>
      <c r="AE28" s="81"/>
      <c r="AF28" s="81"/>
    </row>
    <row r="29" spans="1:16384" ht="27.75" customHeight="1">
      <c r="A29" s="85"/>
      <c r="B29" s="85"/>
      <c r="C29" s="85"/>
      <c r="D29" s="85"/>
      <c r="AB29" s="81"/>
      <c r="AC29" s="81"/>
      <c r="AD29" s="81"/>
      <c r="AE29" s="81"/>
      <c r="AF29" s="81"/>
    </row>
    <row r="30" spans="1:16384" ht="32.25" customHeight="1">
      <c r="A30" s="85"/>
      <c r="B30" s="85"/>
      <c r="C30" s="85"/>
      <c r="D30" s="85"/>
      <c r="AB30" s="81"/>
      <c r="AC30" s="81"/>
      <c r="AD30" s="81"/>
      <c r="AE30" s="81"/>
      <c r="AF30" s="81"/>
    </row>
    <row r="31" spans="1:16384" ht="18" customHeight="1">
      <c r="A31" s="85"/>
      <c r="B31" s="85"/>
      <c r="C31" s="85"/>
      <c r="D31" s="85"/>
      <c r="AB31" s="81"/>
      <c r="AC31" s="81"/>
      <c r="AD31" s="81"/>
      <c r="AE31" s="81"/>
      <c r="AF31" s="81"/>
    </row>
    <row r="32" spans="1:16384" s="85" customFormat="1" ht="21.75" customHeight="1"/>
    <row r="33" spans="1:31" s="85" customFormat="1" ht="18" customHeight="1"/>
    <row r="34" spans="1:31" s="280" customFormat="1" ht="12" customHeight="1">
      <c r="A34" s="3283"/>
      <c r="B34" s="3282"/>
      <c r="C34" s="3282"/>
      <c r="D34" s="424"/>
      <c r="E34" s="424"/>
      <c r="F34" s="424"/>
      <c r="G34" s="424"/>
      <c r="H34" s="424"/>
      <c r="I34" s="424"/>
      <c r="J34" s="424"/>
      <c r="K34" s="424"/>
      <c r="L34" s="424"/>
      <c r="M34" s="424"/>
      <c r="N34" s="424"/>
      <c r="O34" s="424"/>
      <c r="P34" s="424"/>
      <c r="Q34" s="424"/>
      <c r="R34" s="424"/>
      <c r="S34" s="424"/>
      <c r="T34" s="424"/>
      <c r="U34" s="424"/>
      <c r="V34" s="424"/>
      <c r="W34" s="424"/>
      <c r="X34" s="424"/>
      <c r="Y34" s="424"/>
      <c r="Z34" s="424"/>
      <c r="AA34" s="424"/>
      <c r="AB34" s="424"/>
      <c r="AC34" s="424"/>
      <c r="AD34" s="424"/>
      <c r="AE34" s="424"/>
    </row>
    <row r="35" spans="1:31" ht="15.75">
      <c r="B35" s="521"/>
    </row>
    <row r="36" spans="1:31" ht="15.75">
      <c r="B36" s="521"/>
    </row>
  </sheetData>
  <mergeCells count="6">
    <mergeCell ref="B8:B14"/>
    <mergeCell ref="I5:K5"/>
    <mergeCell ref="B4:C6"/>
    <mergeCell ref="E4:H4"/>
    <mergeCell ref="F5:H5"/>
    <mergeCell ref="I4:J4"/>
  </mergeCells>
  <conditionalFormatting sqref="E8 E13:I14 E12 E16:I16 K16 K13:K14">
    <cfRule type="cellIs" dxfId="13" priority="19" operator="equal">
      <formula>0</formula>
    </cfRule>
  </conditionalFormatting>
  <conditionalFormatting sqref="E9:I11 K9:K11">
    <cfRule type="cellIs" dxfId="12" priority="10" operator="equal">
      <formula>0</formula>
    </cfRule>
  </conditionalFormatting>
  <conditionalFormatting sqref="G6:H6">
    <cfRule type="cellIs" dxfId="11" priority="9" operator="equal">
      <formula>0</formula>
    </cfRule>
  </conditionalFormatting>
  <conditionalFormatting sqref="I6 K6">
    <cfRule type="cellIs" dxfId="10" priority="8" operator="equal">
      <formula>0</formula>
    </cfRule>
  </conditionalFormatting>
  <conditionalFormatting sqref="E6:F6 E7">
    <cfRule type="cellIs" dxfId="9" priority="7" operator="equal">
      <formula>0</formula>
    </cfRule>
  </conditionalFormatting>
  <conditionalFormatting sqref="F8:K8 J9:J16">
    <cfRule type="cellIs" dxfId="8" priority="6" operator="equal">
      <formula>0</formula>
    </cfRule>
  </conditionalFormatting>
  <conditionalFormatting sqref="F12:I12 K12">
    <cfRule type="cellIs" dxfId="7" priority="5" operator="equal">
      <formula>0</formula>
    </cfRule>
  </conditionalFormatting>
  <conditionalFormatting sqref="E15:I15 K15">
    <cfRule type="cellIs" dxfId="6" priority="3" operator="equal">
      <formula>0</formula>
    </cfRule>
  </conditionalFormatting>
  <conditionalFormatting sqref="J6">
    <cfRule type="cellIs" dxfId="5" priority="1" operator="equal">
      <formula>0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73" firstPageNumber="48" orientation="landscape" useFirstPageNumber="1" r:id="rId1"/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Лист52">
    <tabColor rgb="FF92D050"/>
  </sheetPr>
  <dimension ref="A1:AF277"/>
  <sheetViews>
    <sheetView view="pageBreakPreview" zoomScale="85" zoomScaleNormal="55" zoomScaleSheetLayoutView="85" zoomScalePageLayoutView="55" workbookViewId="0">
      <pane ySplit="1" topLeftCell="A14" activePane="bottomLeft" state="frozen"/>
      <selection pane="bottomLeft" activeCell="D17" sqref="D17:E17"/>
    </sheetView>
  </sheetViews>
  <sheetFormatPr defaultColWidth="8.42578125" defaultRowHeight="12.75"/>
  <cols>
    <col min="1" max="1" width="19.7109375" style="81" customWidth="1"/>
    <col min="2" max="2" width="30.7109375" style="81" customWidth="1"/>
    <col min="3" max="3" width="23.140625" style="81" bestFit="1" customWidth="1"/>
    <col min="4" max="5" width="55.7109375" style="81" customWidth="1"/>
    <col min="6" max="16384" width="8.42578125" style="81"/>
  </cols>
  <sheetData>
    <row r="1" spans="1:32" s="2285" customFormat="1" ht="21.75" customHeight="1">
      <c r="B1" s="2325" t="s">
        <v>490</v>
      </c>
      <c r="C1" s="2325"/>
    </row>
    <row r="2" spans="1:32" ht="21.75" customHeight="1"/>
    <row r="3" spans="1:32" s="589" customFormat="1" ht="28.5">
      <c r="A3" s="611" t="s">
        <v>2475</v>
      </c>
      <c r="B3" s="26"/>
      <c r="C3" s="26"/>
      <c r="D3" s="1192"/>
      <c r="E3" s="471"/>
    </row>
    <row r="4" spans="1:32" ht="120" customHeight="1">
      <c r="D4" s="589"/>
      <c r="E4" s="85"/>
    </row>
    <row r="5" spans="1:32" s="609" customFormat="1" ht="24.75" customHeight="1">
      <c r="A5" s="5538"/>
      <c r="B5" s="5538"/>
      <c r="C5" s="5539"/>
      <c r="D5" s="5536" t="s">
        <v>2478</v>
      </c>
      <c r="E5" s="5536"/>
    </row>
    <row r="6" spans="1:32" s="609" customFormat="1" ht="26.25">
      <c r="A6" s="5538"/>
      <c r="B6" s="5538"/>
      <c r="C6" s="5539"/>
      <c r="D6" s="2480" t="s">
        <v>2476</v>
      </c>
      <c r="E6" s="2480" t="s">
        <v>2477</v>
      </c>
    </row>
    <row r="7" spans="1:32" s="63" customFormat="1" ht="18" customHeight="1">
      <c r="A7" s="866" t="s">
        <v>723</v>
      </c>
      <c r="B7" s="624"/>
      <c r="C7" s="1081"/>
      <c r="D7" s="624"/>
      <c r="E7" s="624"/>
      <c r="F7" s="387"/>
      <c r="G7" s="387"/>
      <c r="H7" s="387"/>
      <c r="I7" s="387"/>
      <c r="J7" s="387"/>
      <c r="K7" s="387"/>
      <c r="L7" s="387"/>
      <c r="M7" s="387"/>
      <c r="N7" s="387"/>
      <c r="O7" s="387"/>
      <c r="P7" s="387"/>
      <c r="Q7" s="387"/>
      <c r="R7" s="387"/>
      <c r="S7" s="387"/>
      <c r="T7" s="387"/>
      <c r="U7" s="387"/>
      <c r="V7" s="387"/>
      <c r="W7" s="387"/>
      <c r="X7" s="387"/>
      <c r="Y7" s="387"/>
      <c r="Z7" s="387"/>
      <c r="AA7" s="387"/>
      <c r="AB7" s="387"/>
      <c r="AC7" s="387"/>
      <c r="AD7" s="387"/>
      <c r="AE7" s="387"/>
      <c r="AF7" s="387"/>
    </row>
    <row r="8" spans="1:32" s="64" customFormat="1" ht="24.75" customHeight="1">
      <c r="A8" s="5546" t="s">
        <v>2467</v>
      </c>
      <c r="B8" s="4391" t="s">
        <v>2465</v>
      </c>
      <c r="C8" s="2479" t="s">
        <v>2793</v>
      </c>
      <c r="D8" s="608">
        <f>CEILING('Перегородки база '!D52*(1+скидки_наценки!$B$31)*скидки_наценки!$D$17*скидки_наценки!$F$17/скидки_наценки!$B$4, 50)</f>
        <v>33350</v>
      </c>
      <c r="E8" s="608">
        <f>CEILING('Перегородки база '!D64*(1+скидки_наценки!$B$31)*скидки_наценки!$D$17*скидки_наценки!$F$17/скидки_наценки!$B$4, 50)</f>
        <v>20500</v>
      </c>
      <c r="F8" s="242"/>
      <c r="G8" s="242"/>
      <c r="H8" s="242"/>
      <c r="I8" s="242"/>
      <c r="J8" s="242"/>
      <c r="K8" s="242"/>
      <c r="L8" s="242"/>
      <c r="M8" s="242"/>
      <c r="N8" s="242"/>
      <c r="O8" s="242"/>
      <c r="P8" s="242"/>
      <c r="Q8" s="242"/>
      <c r="R8" s="242"/>
      <c r="S8" s="242"/>
      <c r="T8" s="242"/>
      <c r="U8" s="242"/>
      <c r="V8" s="242"/>
      <c r="W8" s="242"/>
      <c r="X8" s="242"/>
      <c r="Y8" s="242"/>
      <c r="Z8" s="242"/>
      <c r="AA8" s="242"/>
      <c r="AB8" s="242"/>
      <c r="AC8" s="242"/>
      <c r="AD8" s="242"/>
      <c r="AE8" s="242"/>
    </row>
    <row r="9" spans="1:32" s="64" customFormat="1" ht="24.75" customHeight="1">
      <c r="A9" s="5547"/>
      <c r="B9" s="4392"/>
      <c r="C9" s="2479" t="s">
        <v>2795</v>
      </c>
      <c r="D9" s="608">
        <f>CEILING(D8*1.1, 50)</f>
        <v>36700</v>
      </c>
      <c r="E9" s="608">
        <f>CEILING(E8*1.1, 50)</f>
        <v>22550</v>
      </c>
      <c r="F9" s="242"/>
      <c r="G9" s="242"/>
      <c r="H9" s="242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242"/>
    </row>
    <row r="10" spans="1:32" s="64" customFormat="1" ht="24.75" customHeight="1">
      <c r="A10" s="5547"/>
      <c r="B10" s="4392"/>
      <c r="C10" s="2479" t="s">
        <v>3243</v>
      </c>
      <c r="D10" s="608"/>
      <c r="E10" s="608"/>
      <c r="F10" s="242"/>
      <c r="G10" s="242"/>
      <c r="H10" s="242"/>
      <c r="I10" s="242"/>
      <c r="J10" s="242"/>
      <c r="K10" s="242"/>
      <c r="L10" s="242"/>
      <c r="M10" s="242"/>
      <c r="N10" s="242"/>
      <c r="O10" s="242"/>
      <c r="P10" s="242"/>
      <c r="Q10" s="242"/>
      <c r="R10" s="242"/>
      <c r="S10" s="242"/>
      <c r="T10" s="242"/>
      <c r="U10" s="242"/>
      <c r="V10" s="242"/>
      <c r="W10" s="242"/>
      <c r="X10" s="242"/>
      <c r="Y10" s="242"/>
      <c r="Z10" s="242"/>
      <c r="AA10" s="242"/>
      <c r="AB10" s="242"/>
      <c r="AC10" s="242"/>
      <c r="AD10" s="242"/>
      <c r="AE10" s="242"/>
    </row>
    <row r="11" spans="1:32" s="64" customFormat="1" ht="24.75" customHeight="1">
      <c r="A11" s="5547"/>
      <c r="B11" s="4392"/>
      <c r="C11" s="2479" t="s">
        <v>3244</v>
      </c>
      <c r="D11" s="608"/>
      <c r="E11" s="608"/>
      <c r="F11" s="242"/>
      <c r="G11" s="242"/>
      <c r="H11" s="242"/>
      <c r="I11" s="242"/>
      <c r="J11" s="242"/>
      <c r="K11" s="242"/>
      <c r="L11" s="242"/>
      <c r="M11" s="242"/>
      <c r="N11" s="242"/>
      <c r="O11" s="242"/>
      <c r="P11" s="242"/>
      <c r="Q11" s="242"/>
      <c r="R11" s="242"/>
      <c r="S11" s="242"/>
      <c r="T11" s="242"/>
      <c r="U11" s="242"/>
      <c r="V11" s="242"/>
      <c r="W11" s="242"/>
      <c r="X11" s="242"/>
      <c r="Y11" s="242"/>
      <c r="Z11" s="242"/>
      <c r="AA11" s="242"/>
      <c r="AB11" s="242"/>
      <c r="AC11" s="242"/>
      <c r="AD11" s="242"/>
      <c r="AE11" s="242"/>
    </row>
    <row r="12" spans="1:32" s="64" customFormat="1" ht="24.75" customHeight="1">
      <c r="A12" s="5547"/>
      <c r="B12" s="4392"/>
      <c r="C12" s="2479" t="s">
        <v>3245</v>
      </c>
      <c r="D12" s="608"/>
      <c r="E12" s="608"/>
      <c r="F12" s="242"/>
      <c r="G12" s="242"/>
      <c r="H12" s="242"/>
      <c r="I12" s="242"/>
      <c r="J12" s="242"/>
      <c r="K12" s="242"/>
      <c r="L12" s="242"/>
      <c r="M12" s="242"/>
      <c r="N12" s="242"/>
      <c r="O12" s="242"/>
      <c r="P12" s="242"/>
      <c r="Q12" s="242"/>
      <c r="R12" s="242"/>
      <c r="S12" s="242"/>
      <c r="T12" s="242"/>
      <c r="U12" s="242"/>
      <c r="V12" s="242"/>
      <c r="W12" s="242"/>
      <c r="X12" s="242"/>
      <c r="Y12" s="242"/>
      <c r="Z12" s="242"/>
      <c r="AA12" s="242"/>
      <c r="AB12" s="242"/>
      <c r="AC12" s="242"/>
      <c r="AD12" s="242"/>
      <c r="AE12" s="242"/>
    </row>
    <row r="13" spans="1:32" s="64" customFormat="1" ht="24.75" customHeight="1">
      <c r="A13" s="5548"/>
      <c r="B13" s="3636"/>
      <c r="C13" s="2479" t="s">
        <v>3246</v>
      </c>
      <c r="D13" s="608"/>
      <c r="E13" s="608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2"/>
      <c r="X13" s="242"/>
      <c r="Y13" s="242"/>
      <c r="Z13" s="242"/>
      <c r="AA13" s="242"/>
      <c r="AB13" s="242"/>
      <c r="AC13" s="242"/>
      <c r="AD13" s="242"/>
      <c r="AE13" s="242"/>
    </row>
    <row r="14" spans="1:32" s="63" customFormat="1" ht="18" customHeight="1">
      <c r="A14" s="866" t="s">
        <v>724</v>
      </c>
      <c r="B14" s="867"/>
      <c r="C14" s="867"/>
      <c r="D14" s="1109"/>
      <c r="E14" s="1109"/>
      <c r="F14" s="387"/>
      <c r="G14" s="387"/>
      <c r="H14" s="387"/>
      <c r="I14" s="387"/>
      <c r="J14" s="387"/>
      <c r="K14" s="387"/>
      <c r="L14" s="387"/>
      <c r="M14" s="387"/>
      <c r="N14" s="387"/>
      <c r="O14" s="387"/>
      <c r="P14" s="387"/>
      <c r="Q14" s="387"/>
      <c r="R14" s="387"/>
      <c r="S14" s="387"/>
      <c r="T14" s="387"/>
      <c r="U14" s="387"/>
      <c r="V14" s="387"/>
      <c r="W14" s="387"/>
      <c r="X14" s="387"/>
      <c r="Y14" s="387"/>
      <c r="Z14" s="387"/>
      <c r="AA14" s="387"/>
      <c r="AB14" s="387"/>
      <c r="AC14" s="387"/>
      <c r="AD14" s="387"/>
      <c r="AE14" s="387"/>
      <c r="AF14" s="387"/>
    </row>
    <row r="15" spans="1:32" s="64" customFormat="1" ht="46.5" customHeight="1">
      <c r="A15" s="5540" t="s">
        <v>2468</v>
      </c>
      <c r="B15" s="5541"/>
      <c r="C15" s="5542"/>
      <c r="D15" s="2484" t="s">
        <v>2466</v>
      </c>
      <c r="E15" s="2484" t="s">
        <v>439</v>
      </c>
      <c r="F15" s="242"/>
      <c r="G15" s="242"/>
      <c r="H15" s="242"/>
      <c r="I15" s="242"/>
      <c r="J15" s="242"/>
      <c r="K15" s="242"/>
      <c r="L15" s="242"/>
      <c r="M15" s="242"/>
      <c r="N15" s="242"/>
      <c r="O15" s="242"/>
      <c r="P15" s="242"/>
      <c r="Q15" s="242"/>
      <c r="R15" s="242"/>
      <c r="S15" s="242"/>
      <c r="T15" s="242"/>
      <c r="U15" s="242"/>
      <c r="V15" s="242"/>
      <c r="W15" s="242"/>
      <c r="X15" s="242"/>
      <c r="Y15" s="242"/>
      <c r="Z15" s="242"/>
      <c r="AA15" s="242"/>
      <c r="AB15" s="242"/>
      <c r="AC15" s="242"/>
      <c r="AD15" s="242"/>
      <c r="AE15" s="242"/>
    </row>
    <row r="16" spans="1:32" s="63" customFormat="1" ht="15.75">
      <c r="A16" s="2482" t="s">
        <v>2470</v>
      </c>
      <c r="B16" s="2483"/>
      <c r="C16" s="2483"/>
      <c r="D16" s="2478"/>
      <c r="E16" s="2478"/>
      <c r="F16" s="387"/>
      <c r="G16" s="387"/>
      <c r="H16" s="387"/>
      <c r="I16" s="387"/>
      <c r="J16" s="387"/>
      <c r="K16" s="387"/>
      <c r="L16" s="387"/>
      <c r="M16" s="387"/>
      <c r="N16" s="387"/>
      <c r="O16" s="387"/>
      <c r="P16" s="387"/>
      <c r="Q16" s="387"/>
      <c r="R16" s="387"/>
      <c r="S16" s="387"/>
      <c r="T16" s="387"/>
      <c r="U16" s="387"/>
      <c r="V16" s="387"/>
      <c r="W16" s="387"/>
      <c r="X16" s="387"/>
      <c r="Y16" s="387"/>
      <c r="Z16" s="387"/>
      <c r="AA16" s="387"/>
      <c r="AB16" s="387"/>
      <c r="AC16" s="387"/>
      <c r="AD16" s="387"/>
      <c r="AE16" s="387"/>
      <c r="AF16" s="387"/>
    </row>
    <row r="17" spans="1:32" s="64" customFormat="1" ht="81" customHeight="1">
      <c r="A17" s="5540" t="s">
        <v>2469</v>
      </c>
      <c r="B17" s="5541"/>
      <c r="C17" s="5542"/>
      <c r="D17" s="2484" t="s">
        <v>3219</v>
      </c>
      <c r="E17" s="2484" t="s">
        <v>3234</v>
      </c>
      <c r="F17" s="242"/>
      <c r="G17" s="242"/>
      <c r="H17" s="242"/>
      <c r="I17" s="242"/>
      <c r="J17" s="242"/>
      <c r="K17" s="242"/>
      <c r="L17" s="242"/>
      <c r="M17" s="242"/>
      <c r="N17" s="242"/>
      <c r="O17" s="242"/>
      <c r="P17" s="242"/>
      <c r="Q17" s="242"/>
      <c r="R17" s="242"/>
      <c r="S17" s="242"/>
      <c r="T17" s="242"/>
      <c r="U17" s="242"/>
      <c r="V17" s="242"/>
      <c r="W17" s="242"/>
      <c r="X17" s="242"/>
      <c r="Y17" s="242"/>
      <c r="Z17" s="242"/>
      <c r="AA17" s="242"/>
      <c r="AB17" s="242"/>
      <c r="AC17" s="242"/>
      <c r="AD17" s="242"/>
      <c r="AE17" s="242"/>
    </row>
    <row r="18" spans="1:32" s="63" customFormat="1" ht="15">
      <c r="A18" s="2482" t="s">
        <v>2472</v>
      </c>
      <c r="B18" s="2483"/>
      <c r="C18" s="2483"/>
      <c r="D18" s="867"/>
      <c r="E18" s="867"/>
      <c r="F18" s="387"/>
      <c r="G18" s="387"/>
      <c r="H18" s="387"/>
      <c r="I18" s="387"/>
      <c r="J18" s="387"/>
      <c r="K18" s="387"/>
      <c r="L18" s="387"/>
      <c r="M18" s="387"/>
      <c r="N18" s="387"/>
      <c r="O18" s="387"/>
      <c r="P18" s="387"/>
      <c r="Q18" s="387"/>
      <c r="R18" s="387"/>
      <c r="S18" s="387"/>
      <c r="T18" s="387"/>
      <c r="U18" s="387"/>
      <c r="V18" s="387"/>
      <c r="W18" s="387"/>
      <c r="X18" s="387"/>
      <c r="Y18" s="387"/>
      <c r="Z18" s="387"/>
      <c r="AA18" s="387"/>
      <c r="AB18" s="387"/>
      <c r="AC18" s="387"/>
      <c r="AD18" s="387"/>
      <c r="AE18" s="387"/>
      <c r="AF18" s="387"/>
    </row>
    <row r="19" spans="1:32" s="63" customFormat="1" ht="15.75">
      <c r="A19" s="5543" t="s">
        <v>2471</v>
      </c>
      <c r="B19" s="5543"/>
      <c r="C19" s="5543"/>
      <c r="D19" s="2485" t="s">
        <v>437</v>
      </c>
      <c r="E19" s="2485" t="s">
        <v>438</v>
      </c>
      <c r="F19" s="387"/>
      <c r="G19" s="387"/>
      <c r="H19" s="387"/>
      <c r="I19" s="387"/>
      <c r="J19" s="387"/>
      <c r="K19" s="387"/>
      <c r="L19" s="387"/>
      <c r="M19" s="387"/>
      <c r="N19" s="387"/>
      <c r="O19" s="387"/>
      <c r="P19" s="387"/>
      <c r="Q19" s="387"/>
      <c r="R19" s="387"/>
      <c r="S19" s="387"/>
      <c r="T19" s="387"/>
      <c r="U19" s="387"/>
      <c r="V19" s="387"/>
      <c r="W19" s="387"/>
      <c r="X19" s="387"/>
      <c r="Y19" s="387"/>
      <c r="Z19" s="387"/>
      <c r="AA19" s="387"/>
      <c r="AB19" s="387"/>
      <c r="AC19" s="387"/>
      <c r="AD19" s="387"/>
      <c r="AE19" s="387"/>
      <c r="AF19" s="387"/>
    </row>
    <row r="20" spans="1:32" s="72" customFormat="1" ht="31.5">
      <c r="A20" s="5543"/>
      <c r="B20" s="5543"/>
      <c r="C20" s="5543"/>
      <c r="D20" s="2484" t="s">
        <v>3237</v>
      </c>
      <c r="E20" s="2484" t="s">
        <v>3236</v>
      </c>
      <c r="F20" s="442"/>
      <c r="G20" s="442"/>
      <c r="H20" s="442"/>
      <c r="I20" s="442"/>
      <c r="J20" s="442"/>
      <c r="K20" s="442"/>
      <c r="L20" s="442"/>
      <c r="M20" s="442"/>
      <c r="N20" s="442"/>
      <c r="O20" s="442"/>
      <c r="P20" s="442"/>
      <c r="Q20" s="442"/>
      <c r="R20" s="442"/>
      <c r="S20" s="442"/>
      <c r="T20" s="442"/>
      <c r="U20" s="442"/>
      <c r="V20" s="442"/>
      <c r="W20" s="442"/>
      <c r="X20" s="442"/>
      <c r="Y20" s="442"/>
      <c r="Z20" s="442"/>
      <c r="AA20" s="442"/>
      <c r="AB20" s="442"/>
      <c r="AC20" s="442"/>
      <c r="AD20" s="442"/>
      <c r="AE20" s="442"/>
    </row>
    <row r="21" spans="1:32" s="609" customFormat="1" ht="31.5">
      <c r="A21" s="5543"/>
      <c r="B21" s="5543"/>
      <c r="C21" s="5543"/>
      <c r="D21" s="2484" t="s">
        <v>2485</v>
      </c>
      <c r="E21" s="2484" t="s">
        <v>2485</v>
      </c>
    </row>
    <row r="22" spans="1:32" s="63" customFormat="1" ht="15">
      <c r="A22" s="866" t="s">
        <v>2473</v>
      </c>
      <c r="B22" s="867"/>
      <c r="C22" s="867"/>
      <c r="D22" s="867"/>
      <c r="E22" s="867"/>
      <c r="F22" s="387"/>
      <c r="G22" s="387"/>
      <c r="H22" s="387"/>
      <c r="I22" s="387"/>
      <c r="J22" s="387"/>
      <c r="K22" s="387"/>
      <c r="L22" s="387"/>
      <c r="M22" s="387"/>
      <c r="N22" s="387"/>
      <c r="O22" s="387"/>
      <c r="P22" s="387"/>
      <c r="Q22" s="387"/>
      <c r="R22" s="387"/>
      <c r="S22" s="387"/>
      <c r="T22" s="387"/>
      <c r="U22" s="387"/>
      <c r="V22" s="387"/>
      <c r="W22" s="387"/>
      <c r="X22" s="387"/>
      <c r="Y22" s="387"/>
      <c r="Z22" s="387"/>
      <c r="AA22" s="387"/>
      <c r="AB22" s="387"/>
      <c r="AC22" s="387"/>
      <c r="AD22" s="387"/>
      <c r="AE22" s="387"/>
      <c r="AF22" s="387"/>
    </row>
    <row r="23" spans="1:32" s="63" customFormat="1" ht="29.25" customHeight="1">
      <c r="A23" s="5544" t="s">
        <v>2474</v>
      </c>
      <c r="B23" s="5545"/>
      <c r="C23" s="2486" t="s">
        <v>2526</v>
      </c>
      <c r="D23" s="2484" t="s">
        <v>3221</v>
      </c>
      <c r="E23" s="2484" t="s">
        <v>3222</v>
      </c>
      <c r="F23" s="387"/>
      <c r="G23" s="387"/>
      <c r="H23" s="387"/>
      <c r="I23" s="387"/>
      <c r="J23" s="387"/>
      <c r="K23" s="387"/>
      <c r="L23" s="387"/>
      <c r="M23" s="387"/>
      <c r="N23" s="387"/>
      <c r="O23" s="387"/>
      <c r="P23" s="387"/>
      <c r="Q23" s="387"/>
      <c r="R23" s="387"/>
      <c r="S23" s="387"/>
      <c r="T23" s="387"/>
      <c r="U23" s="387"/>
      <c r="V23" s="387"/>
      <c r="W23" s="387"/>
      <c r="X23" s="387"/>
      <c r="Y23" s="387"/>
      <c r="Z23" s="387"/>
      <c r="AA23" s="387"/>
      <c r="AB23" s="387"/>
      <c r="AC23" s="387"/>
      <c r="AD23" s="387"/>
      <c r="AE23" s="387"/>
      <c r="AF23" s="387"/>
    </row>
    <row r="24" spans="1:32" s="72" customFormat="1" ht="27" hidden="1" customHeight="1">
      <c r="A24" s="2486"/>
      <c r="B24" s="2486"/>
      <c r="C24" s="2486" t="s">
        <v>2527</v>
      </c>
      <c r="D24" s="2484"/>
      <c r="E24" s="2484"/>
      <c r="F24" s="442"/>
      <c r="G24" s="442"/>
      <c r="H24" s="442"/>
      <c r="I24" s="442"/>
      <c r="J24" s="442"/>
      <c r="K24" s="442"/>
      <c r="L24" s="442"/>
      <c r="M24" s="442"/>
      <c r="N24" s="442"/>
      <c r="O24" s="442"/>
      <c r="P24" s="442"/>
      <c r="Q24" s="442"/>
      <c r="R24" s="442"/>
      <c r="S24" s="442"/>
      <c r="T24" s="442"/>
      <c r="U24" s="442"/>
      <c r="V24" s="442"/>
      <c r="W24" s="442"/>
      <c r="X24" s="442"/>
      <c r="Y24" s="442"/>
      <c r="Z24" s="442"/>
      <c r="AA24" s="442"/>
      <c r="AB24" s="442"/>
      <c r="AC24" s="442"/>
      <c r="AD24" s="442"/>
      <c r="AE24" s="442"/>
    </row>
    <row r="25" spans="1:32" ht="30.75" customHeight="1">
      <c r="A25" s="589"/>
      <c r="B25" s="2326" t="s">
        <v>902</v>
      </c>
      <c r="C25" s="2326"/>
      <c r="E25" s="2326" t="s">
        <v>2477</v>
      </c>
    </row>
    <row r="26" spans="1:32" ht="21" customHeight="1">
      <c r="E26" s="85"/>
    </row>
    <row r="27" spans="1:32" ht="18" customHeight="1">
      <c r="E27" s="85"/>
    </row>
    <row r="28" spans="1:32" ht="18" customHeight="1">
      <c r="A28" s="2481"/>
      <c r="B28" s="2481"/>
      <c r="C28" s="2481"/>
      <c r="E28" s="2481"/>
    </row>
    <row r="29" spans="1:32" ht="15.75">
      <c r="A29" s="5431"/>
      <c r="B29" s="5431"/>
      <c r="C29" s="2367"/>
      <c r="E29" s="3615"/>
    </row>
    <row r="30" spans="1:32" ht="15.75">
      <c r="A30" s="606"/>
      <c r="B30" s="606"/>
      <c r="C30" s="606"/>
      <c r="E30" s="3615"/>
    </row>
    <row r="31" spans="1:32" ht="15.75">
      <c r="A31" s="606"/>
      <c r="B31" s="606"/>
      <c r="C31" s="606"/>
      <c r="E31" s="3615"/>
    </row>
    <row r="32" spans="1:32" s="92" customFormat="1" ht="18" customHeight="1">
      <c r="A32" s="607"/>
      <c r="B32" s="607"/>
      <c r="C32" s="607"/>
      <c r="E32" s="3615"/>
    </row>
    <row r="33" spans="1:5" s="92" customFormat="1" ht="18" customHeight="1">
      <c r="A33" s="606"/>
      <c r="B33" s="606"/>
      <c r="C33" s="606"/>
      <c r="E33" s="3615"/>
    </row>
    <row r="34" spans="1:5" s="92" customFormat="1" ht="18" customHeight="1">
      <c r="A34" s="78"/>
      <c r="B34" s="78"/>
      <c r="C34" s="78"/>
      <c r="E34" s="3616"/>
    </row>
    <row r="35" spans="1:5" s="92" customFormat="1" ht="18" customHeight="1">
      <c r="A35" s="78"/>
      <c r="B35" s="78"/>
      <c r="C35" s="78"/>
      <c r="E35" s="3616"/>
    </row>
    <row r="36" spans="1:5" ht="18" customHeight="1">
      <c r="A36" s="402"/>
      <c r="E36" s="85"/>
    </row>
    <row r="37" spans="1:5" ht="18" customHeight="1"/>
    <row r="38" spans="1:5" ht="18" customHeight="1">
      <c r="E38" s="3191"/>
    </row>
    <row r="39" spans="1:5" ht="12.75" customHeight="1">
      <c r="A39" s="3191" t="s">
        <v>2423</v>
      </c>
      <c r="E39" s="3614"/>
    </row>
    <row r="40" spans="1:5" ht="12.75" customHeight="1">
      <c r="A40" s="3621" t="s">
        <v>3230</v>
      </c>
      <c r="B40" s="3621"/>
      <c r="E40" s="3614"/>
    </row>
    <row r="41" spans="1:5">
      <c r="A41" s="3621" t="s">
        <v>3231</v>
      </c>
      <c r="B41" s="3621"/>
    </row>
    <row r="42" spans="1:5">
      <c r="A42" s="3620"/>
      <c r="B42" s="96"/>
      <c r="C42" s="96"/>
      <c r="D42" s="5537"/>
      <c r="E42" s="5537"/>
    </row>
    <row r="43" spans="1:5">
      <c r="A43" s="96"/>
      <c r="B43" s="96"/>
      <c r="C43" s="96"/>
      <c r="D43" s="5537"/>
      <c r="E43" s="5537"/>
    </row>
    <row r="44" spans="1:5">
      <c r="A44" s="96"/>
      <c r="B44" s="96"/>
      <c r="C44" s="96"/>
      <c r="D44" s="96"/>
      <c r="E44" s="96"/>
    </row>
    <row r="45" spans="1:5">
      <c r="A45" s="697"/>
      <c r="B45" s="697"/>
      <c r="C45" s="697"/>
      <c r="D45" s="697"/>
      <c r="E45" s="697"/>
    </row>
    <row r="46" spans="1:5" ht="30.75" customHeight="1">
      <c r="A46" s="589"/>
      <c r="B46" s="2326"/>
      <c r="C46" s="2326"/>
    </row>
    <row r="47" spans="1:5">
      <c r="A47" s="697"/>
      <c r="B47" s="697"/>
      <c r="C47" s="697"/>
      <c r="D47" s="697"/>
      <c r="E47" s="697"/>
    </row>
    <row r="48" spans="1:5">
      <c r="A48" s="697"/>
      <c r="B48" s="697"/>
      <c r="C48" s="697"/>
      <c r="D48" s="697"/>
      <c r="E48" s="697"/>
    </row>
    <row r="49" spans="1:5">
      <c r="A49" s="697"/>
      <c r="B49" s="697"/>
      <c r="C49" s="697"/>
      <c r="D49" s="697"/>
      <c r="E49" s="697"/>
    </row>
    <row r="50" spans="1:5">
      <c r="A50" s="697"/>
      <c r="B50" s="697"/>
      <c r="C50" s="697"/>
      <c r="D50" s="697"/>
      <c r="E50" s="697"/>
    </row>
    <row r="51" spans="1:5">
      <c r="A51" s="697"/>
      <c r="B51" s="697"/>
      <c r="C51" s="697"/>
      <c r="D51" s="697"/>
      <c r="E51" s="697"/>
    </row>
    <row r="52" spans="1:5">
      <c r="A52" s="697"/>
      <c r="B52" s="697"/>
      <c r="C52" s="697"/>
      <c r="D52" s="697"/>
      <c r="E52" s="697"/>
    </row>
    <row r="53" spans="1:5">
      <c r="A53" s="697"/>
      <c r="B53" s="697"/>
      <c r="C53" s="697"/>
      <c r="D53" s="697"/>
      <c r="E53" s="697"/>
    </row>
    <row r="54" spans="1:5">
      <c r="A54" s="697"/>
      <c r="B54" s="697"/>
      <c r="C54" s="697"/>
      <c r="D54" s="697"/>
      <c r="E54" s="697"/>
    </row>
    <row r="55" spans="1:5">
      <c r="A55" s="697"/>
      <c r="B55" s="697"/>
      <c r="C55" s="697"/>
      <c r="D55" s="697"/>
      <c r="E55" s="697"/>
    </row>
    <row r="56" spans="1:5">
      <c r="A56" s="697"/>
      <c r="B56" s="697"/>
      <c r="C56" s="697"/>
      <c r="D56" s="697"/>
      <c r="E56" s="697"/>
    </row>
    <row r="57" spans="1:5">
      <c r="A57" s="697"/>
      <c r="B57" s="697"/>
      <c r="C57" s="697"/>
      <c r="D57" s="697"/>
      <c r="E57" s="697"/>
    </row>
    <row r="58" spans="1:5">
      <c r="A58" s="697"/>
      <c r="B58" s="697"/>
      <c r="C58" s="697"/>
      <c r="D58" s="697"/>
      <c r="E58" s="697"/>
    </row>
    <row r="59" spans="1:5">
      <c r="A59" s="179"/>
      <c r="B59" s="179"/>
      <c r="C59" s="179"/>
      <c r="D59" s="179"/>
      <c r="E59" s="179"/>
    </row>
    <row r="60" spans="1:5">
      <c r="A60" s="179"/>
      <c r="B60" s="179"/>
      <c r="C60" s="179"/>
      <c r="D60" s="179"/>
      <c r="E60" s="179"/>
    </row>
    <row r="61" spans="1:5">
      <c r="A61" s="179"/>
      <c r="B61" s="179"/>
      <c r="C61" s="179"/>
      <c r="D61" s="179"/>
      <c r="E61" s="179"/>
    </row>
    <row r="62" spans="1:5">
      <c r="A62" s="179"/>
      <c r="B62" s="179"/>
      <c r="C62" s="179"/>
      <c r="D62" s="179"/>
      <c r="E62" s="179"/>
    </row>
    <row r="63" spans="1:5">
      <c r="A63" s="179"/>
      <c r="B63" s="179"/>
      <c r="C63" s="179"/>
      <c r="D63" s="179"/>
      <c r="E63" s="179"/>
    </row>
    <row r="64" spans="1:5">
      <c r="A64" s="179"/>
      <c r="B64" s="179"/>
      <c r="C64" s="179"/>
      <c r="D64" s="179"/>
      <c r="E64" s="179"/>
    </row>
    <row r="65" spans="1:5">
      <c r="A65" s="179"/>
      <c r="B65" s="179"/>
      <c r="C65" s="179"/>
      <c r="D65" s="179"/>
      <c r="E65" s="179"/>
    </row>
    <row r="66" spans="1:5">
      <c r="A66" s="179"/>
      <c r="B66" s="179"/>
      <c r="C66" s="179"/>
      <c r="D66" s="179"/>
      <c r="E66" s="179"/>
    </row>
    <row r="67" spans="1:5">
      <c r="A67" s="179"/>
      <c r="B67" s="179"/>
      <c r="C67" s="179"/>
      <c r="D67" s="179"/>
      <c r="E67" s="179"/>
    </row>
    <row r="68" spans="1:5">
      <c r="A68" s="179"/>
      <c r="B68" s="179"/>
      <c r="C68" s="179"/>
      <c r="D68" s="179"/>
      <c r="E68" s="179"/>
    </row>
    <row r="69" spans="1:5">
      <c r="A69" s="179"/>
      <c r="B69" s="179"/>
      <c r="C69" s="179"/>
      <c r="D69" s="179"/>
      <c r="E69" s="179"/>
    </row>
    <row r="70" spans="1:5">
      <c r="A70" s="179"/>
      <c r="B70" s="179"/>
      <c r="C70" s="179"/>
      <c r="D70" s="179"/>
      <c r="E70" s="179"/>
    </row>
    <row r="71" spans="1:5">
      <c r="A71" s="179"/>
      <c r="B71" s="179"/>
      <c r="C71" s="179"/>
      <c r="D71" s="179"/>
      <c r="E71" s="179"/>
    </row>
    <row r="72" spans="1:5">
      <c r="A72" s="179"/>
      <c r="B72" s="179"/>
      <c r="C72" s="179"/>
      <c r="D72" s="179"/>
      <c r="E72" s="179"/>
    </row>
    <row r="73" spans="1:5">
      <c r="A73" s="179"/>
      <c r="B73" s="179"/>
      <c r="C73" s="179"/>
      <c r="D73" s="179"/>
      <c r="E73" s="179"/>
    </row>
    <row r="74" spans="1:5">
      <c r="A74" s="179"/>
      <c r="B74" s="179"/>
      <c r="C74" s="179"/>
      <c r="D74" s="179"/>
      <c r="E74" s="179"/>
    </row>
    <row r="75" spans="1:5">
      <c r="A75" s="179"/>
      <c r="B75" s="179"/>
      <c r="C75" s="179"/>
      <c r="D75" s="179"/>
      <c r="E75" s="179"/>
    </row>
    <row r="76" spans="1:5">
      <c r="A76" s="179"/>
      <c r="B76" s="179"/>
      <c r="C76" s="179"/>
      <c r="D76" s="179"/>
      <c r="E76" s="179"/>
    </row>
    <row r="77" spans="1:5">
      <c r="A77" s="179"/>
      <c r="B77" s="179"/>
      <c r="C77" s="179"/>
      <c r="D77" s="179"/>
      <c r="E77" s="179"/>
    </row>
    <row r="78" spans="1:5">
      <c r="A78" s="179"/>
      <c r="B78" s="179"/>
      <c r="C78" s="179"/>
      <c r="D78" s="179"/>
      <c r="E78" s="179"/>
    </row>
    <row r="79" spans="1:5">
      <c r="A79" s="179"/>
      <c r="B79" s="179"/>
      <c r="C79" s="179"/>
      <c r="D79" s="179"/>
      <c r="E79" s="179"/>
    </row>
    <row r="80" spans="1:5">
      <c r="A80" s="179"/>
      <c r="B80" s="179"/>
      <c r="C80" s="179"/>
      <c r="D80" s="179"/>
      <c r="E80" s="179"/>
    </row>
    <row r="81" spans="1:5">
      <c r="A81" s="179"/>
      <c r="B81" s="179"/>
      <c r="C81" s="179"/>
      <c r="D81" s="179"/>
      <c r="E81" s="179"/>
    </row>
    <row r="82" spans="1:5">
      <c r="A82" s="179"/>
      <c r="B82" s="179"/>
      <c r="C82" s="179"/>
      <c r="D82" s="179"/>
      <c r="E82" s="179"/>
    </row>
    <row r="83" spans="1:5">
      <c r="A83" s="179"/>
      <c r="B83" s="179"/>
      <c r="C83" s="179"/>
      <c r="D83" s="179"/>
      <c r="E83" s="179"/>
    </row>
    <row r="84" spans="1:5">
      <c r="A84" s="179"/>
      <c r="B84" s="179"/>
      <c r="C84" s="179"/>
      <c r="D84" s="179"/>
      <c r="E84" s="179"/>
    </row>
    <row r="85" spans="1:5">
      <c r="A85" s="179"/>
      <c r="B85" s="179"/>
      <c r="C85" s="179"/>
      <c r="D85" s="179"/>
      <c r="E85" s="179"/>
    </row>
    <row r="86" spans="1:5">
      <c r="A86" s="179"/>
      <c r="B86" s="179"/>
      <c r="C86" s="179"/>
      <c r="D86" s="179"/>
      <c r="E86" s="179"/>
    </row>
    <row r="87" spans="1:5">
      <c r="A87" s="179"/>
      <c r="B87" s="179"/>
      <c r="C87" s="179"/>
      <c r="D87" s="179"/>
      <c r="E87" s="179"/>
    </row>
    <row r="88" spans="1:5">
      <c r="A88" s="179"/>
      <c r="B88" s="179"/>
      <c r="C88" s="179"/>
      <c r="D88" s="179"/>
      <c r="E88" s="179"/>
    </row>
    <row r="89" spans="1:5">
      <c r="A89" s="179"/>
      <c r="B89" s="179"/>
      <c r="C89" s="179"/>
      <c r="D89" s="179"/>
      <c r="E89" s="179"/>
    </row>
    <row r="90" spans="1:5">
      <c r="A90" s="179"/>
      <c r="B90" s="179"/>
      <c r="C90" s="179"/>
      <c r="D90" s="179"/>
      <c r="E90" s="179"/>
    </row>
    <row r="91" spans="1:5">
      <c r="A91" s="179"/>
      <c r="B91" s="179"/>
      <c r="C91" s="179"/>
      <c r="D91" s="179"/>
      <c r="E91" s="179"/>
    </row>
    <row r="92" spans="1:5">
      <c r="A92" s="179"/>
      <c r="B92" s="179"/>
      <c r="C92" s="179"/>
      <c r="D92" s="179"/>
      <c r="E92" s="179"/>
    </row>
    <row r="93" spans="1:5">
      <c r="A93" s="179"/>
      <c r="B93" s="179"/>
      <c r="C93" s="179"/>
      <c r="D93" s="179"/>
      <c r="E93" s="179"/>
    </row>
    <row r="94" spans="1:5">
      <c r="A94" s="179"/>
      <c r="B94" s="179"/>
      <c r="C94" s="179"/>
      <c r="D94" s="179"/>
      <c r="E94" s="179"/>
    </row>
    <row r="95" spans="1:5">
      <c r="A95" s="179"/>
      <c r="B95" s="179"/>
      <c r="C95" s="179"/>
      <c r="D95" s="179"/>
      <c r="E95" s="179"/>
    </row>
    <row r="96" spans="1:5">
      <c r="A96" s="179"/>
      <c r="B96" s="179"/>
      <c r="C96" s="179"/>
      <c r="D96" s="179"/>
      <c r="E96" s="179"/>
    </row>
    <row r="97" spans="1:5">
      <c r="A97" s="179"/>
      <c r="B97" s="179"/>
      <c r="C97" s="179"/>
      <c r="D97" s="179"/>
      <c r="E97" s="179"/>
    </row>
    <row r="98" spans="1:5">
      <c r="A98" s="179"/>
      <c r="B98" s="179"/>
      <c r="C98" s="179"/>
      <c r="D98" s="179"/>
      <c r="E98" s="179"/>
    </row>
    <row r="99" spans="1:5">
      <c r="A99" s="179"/>
      <c r="B99" s="179"/>
      <c r="C99" s="179"/>
      <c r="D99" s="179"/>
      <c r="E99" s="179"/>
    </row>
    <row r="100" spans="1:5">
      <c r="A100" s="179"/>
      <c r="B100" s="179"/>
      <c r="C100" s="179"/>
      <c r="D100" s="179"/>
      <c r="E100" s="179"/>
    </row>
    <row r="101" spans="1:5">
      <c r="A101" s="179"/>
      <c r="B101" s="179"/>
      <c r="C101" s="179"/>
      <c r="D101" s="179"/>
      <c r="E101" s="179"/>
    </row>
    <row r="102" spans="1:5">
      <c r="A102" s="179"/>
      <c r="B102" s="179"/>
      <c r="C102" s="179"/>
      <c r="D102" s="179"/>
      <c r="E102" s="179"/>
    </row>
    <row r="103" spans="1:5">
      <c r="A103" s="179"/>
      <c r="B103" s="179"/>
      <c r="C103" s="179"/>
      <c r="D103" s="179"/>
      <c r="E103" s="179"/>
    </row>
    <row r="104" spans="1:5">
      <c r="A104" s="179"/>
      <c r="B104" s="179"/>
      <c r="C104" s="179"/>
      <c r="D104" s="179"/>
      <c r="E104" s="179"/>
    </row>
    <row r="105" spans="1:5">
      <c r="A105" s="179"/>
      <c r="B105" s="179"/>
      <c r="C105" s="179"/>
      <c r="D105" s="179"/>
      <c r="E105" s="179"/>
    </row>
    <row r="106" spans="1:5">
      <c r="A106" s="179"/>
      <c r="B106" s="179"/>
      <c r="C106" s="179"/>
      <c r="D106" s="179"/>
      <c r="E106" s="179"/>
    </row>
    <row r="107" spans="1:5">
      <c r="A107" s="179"/>
      <c r="B107" s="179"/>
      <c r="C107" s="179"/>
      <c r="D107" s="179"/>
      <c r="E107" s="179"/>
    </row>
    <row r="108" spans="1:5">
      <c r="A108" s="179"/>
      <c r="B108" s="179"/>
      <c r="C108" s="179"/>
      <c r="D108" s="179"/>
      <c r="E108" s="179"/>
    </row>
    <row r="109" spans="1:5">
      <c r="A109" s="179"/>
      <c r="B109" s="179"/>
      <c r="C109" s="179"/>
      <c r="D109" s="179"/>
      <c r="E109" s="179"/>
    </row>
    <row r="110" spans="1:5">
      <c r="A110" s="179"/>
      <c r="B110" s="179"/>
      <c r="C110" s="179"/>
      <c r="D110" s="179"/>
      <c r="E110" s="179"/>
    </row>
    <row r="111" spans="1:5">
      <c r="A111" s="179"/>
      <c r="B111" s="179"/>
      <c r="C111" s="179"/>
      <c r="D111" s="179"/>
      <c r="E111" s="179"/>
    </row>
    <row r="112" spans="1:5">
      <c r="A112" s="179"/>
      <c r="B112" s="179"/>
      <c r="C112" s="179"/>
      <c r="D112" s="179"/>
      <c r="E112" s="179"/>
    </row>
    <row r="113" spans="1:5">
      <c r="A113" s="179"/>
      <c r="B113" s="179"/>
      <c r="C113" s="179"/>
      <c r="D113" s="179"/>
      <c r="E113" s="179"/>
    </row>
    <row r="114" spans="1:5">
      <c r="A114" s="179"/>
      <c r="B114" s="179"/>
      <c r="C114" s="179"/>
      <c r="D114" s="179"/>
      <c r="E114" s="179"/>
    </row>
    <row r="115" spans="1:5">
      <c r="A115" s="179"/>
      <c r="B115" s="179"/>
      <c r="C115" s="179"/>
      <c r="D115" s="179"/>
      <c r="E115" s="179"/>
    </row>
    <row r="116" spans="1:5">
      <c r="A116" s="179"/>
      <c r="B116" s="179"/>
      <c r="C116" s="179"/>
      <c r="D116" s="179"/>
      <c r="E116" s="179"/>
    </row>
    <row r="117" spans="1:5">
      <c r="A117" s="179"/>
      <c r="B117" s="179"/>
      <c r="C117" s="179"/>
      <c r="D117" s="179"/>
      <c r="E117" s="179"/>
    </row>
    <row r="118" spans="1:5">
      <c r="A118" s="179"/>
      <c r="B118" s="179"/>
      <c r="C118" s="179"/>
      <c r="D118" s="179"/>
      <c r="E118" s="179"/>
    </row>
    <row r="119" spans="1:5">
      <c r="A119" s="179"/>
      <c r="B119" s="179"/>
      <c r="C119" s="179"/>
      <c r="D119" s="179"/>
      <c r="E119" s="179"/>
    </row>
    <row r="120" spans="1:5">
      <c r="A120" s="179"/>
      <c r="B120" s="179"/>
      <c r="C120" s="179"/>
      <c r="D120" s="179"/>
      <c r="E120" s="179"/>
    </row>
    <row r="121" spans="1:5">
      <c r="A121" s="179"/>
      <c r="B121" s="179"/>
      <c r="C121" s="179"/>
      <c r="D121" s="179"/>
      <c r="E121" s="179"/>
    </row>
    <row r="122" spans="1:5">
      <c r="A122" s="179"/>
      <c r="B122" s="179"/>
      <c r="C122" s="179"/>
      <c r="D122" s="179"/>
      <c r="E122" s="179"/>
    </row>
    <row r="123" spans="1:5">
      <c r="A123" s="179"/>
      <c r="B123" s="179"/>
      <c r="C123" s="179"/>
      <c r="D123" s="179"/>
      <c r="E123" s="179"/>
    </row>
    <row r="124" spans="1:5">
      <c r="A124" s="179"/>
      <c r="B124" s="179"/>
      <c r="C124" s="179"/>
      <c r="D124" s="179"/>
      <c r="E124" s="179"/>
    </row>
    <row r="125" spans="1:5">
      <c r="A125" s="179"/>
      <c r="B125" s="179"/>
      <c r="C125" s="179"/>
      <c r="D125" s="179"/>
      <c r="E125" s="179"/>
    </row>
    <row r="126" spans="1:5">
      <c r="A126" s="179"/>
      <c r="B126" s="179"/>
      <c r="C126" s="179"/>
      <c r="D126" s="179"/>
      <c r="E126" s="179"/>
    </row>
    <row r="127" spans="1:5">
      <c r="A127" s="179"/>
      <c r="B127" s="179"/>
      <c r="C127" s="179"/>
      <c r="D127" s="179"/>
      <c r="E127" s="179"/>
    </row>
    <row r="128" spans="1:5">
      <c r="A128" s="179"/>
      <c r="B128" s="179"/>
      <c r="C128" s="179"/>
      <c r="D128" s="179"/>
      <c r="E128" s="179"/>
    </row>
    <row r="129" spans="1:5">
      <c r="A129" s="179"/>
      <c r="B129" s="179"/>
      <c r="C129" s="179"/>
      <c r="D129" s="179"/>
      <c r="E129" s="179"/>
    </row>
    <row r="130" spans="1:5">
      <c r="A130" s="179"/>
      <c r="B130" s="179"/>
      <c r="C130" s="179"/>
      <c r="D130" s="179"/>
      <c r="E130" s="179"/>
    </row>
    <row r="131" spans="1:5">
      <c r="A131" s="179"/>
      <c r="B131" s="179"/>
      <c r="C131" s="179"/>
      <c r="D131" s="179"/>
      <c r="E131" s="179"/>
    </row>
    <row r="132" spans="1:5">
      <c r="A132" s="179"/>
      <c r="B132" s="179"/>
      <c r="C132" s="179"/>
      <c r="D132" s="179"/>
      <c r="E132" s="179"/>
    </row>
    <row r="133" spans="1:5">
      <c r="A133" s="179"/>
      <c r="B133" s="179"/>
      <c r="C133" s="179"/>
      <c r="D133" s="179"/>
      <c r="E133" s="179"/>
    </row>
    <row r="134" spans="1:5">
      <c r="A134" s="179"/>
      <c r="B134" s="179"/>
      <c r="C134" s="179"/>
      <c r="D134" s="179"/>
      <c r="E134" s="179"/>
    </row>
    <row r="135" spans="1:5">
      <c r="A135" s="179"/>
      <c r="B135" s="179"/>
      <c r="C135" s="179"/>
      <c r="D135" s="179"/>
      <c r="E135" s="179"/>
    </row>
    <row r="136" spans="1:5">
      <c r="A136" s="179"/>
      <c r="B136" s="179"/>
      <c r="C136" s="179"/>
      <c r="D136" s="179"/>
      <c r="E136" s="179"/>
    </row>
    <row r="137" spans="1:5">
      <c r="A137" s="179"/>
      <c r="B137" s="179"/>
      <c r="C137" s="179"/>
      <c r="D137" s="179"/>
      <c r="E137" s="179"/>
    </row>
    <row r="138" spans="1:5">
      <c r="A138" s="179"/>
      <c r="B138" s="179"/>
      <c r="C138" s="179"/>
      <c r="D138" s="179"/>
      <c r="E138" s="179"/>
    </row>
    <row r="139" spans="1:5">
      <c r="A139" s="179"/>
      <c r="B139" s="179"/>
      <c r="C139" s="179"/>
      <c r="D139" s="179"/>
      <c r="E139" s="179"/>
    </row>
    <row r="140" spans="1:5">
      <c r="A140" s="179"/>
      <c r="B140" s="179"/>
      <c r="C140" s="179"/>
      <c r="D140" s="179"/>
      <c r="E140" s="179"/>
    </row>
    <row r="141" spans="1:5">
      <c r="A141" s="179"/>
      <c r="B141" s="179"/>
      <c r="C141" s="179"/>
      <c r="D141" s="179"/>
      <c r="E141" s="179"/>
    </row>
    <row r="142" spans="1:5">
      <c r="A142" s="179"/>
      <c r="B142" s="179"/>
      <c r="C142" s="179"/>
      <c r="D142" s="179"/>
      <c r="E142" s="179"/>
    </row>
    <row r="143" spans="1:5">
      <c r="A143" s="179"/>
      <c r="B143" s="179"/>
      <c r="C143" s="179"/>
      <c r="D143" s="179"/>
      <c r="E143" s="179"/>
    </row>
    <row r="144" spans="1:5">
      <c r="A144" s="179"/>
      <c r="B144" s="179"/>
      <c r="C144" s="179"/>
      <c r="D144" s="179"/>
      <c r="E144" s="179"/>
    </row>
    <row r="145" spans="1:5">
      <c r="A145" s="179"/>
      <c r="B145" s="179"/>
      <c r="C145" s="179"/>
      <c r="D145" s="179"/>
      <c r="E145" s="179"/>
    </row>
    <row r="146" spans="1:5">
      <c r="A146" s="179"/>
      <c r="B146" s="179"/>
      <c r="C146" s="179"/>
      <c r="D146" s="179"/>
      <c r="E146" s="179"/>
    </row>
    <row r="147" spans="1:5">
      <c r="A147" s="179"/>
      <c r="B147" s="179"/>
      <c r="C147" s="179"/>
      <c r="D147" s="179"/>
      <c r="E147" s="179"/>
    </row>
    <row r="148" spans="1:5">
      <c r="A148" s="179"/>
      <c r="B148" s="179"/>
      <c r="C148" s="179"/>
      <c r="D148" s="179"/>
      <c r="E148" s="179"/>
    </row>
    <row r="149" spans="1:5">
      <c r="A149" s="179"/>
      <c r="B149" s="179"/>
      <c r="C149" s="179"/>
      <c r="D149" s="179"/>
      <c r="E149" s="179"/>
    </row>
    <row r="150" spans="1:5">
      <c r="A150" s="179"/>
      <c r="B150" s="179"/>
      <c r="C150" s="179"/>
      <c r="D150" s="179"/>
      <c r="E150" s="179"/>
    </row>
    <row r="151" spans="1:5">
      <c r="A151" s="179"/>
      <c r="B151" s="179"/>
      <c r="C151" s="179"/>
      <c r="D151" s="179"/>
      <c r="E151" s="179"/>
    </row>
    <row r="152" spans="1:5">
      <c r="A152" s="179"/>
      <c r="B152" s="179"/>
      <c r="C152" s="179"/>
      <c r="D152" s="179"/>
      <c r="E152" s="179"/>
    </row>
    <row r="153" spans="1:5">
      <c r="A153" s="179"/>
      <c r="B153" s="179"/>
      <c r="C153" s="179"/>
      <c r="D153" s="179"/>
      <c r="E153" s="179"/>
    </row>
    <row r="154" spans="1:5">
      <c r="A154" s="179"/>
      <c r="B154" s="179"/>
      <c r="C154" s="179"/>
      <c r="D154" s="179"/>
      <c r="E154" s="179"/>
    </row>
    <row r="155" spans="1:5">
      <c r="A155" s="179"/>
      <c r="B155" s="179"/>
      <c r="C155" s="179"/>
      <c r="D155" s="179"/>
      <c r="E155" s="179"/>
    </row>
    <row r="156" spans="1:5">
      <c r="A156" s="179"/>
      <c r="B156" s="179"/>
      <c r="C156" s="179"/>
      <c r="D156" s="179"/>
      <c r="E156" s="179"/>
    </row>
    <row r="157" spans="1:5">
      <c r="A157" s="179"/>
      <c r="B157" s="179"/>
      <c r="C157" s="179"/>
      <c r="D157" s="179"/>
      <c r="E157" s="179"/>
    </row>
    <row r="158" spans="1:5">
      <c r="A158" s="179"/>
      <c r="B158" s="179"/>
      <c r="C158" s="179"/>
      <c r="D158" s="179"/>
      <c r="E158" s="179"/>
    </row>
    <row r="159" spans="1:5">
      <c r="A159" s="179"/>
      <c r="B159" s="179"/>
      <c r="C159" s="179"/>
      <c r="D159" s="179"/>
      <c r="E159" s="179"/>
    </row>
    <row r="160" spans="1:5">
      <c r="A160" s="179"/>
      <c r="B160" s="179"/>
      <c r="C160" s="179"/>
      <c r="D160" s="179"/>
      <c r="E160" s="179"/>
    </row>
    <row r="161" spans="1:5">
      <c r="A161" s="179"/>
      <c r="B161" s="179"/>
      <c r="C161" s="179"/>
      <c r="D161" s="179"/>
      <c r="E161" s="179"/>
    </row>
    <row r="162" spans="1:5">
      <c r="A162" s="179"/>
      <c r="B162" s="179"/>
      <c r="C162" s="179"/>
      <c r="D162" s="179"/>
      <c r="E162" s="179"/>
    </row>
    <row r="163" spans="1:5">
      <c r="A163" s="179"/>
      <c r="B163" s="179"/>
      <c r="C163" s="179"/>
      <c r="D163" s="179"/>
      <c r="E163" s="179"/>
    </row>
    <row r="164" spans="1:5">
      <c r="A164" s="179"/>
      <c r="B164" s="179"/>
      <c r="C164" s="179"/>
      <c r="D164" s="179"/>
      <c r="E164" s="179"/>
    </row>
    <row r="165" spans="1:5">
      <c r="A165" s="179"/>
      <c r="B165" s="179"/>
      <c r="C165" s="179"/>
      <c r="D165" s="179"/>
      <c r="E165" s="179"/>
    </row>
    <row r="166" spans="1:5">
      <c r="A166" s="179"/>
      <c r="B166" s="179"/>
      <c r="C166" s="179"/>
      <c r="D166" s="179"/>
      <c r="E166" s="179"/>
    </row>
    <row r="167" spans="1:5">
      <c r="A167" s="179"/>
      <c r="B167" s="179"/>
      <c r="C167" s="179"/>
      <c r="D167" s="179"/>
      <c r="E167" s="179"/>
    </row>
    <row r="168" spans="1:5">
      <c r="A168" s="179"/>
      <c r="B168" s="179"/>
      <c r="C168" s="179"/>
      <c r="D168" s="179"/>
      <c r="E168" s="179"/>
    </row>
    <row r="169" spans="1:5">
      <c r="A169" s="179"/>
      <c r="B169" s="179"/>
      <c r="C169" s="179"/>
      <c r="D169" s="179"/>
      <c r="E169" s="179"/>
    </row>
    <row r="170" spans="1:5">
      <c r="A170" s="179"/>
      <c r="B170" s="179"/>
      <c r="C170" s="179"/>
      <c r="D170" s="179"/>
      <c r="E170" s="179"/>
    </row>
    <row r="171" spans="1:5">
      <c r="A171" s="179"/>
      <c r="B171" s="179"/>
      <c r="C171" s="179"/>
      <c r="D171" s="179"/>
      <c r="E171" s="179"/>
    </row>
    <row r="172" spans="1:5">
      <c r="A172" s="179"/>
      <c r="B172" s="179"/>
      <c r="C172" s="179"/>
      <c r="D172" s="179"/>
      <c r="E172" s="179"/>
    </row>
    <row r="173" spans="1:5">
      <c r="A173" s="179"/>
      <c r="B173" s="179"/>
      <c r="C173" s="179"/>
      <c r="D173" s="179"/>
      <c r="E173" s="179"/>
    </row>
    <row r="174" spans="1:5">
      <c r="A174" s="179"/>
      <c r="B174" s="179"/>
      <c r="C174" s="179"/>
      <c r="D174" s="179"/>
      <c r="E174" s="179"/>
    </row>
    <row r="175" spans="1:5">
      <c r="A175" s="179"/>
      <c r="B175" s="179"/>
      <c r="C175" s="179"/>
      <c r="D175" s="179"/>
      <c r="E175" s="179"/>
    </row>
    <row r="176" spans="1:5">
      <c r="A176" s="179"/>
      <c r="B176" s="179"/>
      <c r="C176" s="179"/>
      <c r="D176" s="179"/>
      <c r="E176" s="179"/>
    </row>
    <row r="177" spans="1:5">
      <c r="A177" s="179"/>
      <c r="B177" s="179"/>
      <c r="C177" s="179"/>
      <c r="D177" s="179"/>
      <c r="E177" s="179"/>
    </row>
    <row r="178" spans="1:5">
      <c r="A178" s="179"/>
      <c r="B178" s="179"/>
      <c r="C178" s="179"/>
      <c r="D178" s="179"/>
      <c r="E178" s="179"/>
    </row>
    <row r="179" spans="1:5">
      <c r="A179" s="179"/>
      <c r="B179" s="179"/>
      <c r="C179" s="179"/>
      <c r="D179" s="179"/>
      <c r="E179" s="179"/>
    </row>
    <row r="180" spans="1:5">
      <c r="A180" s="179"/>
      <c r="B180" s="179"/>
      <c r="C180" s="179"/>
      <c r="D180" s="179"/>
      <c r="E180" s="179"/>
    </row>
    <row r="181" spans="1:5">
      <c r="A181" s="179"/>
      <c r="B181" s="179"/>
      <c r="C181" s="179"/>
      <c r="D181" s="179"/>
      <c r="E181" s="179"/>
    </row>
    <row r="182" spans="1:5">
      <c r="A182" s="179"/>
      <c r="B182" s="179"/>
      <c r="C182" s="179"/>
      <c r="D182" s="179"/>
      <c r="E182" s="179"/>
    </row>
    <row r="183" spans="1:5">
      <c r="A183" s="179"/>
      <c r="B183" s="179"/>
      <c r="C183" s="179"/>
      <c r="D183" s="179"/>
      <c r="E183" s="179"/>
    </row>
    <row r="184" spans="1:5">
      <c r="A184" s="179"/>
      <c r="B184" s="179"/>
      <c r="C184" s="179"/>
      <c r="D184" s="179"/>
      <c r="E184" s="179"/>
    </row>
    <row r="185" spans="1:5">
      <c r="A185" s="179"/>
      <c r="B185" s="179"/>
      <c r="C185" s="179"/>
      <c r="D185" s="179"/>
      <c r="E185" s="179"/>
    </row>
    <row r="186" spans="1:5">
      <c r="A186" s="179"/>
      <c r="B186" s="179"/>
      <c r="C186" s="179"/>
      <c r="D186" s="179"/>
      <c r="E186" s="179"/>
    </row>
    <row r="187" spans="1:5">
      <c r="A187" s="179"/>
      <c r="B187" s="179"/>
      <c r="C187" s="179"/>
      <c r="D187" s="179"/>
      <c r="E187" s="179"/>
    </row>
    <row r="188" spans="1:5">
      <c r="A188" s="179"/>
      <c r="B188" s="179"/>
      <c r="C188" s="179"/>
      <c r="D188" s="179"/>
      <c r="E188" s="179"/>
    </row>
    <row r="189" spans="1:5">
      <c r="A189" s="179"/>
      <c r="B189" s="179"/>
      <c r="C189" s="179"/>
      <c r="D189" s="179"/>
      <c r="E189" s="179"/>
    </row>
    <row r="190" spans="1:5">
      <c r="A190" s="179"/>
      <c r="B190" s="179"/>
      <c r="C190" s="179"/>
      <c r="D190" s="179"/>
      <c r="E190" s="179"/>
    </row>
    <row r="191" spans="1:5">
      <c r="A191" s="179"/>
      <c r="B191" s="179"/>
      <c r="C191" s="179"/>
      <c r="D191" s="179"/>
      <c r="E191" s="179"/>
    </row>
    <row r="192" spans="1:5">
      <c r="A192" s="179"/>
      <c r="B192" s="179"/>
      <c r="C192" s="179"/>
      <c r="D192" s="179"/>
      <c r="E192" s="179"/>
    </row>
    <row r="193" spans="1:5">
      <c r="A193" s="179"/>
      <c r="B193" s="179"/>
      <c r="C193" s="179"/>
      <c r="D193" s="179"/>
      <c r="E193" s="179"/>
    </row>
    <row r="194" spans="1:5">
      <c r="A194" s="179"/>
      <c r="B194" s="179"/>
      <c r="C194" s="179"/>
      <c r="D194" s="179"/>
      <c r="E194" s="179"/>
    </row>
    <row r="195" spans="1:5">
      <c r="A195" s="179"/>
      <c r="B195" s="179"/>
      <c r="C195" s="179"/>
      <c r="D195" s="179"/>
      <c r="E195" s="179"/>
    </row>
    <row r="196" spans="1:5">
      <c r="A196" s="179"/>
      <c r="B196" s="179"/>
      <c r="C196" s="179"/>
      <c r="D196" s="179"/>
      <c r="E196" s="179"/>
    </row>
    <row r="197" spans="1:5">
      <c r="A197" s="179"/>
      <c r="B197" s="179"/>
      <c r="C197" s="179"/>
      <c r="D197" s="179"/>
      <c r="E197" s="179"/>
    </row>
    <row r="198" spans="1:5">
      <c r="A198" s="179"/>
      <c r="B198" s="179"/>
      <c r="C198" s="179"/>
      <c r="D198" s="179"/>
      <c r="E198" s="179"/>
    </row>
    <row r="199" spans="1:5">
      <c r="A199" s="179"/>
      <c r="B199" s="179"/>
      <c r="C199" s="179"/>
      <c r="D199" s="179"/>
      <c r="E199" s="179"/>
    </row>
    <row r="200" spans="1:5">
      <c r="A200" s="179"/>
      <c r="B200" s="179"/>
      <c r="C200" s="179"/>
      <c r="D200" s="179"/>
      <c r="E200" s="179"/>
    </row>
    <row r="201" spans="1:5">
      <c r="A201" s="179"/>
      <c r="B201" s="179"/>
      <c r="C201" s="179"/>
      <c r="D201" s="179"/>
      <c r="E201" s="179"/>
    </row>
    <row r="202" spans="1:5">
      <c r="A202" s="179"/>
      <c r="B202" s="179"/>
      <c r="C202" s="179"/>
      <c r="D202" s="179"/>
      <c r="E202" s="179"/>
    </row>
    <row r="203" spans="1:5">
      <c r="A203" s="179"/>
      <c r="B203" s="179"/>
      <c r="C203" s="179"/>
      <c r="D203" s="179"/>
      <c r="E203" s="179"/>
    </row>
    <row r="204" spans="1:5">
      <c r="A204" s="179"/>
      <c r="B204" s="179"/>
      <c r="C204" s="179"/>
      <c r="D204" s="179"/>
      <c r="E204" s="179"/>
    </row>
    <row r="205" spans="1:5">
      <c r="A205" s="179"/>
      <c r="B205" s="179"/>
      <c r="C205" s="179"/>
      <c r="D205" s="179"/>
      <c r="E205" s="179"/>
    </row>
    <row r="206" spans="1:5">
      <c r="A206" s="179"/>
      <c r="B206" s="179"/>
      <c r="C206" s="179"/>
      <c r="D206" s="179"/>
      <c r="E206" s="179"/>
    </row>
    <row r="207" spans="1:5">
      <c r="A207" s="179"/>
      <c r="B207" s="179"/>
      <c r="C207" s="179"/>
      <c r="D207" s="179"/>
      <c r="E207" s="179"/>
    </row>
    <row r="208" spans="1:5">
      <c r="A208" s="179"/>
      <c r="B208" s="179"/>
      <c r="C208" s="179"/>
      <c r="D208" s="179"/>
      <c r="E208" s="179"/>
    </row>
    <row r="209" spans="1:5">
      <c r="A209" s="179"/>
      <c r="B209" s="179"/>
      <c r="C209" s="179"/>
      <c r="D209" s="179"/>
      <c r="E209" s="179"/>
    </row>
    <row r="210" spans="1:5">
      <c r="A210" s="179"/>
      <c r="B210" s="179"/>
      <c r="C210" s="179"/>
      <c r="D210" s="179"/>
      <c r="E210" s="179"/>
    </row>
    <row r="211" spans="1:5">
      <c r="A211" s="179"/>
      <c r="B211" s="179"/>
      <c r="C211" s="179"/>
      <c r="D211" s="179"/>
      <c r="E211" s="179"/>
    </row>
    <row r="212" spans="1:5">
      <c r="A212" s="179"/>
      <c r="B212" s="179"/>
      <c r="C212" s="179"/>
      <c r="D212" s="179"/>
      <c r="E212" s="179"/>
    </row>
    <row r="213" spans="1:5">
      <c r="A213" s="179"/>
      <c r="B213" s="179"/>
      <c r="C213" s="179"/>
      <c r="D213" s="179"/>
      <c r="E213" s="179"/>
    </row>
    <row r="214" spans="1:5">
      <c r="A214" s="179"/>
      <c r="B214" s="179"/>
      <c r="C214" s="179"/>
      <c r="D214" s="179"/>
      <c r="E214" s="179"/>
    </row>
    <row r="215" spans="1:5">
      <c r="A215" s="179"/>
      <c r="B215" s="179"/>
      <c r="C215" s="179"/>
      <c r="D215" s="179"/>
      <c r="E215" s="179"/>
    </row>
    <row r="216" spans="1:5">
      <c r="A216" s="179"/>
      <c r="B216" s="179"/>
      <c r="C216" s="179"/>
      <c r="D216" s="179"/>
      <c r="E216" s="179"/>
    </row>
    <row r="217" spans="1:5">
      <c r="A217" s="179"/>
      <c r="B217" s="179"/>
      <c r="C217" s="179"/>
      <c r="D217" s="179"/>
      <c r="E217" s="179"/>
    </row>
    <row r="218" spans="1:5">
      <c r="A218" s="179"/>
      <c r="B218" s="179"/>
      <c r="C218" s="179"/>
      <c r="D218" s="179"/>
      <c r="E218" s="179"/>
    </row>
    <row r="219" spans="1:5">
      <c r="A219" s="179"/>
      <c r="B219" s="179"/>
      <c r="C219" s="179"/>
      <c r="D219" s="179"/>
      <c r="E219" s="179"/>
    </row>
    <row r="220" spans="1:5">
      <c r="A220" s="179"/>
      <c r="B220" s="179"/>
      <c r="C220" s="179"/>
      <c r="D220" s="179"/>
      <c r="E220" s="179"/>
    </row>
    <row r="221" spans="1:5">
      <c r="A221" s="179"/>
      <c r="B221" s="179"/>
      <c r="C221" s="179"/>
      <c r="D221" s="179"/>
      <c r="E221" s="179"/>
    </row>
    <row r="222" spans="1:5">
      <c r="A222" s="179"/>
      <c r="B222" s="179"/>
      <c r="C222" s="179"/>
      <c r="D222" s="179"/>
      <c r="E222" s="179"/>
    </row>
    <row r="223" spans="1:5">
      <c r="A223" s="179"/>
      <c r="B223" s="179"/>
      <c r="C223" s="179"/>
      <c r="D223" s="179"/>
      <c r="E223" s="179"/>
    </row>
    <row r="224" spans="1:5">
      <c r="A224" s="179"/>
      <c r="B224" s="179"/>
      <c r="C224" s="179"/>
      <c r="D224" s="179"/>
      <c r="E224" s="179"/>
    </row>
    <row r="225" spans="1:5">
      <c r="A225" s="179"/>
      <c r="B225" s="179"/>
      <c r="C225" s="179"/>
      <c r="D225" s="179"/>
      <c r="E225" s="179"/>
    </row>
    <row r="226" spans="1:5">
      <c r="A226" s="179"/>
      <c r="B226" s="179"/>
      <c r="C226" s="179"/>
      <c r="D226" s="179"/>
      <c r="E226" s="179"/>
    </row>
    <row r="227" spans="1:5">
      <c r="A227" s="179"/>
      <c r="B227" s="179"/>
      <c r="C227" s="179"/>
      <c r="D227" s="179"/>
      <c r="E227" s="179"/>
    </row>
    <row r="228" spans="1:5">
      <c r="A228" s="179"/>
      <c r="B228" s="179"/>
      <c r="C228" s="179"/>
      <c r="D228" s="179"/>
      <c r="E228" s="179"/>
    </row>
    <row r="229" spans="1:5">
      <c r="A229" s="179"/>
      <c r="B229" s="179"/>
      <c r="C229" s="179"/>
      <c r="D229" s="179"/>
      <c r="E229" s="179"/>
    </row>
    <row r="230" spans="1:5">
      <c r="A230" s="179"/>
      <c r="B230" s="179"/>
      <c r="C230" s="179"/>
      <c r="D230" s="179"/>
      <c r="E230" s="179"/>
    </row>
    <row r="231" spans="1:5">
      <c r="A231" s="179"/>
      <c r="B231" s="179"/>
      <c r="C231" s="179"/>
      <c r="D231" s="179"/>
      <c r="E231" s="179"/>
    </row>
    <row r="232" spans="1:5">
      <c r="A232" s="179"/>
      <c r="B232" s="179"/>
      <c r="C232" s="179"/>
      <c r="D232" s="179"/>
      <c r="E232" s="179"/>
    </row>
    <row r="233" spans="1:5">
      <c r="A233" s="179"/>
      <c r="B233" s="179"/>
      <c r="C233" s="179"/>
      <c r="D233" s="179"/>
      <c r="E233" s="179"/>
    </row>
    <row r="234" spans="1:5">
      <c r="A234" s="179"/>
      <c r="B234" s="179"/>
      <c r="C234" s="179"/>
      <c r="D234" s="179"/>
      <c r="E234" s="179"/>
    </row>
    <row r="235" spans="1:5">
      <c r="A235" s="179"/>
      <c r="B235" s="179"/>
      <c r="C235" s="179"/>
      <c r="D235" s="179"/>
      <c r="E235" s="179"/>
    </row>
    <row r="236" spans="1:5">
      <c r="A236" s="179"/>
      <c r="B236" s="179"/>
      <c r="C236" s="179"/>
      <c r="D236" s="179"/>
      <c r="E236" s="179"/>
    </row>
    <row r="237" spans="1:5">
      <c r="A237" s="179"/>
      <c r="B237" s="179"/>
      <c r="C237" s="179"/>
      <c r="D237" s="179"/>
      <c r="E237" s="179"/>
    </row>
    <row r="238" spans="1:5">
      <c r="A238" s="179"/>
      <c r="B238" s="179"/>
      <c r="C238" s="179"/>
      <c r="D238" s="179"/>
      <c r="E238" s="179"/>
    </row>
    <row r="239" spans="1:5">
      <c r="A239" s="179"/>
      <c r="B239" s="179"/>
      <c r="C239" s="179"/>
      <c r="D239" s="179"/>
      <c r="E239" s="179"/>
    </row>
    <row r="240" spans="1:5">
      <c r="A240" s="179"/>
      <c r="B240" s="179"/>
      <c r="C240" s="179"/>
      <c r="D240" s="179"/>
      <c r="E240" s="179"/>
    </row>
    <row r="241" spans="1:5">
      <c r="A241" s="179"/>
      <c r="B241" s="179"/>
      <c r="C241" s="179"/>
      <c r="D241" s="179"/>
      <c r="E241" s="179"/>
    </row>
    <row r="242" spans="1:5">
      <c r="A242" s="179"/>
      <c r="B242" s="179"/>
      <c r="C242" s="179"/>
      <c r="D242" s="179"/>
      <c r="E242" s="179"/>
    </row>
    <row r="243" spans="1:5">
      <c r="A243" s="179"/>
      <c r="B243" s="179"/>
      <c r="C243" s="179"/>
      <c r="D243" s="179"/>
      <c r="E243" s="179"/>
    </row>
    <row r="244" spans="1:5">
      <c r="A244" s="179"/>
      <c r="B244" s="179"/>
      <c r="C244" s="179"/>
      <c r="D244" s="179"/>
      <c r="E244" s="179"/>
    </row>
    <row r="245" spans="1:5">
      <c r="A245" s="179"/>
      <c r="B245" s="179"/>
      <c r="C245" s="179"/>
      <c r="D245" s="179"/>
      <c r="E245" s="179"/>
    </row>
    <row r="246" spans="1:5">
      <c r="A246" s="179"/>
      <c r="B246" s="179"/>
      <c r="C246" s="179"/>
      <c r="D246" s="179"/>
      <c r="E246" s="179"/>
    </row>
    <row r="247" spans="1:5">
      <c r="A247" s="179"/>
      <c r="B247" s="179"/>
      <c r="C247" s="179"/>
      <c r="D247" s="179"/>
      <c r="E247" s="179"/>
    </row>
    <row r="248" spans="1:5">
      <c r="A248" s="179"/>
      <c r="B248" s="179"/>
      <c r="C248" s="179"/>
      <c r="D248" s="179"/>
      <c r="E248" s="179"/>
    </row>
    <row r="249" spans="1:5">
      <c r="A249" s="179"/>
      <c r="B249" s="179"/>
      <c r="C249" s="179"/>
      <c r="D249" s="179"/>
      <c r="E249" s="179"/>
    </row>
    <row r="250" spans="1:5">
      <c r="A250" s="179"/>
      <c r="B250" s="179"/>
      <c r="C250" s="179"/>
      <c r="D250" s="179"/>
      <c r="E250" s="179"/>
    </row>
    <row r="251" spans="1:5">
      <c r="A251" s="179"/>
      <c r="B251" s="179"/>
      <c r="C251" s="179"/>
      <c r="D251" s="179"/>
      <c r="E251" s="179"/>
    </row>
    <row r="252" spans="1:5">
      <c r="A252" s="179"/>
      <c r="B252" s="179"/>
      <c r="C252" s="179"/>
      <c r="D252" s="179"/>
      <c r="E252" s="179"/>
    </row>
    <row r="253" spans="1:5">
      <c r="A253" s="179"/>
      <c r="B253" s="179"/>
      <c r="C253" s="179"/>
      <c r="D253" s="179"/>
      <c r="E253" s="179"/>
    </row>
    <row r="254" spans="1:5">
      <c r="A254" s="179"/>
      <c r="B254" s="179"/>
      <c r="C254" s="179"/>
      <c r="D254" s="179"/>
      <c r="E254" s="179"/>
    </row>
    <row r="255" spans="1:5">
      <c r="A255" s="179"/>
      <c r="B255" s="179"/>
      <c r="C255" s="179"/>
      <c r="D255" s="179"/>
      <c r="E255" s="179"/>
    </row>
    <row r="256" spans="1:5">
      <c r="A256" s="179"/>
      <c r="B256" s="179"/>
      <c r="C256" s="179"/>
      <c r="D256" s="179"/>
      <c r="E256" s="179"/>
    </row>
    <row r="257" spans="1:5">
      <c r="A257" s="179"/>
      <c r="B257" s="179"/>
      <c r="C257" s="179"/>
      <c r="D257" s="179"/>
      <c r="E257" s="179"/>
    </row>
    <row r="258" spans="1:5">
      <c r="A258" s="179"/>
      <c r="B258" s="179"/>
      <c r="C258" s="179"/>
      <c r="D258" s="179"/>
      <c r="E258" s="179"/>
    </row>
    <row r="259" spans="1:5">
      <c r="A259" s="179"/>
      <c r="B259" s="179"/>
      <c r="C259" s="179"/>
      <c r="D259" s="179"/>
      <c r="E259" s="179"/>
    </row>
    <row r="260" spans="1:5">
      <c r="A260" s="179"/>
      <c r="B260" s="179"/>
      <c r="C260" s="179"/>
      <c r="D260" s="179"/>
      <c r="E260" s="179"/>
    </row>
    <row r="261" spans="1:5">
      <c r="A261" s="179"/>
      <c r="B261" s="179"/>
      <c r="C261" s="179"/>
      <c r="D261" s="179"/>
      <c r="E261" s="179"/>
    </row>
    <row r="262" spans="1:5">
      <c r="A262" s="179"/>
      <c r="B262" s="179"/>
      <c r="C262" s="179"/>
      <c r="D262" s="179"/>
      <c r="E262" s="179"/>
    </row>
    <row r="263" spans="1:5">
      <c r="A263" s="179"/>
      <c r="B263" s="179"/>
      <c r="C263" s="179"/>
      <c r="D263" s="179"/>
      <c r="E263" s="179"/>
    </row>
    <row r="264" spans="1:5">
      <c r="A264" s="179"/>
      <c r="B264" s="179"/>
      <c r="C264" s="179"/>
      <c r="D264" s="179"/>
      <c r="E264" s="179"/>
    </row>
    <row r="265" spans="1:5">
      <c r="A265" s="179"/>
      <c r="B265" s="179"/>
      <c r="C265" s="179"/>
      <c r="D265" s="179"/>
      <c r="E265" s="179"/>
    </row>
    <row r="266" spans="1:5">
      <c r="A266" s="179"/>
      <c r="B266" s="179"/>
      <c r="C266" s="179"/>
      <c r="D266" s="179"/>
      <c r="E266" s="179"/>
    </row>
    <row r="267" spans="1:5">
      <c r="A267" s="179"/>
      <c r="B267" s="179"/>
      <c r="C267" s="179"/>
      <c r="D267" s="179"/>
      <c r="E267" s="179"/>
    </row>
    <row r="268" spans="1:5">
      <c r="A268" s="179"/>
      <c r="B268" s="179"/>
      <c r="C268" s="179"/>
      <c r="D268" s="179"/>
      <c r="E268" s="179"/>
    </row>
    <row r="269" spans="1:5">
      <c r="A269" s="179"/>
      <c r="B269" s="179"/>
      <c r="C269" s="179"/>
      <c r="D269" s="179"/>
      <c r="E269" s="179"/>
    </row>
    <row r="270" spans="1:5">
      <c r="A270" s="179"/>
      <c r="B270" s="179"/>
      <c r="C270" s="179"/>
      <c r="D270" s="179"/>
      <c r="E270" s="179"/>
    </row>
    <row r="271" spans="1:5">
      <c r="A271" s="179"/>
      <c r="B271" s="179"/>
      <c r="C271" s="179"/>
      <c r="D271" s="179"/>
      <c r="E271" s="179"/>
    </row>
    <row r="272" spans="1:5">
      <c r="A272" s="179"/>
      <c r="B272" s="179"/>
      <c r="C272" s="179"/>
      <c r="D272" s="179"/>
      <c r="E272" s="179"/>
    </row>
    <row r="273" spans="1:5">
      <c r="A273" s="179"/>
      <c r="B273" s="179"/>
      <c r="C273" s="179"/>
      <c r="D273" s="179"/>
      <c r="E273" s="179"/>
    </row>
    <row r="274" spans="1:5">
      <c r="A274" s="179"/>
      <c r="B274" s="179"/>
      <c r="C274" s="179"/>
      <c r="D274" s="179"/>
      <c r="E274" s="179"/>
    </row>
    <row r="275" spans="1:5">
      <c r="A275" s="179"/>
      <c r="B275" s="179"/>
      <c r="C275" s="179"/>
      <c r="D275" s="179"/>
      <c r="E275" s="179"/>
    </row>
    <row r="276" spans="1:5">
      <c r="A276" s="179"/>
      <c r="B276" s="179"/>
      <c r="C276" s="179"/>
      <c r="D276" s="179"/>
      <c r="E276" s="179"/>
    </row>
    <row r="277" spans="1:5">
      <c r="A277" s="179"/>
      <c r="B277" s="179"/>
      <c r="C277" s="179"/>
      <c r="D277" s="179"/>
      <c r="E277" s="179"/>
    </row>
  </sheetData>
  <mergeCells count="11">
    <mergeCell ref="D5:E5"/>
    <mergeCell ref="E42:E43"/>
    <mergeCell ref="D42:D43"/>
    <mergeCell ref="A29:B29"/>
    <mergeCell ref="A5:C6"/>
    <mergeCell ref="A17:C17"/>
    <mergeCell ref="A19:C21"/>
    <mergeCell ref="A15:C15"/>
    <mergeCell ref="A23:B23"/>
    <mergeCell ref="B8:B12"/>
    <mergeCell ref="A8:A13"/>
  </mergeCells>
  <hyperlinks>
    <hyperlink ref="B1" location="Содержание!A1" display="Вернуться в содержание"/>
  </hyperlinks>
  <pageMargins left="0.35433070866141736" right="0.23622047244094491" top="0.59055118110236227" bottom="0.31496062992125984" header="0.59055118110236227" footer="0.31496062992125984"/>
  <pageSetup paperSize="9" scale="54" firstPageNumber="50" orientation="landscape" useFirstPageNumber="1" r:id="rId1"/>
  <headerFooter>
    <oddFooter>&amp;L&amp;P&amp;R&amp;18&amp;K00-046&amp;G</oddFooter>
  </headerFooter>
  <rowBreaks count="1" manualBreakCount="1">
    <brk id="45" max="4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B0F0"/>
  </sheetPr>
  <dimension ref="A1:V113"/>
  <sheetViews>
    <sheetView zoomScale="90" zoomScaleNormal="90" workbookViewId="0">
      <selection activeCell="C123" sqref="C123"/>
    </sheetView>
  </sheetViews>
  <sheetFormatPr defaultColWidth="9.140625" defaultRowHeight="15" outlineLevelRow="3" outlineLevelCol="1"/>
  <cols>
    <col min="1" max="1" width="16.28515625" style="589" customWidth="1"/>
    <col min="2" max="2" width="21.85546875" style="589" customWidth="1"/>
    <col min="3" max="3" width="15.5703125" style="589" customWidth="1"/>
    <col min="4" max="4" width="10.140625" style="589" hidden="1" customWidth="1" outlineLevel="1"/>
    <col min="5" max="6" width="10.28515625" style="1277" hidden="1" customWidth="1" outlineLevel="1"/>
    <col min="7" max="7" width="10.28515625" style="1250" customWidth="1" collapsed="1"/>
    <col min="8" max="8" width="10.5703125" style="1353" bestFit="1" customWidth="1"/>
    <col min="9" max="9" width="6.7109375" style="1354" customWidth="1"/>
    <col min="10" max="10" width="17" style="589" customWidth="1"/>
    <col min="11" max="11" width="10" style="1232" hidden="1" customWidth="1" outlineLevel="1"/>
    <col min="12" max="12" width="8.7109375" style="1232" hidden="1" customWidth="1" outlineLevel="1"/>
    <col min="13" max="13" width="13.140625" style="1232" bestFit="1" customWidth="1" collapsed="1"/>
    <col min="14" max="14" width="10.5703125" style="1232" hidden="1" customWidth="1" outlineLevel="1"/>
    <col min="15" max="15" width="8.7109375" style="1232" hidden="1" customWidth="1" outlineLevel="1"/>
    <col min="16" max="16" width="14.28515625" style="589" customWidth="1" collapsed="1"/>
    <col min="17" max="18" width="10" style="1232" hidden="1" customWidth="1" outlineLevel="1"/>
    <col min="19" max="19" width="19.140625" style="589" customWidth="1" collapsed="1"/>
    <col min="20" max="20" width="10" style="1232" hidden="1" customWidth="1" outlineLevel="1"/>
    <col min="21" max="21" width="8.7109375" style="1232" hidden="1" customWidth="1" outlineLevel="1"/>
    <col min="22" max="22" width="9.140625" style="589" collapsed="1"/>
    <col min="23" max="16384" width="9.140625" style="589"/>
  </cols>
  <sheetData>
    <row r="1" spans="1:21">
      <c r="C1" s="2185" t="s">
        <v>2263</v>
      </c>
      <c r="E1" s="1251" t="s">
        <v>1632</v>
      </c>
      <c r="F1" s="1232" t="s">
        <v>2193</v>
      </c>
    </row>
    <row r="2" spans="1:21">
      <c r="E2" s="589"/>
      <c r="F2" s="589"/>
      <c r="G2" s="589"/>
      <c r="H2" s="589"/>
      <c r="I2" s="589"/>
      <c r="K2" s="589"/>
      <c r="L2" s="589"/>
      <c r="M2" s="589"/>
      <c r="N2" s="589"/>
      <c r="O2" s="589"/>
      <c r="Q2" s="589"/>
      <c r="R2" s="589"/>
      <c r="T2" s="589"/>
      <c r="U2" s="589"/>
    </row>
    <row r="3" spans="1:21" s="143" customFormat="1">
      <c r="C3" s="2186" t="s">
        <v>2264</v>
      </c>
      <c r="D3" s="2248">
        <f>H3*(1-D5)</f>
        <v>7472.5</v>
      </c>
      <c r="E3" s="2187"/>
      <c r="H3" s="2187">
        <v>12250</v>
      </c>
      <c r="K3" s="2187">
        <v>14900</v>
      </c>
      <c r="N3" s="2187">
        <v>8845</v>
      </c>
      <c r="Q3" s="2187">
        <v>9775</v>
      </c>
      <c r="T3" s="2187">
        <v>9775</v>
      </c>
    </row>
    <row r="4" spans="1:21" hidden="1" outlineLevel="1">
      <c r="C4" s="22" t="s">
        <v>2131</v>
      </c>
      <c r="D4" s="22"/>
      <c r="E4" s="1336"/>
      <c r="F4" s="1336"/>
      <c r="G4" s="1324"/>
      <c r="H4" s="1354"/>
    </row>
    <row r="5" spans="1:21" s="1234" customFormat="1" ht="12.75" hidden="1" outlineLevel="2">
      <c r="C5" s="1235" t="s">
        <v>1610</v>
      </c>
      <c r="D5" s="1236">
        <v>0.39</v>
      </c>
      <c r="E5" s="1325">
        <f>E7/D7</f>
        <v>1.639344262295082</v>
      </c>
      <c r="F5" s="1325"/>
      <c r="G5" s="1325"/>
      <c r="H5" s="1355"/>
      <c r="I5" s="1356"/>
      <c r="J5" s="1309" t="s">
        <v>1611</v>
      </c>
      <c r="K5" s="1326"/>
      <c r="L5" s="1311"/>
      <c r="M5" s="2250" t="s">
        <v>2267</v>
      </c>
      <c r="N5" s="2250"/>
      <c r="O5" s="2250"/>
      <c r="P5" s="1261" t="s">
        <v>1612</v>
      </c>
      <c r="Q5" s="1327"/>
      <c r="R5" s="1263"/>
      <c r="S5" s="1268" t="s">
        <v>1613</v>
      </c>
      <c r="T5" s="1328"/>
      <c r="U5" s="1290"/>
    </row>
    <row r="6" spans="1:21" s="39" customFormat="1" ht="33.75" hidden="1" outlineLevel="2">
      <c r="A6" s="1352" t="s">
        <v>1972</v>
      </c>
      <c r="C6" s="1306" t="s">
        <v>1616</v>
      </c>
      <c r="D6" s="1306" t="s">
        <v>2136</v>
      </c>
      <c r="E6" s="1306" t="s">
        <v>2135</v>
      </c>
      <c r="F6" s="1306" t="s">
        <v>2137</v>
      </c>
      <c r="G6" s="1306" t="s">
        <v>2134</v>
      </c>
      <c r="H6" s="1306" t="s">
        <v>2139</v>
      </c>
      <c r="I6" s="1306" t="s">
        <v>2138</v>
      </c>
      <c r="J6" s="1312" t="s">
        <v>1616</v>
      </c>
      <c r="K6" s="1312" t="s">
        <v>1618</v>
      </c>
      <c r="L6" s="1312" t="s">
        <v>1691</v>
      </c>
      <c r="M6" s="2251"/>
      <c r="N6" s="2251"/>
      <c r="O6" s="2251"/>
      <c r="P6" s="1264" t="s">
        <v>1616</v>
      </c>
      <c r="Q6" s="1264" t="s">
        <v>1618</v>
      </c>
      <c r="R6" s="1264" t="s">
        <v>1691</v>
      </c>
      <c r="S6" s="1270" t="s">
        <v>1616</v>
      </c>
      <c r="T6" s="1270" t="s">
        <v>1618</v>
      </c>
      <c r="U6" s="1270" t="s">
        <v>1620</v>
      </c>
    </row>
    <row r="7" spans="1:21" hidden="1" outlineLevel="2">
      <c r="A7" s="1340"/>
      <c r="B7" s="589">
        <v>1</v>
      </c>
      <c r="C7" s="1243" t="str">
        <f t="shared" ref="C7:C36" si="0">C41</f>
        <v>Porte 01</v>
      </c>
      <c r="D7" s="1257">
        <f t="shared" ref="D7:D12" si="1">D41+$D$3</f>
        <v>20343.5</v>
      </c>
      <c r="E7" s="1337">
        <f t="shared" ref="E7:E36" si="2">E41+$H$3</f>
        <v>33350</v>
      </c>
      <c r="F7" s="1257">
        <f t="shared" ref="F7:F12" si="3">F41+$D$3</f>
        <v>15829.5</v>
      </c>
      <c r="G7" s="1246">
        <v>25950</v>
      </c>
      <c r="H7" s="1357">
        <f>G7-E7</f>
        <v>-7400</v>
      </c>
      <c r="I7" s="1358">
        <f>G7/E7-1</f>
        <v>-0.2218890554722639</v>
      </c>
      <c r="J7" s="1313" t="str">
        <f>J41</f>
        <v>Planum</v>
      </c>
      <c r="K7" s="1837">
        <f>K41+$K$3</f>
        <v>27299</v>
      </c>
      <c r="L7" s="1825">
        <f>G7/K7-1</f>
        <v>-4.9415729513901607E-2</v>
      </c>
      <c r="M7" s="2243" t="str">
        <f>M41</f>
        <v>ПГ Base1</v>
      </c>
      <c r="N7" s="2249">
        <f>N41+$N$3</f>
        <v>26535</v>
      </c>
      <c r="O7" s="1825">
        <f>G7/N7-1</f>
        <v>-2.2046353872244184E-2</v>
      </c>
      <c r="P7" s="1090" t="str">
        <f>P41</f>
        <v>Галактика</v>
      </c>
      <c r="Q7" s="1266">
        <f>Q41+$Q$3</f>
        <v>29235</v>
      </c>
      <c r="R7" s="1267">
        <f>G7/Q7-1</f>
        <v>-0.11236531554643403</v>
      </c>
      <c r="S7" s="1271" t="str">
        <f>S41</f>
        <v>MARCO1</v>
      </c>
      <c r="T7" s="1273">
        <f>T41+$T$3</f>
        <v>26250</v>
      </c>
      <c r="U7" s="1274">
        <f>G7/T7-1</f>
        <v>-1.1428571428571455E-2</v>
      </c>
    </row>
    <row r="8" spans="1:21" hidden="1" outlineLevel="2">
      <c r="A8" s="1340"/>
      <c r="B8" s="589">
        <v>2</v>
      </c>
      <c r="C8" s="1243" t="str">
        <f t="shared" si="0"/>
        <v>Slot 02</v>
      </c>
      <c r="D8" s="1257" t="e">
        <f t="shared" si="1"/>
        <v>#REF!</v>
      </c>
      <c r="E8" s="1337" t="e">
        <f t="shared" si="2"/>
        <v>#REF!</v>
      </c>
      <c r="F8" s="1257" t="e">
        <f t="shared" si="3"/>
        <v>#REF!</v>
      </c>
      <c r="G8" s="1246">
        <v>26950</v>
      </c>
      <c r="H8" s="1357" t="e">
        <f>G8-E8</f>
        <v>#REF!</v>
      </c>
      <c r="I8" s="1358" t="e">
        <f>G8/E8-1</f>
        <v>#REF!</v>
      </c>
      <c r="J8" s="1313"/>
      <c r="K8" s="1837"/>
      <c r="L8" s="1825"/>
      <c r="M8" s="2243"/>
      <c r="N8" s="2249"/>
      <c r="O8" s="1825"/>
      <c r="P8" s="1090" t="str">
        <f>P42</f>
        <v>Лайн1</v>
      </c>
      <c r="Q8" s="1266">
        <f>Q42+$Q$3</f>
        <v>31945</v>
      </c>
      <c r="R8" s="1267">
        <f>G8/Q8-1</f>
        <v>-0.15636249804351232</v>
      </c>
      <c r="S8" s="1271" t="str">
        <f>S42</f>
        <v>MARCO2</v>
      </c>
      <c r="T8" s="1273">
        <f>T42+$T$3</f>
        <v>27645</v>
      </c>
      <c r="U8" s="1274">
        <f>G8/T8-1</f>
        <v>-2.5140170012660557E-2</v>
      </c>
    </row>
    <row r="9" spans="1:21" hidden="1" outlineLevel="2">
      <c r="A9" s="1340"/>
      <c r="B9" s="589">
        <v>3</v>
      </c>
      <c r="C9" s="1243" t="str">
        <f t="shared" si="0"/>
        <v>Slot 02F</v>
      </c>
      <c r="D9" s="1257" t="e">
        <f t="shared" si="1"/>
        <v>#REF!</v>
      </c>
      <c r="E9" s="1337" t="e">
        <f t="shared" si="2"/>
        <v>#REF!</v>
      </c>
      <c r="F9" s="1257" t="e">
        <f t="shared" si="3"/>
        <v>#REF!</v>
      </c>
      <c r="G9" s="1246">
        <v>31450</v>
      </c>
      <c r="H9" s="1357" t="e">
        <f>G9-E9</f>
        <v>#REF!</v>
      </c>
      <c r="I9" s="1358" t="e">
        <f>G9/E9-1</f>
        <v>#REF!</v>
      </c>
      <c r="J9" s="1313"/>
      <c r="K9" s="1837"/>
      <c r="L9" s="1825"/>
      <c r="M9" s="2243"/>
      <c r="N9" s="2249"/>
      <c r="O9" s="1825"/>
      <c r="P9" s="1090"/>
      <c r="Q9" s="1266"/>
      <c r="R9" s="1267"/>
      <c r="S9" s="1271"/>
      <c r="T9" s="1273"/>
      <c r="U9" s="1274"/>
    </row>
    <row r="10" spans="1:21" hidden="1" outlineLevel="2">
      <c r="A10" s="1340"/>
      <c r="B10" s="589">
        <v>4</v>
      </c>
      <c r="C10" s="1243" t="str">
        <f t="shared" si="0"/>
        <v>Vetro 11</v>
      </c>
      <c r="D10" s="1257">
        <f t="shared" si="1"/>
        <v>23302</v>
      </c>
      <c r="E10" s="1337">
        <f t="shared" si="2"/>
        <v>38200</v>
      </c>
      <c r="F10" s="1257">
        <f t="shared" si="3"/>
        <v>17659.5</v>
      </c>
      <c r="G10" s="1246">
        <v>28950</v>
      </c>
      <c r="H10" s="1357">
        <f>G10-E10</f>
        <v>-9250</v>
      </c>
      <c r="I10" s="1358">
        <f>G10/E10-1</f>
        <v>-0.24214659685863871</v>
      </c>
      <c r="J10" s="1313"/>
      <c r="K10" s="1837"/>
      <c r="L10" s="1825"/>
      <c r="M10" s="2243" t="str">
        <f>M44</f>
        <v>ПO Loft1</v>
      </c>
      <c r="N10" s="2249">
        <f>N44+$N$3</f>
        <v>28635</v>
      </c>
      <c r="O10" s="1825">
        <f t="shared" ref="O10:O28" si="4">G10/N10-1</f>
        <v>1.1000523834468368E-2</v>
      </c>
      <c r="P10" s="1090" t="str">
        <f>P44</f>
        <v>Вита</v>
      </c>
      <c r="Q10" s="1266">
        <f>Q44+$Q$3</f>
        <v>34155</v>
      </c>
      <c r="R10" s="1267">
        <f>G10/Q10-1</f>
        <v>-0.1523935002195872</v>
      </c>
      <c r="S10" s="1271" t="str">
        <f>S44</f>
        <v>X-LINE1</v>
      </c>
      <c r="T10" s="1273">
        <f>T44+$T$3</f>
        <v>31140</v>
      </c>
      <c r="U10" s="1274">
        <f>G10/T10-1</f>
        <v>-7.0327552986512498E-2</v>
      </c>
    </row>
    <row r="11" spans="1:21" hidden="1" outlineLevel="2">
      <c r="A11" s="1340"/>
      <c r="B11" s="589">
        <v>5</v>
      </c>
      <c r="C11" s="1243" t="str">
        <f t="shared" si="0"/>
        <v>Twist 01</v>
      </c>
      <c r="D11" s="1257">
        <f t="shared" si="1"/>
        <v>20740</v>
      </c>
      <c r="E11" s="1337">
        <f t="shared" si="2"/>
        <v>34000</v>
      </c>
      <c r="F11" s="1257">
        <f t="shared" si="3"/>
        <v>15524.5</v>
      </c>
      <c r="G11" s="1246">
        <v>25450</v>
      </c>
      <c r="H11" s="1357">
        <f t="shared" ref="H11:H36" si="5">G11-E11</f>
        <v>-8550</v>
      </c>
      <c r="I11" s="1358">
        <f t="shared" ref="I11:I36" si="6">G11/E11-1</f>
        <v>-0.25147058823529411</v>
      </c>
      <c r="J11" s="1313" t="str">
        <f>J45</f>
        <v>Linea 8043</v>
      </c>
      <c r="K11" s="1837">
        <f>K45+$K$3</f>
        <v>34199</v>
      </c>
      <c r="L11" s="1825">
        <f>G11/K11-1</f>
        <v>-0.25582619374835525</v>
      </c>
      <c r="M11" s="2243" t="str">
        <f>M45</f>
        <v>ПГ Blanca2</v>
      </c>
      <c r="N11" s="2249">
        <f>N45+$N$3</f>
        <v>25235</v>
      </c>
      <c r="O11" s="1825">
        <f t="shared" si="4"/>
        <v>8.5199128194968221E-3</v>
      </c>
      <c r="P11" s="1090" t="str">
        <f>P45</f>
        <v>Veсtor V4</v>
      </c>
      <c r="Q11" s="1266">
        <f>Q45+$Q$3</f>
        <v>31455</v>
      </c>
      <c r="R11" s="1267">
        <f>G11/Q11-1</f>
        <v>-0.19090764584326814</v>
      </c>
      <c r="S11" s="1271" t="str">
        <f>S45</f>
        <v>ILLUSION/ RAYS</v>
      </c>
      <c r="T11" s="1273">
        <f>T45+$T$3</f>
        <v>26730</v>
      </c>
      <c r="U11" s="1274">
        <f>G11/T11-1</f>
        <v>-4.7886270108492335E-2</v>
      </c>
    </row>
    <row r="12" spans="1:21" hidden="1" outlineLevel="2">
      <c r="A12" s="1340"/>
      <c r="C12" s="1243" t="str">
        <f t="shared" si="0"/>
        <v>Combo</v>
      </c>
      <c r="D12" s="1257">
        <f t="shared" si="1"/>
        <v>23698.5</v>
      </c>
      <c r="E12" s="1337">
        <f t="shared" si="2"/>
        <v>38850</v>
      </c>
      <c r="F12" s="1257">
        <f t="shared" si="3"/>
        <v>19184.5</v>
      </c>
      <c r="G12" s="1246">
        <v>31450</v>
      </c>
      <c r="H12" s="1357">
        <f>G12-E12</f>
        <v>-7400</v>
      </c>
      <c r="I12" s="1358">
        <f>G12/E12-1</f>
        <v>-0.19047619047619047</v>
      </c>
      <c r="J12" s="1313"/>
      <c r="K12" s="1837"/>
      <c r="L12" s="1825"/>
      <c r="M12" s="2243" t="str">
        <f>M46</f>
        <v>ПГ DOMINO 1</v>
      </c>
      <c r="N12" s="2249">
        <f>N46+$N$3</f>
        <v>31655</v>
      </c>
      <c r="O12" s="1825">
        <f>G12/N12-1</f>
        <v>-6.4760701311009639E-3</v>
      </c>
      <c r="P12" s="1090" t="str">
        <f>P46</f>
        <v>Veсtor V13</v>
      </c>
      <c r="Q12" s="1266">
        <f>Q46+$Q$3</f>
        <v>36625</v>
      </c>
      <c r="R12" s="1267">
        <f>G12/Q12-1</f>
        <v>-0.14129692832764507</v>
      </c>
      <c r="S12" s="1271"/>
      <c r="T12" s="1273"/>
      <c r="U12" s="1274"/>
    </row>
    <row r="13" spans="1:21" hidden="1" outlineLevel="2">
      <c r="A13" s="1340"/>
      <c r="B13" s="589">
        <v>6</v>
      </c>
      <c r="C13" s="1243" t="str">
        <f t="shared" si="0"/>
        <v>Mezzo01</v>
      </c>
      <c r="D13" s="1257">
        <f>D47+$D$3</f>
        <v>22905.5</v>
      </c>
      <c r="E13" s="1337">
        <f t="shared" si="2"/>
        <v>37550</v>
      </c>
      <c r="F13" s="1257">
        <f>F47+$D$3</f>
        <v>15524.5</v>
      </c>
      <c r="G13" s="1246">
        <v>25450</v>
      </c>
      <c r="H13" s="1357">
        <f t="shared" si="5"/>
        <v>-12100</v>
      </c>
      <c r="I13" s="1358">
        <f t="shared" si="6"/>
        <v>-0.322237017310253</v>
      </c>
      <c r="J13" s="1313" t="str">
        <f>J47</f>
        <v>Linea 8041</v>
      </c>
      <c r="K13" s="1837">
        <f>K47+$K$3</f>
        <v>39199</v>
      </c>
      <c r="L13" s="1825">
        <f>G13/K13-1</f>
        <v>-0.35074874359039776</v>
      </c>
      <c r="M13" s="2243"/>
      <c r="N13" s="2249"/>
      <c r="O13" s="1825"/>
      <c r="P13" s="1090"/>
      <c r="Q13" s="1266"/>
      <c r="R13" s="1267"/>
      <c r="S13" s="1271" t="str">
        <f>S47</f>
        <v xml:space="preserve">ILLUSION/ Rows  </v>
      </c>
      <c r="T13" s="1273">
        <f>T47+$T$3</f>
        <v>26730</v>
      </c>
      <c r="U13" s="1274">
        <f>G13/T13-1</f>
        <v>-4.7886270108492335E-2</v>
      </c>
    </row>
    <row r="14" spans="1:21" hidden="1" outlineLevel="2">
      <c r="A14" s="1340"/>
      <c r="B14" s="589">
        <v>7</v>
      </c>
      <c r="C14" s="1251" t="str">
        <f t="shared" si="0"/>
        <v>Plane 2</v>
      </c>
      <c r="D14" s="2252">
        <f>D48+$D$3</f>
        <v>21350</v>
      </c>
      <c r="E14" s="2253">
        <f t="shared" si="2"/>
        <v>35000</v>
      </c>
      <c r="F14" s="2252">
        <f>F48+$D$3</f>
        <v>16439.5</v>
      </c>
      <c r="G14" s="2254">
        <v>26950</v>
      </c>
      <c r="H14" s="1357">
        <f t="shared" si="5"/>
        <v>-8050</v>
      </c>
      <c r="I14" s="1358">
        <f t="shared" si="6"/>
        <v>-0.22999999999999998</v>
      </c>
      <c r="J14" s="1313" t="str">
        <f>J48</f>
        <v>Neoclassic</v>
      </c>
      <c r="K14" s="1837">
        <f>K48+$K$3</f>
        <v>39999</v>
      </c>
      <c r="L14" s="1825">
        <f>G14/K14-1</f>
        <v>-0.32623315582889567</v>
      </c>
      <c r="M14" s="2243" t="str">
        <f t="shared" ref="M14:M20" si="7">M48</f>
        <v>ПГ Duet10</v>
      </c>
      <c r="N14" s="2249">
        <f t="shared" ref="N14:N20" si="8">N48+$N$3</f>
        <v>29335</v>
      </c>
      <c r="O14" s="1825">
        <f t="shared" si="4"/>
        <v>-8.1302198738708031E-2</v>
      </c>
      <c r="P14" s="1090" t="str">
        <f>P48</f>
        <v>Manchester M2</v>
      </c>
      <c r="Q14" s="1266">
        <f>Q48+$Q$3</f>
        <v>31455</v>
      </c>
      <c r="R14" s="1267">
        <f>G14/Q14-1</f>
        <v>-0.14322047369257673</v>
      </c>
      <c r="S14" s="1271"/>
      <c r="T14" s="1273"/>
      <c r="U14" s="1274"/>
    </row>
    <row r="15" spans="1:21" hidden="1" outlineLevel="2">
      <c r="A15" s="1340"/>
      <c r="B15" s="589">
        <v>8</v>
      </c>
      <c r="C15" s="1243" t="str">
        <f t="shared" si="0"/>
        <v>Rino 2</v>
      </c>
      <c r="D15" s="1257">
        <f>D49+$D$3</f>
        <v>21960</v>
      </c>
      <c r="E15" s="1337">
        <f t="shared" si="2"/>
        <v>36000</v>
      </c>
      <c r="F15" s="1257">
        <f>F49+$D$3</f>
        <v>17049.5</v>
      </c>
      <c r="G15" s="1246">
        <v>27950</v>
      </c>
      <c r="H15" s="1357">
        <f t="shared" si="5"/>
        <v>-8050</v>
      </c>
      <c r="I15" s="1358">
        <f t="shared" si="6"/>
        <v>-0.22361111111111109</v>
      </c>
      <c r="J15" s="1313"/>
      <c r="K15" s="1837"/>
      <c r="L15" s="1825"/>
      <c r="M15" s="2243" t="str">
        <f t="shared" si="7"/>
        <v>ПГEmma10</v>
      </c>
      <c r="N15" s="2249">
        <f t="shared" si="8"/>
        <v>32735</v>
      </c>
      <c r="O15" s="1825">
        <f t="shared" si="4"/>
        <v>-0.14617382007026114</v>
      </c>
      <c r="P15" s="1090"/>
      <c r="Q15" s="1266"/>
      <c r="R15" s="1267"/>
      <c r="S15" s="1271"/>
      <c r="T15" s="1273"/>
      <c r="U15" s="1274"/>
    </row>
    <row r="16" spans="1:21" hidden="1" outlineLevel="2">
      <c r="A16" s="1340"/>
      <c r="C16" s="1243" t="str">
        <f t="shared" si="0"/>
        <v>Rino 32 браш</v>
      </c>
      <c r="D16" s="1257">
        <f>D50+$D$3</f>
        <v>24918.5</v>
      </c>
      <c r="E16" s="1337">
        <f t="shared" si="2"/>
        <v>40850</v>
      </c>
      <c r="F16" s="1257">
        <f>F50+$D$3</f>
        <v>18879.5</v>
      </c>
      <c r="G16" s="1246">
        <v>30950</v>
      </c>
      <c r="H16" s="1357">
        <f>G16-E16</f>
        <v>-9900</v>
      </c>
      <c r="I16" s="1358">
        <f t="shared" si="6"/>
        <v>-0.24235006119951041</v>
      </c>
      <c r="J16" s="1313"/>
      <c r="K16" s="1837"/>
      <c r="L16" s="1825"/>
      <c r="M16" s="2243" t="str">
        <f t="shared" si="7"/>
        <v>ПГ DUET 10</v>
      </c>
      <c r="N16" s="2249">
        <f t="shared" si="8"/>
        <v>31255</v>
      </c>
      <c r="O16" s="1825">
        <f>G16/N16-1</f>
        <v>-9.7584386498160702E-3</v>
      </c>
      <c r="P16" s="1090" t="str">
        <f>P50</f>
        <v>Manchester M2 браш</v>
      </c>
      <c r="Q16" s="1266">
        <f>Q50+$Q$3</f>
        <v>35845</v>
      </c>
      <c r="R16" s="1267">
        <f>G16/Q16-1</f>
        <v>-0.13656018970567718</v>
      </c>
      <c r="S16" s="1271" t="str">
        <f>S50</f>
        <v>AGILITA2 браш</v>
      </c>
      <c r="T16" s="1273">
        <f>T50+$T$3</f>
        <v>31265</v>
      </c>
      <c r="U16" s="1274">
        <f>G16/T16-1</f>
        <v>-1.0075163921317798E-2</v>
      </c>
    </row>
    <row r="17" spans="1:21" s="11" customFormat="1" hidden="1" outlineLevel="2">
      <c r="A17" s="1824">
        <f>К_ясень!F14</f>
        <v>35250</v>
      </c>
      <c r="B17" s="11">
        <v>9</v>
      </c>
      <c r="C17" s="1251" t="str">
        <f t="shared" si="0"/>
        <v>Stripe2</v>
      </c>
      <c r="D17" s="2252">
        <f t="shared" ref="D17:D36" si="9">D51+$D$3</f>
        <v>22204</v>
      </c>
      <c r="E17" s="2253">
        <f t="shared" si="2"/>
        <v>36400</v>
      </c>
      <c r="F17" s="2252">
        <f t="shared" ref="F17:F36" si="10">F51+$D$3</f>
        <v>16775</v>
      </c>
      <c r="G17" s="2254">
        <v>28950</v>
      </c>
      <c r="H17" s="1357">
        <f t="shared" si="5"/>
        <v>-7450</v>
      </c>
      <c r="I17" s="1358">
        <f t="shared" si="6"/>
        <v>-0.20467032967032972</v>
      </c>
      <c r="J17" s="1313"/>
      <c r="K17" s="1837"/>
      <c r="L17" s="1825"/>
      <c r="M17" s="2243" t="str">
        <f t="shared" si="7"/>
        <v>ПГ Duet10F</v>
      </c>
      <c r="N17" s="2249">
        <f t="shared" si="8"/>
        <v>30335</v>
      </c>
      <c r="O17" s="1825">
        <f t="shared" si="4"/>
        <v>-4.5656832042195505E-2</v>
      </c>
      <c r="P17" s="1090" t="str">
        <f>P51</f>
        <v>Визави</v>
      </c>
      <c r="Q17" s="1266">
        <f>Q51+$Q$3</f>
        <v>31365</v>
      </c>
      <c r="R17" s="1267">
        <f>G17/Q17-1</f>
        <v>-7.6996652319464398E-2</v>
      </c>
      <c r="S17" s="1271" t="str">
        <f>S51</f>
        <v>AGILITA2</v>
      </c>
      <c r="T17" s="1273">
        <f>T51+$T$3</f>
        <v>29070</v>
      </c>
      <c r="U17" s="1274">
        <f>G17/T17-1</f>
        <v>-4.1279669762641635E-3</v>
      </c>
    </row>
    <row r="18" spans="1:21" s="70" customFormat="1" hidden="1" outlineLevel="2">
      <c r="A18" s="1824">
        <f>К_ясень!F15</f>
        <v>13250</v>
      </c>
      <c r="B18" s="11">
        <v>10</v>
      </c>
      <c r="C18" s="1243" t="str">
        <f t="shared" si="0"/>
        <v>Elegance2</v>
      </c>
      <c r="D18" s="1257">
        <f t="shared" si="9"/>
        <v>24003.5</v>
      </c>
      <c r="E18" s="1337">
        <f t="shared" si="2"/>
        <v>39350</v>
      </c>
      <c r="F18" s="1257">
        <f t="shared" si="10"/>
        <v>18574.5</v>
      </c>
      <c r="G18" s="1246">
        <v>30450</v>
      </c>
      <c r="H18" s="1357">
        <f t="shared" si="5"/>
        <v>-8900</v>
      </c>
      <c r="I18" s="1358">
        <f t="shared" si="6"/>
        <v>-0.22617534942820838</v>
      </c>
      <c r="J18" s="1313"/>
      <c r="K18" s="1837"/>
      <c r="L18" s="1825"/>
      <c r="M18" s="2243" t="str">
        <f t="shared" si="7"/>
        <v>ПГ Rimini2</v>
      </c>
      <c r="N18" s="2249">
        <f t="shared" si="8"/>
        <v>34035</v>
      </c>
      <c r="O18" s="1825">
        <f t="shared" si="4"/>
        <v>-0.10533274570295281</v>
      </c>
      <c r="P18" s="1090" t="str">
        <f>P52</f>
        <v>Прага</v>
      </c>
      <c r="Q18" s="1266">
        <f>Q52+$Q$3</f>
        <v>31365</v>
      </c>
      <c r="R18" s="1267">
        <f>G18/Q18-1</f>
        <v>-2.9172644667623149E-2</v>
      </c>
      <c r="S18" s="1271" t="str">
        <f>S52</f>
        <v>QUADRO2</v>
      </c>
      <c r="T18" s="1273">
        <f>T52+$T$3</f>
        <v>32320</v>
      </c>
      <c r="U18" s="1274">
        <f>G18/T18-1</f>
        <v>-5.7858910891089077E-2</v>
      </c>
    </row>
    <row r="19" spans="1:21" s="70" customFormat="1" hidden="1" outlineLevel="2">
      <c r="A19" s="1824" t="e">
        <f>К_ясень!F16</f>
        <v>#REF!</v>
      </c>
      <c r="B19" s="11">
        <v>11</v>
      </c>
      <c r="C19" s="1251" t="str">
        <f t="shared" si="0"/>
        <v>Belluno2</v>
      </c>
      <c r="D19" s="2252">
        <f t="shared" si="9"/>
        <v>7472.5</v>
      </c>
      <c r="E19" s="2253">
        <f t="shared" si="2"/>
        <v>12250</v>
      </c>
      <c r="F19" s="2252">
        <f t="shared" si="10"/>
        <v>19794.5</v>
      </c>
      <c r="G19" s="2254">
        <v>32450</v>
      </c>
      <c r="H19" s="1357">
        <f t="shared" si="5"/>
        <v>20200</v>
      </c>
      <c r="I19" s="1358">
        <f t="shared" si="6"/>
        <v>1.6489795918367345</v>
      </c>
      <c r="J19" s="1313"/>
      <c r="K19" s="1837"/>
      <c r="L19" s="1825"/>
      <c r="M19" s="2243" t="str">
        <f t="shared" si="7"/>
        <v>ПГ Omega2</v>
      </c>
      <c r="N19" s="2249">
        <f t="shared" si="8"/>
        <v>35835</v>
      </c>
      <c r="O19" s="1825">
        <f t="shared" si="4"/>
        <v>-9.4460722757081061E-2</v>
      </c>
      <c r="P19" s="1090"/>
      <c r="Q19" s="1266"/>
      <c r="R19" s="1267"/>
      <c r="S19" s="1271"/>
      <c r="T19" s="1273"/>
      <c r="U19" s="1274"/>
    </row>
    <row r="20" spans="1:21" s="70" customFormat="1" hidden="1" outlineLevel="2">
      <c r="A20" s="1824">
        <f>К_ясень!F17</f>
        <v>35250</v>
      </c>
      <c r="B20" s="11">
        <v>12</v>
      </c>
      <c r="C20" s="1243" t="str">
        <f t="shared" si="0"/>
        <v>Turin 2</v>
      </c>
      <c r="D20" s="1257">
        <f t="shared" si="9"/>
        <v>28029.5</v>
      </c>
      <c r="E20" s="1337">
        <f t="shared" si="2"/>
        <v>45950</v>
      </c>
      <c r="F20" s="1257">
        <f t="shared" si="10"/>
        <v>21624.5</v>
      </c>
      <c r="G20" s="1246">
        <v>35450</v>
      </c>
      <c r="H20" s="1357">
        <f t="shared" si="5"/>
        <v>-10500</v>
      </c>
      <c r="I20" s="1358">
        <f t="shared" si="6"/>
        <v>-0.22850924918389559</v>
      </c>
      <c r="J20" s="1313"/>
      <c r="K20" s="1837"/>
      <c r="L20" s="1825"/>
      <c r="M20" s="2243" t="str">
        <f t="shared" si="7"/>
        <v>ПГ Alfa2</v>
      </c>
      <c r="N20" s="2249">
        <f t="shared" si="8"/>
        <v>36835</v>
      </c>
      <c r="O20" s="1825">
        <f t="shared" si="4"/>
        <v>-3.7600108592371395E-2</v>
      </c>
      <c r="P20" s="1090"/>
      <c r="Q20" s="1266"/>
      <c r="R20" s="1267"/>
      <c r="S20" s="1271"/>
      <c r="T20" s="1273"/>
      <c r="U20" s="1274"/>
    </row>
    <row r="21" spans="1:21" s="70" customFormat="1" hidden="1" outlineLevel="2">
      <c r="A21" s="1824" t="e">
        <f>К_ясень!F18</f>
        <v>#REF!</v>
      </c>
      <c r="B21" s="11">
        <v>13</v>
      </c>
      <c r="C21" s="1243" t="str">
        <f t="shared" si="0"/>
        <v>Bergamo2</v>
      </c>
      <c r="D21" s="1257">
        <f t="shared" si="9"/>
        <v>30927</v>
      </c>
      <c r="E21" s="1337">
        <f t="shared" si="2"/>
        <v>50700</v>
      </c>
      <c r="F21" s="1257">
        <f t="shared" si="10"/>
        <v>24369.5</v>
      </c>
      <c r="G21" s="1246">
        <v>39950</v>
      </c>
      <c r="H21" s="1357">
        <f t="shared" si="5"/>
        <v>-10750</v>
      </c>
      <c r="I21" s="1358">
        <f t="shared" si="6"/>
        <v>-0.21203155818540431</v>
      </c>
      <c r="J21" s="1313"/>
      <c r="K21" s="1837"/>
      <c r="L21" s="1825"/>
      <c r="M21" s="2243"/>
      <c r="N21" s="2249"/>
      <c r="O21" s="1825"/>
      <c r="P21" s="1090"/>
      <c r="Q21" s="1266"/>
      <c r="R21" s="1267"/>
      <c r="S21" s="1271"/>
      <c r="T21" s="1273"/>
      <c r="U21" s="1274"/>
    </row>
    <row r="22" spans="1:21" s="70" customFormat="1" hidden="1" outlineLevel="3">
      <c r="A22" s="1824">
        <f>К_ясень!F20</f>
        <v>38350</v>
      </c>
      <c r="B22" s="11">
        <v>14</v>
      </c>
      <c r="C22" s="1243" t="str">
        <f t="shared" si="0"/>
        <v>Garda2</v>
      </c>
      <c r="D22" s="1257" t="e">
        <f t="shared" si="9"/>
        <v>#REF!</v>
      </c>
      <c r="E22" s="1337" t="e">
        <f t="shared" si="2"/>
        <v>#REF!</v>
      </c>
      <c r="F22" s="1257" t="e">
        <f t="shared" si="10"/>
        <v>#REF!</v>
      </c>
      <c r="G22" s="1246">
        <v>31450</v>
      </c>
      <c r="H22" s="1357" t="e">
        <f t="shared" si="5"/>
        <v>#REF!</v>
      </c>
      <c r="I22" s="1358" t="e">
        <f t="shared" si="6"/>
        <v>#REF!</v>
      </c>
      <c r="J22" s="1313" t="str">
        <f>J56</f>
        <v>Galant</v>
      </c>
      <c r="K22" s="1837">
        <f>K56+$K$3</f>
        <v>32599</v>
      </c>
      <c r="L22" s="1825">
        <f>G22/K22-1</f>
        <v>-3.5246479953372822E-2</v>
      </c>
      <c r="M22" s="2243" t="str">
        <f>M56</f>
        <v>ПГ Elegance2</v>
      </c>
      <c r="N22" s="2249">
        <f>N56+$N$3</f>
        <v>28835</v>
      </c>
      <c r="O22" s="1825">
        <f t="shared" si="4"/>
        <v>9.0688399514478935E-2</v>
      </c>
      <c r="P22" s="1090" t="str">
        <f>P56</f>
        <v>ЛИОН</v>
      </c>
      <c r="Q22" s="1266">
        <f>Q56+$Q$3</f>
        <v>33885</v>
      </c>
      <c r="R22" s="1267">
        <f>G22/Q22-1</f>
        <v>-7.1860705326840746E-2</v>
      </c>
      <c r="S22" s="1271" t="str">
        <f>S56</f>
        <v>LEGNO2</v>
      </c>
      <c r="T22" s="1273">
        <f>T56+$T$3</f>
        <v>32305</v>
      </c>
      <c r="U22" s="1274">
        <f>G22/T22-1</f>
        <v>-2.6466491255223601E-2</v>
      </c>
    </row>
    <row r="23" spans="1:21" s="70" customFormat="1" hidden="1" outlineLevel="3">
      <c r="A23" s="1824">
        <f>К_ясень!F27</f>
        <v>39900</v>
      </c>
      <c r="B23" s="11">
        <v>15</v>
      </c>
      <c r="C23" s="1243" t="str">
        <f t="shared" si="0"/>
        <v>Strada 11</v>
      </c>
      <c r="D23" s="1257">
        <f t="shared" si="9"/>
        <v>21838</v>
      </c>
      <c r="E23" s="1337">
        <f t="shared" si="2"/>
        <v>35800</v>
      </c>
      <c r="F23" s="1257">
        <f t="shared" si="10"/>
        <v>16134.5</v>
      </c>
      <c r="G23" s="1246">
        <v>26450</v>
      </c>
      <c r="H23" s="1357">
        <f t="shared" si="5"/>
        <v>-9350</v>
      </c>
      <c r="I23" s="1358">
        <f t="shared" si="6"/>
        <v>-0.26117318435754189</v>
      </c>
      <c r="J23" s="1313" t="str">
        <f>J57</f>
        <v>мод. 2101</v>
      </c>
      <c r="K23" s="1837">
        <f>K57+$K$3</f>
        <v>31999</v>
      </c>
      <c r="L23" s="1825">
        <f>G23/K23-1</f>
        <v>-0.17341166911465988</v>
      </c>
      <c r="M23" s="2243" t="str">
        <f>M57</f>
        <v>ПГ Base2</v>
      </c>
      <c r="N23" s="2249">
        <f>N57+$N$3</f>
        <v>26435</v>
      </c>
      <c r="O23" s="1825">
        <f t="shared" si="4"/>
        <v>5.67429544164888E-4</v>
      </c>
      <c r="P23" s="1090"/>
      <c r="Q23" s="1266"/>
      <c r="R23" s="1267"/>
      <c r="S23" s="1271"/>
      <c r="T23" s="1273"/>
      <c r="U23" s="1274"/>
    </row>
    <row r="24" spans="1:21" s="70" customFormat="1" hidden="1" outlineLevel="3">
      <c r="A24" s="1824">
        <f>К_ясень!F13</f>
        <v>41850</v>
      </c>
      <c r="B24" s="11">
        <f>G24/G23</f>
        <v>1.1323251417769375</v>
      </c>
      <c r="C24" s="1243" t="str">
        <f t="shared" si="0"/>
        <v>Vario11</v>
      </c>
      <c r="D24" s="1257">
        <f t="shared" si="9"/>
        <v>23363</v>
      </c>
      <c r="E24" s="1337">
        <f t="shared" si="2"/>
        <v>38300</v>
      </c>
      <c r="F24" s="1257">
        <f t="shared" si="10"/>
        <v>18269.5</v>
      </c>
      <c r="G24" s="1246">
        <v>29950</v>
      </c>
      <c r="H24" s="1357">
        <f t="shared" si="5"/>
        <v>-8350</v>
      </c>
      <c r="I24" s="1358">
        <f t="shared" si="6"/>
        <v>-0.21801566579634468</v>
      </c>
      <c r="J24" s="1313" t="str">
        <f>J58</f>
        <v>мод. 4114</v>
      </c>
      <c r="K24" s="1837">
        <f>K58+$K$3</f>
        <v>37599</v>
      </c>
      <c r="L24" s="1825">
        <f>G24/K24-1</f>
        <v>-0.20343626160270223</v>
      </c>
      <c r="M24" s="2243" t="str">
        <f>M58</f>
        <v>ПО Base3</v>
      </c>
      <c r="N24" s="2249">
        <f>N58+$N$3</f>
        <v>31635</v>
      </c>
      <c r="O24" s="1825">
        <f t="shared" si="4"/>
        <v>-5.3263790105895326E-2</v>
      </c>
      <c r="P24" s="1090"/>
      <c r="Q24" s="1266"/>
      <c r="R24" s="1267"/>
      <c r="S24" s="1271"/>
      <c r="T24" s="1273"/>
      <c r="U24" s="1274"/>
    </row>
    <row r="25" spans="1:21" s="70" customFormat="1" hidden="1" outlineLevel="3">
      <c r="A25" s="1824">
        <f>К_ясень!F28</f>
        <v>35450</v>
      </c>
      <c r="B25" s="11">
        <v>17</v>
      </c>
      <c r="C25" s="1243" t="str">
        <f t="shared" si="0"/>
        <v>Жалюзи 01</v>
      </c>
      <c r="D25" s="1257">
        <f t="shared" si="9"/>
        <v>25833.5</v>
      </c>
      <c r="E25" s="1337">
        <f t="shared" si="2"/>
        <v>42350</v>
      </c>
      <c r="F25" s="1257">
        <f t="shared" si="10"/>
        <v>20099.5</v>
      </c>
      <c r="G25" s="1246">
        <v>32950</v>
      </c>
      <c r="H25" s="1357">
        <f t="shared" si="5"/>
        <v>-9400</v>
      </c>
      <c r="I25" s="1358">
        <f t="shared" si="6"/>
        <v>-0.22195985832349474</v>
      </c>
      <c r="J25" s="1313"/>
      <c r="K25" s="1837"/>
      <c r="L25" s="1825"/>
      <c r="M25" s="2243"/>
      <c r="N25" s="2249"/>
      <c r="O25" s="1825"/>
      <c r="P25" s="1090"/>
      <c r="Q25" s="1266"/>
      <c r="R25" s="1267"/>
      <c r="S25" s="1271"/>
      <c r="T25" s="1273"/>
      <c r="U25" s="1274"/>
    </row>
    <row r="26" spans="1:21" s="70" customFormat="1" hidden="1" outlineLevel="2" collapsed="1">
      <c r="A26" s="1824" t="e">
        <f>К_ясень!F29</f>
        <v>#REF!</v>
      </c>
      <c r="B26" s="11">
        <v>18</v>
      </c>
      <c r="C26" s="1243" t="str">
        <f t="shared" si="0"/>
        <v>Modena 2</v>
      </c>
      <c r="D26" s="1257">
        <f t="shared" si="9"/>
        <v>33794</v>
      </c>
      <c r="E26" s="1337">
        <f t="shared" si="2"/>
        <v>55400</v>
      </c>
      <c r="F26" s="1257">
        <f t="shared" si="10"/>
        <v>25589.5</v>
      </c>
      <c r="G26" s="1246">
        <v>41950</v>
      </c>
      <c r="H26" s="1357">
        <f t="shared" si="5"/>
        <v>-13450</v>
      </c>
      <c r="I26" s="1358">
        <f t="shared" si="6"/>
        <v>-0.24277978339350181</v>
      </c>
      <c r="J26" s="1313"/>
      <c r="K26" s="1837"/>
      <c r="L26" s="1825"/>
      <c r="M26" s="2243" t="str">
        <f>M60</f>
        <v>ПГ Katalina2</v>
      </c>
      <c r="N26" s="2249">
        <f>N60+$N$3</f>
        <v>52035</v>
      </c>
      <c r="O26" s="1825">
        <f t="shared" si="4"/>
        <v>-0.19381185740367057</v>
      </c>
      <c r="P26" s="1090" t="str">
        <f>P60</f>
        <v>ВИЧЕНЦА-2</v>
      </c>
      <c r="Q26" s="1266">
        <f>Q60+$Q$3</f>
        <v>37825</v>
      </c>
      <c r="R26" s="1267">
        <f>G26/Q26-1</f>
        <v>0.10905485789821556</v>
      </c>
      <c r="S26" s="1271" t="str">
        <f>S60</f>
        <v>ANTIQUE2</v>
      </c>
      <c r="T26" s="1273">
        <f>T60+$T$3</f>
        <v>53405</v>
      </c>
      <c r="U26" s="1274">
        <f>G26/T26-1</f>
        <v>-0.21449302499765943</v>
      </c>
    </row>
    <row r="27" spans="1:21" s="70" customFormat="1" hidden="1" outlineLevel="2">
      <c r="A27" s="1824" t="e">
        <f>К_ясень!F30</f>
        <v>#REF!</v>
      </c>
      <c r="B27" s="11">
        <v>19</v>
      </c>
      <c r="C27" s="1243" t="str">
        <f t="shared" si="0"/>
        <v>Amelia ДГ</v>
      </c>
      <c r="D27" s="1257">
        <f t="shared" si="9"/>
        <v>29798.5</v>
      </c>
      <c r="E27" s="1337">
        <f t="shared" si="2"/>
        <v>48850</v>
      </c>
      <c r="F27" s="1257">
        <f t="shared" si="10"/>
        <v>26199.5</v>
      </c>
      <c r="G27" s="1246">
        <v>42950</v>
      </c>
      <c r="H27" s="1357">
        <f t="shared" si="5"/>
        <v>-5900</v>
      </c>
      <c r="I27" s="1358">
        <f t="shared" si="6"/>
        <v>-0.12077789150460594</v>
      </c>
      <c r="J27" s="1313"/>
      <c r="K27" s="1837"/>
      <c r="L27" s="1825"/>
      <c r="M27" s="2243" t="str">
        <f>M61</f>
        <v>ПГ Venezia2</v>
      </c>
      <c r="N27" s="2249">
        <f>N61+$N$3</f>
        <v>42935</v>
      </c>
      <c r="O27" s="1825">
        <f t="shared" si="4"/>
        <v>3.4936531966933693E-4</v>
      </c>
      <c r="P27" s="1090"/>
      <c r="Q27" s="1266"/>
      <c r="R27" s="1267"/>
      <c r="S27" s="1271"/>
      <c r="T27" s="1273"/>
      <c r="U27" s="1274"/>
    </row>
    <row r="28" spans="1:21" s="70" customFormat="1" hidden="1" outlineLevel="2">
      <c r="A28" s="1824">
        <f>К_ясень!F31</f>
        <v>39250</v>
      </c>
      <c r="B28" s="11">
        <v>20</v>
      </c>
      <c r="C28" s="1243" t="str">
        <f t="shared" si="0"/>
        <v>Palermo 2</v>
      </c>
      <c r="D28" s="1257">
        <f t="shared" si="9"/>
        <v>36356</v>
      </c>
      <c r="E28" s="1337">
        <f t="shared" si="2"/>
        <v>59600</v>
      </c>
      <c r="F28" s="1257">
        <f t="shared" si="10"/>
        <v>27419.5</v>
      </c>
      <c r="G28" s="1246">
        <v>44950</v>
      </c>
      <c r="H28" s="1357">
        <f t="shared" si="5"/>
        <v>-14650</v>
      </c>
      <c r="I28" s="1358">
        <f t="shared" si="6"/>
        <v>-0.24580536912751683</v>
      </c>
      <c r="J28" s="1313"/>
      <c r="K28" s="1837"/>
      <c r="L28" s="1825"/>
      <c r="M28" s="2243" t="str">
        <f>M62</f>
        <v>ПГ Florencia2</v>
      </c>
      <c r="N28" s="2249">
        <f>N62+$N$3</f>
        <v>49935</v>
      </c>
      <c r="O28" s="1825">
        <f t="shared" si="4"/>
        <v>-9.9829778712326012E-2</v>
      </c>
      <c r="P28" s="1090" t="str">
        <f t="shared" ref="P28:P33" si="11">P62</f>
        <v>ЭЛЕГАНТ-О</v>
      </c>
      <c r="Q28" s="1266">
        <f>Q62+$Q$3</f>
        <v>37825</v>
      </c>
      <c r="R28" s="1267">
        <f>G28/Q28-1</f>
        <v>0.18836748182419027</v>
      </c>
      <c r="S28" s="1271"/>
      <c r="T28" s="1273"/>
      <c r="U28" s="1274"/>
    </row>
    <row r="29" spans="1:21" s="70" customFormat="1" hidden="1" outlineLevel="2">
      <c r="A29" s="1824">
        <f>К_ясень!F32</f>
        <v>40950</v>
      </c>
      <c r="B29" s="11">
        <v>21</v>
      </c>
      <c r="C29" s="1243" t="str">
        <f t="shared" si="0"/>
        <v xml:space="preserve">Coliseum6 </v>
      </c>
      <c r="D29" s="1257">
        <f t="shared" si="9"/>
        <v>40382</v>
      </c>
      <c r="E29" s="1337">
        <f t="shared" si="2"/>
        <v>66200</v>
      </c>
      <c r="F29" s="1257">
        <f t="shared" si="10"/>
        <v>30469.5</v>
      </c>
      <c r="G29" s="1246">
        <v>49950</v>
      </c>
      <c r="H29" s="1357">
        <f t="shared" si="5"/>
        <v>-16250</v>
      </c>
      <c r="I29" s="1358">
        <f t="shared" si="6"/>
        <v>-0.24546827794561932</v>
      </c>
      <c r="J29" s="1313"/>
      <c r="K29" s="1837"/>
      <c r="L29" s="1825"/>
      <c r="M29" s="2243"/>
      <c r="N29" s="2249"/>
      <c r="O29" s="1825"/>
      <c r="P29" s="1090"/>
      <c r="Q29" s="1266"/>
      <c r="R29" s="1267"/>
      <c r="S29" s="1271"/>
      <c r="T29" s="1273"/>
      <c r="U29" s="1274"/>
    </row>
    <row r="30" spans="1:21" s="70" customFormat="1" hidden="1" outlineLevel="2">
      <c r="A30" s="1824">
        <f>К_ясень!F33</f>
        <v>40950</v>
      </c>
      <c r="B30" s="11">
        <v>22</v>
      </c>
      <c r="C30" s="1243" t="str">
        <f t="shared" si="0"/>
        <v>Sienna ДГ</v>
      </c>
      <c r="D30" s="1257">
        <f t="shared" si="9"/>
        <v>26931.5</v>
      </c>
      <c r="E30" s="1337">
        <f t="shared" si="2"/>
        <v>44150</v>
      </c>
      <c r="F30" s="1257">
        <f t="shared" si="10"/>
        <v>21014.5</v>
      </c>
      <c r="G30" s="1246">
        <v>34450</v>
      </c>
      <c r="H30" s="1357">
        <f t="shared" si="5"/>
        <v>-9700</v>
      </c>
      <c r="I30" s="1358">
        <f t="shared" si="6"/>
        <v>-0.2197055492638732</v>
      </c>
      <c r="J30" s="1313"/>
      <c r="K30" s="1837"/>
      <c r="L30" s="1825"/>
      <c r="M30" s="2243"/>
      <c r="N30" s="2249"/>
      <c r="O30" s="1825"/>
      <c r="P30" s="1090" t="str">
        <f t="shared" si="11"/>
        <v>Корнелия ДГ</v>
      </c>
      <c r="Q30" s="1266">
        <f>Q64+$Q$3</f>
        <v>31365</v>
      </c>
      <c r="R30" s="1267">
        <f>G30/Q30-1</f>
        <v>9.8358042403953405E-2</v>
      </c>
      <c r="S30" s="1271"/>
      <c r="T30" s="1273"/>
      <c r="U30" s="1274"/>
    </row>
    <row r="31" spans="1:21" s="70" customFormat="1" hidden="1" outlineLevel="2">
      <c r="A31" s="1824"/>
      <c r="B31" s="11">
        <v>23</v>
      </c>
      <c r="C31" s="1243" t="str">
        <f t="shared" si="0"/>
        <v>Sienna 10</v>
      </c>
      <c r="D31" s="1257">
        <f t="shared" si="9"/>
        <v>27389</v>
      </c>
      <c r="E31" s="1337">
        <f t="shared" si="2"/>
        <v>44900</v>
      </c>
      <c r="F31" s="1257">
        <f t="shared" si="10"/>
        <v>21929.5</v>
      </c>
      <c r="G31" s="1246">
        <v>35950</v>
      </c>
      <c r="H31" s="1357">
        <f t="shared" si="5"/>
        <v>-8950</v>
      </c>
      <c r="I31" s="1358">
        <f t="shared" si="6"/>
        <v>-0.19933184855233854</v>
      </c>
      <c r="J31" s="1313"/>
      <c r="K31" s="1837"/>
      <c r="L31" s="1825"/>
      <c r="M31" s="2243" t="str">
        <f>M65</f>
        <v>ПО Savona2</v>
      </c>
      <c r="N31" s="2249">
        <f>N65+$N$3</f>
        <v>36835</v>
      </c>
      <c r="O31" s="1825">
        <f>G31/N31-1</f>
        <v>-2.4026062169132612E-2</v>
      </c>
      <c r="P31" s="1090" t="str">
        <f t="shared" si="11"/>
        <v>Грата1А</v>
      </c>
      <c r="Q31" s="1266">
        <f>Q65+$Q$3</f>
        <v>35695</v>
      </c>
      <c r="R31" s="1267">
        <f>G31/Q31-1</f>
        <v>7.1438576831488465E-3</v>
      </c>
      <c r="S31" s="1271"/>
      <c r="T31" s="1273"/>
      <c r="U31" s="1274"/>
    </row>
    <row r="32" spans="1:21" s="70" customFormat="1" hidden="1" outlineLevel="2">
      <c r="A32" s="1824"/>
      <c r="B32" s="11">
        <v>24</v>
      </c>
      <c r="C32" s="1251" t="str">
        <f t="shared" si="0"/>
        <v>Amelia 8 (по эскизу)</v>
      </c>
      <c r="D32" s="2252" t="e">
        <f t="shared" si="9"/>
        <v>#REF!</v>
      </c>
      <c r="E32" s="2253" t="e">
        <f t="shared" si="2"/>
        <v>#REF!</v>
      </c>
      <c r="F32" s="2252" t="e">
        <f t="shared" si="10"/>
        <v>#REF!</v>
      </c>
      <c r="G32" s="2254">
        <v>44950</v>
      </c>
      <c r="H32" s="1357" t="e">
        <f t="shared" si="5"/>
        <v>#REF!</v>
      </c>
      <c r="I32" s="1358" t="e">
        <f t="shared" si="6"/>
        <v>#REF!</v>
      </c>
      <c r="J32" s="1313" t="str">
        <f>J66</f>
        <v>Paris</v>
      </c>
      <c r="K32" s="1837">
        <f>K66+$K$3</f>
        <v>48199</v>
      </c>
      <c r="L32" s="1825">
        <f>G32/K32-1</f>
        <v>-6.7408037511151653E-2</v>
      </c>
      <c r="M32" s="2243"/>
      <c r="N32" s="2249"/>
      <c r="O32" s="1825"/>
      <c r="P32" s="1090"/>
      <c r="Q32" s="1266"/>
      <c r="R32" s="1267"/>
      <c r="S32" s="1271"/>
      <c r="T32" s="1273"/>
      <c r="U32" s="1274"/>
    </row>
    <row r="33" spans="1:21" s="70" customFormat="1" hidden="1" outlineLevel="2">
      <c r="A33" s="1824"/>
      <c r="B33" s="11">
        <v>25</v>
      </c>
      <c r="C33" s="1243" t="str">
        <f t="shared" si="0"/>
        <v xml:space="preserve"> Amelia 8 СМ1</v>
      </c>
      <c r="D33" s="1257">
        <f t="shared" si="9"/>
        <v>43645.5</v>
      </c>
      <c r="E33" s="1337">
        <f t="shared" si="2"/>
        <v>71550</v>
      </c>
      <c r="F33" s="1257">
        <f t="shared" si="10"/>
        <v>33519.5</v>
      </c>
      <c r="G33" s="1246">
        <v>54950</v>
      </c>
      <c r="H33" s="1357">
        <f t="shared" si="5"/>
        <v>-16600</v>
      </c>
      <c r="I33" s="1358">
        <f t="shared" si="6"/>
        <v>-0.23200559049615654</v>
      </c>
      <c r="J33" s="1313"/>
      <c r="K33" s="1837"/>
      <c r="L33" s="1825"/>
      <c r="M33" s="2243"/>
      <c r="N33" s="2249"/>
      <c r="O33" s="1825"/>
      <c r="P33" s="1090" t="str">
        <f t="shared" si="11"/>
        <v>Саппоро 1 с решеткой (фальшфацет)</v>
      </c>
      <c r="Q33" s="1266">
        <f>Q67+$Q$3</f>
        <v>48115</v>
      </c>
      <c r="R33" s="1267">
        <f>G33/Q33-1</f>
        <v>0.14205549205029611</v>
      </c>
      <c r="S33" s="1271" t="str">
        <f>S67</f>
        <v>Corsa</v>
      </c>
      <c r="T33" s="1273">
        <f>T67+$T$3</f>
        <v>52405</v>
      </c>
      <c r="U33" s="1274">
        <f>G33/T33-1</f>
        <v>4.8564068314092212E-2</v>
      </c>
    </row>
    <row r="34" spans="1:21" s="70" customFormat="1" hidden="1" outlineLevel="2">
      <c r="A34" s="1824"/>
      <c r="B34" s="11">
        <v>26</v>
      </c>
      <c r="C34" s="1243" t="str">
        <f t="shared" si="0"/>
        <v>Step</v>
      </c>
      <c r="D34" s="1257" t="e">
        <f t="shared" si="9"/>
        <v>#REF!</v>
      </c>
      <c r="E34" s="1337" t="e">
        <f t="shared" si="2"/>
        <v>#REF!</v>
      </c>
      <c r="F34" s="1257" t="e">
        <f t="shared" si="10"/>
        <v>#REF!</v>
      </c>
      <c r="G34" s="1246">
        <v>37450</v>
      </c>
      <c r="H34" s="1357" t="e">
        <f t="shared" si="5"/>
        <v>#REF!</v>
      </c>
      <c r="I34" s="1358" t="e">
        <f t="shared" si="6"/>
        <v>#REF!</v>
      </c>
      <c r="J34" s="1313"/>
      <c r="K34" s="1837"/>
      <c r="L34" s="1825"/>
      <c r="M34" s="2243"/>
      <c r="N34" s="2249"/>
      <c r="O34" s="1825"/>
      <c r="P34" s="1090"/>
      <c r="Q34" s="1266"/>
      <c r="R34" s="1267"/>
      <c r="S34" s="1271"/>
      <c r="T34" s="1273"/>
      <c r="U34" s="1274"/>
    </row>
    <row r="35" spans="1:21" s="70" customFormat="1" hidden="1" outlineLevel="2">
      <c r="A35" s="1340"/>
      <c r="B35" s="589">
        <v>27</v>
      </c>
      <c r="C35" s="1243" t="str">
        <f t="shared" si="0"/>
        <v>Vetro 18</v>
      </c>
      <c r="D35" s="1257">
        <f t="shared" si="9"/>
        <v>34312.5</v>
      </c>
      <c r="E35" s="1337">
        <f t="shared" si="2"/>
        <v>56250</v>
      </c>
      <c r="F35" s="1257">
        <f t="shared" si="10"/>
        <v>24369.5</v>
      </c>
      <c r="G35" s="1246">
        <v>39950</v>
      </c>
      <c r="H35" s="1357">
        <f t="shared" si="5"/>
        <v>-16300</v>
      </c>
      <c r="I35" s="1358">
        <f t="shared" si="6"/>
        <v>-0.2897777777777778</v>
      </c>
      <c r="J35" s="1313"/>
      <c r="K35" s="1837"/>
      <c r="L35" s="1825"/>
      <c r="M35" s="2243" t="str">
        <f>M69</f>
        <v>ПГ Aluform5</v>
      </c>
      <c r="N35" s="2249">
        <f>N69+$N$3</f>
        <v>42845</v>
      </c>
      <c r="O35" s="1825">
        <f>G35/N35-1</f>
        <v>-6.7569144590967412E-2</v>
      </c>
      <c r="P35" s="1090"/>
      <c r="Q35" s="1266"/>
      <c r="R35" s="1267"/>
      <c r="S35" s="1271"/>
      <c r="T35" s="1273"/>
      <c r="U35" s="1274"/>
    </row>
    <row r="36" spans="1:21" s="70" customFormat="1" hidden="1" outlineLevel="2">
      <c r="A36" s="1340"/>
      <c r="B36" s="589">
        <v>28</v>
      </c>
      <c r="C36" s="1243" t="str">
        <f t="shared" si="0"/>
        <v>Podio 01</v>
      </c>
      <c r="D36" s="1257" t="e">
        <f t="shared" si="9"/>
        <v>#REF!</v>
      </c>
      <c r="E36" s="1337" t="e">
        <f t="shared" si="2"/>
        <v>#REF!</v>
      </c>
      <c r="F36" s="1257" t="e">
        <f t="shared" si="10"/>
        <v>#REF!</v>
      </c>
      <c r="G36" s="1246">
        <v>49950</v>
      </c>
      <c r="H36" s="1357" t="e">
        <f t="shared" si="5"/>
        <v>#REF!</v>
      </c>
      <c r="I36" s="1358" t="e">
        <f t="shared" si="6"/>
        <v>#REF!</v>
      </c>
      <c r="J36" s="1313"/>
      <c r="K36" s="1837"/>
      <c r="L36" s="1825"/>
      <c r="M36" s="2243"/>
      <c r="N36" s="2249"/>
      <c r="O36" s="1825"/>
      <c r="P36" s="1090"/>
      <c r="Q36" s="1266"/>
      <c r="R36" s="1267"/>
      <c r="S36" s="1271"/>
      <c r="T36" s="1273"/>
      <c r="U36" s="1274"/>
    </row>
    <row r="37" spans="1:21" hidden="1" outlineLevel="1">
      <c r="J37" s="1250"/>
      <c r="K37" s="1250"/>
      <c r="L37" s="1250"/>
      <c r="M37" s="1250"/>
      <c r="N37" s="1250"/>
      <c r="O37" s="1250"/>
      <c r="P37" s="1250"/>
      <c r="Q37" s="1250"/>
      <c r="R37" s="1250"/>
      <c r="S37" s="1250"/>
      <c r="T37" s="1250"/>
      <c r="U37" s="1250"/>
    </row>
    <row r="38" spans="1:21" hidden="1" outlineLevel="1">
      <c r="C38" s="22" t="s">
        <v>912</v>
      </c>
      <c r="D38" s="22"/>
      <c r="J38" s="1250"/>
      <c r="K38" s="1250"/>
      <c r="L38" s="1250"/>
      <c r="M38" s="1250"/>
      <c r="N38" s="1250"/>
      <c r="O38" s="1250"/>
      <c r="P38" s="1250"/>
      <c r="Q38" s="1250"/>
      <c r="R38" s="1250"/>
      <c r="S38" s="1250"/>
      <c r="T38" s="1250"/>
      <c r="U38" s="1250"/>
    </row>
    <row r="39" spans="1:21" s="1234" customFormat="1" ht="12.75" hidden="1" outlineLevel="2">
      <c r="C39" s="1291" t="str">
        <f>C5</f>
        <v>терем</v>
      </c>
      <c r="D39" s="1292">
        <f>D5</f>
        <v>0.39</v>
      </c>
      <c r="E39" s="1329">
        <f>E5</f>
        <v>1.639344262295082</v>
      </c>
      <c r="F39" s="1329"/>
      <c r="G39" s="1329">
        <f>G5</f>
        <v>0</v>
      </c>
      <c r="H39" s="1359"/>
      <c r="I39" s="1360"/>
      <c r="J39" s="1309" t="str">
        <f>J5</f>
        <v>волховец</v>
      </c>
      <c r="K39" s="1330">
        <f>K5</f>
        <v>0</v>
      </c>
      <c r="L39" s="1311"/>
      <c r="M39" s="1309" t="str">
        <f>M5</f>
        <v>Фрамир</v>
      </c>
      <c r="N39" s="1330">
        <f>N5</f>
        <v>0</v>
      </c>
      <c r="O39" s="1311"/>
      <c r="P39" s="1261" t="str">
        <f>P5</f>
        <v>дариано</v>
      </c>
      <c r="Q39" s="1331">
        <f>Q5</f>
        <v>0</v>
      </c>
      <c r="R39" s="1263"/>
      <c r="S39" s="1268" t="str">
        <f>S5</f>
        <v>рада</v>
      </c>
      <c r="T39" s="1332">
        <f>T5</f>
        <v>0</v>
      </c>
      <c r="U39" s="1290"/>
    </row>
    <row r="40" spans="1:21" s="39" customFormat="1" ht="34.5" hidden="1" outlineLevel="2" thickBot="1">
      <c r="A40" s="1352" t="s">
        <v>1972</v>
      </c>
      <c r="C40" s="1306" t="s">
        <v>1616</v>
      </c>
      <c r="D40" s="1306" t="s">
        <v>2136</v>
      </c>
      <c r="E40" s="1306" t="s">
        <v>2135</v>
      </c>
      <c r="F40" s="1306" t="s">
        <v>2137</v>
      </c>
      <c r="G40" s="1306" t="s">
        <v>2134</v>
      </c>
      <c r="H40" s="1306" t="s">
        <v>2139</v>
      </c>
      <c r="I40" s="1306" t="s">
        <v>2138</v>
      </c>
      <c r="J40" s="1312" t="s">
        <v>1616</v>
      </c>
      <c r="K40" s="1312" t="s">
        <v>1618</v>
      </c>
      <c r="L40" s="1312" t="s">
        <v>1691</v>
      </c>
      <c r="M40" s="1312" t="s">
        <v>1616</v>
      </c>
      <c r="N40" s="1312" t="s">
        <v>1618</v>
      </c>
      <c r="O40" s="1312" t="s">
        <v>1691</v>
      </c>
      <c r="P40" s="1264" t="s">
        <v>1616</v>
      </c>
      <c r="Q40" s="1264" t="s">
        <v>1618</v>
      </c>
      <c r="R40" s="1264" t="s">
        <v>1691</v>
      </c>
      <c r="S40" s="1270" t="s">
        <v>1616</v>
      </c>
      <c r="T40" s="1270" t="s">
        <v>1618</v>
      </c>
      <c r="U40" s="1270" t="s">
        <v>1620</v>
      </c>
    </row>
    <row r="41" spans="1:21" s="22" customFormat="1" ht="15.75" hidden="1" outlineLevel="2" thickBot="1">
      <c r="A41" s="1340">
        <f>К_ясень!F62</f>
        <v>22200</v>
      </c>
      <c r="B41" s="4047" t="s">
        <v>2270</v>
      </c>
      <c r="C41" s="2190" t="s">
        <v>2271</v>
      </c>
      <c r="D41" s="1430">
        <f>E41*(1-$D$39)</f>
        <v>12871</v>
      </c>
      <c r="E41" s="1249">
        <f>Techno_Porte!G16</f>
        <v>21100</v>
      </c>
      <c r="F41" s="1430">
        <f>G41*(1-$D$39)</f>
        <v>8357</v>
      </c>
      <c r="G41" s="1246">
        <f>E41+H41</f>
        <v>13700</v>
      </c>
      <c r="H41" s="1431">
        <f t="shared" ref="H41:H50" si="12">H7</f>
        <v>-7400</v>
      </c>
      <c r="I41" s="1432">
        <f>G41/E41-1</f>
        <v>-0.35071090047393361</v>
      </c>
      <c r="J41" s="2190" t="s">
        <v>2272</v>
      </c>
      <c r="K41" s="1372">
        <v>12399</v>
      </c>
      <c r="L41" s="1435">
        <f>G41/K41-1</f>
        <v>0.10492781675941609</v>
      </c>
      <c r="M41" s="2243" t="s">
        <v>2273</v>
      </c>
      <c r="N41" s="2249">
        <v>17690</v>
      </c>
      <c r="O41" s="1435">
        <f>G41/N41-1</f>
        <v>-0.2255511588468061</v>
      </c>
      <c r="P41" s="1436" t="s">
        <v>1649</v>
      </c>
      <c r="Q41" s="1373">
        <v>19460</v>
      </c>
      <c r="R41" s="1438">
        <f>G41/Q41-1</f>
        <v>-0.29599177800616649</v>
      </c>
      <c r="S41" s="1439" t="s">
        <v>1650</v>
      </c>
      <c r="T41" s="1374">
        <v>16475</v>
      </c>
      <c r="U41" s="1441">
        <f>G41/T41-1</f>
        <v>-0.16843702579666164</v>
      </c>
    </row>
    <row r="42" spans="1:21" ht="15.75" hidden="1" outlineLevel="2" thickBot="1">
      <c r="A42" s="1340" t="e">
        <f>К_ясень!F63</f>
        <v>#REF!</v>
      </c>
      <c r="B42" s="4048"/>
      <c r="C42" s="2194" t="s">
        <v>2275</v>
      </c>
      <c r="D42" s="1430" t="e">
        <f t="shared" ref="D42:D70" si="13">E42*(1-$D$39)</f>
        <v>#REF!</v>
      </c>
      <c r="E42" s="1338" t="e">
        <f>Techno_Porte!#REF!</f>
        <v>#REF!</v>
      </c>
      <c r="F42" s="1430" t="e">
        <f t="shared" ref="F42:F70" si="14">G42*(1-$D$39)</f>
        <v>#REF!</v>
      </c>
      <c r="G42" s="1246" t="e">
        <f t="shared" ref="G42:G70" si="15">E42+H42</f>
        <v>#REF!</v>
      </c>
      <c r="H42" s="1431" t="e">
        <f t="shared" si="12"/>
        <v>#REF!</v>
      </c>
      <c r="I42" s="1358" t="e">
        <f>G42/E42-1</f>
        <v>#REF!</v>
      </c>
      <c r="J42" s="2196"/>
      <c r="K42" s="1372"/>
      <c r="L42" s="1316"/>
      <c r="M42" s="2243"/>
      <c r="N42" s="2249"/>
      <c r="O42" s="1435"/>
      <c r="P42" s="1090" t="s">
        <v>1652</v>
      </c>
      <c r="Q42" s="1373">
        <v>22170</v>
      </c>
      <c r="R42" s="1267" t="e">
        <f>G42/Q42-1</f>
        <v>#REF!</v>
      </c>
      <c r="S42" s="1271" t="s">
        <v>1653</v>
      </c>
      <c r="T42" s="1374">
        <v>17870</v>
      </c>
      <c r="U42" s="1274" t="e">
        <f>G42/T42-1</f>
        <v>#REF!</v>
      </c>
    </row>
    <row r="43" spans="1:21" ht="15.75" hidden="1" outlineLevel="2" thickBot="1">
      <c r="A43" s="2212"/>
      <c r="B43" s="4048"/>
      <c r="C43" s="2194" t="s">
        <v>2276</v>
      </c>
      <c r="D43" s="1430" t="e">
        <f t="shared" si="13"/>
        <v>#REF!</v>
      </c>
      <c r="E43" s="2213" t="e">
        <f>Techno_Porte!#REF!</f>
        <v>#REF!</v>
      </c>
      <c r="F43" s="1430" t="e">
        <f>G43*(1-$D$39)</f>
        <v>#REF!</v>
      </c>
      <c r="G43" s="1246" t="e">
        <f>E43+H43</f>
        <v>#REF!</v>
      </c>
      <c r="H43" s="1431" t="e">
        <f t="shared" si="12"/>
        <v>#REF!</v>
      </c>
      <c r="I43" s="2215"/>
      <c r="J43" s="2196"/>
      <c r="K43" s="1372"/>
      <c r="L43" s="2217"/>
      <c r="M43" s="2243"/>
      <c r="N43" s="2249"/>
      <c r="O43" s="1435"/>
      <c r="P43" s="2218"/>
      <c r="Q43" s="1373"/>
      <c r="R43" s="2219"/>
      <c r="S43" s="2220"/>
      <c r="T43" s="1374"/>
      <c r="U43" s="2221"/>
    </row>
    <row r="44" spans="1:21" ht="15.75" hidden="1" outlineLevel="2" thickBot="1">
      <c r="A44" s="1340">
        <f>К_ясень!F65</f>
        <v>26000</v>
      </c>
      <c r="B44" s="4048"/>
      <c r="C44" s="2190" t="s">
        <v>2277</v>
      </c>
      <c r="D44" s="1430">
        <f t="shared" si="13"/>
        <v>15829.5</v>
      </c>
      <c r="E44" s="1338">
        <f>Techno_Vetro!G13</f>
        <v>25950</v>
      </c>
      <c r="F44" s="1430">
        <f t="shared" si="14"/>
        <v>10187</v>
      </c>
      <c r="G44" s="1246">
        <f t="shared" si="15"/>
        <v>16700</v>
      </c>
      <c r="H44" s="1431">
        <f t="shared" si="12"/>
        <v>-9250</v>
      </c>
      <c r="I44" s="1358">
        <f t="shared" ref="I44:I50" si="16">G44/E44-1</f>
        <v>-0.35645472061657035</v>
      </c>
      <c r="J44" s="2199" t="s">
        <v>4</v>
      </c>
      <c r="K44" s="1372"/>
      <c r="L44" s="1316"/>
      <c r="M44" s="2243" t="s">
        <v>2278</v>
      </c>
      <c r="N44" s="2249">
        <v>19790</v>
      </c>
      <c r="O44" s="1435">
        <f t="shared" ref="O44:O69" si="17">G44/N44-1</f>
        <v>-0.1561394643759475</v>
      </c>
      <c r="P44" s="1090" t="s">
        <v>1658</v>
      </c>
      <c r="Q44" s="1373">
        <v>24380</v>
      </c>
      <c r="R44" s="1267">
        <f>G44/Q44-1</f>
        <v>-0.31501230516817058</v>
      </c>
      <c r="S44" s="1271" t="s">
        <v>1659</v>
      </c>
      <c r="T44" s="1374">
        <v>21365</v>
      </c>
      <c r="U44" s="1274">
        <f>G44/T44-1</f>
        <v>-0.21834776503627429</v>
      </c>
    </row>
    <row r="45" spans="1:21" ht="15.75" hidden="1" outlineLevel="2" thickBot="1">
      <c r="A45" s="1340"/>
      <c r="B45" s="4048"/>
      <c r="C45" s="2190" t="s">
        <v>2280</v>
      </c>
      <c r="D45" s="1430">
        <f t="shared" si="13"/>
        <v>13267.5</v>
      </c>
      <c r="E45" s="1337">
        <f>Twist!H7</f>
        <v>21750</v>
      </c>
      <c r="F45" s="1430">
        <f t="shared" si="14"/>
        <v>8052</v>
      </c>
      <c r="G45" s="1246">
        <f t="shared" si="15"/>
        <v>13200</v>
      </c>
      <c r="H45" s="1431">
        <f t="shared" si="12"/>
        <v>-8550</v>
      </c>
      <c r="I45" s="1358">
        <f t="shared" si="16"/>
        <v>-0.39310344827586208</v>
      </c>
      <c r="J45" s="2190" t="s">
        <v>2281</v>
      </c>
      <c r="K45" s="1372">
        <v>19299</v>
      </c>
      <c r="L45" s="1316">
        <f>G45/K45-1</f>
        <v>-0.3160267371366392</v>
      </c>
      <c r="M45" s="2243" t="s">
        <v>2282</v>
      </c>
      <c r="N45" s="2249">
        <v>16390</v>
      </c>
      <c r="O45" s="1435">
        <f t="shared" si="17"/>
        <v>-0.19463087248322153</v>
      </c>
      <c r="P45" s="1090" t="s">
        <v>1670</v>
      </c>
      <c r="Q45" s="1373">
        <v>21680</v>
      </c>
      <c r="R45" s="1267">
        <f>G45/Q45-1</f>
        <v>-0.39114391143911442</v>
      </c>
      <c r="S45" s="1271" t="s">
        <v>2099</v>
      </c>
      <c r="T45" s="1374">
        <v>16955</v>
      </c>
      <c r="U45" s="1274">
        <f>G45/T45-1</f>
        <v>-0.22146859333529934</v>
      </c>
    </row>
    <row r="46" spans="1:21" ht="15.75" hidden="1" outlineLevel="2" thickBot="1">
      <c r="A46" s="1340"/>
      <c r="B46" s="4048"/>
      <c r="C46" s="2190" t="s">
        <v>2166</v>
      </c>
      <c r="D46" s="1430">
        <f t="shared" si="13"/>
        <v>16226</v>
      </c>
      <c r="E46" s="1337">
        <f>Twist!G10</f>
        <v>26600</v>
      </c>
      <c r="F46" s="1430">
        <f t="shared" si="14"/>
        <v>11712</v>
      </c>
      <c r="G46" s="1246">
        <f>E46+H46</f>
        <v>19200</v>
      </c>
      <c r="H46" s="1431">
        <f t="shared" si="12"/>
        <v>-7400</v>
      </c>
      <c r="I46" s="1358">
        <f t="shared" si="16"/>
        <v>-0.27819548872180455</v>
      </c>
      <c r="J46" s="2190"/>
      <c r="K46" s="1372"/>
      <c r="L46" s="1316"/>
      <c r="M46" s="2243" t="s">
        <v>2371</v>
      </c>
      <c r="N46" s="2270">
        <v>22810</v>
      </c>
      <c r="O46" s="1435">
        <f t="shared" si="17"/>
        <v>-0.1582639193336256</v>
      </c>
      <c r="P46" s="1090" t="s">
        <v>2165</v>
      </c>
      <c r="Q46" s="1373">
        <v>26850</v>
      </c>
      <c r="R46" s="1267">
        <f>G46/Q46-1</f>
        <v>-0.28491620111731841</v>
      </c>
      <c r="S46" s="1271"/>
      <c r="T46" s="1374"/>
      <c r="U46" s="1274"/>
    </row>
    <row r="47" spans="1:21" ht="15.75" hidden="1" outlineLevel="2" thickBot="1">
      <c r="A47" s="1340"/>
      <c r="B47" s="4048"/>
      <c r="C47" s="2190" t="s">
        <v>1671</v>
      </c>
      <c r="D47" s="1430">
        <f t="shared" si="13"/>
        <v>15433</v>
      </c>
      <c r="E47" s="1337">
        <f>Twist!J7</f>
        <v>25300</v>
      </c>
      <c r="F47" s="1430">
        <f t="shared" si="14"/>
        <v>8052</v>
      </c>
      <c r="G47" s="1246">
        <f t="shared" si="15"/>
        <v>13200</v>
      </c>
      <c r="H47" s="1431">
        <f t="shared" si="12"/>
        <v>-12100</v>
      </c>
      <c r="I47" s="1358">
        <f t="shared" si="16"/>
        <v>-0.47826086956521741</v>
      </c>
      <c r="J47" s="2190" t="s">
        <v>2284</v>
      </c>
      <c r="K47" s="1372">
        <v>24299</v>
      </c>
      <c r="L47" s="1316">
        <f>G47/K47-1</f>
        <v>-0.45676776822091447</v>
      </c>
      <c r="M47" s="2243"/>
      <c r="N47" s="2249"/>
      <c r="O47" s="1435"/>
      <c r="P47" s="1090"/>
      <c r="Q47" s="1373">
        <v>26850</v>
      </c>
      <c r="R47" s="1267"/>
      <c r="S47" s="1271" t="s">
        <v>2100</v>
      </c>
      <c r="T47" s="1374">
        <v>16955</v>
      </c>
      <c r="U47" s="1274">
        <f>G47/T47-1</f>
        <v>-0.22146859333529934</v>
      </c>
    </row>
    <row r="48" spans="1:21" ht="15.75" hidden="1" outlineLevel="2" thickBot="1">
      <c r="A48" s="1340"/>
      <c r="B48" s="4048"/>
      <c r="C48" s="2194" t="s">
        <v>2285</v>
      </c>
      <c r="D48" s="1430">
        <f t="shared" si="13"/>
        <v>13877.5</v>
      </c>
      <c r="E48" s="1337">
        <f>Fusion_Plainе!G6</f>
        <v>22750</v>
      </c>
      <c r="F48" s="1430">
        <f t="shared" si="14"/>
        <v>8967</v>
      </c>
      <c r="G48" s="1246">
        <f t="shared" si="15"/>
        <v>14700</v>
      </c>
      <c r="H48" s="1431">
        <f t="shared" si="12"/>
        <v>-8050</v>
      </c>
      <c r="I48" s="1358">
        <f t="shared" si="16"/>
        <v>-0.35384615384615381</v>
      </c>
      <c r="J48" s="2190" t="s">
        <v>2286</v>
      </c>
      <c r="K48" s="1372">
        <v>25099</v>
      </c>
      <c r="L48" s="1316">
        <f>G48/K48-1</f>
        <v>-0.41431929558946567</v>
      </c>
      <c r="M48" s="2243" t="s">
        <v>2287</v>
      </c>
      <c r="N48" s="2249">
        <v>20490</v>
      </c>
      <c r="O48" s="1435">
        <f t="shared" si="17"/>
        <v>-0.28257686676427529</v>
      </c>
      <c r="P48" s="1436" t="s">
        <v>1631</v>
      </c>
      <c r="Q48" s="1373">
        <v>21680</v>
      </c>
      <c r="R48" s="1438">
        <f>G48/Q48-1</f>
        <v>-0.3219557195571956</v>
      </c>
      <c r="S48" s="1271"/>
      <c r="T48" s="1374"/>
      <c r="U48" s="1274"/>
    </row>
    <row r="49" spans="1:21" s="22" customFormat="1" ht="15.75" hidden="1" outlineLevel="2" thickBot="1">
      <c r="A49" s="1340">
        <f>К_ясень!F47</f>
        <v>28600</v>
      </c>
      <c r="B49" s="4048"/>
      <c r="C49" s="2190" t="s">
        <v>2289</v>
      </c>
      <c r="D49" s="1430">
        <f t="shared" si="13"/>
        <v>14487.5</v>
      </c>
      <c r="E49" s="1249">
        <f>Fusion!H7</f>
        <v>23750</v>
      </c>
      <c r="F49" s="1430">
        <f t="shared" si="14"/>
        <v>9577</v>
      </c>
      <c r="G49" s="1246">
        <f t="shared" si="15"/>
        <v>15700</v>
      </c>
      <c r="H49" s="1431">
        <f t="shared" si="12"/>
        <v>-8050</v>
      </c>
      <c r="I49" s="1432">
        <f t="shared" si="16"/>
        <v>-0.33894736842105266</v>
      </c>
      <c r="J49" s="2190"/>
      <c r="K49" s="1372"/>
      <c r="L49" s="1435"/>
      <c r="M49" s="2243" t="s">
        <v>2290</v>
      </c>
      <c r="N49" s="2249">
        <v>23890</v>
      </c>
      <c r="O49" s="1435">
        <f t="shared" si="17"/>
        <v>-0.34282126412724989</v>
      </c>
      <c r="P49" s="1436"/>
      <c r="Q49" s="1373"/>
      <c r="R49" s="1438"/>
      <c r="S49" s="1439"/>
      <c r="T49" s="1374"/>
      <c r="U49" s="1441"/>
    </row>
    <row r="50" spans="1:21" s="22" customFormat="1" ht="15.75" hidden="1" outlineLevel="2" thickBot="1">
      <c r="A50" s="1340"/>
      <c r="B50" s="4048"/>
      <c r="C50" s="2190" t="s">
        <v>2366</v>
      </c>
      <c r="D50" s="1430">
        <f t="shared" si="13"/>
        <v>17446</v>
      </c>
      <c r="E50" s="1249">
        <f>Fusion!H10</f>
        <v>28600</v>
      </c>
      <c r="F50" s="1430">
        <f t="shared" si="14"/>
        <v>11407</v>
      </c>
      <c r="G50" s="1246">
        <f t="shared" si="15"/>
        <v>18700</v>
      </c>
      <c r="H50" s="1431">
        <f t="shared" si="12"/>
        <v>-9900</v>
      </c>
      <c r="I50" s="1432">
        <f t="shared" si="16"/>
        <v>-0.34615384615384615</v>
      </c>
      <c r="J50" s="2190"/>
      <c r="K50" s="1372"/>
      <c r="L50" s="1435"/>
      <c r="M50" s="2243" t="s">
        <v>2369</v>
      </c>
      <c r="N50" s="2249">
        <v>22410</v>
      </c>
      <c r="O50" s="1435">
        <f t="shared" si="17"/>
        <v>-0.16555109326193662</v>
      </c>
      <c r="P50" s="1436" t="s">
        <v>2367</v>
      </c>
      <c r="Q50" s="1373">
        <v>26070</v>
      </c>
      <c r="R50" s="1438">
        <f>G50/Q50-1</f>
        <v>-0.28270042194092826</v>
      </c>
      <c r="S50" s="1439" t="s">
        <v>2368</v>
      </c>
      <c r="T50" s="1374">
        <v>21490</v>
      </c>
      <c r="U50" s="1441">
        <f>G50/T50-1</f>
        <v>-0.12982782689623085</v>
      </c>
    </row>
    <row r="51" spans="1:21" s="22" customFormat="1" ht="24" hidden="1" outlineLevel="2" thickBot="1">
      <c r="A51" s="2212"/>
      <c r="B51" s="4049"/>
      <c r="C51" s="2194" t="s">
        <v>2291</v>
      </c>
      <c r="D51" s="1430">
        <f t="shared" si="13"/>
        <v>14731.5</v>
      </c>
      <c r="E51" s="2223">
        <f>Eclectica_Stripe!G7</f>
        <v>24150</v>
      </c>
      <c r="F51" s="1430">
        <f t="shared" si="14"/>
        <v>9302.5</v>
      </c>
      <c r="G51" s="1246">
        <f t="shared" si="15"/>
        <v>15250</v>
      </c>
      <c r="H51" s="1431">
        <f>H18</f>
        <v>-8900</v>
      </c>
      <c r="I51" s="2224"/>
      <c r="J51" s="2201"/>
      <c r="K51" s="1372"/>
      <c r="L51" s="2225"/>
      <c r="M51" s="2243" t="s">
        <v>2292</v>
      </c>
      <c r="N51" s="2249">
        <v>21490</v>
      </c>
      <c r="O51" s="1435">
        <f t="shared" si="17"/>
        <v>-0.29036761284318291</v>
      </c>
      <c r="P51" s="2226" t="s">
        <v>1628</v>
      </c>
      <c r="Q51" s="1373">
        <v>21590</v>
      </c>
      <c r="R51" s="2227"/>
      <c r="S51" s="1439" t="s">
        <v>2097</v>
      </c>
      <c r="T51" s="1374">
        <v>19295</v>
      </c>
      <c r="U51" s="1441">
        <f>G51/T51-1</f>
        <v>-0.20963980305778696</v>
      </c>
    </row>
    <row r="52" spans="1:21" s="22" customFormat="1" ht="15.75" hidden="1" outlineLevel="2" thickBot="1">
      <c r="A52" s="1340"/>
      <c r="B52" s="4050" t="s">
        <v>2294</v>
      </c>
      <c r="C52" s="2202" t="s">
        <v>1627</v>
      </c>
      <c r="D52" s="1430">
        <f t="shared" si="13"/>
        <v>16531</v>
      </c>
      <c r="E52" s="1246">
        <f>Elegance!H6</f>
        <v>27100</v>
      </c>
      <c r="F52" s="1430">
        <f t="shared" si="14"/>
        <v>11102</v>
      </c>
      <c r="G52" s="1246">
        <f t="shared" si="15"/>
        <v>18200</v>
      </c>
      <c r="H52" s="1431">
        <f t="shared" ref="H52:H70" si="18">H18</f>
        <v>-8900</v>
      </c>
      <c r="I52" s="1432">
        <f>G52/E52-1</f>
        <v>-0.32841328413284132</v>
      </c>
      <c r="J52" s="2203" t="s">
        <v>4</v>
      </c>
      <c r="K52" s="1372"/>
      <c r="L52" s="1435"/>
      <c r="M52" s="2243" t="s">
        <v>2295</v>
      </c>
      <c r="N52" s="2249">
        <v>25190</v>
      </c>
      <c r="O52" s="1435">
        <f t="shared" si="17"/>
        <v>-0.27749106788408096</v>
      </c>
      <c r="P52" s="1436" t="s">
        <v>1626</v>
      </c>
      <c r="Q52" s="1373">
        <v>21590</v>
      </c>
      <c r="R52" s="1438">
        <f>G52/Q52-1</f>
        <v>-0.15701713756368685</v>
      </c>
      <c r="S52" s="1439" t="s">
        <v>2044</v>
      </c>
      <c r="T52" s="1374">
        <v>22545</v>
      </c>
      <c r="U52" s="1441">
        <f>G52/T52-1</f>
        <v>-0.192725659791528</v>
      </c>
    </row>
    <row r="53" spans="1:21" s="22" customFormat="1" ht="15.75" hidden="1" outlineLevel="2" thickBot="1">
      <c r="A53" s="2212"/>
      <c r="B53" s="4051"/>
      <c r="C53" s="2204" t="s">
        <v>2297</v>
      </c>
      <c r="D53" s="1430">
        <f t="shared" si="13"/>
        <v>0</v>
      </c>
      <c r="E53" s="2214"/>
      <c r="F53" s="1430">
        <f t="shared" si="14"/>
        <v>12322</v>
      </c>
      <c r="G53" s="1246">
        <f t="shared" si="15"/>
        <v>20200</v>
      </c>
      <c r="H53" s="1431">
        <f t="shared" si="18"/>
        <v>20200</v>
      </c>
      <c r="I53" s="2224"/>
      <c r="J53" s="2203"/>
      <c r="K53" s="1372"/>
      <c r="L53" s="2225"/>
      <c r="M53" s="2243" t="s">
        <v>2298</v>
      </c>
      <c r="N53" s="2249">
        <v>26990</v>
      </c>
      <c r="O53" s="1435">
        <f t="shared" si="17"/>
        <v>-0.25157465728047423</v>
      </c>
      <c r="P53" s="2226"/>
      <c r="Q53" s="1373"/>
      <c r="R53" s="2227"/>
      <c r="S53" s="2228"/>
      <c r="T53" s="1374"/>
      <c r="U53" s="2229"/>
    </row>
    <row r="54" spans="1:21" s="22" customFormat="1" ht="15.75" hidden="1" outlineLevel="2" thickBot="1">
      <c r="A54" s="1340"/>
      <c r="B54" s="4051"/>
      <c r="C54" s="2202" t="s">
        <v>2299</v>
      </c>
      <c r="D54" s="1430">
        <f t="shared" si="13"/>
        <v>20557</v>
      </c>
      <c r="E54" s="1246">
        <f>'Modern Turin'!H7</f>
        <v>33700</v>
      </c>
      <c r="F54" s="1430">
        <f t="shared" si="14"/>
        <v>14152</v>
      </c>
      <c r="G54" s="1246">
        <f t="shared" si="15"/>
        <v>23200</v>
      </c>
      <c r="H54" s="1431">
        <f t="shared" si="18"/>
        <v>-10500</v>
      </c>
      <c r="I54" s="1432">
        <f>G54/E54-1</f>
        <v>-0.31157270029673589</v>
      </c>
      <c r="J54" s="2203" t="s">
        <v>4</v>
      </c>
      <c r="K54" s="1372"/>
      <c r="L54" s="1435"/>
      <c r="M54" s="2243" t="s">
        <v>2300</v>
      </c>
      <c r="N54" s="2249">
        <v>27990</v>
      </c>
      <c r="O54" s="1435">
        <f t="shared" si="17"/>
        <v>-0.17113254733833516</v>
      </c>
      <c r="P54" s="1436"/>
      <c r="Q54" s="1373"/>
      <c r="R54" s="1438"/>
      <c r="S54" s="1439"/>
      <c r="T54" s="1374"/>
      <c r="U54" s="1441"/>
    </row>
    <row r="55" spans="1:21" s="22" customFormat="1" ht="15.75" hidden="1" outlineLevel="2" thickBot="1">
      <c r="A55" s="1340"/>
      <c r="B55" s="4052"/>
      <c r="C55" s="2202" t="s">
        <v>365</v>
      </c>
      <c r="D55" s="1430">
        <f t="shared" si="13"/>
        <v>23454.5</v>
      </c>
      <c r="E55" s="1246">
        <f>'Modern Bergamo'!H7</f>
        <v>38450</v>
      </c>
      <c r="F55" s="1430">
        <f t="shared" si="14"/>
        <v>16897</v>
      </c>
      <c r="G55" s="1246">
        <f t="shared" si="15"/>
        <v>27700</v>
      </c>
      <c r="H55" s="1431">
        <f t="shared" si="18"/>
        <v>-10750</v>
      </c>
      <c r="I55" s="1432">
        <f>G55/E55-1</f>
        <v>-0.27958387516254879</v>
      </c>
      <c r="J55" s="2203" t="s">
        <v>4</v>
      </c>
      <c r="K55" s="1372"/>
      <c r="L55" s="1435"/>
      <c r="M55" s="2243"/>
      <c r="N55" s="2249"/>
      <c r="O55" s="1435"/>
      <c r="P55" s="1436"/>
      <c r="Q55" s="1373"/>
      <c r="R55" s="1438"/>
      <c r="S55" s="1439"/>
      <c r="T55" s="1374"/>
      <c r="U55" s="1441"/>
    </row>
    <row r="56" spans="1:21" s="22" customFormat="1" ht="15.75" hidden="1" outlineLevel="2" thickBot="1">
      <c r="A56" s="1340">
        <f>К_ясень!F48</f>
        <v>22000</v>
      </c>
      <c r="B56" s="4047" t="s">
        <v>2301</v>
      </c>
      <c r="C56" s="2190" t="s">
        <v>1632</v>
      </c>
      <c r="D56" s="1430" t="e">
        <f t="shared" si="13"/>
        <v>#REF!</v>
      </c>
      <c r="E56" s="1246" t="e">
        <f>Neoclassic!#REF!</f>
        <v>#REF!</v>
      </c>
      <c r="F56" s="1430" t="e">
        <f t="shared" si="14"/>
        <v>#REF!</v>
      </c>
      <c r="G56" s="1246" t="e">
        <f t="shared" si="15"/>
        <v>#REF!</v>
      </c>
      <c r="H56" s="1431" t="e">
        <f t="shared" si="18"/>
        <v>#REF!</v>
      </c>
      <c r="I56" s="1432" t="e">
        <f>G56/E56-1</f>
        <v>#REF!</v>
      </c>
      <c r="J56" s="2190" t="s">
        <v>2302</v>
      </c>
      <c r="K56" s="1372">
        <v>17699</v>
      </c>
      <c r="L56" s="1435" t="e">
        <f>G56/K56-1</f>
        <v>#REF!</v>
      </c>
      <c r="M56" s="2243" t="s">
        <v>2303</v>
      </c>
      <c r="N56" s="2249">
        <v>19990</v>
      </c>
      <c r="O56" s="1435" t="e">
        <f t="shared" si="17"/>
        <v>#REF!</v>
      </c>
      <c r="P56" s="1436" t="s">
        <v>2163</v>
      </c>
      <c r="Q56" s="1373">
        <v>24110</v>
      </c>
      <c r="R56" s="1438" t="e">
        <f>G56/Q56-1</f>
        <v>#REF!</v>
      </c>
      <c r="S56" s="1439" t="s">
        <v>2037</v>
      </c>
      <c r="T56" s="1374">
        <v>22530</v>
      </c>
      <c r="U56" s="1441" t="e">
        <f>G56/T56-1</f>
        <v>#REF!</v>
      </c>
    </row>
    <row r="57" spans="1:21" ht="15.75" hidden="1" outlineLevel="2" thickBot="1">
      <c r="A57" s="1340">
        <f>К_ясень!F54</f>
        <v>25100</v>
      </c>
      <c r="B57" s="4048"/>
      <c r="C57" s="2190" t="s">
        <v>2304</v>
      </c>
      <c r="D57" s="1430">
        <f t="shared" si="13"/>
        <v>14365.5</v>
      </c>
      <c r="E57" s="1337">
        <f>Standart!H7</f>
        <v>23550</v>
      </c>
      <c r="F57" s="1430">
        <f t="shared" si="14"/>
        <v>8662</v>
      </c>
      <c r="G57" s="1246">
        <f t="shared" si="15"/>
        <v>14200</v>
      </c>
      <c r="H57" s="1431">
        <f t="shared" si="18"/>
        <v>-9350</v>
      </c>
      <c r="I57" s="1358">
        <f>G57/E57-1</f>
        <v>-0.39702760084925692</v>
      </c>
      <c r="J57" s="2190" t="s">
        <v>2305</v>
      </c>
      <c r="K57" s="1372">
        <v>17099</v>
      </c>
      <c r="L57" s="1316">
        <f>G57/K57-1</f>
        <v>-0.16954207848412184</v>
      </c>
      <c r="M57" s="2243" t="s">
        <v>2306</v>
      </c>
      <c r="N57" s="2249">
        <v>17590</v>
      </c>
      <c r="O57" s="1435">
        <f t="shared" si="17"/>
        <v>-0.1927231381466743</v>
      </c>
      <c r="P57" s="1097"/>
      <c r="Q57" s="1373"/>
      <c r="R57" s="1267"/>
      <c r="S57" s="1275"/>
      <c r="T57" s="1374"/>
      <c r="U57" s="1274"/>
    </row>
    <row r="58" spans="1:21" ht="15.75" hidden="1" outlineLevel="2" thickBot="1">
      <c r="A58" s="1340">
        <f>К_ясень!F61</f>
        <v>26650</v>
      </c>
      <c r="B58" s="4048"/>
      <c r="C58" s="2190" t="s">
        <v>2307</v>
      </c>
      <c r="D58" s="1430">
        <f t="shared" si="13"/>
        <v>15890.5</v>
      </c>
      <c r="E58" s="1337">
        <f>Standart!K7</f>
        <v>26050</v>
      </c>
      <c r="F58" s="1430">
        <f t="shared" si="14"/>
        <v>10797</v>
      </c>
      <c r="G58" s="1246">
        <f t="shared" si="15"/>
        <v>17700</v>
      </c>
      <c r="H58" s="1431">
        <f t="shared" si="18"/>
        <v>-8350</v>
      </c>
      <c r="I58" s="1358">
        <f>G58/E58-1</f>
        <v>-0.32053742802303264</v>
      </c>
      <c r="J58" s="2190" t="s">
        <v>2308</v>
      </c>
      <c r="K58" s="1372">
        <v>22699</v>
      </c>
      <c r="L58" s="1316">
        <f>G58/K58-1</f>
        <v>-0.22022996607780077</v>
      </c>
      <c r="M58" s="2243" t="s">
        <v>2309</v>
      </c>
      <c r="N58" s="2249">
        <v>22790</v>
      </c>
      <c r="O58" s="1435">
        <f t="shared" si="17"/>
        <v>-0.22334357174199215</v>
      </c>
      <c r="P58" s="1097"/>
      <c r="Q58" s="1373"/>
      <c r="R58" s="1267"/>
      <c r="S58" s="1275"/>
      <c r="T58" s="1374"/>
      <c r="U58" s="1274"/>
    </row>
    <row r="59" spans="1:21" ht="15.75" hidden="1" outlineLevel="2" thickBot="1">
      <c r="A59" s="2212"/>
      <c r="B59" s="4049"/>
      <c r="C59" s="2190" t="s">
        <v>2310</v>
      </c>
      <c r="D59" s="1430">
        <f t="shared" si="13"/>
        <v>18361</v>
      </c>
      <c r="E59" s="2222">
        <f>'Жалюзийные двери Louver'!G6</f>
        <v>30100</v>
      </c>
      <c r="F59" s="1430">
        <f t="shared" si="14"/>
        <v>12627</v>
      </c>
      <c r="G59" s="1246">
        <f t="shared" si="15"/>
        <v>20700</v>
      </c>
      <c r="H59" s="1431">
        <f t="shared" si="18"/>
        <v>-9400</v>
      </c>
      <c r="I59" s="2215"/>
      <c r="J59" s="2207" t="s">
        <v>4</v>
      </c>
      <c r="K59" s="1372"/>
      <c r="L59" s="1316"/>
      <c r="M59" s="2243"/>
      <c r="N59" s="2249"/>
      <c r="O59" s="1435"/>
      <c r="P59" s="2230"/>
      <c r="Q59" s="1373"/>
      <c r="R59" s="2219"/>
      <c r="S59" s="2231"/>
      <c r="T59" s="1374"/>
      <c r="U59" s="2221"/>
    </row>
    <row r="60" spans="1:21" ht="15.75" hidden="1" outlineLevel="2" thickBot="1">
      <c r="A60" s="1340"/>
      <c r="B60" s="4050" t="s">
        <v>2311</v>
      </c>
      <c r="C60" s="2202" t="s">
        <v>2312</v>
      </c>
      <c r="D60" s="1430">
        <f t="shared" si="13"/>
        <v>26321.5</v>
      </c>
      <c r="E60" s="1337">
        <f>'E-Classic'!G6</f>
        <v>43150</v>
      </c>
      <c r="F60" s="1430">
        <f t="shared" si="14"/>
        <v>18117</v>
      </c>
      <c r="G60" s="1246">
        <f t="shared" si="15"/>
        <v>29700</v>
      </c>
      <c r="H60" s="1431">
        <f t="shared" si="18"/>
        <v>-13450</v>
      </c>
      <c r="I60" s="1358">
        <f t="shared" ref="I60:I68" si="19">G60/E60-1</f>
        <v>-0.31170336037079949</v>
      </c>
      <c r="J60" s="2208" t="s">
        <v>4</v>
      </c>
      <c r="K60" s="1372"/>
      <c r="L60" s="1316"/>
      <c r="M60" s="2243" t="s">
        <v>2313</v>
      </c>
      <c r="N60" s="2249">
        <v>43190</v>
      </c>
      <c r="O60" s="1435">
        <f t="shared" si="17"/>
        <v>-0.31234081963417459</v>
      </c>
      <c r="P60" s="1090" t="s">
        <v>1621</v>
      </c>
      <c r="Q60" s="1373">
        <v>28050</v>
      </c>
      <c r="R60" s="1267">
        <f>G60/Q60-1</f>
        <v>5.8823529411764719E-2</v>
      </c>
      <c r="S60" s="1271" t="s">
        <v>2042</v>
      </c>
      <c r="T60" s="1374">
        <v>43630</v>
      </c>
      <c r="U60" s="1274">
        <f>G60/T60-1</f>
        <v>-0.31927572771029111</v>
      </c>
    </row>
    <row r="61" spans="1:21" ht="15.75" hidden="1" outlineLevel="2" thickBot="1">
      <c r="A61" s="2212"/>
      <c r="B61" s="4051"/>
      <c r="C61" s="2202" t="s">
        <v>2314</v>
      </c>
      <c r="D61" s="1430">
        <f t="shared" si="13"/>
        <v>22326</v>
      </c>
      <c r="E61" s="2222">
        <f>'Provеnce Amelia'!G7</f>
        <v>36600</v>
      </c>
      <c r="F61" s="1430">
        <f t="shared" si="14"/>
        <v>18727</v>
      </c>
      <c r="G61" s="1246">
        <f t="shared" si="15"/>
        <v>30700</v>
      </c>
      <c r="H61" s="1431">
        <f t="shared" si="18"/>
        <v>-5900</v>
      </c>
      <c r="I61" s="1358">
        <f t="shared" si="19"/>
        <v>-0.16120218579234968</v>
      </c>
      <c r="J61" s="2208" t="s">
        <v>4</v>
      </c>
      <c r="K61" s="1372"/>
      <c r="L61" s="1316"/>
      <c r="M61" s="2243" t="s">
        <v>2315</v>
      </c>
      <c r="N61" s="2249">
        <v>34090</v>
      </c>
      <c r="O61" s="1435">
        <f t="shared" si="17"/>
        <v>-9.9442651804048099E-2</v>
      </c>
      <c r="P61" s="2218" t="s">
        <v>2330</v>
      </c>
      <c r="Q61" s="1373">
        <v>29780</v>
      </c>
      <c r="R61" s="1267">
        <f>G61/Q61-1</f>
        <v>3.0893216924110067E-2</v>
      </c>
      <c r="S61" s="2220"/>
      <c r="T61" s="1374"/>
      <c r="U61" s="2221"/>
    </row>
    <row r="62" spans="1:21" ht="15.75" hidden="1" outlineLevel="2" thickBot="1">
      <c r="A62" s="1340"/>
      <c r="B62" s="4051"/>
      <c r="C62" s="2202" t="s">
        <v>2316</v>
      </c>
      <c r="D62" s="1430">
        <f t="shared" si="13"/>
        <v>28883.5</v>
      </c>
      <c r="E62" s="1337">
        <f>'E-Classic'!K6</f>
        <v>47350</v>
      </c>
      <c r="F62" s="1430">
        <f t="shared" si="14"/>
        <v>19947</v>
      </c>
      <c r="G62" s="1246">
        <f t="shared" si="15"/>
        <v>32700</v>
      </c>
      <c r="H62" s="1431">
        <f t="shared" si="18"/>
        <v>-14650</v>
      </c>
      <c r="I62" s="1358">
        <f t="shared" si="19"/>
        <v>-0.30939809926082362</v>
      </c>
      <c r="J62" s="2208" t="s">
        <v>4</v>
      </c>
      <c r="K62" s="1372"/>
      <c r="L62" s="1316"/>
      <c r="M62" s="2243" t="s">
        <v>2317</v>
      </c>
      <c r="N62" s="2249">
        <v>41090</v>
      </c>
      <c r="O62" s="1435">
        <f t="shared" si="17"/>
        <v>-0.20418593331710877</v>
      </c>
      <c r="P62" s="1090" t="s">
        <v>2168</v>
      </c>
      <c r="Q62" s="1373">
        <v>28050</v>
      </c>
      <c r="R62" s="1267">
        <f>G62/Q62-1</f>
        <v>0.16577540106951871</v>
      </c>
      <c r="S62" s="1271"/>
      <c r="T62" s="1374"/>
      <c r="U62" s="1274"/>
    </row>
    <row r="63" spans="1:21" ht="15.75" hidden="1" outlineLevel="2" thickBot="1">
      <c r="A63" s="1340"/>
      <c r="B63" s="4052"/>
      <c r="C63" s="2202" t="s">
        <v>1623</v>
      </c>
      <c r="D63" s="1430">
        <f t="shared" si="13"/>
        <v>32909.5</v>
      </c>
      <c r="E63" s="1337">
        <f>'E-Classic'!M6:M6</f>
        <v>53950</v>
      </c>
      <c r="F63" s="1430">
        <f t="shared" si="14"/>
        <v>22997</v>
      </c>
      <c r="G63" s="1246">
        <f t="shared" si="15"/>
        <v>37700</v>
      </c>
      <c r="H63" s="1431">
        <f t="shared" si="18"/>
        <v>-16250</v>
      </c>
      <c r="I63" s="1358">
        <f t="shared" si="19"/>
        <v>-0.3012048192771084</v>
      </c>
      <c r="J63" s="2208" t="s">
        <v>4</v>
      </c>
      <c r="K63" s="1372"/>
      <c r="L63" s="1316"/>
      <c r="M63" s="2243"/>
      <c r="N63" s="2249"/>
      <c r="O63" s="1435"/>
      <c r="P63" s="1090"/>
      <c r="Q63" s="1266"/>
      <c r="R63" s="1267"/>
      <c r="S63" s="1271"/>
      <c r="T63" s="1374"/>
      <c r="U63" s="1274"/>
    </row>
    <row r="64" spans="1:21" ht="24" hidden="1" outlineLevel="2" thickBot="1">
      <c r="A64" s="1340"/>
      <c r="B64" s="2232"/>
      <c r="C64" s="2190" t="s">
        <v>1672</v>
      </c>
      <c r="D64" s="1430">
        <f t="shared" si="13"/>
        <v>19459</v>
      </c>
      <c r="E64" s="1337">
        <f>'Provеnce Sienna'!G7</f>
        <v>31900</v>
      </c>
      <c r="F64" s="1430">
        <f t="shared" si="14"/>
        <v>13542</v>
      </c>
      <c r="G64" s="1246">
        <f t="shared" si="15"/>
        <v>22200</v>
      </c>
      <c r="H64" s="1431">
        <f t="shared" si="18"/>
        <v>-9700</v>
      </c>
      <c r="I64" s="1358">
        <f t="shared" si="19"/>
        <v>-0.3040752351097179</v>
      </c>
      <c r="J64" s="2201"/>
      <c r="K64" s="1372"/>
      <c r="L64" s="1316"/>
      <c r="M64" s="2243"/>
      <c r="N64" s="2249"/>
      <c r="O64" s="1435"/>
      <c r="P64" s="1090" t="s">
        <v>2169</v>
      </c>
      <c r="Q64" s="1266">
        <v>21590</v>
      </c>
      <c r="R64" s="1267">
        <f>G64/Q64-1</f>
        <v>2.8253821213524821E-2</v>
      </c>
      <c r="S64" s="1271"/>
      <c r="T64" s="1374"/>
      <c r="U64" s="1274"/>
    </row>
    <row r="65" spans="1:21" ht="24" hidden="1" outlineLevel="2" thickBot="1">
      <c r="A65" s="1340"/>
      <c r="B65" s="4047" t="s">
        <v>2318</v>
      </c>
      <c r="C65" s="2190" t="s">
        <v>2319</v>
      </c>
      <c r="D65" s="1430">
        <f t="shared" si="13"/>
        <v>19916.5</v>
      </c>
      <c r="E65" s="1337">
        <f>'Provеnce Sienna'!H7</f>
        <v>32650</v>
      </c>
      <c r="F65" s="1430">
        <f t="shared" si="14"/>
        <v>14457</v>
      </c>
      <c r="G65" s="1246">
        <f t="shared" si="15"/>
        <v>23700</v>
      </c>
      <c r="H65" s="1431">
        <f t="shared" si="18"/>
        <v>-8950</v>
      </c>
      <c r="I65" s="1358">
        <f t="shared" si="19"/>
        <v>-0.2741194486983155</v>
      </c>
      <c r="J65" s="2201"/>
      <c r="K65" s="1372"/>
      <c r="L65" s="1316"/>
      <c r="M65" s="2243" t="s">
        <v>2320</v>
      </c>
      <c r="N65" s="2249">
        <v>27990</v>
      </c>
      <c r="O65" s="1435">
        <f t="shared" si="17"/>
        <v>-0.15326902465166126</v>
      </c>
      <c r="P65" s="1090" t="s">
        <v>2329</v>
      </c>
      <c r="Q65" s="1266">
        <v>25920</v>
      </c>
      <c r="R65" s="1267">
        <f>G65/Q65-1</f>
        <v>-8.564814814814814E-2</v>
      </c>
      <c r="S65" s="1271"/>
      <c r="T65" s="1374"/>
      <c r="U65" s="1274"/>
    </row>
    <row r="66" spans="1:21" ht="30.75" hidden="1" outlineLevel="2" thickBot="1">
      <c r="A66" s="1340"/>
      <c r="B66" s="4048"/>
      <c r="C66" s="2190" t="s">
        <v>2321</v>
      </c>
      <c r="D66" s="1430" t="e">
        <f t="shared" si="13"/>
        <v>#REF!</v>
      </c>
      <c r="E66" s="1337" t="e">
        <f>'Provеnce Amelia'!#REF!-10000</f>
        <v>#REF!</v>
      </c>
      <c r="F66" s="1430" t="e">
        <f t="shared" si="14"/>
        <v>#REF!</v>
      </c>
      <c r="G66" s="1246" t="e">
        <f t="shared" si="15"/>
        <v>#REF!</v>
      </c>
      <c r="H66" s="1431" t="e">
        <f t="shared" si="18"/>
        <v>#REF!</v>
      </c>
      <c r="I66" s="1358" t="e">
        <f t="shared" si="19"/>
        <v>#REF!</v>
      </c>
      <c r="J66" s="2190" t="s">
        <v>2322</v>
      </c>
      <c r="K66" s="1372">
        <v>33299</v>
      </c>
      <c r="L66" s="1316" t="e">
        <f>G66/K66-1</f>
        <v>#REF!</v>
      </c>
      <c r="M66" s="2243"/>
      <c r="N66" s="2249"/>
      <c r="O66" s="1435"/>
      <c r="P66" s="1090"/>
      <c r="Q66" s="1266"/>
      <c r="R66" s="1267"/>
      <c r="S66" s="1271"/>
      <c r="T66" s="1374"/>
      <c r="U66" s="1274"/>
    </row>
    <row r="67" spans="1:21" ht="15.75" hidden="1" outlineLevel="2" thickBot="1">
      <c r="A67" s="1340"/>
      <c r="B67" s="4048"/>
      <c r="C67" s="2190" t="s">
        <v>2323</v>
      </c>
      <c r="D67" s="1430">
        <f t="shared" si="13"/>
        <v>36173</v>
      </c>
      <c r="E67" s="1337">
        <f>'Provеnce Amelia'!K10</f>
        <v>59300</v>
      </c>
      <c r="F67" s="1430">
        <f t="shared" si="14"/>
        <v>26047</v>
      </c>
      <c r="G67" s="1246">
        <f t="shared" si="15"/>
        <v>42700</v>
      </c>
      <c r="H67" s="1431">
        <f t="shared" si="18"/>
        <v>-16600</v>
      </c>
      <c r="I67" s="1358">
        <f t="shared" si="19"/>
        <v>-0.2799325463743676</v>
      </c>
      <c r="J67" s="2207"/>
      <c r="K67" s="1372"/>
      <c r="L67" s="1316"/>
      <c r="M67" s="2243"/>
      <c r="N67" s="2249"/>
      <c r="O67" s="1435"/>
      <c r="P67" s="1090" t="s">
        <v>2164</v>
      </c>
      <c r="Q67" s="1266">
        <v>38340</v>
      </c>
      <c r="R67" s="1267">
        <f>G67/Q67-1</f>
        <v>0.11371935315597281</v>
      </c>
      <c r="S67" s="2207" t="s">
        <v>2324</v>
      </c>
      <c r="T67" s="1374">
        <v>42630</v>
      </c>
      <c r="U67" s="1274"/>
    </row>
    <row r="68" spans="1:21" s="22" customFormat="1" ht="15.75" hidden="1" outlineLevel="2" thickBot="1">
      <c r="A68" s="1340"/>
      <c r="B68" s="4047" t="s">
        <v>2325</v>
      </c>
      <c r="C68" s="2202" t="s">
        <v>743</v>
      </c>
      <c r="D68" s="1430" t="e">
        <f t="shared" si="13"/>
        <v>#REF!</v>
      </c>
      <c r="E68" s="1246" t="e">
        <f>Design!#REF!</f>
        <v>#REF!</v>
      </c>
      <c r="F68" s="1430" t="e">
        <f t="shared" si="14"/>
        <v>#REF!</v>
      </c>
      <c r="G68" s="1246" t="e">
        <f t="shared" si="15"/>
        <v>#REF!</v>
      </c>
      <c r="H68" s="1431" t="e">
        <f t="shared" si="18"/>
        <v>#REF!</v>
      </c>
      <c r="I68" s="1432" t="e">
        <f t="shared" si="19"/>
        <v>#REF!</v>
      </c>
      <c r="J68" s="2208"/>
      <c r="K68" s="1372"/>
      <c r="L68" s="1316"/>
      <c r="M68" s="2243"/>
      <c r="N68" s="2249"/>
      <c r="O68" s="1435"/>
      <c r="P68" s="1090"/>
      <c r="Q68" s="1266"/>
      <c r="R68" s="1267"/>
      <c r="S68" s="1271"/>
      <c r="T68" s="1374"/>
      <c r="U68" s="1274"/>
    </row>
    <row r="69" spans="1:21" s="22" customFormat="1" ht="15.75" hidden="1" outlineLevel="2" thickBot="1">
      <c r="A69" s="2233"/>
      <c r="B69" s="4048"/>
      <c r="C69" s="2202" t="s">
        <v>2326</v>
      </c>
      <c r="D69" s="1430">
        <f t="shared" si="13"/>
        <v>26840</v>
      </c>
      <c r="E69" s="1253">
        <f>Techno_Vetro!L13</f>
        <v>44000</v>
      </c>
      <c r="F69" s="1430">
        <f t="shared" si="14"/>
        <v>16897</v>
      </c>
      <c r="G69" s="1246">
        <f t="shared" si="15"/>
        <v>27700</v>
      </c>
      <c r="H69" s="1431">
        <f t="shared" si="18"/>
        <v>-16300</v>
      </c>
      <c r="I69" s="2234"/>
      <c r="J69" s="2208"/>
      <c r="K69" s="1372"/>
      <c r="L69" s="1316"/>
      <c r="M69" s="2243" t="s">
        <v>2327</v>
      </c>
      <c r="N69" s="2249">
        <v>34000</v>
      </c>
      <c r="O69" s="1435">
        <f t="shared" si="17"/>
        <v>-0.18529411764705883</v>
      </c>
      <c r="P69" s="1436"/>
      <c r="Q69" s="1373"/>
      <c r="R69" s="1438"/>
      <c r="S69" s="1439"/>
      <c r="T69" s="1374"/>
      <c r="U69" s="1441"/>
    </row>
    <row r="70" spans="1:21" s="22" customFormat="1" ht="15.75" hidden="1" outlineLevel="2" thickBot="1">
      <c r="A70" s="2233"/>
      <c r="B70" s="4049"/>
      <c r="C70" s="2202" t="s">
        <v>2328</v>
      </c>
      <c r="D70" s="1430" t="e">
        <f t="shared" si="13"/>
        <v>#REF!</v>
      </c>
      <c r="E70" s="1253" t="e">
        <f>Design!#REF!</f>
        <v>#REF!</v>
      </c>
      <c r="F70" s="1430" t="e">
        <f t="shared" si="14"/>
        <v>#REF!</v>
      </c>
      <c r="G70" s="1246" t="e">
        <f t="shared" si="15"/>
        <v>#REF!</v>
      </c>
      <c r="H70" s="1431" t="e">
        <f t="shared" si="18"/>
        <v>#REF!</v>
      </c>
      <c r="I70" s="2234"/>
      <c r="J70" s="2235"/>
      <c r="K70" s="1372"/>
      <c r="L70" s="2236"/>
      <c r="M70" s="2243"/>
      <c r="N70" s="2236"/>
      <c r="O70" s="1435"/>
      <c r="P70" s="2237"/>
      <c r="Q70" s="2238"/>
      <c r="R70" s="2239"/>
      <c r="S70" s="2240"/>
      <c r="T70" s="2241"/>
      <c r="U70" s="2242"/>
    </row>
    <row r="71" spans="1:21" hidden="1" outlineLevel="1">
      <c r="C71" s="1252"/>
      <c r="D71" s="1252"/>
      <c r="E71" s="1339"/>
      <c r="F71" s="1339"/>
      <c r="G71" s="1253"/>
      <c r="H71" s="1361"/>
      <c r="I71" s="1362"/>
      <c r="J71" s="1253"/>
      <c r="K71" s="1253"/>
      <c r="L71" s="1253"/>
      <c r="M71" s="1253"/>
      <c r="N71" s="1253"/>
      <c r="O71" s="1253"/>
      <c r="P71" s="1253"/>
      <c r="Q71" s="1253"/>
      <c r="R71" s="1253"/>
      <c r="S71" s="1253"/>
      <c r="T71" s="1253"/>
      <c r="U71" s="1253"/>
    </row>
    <row r="72" spans="1:21" collapsed="1">
      <c r="A72" s="2185"/>
      <c r="E72" s="589"/>
      <c r="F72" s="589"/>
      <c r="G72" s="589"/>
      <c r="H72" s="589"/>
      <c r="I72" s="589"/>
      <c r="K72" s="589"/>
      <c r="L72" s="589"/>
      <c r="M72" s="589"/>
      <c r="N72" s="589"/>
      <c r="O72" s="589"/>
      <c r="Q72" s="589"/>
      <c r="R72" s="589"/>
      <c r="T72" s="589"/>
      <c r="U72" s="589"/>
    </row>
    <row r="73" spans="1:21" hidden="1" outlineLevel="1">
      <c r="C73" s="22" t="s">
        <v>909</v>
      </c>
      <c r="D73" s="1252"/>
      <c r="E73" s="1339"/>
      <c r="F73" s="1339"/>
      <c r="G73" s="1253"/>
      <c r="H73" s="1361"/>
      <c r="I73" s="1362"/>
      <c r="J73" s="1253"/>
      <c r="K73" s="1253"/>
      <c r="L73" s="1253"/>
      <c r="M73" s="1253"/>
      <c r="N73" s="1253"/>
      <c r="O73" s="1253"/>
      <c r="P73" s="1253"/>
      <c r="Q73" s="1253"/>
      <c r="R73" s="1253"/>
      <c r="S73" s="1253"/>
      <c r="T73" s="1253"/>
      <c r="U73" s="1253"/>
    </row>
    <row r="74" spans="1:21" hidden="1" outlineLevel="2">
      <c r="C74" s="1341" t="s">
        <v>2141</v>
      </c>
      <c r="D74" s="1344">
        <f>E74*(1-D77)</f>
        <v>7853.75</v>
      </c>
      <c r="E74" s="1342">
        <f>E85*2.5+E86*5</f>
        <v>12875</v>
      </c>
      <c r="F74" s="1344">
        <f>G74*(1-D77)</f>
        <v>7853.75</v>
      </c>
      <c r="G74" s="1342">
        <f>G85*2.5+G86*5</f>
        <v>12875</v>
      </c>
      <c r="H74" s="1363">
        <f>G74-E74</f>
        <v>0</v>
      </c>
      <c r="I74" s="1364">
        <f>G74/E74-1</f>
        <v>0</v>
      </c>
      <c r="J74" s="1368" t="s">
        <v>2148</v>
      </c>
      <c r="K74" s="1372">
        <f>K85*2.5+K86*5</f>
        <v>10400</v>
      </c>
      <c r="L74" s="1322">
        <f>G74/K74-1</f>
        <v>0.23798076923076916</v>
      </c>
      <c r="M74" s="2244"/>
      <c r="N74" s="2244"/>
      <c r="O74" s="2244"/>
      <c r="P74" s="1369" t="s">
        <v>2148</v>
      </c>
      <c r="Q74" s="1373">
        <f>Q85*2.5+Q86*5</f>
        <v>0</v>
      </c>
      <c r="R74" s="1297"/>
      <c r="S74" s="1289" t="s">
        <v>2148</v>
      </c>
      <c r="T74" s="1374">
        <f>T85*2.5+T86*5</f>
        <v>10400</v>
      </c>
      <c r="U74" s="1300">
        <f>G74/T74-1</f>
        <v>0.23798076923076916</v>
      </c>
    </row>
    <row r="75" spans="1:21" hidden="1" outlineLevel="1">
      <c r="C75" s="1341" t="s">
        <v>2140</v>
      </c>
      <c r="D75" s="1344">
        <f>E75*(1-D77)</f>
        <v>7548.75</v>
      </c>
      <c r="E75" s="1342">
        <f>E79*2.5+E80*5</f>
        <v>12375</v>
      </c>
      <c r="F75" s="1342">
        <f>G75*(1-D77)</f>
        <v>7548.75</v>
      </c>
      <c r="G75" s="1343">
        <f>G79*2.5+G80*5</f>
        <v>12375</v>
      </c>
      <c r="H75" s="1363">
        <f>G75-E75</f>
        <v>0</v>
      </c>
      <c r="I75" s="1364">
        <f>G75/E75-1</f>
        <v>0</v>
      </c>
      <c r="J75" s="1368" t="s">
        <v>2149</v>
      </c>
      <c r="K75" s="1372">
        <f>K79*2.5+K80*5</f>
        <v>10200</v>
      </c>
      <c r="L75" s="1322">
        <f>G75/K75-1</f>
        <v>0.21323529411764697</v>
      </c>
      <c r="M75" s="2244"/>
      <c r="N75" s="2244"/>
      <c r="O75" s="2244"/>
      <c r="P75" s="1369" t="s">
        <v>2149</v>
      </c>
      <c r="Q75" s="1373">
        <f>Q79*2.5+Q80*5</f>
        <v>11075</v>
      </c>
      <c r="R75" s="1297">
        <f>G75/Q75-1</f>
        <v>0.11738148984198649</v>
      </c>
      <c r="S75" s="1289" t="s">
        <v>2149</v>
      </c>
      <c r="T75" s="1374">
        <f>T79*2.5+T80*5</f>
        <v>9600</v>
      </c>
      <c r="U75" s="1300">
        <f>G75/T75-1</f>
        <v>0.2890625</v>
      </c>
    </row>
    <row r="76" spans="1:21" hidden="1" outlineLevel="1">
      <c r="C76" s="1341" t="s">
        <v>2191</v>
      </c>
      <c r="D76" s="1826">
        <f>D99</f>
        <v>5910</v>
      </c>
      <c r="E76" s="1826">
        <v>9000</v>
      </c>
      <c r="F76" s="1826">
        <f>F99</f>
        <v>0</v>
      </c>
      <c r="G76" s="1826">
        <f>G99</f>
        <v>0</v>
      </c>
      <c r="H76" s="1363"/>
      <c r="I76" s="1364"/>
      <c r="J76" s="1827"/>
      <c r="K76" s="1828"/>
      <c r="L76" s="1322">
        <f>G76/K75-1</f>
        <v>-1</v>
      </c>
      <c r="M76" s="2244"/>
      <c r="N76" s="2244"/>
      <c r="O76" s="2244"/>
      <c r="P76" s="1829"/>
      <c r="Q76" s="1830"/>
      <c r="R76" s="1297">
        <f>G76/Q75-1</f>
        <v>-1</v>
      </c>
      <c r="S76" s="1831"/>
      <c r="T76" s="1832"/>
      <c r="U76" s="1300">
        <f>G76/T75-1</f>
        <v>-1</v>
      </c>
    </row>
    <row r="77" spans="1:21" s="1375" customFormat="1" ht="12.75" hidden="1" outlineLevel="1">
      <c r="C77" s="1376" t="str">
        <f>C5</f>
        <v>терем</v>
      </c>
      <c r="D77" s="1377">
        <f>D5</f>
        <v>0.39</v>
      </c>
      <c r="E77" s="1378">
        <f>E5</f>
        <v>1.639344262295082</v>
      </c>
      <c r="F77" s="1378"/>
      <c r="G77" s="1378">
        <f>G5</f>
        <v>0</v>
      </c>
      <c r="H77" s="1379"/>
      <c r="I77" s="1380"/>
      <c r="J77" s="1381" t="str">
        <f>J5</f>
        <v>волховец</v>
      </c>
      <c r="K77" s="1383">
        <f>K5</f>
        <v>0</v>
      </c>
      <c r="L77" s="1381"/>
      <c r="M77" s="2245"/>
      <c r="N77" s="2245"/>
      <c r="O77" s="2245"/>
      <c r="P77" s="1384" t="str">
        <f>P5</f>
        <v>дариано</v>
      </c>
      <c r="Q77" s="1386">
        <f>Q5</f>
        <v>0</v>
      </c>
      <c r="R77" s="1384"/>
      <c r="S77" s="1387" t="str">
        <f>S5</f>
        <v>рада</v>
      </c>
      <c r="T77" s="1389">
        <f>T5</f>
        <v>0</v>
      </c>
      <c r="U77" s="1387"/>
    </row>
    <row r="78" spans="1:21" s="1305" customFormat="1" ht="24.75" hidden="1" outlineLevel="1">
      <c r="A78" s="1352" t="s">
        <v>1972</v>
      </c>
      <c r="C78" s="1306" t="s">
        <v>1616</v>
      </c>
      <c r="D78" s="1306" t="s">
        <v>2136</v>
      </c>
      <c r="E78" s="1306" t="s">
        <v>2135</v>
      </c>
      <c r="F78" s="1306" t="s">
        <v>2137</v>
      </c>
      <c r="G78" s="1306" t="s">
        <v>2134</v>
      </c>
      <c r="H78" s="1306" t="s">
        <v>2139</v>
      </c>
      <c r="I78" s="1306" t="s">
        <v>2138</v>
      </c>
      <c r="J78" s="1318" t="s">
        <v>1616</v>
      </c>
      <c r="K78" s="1318" t="s">
        <v>1618</v>
      </c>
      <c r="L78" s="1318" t="s">
        <v>1691</v>
      </c>
      <c r="M78" s="2246"/>
      <c r="N78" s="2246"/>
      <c r="O78" s="2246"/>
      <c r="P78" s="1308" t="s">
        <v>1616</v>
      </c>
      <c r="Q78" s="1308" t="s">
        <v>1618</v>
      </c>
      <c r="R78" s="1308" t="s">
        <v>1620</v>
      </c>
      <c r="S78" s="1307" t="s">
        <v>1616</v>
      </c>
      <c r="T78" s="1307" t="s">
        <v>1618</v>
      </c>
      <c r="U78" s="1307" t="s">
        <v>1620</v>
      </c>
    </row>
    <row r="79" spans="1:21" s="33" customFormat="1" ht="45" hidden="1" outlineLevel="1">
      <c r="A79" s="1340" t="e">
        <f>К_ясень!F75+К_ясень!#REF!</f>
        <v>#REF!</v>
      </c>
      <c r="C79" s="1293" t="s">
        <v>1673</v>
      </c>
      <c r="D79" s="1304">
        <f t="shared" ref="D79:D93" si="20">E79*(1-$D$77)</f>
        <v>1433.5</v>
      </c>
      <c r="E79" s="1340">
        <f>Погонаж!C13</f>
        <v>2350</v>
      </c>
      <c r="F79" s="1304">
        <f>G79*(1-$D$77)</f>
        <v>1433.5</v>
      </c>
      <c r="G79" s="1301">
        <f>E79+H79</f>
        <v>2350</v>
      </c>
      <c r="H79" s="1365"/>
      <c r="I79" s="1366">
        <f>G79/E79-1</f>
        <v>0</v>
      </c>
      <c r="J79" s="1335" t="s">
        <v>1674</v>
      </c>
      <c r="K79" s="1321">
        <f>5000/2.5</f>
        <v>2000</v>
      </c>
      <c r="L79" s="1322">
        <f>G79/K79-1</f>
        <v>0.17500000000000004</v>
      </c>
      <c r="M79" s="2244"/>
      <c r="N79" s="2244"/>
      <c r="O79" s="2244"/>
      <c r="P79" s="1334" t="s">
        <v>1675</v>
      </c>
      <c r="Q79" s="1296">
        <v>1730</v>
      </c>
      <c r="R79" s="1297">
        <f>G79/Q79-1</f>
        <v>0.35838150289017334</v>
      </c>
      <c r="S79" s="1333" t="s">
        <v>2112</v>
      </c>
      <c r="T79" s="1299">
        <v>1760</v>
      </c>
      <c r="U79" s="1300">
        <f t="shared" ref="U79:U87" si="21">G79/T79-1</f>
        <v>0.33522727272727271</v>
      </c>
    </row>
    <row r="80" spans="1:21" s="33" customFormat="1" ht="22.5" hidden="1" outlineLevel="1">
      <c r="A80" s="1340" t="e">
        <f>К_ясень!F76+К_ясень!#REF!</f>
        <v>#REF!</v>
      </c>
      <c r="C80" s="1293" t="s">
        <v>1709</v>
      </c>
      <c r="D80" s="1304">
        <f t="shared" si="20"/>
        <v>793</v>
      </c>
      <c r="E80" s="1340">
        <f>Погонаж!E13</f>
        <v>1300</v>
      </c>
      <c r="F80" s="1304">
        <f t="shared" ref="F80:F95" si="22">G80*(1-$D$77)</f>
        <v>793</v>
      </c>
      <c r="G80" s="1301">
        <f t="shared" ref="G80:G95" si="23">E80+H80</f>
        <v>1300</v>
      </c>
      <c r="H80" s="1365"/>
      <c r="I80" s="1366">
        <f t="shared" ref="I80:I95" si="24">G80/E80-1</f>
        <v>0</v>
      </c>
      <c r="J80" s="1335" t="s">
        <v>1676</v>
      </c>
      <c r="K80" s="1321">
        <f>2600/2.5</f>
        <v>1040</v>
      </c>
      <c r="L80" s="1322">
        <f>G80/K80-1</f>
        <v>0.25</v>
      </c>
      <c r="M80" s="2244"/>
      <c r="N80" s="2244"/>
      <c r="O80" s="2244"/>
      <c r="P80" s="1334" t="s">
        <v>1677</v>
      </c>
      <c r="Q80" s="1296">
        <v>1350</v>
      </c>
      <c r="R80" s="1297">
        <f>G80/Q80-1</f>
        <v>-3.703703703703709E-2</v>
      </c>
      <c r="S80" s="1333" t="s">
        <v>2029</v>
      </c>
      <c r="T80" s="1299">
        <v>1040</v>
      </c>
      <c r="U80" s="1300">
        <f t="shared" si="21"/>
        <v>0.25</v>
      </c>
    </row>
    <row r="81" spans="1:21" s="33" customFormat="1" ht="22.5" hidden="1" outlineLevel="2">
      <c r="A81" s="1340" t="e">
        <f>К_ясень!F77+К_ясень!#REF!</f>
        <v>#REF!</v>
      </c>
      <c r="C81" s="1293" t="s">
        <v>1710</v>
      </c>
      <c r="D81" s="1304">
        <f t="shared" si="20"/>
        <v>915</v>
      </c>
      <c r="E81" s="1340">
        <f>Погонаж!F13</f>
        <v>1500</v>
      </c>
      <c r="F81" s="1304">
        <f t="shared" si="22"/>
        <v>915</v>
      </c>
      <c r="G81" s="1301">
        <f t="shared" si="23"/>
        <v>1500</v>
      </c>
      <c r="H81" s="1365"/>
      <c r="I81" s="1366">
        <f t="shared" si="24"/>
        <v>0</v>
      </c>
      <c r="J81" s="1335"/>
      <c r="K81" s="1321"/>
      <c r="L81" s="1322"/>
      <c r="M81" s="2244"/>
      <c r="N81" s="2244"/>
      <c r="O81" s="2244"/>
      <c r="P81" s="1334"/>
      <c r="Q81" s="1296"/>
      <c r="R81" s="1297"/>
      <c r="S81" s="1333" t="s">
        <v>2113</v>
      </c>
      <c r="T81" s="1299">
        <v>1250</v>
      </c>
      <c r="U81" s="1300">
        <f t="shared" si="21"/>
        <v>0.19999999999999996</v>
      </c>
    </row>
    <row r="82" spans="1:21" s="37" customFormat="1" ht="22.5" hidden="1" outlineLevel="2">
      <c r="A82" s="1340" t="e">
        <f>К_ясень!F78+К_ясень!#REF!</f>
        <v>#REF!</v>
      </c>
      <c r="B82" s="33"/>
      <c r="C82" s="1293" t="s">
        <v>2033</v>
      </c>
      <c r="D82" s="1304">
        <f t="shared" si="20"/>
        <v>1403</v>
      </c>
      <c r="E82" s="1340">
        <f>Погонаж!K13</f>
        <v>2300</v>
      </c>
      <c r="F82" s="1304">
        <f t="shared" si="22"/>
        <v>1403</v>
      </c>
      <c r="G82" s="1301">
        <f t="shared" si="23"/>
        <v>2300</v>
      </c>
      <c r="H82" s="1365"/>
      <c r="I82" s="1366">
        <f t="shared" si="24"/>
        <v>0</v>
      </c>
      <c r="J82" s="1335"/>
      <c r="K82" s="1321"/>
      <c r="L82" s="1322"/>
      <c r="M82" s="2244"/>
      <c r="N82" s="2244"/>
      <c r="O82" s="2244"/>
      <c r="P82" s="1334" t="s">
        <v>2142</v>
      </c>
      <c r="Q82" s="1296">
        <v>2000</v>
      </c>
      <c r="R82" s="1297">
        <f>G82/Q82-1</f>
        <v>0.14999999999999991</v>
      </c>
      <c r="S82" s="1333" t="s">
        <v>2035</v>
      </c>
      <c r="T82" s="1299">
        <v>1200</v>
      </c>
      <c r="U82" s="1300">
        <f t="shared" si="21"/>
        <v>0.91666666666666674</v>
      </c>
    </row>
    <row r="83" spans="1:21" s="37" customFormat="1" ht="22.5" hidden="1" outlineLevel="2">
      <c r="A83" s="1340" t="e">
        <f>К_ясень!F79+К_ясень!#REF!</f>
        <v>#REF!</v>
      </c>
      <c r="B83" s="33"/>
      <c r="C83" s="1293" t="s">
        <v>2032</v>
      </c>
      <c r="D83" s="1304">
        <f t="shared" si="20"/>
        <v>1799.5</v>
      </c>
      <c r="E83" s="1340">
        <f>Погонаж!M13</f>
        <v>2950</v>
      </c>
      <c r="F83" s="1304">
        <f t="shared" si="22"/>
        <v>1799.5</v>
      </c>
      <c r="G83" s="1301">
        <f t="shared" si="23"/>
        <v>2950</v>
      </c>
      <c r="H83" s="1365"/>
      <c r="I83" s="1366">
        <f t="shared" si="24"/>
        <v>0</v>
      </c>
      <c r="J83" s="1335"/>
      <c r="K83" s="1321"/>
      <c r="L83" s="1322"/>
      <c r="M83" s="2244"/>
      <c r="N83" s="2244"/>
      <c r="O83" s="2244"/>
      <c r="P83" s="1334"/>
      <c r="Q83" s="1296"/>
      <c r="R83" s="1297"/>
      <c r="S83" s="1333" t="s">
        <v>2034</v>
      </c>
      <c r="T83" s="1299">
        <v>3080</v>
      </c>
      <c r="U83" s="1300">
        <f t="shared" si="21"/>
        <v>-4.220779220779225E-2</v>
      </c>
    </row>
    <row r="84" spans="1:21" s="33" customFormat="1" ht="23.25" hidden="1" outlineLevel="2" thickBot="1">
      <c r="A84" s="1412" t="e">
        <f>К_ясень!F80+К_ясень!#REF!</f>
        <v>#REF!</v>
      </c>
      <c r="C84" s="1410" t="s">
        <v>1678</v>
      </c>
      <c r="D84" s="1411">
        <f t="shared" si="20"/>
        <v>793</v>
      </c>
      <c r="E84" s="1412">
        <f>Погонаж!R13</f>
        <v>1300</v>
      </c>
      <c r="F84" s="1411">
        <f t="shared" si="22"/>
        <v>793</v>
      </c>
      <c r="G84" s="1413">
        <f t="shared" si="23"/>
        <v>1300</v>
      </c>
      <c r="H84" s="1414"/>
      <c r="I84" s="1415">
        <f t="shared" si="24"/>
        <v>0</v>
      </c>
      <c r="J84" s="1416" t="s">
        <v>1679</v>
      </c>
      <c r="K84" s="1418">
        <f>2100/2.5</f>
        <v>840</v>
      </c>
      <c r="L84" s="1419">
        <f>G84/K84-1</f>
        <v>0.54761904761904767</v>
      </c>
      <c r="M84" s="2247"/>
      <c r="N84" s="2247"/>
      <c r="O84" s="2247"/>
      <c r="P84" s="1420" t="s">
        <v>1680</v>
      </c>
      <c r="Q84" s="1422">
        <v>980</v>
      </c>
      <c r="R84" s="1423">
        <f>G84/Q84-1</f>
        <v>0.32653061224489788</v>
      </c>
      <c r="S84" s="1424" t="s">
        <v>2036</v>
      </c>
      <c r="T84" s="1428">
        <v>1220</v>
      </c>
      <c r="U84" s="1427">
        <f t="shared" si="21"/>
        <v>6.5573770491803351E-2</v>
      </c>
    </row>
    <row r="85" spans="1:21" s="33" customFormat="1" ht="15.75" hidden="1" outlineLevel="2" thickTop="1">
      <c r="A85" s="1395" t="e">
        <f>К_ясень!F81+К_ясень!#REF!</f>
        <v>#REF!</v>
      </c>
      <c r="C85" s="1393" t="s">
        <v>1681</v>
      </c>
      <c r="D85" s="1394">
        <f t="shared" si="20"/>
        <v>1433.5</v>
      </c>
      <c r="E85" s="1395">
        <f>Погонаж!C40</f>
        <v>2350</v>
      </c>
      <c r="F85" s="1395">
        <f t="shared" si="22"/>
        <v>1433.5</v>
      </c>
      <c r="G85" s="1392">
        <f t="shared" si="23"/>
        <v>2350</v>
      </c>
      <c r="H85" s="1396"/>
      <c r="I85" s="1397">
        <f t="shared" si="24"/>
        <v>0</v>
      </c>
      <c r="J85" s="1398" t="s">
        <v>1682</v>
      </c>
      <c r="K85" s="1400">
        <f>5000/2.5</f>
        <v>2000</v>
      </c>
      <c r="L85" s="1401">
        <f>G85/K85-1</f>
        <v>0.17500000000000004</v>
      </c>
      <c r="M85" s="1401"/>
      <c r="N85" s="1401"/>
      <c r="O85" s="1401"/>
      <c r="P85" s="1402" t="s">
        <v>1683</v>
      </c>
      <c r="Q85" s="1404"/>
      <c r="R85" s="1405"/>
      <c r="S85" s="1406" t="s">
        <v>2031</v>
      </c>
      <c r="T85" s="1303">
        <v>1780</v>
      </c>
      <c r="U85" s="1409">
        <f t="shared" si="21"/>
        <v>0.3202247191011236</v>
      </c>
    </row>
    <row r="86" spans="1:21" s="33" customFormat="1" hidden="1" outlineLevel="2">
      <c r="A86" s="1340" t="e">
        <f>К_ясень!F82+К_ясень!#REF!</f>
        <v>#REF!</v>
      </c>
      <c r="C86" s="1293" t="s">
        <v>1684</v>
      </c>
      <c r="D86" s="1304">
        <f t="shared" si="20"/>
        <v>854</v>
      </c>
      <c r="E86" s="1340">
        <f>Погонаж!D40</f>
        <v>1400</v>
      </c>
      <c r="F86" s="1340">
        <f t="shared" si="22"/>
        <v>854</v>
      </c>
      <c r="G86" s="1301">
        <f t="shared" si="23"/>
        <v>1400</v>
      </c>
      <c r="H86" s="1365"/>
      <c r="I86" s="1366">
        <f t="shared" si="24"/>
        <v>0</v>
      </c>
      <c r="J86" s="1335" t="s">
        <v>1685</v>
      </c>
      <c r="K86" s="1321">
        <f>2700/2.5</f>
        <v>1080</v>
      </c>
      <c r="L86" s="1322">
        <f>G86/K86-1</f>
        <v>0.29629629629629628</v>
      </c>
      <c r="M86" s="2244"/>
      <c r="N86" s="2244"/>
      <c r="O86" s="2244"/>
      <c r="P86" s="1334" t="s">
        <v>1686</v>
      </c>
      <c r="Q86" s="1296"/>
      <c r="R86" s="1297"/>
      <c r="S86" s="1333" t="s">
        <v>2030</v>
      </c>
      <c r="T86" s="1299">
        <v>1190</v>
      </c>
      <c r="U86" s="1300">
        <f t="shared" si="21"/>
        <v>0.17647058823529416</v>
      </c>
    </row>
    <row r="87" spans="1:21" s="33" customFormat="1" ht="22.5" hidden="1" outlineLevel="2">
      <c r="A87" s="1340" t="e">
        <f>К_ясень!F83+К_ясень!#REF!</f>
        <v>#REF!</v>
      </c>
      <c r="C87" s="1293" t="s">
        <v>1687</v>
      </c>
      <c r="D87" s="1304">
        <f t="shared" si="20"/>
        <v>1586</v>
      </c>
      <c r="E87" s="1340">
        <f>Погонаж!G40</f>
        <v>2600</v>
      </c>
      <c r="F87" s="1340">
        <f t="shared" si="22"/>
        <v>1586</v>
      </c>
      <c r="G87" s="1301">
        <f t="shared" si="23"/>
        <v>2600</v>
      </c>
      <c r="H87" s="1365"/>
      <c r="I87" s="1366">
        <f t="shared" si="24"/>
        <v>0</v>
      </c>
      <c r="J87" s="1335" t="s">
        <v>1688</v>
      </c>
      <c r="K87" s="1321">
        <f>5300/2.5</f>
        <v>2120</v>
      </c>
      <c r="L87" s="1322">
        <f>G87/K87-1</f>
        <v>0.22641509433962259</v>
      </c>
      <c r="M87" s="2244"/>
      <c r="N87" s="2244"/>
      <c r="O87" s="2244"/>
      <c r="P87" s="1334"/>
      <c r="Q87" s="1296"/>
      <c r="R87" s="1297"/>
      <c r="S87" s="1333" t="s">
        <v>2170</v>
      </c>
      <c r="T87" s="1299">
        <v>1910</v>
      </c>
      <c r="U87" s="1300">
        <f t="shared" si="21"/>
        <v>0.3612565445026179</v>
      </c>
    </row>
    <row r="88" spans="1:21" s="33" customFormat="1" ht="15.75" hidden="1" outlineLevel="2" thickBot="1">
      <c r="A88" s="1412" t="e">
        <f>К_ясень!F84+К_ясень!#REF!</f>
        <v>#REF!</v>
      </c>
      <c r="C88" s="1410" t="s">
        <v>1689</v>
      </c>
      <c r="D88" s="1411">
        <f t="shared" si="20"/>
        <v>854</v>
      </c>
      <c r="E88" s="1412">
        <f>Погонаж!H40</f>
        <v>1400</v>
      </c>
      <c r="F88" s="1412">
        <f t="shared" si="22"/>
        <v>854</v>
      </c>
      <c r="G88" s="1413">
        <f t="shared" si="23"/>
        <v>1400</v>
      </c>
      <c r="H88" s="1414"/>
      <c r="I88" s="1415">
        <f t="shared" si="24"/>
        <v>0</v>
      </c>
      <c r="J88" s="1416" t="s">
        <v>1690</v>
      </c>
      <c r="K88" s="1418">
        <f>K86</f>
        <v>1080</v>
      </c>
      <c r="L88" s="1419">
        <f>G88/K88-1</f>
        <v>0.29629629629629628</v>
      </c>
      <c r="M88" s="2247"/>
      <c r="N88" s="2247"/>
      <c r="O88" s="2247"/>
      <c r="P88" s="1420"/>
      <c r="Q88" s="1422"/>
      <c r="R88" s="1423"/>
      <c r="S88" s="1424"/>
      <c r="T88" s="1428">
        <v>0</v>
      </c>
      <c r="U88" s="1427"/>
    </row>
    <row r="89" spans="1:21" ht="34.5" hidden="1" outlineLevel="2" thickTop="1">
      <c r="A89" s="1340" t="e">
        <f>К_ясень!F85+К_ясень!#REF!</f>
        <v>#REF!</v>
      </c>
      <c r="B89" s="33"/>
      <c r="C89" s="1293" t="s">
        <v>2117</v>
      </c>
      <c r="D89" s="1294">
        <f t="shared" si="20"/>
        <v>671</v>
      </c>
      <c r="E89" s="1340">
        <f>Плинтусы!C11</f>
        <v>1100</v>
      </c>
      <c r="F89" s="1340">
        <f t="shared" si="22"/>
        <v>671</v>
      </c>
      <c r="G89" s="1301">
        <f t="shared" si="23"/>
        <v>1100</v>
      </c>
      <c r="H89" s="1365"/>
      <c r="I89" s="1366">
        <f t="shared" si="24"/>
        <v>0</v>
      </c>
      <c r="J89" s="1335"/>
      <c r="K89" s="1321"/>
      <c r="L89" s="1322"/>
      <c r="M89" s="2244"/>
      <c r="N89" s="2244"/>
      <c r="O89" s="2244"/>
      <c r="P89" s="1334" t="s">
        <v>2143</v>
      </c>
      <c r="Q89" s="1296">
        <v>1410</v>
      </c>
      <c r="R89" s="1405">
        <f>G89/Q89-1</f>
        <v>-0.21985815602836878</v>
      </c>
      <c r="S89" s="1333" t="s">
        <v>2115</v>
      </c>
      <c r="T89" s="1299">
        <v>1070</v>
      </c>
      <c r="U89" s="1300">
        <f>G89/T89-1</f>
        <v>2.8037383177569986E-2</v>
      </c>
    </row>
    <row r="90" spans="1:21" ht="22.5" hidden="1" outlineLevel="2">
      <c r="A90" s="1340" t="e">
        <f>К_ясень!F86+К_ясень!#REF!</f>
        <v>#REF!</v>
      </c>
      <c r="B90" s="33"/>
      <c r="C90" s="1293" t="s">
        <v>2118</v>
      </c>
      <c r="D90" s="1294">
        <f t="shared" si="20"/>
        <v>884.5</v>
      </c>
      <c r="E90" s="1340">
        <f>Плинтусы!D11</f>
        <v>1450</v>
      </c>
      <c r="F90" s="1340">
        <f t="shared" si="22"/>
        <v>884.5</v>
      </c>
      <c r="G90" s="1301">
        <f t="shared" si="23"/>
        <v>1450</v>
      </c>
      <c r="H90" s="1365"/>
      <c r="I90" s="1366">
        <f t="shared" si="24"/>
        <v>0</v>
      </c>
      <c r="J90" s="1335"/>
      <c r="K90" s="1321"/>
      <c r="L90" s="1322"/>
      <c r="M90" s="2244"/>
      <c r="N90" s="2244"/>
      <c r="O90" s="2244"/>
      <c r="P90" s="1334"/>
      <c r="Q90" s="1404"/>
      <c r="R90" s="1405"/>
      <c r="S90" s="1333" t="s">
        <v>2116</v>
      </c>
      <c r="T90" s="1299">
        <v>1190</v>
      </c>
      <c r="U90" s="1300">
        <f>G90/T90-1</f>
        <v>0.21848739495798308</v>
      </c>
    </row>
    <row r="91" spans="1:21" ht="25.9" hidden="1" customHeight="1" outlineLevel="2">
      <c r="A91" s="1340" t="e">
        <f>К_ясень!F87+К_ясень!#REF!</f>
        <v>#REF!</v>
      </c>
      <c r="B91" s="33"/>
      <c r="C91" s="1293" t="s">
        <v>2119</v>
      </c>
      <c r="D91" s="1294">
        <f t="shared" si="20"/>
        <v>640.5</v>
      </c>
      <c r="E91" s="1340">
        <f>Стык.элементы!C10</f>
        <v>1050</v>
      </c>
      <c r="F91" s="1340">
        <f t="shared" si="22"/>
        <v>640.5</v>
      </c>
      <c r="G91" s="1301">
        <f t="shared" si="23"/>
        <v>1050</v>
      </c>
      <c r="H91" s="1365"/>
      <c r="I91" s="1366">
        <f t="shared" si="24"/>
        <v>0</v>
      </c>
      <c r="J91" s="1368"/>
      <c r="K91" s="1315"/>
      <c r="L91" s="1315"/>
      <c r="M91" s="2216"/>
      <c r="N91" s="2216"/>
      <c r="O91" s="2216"/>
      <c r="P91" s="1369"/>
      <c r="Q91" s="1266"/>
      <c r="R91" s="1266"/>
      <c r="S91" s="1370" t="s">
        <v>2121</v>
      </c>
      <c r="T91" s="1273">
        <v>1300</v>
      </c>
      <c r="U91" s="1300">
        <f>G91/T91-1</f>
        <v>-0.19230769230769229</v>
      </c>
    </row>
    <row r="92" spans="1:21" ht="25.9" hidden="1" customHeight="1" outlineLevel="2">
      <c r="A92" s="1340" t="e">
        <f>К_ясень!F88+К_ясень!#REF!</f>
        <v>#REF!</v>
      </c>
      <c r="B92" s="33"/>
      <c r="C92" s="1293" t="s">
        <v>2120</v>
      </c>
      <c r="D92" s="1294">
        <f t="shared" si="20"/>
        <v>884.5</v>
      </c>
      <c r="E92" s="1340">
        <f>Стык.элементы!C30</f>
        <v>1450</v>
      </c>
      <c r="F92" s="1340">
        <f t="shared" si="22"/>
        <v>884.5</v>
      </c>
      <c r="G92" s="1301">
        <f t="shared" si="23"/>
        <v>1450</v>
      </c>
      <c r="H92" s="1365"/>
      <c r="I92" s="1366">
        <f t="shared" si="24"/>
        <v>0</v>
      </c>
      <c r="J92" s="1368"/>
      <c r="K92" s="1315"/>
      <c r="L92" s="1315"/>
      <c r="M92" s="2216"/>
      <c r="N92" s="2216"/>
      <c r="O92" s="2216"/>
      <c r="P92" s="1369"/>
      <c r="Q92" s="1266"/>
      <c r="R92" s="1266"/>
      <c r="S92" s="1371" t="s">
        <v>2122</v>
      </c>
      <c r="T92" s="1299">
        <v>1240</v>
      </c>
      <c r="U92" s="1300">
        <f>G92/T92-1</f>
        <v>0.16935483870967749</v>
      </c>
    </row>
    <row r="93" spans="1:21" ht="20.45" hidden="1" customHeight="1" outlineLevel="2">
      <c r="A93" s="1340" t="e">
        <f>К_ясень!F89+К_ясень!#REF!</f>
        <v>#REF!</v>
      </c>
      <c r="B93" s="33"/>
      <c r="C93" s="1293" t="s">
        <v>2123</v>
      </c>
      <c r="D93" s="1294">
        <f t="shared" si="20"/>
        <v>5978</v>
      </c>
      <c r="E93" s="1340">
        <f>Порталы!E70</f>
        <v>9800</v>
      </c>
      <c r="F93" s="1340">
        <f t="shared" si="22"/>
        <v>5978</v>
      </c>
      <c r="G93" s="1301">
        <f t="shared" si="23"/>
        <v>9800</v>
      </c>
      <c r="H93" s="1365"/>
      <c r="I93" s="1366">
        <f t="shared" si="24"/>
        <v>0</v>
      </c>
      <c r="J93" s="1368"/>
      <c r="K93" s="1315"/>
      <c r="L93" s="1315"/>
      <c r="M93" s="2216"/>
      <c r="N93" s="2216"/>
      <c r="O93" s="2216"/>
      <c r="P93" s="1369" t="s">
        <v>2147</v>
      </c>
      <c r="Q93" s="1266">
        <v>9940</v>
      </c>
      <c r="R93" s="1297">
        <f>G93/Q93-1</f>
        <v>-1.4084507042253502E-2</v>
      </c>
      <c r="S93" s="1371"/>
      <c r="T93" s="1299">
        <v>0</v>
      </c>
      <c r="U93" s="1300"/>
    </row>
    <row r="94" spans="1:21" hidden="1" outlineLevel="2">
      <c r="A94" s="1340" t="e">
        <f>К_ясень!F90+К_ясень!#REF!</f>
        <v>#REF!</v>
      </c>
      <c r="B94" s="33"/>
      <c r="C94" s="1293" t="s">
        <v>2129</v>
      </c>
      <c r="D94" s="1294">
        <f>E94*(1-$D$77)</f>
        <v>3080.5</v>
      </c>
      <c r="E94" s="1277">
        <f>Порталы!I12</f>
        <v>5050</v>
      </c>
      <c r="F94" s="1340">
        <f t="shared" si="22"/>
        <v>3080.5</v>
      </c>
      <c r="G94" s="1301">
        <f t="shared" si="23"/>
        <v>5050</v>
      </c>
      <c r="H94" s="1365"/>
      <c r="I94" s="1366">
        <f t="shared" si="24"/>
        <v>0</v>
      </c>
      <c r="J94" s="1368"/>
      <c r="K94" s="1315"/>
      <c r="L94" s="1315"/>
      <c r="M94" s="2216"/>
      <c r="N94" s="2216"/>
      <c r="O94" s="2216"/>
      <c r="P94" s="1369"/>
      <c r="Q94" s="1266"/>
      <c r="R94" s="1266"/>
      <c r="S94" s="1370"/>
      <c r="T94" s="1273">
        <v>0</v>
      </c>
      <c r="U94" s="1273"/>
    </row>
    <row r="95" spans="1:21" ht="56.25" hidden="1" outlineLevel="2">
      <c r="A95" s="1340" t="e">
        <f>К_ясень!F91+К_ясень!#REF!</f>
        <v>#REF!</v>
      </c>
      <c r="B95" s="33"/>
      <c r="C95" s="1293" t="s">
        <v>2145</v>
      </c>
      <c r="D95" s="1294">
        <f>E95*(1-$D$77)</f>
        <v>2257</v>
      </c>
      <c r="E95" s="1340">
        <f>Рейки!F10</f>
        <v>3700</v>
      </c>
      <c r="F95" s="1340">
        <f t="shared" si="22"/>
        <v>2257</v>
      </c>
      <c r="G95" s="1301">
        <f t="shared" si="23"/>
        <v>3700</v>
      </c>
      <c r="H95" s="1365"/>
      <c r="I95" s="1366">
        <f t="shared" si="24"/>
        <v>0</v>
      </c>
      <c r="J95" s="1335"/>
      <c r="K95" s="1321"/>
      <c r="L95" s="1322"/>
      <c r="M95" s="2244"/>
      <c r="N95" s="2244"/>
      <c r="O95" s="2244"/>
      <c r="P95" s="1334" t="s">
        <v>2146</v>
      </c>
      <c r="Q95" s="1296">
        <v>1980</v>
      </c>
      <c r="R95" s="1297">
        <f>G95/Q95-1</f>
        <v>0.86868686868686873</v>
      </c>
      <c r="S95" s="1333"/>
      <c r="T95" s="1299">
        <v>0</v>
      </c>
      <c r="U95" s="1300"/>
    </row>
    <row r="96" spans="1:21" hidden="1" outlineLevel="1"/>
    <row r="97" spans="2:21" ht="15.75" hidden="1" outlineLevel="1">
      <c r="C97" s="1470" t="s">
        <v>2178</v>
      </c>
    </row>
    <row r="98" spans="2:21" hidden="1" outlineLevel="1">
      <c r="D98" s="1306" t="s">
        <v>2136</v>
      </c>
      <c r="E98" s="1306" t="s">
        <v>2135</v>
      </c>
      <c r="F98" s="1306" t="s">
        <v>2137</v>
      </c>
      <c r="G98" s="1471" t="s">
        <v>2134</v>
      </c>
    </row>
    <row r="99" spans="2:21" hidden="1" outlineLevel="1">
      <c r="D99" s="1277">
        <f>D100*3+D101*6</f>
        <v>5910</v>
      </c>
      <c r="E99" s="1277">
        <f>G99</f>
        <v>0</v>
      </c>
      <c r="F99" s="1277">
        <f>F100*3+F101*6</f>
        <v>0</v>
      </c>
      <c r="G99" s="1250">
        <f>G100*3+G101*5</f>
        <v>0</v>
      </c>
    </row>
    <row r="100" spans="2:21" s="1461" customFormat="1" ht="21" hidden="1" outlineLevel="1">
      <c r="C100" s="1462" t="s">
        <v>2173</v>
      </c>
      <c r="D100" s="1465">
        <v>810</v>
      </c>
      <c r="E100" s="1464">
        <f>G100</f>
        <v>0</v>
      </c>
      <c r="F100" s="1463">
        <f>G100*(1-$D$77)</f>
        <v>0</v>
      </c>
      <c r="G100" s="1472">
        <f>'Погонаж база'!D33</f>
        <v>0</v>
      </c>
      <c r="H100" s="1466"/>
      <c r="I100" s="1466"/>
      <c r="K100" s="1467"/>
      <c r="L100" s="1467"/>
      <c r="M100" s="1467"/>
      <c r="N100" s="1467"/>
      <c r="O100" s="1467"/>
      <c r="Q100" s="1467"/>
      <c r="R100" s="1467"/>
      <c r="T100" s="1467"/>
      <c r="U100" s="1467"/>
    </row>
    <row r="101" spans="2:21" s="1461" customFormat="1" hidden="1" outlineLevel="1">
      <c r="C101" s="1468" t="s">
        <v>2174</v>
      </c>
      <c r="D101" s="1465">
        <v>580</v>
      </c>
      <c r="E101" s="1464">
        <f>G101</f>
        <v>0</v>
      </c>
      <c r="F101" s="1463">
        <f>G101*(1-$D$77)</f>
        <v>0</v>
      </c>
      <c r="G101" s="1472">
        <f>'Погонаж база'!R33</f>
        <v>0</v>
      </c>
      <c r="H101" s="1466"/>
      <c r="I101" s="1466"/>
      <c r="K101" s="1467"/>
      <c r="L101" s="1467"/>
      <c r="M101" s="1467"/>
      <c r="N101" s="1467"/>
      <c r="O101" s="1467"/>
      <c r="Q101" s="1467"/>
      <c r="R101" s="1467"/>
      <c r="T101" s="1467"/>
      <c r="U101" s="1467"/>
    </row>
    <row r="102" spans="2:21" s="1461" customFormat="1" ht="21" hidden="1" outlineLevel="1">
      <c r="C102" s="1469" t="s">
        <v>2175</v>
      </c>
      <c r="D102" s="1465">
        <v>680</v>
      </c>
      <c r="E102" s="1464">
        <f>G102</f>
        <v>1150</v>
      </c>
      <c r="F102" s="1463">
        <f>G102*(1-$D$77)</f>
        <v>701.5</v>
      </c>
      <c r="G102" s="1472">
        <v>1150</v>
      </c>
      <c r="H102" s="1466"/>
      <c r="I102" s="1466"/>
      <c r="K102" s="1467"/>
      <c r="L102" s="1467"/>
      <c r="M102" s="1467"/>
      <c r="N102" s="1467"/>
      <c r="O102" s="1467"/>
      <c r="Q102" s="1467"/>
      <c r="R102" s="1467"/>
      <c r="T102" s="1467"/>
      <c r="U102" s="1467"/>
    </row>
    <row r="103" spans="2:21" s="1461" customFormat="1" ht="21" hidden="1" outlineLevel="1">
      <c r="C103" s="1469" t="s">
        <v>2176</v>
      </c>
      <c r="D103" s="1465">
        <v>1280</v>
      </c>
      <c r="E103" s="1464">
        <f>G103</f>
        <v>2100</v>
      </c>
      <c r="F103" s="1463">
        <f>G103*(1-$D$77)</f>
        <v>1281</v>
      </c>
      <c r="G103" s="1472">
        <v>2100</v>
      </c>
      <c r="H103" s="1466"/>
      <c r="I103" s="1466"/>
      <c r="K103" s="1467"/>
      <c r="L103" s="1467"/>
      <c r="M103" s="1467"/>
      <c r="N103" s="1467"/>
      <c r="O103" s="1467"/>
      <c r="Q103" s="1467"/>
      <c r="R103" s="1467"/>
      <c r="T103" s="1467"/>
      <c r="U103" s="1467"/>
    </row>
    <row r="104" spans="2:21" hidden="1" outlineLevel="1">
      <c r="C104" s="1460"/>
      <c r="I104" s="1353"/>
    </row>
    <row r="105" spans="2:21" hidden="1" outlineLevel="1">
      <c r="C105" s="1473" t="s">
        <v>2177</v>
      </c>
    </row>
    <row r="106" spans="2:21" hidden="1" outlineLevel="1">
      <c r="C106" s="1460"/>
    </row>
    <row r="107" spans="2:21" hidden="1" outlineLevel="1"/>
    <row r="108" spans="2:21" hidden="1" outlineLevel="2">
      <c r="B108" s="589">
        <v>17</v>
      </c>
      <c r="C108" s="1258" t="s">
        <v>1738</v>
      </c>
      <c r="D108" s="1257">
        <f>E108*(1-$D$39)</f>
        <v>8265.5</v>
      </c>
      <c r="E108" s="1338">
        <f>Techno_Porte!G7</f>
        <v>13550</v>
      </c>
      <c r="F108" s="1257">
        <f>G108*(1-$D$39)</f>
        <v>8265.5</v>
      </c>
      <c r="G108" s="1246">
        <f>E108+H108</f>
        <v>13550</v>
      </c>
      <c r="H108" s="1357"/>
      <c r="I108" s="1358">
        <f>G108/E108-1</f>
        <v>0</v>
      </c>
      <c r="J108" s="1313"/>
      <c r="K108" s="1315"/>
      <c r="L108" s="1316"/>
      <c r="M108" s="2217"/>
      <c r="N108" s="2217"/>
      <c r="O108" s="2217"/>
      <c r="P108" s="1090"/>
      <c r="Q108" s="1266"/>
      <c r="R108" s="1267" t="e">
        <f>G108/Q108-1</f>
        <v>#DIV/0!</v>
      </c>
      <c r="S108" s="1271" t="s">
        <v>1739</v>
      </c>
      <c r="T108" s="1273">
        <v>10770</v>
      </c>
      <c r="U108" s="1274">
        <f>G108/T108-1</f>
        <v>0.25812441968430822</v>
      </c>
    </row>
    <row r="109" spans="2:21" hidden="1" outlineLevel="2">
      <c r="B109" s="589">
        <v>21</v>
      </c>
      <c r="C109" s="1243" t="s">
        <v>2104</v>
      </c>
      <c r="D109" s="1257">
        <f>E109*(1-$D$39)</f>
        <v>19672.5</v>
      </c>
      <c r="E109" s="1338">
        <f>Techno_Porte!G16+Techno_Porte!G38+Алюм.погонаж!H24</f>
        <v>32250</v>
      </c>
      <c r="F109" s="1257">
        <f>G109*(1-$D$39)</f>
        <v>19672.5</v>
      </c>
      <c r="G109" s="1246">
        <f>E109+H109</f>
        <v>32250</v>
      </c>
      <c r="H109" s="1357"/>
      <c r="I109" s="1358">
        <f>G109/E109-1</f>
        <v>0</v>
      </c>
      <c r="J109" s="1313"/>
      <c r="K109" s="1315"/>
      <c r="L109" s="1316"/>
      <c r="M109" s="2217"/>
      <c r="N109" s="2217"/>
      <c r="O109" s="2217"/>
      <c r="P109" s="1090"/>
      <c r="Q109" s="1266"/>
      <c r="R109" s="1267" t="e">
        <f>G109/Q109-1</f>
        <v>#DIV/0!</v>
      </c>
      <c r="S109" s="1271" t="s">
        <v>2103</v>
      </c>
      <c r="T109" s="1273">
        <v>29990</v>
      </c>
      <c r="U109" s="1274">
        <f>G109/T109-1</f>
        <v>7.5358452817605892E-2</v>
      </c>
    </row>
    <row r="110" spans="2:21" hidden="1" outlineLevel="1"/>
    <row r="111" spans="2:21" hidden="1" outlineLevel="1"/>
    <row r="112" spans="2:21" hidden="1" outlineLevel="1"/>
    <row r="113" collapsed="1"/>
  </sheetData>
  <sheetProtection password="E910" sheet="1" objects="1" scenarios="1" formatCells="0" formatColumns="0" formatRows="0" insertColumns="0" insertRows="0" insertHyperlinks="0" deleteColumns="0" deleteRows="0" sort="0" autoFilter="0" pivotTables="0"/>
  <mergeCells count="6">
    <mergeCell ref="B68:B70"/>
    <mergeCell ref="B41:B51"/>
    <mergeCell ref="B52:B55"/>
    <mergeCell ref="B56:B59"/>
    <mergeCell ref="B60:B63"/>
    <mergeCell ref="B65:B67"/>
  </mergeCells>
  <conditionalFormatting sqref="R108:R109 U108:U109 R41:R47 U41:U49 L79:O1048576 L4:O4 L74:O77 U52:U70 L7:L36 R66 R68:R70 R51:R63 U7:U36 L41:L70 N70:O70 R7:R36 O41:O69">
    <cfRule type="cellIs" dxfId="321" priority="118" operator="greaterThan">
      <formula>0</formula>
    </cfRule>
  </conditionalFormatting>
  <conditionalFormatting sqref="U95">
    <cfRule type="cellIs" dxfId="320" priority="116" operator="greaterThan">
      <formula>0</formula>
    </cfRule>
  </conditionalFormatting>
  <conditionalFormatting sqref="L5">
    <cfRule type="cellIs" dxfId="319" priority="97" operator="greaterThan">
      <formula>0</formula>
    </cfRule>
  </conditionalFormatting>
  <conditionalFormatting sqref="R5">
    <cfRule type="cellIs" dxfId="318" priority="96" operator="greaterThan">
      <formula>0</formula>
    </cfRule>
  </conditionalFormatting>
  <conditionalFormatting sqref="U5">
    <cfRule type="cellIs" dxfId="317" priority="95" operator="greaterThan">
      <formula>0</formula>
    </cfRule>
  </conditionalFormatting>
  <conditionalFormatting sqref="H108:H109 H2 K3 H41:H76 H7:H36">
    <cfRule type="cellIs" dxfId="316" priority="83" operator="greaterThan">
      <formula>0</formula>
    </cfRule>
    <cfRule type="cellIs" dxfId="315" priority="84" operator="lessThan">
      <formula>0</formula>
    </cfRule>
  </conditionalFormatting>
  <conditionalFormatting sqref="I108:I109 I2 I41:I76 I7:I36">
    <cfRule type="cellIs" dxfId="314" priority="81" operator="lessThan">
      <formula>0</formula>
    </cfRule>
    <cfRule type="cellIs" dxfId="313" priority="82" operator="greaterThan">
      <formula>0</formula>
    </cfRule>
  </conditionalFormatting>
  <conditionalFormatting sqref="I39">
    <cfRule type="cellIs" dxfId="312" priority="70" operator="lessThan">
      <formula>0</formula>
    </cfRule>
    <cfRule type="cellIs" dxfId="311" priority="71" operator="greaterThan">
      <formula>0</formula>
    </cfRule>
  </conditionalFormatting>
  <conditionalFormatting sqref="L39 O39">
    <cfRule type="cellIs" dxfId="310" priority="76" operator="greaterThan">
      <formula>0</formula>
    </cfRule>
  </conditionalFormatting>
  <conditionalFormatting sqref="R39">
    <cfRule type="cellIs" dxfId="309" priority="75" operator="greaterThan">
      <formula>0</formula>
    </cfRule>
  </conditionalFormatting>
  <conditionalFormatting sqref="U39">
    <cfRule type="cellIs" dxfId="308" priority="74" operator="greaterThan">
      <formula>0</formula>
    </cfRule>
  </conditionalFormatting>
  <conditionalFormatting sqref="H39">
    <cfRule type="cellIs" dxfId="307" priority="72" operator="greaterThan">
      <formula>0</formula>
    </cfRule>
    <cfRule type="cellIs" dxfId="306" priority="73" operator="lessThan">
      <formula>0</formula>
    </cfRule>
  </conditionalFormatting>
  <conditionalFormatting sqref="R91:R92 U82:U86 R85:R88 U88:U91">
    <cfRule type="cellIs" dxfId="305" priority="140" operator="greaterThan">
      <formula>0</formula>
    </cfRule>
  </conditionalFormatting>
  <conditionalFormatting sqref="R79:R84">
    <cfRule type="cellIs" dxfId="304" priority="129" operator="greaterThan">
      <formula>0</formula>
    </cfRule>
  </conditionalFormatting>
  <conditionalFormatting sqref="R4 R94 R96:R107 R110:R1048576">
    <cfRule type="cellIs" dxfId="303" priority="134" operator="greaterThan">
      <formula>0</formula>
    </cfRule>
  </conditionalFormatting>
  <conditionalFormatting sqref="U4 U94 U96:U107 U110:U1048576">
    <cfRule type="cellIs" dxfId="302" priority="128" operator="greaterThan">
      <formula>0</formula>
    </cfRule>
  </conditionalFormatting>
  <conditionalFormatting sqref="U79:U81">
    <cfRule type="cellIs" dxfId="301" priority="124" operator="greaterThan">
      <formula>0</formula>
    </cfRule>
  </conditionalFormatting>
  <conditionalFormatting sqref="H1 H37:H38 H96:H107 H80:H94 H110:H1048576 I100:I104 H4">
    <cfRule type="cellIs" dxfId="300" priority="122" operator="greaterThan">
      <formula>0</formula>
    </cfRule>
    <cfRule type="cellIs" dxfId="299" priority="123" operator="lessThan">
      <formula>0</formula>
    </cfRule>
  </conditionalFormatting>
  <conditionalFormatting sqref="I1 I37:I38 I80:I99 I110:I1048576 I105:I107 I4">
    <cfRule type="cellIs" dxfId="298" priority="120" operator="lessThan">
      <formula>0</formula>
    </cfRule>
    <cfRule type="cellIs" dxfId="297" priority="121" operator="greaterThan">
      <formula>0</formula>
    </cfRule>
  </conditionalFormatting>
  <conditionalFormatting sqref="U91:U93">
    <cfRule type="cellIs" dxfId="296" priority="119" operator="greaterThan">
      <formula>0</formula>
    </cfRule>
  </conditionalFormatting>
  <conditionalFormatting sqref="H95">
    <cfRule type="cellIs" dxfId="295" priority="114" operator="greaterThan">
      <formula>0</formula>
    </cfRule>
    <cfRule type="cellIs" dxfId="294" priority="115" operator="lessThan">
      <formula>0</formula>
    </cfRule>
  </conditionalFormatting>
  <conditionalFormatting sqref="H5">
    <cfRule type="cellIs" dxfId="293" priority="93" operator="greaterThan">
      <formula>0</formula>
    </cfRule>
    <cfRule type="cellIs" dxfId="292" priority="94" operator="lessThan">
      <formula>0</formula>
    </cfRule>
  </conditionalFormatting>
  <conditionalFormatting sqref="I5">
    <cfRule type="cellIs" dxfId="291" priority="91" operator="lessThan">
      <formula>0</formula>
    </cfRule>
    <cfRule type="cellIs" dxfId="290" priority="92" operator="greaterThan">
      <formula>0</formula>
    </cfRule>
  </conditionalFormatting>
  <conditionalFormatting sqref="R77">
    <cfRule type="cellIs" dxfId="289" priority="89" operator="greaterThan">
      <formula>0</formula>
    </cfRule>
  </conditionalFormatting>
  <conditionalFormatting sqref="U77">
    <cfRule type="cellIs" dxfId="288" priority="88" operator="greaterThan">
      <formula>0</formula>
    </cfRule>
  </conditionalFormatting>
  <conditionalFormatting sqref="H77">
    <cfRule type="cellIs" dxfId="287" priority="86" operator="greaterThan">
      <formula>0</formula>
    </cfRule>
    <cfRule type="cellIs" dxfId="286" priority="87" operator="lessThan">
      <formula>0</formula>
    </cfRule>
  </conditionalFormatting>
  <conditionalFormatting sqref="I77">
    <cfRule type="cellIs" dxfId="285" priority="85" operator="greaterThan">
      <formula>0</formula>
    </cfRule>
    <cfRule type="cellIs" dxfId="284" priority="141" operator="lessThan">
      <formula>0</formula>
    </cfRule>
  </conditionalFormatting>
  <conditionalFormatting sqref="H79">
    <cfRule type="cellIs" dxfId="283" priority="142" operator="greaterThan">
      <formula>0</formula>
    </cfRule>
    <cfRule type="cellIs" dxfId="282" priority="142" operator="lessThan">
      <formula>0</formula>
    </cfRule>
  </conditionalFormatting>
  <conditionalFormatting sqref="I79">
    <cfRule type="cellIs" dxfId="281" priority="80" operator="lessThan">
      <formula>0</formula>
    </cfRule>
    <cfRule type="cellIs" dxfId="280" priority="143" operator="greaterThan">
      <formula>0</formula>
    </cfRule>
  </conditionalFormatting>
  <conditionalFormatting sqref="U74:U76">
    <cfRule type="cellIs" dxfId="279" priority="79" operator="greaterThan">
      <formula>0</formula>
    </cfRule>
  </conditionalFormatting>
  <conditionalFormatting sqref="R74:R76">
    <cfRule type="cellIs" dxfId="278" priority="77" operator="greaterThan">
      <formula>0</formula>
    </cfRule>
  </conditionalFormatting>
  <conditionalFormatting sqref="R66">
    <cfRule type="cellIs" dxfId="277" priority="55" operator="greaterThan">
      <formula>0</formula>
    </cfRule>
  </conditionalFormatting>
  <conditionalFormatting sqref="R95">
    <cfRule type="cellIs" dxfId="276" priority="54" operator="greaterThan">
      <formula>0</formula>
    </cfRule>
  </conditionalFormatting>
  <conditionalFormatting sqref="R89:R90">
    <cfRule type="cellIs" dxfId="275" priority="53" operator="greaterThan">
      <formula>0</formula>
    </cfRule>
  </conditionalFormatting>
  <conditionalFormatting sqref="R93">
    <cfRule type="cellIs" dxfId="274" priority="52" operator="greaterThan">
      <formula>0</formula>
    </cfRule>
  </conditionalFormatting>
  <conditionalFormatting sqref="U87">
    <cfRule type="cellIs" dxfId="273" priority="51" operator="greaterThan">
      <formula>0</formula>
    </cfRule>
  </conditionalFormatting>
  <conditionalFormatting sqref="L65 O65">
    <cfRule type="cellIs" dxfId="272" priority="39" operator="greaterThan">
      <formula>0</formula>
    </cfRule>
  </conditionalFormatting>
  <conditionalFormatting sqref="R48:R50">
    <cfRule type="cellIs" dxfId="271" priority="25" operator="greaterThan">
      <formula>0</formula>
    </cfRule>
  </conditionalFormatting>
  <conditionalFormatting sqref="U50:U51">
    <cfRule type="cellIs" dxfId="270" priority="26" operator="greaterThan">
      <formula>0</formula>
    </cfRule>
  </conditionalFormatting>
  <conditionalFormatting sqref="O7:O36">
    <cfRule type="cellIs" dxfId="269" priority="8" operator="greaterThan">
      <formula>0</formula>
    </cfRule>
  </conditionalFormatting>
  <conditionalFormatting sqref="L66 O66">
    <cfRule type="cellIs" dxfId="268" priority="6" operator="greaterThan">
      <formula>0</formula>
    </cfRule>
  </conditionalFormatting>
  <conditionalFormatting sqref="R64">
    <cfRule type="cellIs" dxfId="267" priority="5" operator="greaterThan">
      <formula>0</formula>
    </cfRule>
  </conditionalFormatting>
  <conditionalFormatting sqref="R65">
    <cfRule type="cellIs" dxfId="266" priority="4" operator="greaterThan">
      <formula>0</formula>
    </cfRule>
  </conditionalFormatting>
  <conditionalFormatting sqref="R65">
    <cfRule type="cellIs" dxfId="265" priority="3" operator="greaterThan">
      <formula>0</formula>
    </cfRule>
  </conditionalFormatting>
  <conditionalFormatting sqref="R67">
    <cfRule type="cellIs" dxfId="264" priority="2" operator="greater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>
  <sheetPr codeName="Лист39">
    <tabColor rgb="FF92D050"/>
  </sheetPr>
  <dimension ref="A1:AA39"/>
  <sheetViews>
    <sheetView view="pageBreakPreview" zoomScale="70" zoomScaleNormal="70" zoomScaleSheetLayoutView="70" zoomScalePageLayoutView="70" workbookViewId="0">
      <pane ySplit="1" topLeftCell="A2" activePane="bottomLeft" state="frozen"/>
      <selection pane="bottomLeft" activeCell="B1" sqref="B1"/>
    </sheetView>
  </sheetViews>
  <sheetFormatPr defaultColWidth="8.85546875" defaultRowHeight="15"/>
  <cols>
    <col min="1" max="1" width="7.7109375" style="172" customWidth="1"/>
    <col min="2" max="2" width="46" style="172" customWidth="1"/>
    <col min="3" max="8" width="14.140625" style="172" customWidth="1"/>
    <col min="9" max="12" width="18.5703125" style="172" customWidth="1"/>
    <col min="13" max="13" width="1.7109375" style="595" customWidth="1"/>
    <col min="14" max="14" width="12" style="172" customWidth="1"/>
    <col min="15" max="15" width="10" style="172" hidden="1" customWidth="1"/>
    <col min="16" max="16" width="14" style="172" customWidth="1"/>
    <col min="17" max="17" width="16.85546875" style="172" customWidth="1"/>
    <col min="18" max="18" width="19.28515625" style="172" customWidth="1"/>
    <col min="19" max="19" width="8.85546875" style="172"/>
    <col min="20" max="20" width="14.7109375" style="172" customWidth="1"/>
    <col min="21" max="21" width="3.28515625" style="172" customWidth="1"/>
    <col min="22" max="255" width="8.85546875" style="172"/>
    <col min="256" max="256" width="40.7109375" style="172" customWidth="1"/>
    <col min="257" max="262" width="18.7109375" style="172" customWidth="1"/>
    <col min="263" max="266" width="9.140625" style="172" customWidth="1"/>
    <col min="267" max="511" width="8.85546875" style="172"/>
    <col min="512" max="512" width="40.7109375" style="172" customWidth="1"/>
    <col min="513" max="518" width="18.7109375" style="172" customWidth="1"/>
    <col min="519" max="522" width="9.140625" style="172" customWidth="1"/>
    <col min="523" max="767" width="8.85546875" style="172"/>
    <col min="768" max="768" width="40.7109375" style="172" customWidth="1"/>
    <col min="769" max="774" width="18.7109375" style="172" customWidth="1"/>
    <col min="775" max="778" width="9.140625" style="172" customWidth="1"/>
    <col min="779" max="1023" width="8.85546875" style="172"/>
    <col min="1024" max="1024" width="40.7109375" style="172" customWidth="1"/>
    <col min="1025" max="1030" width="18.7109375" style="172" customWidth="1"/>
    <col min="1031" max="1034" width="9.140625" style="172" customWidth="1"/>
    <col min="1035" max="1279" width="8.85546875" style="172"/>
    <col min="1280" max="1280" width="40.7109375" style="172" customWidth="1"/>
    <col min="1281" max="1286" width="18.7109375" style="172" customWidth="1"/>
    <col min="1287" max="1290" width="9.140625" style="172" customWidth="1"/>
    <col min="1291" max="1535" width="8.85546875" style="172"/>
    <col min="1536" max="1536" width="40.7109375" style="172" customWidth="1"/>
    <col min="1537" max="1542" width="18.7109375" style="172" customWidth="1"/>
    <col min="1543" max="1546" width="9.140625" style="172" customWidth="1"/>
    <col min="1547" max="1791" width="8.85546875" style="172"/>
    <col min="1792" max="1792" width="40.7109375" style="172" customWidth="1"/>
    <col min="1793" max="1798" width="18.7109375" style="172" customWidth="1"/>
    <col min="1799" max="1802" width="9.140625" style="172" customWidth="1"/>
    <col min="1803" max="2047" width="8.85546875" style="172"/>
    <col min="2048" max="2048" width="40.7109375" style="172" customWidth="1"/>
    <col min="2049" max="2054" width="18.7109375" style="172" customWidth="1"/>
    <col min="2055" max="2058" width="9.140625" style="172" customWidth="1"/>
    <col min="2059" max="2303" width="8.85546875" style="172"/>
    <col min="2304" max="2304" width="40.7109375" style="172" customWidth="1"/>
    <col min="2305" max="2310" width="18.7109375" style="172" customWidth="1"/>
    <col min="2311" max="2314" width="9.140625" style="172" customWidth="1"/>
    <col min="2315" max="2559" width="8.85546875" style="172"/>
    <col min="2560" max="2560" width="40.7109375" style="172" customWidth="1"/>
    <col min="2561" max="2566" width="18.7109375" style="172" customWidth="1"/>
    <col min="2567" max="2570" width="9.140625" style="172" customWidth="1"/>
    <col min="2571" max="2815" width="8.85546875" style="172"/>
    <col min="2816" max="2816" width="40.7109375" style="172" customWidth="1"/>
    <col min="2817" max="2822" width="18.7109375" style="172" customWidth="1"/>
    <col min="2823" max="2826" width="9.140625" style="172" customWidth="1"/>
    <col min="2827" max="3071" width="8.85546875" style="172"/>
    <col min="3072" max="3072" width="40.7109375" style="172" customWidth="1"/>
    <col min="3073" max="3078" width="18.7109375" style="172" customWidth="1"/>
    <col min="3079" max="3082" width="9.140625" style="172" customWidth="1"/>
    <col min="3083" max="3327" width="8.85546875" style="172"/>
    <col min="3328" max="3328" width="40.7109375" style="172" customWidth="1"/>
    <col min="3329" max="3334" width="18.7109375" style="172" customWidth="1"/>
    <col min="3335" max="3338" width="9.140625" style="172" customWidth="1"/>
    <col min="3339" max="3583" width="8.85546875" style="172"/>
    <col min="3584" max="3584" width="40.7109375" style="172" customWidth="1"/>
    <col min="3585" max="3590" width="18.7109375" style="172" customWidth="1"/>
    <col min="3591" max="3594" width="9.140625" style="172" customWidth="1"/>
    <col min="3595" max="3839" width="8.85546875" style="172"/>
    <col min="3840" max="3840" width="40.7109375" style="172" customWidth="1"/>
    <col min="3841" max="3846" width="18.7109375" style="172" customWidth="1"/>
    <col min="3847" max="3850" width="9.140625" style="172" customWidth="1"/>
    <col min="3851" max="4095" width="8.85546875" style="172"/>
    <col min="4096" max="4096" width="40.7109375" style="172" customWidth="1"/>
    <col min="4097" max="4102" width="18.7109375" style="172" customWidth="1"/>
    <col min="4103" max="4106" width="9.140625" style="172" customWidth="1"/>
    <col min="4107" max="4351" width="8.85546875" style="172"/>
    <col min="4352" max="4352" width="40.7109375" style="172" customWidth="1"/>
    <col min="4353" max="4358" width="18.7109375" style="172" customWidth="1"/>
    <col min="4359" max="4362" width="9.140625" style="172" customWidth="1"/>
    <col min="4363" max="4607" width="8.85546875" style="172"/>
    <col min="4608" max="4608" width="40.7109375" style="172" customWidth="1"/>
    <col min="4609" max="4614" width="18.7109375" style="172" customWidth="1"/>
    <col min="4615" max="4618" width="9.140625" style="172" customWidth="1"/>
    <col min="4619" max="4863" width="8.85546875" style="172"/>
    <col min="4864" max="4864" width="40.7109375" style="172" customWidth="1"/>
    <col min="4865" max="4870" width="18.7109375" style="172" customWidth="1"/>
    <col min="4871" max="4874" width="9.140625" style="172" customWidth="1"/>
    <col min="4875" max="5119" width="8.85546875" style="172"/>
    <col min="5120" max="5120" width="40.7109375" style="172" customWidth="1"/>
    <col min="5121" max="5126" width="18.7109375" style="172" customWidth="1"/>
    <col min="5127" max="5130" width="9.140625" style="172" customWidth="1"/>
    <col min="5131" max="5375" width="8.85546875" style="172"/>
    <col min="5376" max="5376" width="40.7109375" style="172" customWidth="1"/>
    <col min="5377" max="5382" width="18.7109375" style="172" customWidth="1"/>
    <col min="5383" max="5386" width="9.140625" style="172" customWidth="1"/>
    <col min="5387" max="5631" width="8.85546875" style="172"/>
    <col min="5632" max="5632" width="40.7109375" style="172" customWidth="1"/>
    <col min="5633" max="5638" width="18.7109375" style="172" customWidth="1"/>
    <col min="5639" max="5642" width="9.140625" style="172" customWidth="1"/>
    <col min="5643" max="5887" width="8.85546875" style="172"/>
    <col min="5888" max="5888" width="40.7109375" style="172" customWidth="1"/>
    <col min="5889" max="5894" width="18.7109375" style="172" customWidth="1"/>
    <col min="5895" max="5898" width="9.140625" style="172" customWidth="1"/>
    <col min="5899" max="6143" width="8.85546875" style="172"/>
    <col min="6144" max="6144" width="40.7109375" style="172" customWidth="1"/>
    <col min="6145" max="6150" width="18.7109375" style="172" customWidth="1"/>
    <col min="6151" max="6154" width="9.140625" style="172" customWidth="1"/>
    <col min="6155" max="6399" width="8.85546875" style="172"/>
    <col min="6400" max="6400" width="40.7109375" style="172" customWidth="1"/>
    <col min="6401" max="6406" width="18.7109375" style="172" customWidth="1"/>
    <col min="6407" max="6410" width="9.140625" style="172" customWidth="1"/>
    <col min="6411" max="6655" width="8.85546875" style="172"/>
    <col min="6656" max="6656" width="40.7109375" style="172" customWidth="1"/>
    <col min="6657" max="6662" width="18.7109375" style="172" customWidth="1"/>
    <col min="6663" max="6666" width="9.140625" style="172" customWidth="1"/>
    <col min="6667" max="6911" width="8.85546875" style="172"/>
    <col min="6912" max="6912" width="40.7109375" style="172" customWidth="1"/>
    <col min="6913" max="6918" width="18.7109375" style="172" customWidth="1"/>
    <col min="6919" max="6922" width="9.140625" style="172" customWidth="1"/>
    <col min="6923" max="7167" width="8.85546875" style="172"/>
    <col min="7168" max="7168" width="40.7109375" style="172" customWidth="1"/>
    <col min="7169" max="7174" width="18.7109375" style="172" customWidth="1"/>
    <col min="7175" max="7178" width="9.140625" style="172" customWidth="1"/>
    <col min="7179" max="7423" width="8.85546875" style="172"/>
    <col min="7424" max="7424" width="40.7109375" style="172" customWidth="1"/>
    <col min="7425" max="7430" width="18.7109375" style="172" customWidth="1"/>
    <col min="7431" max="7434" width="9.140625" style="172" customWidth="1"/>
    <col min="7435" max="7679" width="8.85546875" style="172"/>
    <col min="7680" max="7680" width="40.7109375" style="172" customWidth="1"/>
    <col min="7681" max="7686" width="18.7109375" style="172" customWidth="1"/>
    <col min="7687" max="7690" width="9.140625" style="172" customWidth="1"/>
    <col min="7691" max="7935" width="8.85546875" style="172"/>
    <col min="7936" max="7936" width="40.7109375" style="172" customWidth="1"/>
    <col min="7937" max="7942" width="18.7109375" style="172" customWidth="1"/>
    <col min="7943" max="7946" width="9.140625" style="172" customWidth="1"/>
    <col min="7947" max="8191" width="8.85546875" style="172"/>
    <col min="8192" max="8192" width="40.7109375" style="172" customWidth="1"/>
    <col min="8193" max="8198" width="18.7109375" style="172" customWidth="1"/>
    <col min="8199" max="8202" width="9.140625" style="172" customWidth="1"/>
    <col min="8203" max="8447" width="8.85546875" style="172"/>
    <col min="8448" max="8448" width="40.7109375" style="172" customWidth="1"/>
    <col min="8449" max="8454" width="18.7109375" style="172" customWidth="1"/>
    <col min="8455" max="8458" width="9.140625" style="172" customWidth="1"/>
    <col min="8459" max="8703" width="8.85546875" style="172"/>
    <col min="8704" max="8704" width="40.7109375" style="172" customWidth="1"/>
    <col min="8705" max="8710" width="18.7109375" style="172" customWidth="1"/>
    <col min="8711" max="8714" width="9.140625" style="172" customWidth="1"/>
    <col min="8715" max="8959" width="8.85546875" style="172"/>
    <col min="8960" max="8960" width="40.7109375" style="172" customWidth="1"/>
    <col min="8961" max="8966" width="18.7109375" style="172" customWidth="1"/>
    <col min="8967" max="8970" width="9.140625" style="172" customWidth="1"/>
    <col min="8971" max="9215" width="8.85546875" style="172"/>
    <col min="9216" max="9216" width="40.7109375" style="172" customWidth="1"/>
    <col min="9217" max="9222" width="18.7109375" style="172" customWidth="1"/>
    <col min="9223" max="9226" width="9.140625" style="172" customWidth="1"/>
    <col min="9227" max="9471" width="8.85546875" style="172"/>
    <col min="9472" max="9472" width="40.7109375" style="172" customWidth="1"/>
    <col min="9473" max="9478" width="18.7109375" style="172" customWidth="1"/>
    <col min="9479" max="9482" width="9.140625" style="172" customWidth="1"/>
    <col min="9483" max="9727" width="8.85546875" style="172"/>
    <col min="9728" max="9728" width="40.7109375" style="172" customWidth="1"/>
    <col min="9729" max="9734" width="18.7109375" style="172" customWidth="1"/>
    <col min="9735" max="9738" width="9.140625" style="172" customWidth="1"/>
    <col min="9739" max="9983" width="8.85546875" style="172"/>
    <col min="9984" max="9984" width="40.7109375" style="172" customWidth="1"/>
    <col min="9985" max="9990" width="18.7109375" style="172" customWidth="1"/>
    <col min="9991" max="9994" width="9.140625" style="172" customWidth="1"/>
    <col min="9995" max="10239" width="8.85546875" style="172"/>
    <col min="10240" max="10240" width="40.7109375" style="172" customWidth="1"/>
    <col min="10241" max="10246" width="18.7109375" style="172" customWidth="1"/>
    <col min="10247" max="10250" width="9.140625" style="172" customWidth="1"/>
    <col min="10251" max="10495" width="8.85546875" style="172"/>
    <col min="10496" max="10496" width="40.7109375" style="172" customWidth="1"/>
    <col min="10497" max="10502" width="18.7109375" style="172" customWidth="1"/>
    <col min="10503" max="10506" width="9.140625" style="172" customWidth="1"/>
    <col min="10507" max="10751" width="8.85546875" style="172"/>
    <col min="10752" max="10752" width="40.7109375" style="172" customWidth="1"/>
    <col min="10753" max="10758" width="18.7109375" style="172" customWidth="1"/>
    <col min="10759" max="10762" width="9.140625" style="172" customWidth="1"/>
    <col min="10763" max="11007" width="8.85546875" style="172"/>
    <col min="11008" max="11008" width="40.7109375" style="172" customWidth="1"/>
    <col min="11009" max="11014" width="18.7109375" style="172" customWidth="1"/>
    <col min="11015" max="11018" width="9.140625" style="172" customWidth="1"/>
    <col min="11019" max="11263" width="8.85546875" style="172"/>
    <col min="11264" max="11264" width="40.7109375" style="172" customWidth="1"/>
    <col min="11265" max="11270" width="18.7109375" style="172" customWidth="1"/>
    <col min="11271" max="11274" width="9.140625" style="172" customWidth="1"/>
    <col min="11275" max="11519" width="8.85546875" style="172"/>
    <col min="11520" max="11520" width="40.7109375" style="172" customWidth="1"/>
    <col min="11521" max="11526" width="18.7109375" style="172" customWidth="1"/>
    <col min="11527" max="11530" width="9.140625" style="172" customWidth="1"/>
    <col min="11531" max="11775" width="8.85546875" style="172"/>
    <col min="11776" max="11776" width="40.7109375" style="172" customWidth="1"/>
    <col min="11777" max="11782" width="18.7109375" style="172" customWidth="1"/>
    <col min="11783" max="11786" width="9.140625" style="172" customWidth="1"/>
    <col min="11787" max="12031" width="8.85546875" style="172"/>
    <col min="12032" max="12032" width="40.7109375" style="172" customWidth="1"/>
    <col min="12033" max="12038" width="18.7109375" style="172" customWidth="1"/>
    <col min="12039" max="12042" width="9.140625" style="172" customWidth="1"/>
    <col min="12043" max="12287" width="8.85546875" style="172"/>
    <col min="12288" max="12288" width="40.7109375" style="172" customWidth="1"/>
    <col min="12289" max="12294" width="18.7109375" style="172" customWidth="1"/>
    <col min="12295" max="12298" width="9.140625" style="172" customWidth="1"/>
    <col min="12299" max="12543" width="8.85546875" style="172"/>
    <col min="12544" max="12544" width="40.7109375" style="172" customWidth="1"/>
    <col min="12545" max="12550" width="18.7109375" style="172" customWidth="1"/>
    <col min="12551" max="12554" width="9.140625" style="172" customWidth="1"/>
    <col min="12555" max="12799" width="8.85546875" style="172"/>
    <col min="12800" max="12800" width="40.7109375" style="172" customWidth="1"/>
    <col min="12801" max="12806" width="18.7109375" style="172" customWidth="1"/>
    <col min="12807" max="12810" width="9.140625" style="172" customWidth="1"/>
    <col min="12811" max="13055" width="8.85546875" style="172"/>
    <col min="13056" max="13056" width="40.7109375" style="172" customWidth="1"/>
    <col min="13057" max="13062" width="18.7109375" style="172" customWidth="1"/>
    <col min="13063" max="13066" width="9.140625" style="172" customWidth="1"/>
    <col min="13067" max="13311" width="8.85546875" style="172"/>
    <col min="13312" max="13312" width="40.7109375" style="172" customWidth="1"/>
    <col min="13313" max="13318" width="18.7109375" style="172" customWidth="1"/>
    <col min="13319" max="13322" width="9.140625" style="172" customWidth="1"/>
    <col min="13323" max="13567" width="8.85546875" style="172"/>
    <col min="13568" max="13568" width="40.7109375" style="172" customWidth="1"/>
    <col min="13569" max="13574" width="18.7109375" style="172" customWidth="1"/>
    <col min="13575" max="13578" width="9.140625" style="172" customWidth="1"/>
    <col min="13579" max="13823" width="8.85546875" style="172"/>
    <col min="13824" max="13824" width="40.7109375" style="172" customWidth="1"/>
    <col min="13825" max="13830" width="18.7109375" style="172" customWidth="1"/>
    <col min="13831" max="13834" width="9.140625" style="172" customWidth="1"/>
    <col min="13835" max="14079" width="8.85546875" style="172"/>
    <col min="14080" max="14080" width="40.7109375" style="172" customWidth="1"/>
    <col min="14081" max="14086" width="18.7109375" style="172" customWidth="1"/>
    <col min="14087" max="14090" width="9.140625" style="172" customWidth="1"/>
    <col min="14091" max="14335" width="8.85546875" style="172"/>
    <col min="14336" max="14336" width="40.7109375" style="172" customWidth="1"/>
    <col min="14337" max="14342" width="18.7109375" style="172" customWidth="1"/>
    <col min="14343" max="14346" width="9.140625" style="172" customWidth="1"/>
    <col min="14347" max="14591" width="8.85546875" style="172"/>
    <col min="14592" max="14592" width="40.7109375" style="172" customWidth="1"/>
    <col min="14593" max="14598" width="18.7109375" style="172" customWidth="1"/>
    <col min="14599" max="14602" width="9.140625" style="172" customWidth="1"/>
    <col min="14603" max="14847" width="8.85546875" style="172"/>
    <col min="14848" max="14848" width="40.7109375" style="172" customWidth="1"/>
    <col min="14849" max="14854" width="18.7109375" style="172" customWidth="1"/>
    <col min="14855" max="14858" width="9.140625" style="172" customWidth="1"/>
    <col min="14859" max="15103" width="8.85546875" style="172"/>
    <col min="15104" max="15104" width="40.7109375" style="172" customWidth="1"/>
    <col min="15105" max="15110" width="18.7109375" style="172" customWidth="1"/>
    <col min="15111" max="15114" width="9.140625" style="172" customWidth="1"/>
    <col min="15115" max="15359" width="8.85546875" style="172"/>
    <col min="15360" max="15360" width="40.7109375" style="172" customWidth="1"/>
    <col min="15361" max="15366" width="18.7109375" style="172" customWidth="1"/>
    <col min="15367" max="15370" width="9.140625" style="172" customWidth="1"/>
    <col min="15371" max="15615" width="8.85546875" style="172"/>
    <col min="15616" max="15616" width="40.7109375" style="172" customWidth="1"/>
    <col min="15617" max="15622" width="18.7109375" style="172" customWidth="1"/>
    <col min="15623" max="15626" width="9.140625" style="172" customWidth="1"/>
    <col min="15627" max="15871" width="8.85546875" style="172"/>
    <col min="15872" max="15872" width="40.7109375" style="172" customWidth="1"/>
    <col min="15873" max="15878" width="18.7109375" style="172" customWidth="1"/>
    <col min="15879" max="15882" width="9.140625" style="172" customWidth="1"/>
    <col min="15883" max="16127" width="8.85546875" style="172"/>
    <col min="16128" max="16128" width="40.7109375" style="172" customWidth="1"/>
    <col min="16129" max="16134" width="18.7109375" style="172" customWidth="1"/>
    <col min="16135" max="16138" width="9.140625" style="172" customWidth="1"/>
    <col min="16139" max="16384" width="8.85546875" style="172"/>
  </cols>
  <sheetData>
    <row r="1" spans="1:27" s="171" customFormat="1" ht="18" customHeight="1">
      <c r="A1" s="2298"/>
      <c r="B1" s="2285" t="s">
        <v>490</v>
      </c>
      <c r="C1" s="2280"/>
      <c r="F1" s="2280"/>
      <c r="M1" s="645"/>
      <c r="P1" s="2282"/>
    </row>
    <row r="2" spans="1:27" s="470" customFormat="1" ht="18" customHeight="1">
      <c r="A2" s="469"/>
      <c r="B2" s="627"/>
      <c r="C2" s="26"/>
      <c r="D2" s="26"/>
      <c r="E2" s="26"/>
      <c r="F2" s="26"/>
      <c r="G2" s="26"/>
      <c r="H2" s="26"/>
      <c r="I2" s="26"/>
      <c r="J2" s="26"/>
      <c r="K2" s="26"/>
      <c r="L2" s="26"/>
      <c r="M2" s="593"/>
      <c r="N2" s="471"/>
      <c r="O2" s="471"/>
      <c r="P2" s="471"/>
      <c r="Q2" s="471"/>
      <c r="R2" s="471"/>
      <c r="S2" s="471"/>
      <c r="T2" s="471"/>
      <c r="U2" s="471"/>
      <c r="V2" s="471"/>
      <c r="W2" s="471"/>
      <c r="X2" s="471"/>
      <c r="Y2" s="471"/>
      <c r="Z2" s="471"/>
      <c r="AA2" s="471"/>
    </row>
    <row r="3" spans="1:27" s="527" customFormat="1" ht="31.5" customHeight="1">
      <c r="A3" s="5394" t="s">
        <v>766</v>
      </c>
      <c r="B3" s="5394"/>
      <c r="C3" s="5395"/>
      <c r="D3" s="5395"/>
      <c r="E3" s="5395"/>
      <c r="F3" s="5395"/>
      <c r="G3" s="5395"/>
      <c r="H3" s="5395"/>
      <c r="I3" s="5395"/>
      <c r="J3" s="5395"/>
      <c r="K3" s="5395"/>
      <c r="L3" s="5395"/>
      <c r="M3" s="644"/>
      <c r="N3" s="526"/>
      <c r="O3" s="526"/>
      <c r="P3" s="525"/>
      <c r="Q3" s="525"/>
      <c r="R3" s="525"/>
      <c r="S3" s="525"/>
      <c r="T3" s="525"/>
    </row>
    <row r="4" spans="1:27" ht="18" customHeight="1">
      <c r="A4" s="5561" t="s">
        <v>694</v>
      </c>
      <c r="B4" s="5562"/>
      <c r="C4" s="5554" t="s">
        <v>693</v>
      </c>
      <c r="D4" s="5555"/>
      <c r="E4" s="5555"/>
      <c r="F4" s="5555"/>
      <c r="G4" s="5555"/>
      <c r="H4" s="5555"/>
      <c r="I4" s="5556"/>
      <c r="J4" s="5556"/>
      <c r="K4" s="5556"/>
      <c r="L4" s="5557"/>
      <c r="M4" s="639"/>
      <c r="N4" s="5577" t="s">
        <v>3401</v>
      </c>
      <c r="O4" s="3325"/>
      <c r="P4" s="5569" t="s">
        <v>2930</v>
      </c>
      <c r="Q4" s="5571" t="s">
        <v>2931</v>
      </c>
    </row>
    <row r="5" spans="1:27" ht="18" customHeight="1">
      <c r="A5" s="5563"/>
      <c r="B5" s="5564"/>
      <c r="C5" s="5554" t="s">
        <v>1037</v>
      </c>
      <c r="D5" s="5555"/>
      <c r="E5" s="5555"/>
      <c r="F5" s="5555"/>
      <c r="G5" s="5555"/>
      <c r="H5" s="5555"/>
      <c r="I5" s="5556"/>
      <c r="J5" s="5557"/>
      <c r="K5" s="5554" t="s">
        <v>996</v>
      </c>
      <c r="L5" s="5557"/>
      <c r="M5" s="639"/>
      <c r="N5" s="5578"/>
      <c r="O5" s="3326"/>
      <c r="P5" s="5570"/>
      <c r="Q5" s="5572"/>
    </row>
    <row r="6" spans="1:27" ht="75" customHeight="1">
      <c r="A6" s="5563"/>
      <c r="B6" s="5564"/>
      <c r="C6" s="5558" t="s">
        <v>992</v>
      </c>
      <c r="D6" s="5555"/>
      <c r="E6" s="5559"/>
      <c r="F6" s="5558" t="s">
        <v>3456</v>
      </c>
      <c r="G6" s="5555"/>
      <c r="H6" s="5559"/>
      <c r="I6" s="5567" t="s">
        <v>993</v>
      </c>
      <c r="J6" s="5575" t="s">
        <v>2701</v>
      </c>
      <c r="K6" s="5575" t="s">
        <v>994</v>
      </c>
      <c r="L6" s="5575" t="s">
        <v>995</v>
      </c>
      <c r="M6" s="639"/>
      <c r="N6" s="5578"/>
      <c r="O6" s="3326"/>
      <c r="P6" s="5570"/>
      <c r="Q6" s="5573"/>
      <c r="R6" s="529"/>
      <c r="S6" s="529"/>
    </row>
    <row r="7" spans="1:27" ht="25.5">
      <c r="A7" s="5565"/>
      <c r="B7" s="5566"/>
      <c r="C7" s="1178" t="s">
        <v>1470</v>
      </c>
      <c r="D7" s="1178" t="s">
        <v>1471</v>
      </c>
      <c r="E7" s="1178" t="s">
        <v>1472</v>
      </c>
      <c r="F7" s="1178" t="s">
        <v>1470</v>
      </c>
      <c r="G7" s="1178" t="s">
        <v>1471</v>
      </c>
      <c r="H7" s="1178" t="s">
        <v>1472</v>
      </c>
      <c r="I7" s="5568"/>
      <c r="J7" s="5568"/>
      <c r="K7" s="5576"/>
      <c r="L7" s="5576"/>
      <c r="M7" s="639"/>
      <c r="N7" s="3323" t="s">
        <v>3400</v>
      </c>
      <c r="O7" s="3322"/>
      <c r="P7" s="3323" t="s">
        <v>2932</v>
      </c>
      <c r="Q7" s="3537" t="s">
        <v>2933</v>
      </c>
      <c r="R7" s="529"/>
      <c r="S7" s="529"/>
    </row>
    <row r="8" spans="1:27" s="173" customFormat="1" ht="46.5" customHeight="1">
      <c r="A8" s="5346" t="s">
        <v>1425</v>
      </c>
      <c r="B8" s="2470" t="s">
        <v>2482</v>
      </c>
      <c r="C8" s="642">
        <f>CEILING('Погонаж база'!DT31*(1+скидки_наценки!$B$28)*скидки_наценки!$D$19*скидки_наценки!$F$19/скидки_наценки!$B$4, 50)</f>
        <v>9650</v>
      </c>
      <c r="D8" s="1179">
        <f>CEILING(C8*1.15, 100)</f>
        <v>11100</v>
      </c>
      <c r="E8" s="1179">
        <f>CEILING(C8*1.3, 100)</f>
        <v>12600</v>
      </c>
      <c r="F8" s="642">
        <f>CEILING('Погонаж база'!DW31*(1+скидки_наценки!$B$28)*скидки_наценки!$D$19*скидки_наценки!$F$19/скидки_наценки!$B$4, 50)</f>
        <v>0</v>
      </c>
      <c r="G8" s="1179">
        <f>CEILING(F8*1.15, 100)</f>
        <v>0</v>
      </c>
      <c r="H8" s="1179">
        <f>CEILING(F8*1.3, 100)</f>
        <v>0</v>
      </c>
      <c r="I8" s="642"/>
      <c r="J8" s="642"/>
      <c r="K8" s="642"/>
      <c r="L8" s="642"/>
      <c r="M8" s="646"/>
      <c r="N8" s="5553">
        <f>CEILING('Погонаж база'!BE31*(1+скидки_наценки!$B$30)*скидки_наценки!$D$21*скидки_наценки!$F$21/скидки_наценки!$B$4, 50)</f>
        <v>550</v>
      </c>
      <c r="O8" s="5553">
        <f>Погонаж!T11</f>
        <v>150</v>
      </c>
      <c r="P8" s="3919">
        <f>CEILING('Погонаж база'!BC31*(1+скидки_наценки!$B$30)*скидки_наценки!$D$21*скидки_наценки!$F$21/скидки_наценки!$B$4, 50)</f>
        <v>150</v>
      </c>
      <c r="Q8" s="3308">
        <f>CEILING('Погонаж база'!BG31*(1+скидки_наценки!$B$30)*скидки_наценки!$D$21*скидки_наценки!$F$21/скидки_наценки!$B$4, 50)</f>
        <v>400</v>
      </c>
      <c r="R8" s="172"/>
      <c r="T8" s="3536"/>
    </row>
    <row r="9" spans="1:27" s="173" customFormat="1" ht="46.5" customHeight="1">
      <c r="A9" s="5346"/>
      <c r="B9" s="2471" t="s">
        <v>2483</v>
      </c>
      <c r="C9" s="643">
        <f t="shared" ref="C9:H9" si="0">CEILING(C8*1.07, 50)</f>
        <v>10350</v>
      </c>
      <c r="D9" s="1180">
        <f t="shared" si="0"/>
        <v>11900</v>
      </c>
      <c r="E9" s="1180">
        <f t="shared" si="0"/>
        <v>13500</v>
      </c>
      <c r="F9" s="643">
        <f t="shared" si="0"/>
        <v>0</v>
      </c>
      <c r="G9" s="1180">
        <f t="shared" si="0"/>
        <v>0</v>
      </c>
      <c r="H9" s="1180">
        <f t="shared" si="0"/>
        <v>0</v>
      </c>
      <c r="I9" s="643"/>
      <c r="J9" s="643"/>
      <c r="K9" s="643"/>
      <c r="L9" s="643"/>
      <c r="M9" s="646"/>
      <c r="N9" s="5560">
        <f>CEILING('Погонаж база'!BE32*(1+скидки_наценки!$B$30)*скидки_наценки!$D$21*скидки_наценки!$F$21/скидки_наценки!$B$4, 50)</f>
        <v>600</v>
      </c>
      <c r="O9" s="5560">
        <f>Погонаж!T12</f>
        <v>180</v>
      </c>
      <c r="P9" s="2368">
        <f>CEILING('Погонаж база'!BC32*(1+скидки_наценки!$B$30)*скидки_наценки!$D$21*скидки_наценки!$F$21/скидки_наценки!$B$4, 50)</f>
        <v>150</v>
      </c>
      <c r="Q9" s="3307">
        <f>CEILING('Погонаж база'!BG32*(1+скидки_наценки!$B$30)*скидки_наценки!$D$21*скидки_наценки!$F$21/скидки_наценки!$B$4, 50)</f>
        <v>450</v>
      </c>
      <c r="T9" s="3536"/>
    </row>
    <row r="10" spans="1:27" s="173" customFormat="1" ht="54.95" customHeight="1">
      <c r="A10" s="2472" t="s">
        <v>30</v>
      </c>
      <c r="B10" s="2470" t="s">
        <v>284</v>
      </c>
      <c r="C10" s="1179">
        <f>CEILING('Погонаж база'!DT33*(1+скидки_наценки!$B$29)*скидки_наценки!$D$21*скидки_наценки!$F$21/скидки_наценки!$B$4, 50)</f>
        <v>11850</v>
      </c>
      <c r="D10" s="1179">
        <f t="shared" ref="D10:D18" si="1">CEILING(C10*1.15, 100)</f>
        <v>13700</v>
      </c>
      <c r="E10" s="1179">
        <f t="shared" ref="E10:E16" si="2">CEILING(C10*1.3, 100)</f>
        <v>15500</v>
      </c>
      <c r="F10" s="1179">
        <f>CEILING('Погонаж база'!DW33*(1+скидки_наценки!$B$29)*скидки_наценки!$D$21*скидки_наценки!$F$21/скидки_наценки!$B$4, 50)</f>
        <v>0</v>
      </c>
      <c r="G10" s="1179">
        <f>CEILING(F10*1.15, 100)</f>
        <v>0</v>
      </c>
      <c r="H10" s="1179">
        <f>CEILING(F10*1.3, 100)</f>
        <v>0</v>
      </c>
      <c r="I10" s="2828">
        <f>CEILING('Погонаж база'!DU33*(1+скидки_наценки!$B$30)*скидки_наценки!$D$21*скидки_наценки!$F$21/скидки_наценки!$B$4, 50)</f>
        <v>17750</v>
      </c>
      <c r="J10" s="642">
        <f>CEILING('Погонаж база'!DV33*(1+скидки_наценки!$B$30)*скидки_наценки!$D$21*скидки_наценки!$F$21/скидки_наценки!$B$4, 50)</f>
        <v>4450</v>
      </c>
      <c r="K10" s="642">
        <f>CEILING('Погонаж база'!DX33*(1+скидки_наценки!$B$30)*скидки_наценки!$D$21*скидки_наценки!$F$21/скидки_наценки!$B$4, 50)</f>
        <v>18400</v>
      </c>
      <c r="L10" s="642">
        <f>CEILING('Погонаж база'!DY33*(1+скидки_наценки!$B$30)*скидки_наценки!$D$21*скидки_наценки!$F$21/скидки_наценки!$B$4, 50)</f>
        <v>25850</v>
      </c>
      <c r="M10" s="646"/>
      <c r="N10" s="5553">
        <f>CEILING('Погонаж база'!BE33*(1+скидки_наценки!$B$30)*скидки_наценки!$D$21*скидки_наценки!$F$21/скидки_наценки!$B$4, 50)</f>
        <v>800</v>
      </c>
      <c r="O10" s="5553">
        <f>Погонаж!T13</f>
        <v>230</v>
      </c>
      <c r="P10" s="542">
        <f>CEILING('Погонаж база'!BC33*(1+скидки_наценки!$B$30)*скидки_наценки!$D$21*скидки_наценки!$F$21/скидки_наценки!$B$4, 50)</f>
        <v>150</v>
      </c>
      <c r="Q10" s="3308">
        <f>CEILING('Погонаж база'!BG33*(1+скидки_наценки!$B$30)*скидки_наценки!$D$21*скидки_наценки!$F$21/скидки_наценки!$B$4, 50)</f>
        <v>550</v>
      </c>
      <c r="T10" s="3536"/>
    </row>
    <row r="11" spans="1:27" s="173" customFormat="1" ht="45" customHeight="1">
      <c r="A11" s="5342" t="s">
        <v>26</v>
      </c>
      <c r="B11" s="2471" t="s">
        <v>2587</v>
      </c>
      <c r="C11" s="643">
        <f>CEILING('Погонаж база'!DT34*(1+скидки_наценки!$B$29)*скидки_наценки!$D$21*скидки_наценки!$F$21/скидки_наценки!$B$4, 50)</f>
        <v>12450</v>
      </c>
      <c r="D11" s="1180">
        <f t="shared" si="1"/>
        <v>14400</v>
      </c>
      <c r="E11" s="1180">
        <f t="shared" si="2"/>
        <v>16200</v>
      </c>
      <c r="F11" s="643">
        <f>CEILING('Погонаж база'!DW34*(1+скидки_наценки!$B$29)*скидки_наценки!$D$21*скидки_наценки!$F$21/скидки_наценки!$B$4, 50)</f>
        <v>0</v>
      </c>
      <c r="G11" s="1180">
        <f>CEILING(F11*1.15, 100)</f>
        <v>0</v>
      </c>
      <c r="H11" s="1180">
        <f>CEILING(F11*1.3, 100)</f>
        <v>0</v>
      </c>
      <c r="I11" s="2829"/>
      <c r="J11" s="643"/>
      <c r="K11" s="643"/>
      <c r="L11" s="643">
        <f>CEILING('Погонаж база'!DY34*(1+скидки_наценки!$B$29)*скидки_наценки!$D$21*скидки_наценки!$F$21/скидки_наценки!$B$4, 50)</f>
        <v>27150</v>
      </c>
      <c r="M11" s="647"/>
      <c r="N11" s="5560">
        <f>CEILING('Погонаж база'!BE34*(1+скидки_наценки!$B$30)*скидки_наценки!$D$21*скидки_наценки!$F$21/скидки_наценки!$B$4, 50)</f>
        <v>850</v>
      </c>
      <c r="O11" s="5560">
        <f>Погонаж!T14</f>
        <v>250</v>
      </c>
      <c r="P11" s="543">
        <f>CEILING('Погонаж база'!BC34*(1+скидки_наценки!$B$30)*скидки_наценки!$D$21*скидки_наценки!$F$21/скидки_наценки!$B$4, 50)</f>
        <v>150</v>
      </c>
      <c r="Q11" s="3307">
        <f>CEILING('Погонаж база'!BG34*(1+скидки_наценки!$B$30)*скидки_наценки!$D$21*скидки_наценки!$F$21/скидки_наценки!$B$4, 50)</f>
        <v>600</v>
      </c>
      <c r="T11" s="3536"/>
    </row>
    <row r="12" spans="1:27" s="173" customFormat="1" ht="54.95" customHeight="1">
      <c r="A12" s="5342"/>
      <c r="B12" s="2470" t="s">
        <v>2580</v>
      </c>
      <c r="C12" s="642">
        <f>CEILING('Погонаж база'!DT35*(1+скидки_наценки!$B$29)*скидки_наценки!$D$21*скидки_наценки!$F$21/скидки_наценки!$B$4, 50)</f>
        <v>13400</v>
      </c>
      <c r="D12" s="1179">
        <f t="shared" si="1"/>
        <v>15500</v>
      </c>
      <c r="E12" s="1179">
        <f t="shared" si="2"/>
        <v>17500</v>
      </c>
      <c r="F12" s="642">
        <f>CEILING(C12*1.25, 100)</f>
        <v>16800</v>
      </c>
      <c r="G12" s="1179">
        <f>CEILING(F12*1.15, 100)</f>
        <v>19400</v>
      </c>
      <c r="H12" s="1179">
        <f>CEILING(F12*1.3, 100)</f>
        <v>21900</v>
      </c>
      <c r="I12" s="2828">
        <f>CEILING('Погонаж база'!DU35*(1+скидки_наценки!$B$29)*скидки_наценки!$D$21*скидки_наценки!$F$21/скидки_наценки!$B$4, 50)</f>
        <v>20100</v>
      </c>
      <c r="J12" s="642">
        <f>CEILING('Погонаж база'!DV35*(1+скидки_наценки!$B$29)*скидки_наценки!$D$21*скидки_наценки!$F$21/скидки_наценки!$B$4, 50)</f>
        <v>5200</v>
      </c>
      <c r="K12" s="642">
        <f>CEILING('Погонаж база'!DX35*(1+скидки_наценки!$B$30)*скидки_наценки!$D$21*скидки_наценки!$F$21/скидки_наценки!$B$4, 50)</f>
        <v>20800</v>
      </c>
      <c r="L12" s="642">
        <f>CEILING('Погонаж база'!DY35*(1+скидки_наценки!$B$29)*скидки_наценки!$D$21*скидки_наценки!$F$21/скидки_наценки!$B$4, 50)</f>
        <v>29250</v>
      </c>
      <c r="M12" s="646"/>
      <c r="N12" s="5553">
        <f>CEILING('Погонаж база'!BE35*(1+скидки_наценки!$B$30)*скидки_наценки!$D$21*скидки_наценки!$F$21/скидки_наценки!$B$4, 50)</f>
        <v>900</v>
      </c>
      <c r="O12" s="5553">
        <f>Погонаж!T17</f>
        <v>290</v>
      </c>
      <c r="P12" s="2922">
        <f>CEILING('Погонаж база'!BC37*(1+скидки_наценки!$B$30)*скидки_наценки!$D$21*скидки_наценки!$F$21/скидки_наценки!$B$4, 50)</f>
        <v>150</v>
      </c>
      <c r="Q12" s="3308">
        <f>CEILING('Погонаж база'!BG35*(1+скидки_наценки!$B$30)*скидки_наценки!$D$21*скидки_наценки!$F$21/скидки_наценки!$B$4, 50)</f>
        <v>650</v>
      </c>
      <c r="T12" s="3536"/>
    </row>
    <row r="13" spans="1:27" s="173" customFormat="1" ht="54.95" customHeight="1">
      <c r="A13" s="5343"/>
      <c r="B13" s="3921" t="s">
        <v>3380</v>
      </c>
      <c r="C13" s="643">
        <f>CEILING('Погонаж база'!DT36*(1+скидки_наценки!$B$29)*скидки_наценки!$D$21*скидки_наценки!$F$21/скидки_наценки!$B$4, 50)</f>
        <v>14000</v>
      </c>
      <c r="D13" s="1180">
        <f t="shared" si="1"/>
        <v>16100</v>
      </c>
      <c r="E13" s="1180">
        <f>CEILING(C13*1.3, 100)</f>
        <v>18200</v>
      </c>
      <c r="F13" s="643">
        <f>CEILING(C13*1.25, 100)</f>
        <v>17500</v>
      </c>
      <c r="G13" s="1180">
        <f>CEILING(F13*1.15, 100)</f>
        <v>20200</v>
      </c>
      <c r="H13" s="1180">
        <f>CEILING(F13*1.3, 100)</f>
        <v>22800</v>
      </c>
      <c r="I13" s="643">
        <f>CEILING('Погонаж база'!DZ36*(1+скидки_наценки!$B$29)*скидки_наценки!$D$21*скидки_наценки!$F$21/скидки_наценки!$B$4, 50)</f>
        <v>0</v>
      </c>
      <c r="J13" s="1180">
        <f>CEILING(I13*1.15, 100)</f>
        <v>0</v>
      </c>
      <c r="K13" s="1180">
        <f>CEILING(I13*1.3, 100)</f>
        <v>0</v>
      </c>
      <c r="L13" s="1180">
        <f>CEILING(J13*1.3, 100)</f>
        <v>0</v>
      </c>
      <c r="M13" s="646"/>
      <c r="N13" s="5560">
        <v>0</v>
      </c>
      <c r="O13" s="5560">
        <f>Погонаж!T18</f>
        <v>0</v>
      </c>
      <c r="P13" s="3918">
        <f>CEILING('Погонаж база'!BC38*(1+скидки_наценки!$B$30)*скидки_наценки!$D$21*скидки_наценки!$F$21/скидки_наценки!$B$4, 50)</f>
        <v>150</v>
      </c>
      <c r="Q13" s="3918">
        <f>CEILING('Погонаж база'!BG36*(1+скидки_наценки!$B$30)*скидки_наценки!$D$21*скидки_наценки!$F$21/скидки_наценки!$B$4, 50)</f>
        <v>650</v>
      </c>
      <c r="T13" s="3536"/>
    </row>
    <row r="14" spans="1:27" s="173" customFormat="1" ht="54.95" customHeight="1">
      <c r="A14" s="5342"/>
      <c r="B14" s="2470" t="s">
        <v>2589</v>
      </c>
      <c r="C14" s="642">
        <f>CEILING('Погонаж база'!DT37*(1+скидки_наценки!$B$29)*скидки_наценки!$D$21*скидки_наценки!$F$21/скидки_наценки!$B$4, 50)</f>
        <v>14600</v>
      </c>
      <c r="D14" s="1179">
        <f t="shared" si="1"/>
        <v>16800</v>
      </c>
      <c r="E14" s="1179">
        <f t="shared" si="2"/>
        <v>19000</v>
      </c>
      <c r="F14" s="642">
        <f>CEILING(C14*1.25, 100)</f>
        <v>18300</v>
      </c>
      <c r="G14" s="1179">
        <f>CEILING(F14*1.15, 100)</f>
        <v>21100</v>
      </c>
      <c r="H14" s="1179">
        <f>CEILING(F14*1.3, 100)</f>
        <v>23800</v>
      </c>
      <c r="I14" s="2828"/>
      <c r="J14" s="642"/>
      <c r="K14" s="642"/>
      <c r="L14" s="642">
        <f>CEILING('Погонаж база'!DY37*(1+скидки_наценки!$B$29)*скидки_наценки!$D$21*скидки_наценки!$F$21/скидки_наценки!$B$4, 50)</f>
        <v>31800</v>
      </c>
      <c r="M14" s="646"/>
      <c r="N14" s="5553">
        <f>CEILING('Погонаж база'!BE37*(1+скидки_наценки!$B$30)*скидки_наценки!$D$21*скидки_наценки!$F$21/скидки_наценки!$B$4, 50)</f>
        <v>950</v>
      </c>
      <c r="O14" s="5553">
        <f>Погонаж!T18</f>
        <v>0</v>
      </c>
      <c r="P14" s="3919">
        <f>CEILING('Погонаж база'!BC39*(1+скидки_наценки!$B$30)*скидки_наценки!$D$21*скидки_наценки!$F$21/скидки_наценки!$B$4, 50)</f>
        <v>150</v>
      </c>
      <c r="Q14" s="3919">
        <f>CEILING('Погонаж база'!BG37*(1+скидки_наценки!$B$30)*скидки_наценки!$D$21*скидки_наценки!$F$21/скидки_наценки!$B$4, 50)</f>
        <v>700</v>
      </c>
      <c r="T14" s="3536"/>
    </row>
    <row r="15" spans="1:27" s="173" customFormat="1" ht="46.5" customHeight="1">
      <c r="A15" s="5346" t="s">
        <v>463</v>
      </c>
      <c r="B15" s="2471" t="s">
        <v>2516</v>
      </c>
      <c r="C15" s="3030">
        <f>CEILING(((Techno_Porte!H10-Алюм.погонаж!$E$24)/1.6)*0.83, 100)</f>
        <v>11900</v>
      </c>
      <c r="D15" s="1180">
        <f t="shared" si="1"/>
        <v>13700</v>
      </c>
      <c r="E15" s="1180">
        <f t="shared" si="2"/>
        <v>15500</v>
      </c>
      <c r="F15" s="3030"/>
      <c r="G15" s="1180"/>
      <c r="H15" s="1180"/>
      <c r="I15" s="1180"/>
      <c r="J15" s="1180"/>
      <c r="K15" s="1180"/>
      <c r="L15" s="1180"/>
      <c r="M15" s="646"/>
      <c r="N15" s="5574"/>
      <c r="O15" s="5574"/>
      <c r="P15" s="2317"/>
      <c r="Q15" s="3306"/>
      <c r="T15" s="3536"/>
    </row>
    <row r="16" spans="1:27" s="173" customFormat="1" ht="46.5" customHeight="1">
      <c r="A16" s="5346"/>
      <c r="B16" s="2470" t="s">
        <v>2767</v>
      </c>
      <c r="C16" s="2962">
        <f>CEILING(((Techno_Porte!H10+Techno_Porte!H39-Алюм.погонаж!$E$24)/1.6)*0.83, 100)</f>
        <v>13000</v>
      </c>
      <c r="D16" s="2962">
        <f t="shared" si="1"/>
        <v>15000</v>
      </c>
      <c r="E16" s="2962">
        <f t="shared" si="2"/>
        <v>16900</v>
      </c>
      <c r="F16" s="2962"/>
      <c r="G16" s="2962"/>
      <c r="H16" s="2962"/>
      <c r="I16" s="1179"/>
      <c r="J16" s="1179"/>
      <c r="K16" s="1179"/>
      <c r="L16" s="1179"/>
      <c r="M16" s="646"/>
      <c r="N16" s="5413"/>
      <c r="O16" s="5413"/>
      <c r="P16" s="2920"/>
      <c r="Q16" s="3305"/>
      <c r="T16" s="3536"/>
    </row>
    <row r="17" spans="1:21" s="173" customFormat="1" ht="46.5" customHeight="1">
      <c r="A17" s="5346"/>
      <c r="B17" s="3048" t="s">
        <v>2877</v>
      </c>
      <c r="C17" s="3030">
        <f>CEILING(C15*1.2, 100)</f>
        <v>14300</v>
      </c>
      <c r="D17" s="3030">
        <f t="shared" si="1"/>
        <v>16500</v>
      </c>
      <c r="E17" s="3030">
        <f>CEILING(C17*1.3, 100)</f>
        <v>18600</v>
      </c>
      <c r="F17" s="3030"/>
      <c r="G17" s="3030"/>
      <c r="H17" s="3030"/>
      <c r="I17" s="1180"/>
      <c r="J17" s="1180"/>
      <c r="K17" s="1180"/>
      <c r="L17" s="1180"/>
      <c r="M17" s="646"/>
      <c r="N17" s="5574"/>
      <c r="O17" s="5574"/>
      <c r="P17" s="2317"/>
      <c r="Q17" s="3538"/>
      <c r="R17" s="3539"/>
      <c r="T17" s="3536"/>
    </row>
    <row r="18" spans="1:21" s="173" customFormat="1" ht="46.5" customHeight="1">
      <c r="A18" s="5346"/>
      <c r="B18" s="3972" t="s">
        <v>2878</v>
      </c>
      <c r="C18" s="2962">
        <f>CEILING(C15*1.35, 100)</f>
        <v>16100</v>
      </c>
      <c r="D18" s="2962">
        <f t="shared" si="1"/>
        <v>18600</v>
      </c>
      <c r="E18" s="2962">
        <f>CEILING(C18*1.3, 100)</f>
        <v>21000</v>
      </c>
      <c r="F18" s="2962"/>
      <c r="G18" s="2962"/>
      <c r="H18" s="2962"/>
      <c r="I18" s="1179"/>
      <c r="J18" s="1179"/>
      <c r="K18" s="1179"/>
      <c r="L18" s="1179"/>
      <c r="M18" s="646"/>
      <c r="N18" s="3917"/>
      <c r="O18" s="3917"/>
      <c r="P18" s="3917"/>
      <c r="Q18" s="3917"/>
      <c r="T18" s="3536"/>
    </row>
    <row r="19" spans="1:21" s="177" customFormat="1" ht="18" customHeight="1">
      <c r="A19" s="174"/>
      <c r="B19" s="1214"/>
      <c r="C19" s="175"/>
      <c r="D19" s="175"/>
      <c r="E19" s="175"/>
      <c r="F19" s="175"/>
      <c r="G19" s="175"/>
      <c r="H19" s="175"/>
      <c r="I19" s="175"/>
      <c r="J19" s="175"/>
      <c r="K19" s="176"/>
      <c r="L19" s="176"/>
      <c r="M19" s="176"/>
      <c r="N19" s="176"/>
      <c r="O19" s="176"/>
      <c r="P19" s="146"/>
      <c r="Q19" s="189"/>
      <c r="R19" s="172"/>
      <c r="S19" s="172"/>
      <c r="T19" s="172"/>
      <c r="U19" s="146"/>
    </row>
    <row r="20" spans="1:21" s="177" customFormat="1" ht="18" customHeight="1">
      <c r="A20" s="174"/>
      <c r="B20" s="3742" t="s">
        <v>3356</v>
      </c>
      <c r="C20" s="175"/>
      <c r="D20" s="175"/>
      <c r="E20" s="175"/>
      <c r="F20" s="175"/>
      <c r="G20" s="175"/>
      <c r="H20" s="175"/>
      <c r="I20" s="175"/>
      <c r="J20" s="175"/>
      <c r="K20" s="176"/>
      <c r="L20" s="176"/>
      <c r="M20" s="176"/>
      <c r="N20" s="176"/>
      <c r="O20" s="176"/>
      <c r="P20" s="589"/>
      <c r="Q20" s="189"/>
      <c r="R20" s="172"/>
      <c r="S20" s="172"/>
      <c r="T20" s="172"/>
      <c r="U20" s="589"/>
    </row>
    <row r="21" spans="1:21" s="177" customFormat="1" ht="18" customHeight="1">
      <c r="A21" s="174"/>
      <c r="B21" s="3807" t="s">
        <v>27</v>
      </c>
      <c r="C21" s="3804" t="s">
        <v>183</v>
      </c>
      <c r="D21" s="3804" t="s">
        <v>3352</v>
      </c>
      <c r="E21" s="3805" t="s">
        <v>3355</v>
      </c>
      <c r="F21" s="5552" t="s">
        <v>29</v>
      </c>
      <c r="G21" s="5552"/>
      <c r="H21" s="5552"/>
      <c r="I21" s="175"/>
      <c r="J21" s="175"/>
      <c r="K21" s="176"/>
      <c r="L21" s="176"/>
      <c r="M21" s="176"/>
      <c r="N21" s="176"/>
      <c r="O21" s="176"/>
      <c r="P21" s="589"/>
      <c r="Q21" s="189"/>
      <c r="R21" s="172"/>
      <c r="S21" s="172"/>
      <c r="T21" s="172"/>
      <c r="U21" s="589"/>
    </row>
    <row r="22" spans="1:21" s="177" customFormat="1" ht="18" customHeight="1">
      <c r="A22" s="174"/>
      <c r="B22" s="4360" t="s">
        <v>3353</v>
      </c>
      <c r="C22" s="4361"/>
      <c r="D22" s="3798"/>
      <c r="E22" s="3810"/>
      <c r="F22" s="3811"/>
      <c r="G22" s="3812"/>
      <c r="H22" s="3813"/>
      <c r="I22" s="175"/>
      <c r="J22" s="175"/>
      <c r="K22" s="176"/>
      <c r="L22" s="176"/>
      <c r="M22" s="176"/>
      <c r="N22" s="176"/>
      <c r="O22" s="176"/>
      <c r="P22" s="589"/>
      <c r="Q22" s="189"/>
      <c r="R22" s="172"/>
      <c r="S22" s="172"/>
      <c r="T22" s="172"/>
      <c r="U22" s="589"/>
    </row>
    <row r="23" spans="1:21" s="177" customFormat="1" ht="18" customHeight="1">
      <c r="A23" s="174"/>
      <c r="B23" s="3808" t="s">
        <v>3351</v>
      </c>
      <c r="C23" s="3809" t="s">
        <v>3424</v>
      </c>
      <c r="D23" s="3806" t="s">
        <v>3354</v>
      </c>
      <c r="E23" s="3806">
        <f>CEILING(2500*(1+скидки_наценки!$B$28)*скидки_наценки!$D$19*скидки_наценки!$F$19/скидки_наценки!$B$4, 50)</f>
        <v>2500</v>
      </c>
      <c r="F23" s="5549" t="s">
        <v>3357</v>
      </c>
      <c r="G23" s="5550"/>
      <c r="H23" s="5551"/>
      <c r="I23" s="175"/>
      <c r="J23" s="175"/>
      <c r="K23" s="176"/>
      <c r="L23" s="176"/>
      <c r="M23" s="176"/>
      <c r="N23" s="176"/>
      <c r="O23" s="176"/>
      <c r="P23" s="589"/>
      <c r="Q23" s="189"/>
      <c r="R23" s="172"/>
      <c r="S23" s="172"/>
      <c r="T23" s="172"/>
      <c r="U23" s="589"/>
    </row>
    <row r="24" spans="1:21" s="177" customFormat="1" ht="18" customHeight="1">
      <c r="A24" s="174"/>
      <c r="B24" s="3802"/>
      <c r="C24" s="3802"/>
      <c r="D24" s="3802"/>
      <c r="E24" s="3802"/>
      <c r="F24" s="3715"/>
      <c r="G24" s="3803"/>
      <c r="H24" s="175"/>
      <c r="I24" s="175"/>
      <c r="J24" s="175"/>
      <c r="K24" s="176"/>
      <c r="L24" s="176"/>
      <c r="M24" s="176"/>
      <c r="N24" s="176"/>
      <c r="O24" s="176"/>
      <c r="P24" s="589"/>
      <c r="Q24" s="189"/>
      <c r="R24" s="172"/>
      <c r="S24" s="172"/>
      <c r="T24" s="172"/>
      <c r="U24" s="589"/>
    </row>
    <row r="25" spans="1:21" ht="12" customHeight="1">
      <c r="A25" s="650"/>
      <c r="B25" s="266" t="s">
        <v>127</v>
      </c>
      <c r="C25" s="650"/>
      <c r="D25" s="650"/>
      <c r="E25" s="650"/>
      <c r="F25" s="650"/>
      <c r="G25" s="650"/>
      <c r="H25" s="650"/>
      <c r="I25" s="650"/>
      <c r="J25" s="650"/>
      <c r="K25" s="650"/>
      <c r="L25" s="650"/>
      <c r="M25" s="645"/>
      <c r="N25" s="171"/>
      <c r="O25" s="171"/>
      <c r="P25" s="171"/>
    </row>
    <row r="26" spans="1:21" ht="12" customHeight="1">
      <c r="A26" s="650"/>
      <c r="B26" s="521" t="s">
        <v>997</v>
      </c>
      <c r="C26" s="650"/>
      <c r="D26" s="650"/>
      <c r="E26" s="650"/>
      <c r="F26" s="650"/>
      <c r="G26" s="650"/>
      <c r="H26" s="650"/>
      <c r="I26" s="650"/>
      <c r="J26" s="650"/>
      <c r="K26" s="650"/>
      <c r="L26" s="650"/>
      <c r="M26" s="645"/>
      <c r="N26" s="171"/>
      <c r="O26" s="171"/>
      <c r="P26" s="171"/>
    </row>
    <row r="27" spans="1:21" ht="12" customHeight="1">
      <c r="A27" s="650"/>
      <c r="B27" s="521" t="s">
        <v>991</v>
      </c>
      <c r="C27" s="650"/>
      <c r="D27" s="650"/>
      <c r="E27" s="650"/>
      <c r="F27" s="650"/>
      <c r="G27" s="650"/>
      <c r="H27" s="650"/>
      <c r="I27" s="650"/>
      <c r="J27" s="650"/>
      <c r="K27" s="650"/>
      <c r="L27" s="650"/>
      <c r="M27" s="645"/>
      <c r="N27" s="171"/>
      <c r="O27" s="171"/>
      <c r="P27" s="171"/>
    </row>
    <row r="28" spans="1:21" ht="12" customHeight="1">
      <c r="A28" s="650"/>
      <c r="B28" s="521" t="s">
        <v>764</v>
      </c>
      <c r="C28" s="650"/>
      <c r="D28" s="650"/>
      <c r="E28" s="650"/>
      <c r="F28" s="650"/>
      <c r="G28" s="650"/>
      <c r="H28" s="650"/>
      <c r="I28" s="650"/>
      <c r="J28" s="650"/>
      <c r="K28" s="650"/>
      <c r="L28" s="650"/>
      <c r="M28" s="645"/>
      <c r="N28" s="171"/>
      <c r="O28" s="171"/>
      <c r="P28" s="171"/>
    </row>
    <row r="29" spans="1:21" ht="12" customHeight="1">
      <c r="A29" s="650"/>
      <c r="B29" s="521" t="s">
        <v>875</v>
      </c>
      <c r="C29" s="650"/>
      <c r="D29" s="650"/>
      <c r="E29" s="650"/>
      <c r="F29" s="650"/>
      <c r="G29" s="650"/>
      <c r="H29" s="650"/>
      <c r="I29" s="650"/>
      <c r="J29" s="650"/>
      <c r="K29" s="650"/>
      <c r="L29" s="650"/>
      <c r="M29" s="645"/>
      <c r="N29" s="171"/>
      <c r="O29" s="171"/>
      <c r="P29" s="171"/>
    </row>
    <row r="30" spans="1:21" ht="12" customHeight="1">
      <c r="A30" s="650"/>
      <c r="B30" s="521" t="s">
        <v>2938</v>
      </c>
      <c r="C30" s="650"/>
      <c r="D30" s="650"/>
      <c r="E30" s="650"/>
      <c r="F30" s="650"/>
      <c r="G30" s="650"/>
      <c r="H30" s="650"/>
      <c r="I30" s="650"/>
      <c r="J30" s="650"/>
      <c r="K30" s="650"/>
      <c r="L30" s="650"/>
      <c r="M30" s="645"/>
      <c r="N30" s="171"/>
      <c r="O30" s="171"/>
      <c r="P30" s="171"/>
    </row>
    <row r="31" spans="1:21" ht="12" customHeight="1">
      <c r="B31" s="3902" t="s">
        <v>3425</v>
      </c>
      <c r="C31" s="521"/>
      <c r="D31" s="521"/>
      <c r="E31" s="521"/>
      <c r="F31" s="521"/>
      <c r="G31" s="521"/>
      <c r="H31" s="521"/>
      <c r="I31" s="521"/>
      <c r="J31" s="521"/>
      <c r="K31" s="521"/>
      <c r="L31" s="521"/>
      <c r="M31" s="645"/>
      <c r="N31" s="171"/>
      <c r="O31" s="171"/>
      <c r="P31" s="171"/>
    </row>
    <row r="32" spans="1:21" ht="12" customHeight="1">
      <c r="B32" s="31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645"/>
      <c r="N32" s="171"/>
      <c r="O32" s="171"/>
      <c r="P32" s="171"/>
    </row>
    <row r="33" spans="1:20" ht="12" customHeight="1">
      <c r="B33" s="31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645"/>
      <c r="N33" s="171"/>
      <c r="O33" s="171"/>
      <c r="P33" s="171"/>
    </row>
    <row r="34" spans="1:20" ht="12" customHeight="1">
      <c r="B34" s="31"/>
      <c r="C34" s="171"/>
      <c r="D34" s="171"/>
      <c r="E34" s="171"/>
      <c r="F34" s="171"/>
      <c r="G34" s="171"/>
      <c r="H34" s="171"/>
      <c r="I34" s="171"/>
      <c r="J34" s="171"/>
      <c r="K34" s="171"/>
      <c r="L34" s="171"/>
      <c r="M34" s="645"/>
      <c r="N34" s="171"/>
      <c r="O34" s="171"/>
      <c r="P34" s="171"/>
    </row>
    <row r="35" spans="1:20" ht="12" customHeight="1">
      <c r="B35" s="31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645"/>
      <c r="N35" s="171"/>
      <c r="O35" s="171"/>
      <c r="P35" s="171"/>
    </row>
    <row r="36" spans="1:20" ht="15.95" customHeight="1">
      <c r="B36" s="42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645"/>
      <c r="N36" s="171"/>
      <c r="O36" s="171"/>
      <c r="P36" s="171"/>
    </row>
    <row r="37" spans="1:20" s="113" customFormat="1" ht="15.95" customHeight="1">
      <c r="A37" s="117"/>
      <c r="B37" s="118"/>
      <c r="C37" s="114"/>
      <c r="D37" s="114"/>
      <c r="E37" s="114"/>
      <c r="F37" s="114"/>
      <c r="G37" s="114"/>
      <c r="H37" s="114"/>
      <c r="I37" s="114"/>
      <c r="J37" s="114"/>
      <c r="K37" s="114"/>
      <c r="L37" s="114"/>
      <c r="M37" s="351"/>
      <c r="N37" s="118"/>
      <c r="O37" s="118"/>
      <c r="P37" s="118"/>
      <c r="Q37" s="172"/>
      <c r="R37" s="172"/>
      <c r="S37" s="172"/>
      <c r="T37" s="172"/>
    </row>
    <row r="38" spans="1:20">
      <c r="A38" s="171"/>
      <c r="B38" s="171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645"/>
      <c r="N38" s="171"/>
      <c r="O38" s="171"/>
      <c r="P38" s="171"/>
    </row>
    <row r="39" spans="1:20">
      <c r="A39" s="171"/>
      <c r="B39" s="171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645"/>
      <c r="N39" s="171"/>
      <c r="O39" s="171"/>
      <c r="P39" s="171"/>
    </row>
  </sheetData>
  <mergeCells count="30">
    <mergeCell ref="P4:P6"/>
    <mergeCell ref="Q4:Q6"/>
    <mergeCell ref="N17:O17"/>
    <mergeCell ref="N14:O14"/>
    <mergeCell ref="A11:A14"/>
    <mergeCell ref="J6:J7"/>
    <mergeCell ref="K6:K7"/>
    <mergeCell ref="L6:L7"/>
    <mergeCell ref="N15:O15"/>
    <mergeCell ref="N16:O16"/>
    <mergeCell ref="A15:A18"/>
    <mergeCell ref="N4:N6"/>
    <mergeCell ref="N10:O10"/>
    <mergeCell ref="N13:O13"/>
    <mergeCell ref="B22:C22"/>
    <mergeCell ref="F23:H23"/>
    <mergeCell ref="F21:H21"/>
    <mergeCell ref="A3:L3"/>
    <mergeCell ref="N12:O12"/>
    <mergeCell ref="C5:J5"/>
    <mergeCell ref="C4:L4"/>
    <mergeCell ref="K5:L5"/>
    <mergeCell ref="C6:E6"/>
    <mergeCell ref="A8:A9"/>
    <mergeCell ref="N8:O8"/>
    <mergeCell ref="N11:O11"/>
    <mergeCell ref="N9:O9"/>
    <mergeCell ref="A4:B7"/>
    <mergeCell ref="I6:I7"/>
    <mergeCell ref="F6:H6"/>
  </mergeCells>
  <conditionalFormatting sqref="L37:Q37">
    <cfRule type="cellIs" dxfId="4" priority="9" operator="equal">
      <formula>"нет"</formula>
    </cfRule>
  </conditionalFormatting>
  <conditionalFormatting sqref="K37">
    <cfRule type="cellIs" dxfId="3" priority="2" operator="equal">
      <formula>"нет"</formula>
    </cfRule>
  </conditionalFormatting>
  <conditionalFormatting sqref="G22">
    <cfRule type="cellIs" dxfId="2" priority="1" operator="equal">
      <formula>0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55" firstPageNumber="51" orientation="landscape" useFirstPageNumber="1" r:id="rId1"/>
  <headerFooter>
    <oddFooter>&amp;L&amp;P&amp;R&amp;28&amp;G</oddFooter>
  </headerFooter>
  <legacyDrawingHF r:id="rId2"/>
</worksheet>
</file>

<file path=xl/worksheets/sheet61.xml><?xml version="1.0" encoding="utf-8"?>
<worksheet xmlns="http://schemas.openxmlformats.org/spreadsheetml/2006/main" xmlns:r="http://schemas.openxmlformats.org/officeDocument/2006/relationships">
  <sheetPr codeName="Лист53">
    <tabColor rgb="FF92D050"/>
  </sheetPr>
  <dimension ref="A1:W34"/>
  <sheetViews>
    <sheetView view="pageBreakPreview" zoomScale="80" zoomScaleNormal="70" zoomScaleSheetLayoutView="80" zoomScalePageLayoutView="70" workbookViewId="0">
      <pane ySplit="1" topLeftCell="A2" activePane="bottomLeft" state="frozen"/>
      <selection pane="bottomLeft" activeCell="B1" sqref="B1"/>
    </sheetView>
  </sheetViews>
  <sheetFormatPr defaultColWidth="8.85546875" defaultRowHeight="15"/>
  <cols>
    <col min="1" max="1" width="7.7109375" style="172" customWidth="1"/>
    <col min="2" max="2" width="50.7109375" style="172" customWidth="1"/>
    <col min="3" max="3" width="13" style="172" customWidth="1"/>
    <col min="4" max="4" width="15.140625" style="172" customWidth="1"/>
    <col min="5" max="5" width="11.7109375" style="172" customWidth="1"/>
    <col min="6" max="6" width="11.5703125" style="172" customWidth="1"/>
    <col min="7" max="7" width="22" style="172" customWidth="1"/>
    <col min="8" max="8" width="20.42578125" style="172" customWidth="1"/>
    <col min="9" max="9" width="22" style="172" customWidth="1"/>
    <col min="10" max="10" width="3.140625" style="172" customWidth="1"/>
    <col min="11" max="12" width="8.85546875" style="172"/>
    <col min="13" max="13" width="14.7109375" style="172" customWidth="1"/>
    <col min="14" max="14" width="3.28515625" style="172" customWidth="1"/>
    <col min="15" max="248" width="8.85546875" style="172"/>
    <col min="249" max="249" width="40.7109375" style="172" customWidth="1"/>
    <col min="250" max="255" width="18.7109375" style="172" customWidth="1"/>
    <col min="256" max="259" width="9.140625" style="172" customWidth="1"/>
    <col min="260" max="504" width="8.85546875" style="172"/>
    <col min="505" max="505" width="40.7109375" style="172" customWidth="1"/>
    <col min="506" max="511" width="18.7109375" style="172" customWidth="1"/>
    <col min="512" max="515" width="9.140625" style="172" customWidth="1"/>
    <col min="516" max="760" width="8.85546875" style="172"/>
    <col min="761" max="761" width="40.7109375" style="172" customWidth="1"/>
    <col min="762" max="767" width="18.7109375" style="172" customWidth="1"/>
    <col min="768" max="771" width="9.140625" style="172" customWidth="1"/>
    <col min="772" max="1016" width="8.85546875" style="172"/>
    <col min="1017" max="1017" width="40.7109375" style="172" customWidth="1"/>
    <col min="1018" max="1023" width="18.7109375" style="172" customWidth="1"/>
    <col min="1024" max="1027" width="9.140625" style="172" customWidth="1"/>
    <col min="1028" max="1272" width="8.85546875" style="172"/>
    <col min="1273" max="1273" width="40.7109375" style="172" customWidth="1"/>
    <col min="1274" max="1279" width="18.7109375" style="172" customWidth="1"/>
    <col min="1280" max="1283" width="9.140625" style="172" customWidth="1"/>
    <col min="1284" max="1528" width="8.85546875" style="172"/>
    <col min="1529" max="1529" width="40.7109375" style="172" customWidth="1"/>
    <col min="1530" max="1535" width="18.7109375" style="172" customWidth="1"/>
    <col min="1536" max="1539" width="9.140625" style="172" customWidth="1"/>
    <col min="1540" max="1784" width="8.85546875" style="172"/>
    <col min="1785" max="1785" width="40.7109375" style="172" customWidth="1"/>
    <col min="1786" max="1791" width="18.7109375" style="172" customWidth="1"/>
    <col min="1792" max="1795" width="9.140625" style="172" customWidth="1"/>
    <col min="1796" max="2040" width="8.85546875" style="172"/>
    <col min="2041" max="2041" width="40.7109375" style="172" customWidth="1"/>
    <col min="2042" max="2047" width="18.7109375" style="172" customWidth="1"/>
    <col min="2048" max="2051" width="9.140625" style="172" customWidth="1"/>
    <col min="2052" max="2296" width="8.85546875" style="172"/>
    <col min="2297" max="2297" width="40.7109375" style="172" customWidth="1"/>
    <col min="2298" max="2303" width="18.7109375" style="172" customWidth="1"/>
    <col min="2304" max="2307" width="9.140625" style="172" customWidth="1"/>
    <col min="2308" max="2552" width="8.85546875" style="172"/>
    <col min="2553" max="2553" width="40.7109375" style="172" customWidth="1"/>
    <col min="2554" max="2559" width="18.7109375" style="172" customWidth="1"/>
    <col min="2560" max="2563" width="9.140625" style="172" customWidth="1"/>
    <col min="2564" max="2808" width="8.85546875" style="172"/>
    <col min="2809" max="2809" width="40.7109375" style="172" customWidth="1"/>
    <col min="2810" max="2815" width="18.7109375" style="172" customWidth="1"/>
    <col min="2816" max="2819" width="9.140625" style="172" customWidth="1"/>
    <col min="2820" max="3064" width="8.85546875" style="172"/>
    <col min="3065" max="3065" width="40.7109375" style="172" customWidth="1"/>
    <col min="3066" max="3071" width="18.7109375" style="172" customWidth="1"/>
    <col min="3072" max="3075" width="9.140625" style="172" customWidth="1"/>
    <col min="3076" max="3320" width="8.85546875" style="172"/>
    <col min="3321" max="3321" width="40.7109375" style="172" customWidth="1"/>
    <col min="3322" max="3327" width="18.7109375" style="172" customWidth="1"/>
    <col min="3328" max="3331" width="9.140625" style="172" customWidth="1"/>
    <col min="3332" max="3576" width="8.85546875" style="172"/>
    <col min="3577" max="3577" width="40.7109375" style="172" customWidth="1"/>
    <col min="3578" max="3583" width="18.7109375" style="172" customWidth="1"/>
    <col min="3584" max="3587" width="9.140625" style="172" customWidth="1"/>
    <col min="3588" max="3832" width="8.85546875" style="172"/>
    <col min="3833" max="3833" width="40.7109375" style="172" customWidth="1"/>
    <col min="3834" max="3839" width="18.7109375" style="172" customWidth="1"/>
    <col min="3840" max="3843" width="9.140625" style="172" customWidth="1"/>
    <col min="3844" max="4088" width="8.85546875" style="172"/>
    <col min="4089" max="4089" width="40.7109375" style="172" customWidth="1"/>
    <col min="4090" max="4095" width="18.7109375" style="172" customWidth="1"/>
    <col min="4096" max="4099" width="9.140625" style="172" customWidth="1"/>
    <col min="4100" max="4344" width="8.85546875" style="172"/>
    <col min="4345" max="4345" width="40.7109375" style="172" customWidth="1"/>
    <col min="4346" max="4351" width="18.7109375" style="172" customWidth="1"/>
    <col min="4352" max="4355" width="9.140625" style="172" customWidth="1"/>
    <col min="4356" max="4600" width="8.85546875" style="172"/>
    <col min="4601" max="4601" width="40.7109375" style="172" customWidth="1"/>
    <col min="4602" max="4607" width="18.7109375" style="172" customWidth="1"/>
    <col min="4608" max="4611" width="9.140625" style="172" customWidth="1"/>
    <col min="4612" max="4856" width="8.85546875" style="172"/>
    <col min="4857" max="4857" width="40.7109375" style="172" customWidth="1"/>
    <col min="4858" max="4863" width="18.7109375" style="172" customWidth="1"/>
    <col min="4864" max="4867" width="9.140625" style="172" customWidth="1"/>
    <col min="4868" max="5112" width="8.85546875" style="172"/>
    <col min="5113" max="5113" width="40.7109375" style="172" customWidth="1"/>
    <col min="5114" max="5119" width="18.7109375" style="172" customWidth="1"/>
    <col min="5120" max="5123" width="9.140625" style="172" customWidth="1"/>
    <col min="5124" max="5368" width="8.85546875" style="172"/>
    <col min="5369" max="5369" width="40.7109375" style="172" customWidth="1"/>
    <col min="5370" max="5375" width="18.7109375" style="172" customWidth="1"/>
    <col min="5376" max="5379" width="9.140625" style="172" customWidth="1"/>
    <col min="5380" max="5624" width="8.85546875" style="172"/>
    <col min="5625" max="5625" width="40.7109375" style="172" customWidth="1"/>
    <col min="5626" max="5631" width="18.7109375" style="172" customWidth="1"/>
    <col min="5632" max="5635" width="9.140625" style="172" customWidth="1"/>
    <col min="5636" max="5880" width="8.85546875" style="172"/>
    <col min="5881" max="5881" width="40.7109375" style="172" customWidth="1"/>
    <col min="5882" max="5887" width="18.7109375" style="172" customWidth="1"/>
    <col min="5888" max="5891" width="9.140625" style="172" customWidth="1"/>
    <col min="5892" max="6136" width="8.85546875" style="172"/>
    <col min="6137" max="6137" width="40.7109375" style="172" customWidth="1"/>
    <col min="6138" max="6143" width="18.7109375" style="172" customWidth="1"/>
    <col min="6144" max="6147" width="9.140625" style="172" customWidth="1"/>
    <col min="6148" max="6392" width="8.85546875" style="172"/>
    <col min="6393" max="6393" width="40.7109375" style="172" customWidth="1"/>
    <col min="6394" max="6399" width="18.7109375" style="172" customWidth="1"/>
    <col min="6400" max="6403" width="9.140625" style="172" customWidth="1"/>
    <col min="6404" max="6648" width="8.85546875" style="172"/>
    <col min="6649" max="6649" width="40.7109375" style="172" customWidth="1"/>
    <col min="6650" max="6655" width="18.7109375" style="172" customWidth="1"/>
    <col min="6656" max="6659" width="9.140625" style="172" customWidth="1"/>
    <col min="6660" max="6904" width="8.85546875" style="172"/>
    <col min="6905" max="6905" width="40.7109375" style="172" customWidth="1"/>
    <col min="6906" max="6911" width="18.7109375" style="172" customWidth="1"/>
    <col min="6912" max="6915" width="9.140625" style="172" customWidth="1"/>
    <col min="6916" max="7160" width="8.85546875" style="172"/>
    <col min="7161" max="7161" width="40.7109375" style="172" customWidth="1"/>
    <col min="7162" max="7167" width="18.7109375" style="172" customWidth="1"/>
    <col min="7168" max="7171" width="9.140625" style="172" customWidth="1"/>
    <col min="7172" max="7416" width="8.85546875" style="172"/>
    <col min="7417" max="7417" width="40.7109375" style="172" customWidth="1"/>
    <col min="7418" max="7423" width="18.7109375" style="172" customWidth="1"/>
    <col min="7424" max="7427" width="9.140625" style="172" customWidth="1"/>
    <col min="7428" max="7672" width="8.85546875" style="172"/>
    <col min="7673" max="7673" width="40.7109375" style="172" customWidth="1"/>
    <col min="7674" max="7679" width="18.7109375" style="172" customWidth="1"/>
    <col min="7680" max="7683" width="9.140625" style="172" customWidth="1"/>
    <col min="7684" max="7928" width="8.85546875" style="172"/>
    <col min="7929" max="7929" width="40.7109375" style="172" customWidth="1"/>
    <col min="7930" max="7935" width="18.7109375" style="172" customWidth="1"/>
    <col min="7936" max="7939" width="9.140625" style="172" customWidth="1"/>
    <col min="7940" max="8184" width="8.85546875" style="172"/>
    <col min="8185" max="8185" width="40.7109375" style="172" customWidth="1"/>
    <col min="8186" max="8191" width="18.7109375" style="172" customWidth="1"/>
    <col min="8192" max="8195" width="9.140625" style="172" customWidth="1"/>
    <col min="8196" max="8440" width="8.85546875" style="172"/>
    <col min="8441" max="8441" width="40.7109375" style="172" customWidth="1"/>
    <col min="8442" max="8447" width="18.7109375" style="172" customWidth="1"/>
    <col min="8448" max="8451" width="9.140625" style="172" customWidth="1"/>
    <col min="8452" max="8696" width="8.85546875" style="172"/>
    <col min="8697" max="8697" width="40.7109375" style="172" customWidth="1"/>
    <col min="8698" max="8703" width="18.7109375" style="172" customWidth="1"/>
    <col min="8704" max="8707" width="9.140625" style="172" customWidth="1"/>
    <col min="8708" max="8952" width="8.85546875" style="172"/>
    <col min="8953" max="8953" width="40.7109375" style="172" customWidth="1"/>
    <col min="8954" max="8959" width="18.7109375" style="172" customWidth="1"/>
    <col min="8960" max="8963" width="9.140625" style="172" customWidth="1"/>
    <col min="8964" max="9208" width="8.85546875" style="172"/>
    <col min="9209" max="9209" width="40.7109375" style="172" customWidth="1"/>
    <col min="9210" max="9215" width="18.7109375" style="172" customWidth="1"/>
    <col min="9216" max="9219" width="9.140625" style="172" customWidth="1"/>
    <col min="9220" max="9464" width="8.85546875" style="172"/>
    <col min="9465" max="9465" width="40.7109375" style="172" customWidth="1"/>
    <col min="9466" max="9471" width="18.7109375" style="172" customWidth="1"/>
    <col min="9472" max="9475" width="9.140625" style="172" customWidth="1"/>
    <col min="9476" max="9720" width="8.85546875" style="172"/>
    <col min="9721" max="9721" width="40.7109375" style="172" customWidth="1"/>
    <col min="9722" max="9727" width="18.7109375" style="172" customWidth="1"/>
    <col min="9728" max="9731" width="9.140625" style="172" customWidth="1"/>
    <col min="9732" max="9976" width="8.85546875" style="172"/>
    <col min="9977" max="9977" width="40.7109375" style="172" customWidth="1"/>
    <col min="9978" max="9983" width="18.7109375" style="172" customWidth="1"/>
    <col min="9984" max="9987" width="9.140625" style="172" customWidth="1"/>
    <col min="9988" max="10232" width="8.85546875" style="172"/>
    <col min="10233" max="10233" width="40.7109375" style="172" customWidth="1"/>
    <col min="10234" max="10239" width="18.7109375" style="172" customWidth="1"/>
    <col min="10240" max="10243" width="9.140625" style="172" customWidth="1"/>
    <col min="10244" max="10488" width="8.85546875" style="172"/>
    <col min="10489" max="10489" width="40.7109375" style="172" customWidth="1"/>
    <col min="10490" max="10495" width="18.7109375" style="172" customWidth="1"/>
    <col min="10496" max="10499" width="9.140625" style="172" customWidth="1"/>
    <col min="10500" max="10744" width="8.85546875" style="172"/>
    <col min="10745" max="10745" width="40.7109375" style="172" customWidth="1"/>
    <col min="10746" max="10751" width="18.7109375" style="172" customWidth="1"/>
    <col min="10752" max="10755" width="9.140625" style="172" customWidth="1"/>
    <col min="10756" max="11000" width="8.85546875" style="172"/>
    <col min="11001" max="11001" width="40.7109375" style="172" customWidth="1"/>
    <col min="11002" max="11007" width="18.7109375" style="172" customWidth="1"/>
    <col min="11008" max="11011" width="9.140625" style="172" customWidth="1"/>
    <col min="11012" max="11256" width="8.85546875" style="172"/>
    <col min="11257" max="11257" width="40.7109375" style="172" customWidth="1"/>
    <col min="11258" max="11263" width="18.7109375" style="172" customWidth="1"/>
    <col min="11264" max="11267" width="9.140625" style="172" customWidth="1"/>
    <col min="11268" max="11512" width="8.85546875" style="172"/>
    <col min="11513" max="11513" width="40.7109375" style="172" customWidth="1"/>
    <col min="11514" max="11519" width="18.7109375" style="172" customWidth="1"/>
    <col min="11520" max="11523" width="9.140625" style="172" customWidth="1"/>
    <col min="11524" max="11768" width="8.85546875" style="172"/>
    <col min="11769" max="11769" width="40.7109375" style="172" customWidth="1"/>
    <col min="11770" max="11775" width="18.7109375" style="172" customWidth="1"/>
    <col min="11776" max="11779" width="9.140625" style="172" customWidth="1"/>
    <col min="11780" max="12024" width="8.85546875" style="172"/>
    <col min="12025" max="12025" width="40.7109375" style="172" customWidth="1"/>
    <col min="12026" max="12031" width="18.7109375" style="172" customWidth="1"/>
    <col min="12032" max="12035" width="9.140625" style="172" customWidth="1"/>
    <col min="12036" max="12280" width="8.85546875" style="172"/>
    <col min="12281" max="12281" width="40.7109375" style="172" customWidth="1"/>
    <col min="12282" max="12287" width="18.7109375" style="172" customWidth="1"/>
    <col min="12288" max="12291" width="9.140625" style="172" customWidth="1"/>
    <col min="12292" max="12536" width="8.85546875" style="172"/>
    <col min="12537" max="12537" width="40.7109375" style="172" customWidth="1"/>
    <col min="12538" max="12543" width="18.7109375" style="172" customWidth="1"/>
    <col min="12544" max="12547" width="9.140625" style="172" customWidth="1"/>
    <col min="12548" max="12792" width="8.85546875" style="172"/>
    <col min="12793" max="12793" width="40.7109375" style="172" customWidth="1"/>
    <col min="12794" max="12799" width="18.7109375" style="172" customWidth="1"/>
    <col min="12800" max="12803" width="9.140625" style="172" customWidth="1"/>
    <col min="12804" max="13048" width="8.85546875" style="172"/>
    <col min="13049" max="13049" width="40.7109375" style="172" customWidth="1"/>
    <col min="13050" max="13055" width="18.7109375" style="172" customWidth="1"/>
    <col min="13056" max="13059" width="9.140625" style="172" customWidth="1"/>
    <col min="13060" max="13304" width="8.85546875" style="172"/>
    <col min="13305" max="13305" width="40.7109375" style="172" customWidth="1"/>
    <col min="13306" max="13311" width="18.7109375" style="172" customWidth="1"/>
    <col min="13312" max="13315" width="9.140625" style="172" customWidth="1"/>
    <col min="13316" max="13560" width="8.85546875" style="172"/>
    <col min="13561" max="13561" width="40.7109375" style="172" customWidth="1"/>
    <col min="13562" max="13567" width="18.7109375" style="172" customWidth="1"/>
    <col min="13568" max="13571" width="9.140625" style="172" customWidth="1"/>
    <col min="13572" max="13816" width="8.85546875" style="172"/>
    <col min="13817" max="13817" width="40.7109375" style="172" customWidth="1"/>
    <col min="13818" max="13823" width="18.7109375" style="172" customWidth="1"/>
    <col min="13824" max="13827" width="9.140625" style="172" customWidth="1"/>
    <col min="13828" max="14072" width="8.85546875" style="172"/>
    <col min="14073" max="14073" width="40.7109375" style="172" customWidth="1"/>
    <col min="14074" max="14079" width="18.7109375" style="172" customWidth="1"/>
    <col min="14080" max="14083" width="9.140625" style="172" customWidth="1"/>
    <col min="14084" max="14328" width="8.85546875" style="172"/>
    <col min="14329" max="14329" width="40.7109375" style="172" customWidth="1"/>
    <col min="14330" max="14335" width="18.7109375" style="172" customWidth="1"/>
    <col min="14336" max="14339" width="9.140625" style="172" customWidth="1"/>
    <col min="14340" max="14584" width="8.85546875" style="172"/>
    <col min="14585" max="14585" width="40.7109375" style="172" customWidth="1"/>
    <col min="14586" max="14591" width="18.7109375" style="172" customWidth="1"/>
    <col min="14592" max="14595" width="9.140625" style="172" customWidth="1"/>
    <col min="14596" max="14840" width="8.85546875" style="172"/>
    <col min="14841" max="14841" width="40.7109375" style="172" customWidth="1"/>
    <col min="14842" max="14847" width="18.7109375" style="172" customWidth="1"/>
    <col min="14848" max="14851" width="9.140625" style="172" customWidth="1"/>
    <col min="14852" max="15096" width="8.85546875" style="172"/>
    <col min="15097" max="15097" width="40.7109375" style="172" customWidth="1"/>
    <col min="15098" max="15103" width="18.7109375" style="172" customWidth="1"/>
    <col min="15104" max="15107" width="9.140625" style="172" customWidth="1"/>
    <col min="15108" max="15352" width="8.85546875" style="172"/>
    <col min="15353" max="15353" width="40.7109375" style="172" customWidth="1"/>
    <col min="15354" max="15359" width="18.7109375" style="172" customWidth="1"/>
    <col min="15360" max="15363" width="9.140625" style="172" customWidth="1"/>
    <col min="15364" max="15608" width="8.85546875" style="172"/>
    <col min="15609" max="15609" width="40.7109375" style="172" customWidth="1"/>
    <col min="15610" max="15615" width="18.7109375" style="172" customWidth="1"/>
    <col min="15616" max="15619" width="9.140625" style="172" customWidth="1"/>
    <col min="15620" max="15864" width="8.85546875" style="172"/>
    <col min="15865" max="15865" width="40.7109375" style="172" customWidth="1"/>
    <col min="15866" max="15871" width="18.7109375" style="172" customWidth="1"/>
    <col min="15872" max="15875" width="9.140625" style="172" customWidth="1"/>
    <col min="15876" max="16120" width="8.85546875" style="172"/>
    <col min="16121" max="16121" width="40.7109375" style="172" customWidth="1"/>
    <col min="16122" max="16127" width="18.7109375" style="172" customWidth="1"/>
    <col min="16128" max="16131" width="9.140625" style="172" customWidth="1"/>
    <col min="16132" max="16384" width="8.85546875" style="172"/>
  </cols>
  <sheetData>
    <row r="1" spans="1:20" s="171" customFormat="1" ht="18" customHeight="1">
      <c r="A1" s="2298"/>
      <c r="B1" s="2297" t="s">
        <v>490</v>
      </c>
    </row>
    <row r="2" spans="1:20" s="589" customFormat="1" ht="18" customHeight="1">
      <c r="A2" s="638"/>
      <c r="B2" s="651"/>
      <c r="C2" s="26"/>
      <c r="D2" s="26"/>
      <c r="E2" s="26"/>
      <c r="F2" s="471"/>
      <c r="G2" s="471"/>
      <c r="H2" s="471"/>
      <c r="I2" s="1181"/>
      <c r="J2" s="471"/>
      <c r="K2" s="471"/>
      <c r="L2" s="471"/>
      <c r="M2" s="471"/>
      <c r="N2" s="471"/>
      <c r="O2" s="471"/>
      <c r="P2" s="471"/>
      <c r="Q2" s="471"/>
      <c r="R2" s="471"/>
      <c r="S2" s="471"/>
      <c r="T2" s="471"/>
    </row>
    <row r="3" spans="1:20" s="527" customFormat="1" ht="31.5" customHeight="1">
      <c r="A3" s="5579" t="s">
        <v>765</v>
      </c>
      <c r="B3" s="5579"/>
      <c r="C3" s="648"/>
      <c r="D3" s="648"/>
      <c r="E3" s="648"/>
      <c r="F3" s="648"/>
      <c r="G3" s="526"/>
      <c r="H3" s="526"/>
      <c r="I3" s="525"/>
      <c r="J3" s="525"/>
      <c r="K3" s="525"/>
      <c r="L3" s="525"/>
      <c r="M3" s="525"/>
    </row>
    <row r="4" spans="1:20" s="177" customFormat="1" ht="18" customHeight="1">
      <c r="A4" s="174"/>
      <c r="B4" s="174"/>
      <c r="C4" s="175"/>
      <c r="D4" s="176"/>
      <c r="E4" s="176"/>
      <c r="F4" s="176"/>
      <c r="G4" s="176"/>
      <c r="H4" s="176"/>
      <c r="I4" s="589"/>
      <c r="J4" s="189"/>
      <c r="K4" s="172"/>
      <c r="L4" s="172"/>
      <c r="M4" s="172"/>
      <c r="N4" s="589"/>
    </row>
    <row r="5" spans="1:20" ht="30.75" customHeight="1">
      <c r="A5" s="5589" t="s">
        <v>27</v>
      </c>
      <c r="B5" s="5589"/>
      <c r="C5" s="5586" t="s">
        <v>128</v>
      </c>
      <c r="D5" s="5587"/>
      <c r="E5" s="5587"/>
      <c r="F5" s="5587"/>
      <c r="G5" s="5587"/>
      <c r="H5" s="5587"/>
      <c r="I5" s="5588"/>
      <c r="J5" s="589"/>
      <c r="N5" s="589"/>
    </row>
    <row r="6" spans="1:20" ht="35.25" customHeight="1">
      <c r="A6" s="5591" t="s">
        <v>696</v>
      </c>
      <c r="B6" s="5592"/>
      <c r="C6" s="5593" t="s">
        <v>1532</v>
      </c>
      <c r="D6" s="5593"/>
      <c r="E6" s="5593"/>
      <c r="F6" s="5593"/>
      <c r="G6" s="5593"/>
      <c r="H6" s="5593"/>
      <c r="I6" s="5593"/>
      <c r="J6" s="589"/>
      <c r="N6" s="589"/>
    </row>
    <row r="7" spans="1:20" ht="30" customHeight="1">
      <c r="A7" s="5580" t="s">
        <v>319</v>
      </c>
      <c r="B7" s="5581"/>
      <c r="C7" s="5582" t="s">
        <v>179</v>
      </c>
      <c r="D7" s="5582"/>
      <c r="E7" s="5582"/>
      <c r="F7" s="5582"/>
      <c r="G7" s="5582"/>
      <c r="H7" s="5582"/>
      <c r="I7" s="5582"/>
    </row>
    <row r="8" spans="1:20" ht="30" customHeight="1">
      <c r="A8" s="5583" t="s">
        <v>313</v>
      </c>
      <c r="B8" s="5584"/>
      <c r="C8" s="5585" t="s">
        <v>3398</v>
      </c>
      <c r="D8" s="5585"/>
      <c r="E8" s="5585"/>
      <c r="F8" s="5585"/>
      <c r="G8" s="5585"/>
      <c r="H8" s="5585"/>
      <c r="I8" s="5585"/>
    </row>
    <row r="9" spans="1:20" ht="30" customHeight="1">
      <c r="A9" s="5580" t="s">
        <v>318</v>
      </c>
      <c r="B9" s="5581"/>
      <c r="C9" s="5582" t="s">
        <v>3399</v>
      </c>
      <c r="D9" s="5582"/>
      <c r="E9" s="5582"/>
      <c r="F9" s="5582"/>
      <c r="G9" s="5582"/>
      <c r="H9" s="5582"/>
      <c r="I9" s="5582"/>
    </row>
    <row r="10" spans="1:20" ht="15" customHeight="1">
      <c r="A10" s="650"/>
      <c r="B10" s="650"/>
      <c r="C10" s="650"/>
      <c r="D10" s="650"/>
      <c r="E10" s="650"/>
      <c r="F10" s="650"/>
      <c r="G10" s="650"/>
      <c r="H10" s="650"/>
      <c r="I10" s="650"/>
    </row>
    <row r="11" spans="1:20" ht="15.75">
      <c r="A11" s="650"/>
      <c r="B11" s="266" t="s">
        <v>127</v>
      </c>
      <c r="C11" s="650"/>
      <c r="D11" s="650"/>
      <c r="E11" s="650"/>
      <c r="F11" s="650"/>
      <c r="G11" s="650"/>
      <c r="H11" s="650"/>
      <c r="I11" s="650"/>
    </row>
    <row r="12" spans="1:20" ht="12" customHeight="1">
      <c r="A12" s="650"/>
      <c r="B12" s="521" t="s">
        <v>768</v>
      </c>
      <c r="C12" s="650"/>
      <c r="D12" s="650"/>
      <c r="E12" s="650"/>
      <c r="F12" s="650"/>
      <c r="G12" s="650"/>
      <c r="H12" s="650"/>
      <c r="I12" s="650"/>
    </row>
    <row r="13" spans="1:20" ht="12" customHeight="1">
      <c r="A13" s="650"/>
      <c r="B13" s="521" t="s">
        <v>690</v>
      </c>
      <c r="C13" s="650"/>
      <c r="D13" s="650"/>
      <c r="E13" s="650"/>
      <c r="F13" s="650"/>
      <c r="G13" s="650"/>
      <c r="H13" s="650"/>
      <c r="I13" s="650"/>
    </row>
    <row r="14" spans="1:20" ht="59.25" customHeight="1">
      <c r="B14" s="5590" t="s">
        <v>3402</v>
      </c>
      <c r="C14" s="5590"/>
      <c r="D14" s="5590"/>
      <c r="E14" s="5590"/>
      <c r="F14" s="5590"/>
      <c r="G14" s="5590"/>
      <c r="H14" s="5590"/>
      <c r="I14" s="171"/>
    </row>
    <row r="15" spans="1:20" ht="12" customHeight="1">
      <c r="B15" s="31"/>
      <c r="C15" s="171"/>
      <c r="D15" s="171"/>
      <c r="E15" s="171"/>
      <c r="F15" s="171"/>
      <c r="G15" s="171"/>
      <c r="H15" s="171"/>
      <c r="I15" s="171"/>
    </row>
    <row r="16" spans="1:20" ht="12" customHeight="1">
      <c r="B16" s="31"/>
      <c r="C16" s="171"/>
      <c r="D16" s="171"/>
      <c r="E16" s="171"/>
      <c r="F16" s="171"/>
      <c r="G16" s="171"/>
      <c r="H16" s="171"/>
      <c r="I16" s="171"/>
    </row>
    <row r="17" spans="1:13" ht="12" customHeight="1">
      <c r="B17" s="31"/>
      <c r="C17" s="171"/>
      <c r="D17" s="171"/>
      <c r="E17" s="171"/>
      <c r="F17" s="171"/>
      <c r="G17" s="171"/>
      <c r="H17" s="171"/>
      <c r="I17" s="171"/>
    </row>
    <row r="18" spans="1:13" ht="12" customHeight="1">
      <c r="B18" s="31"/>
      <c r="C18" s="171"/>
      <c r="D18" s="171"/>
      <c r="E18" s="171"/>
      <c r="F18" s="171"/>
      <c r="G18" s="171"/>
      <c r="H18" s="171"/>
      <c r="I18" s="171"/>
    </row>
    <row r="19" spans="1:13" ht="12" customHeight="1">
      <c r="B19" s="31"/>
      <c r="C19" s="171"/>
      <c r="D19" s="171"/>
      <c r="E19" s="171"/>
      <c r="F19" s="171"/>
      <c r="G19" s="171"/>
      <c r="H19" s="171"/>
      <c r="I19" s="171"/>
    </row>
    <row r="20" spans="1:13" ht="12" customHeight="1">
      <c r="B20" s="31"/>
      <c r="C20" s="171"/>
      <c r="D20" s="171"/>
      <c r="E20" s="171"/>
      <c r="F20" s="171"/>
      <c r="G20" s="171"/>
      <c r="H20" s="171"/>
      <c r="I20" s="171"/>
    </row>
    <row r="21" spans="1:13" ht="12" customHeight="1">
      <c r="B21" s="31"/>
      <c r="C21" s="171"/>
      <c r="D21" s="171"/>
      <c r="E21" s="171"/>
      <c r="F21" s="171"/>
      <c r="G21" s="171"/>
      <c r="H21" s="171"/>
      <c r="I21" s="171"/>
    </row>
    <row r="22" spans="1:13" ht="12" customHeight="1">
      <c r="B22" s="31"/>
      <c r="C22" s="171"/>
      <c r="D22" s="171"/>
      <c r="E22" s="171"/>
      <c r="F22" s="171"/>
      <c r="G22" s="171"/>
      <c r="H22" s="171"/>
      <c r="I22" s="171"/>
    </row>
    <row r="23" spans="1:13" ht="15.95" customHeight="1">
      <c r="B23" s="42"/>
      <c r="C23" s="171"/>
      <c r="D23" s="171"/>
      <c r="E23" s="171"/>
      <c r="F23" s="171"/>
      <c r="G23" s="171"/>
      <c r="H23" s="171"/>
      <c r="I23" s="171"/>
    </row>
    <row r="24" spans="1:13" s="113" customFormat="1" ht="15.95" customHeight="1">
      <c r="A24" s="203"/>
      <c r="B24" s="203"/>
      <c r="C24" s="256"/>
      <c r="D24" s="256"/>
      <c r="E24" s="203"/>
      <c r="F24" s="203"/>
      <c r="G24" s="203"/>
      <c r="H24" s="203"/>
      <c r="I24" s="203"/>
      <c r="J24" s="172"/>
      <c r="K24" s="172"/>
      <c r="L24" s="172"/>
      <c r="M24" s="172"/>
    </row>
    <row r="25" spans="1:13">
      <c r="A25" s="178"/>
      <c r="B25" s="178"/>
      <c r="C25" s="178"/>
      <c r="D25" s="178"/>
      <c r="E25" s="178"/>
      <c r="F25" s="178"/>
      <c r="G25" s="178"/>
      <c r="H25" s="178"/>
      <c r="I25" s="178"/>
    </row>
    <row r="26" spans="1:13">
      <c r="A26" s="178"/>
      <c r="B26" s="178"/>
      <c r="C26" s="178"/>
      <c r="D26" s="178"/>
      <c r="E26" s="178"/>
      <c r="F26" s="178"/>
      <c r="G26" s="178"/>
      <c r="H26" s="178"/>
      <c r="I26" s="178"/>
    </row>
    <row r="27" spans="1:13">
      <c r="A27" s="529"/>
      <c r="B27" s="529"/>
      <c r="C27" s="529"/>
      <c r="D27" s="529"/>
      <c r="E27" s="529"/>
      <c r="F27" s="529"/>
      <c r="G27" s="529"/>
      <c r="H27" s="529"/>
      <c r="I27" s="529"/>
    </row>
    <row r="34" spans="23:23">
      <c r="W34" s="3690"/>
    </row>
  </sheetData>
  <mergeCells count="12">
    <mergeCell ref="B14:H14"/>
    <mergeCell ref="A9:B9"/>
    <mergeCell ref="C9:I9"/>
    <mergeCell ref="A6:B6"/>
    <mergeCell ref="C6:I6"/>
    <mergeCell ref="A3:B3"/>
    <mergeCell ref="A7:B7"/>
    <mergeCell ref="C7:I7"/>
    <mergeCell ref="A8:B8"/>
    <mergeCell ref="C8:I8"/>
    <mergeCell ref="C5:I5"/>
    <mergeCell ref="A5:B5"/>
  </mergeCells>
  <conditionalFormatting sqref="D24:J24">
    <cfRule type="cellIs" dxfId="1" priority="1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56" firstPageNumber="52" orientation="landscape" useFirstPageNumber="1" r:id="rId1"/>
  <headerFooter>
    <oddFooter>&amp;L&amp;P&amp;R&amp;G</oddFooter>
  </headerFooter>
  <legacyDrawingHF r:id="rId2"/>
</worksheet>
</file>

<file path=xl/worksheets/sheet62.xml><?xml version="1.0" encoding="utf-8"?>
<worksheet xmlns="http://schemas.openxmlformats.org/spreadsheetml/2006/main" xmlns:r="http://schemas.openxmlformats.org/officeDocument/2006/relationships">
  <sheetPr>
    <tabColor rgb="FF92D050"/>
  </sheetPr>
  <dimension ref="A1:T33"/>
  <sheetViews>
    <sheetView view="pageBreakPreview" zoomScale="80" zoomScaleNormal="70" zoomScaleSheetLayoutView="80" zoomScalePageLayoutView="70" workbookViewId="0">
      <pane ySplit="1" topLeftCell="A2" activePane="bottomLeft" state="frozen"/>
      <selection pane="bottomLeft" activeCell="B1" sqref="B1"/>
    </sheetView>
  </sheetViews>
  <sheetFormatPr defaultColWidth="8.85546875" defaultRowHeight="15"/>
  <cols>
    <col min="1" max="1" width="7.7109375" style="172" customWidth="1"/>
    <col min="2" max="2" width="50.7109375" style="172" customWidth="1"/>
    <col min="3" max="3" width="13" style="172" customWidth="1"/>
    <col min="4" max="4" width="15.140625" style="172" customWidth="1"/>
    <col min="5" max="5" width="11.7109375" style="172" customWidth="1"/>
    <col min="6" max="6" width="11.5703125" style="172" customWidth="1"/>
    <col min="7" max="7" width="22" style="172" customWidth="1"/>
    <col min="8" max="8" width="20.42578125" style="172" customWidth="1"/>
    <col min="9" max="9" width="22" style="172" customWidth="1"/>
    <col min="10" max="10" width="3.140625" style="172" customWidth="1"/>
    <col min="11" max="12" width="8.85546875" style="172"/>
    <col min="13" max="13" width="14.7109375" style="172" customWidth="1"/>
    <col min="14" max="14" width="7" style="172" bestFit="1" customWidth="1"/>
    <col min="15" max="248" width="8.85546875" style="172"/>
    <col min="249" max="249" width="40.7109375" style="172" customWidth="1"/>
    <col min="250" max="255" width="18.7109375" style="172" customWidth="1"/>
    <col min="256" max="259" width="9.140625" style="172" customWidth="1"/>
    <col min="260" max="504" width="8.85546875" style="172"/>
    <col min="505" max="505" width="40.7109375" style="172" customWidth="1"/>
    <col min="506" max="511" width="18.7109375" style="172" customWidth="1"/>
    <col min="512" max="515" width="9.140625" style="172" customWidth="1"/>
    <col min="516" max="760" width="8.85546875" style="172"/>
    <col min="761" max="761" width="40.7109375" style="172" customWidth="1"/>
    <col min="762" max="767" width="18.7109375" style="172" customWidth="1"/>
    <col min="768" max="771" width="9.140625" style="172" customWidth="1"/>
    <col min="772" max="1016" width="8.85546875" style="172"/>
    <col min="1017" max="1017" width="40.7109375" style="172" customWidth="1"/>
    <col min="1018" max="1023" width="18.7109375" style="172" customWidth="1"/>
    <col min="1024" max="1027" width="9.140625" style="172" customWidth="1"/>
    <col min="1028" max="1272" width="8.85546875" style="172"/>
    <col min="1273" max="1273" width="40.7109375" style="172" customWidth="1"/>
    <col min="1274" max="1279" width="18.7109375" style="172" customWidth="1"/>
    <col min="1280" max="1283" width="9.140625" style="172" customWidth="1"/>
    <col min="1284" max="1528" width="8.85546875" style="172"/>
    <col min="1529" max="1529" width="40.7109375" style="172" customWidth="1"/>
    <col min="1530" max="1535" width="18.7109375" style="172" customWidth="1"/>
    <col min="1536" max="1539" width="9.140625" style="172" customWidth="1"/>
    <col min="1540" max="1784" width="8.85546875" style="172"/>
    <col min="1785" max="1785" width="40.7109375" style="172" customWidth="1"/>
    <col min="1786" max="1791" width="18.7109375" style="172" customWidth="1"/>
    <col min="1792" max="1795" width="9.140625" style="172" customWidth="1"/>
    <col min="1796" max="2040" width="8.85546875" style="172"/>
    <col min="2041" max="2041" width="40.7109375" style="172" customWidth="1"/>
    <col min="2042" max="2047" width="18.7109375" style="172" customWidth="1"/>
    <col min="2048" max="2051" width="9.140625" style="172" customWidth="1"/>
    <col min="2052" max="2296" width="8.85546875" style="172"/>
    <col min="2297" max="2297" width="40.7109375" style="172" customWidth="1"/>
    <col min="2298" max="2303" width="18.7109375" style="172" customWidth="1"/>
    <col min="2304" max="2307" width="9.140625" style="172" customWidth="1"/>
    <col min="2308" max="2552" width="8.85546875" style="172"/>
    <col min="2553" max="2553" width="40.7109375" style="172" customWidth="1"/>
    <col min="2554" max="2559" width="18.7109375" style="172" customWidth="1"/>
    <col min="2560" max="2563" width="9.140625" style="172" customWidth="1"/>
    <col min="2564" max="2808" width="8.85546875" style="172"/>
    <col min="2809" max="2809" width="40.7109375" style="172" customWidth="1"/>
    <col min="2810" max="2815" width="18.7109375" style="172" customWidth="1"/>
    <col min="2816" max="2819" width="9.140625" style="172" customWidth="1"/>
    <col min="2820" max="3064" width="8.85546875" style="172"/>
    <col min="3065" max="3065" width="40.7109375" style="172" customWidth="1"/>
    <col min="3066" max="3071" width="18.7109375" style="172" customWidth="1"/>
    <col min="3072" max="3075" width="9.140625" style="172" customWidth="1"/>
    <col min="3076" max="3320" width="8.85546875" style="172"/>
    <col min="3321" max="3321" width="40.7109375" style="172" customWidth="1"/>
    <col min="3322" max="3327" width="18.7109375" style="172" customWidth="1"/>
    <col min="3328" max="3331" width="9.140625" style="172" customWidth="1"/>
    <col min="3332" max="3576" width="8.85546875" style="172"/>
    <col min="3577" max="3577" width="40.7109375" style="172" customWidth="1"/>
    <col min="3578" max="3583" width="18.7109375" style="172" customWidth="1"/>
    <col min="3584" max="3587" width="9.140625" style="172" customWidth="1"/>
    <col min="3588" max="3832" width="8.85546875" style="172"/>
    <col min="3833" max="3833" width="40.7109375" style="172" customWidth="1"/>
    <col min="3834" max="3839" width="18.7109375" style="172" customWidth="1"/>
    <col min="3840" max="3843" width="9.140625" style="172" customWidth="1"/>
    <col min="3844" max="4088" width="8.85546875" style="172"/>
    <col min="4089" max="4089" width="40.7109375" style="172" customWidth="1"/>
    <col min="4090" max="4095" width="18.7109375" style="172" customWidth="1"/>
    <col min="4096" max="4099" width="9.140625" style="172" customWidth="1"/>
    <col min="4100" max="4344" width="8.85546875" style="172"/>
    <col min="4345" max="4345" width="40.7109375" style="172" customWidth="1"/>
    <col min="4346" max="4351" width="18.7109375" style="172" customWidth="1"/>
    <col min="4352" max="4355" width="9.140625" style="172" customWidth="1"/>
    <col min="4356" max="4600" width="8.85546875" style="172"/>
    <col min="4601" max="4601" width="40.7109375" style="172" customWidth="1"/>
    <col min="4602" max="4607" width="18.7109375" style="172" customWidth="1"/>
    <col min="4608" max="4611" width="9.140625" style="172" customWidth="1"/>
    <col min="4612" max="4856" width="8.85546875" style="172"/>
    <col min="4857" max="4857" width="40.7109375" style="172" customWidth="1"/>
    <col min="4858" max="4863" width="18.7109375" style="172" customWidth="1"/>
    <col min="4864" max="4867" width="9.140625" style="172" customWidth="1"/>
    <col min="4868" max="5112" width="8.85546875" style="172"/>
    <col min="5113" max="5113" width="40.7109375" style="172" customWidth="1"/>
    <col min="5114" max="5119" width="18.7109375" style="172" customWidth="1"/>
    <col min="5120" max="5123" width="9.140625" style="172" customWidth="1"/>
    <col min="5124" max="5368" width="8.85546875" style="172"/>
    <col min="5369" max="5369" width="40.7109375" style="172" customWidth="1"/>
    <col min="5370" max="5375" width="18.7109375" style="172" customWidth="1"/>
    <col min="5376" max="5379" width="9.140625" style="172" customWidth="1"/>
    <col min="5380" max="5624" width="8.85546875" style="172"/>
    <col min="5625" max="5625" width="40.7109375" style="172" customWidth="1"/>
    <col min="5626" max="5631" width="18.7109375" style="172" customWidth="1"/>
    <col min="5632" max="5635" width="9.140625" style="172" customWidth="1"/>
    <col min="5636" max="5880" width="8.85546875" style="172"/>
    <col min="5881" max="5881" width="40.7109375" style="172" customWidth="1"/>
    <col min="5882" max="5887" width="18.7109375" style="172" customWidth="1"/>
    <col min="5888" max="5891" width="9.140625" style="172" customWidth="1"/>
    <col min="5892" max="6136" width="8.85546875" style="172"/>
    <col min="6137" max="6137" width="40.7109375" style="172" customWidth="1"/>
    <col min="6138" max="6143" width="18.7109375" style="172" customWidth="1"/>
    <col min="6144" max="6147" width="9.140625" style="172" customWidth="1"/>
    <col min="6148" max="6392" width="8.85546875" style="172"/>
    <col min="6393" max="6393" width="40.7109375" style="172" customWidth="1"/>
    <col min="6394" max="6399" width="18.7109375" style="172" customWidth="1"/>
    <col min="6400" max="6403" width="9.140625" style="172" customWidth="1"/>
    <col min="6404" max="6648" width="8.85546875" style="172"/>
    <col min="6649" max="6649" width="40.7109375" style="172" customWidth="1"/>
    <col min="6650" max="6655" width="18.7109375" style="172" customWidth="1"/>
    <col min="6656" max="6659" width="9.140625" style="172" customWidth="1"/>
    <col min="6660" max="6904" width="8.85546875" style="172"/>
    <col min="6905" max="6905" width="40.7109375" style="172" customWidth="1"/>
    <col min="6906" max="6911" width="18.7109375" style="172" customWidth="1"/>
    <col min="6912" max="6915" width="9.140625" style="172" customWidth="1"/>
    <col min="6916" max="7160" width="8.85546875" style="172"/>
    <col min="7161" max="7161" width="40.7109375" style="172" customWidth="1"/>
    <col min="7162" max="7167" width="18.7109375" style="172" customWidth="1"/>
    <col min="7168" max="7171" width="9.140625" style="172" customWidth="1"/>
    <col min="7172" max="7416" width="8.85546875" style="172"/>
    <col min="7417" max="7417" width="40.7109375" style="172" customWidth="1"/>
    <col min="7418" max="7423" width="18.7109375" style="172" customWidth="1"/>
    <col min="7424" max="7427" width="9.140625" style="172" customWidth="1"/>
    <col min="7428" max="7672" width="8.85546875" style="172"/>
    <col min="7673" max="7673" width="40.7109375" style="172" customWidth="1"/>
    <col min="7674" max="7679" width="18.7109375" style="172" customWidth="1"/>
    <col min="7680" max="7683" width="9.140625" style="172" customWidth="1"/>
    <col min="7684" max="7928" width="8.85546875" style="172"/>
    <col min="7929" max="7929" width="40.7109375" style="172" customWidth="1"/>
    <col min="7930" max="7935" width="18.7109375" style="172" customWidth="1"/>
    <col min="7936" max="7939" width="9.140625" style="172" customWidth="1"/>
    <col min="7940" max="8184" width="8.85546875" style="172"/>
    <col min="8185" max="8185" width="40.7109375" style="172" customWidth="1"/>
    <col min="8186" max="8191" width="18.7109375" style="172" customWidth="1"/>
    <col min="8192" max="8195" width="9.140625" style="172" customWidth="1"/>
    <col min="8196" max="8440" width="8.85546875" style="172"/>
    <col min="8441" max="8441" width="40.7109375" style="172" customWidth="1"/>
    <col min="8442" max="8447" width="18.7109375" style="172" customWidth="1"/>
    <col min="8448" max="8451" width="9.140625" style="172" customWidth="1"/>
    <col min="8452" max="8696" width="8.85546875" style="172"/>
    <col min="8697" max="8697" width="40.7109375" style="172" customWidth="1"/>
    <col min="8698" max="8703" width="18.7109375" style="172" customWidth="1"/>
    <col min="8704" max="8707" width="9.140625" style="172" customWidth="1"/>
    <col min="8708" max="8952" width="8.85546875" style="172"/>
    <col min="8953" max="8953" width="40.7109375" style="172" customWidth="1"/>
    <col min="8954" max="8959" width="18.7109375" style="172" customWidth="1"/>
    <col min="8960" max="8963" width="9.140625" style="172" customWidth="1"/>
    <col min="8964" max="9208" width="8.85546875" style="172"/>
    <col min="9209" max="9209" width="40.7109375" style="172" customWidth="1"/>
    <col min="9210" max="9215" width="18.7109375" style="172" customWidth="1"/>
    <col min="9216" max="9219" width="9.140625" style="172" customWidth="1"/>
    <col min="9220" max="9464" width="8.85546875" style="172"/>
    <col min="9465" max="9465" width="40.7109375" style="172" customWidth="1"/>
    <col min="9466" max="9471" width="18.7109375" style="172" customWidth="1"/>
    <col min="9472" max="9475" width="9.140625" style="172" customWidth="1"/>
    <col min="9476" max="9720" width="8.85546875" style="172"/>
    <col min="9721" max="9721" width="40.7109375" style="172" customWidth="1"/>
    <col min="9722" max="9727" width="18.7109375" style="172" customWidth="1"/>
    <col min="9728" max="9731" width="9.140625" style="172" customWidth="1"/>
    <col min="9732" max="9976" width="8.85546875" style="172"/>
    <col min="9977" max="9977" width="40.7109375" style="172" customWidth="1"/>
    <col min="9978" max="9983" width="18.7109375" style="172" customWidth="1"/>
    <col min="9984" max="9987" width="9.140625" style="172" customWidth="1"/>
    <col min="9988" max="10232" width="8.85546875" style="172"/>
    <col min="10233" max="10233" width="40.7109375" style="172" customWidth="1"/>
    <col min="10234" max="10239" width="18.7109375" style="172" customWidth="1"/>
    <col min="10240" max="10243" width="9.140625" style="172" customWidth="1"/>
    <col min="10244" max="10488" width="8.85546875" style="172"/>
    <col min="10489" max="10489" width="40.7109375" style="172" customWidth="1"/>
    <col min="10490" max="10495" width="18.7109375" style="172" customWidth="1"/>
    <col min="10496" max="10499" width="9.140625" style="172" customWidth="1"/>
    <col min="10500" max="10744" width="8.85546875" style="172"/>
    <col min="10745" max="10745" width="40.7109375" style="172" customWidth="1"/>
    <col min="10746" max="10751" width="18.7109375" style="172" customWidth="1"/>
    <col min="10752" max="10755" width="9.140625" style="172" customWidth="1"/>
    <col min="10756" max="11000" width="8.85546875" style="172"/>
    <col min="11001" max="11001" width="40.7109375" style="172" customWidth="1"/>
    <col min="11002" max="11007" width="18.7109375" style="172" customWidth="1"/>
    <col min="11008" max="11011" width="9.140625" style="172" customWidth="1"/>
    <col min="11012" max="11256" width="8.85546875" style="172"/>
    <col min="11257" max="11257" width="40.7109375" style="172" customWidth="1"/>
    <col min="11258" max="11263" width="18.7109375" style="172" customWidth="1"/>
    <col min="11264" max="11267" width="9.140625" style="172" customWidth="1"/>
    <col min="11268" max="11512" width="8.85546875" style="172"/>
    <col min="11513" max="11513" width="40.7109375" style="172" customWidth="1"/>
    <col min="11514" max="11519" width="18.7109375" style="172" customWidth="1"/>
    <col min="11520" max="11523" width="9.140625" style="172" customWidth="1"/>
    <col min="11524" max="11768" width="8.85546875" style="172"/>
    <col min="11769" max="11769" width="40.7109375" style="172" customWidth="1"/>
    <col min="11770" max="11775" width="18.7109375" style="172" customWidth="1"/>
    <col min="11776" max="11779" width="9.140625" style="172" customWidth="1"/>
    <col min="11780" max="12024" width="8.85546875" style="172"/>
    <col min="12025" max="12025" width="40.7109375" style="172" customWidth="1"/>
    <col min="12026" max="12031" width="18.7109375" style="172" customWidth="1"/>
    <col min="12032" max="12035" width="9.140625" style="172" customWidth="1"/>
    <col min="12036" max="12280" width="8.85546875" style="172"/>
    <col min="12281" max="12281" width="40.7109375" style="172" customWidth="1"/>
    <col min="12282" max="12287" width="18.7109375" style="172" customWidth="1"/>
    <col min="12288" max="12291" width="9.140625" style="172" customWidth="1"/>
    <col min="12292" max="12536" width="8.85546875" style="172"/>
    <col min="12537" max="12537" width="40.7109375" style="172" customWidth="1"/>
    <col min="12538" max="12543" width="18.7109375" style="172" customWidth="1"/>
    <col min="12544" max="12547" width="9.140625" style="172" customWidth="1"/>
    <col min="12548" max="12792" width="8.85546875" style="172"/>
    <col min="12793" max="12793" width="40.7109375" style="172" customWidth="1"/>
    <col min="12794" max="12799" width="18.7109375" style="172" customWidth="1"/>
    <col min="12800" max="12803" width="9.140625" style="172" customWidth="1"/>
    <col min="12804" max="13048" width="8.85546875" style="172"/>
    <col min="13049" max="13049" width="40.7109375" style="172" customWidth="1"/>
    <col min="13050" max="13055" width="18.7109375" style="172" customWidth="1"/>
    <col min="13056" max="13059" width="9.140625" style="172" customWidth="1"/>
    <col min="13060" max="13304" width="8.85546875" style="172"/>
    <col min="13305" max="13305" width="40.7109375" style="172" customWidth="1"/>
    <col min="13306" max="13311" width="18.7109375" style="172" customWidth="1"/>
    <col min="13312" max="13315" width="9.140625" style="172" customWidth="1"/>
    <col min="13316" max="13560" width="8.85546875" style="172"/>
    <col min="13561" max="13561" width="40.7109375" style="172" customWidth="1"/>
    <col min="13562" max="13567" width="18.7109375" style="172" customWidth="1"/>
    <col min="13568" max="13571" width="9.140625" style="172" customWidth="1"/>
    <col min="13572" max="13816" width="8.85546875" style="172"/>
    <col min="13817" max="13817" width="40.7109375" style="172" customWidth="1"/>
    <col min="13818" max="13823" width="18.7109375" style="172" customWidth="1"/>
    <col min="13824" max="13827" width="9.140625" style="172" customWidth="1"/>
    <col min="13828" max="14072" width="8.85546875" style="172"/>
    <col min="14073" max="14073" width="40.7109375" style="172" customWidth="1"/>
    <col min="14074" max="14079" width="18.7109375" style="172" customWidth="1"/>
    <col min="14080" max="14083" width="9.140625" style="172" customWidth="1"/>
    <col min="14084" max="14328" width="8.85546875" style="172"/>
    <col min="14329" max="14329" width="40.7109375" style="172" customWidth="1"/>
    <col min="14330" max="14335" width="18.7109375" style="172" customWidth="1"/>
    <col min="14336" max="14339" width="9.140625" style="172" customWidth="1"/>
    <col min="14340" max="14584" width="8.85546875" style="172"/>
    <col min="14585" max="14585" width="40.7109375" style="172" customWidth="1"/>
    <col min="14586" max="14591" width="18.7109375" style="172" customWidth="1"/>
    <col min="14592" max="14595" width="9.140625" style="172" customWidth="1"/>
    <col min="14596" max="14840" width="8.85546875" style="172"/>
    <col min="14841" max="14841" width="40.7109375" style="172" customWidth="1"/>
    <col min="14842" max="14847" width="18.7109375" style="172" customWidth="1"/>
    <col min="14848" max="14851" width="9.140625" style="172" customWidth="1"/>
    <col min="14852" max="15096" width="8.85546875" style="172"/>
    <col min="15097" max="15097" width="40.7109375" style="172" customWidth="1"/>
    <col min="15098" max="15103" width="18.7109375" style="172" customWidth="1"/>
    <col min="15104" max="15107" width="9.140625" style="172" customWidth="1"/>
    <col min="15108" max="15352" width="8.85546875" style="172"/>
    <col min="15353" max="15353" width="40.7109375" style="172" customWidth="1"/>
    <col min="15354" max="15359" width="18.7109375" style="172" customWidth="1"/>
    <col min="15360" max="15363" width="9.140625" style="172" customWidth="1"/>
    <col min="15364" max="15608" width="8.85546875" style="172"/>
    <col min="15609" max="15609" width="40.7109375" style="172" customWidth="1"/>
    <col min="15610" max="15615" width="18.7109375" style="172" customWidth="1"/>
    <col min="15616" max="15619" width="9.140625" style="172" customWidth="1"/>
    <col min="15620" max="15864" width="8.85546875" style="172"/>
    <col min="15865" max="15865" width="40.7109375" style="172" customWidth="1"/>
    <col min="15866" max="15871" width="18.7109375" style="172" customWidth="1"/>
    <col min="15872" max="15875" width="9.140625" style="172" customWidth="1"/>
    <col min="15876" max="16120" width="8.85546875" style="172"/>
    <col min="16121" max="16121" width="40.7109375" style="172" customWidth="1"/>
    <col min="16122" max="16127" width="18.7109375" style="172" customWidth="1"/>
    <col min="16128" max="16131" width="9.140625" style="172" customWidth="1"/>
    <col min="16132" max="16384" width="8.85546875" style="172"/>
  </cols>
  <sheetData>
    <row r="1" spans="1:20" s="171" customFormat="1" ht="18" customHeight="1">
      <c r="A1" s="2298"/>
      <c r="B1" s="2297" t="s">
        <v>490</v>
      </c>
    </row>
    <row r="2" spans="1:20" s="589" customFormat="1" ht="18" customHeight="1">
      <c r="A2" s="1218"/>
      <c r="B2" s="651"/>
      <c r="C2" s="26"/>
      <c r="D2" s="26"/>
      <c r="E2" s="26"/>
      <c r="F2" s="471"/>
      <c r="G2" s="471"/>
      <c r="H2" s="471"/>
      <c r="I2" s="1181"/>
      <c r="J2" s="471"/>
      <c r="K2" s="471"/>
      <c r="L2" s="471"/>
      <c r="M2" s="471"/>
      <c r="N2" s="471"/>
      <c r="O2" s="471"/>
      <c r="P2" s="471"/>
      <c r="Q2" s="471"/>
      <c r="R2" s="471"/>
      <c r="S2" s="471"/>
      <c r="T2" s="471"/>
    </row>
    <row r="3" spans="1:20" s="527" customFormat="1" ht="31.5" customHeight="1">
      <c r="A3" s="5579" t="s">
        <v>1512</v>
      </c>
      <c r="B3" s="5579"/>
      <c r="C3" s="648"/>
      <c r="D3" s="648"/>
      <c r="E3" s="648"/>
      <c r="F3" s="648"/>
      <c r="G3" s="1219"/>
      <c r="H3" s="1219"/>
      <c r="I3" s="525"/>
      <c r="J3" s="525"/>
      <c r="K3" s="525"/>
      <c r="L3" s="525"/>
      <c r="M3" s="525"/>
      <c r="Q3" s="1225"/>
    </row>
    <row r="4" spans="1:20" ht="30.75" customHeight="1">
      <c r="A4" s="5599" t="s">
        <v>27</v>
      </c>
      <c r="B4" s="5600"/>
      <c r="C4" s="5600"/>
      <c r="D4" s="5600"/>
      <c r="E4" s="5600"/>
      <c r="F4" s="5601"/>
      <c r="G4" s="5602" t="s">
        <v>128</v>
      </c>
      <c r="H4" s="5603"/>
      <c r="I4" s="5604"/>
      <c r="J4" s="589"/>
      <c r="N4" s="589"/>
    </row>
    <row r="5" spans="1:20" ht="150" customHeight="1">
      <c r="A5" s="5597" t="s">
        <v>1513</v>
      </c>
      <c r="B5" s="5598"/>
      <c r="C5" s="5594" t="s">
        <v>1530</v>
      </c>
      <c r="D5" s="5595"/>
      <c r="E5" s="5595"/>
      <c r="F5" s="5596"/>
      <c r="G5" s="5605" t="s">
        <v>1518</v>
      </c>
      <c r="H5" s="5606"/>
      <c r="I5" s="5607"/>
      <c r="J5" s="589"/>
      <c r="N5" s="589"/>
    </row>
    <row r="6" spans="1:20" ht="75" hidden="1" customHeight="1">
      <c r="A6" s="2516"/>
      <c r="B6" s="2517"/>
      <c r="C6" s="5621" t="s">
        <v>1526</v>
      </c>
      <c r="D6" s="5622"/>
      <c r="E6" s="5622"/>
      <c r="F6" s="5623"/>
      <c r="G6" s="5615" t="s">
        <v>1536</v>
      </c>
      <c r="H6" s="5613"/>
      <c r="I6" s="5614"/>
    </row>
    <row r="7" spans="1:20" ht="75" customHeight="1">
      <c r="A7" s="5635" t="s">
        <v>2585</v>
      </c>
      <c r="B7" s="5636"/>
      <c r="C7" s="5621" t="s">
        <v>2513</v>
      </c>
      <c r="D7" s="5622"/>
      <c r="E7" s="5622"/>
      <c r="F7" s="5623"/>
      <c r="G7" s="5615" t="s">
        <v>2514</v>
      </c>
      <c r="H7" s="5613"/>
      <c r="I7" s="5614"/>
    </row>
    <row r="8" spans="1:20" ht="75" customHeight="1">
      <c r="A8" s="5635"/>
      <c r="B8" s="5636"/>
      <c r="C8" s="5621" t="s">
        <v>1527</v>
      </c>
      <c r="D8" s="5622"/>
      <c r="E8" s="5622"/>
      <c r="F8" s="5623"/>
      <c r="G8" s="5615" t="s">
        <v>1537</v>
      </c>
      <c r="H8" s="5613"/>
      <c r="I8" s="5614"/>
    </row>
    <row r="9" spans="1:20" ht="75" customHeight="1">
      <c r="A9" s="5637"/>
      <c r="B9" s="5638"/>
      <c r="C9" s="5621" t="s">
        <v>2459</v>
      </c>
      <c r="D9" s="5622"/>
      <c r="E9" s="5622"/>
      <c r="F9" s="5623"/>
      <c r="G9" s="5615" t="s">
        <v>2460</v>
      </c>
      <c r="H9" s="5613"/>
      <c r="I9" s="5614"/>
    </row>
    <row r="10" spans="1:20" ht="50.1" customHeight="1">
      <c r="A10" s="5629" t="s">
        <v>1514</v>
      </c>
      <c r="B10" s="5630"/>
      <c r="C10" s="5594" t="s">
        <v>1517</v>
      </c>
      <c r="D10" s="5595"/>
      <c r="E10" s="5595"/>
      <c r="F10" s="5596"/>
      <c r="G10" s="5608" t="s">
        <v>1519</v>
      </c>
      <c r="H10" s="5606"/>
      <c r="I10" s="5607"/>
    </row>
    <row r="11" spans="1:20" ht="50.1" customHeight="1">
      <c r="A11" s="5631"/>
      <c r="B11" s="5632"/>
      <c r="C11" s="5594" t="s">
        <v>1515</v>
      </c>
      <c r="D11" s="5595"/>
      <c r="E11" s="5595"/>
      <c r="F11" s="5596"/>
      <c r="G11" s="5608" t="s">
        <v>1522</v>
      </c>
      <c r="H11" s="5606"/>
      <c r="I11" s="5607"/>
    </row>
    <row r="12" spans="1:20" ht="50.1" customHeight="1">
      <c r="A12" s="5633"/>
      <c r="B12" s="5634"/>
      <c r="C12" s="5594" t="s">
        <v>1516</v>
      </c>
      <c r="D12" s="5595"/>
      <c r="E12" s="5595"/>
      <c r="F12" s="5596"/>
      <c r="G12" s="5608" t="s">
        <v>1523</v>
      </c>
      <c r="H12" s="5606"/>
      <c r="I12" s="5607"/>
    </row>
    <row r="13" spans="1:20" ht="50.1" customHeight="1">
      <c r="A13" s="5624" t="s">
        <v>1531</v>
      </c>
      <c r="B13" s="5625"/>
      <c r="C13" s="5626" t="s">
        <v>1529</v>
      </c>
      <c r="D13" s="5627"/>
      <c r="E13" s="5627"/>
      <c r="F13" s="5628"/>
      <c r="G13" s="5612" t="s">
        <v>1528</v>
      </c>
      <c r="H13" s="5613"/>
      <c r="I13" s="5614"/>
      <c r="J13" s="589"/>
      <c r="N13" s="589"/>
    </row>
    <row r="14" spans="1:20" ht="95.1" customHeight="1">
      <c r="A14" s="5616" t="s">
        <v>1521</v>
      </c>
      <c r="B14" s="5617"/>
      <c r="C14" s="5620" t="s">
        <v>1524</v>
      </c>
      <c r="D14" s="5610"/>
      <c r="E14" s="5610"/>
      <c r="F14" s="5611"/>
      <c r="G14" s="5609" t="s">
        <v>1539</v>
      </c>
      <c r="H14" s="5610"/>
      <c r="I14" s="5611"/>
    </row>
    <row r="15" spans="1:20" ht="95.1" customHeight="1">
      <c r="A15" s="5618"/>
      <c r="B15" s="5619"/>
      <c r="C15" s="5620" t="s">
        <v>1525</v>
      </c>
      <c r="D15" s="5610"/>
      <c r="E15" s="5610"/>
      <c r="F15" s="5611"/>
      <c r="G15" s="5609" t="s">
        <v>1538</v>
      </c>
      <c r="H15" s="5610"/>
      <c r="I15" s="5611"/>
    </row>
    <row r="16" spans="1:20" ht="15" customHeight="1">
      <c r="A16" s="650"/>
      <c r="B16" s="650"/>
      <c r="C16" s="650"/>
      <c r="D16" s="650"/>
      <c r="E16" s="650"/>
      <c r="F16" s="650"/>
      <c r="G16" s="650"/>
      <c r="H16" s="650"/>
      <c r="I16" s="650"/>
    </row>
    <row r="17" spans="1:13" ht="15.75">
      <c r="A17" s="650"/>
      <c r="B17" s="266" t="s">
        <v>127</v>
      </c>
      <c r="C17" s="650"/>
      <c r="D17" s="650"/>
      <c r="E17" s="650"/>
      <c r="F17" s="650"/>
      <c r="G17" s="650"/>
      <c r="H17" s="650"/>
      <c r="I17" s="650"/>
    </row>
    <row r="18" spans="1:13" ht="15.75">
      <c r="A18" s="650"/>
      <c r="B18" s="521" t="s">
        <v>1520</v>
      </c>
      <c r="C18" s="650"/>
      <c r="D18" s="650"/>
      <c r="E18" s="650"/>
      <c r="F18" s="650"/>
      <c r="G18" s="650"/>
      <c r="H18" s="650"/>
      <c r="I18" s="650"/>
    </row>
    <row r="19" spans="1:13" ht="15.75">
      <c r="A19" s="650"/>
      <c r="B19" s="521" t="s">
        <v>1533</v>
      </c>
      <c r="C19" s="650"/>
      <c r="D19" s="650"/>
      <c r="E19" s="650"/>
      <c r="F19" s="650"/>
      <c r="G19" s="650"/>
      <c r="H19" s="650"/>
      <c r="I19" s="650"/>
    </row>
    <row r="20" spans="1:13" ht="15.75">
      <c r="A20" s="650"/>
      <c r="B20" s="521" t="s">
        <v>1534</v>
      </c>
      <c r="C20" s="650"/>
      <c r="D20" s="650"/>
      <c r="E20" s="650"/>
      <c r="F20" s="650"/>
      <c r="G20" s="650"/>
      <c r="H20" s="650"/>
      <c r="I20" s="650"/>
    </row>
    <row r="21" spans="1:13" ht="15.75">
      <c r="B21" s="521" t="s">
        <v>1535</v>
      </c>
      <c r="C21" s="171"/>
      <c r="D21" s="171"/>
      <c r="E21" s="171"/>
      <c r="F21" s="171"/>
      <c r="G21" s="171"/>
      <c r="H21" s="171"/>
      <c r="I21" s="171"/>
    </row>
    <row r="22" spans="1:13" ht="12" customHeight="1">
      <c r="B22" s="31"/>
      <c r="C22" s="171"/>
      <c r="D22" s="171"/>
      <c r="E22" s="171"/>
      <c r="F22" s="171"/>
      <c r="G22" s="171"/>
      <c r="H22" s="171"/>
      <c r="I22" s="171"/>
    </row>
    <row r="23" spans="1:13" ht="12" customHeight="1">
      <c r="B23" s="31"/>
      <c r="C23" s="171"/>
      <c r="D23" s="171"/>
      <c r="E23" s="171"/>
      <c r="F23" s="171"/>
      <c r="G23" s="171"/>
      <c r="H23" s="171"/>
      <c r="I23" s="171"/>
    </row>
    <row r="24" spans="1:13" ht="12" customHeight="1">
      <c r="B24" s="31"/>
      <c r="C24" s="171"/>
      <c r="D24" s="171"/>
      <c r="E24" s="171"/>
      <c r="F24" s="171"/>
      <c r="G24" s="171"/>
      <c r="H24" s="171"/>
      <c r="I24" s="171"/>
    </row>
    <row r="25" spans="1:13" ht="12" customHeight="1">
      <c r="B25" s="31"/>
      <c r="C25" s="171"/>
      <c r="D25" s="171"/>
      <c r="E25" s="171"/>
      <c r="F25" s="171"/>
      <c r="G25" s="171"/>
      <c r="H25" s="171"/>
      <c r="I25" s="171"/>
    </row>
    <row r="26" spans="1:13" ht="12" customHeight="1">
      <c r="B26" s="31"/>
      <c r="C26" s="171"/>
      <c r="D26" s="171"/>
      <c r="E26" s="171"/>
      <c r="F26" s="171"/>
      <c r="G26" s="171"/>
      <c r="H26" s="171"/>
      <c r="I26" s="171"/>
    </row>
    <row r="27" spans="1:13" ht="12" customHeight="1">
      <c r="B27" s="31"/>
      <c r="C27" s="171"/>
      <c r="D27" s="171"/>
      <c r="E27" s="171"/>
      <c r="F27" s="171"/>
      <c r="G27" s="171"/>
      <c r="H27" s="171"/>
      <c r="I27" s="171"/>
    </row>
    <row r="28" spans="1:13" ht="12" customHeight="1">
      <c r="B28" s="31"/>
      <c r="C28" s="171"/>
      <c r="D28" s="171"/>
      <c r="E28" s="171"/>
      <c r="F28" s="171"/>
      <c r="G28" s="171"/>
      <c r="H28" s="171"/>
      <c r="I28" s="171"/>
    </row>
    <row r="29" spans="1:13" ht="15.95" customHeight="1">
      <c r="B29" s="42"/>
      <c r="C29" s="171"/>
      <c r="D29" s="171"/>
      <c r="E29" s="171"/>
      <c r="F29" s="171"/>
      <c r="G29" s="171"/>
      <c r="H29" s="171"/>
      <c r="I29" s="171"/>
    </row>
    <row r="30" spans="1:13" s="113" customFormat="1" ht="15.95" customHeight="1">
      <c r="A30" s="203"/>
      <c r="B30" s="203"/>
      <c r="C30" s="256"/>
      <c r="D30" s="256"/>
      <c r="E30" s="203"/>
      <c r="F30" s="203"/>
      <c r="G30" s="203"/>
      <c r="H30" s="203"/>
      <c r="I30" s="203"/>
      <c r="J30" s="172"/>
      <c r="K30" s="172"/>
      <c r="L30" s="172"/>
      <c r="M30" s="172"/>
    </row>
    <row r="31" spans="1:13">
      <c r="A31" s="178"/>
      <c r="B31" s="178"/>
      <c r="C31" s="178"/>
      <c r="D31" s="178"/>
      <c r="E31" s="178"/>
      <c r="F31" s="178"/>
      <c r="G31" s="178"/>
      <c r="H31" s="178"/>
      <c r="I31" s="178"/>
    </row>
    <row r="32" spans="1:13">
      <c r="A32" s="178"/>
      <c r="B32" s="178"/>
      <c r="C32" s="178"/>
      <c r="D32" s="178"/>
      <c r="E32" s="178"/>
      <c r="F32" s="178"/>
      <c r="G32" s="178"/>
      <c r="H32" s="178"/>
      <c r="I32" s="178"/>
    </row>
    <row r="33" spans="1:9">
      <c r="A33" s="529"/>
      <c r="B33" s="529"/>
      <c r="C33" s="529"/>
      <c r="D33" s="529"/>
      <c r="E33" s="529"/>
      <c r="F33" s="529"/>
      <c r="G33" s="529"/>
      <c r="H33" s="529"/>
      <c r="I33" s="529"/>
    </row>
  </sheetData>
  <mergeCells count="30">
    <mergeCell ref="A14:B15"/>
    <mergeCell ref="C14:F14"/>
    <mergeCell ref="C15:F15"/>
    <mergeCell ref="C6:F6"/>
    <mergeCell ref="C8:F8"/>
    <mergeCell ref="A13:B13"/>
    <mergeCell ref="C13:F13"/>
    <mergeCell ref="C12:F12"/>
    <mergeCell ref="C11:F11"/>
    <mergeCell ref="A10:B12"/>
    <mergeCell ref="C9:F9"/>
    <mergeCell ref="C7:F7"/>
    <mergeCell ref="A7:B9"/>
    <mergeCell ref="G4:I4"/>
    <mergeCell ref="G5:I5"/>
    <mergeCell ref="G10:I10"/>
    <mergeCell ref="G14:I14"/>
    <mergeCell ref="G15:I15"/>
    <mergeCell ref="G13:I13"/>
    <mergeCell ref="G12:I12"/>
    <mergeCell ref="G11:I11"/>
    <mergeCell ref="G6:I6"/>
    <mergeCell ref="G8:I8"/>
    <mergeCell ref="G9:I9"/>
    <mergeCell ref="G7:I7"/>
    <mergeCell ref="C5:F5"/>
    <mergeCell ref="A3:B3"/>
    <mergeCell ref="A5:B5"/>
    <mergeCell ref="A4:F4"/>
    <mergeCell ref="C10:F10"/>
  </mergeCells>
  <conditionalFormatting sqref="D30:J30">
    <cfRule type="cellIs" dxfId="0" priority="1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39370078740157483" bottom="0.31496062992125984" header="0.39370078740157483" footer="0.31496062992125984"/>
  <pageSetup paperSize="9" scale="55" firstPageNumber="53" orientation="landscape" useFirstPageNumber="1" r:id="rId1"/>
  <headerFooter>
    <oddFooter>&amp;L&amp;P&amp;R&amp;G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Лист40">
    <tabColor rgb="FF92D050"/>
  </sheetPr>
  <dimension ref="A1:O9"/>
  <sheetViews>
    <sheetView view="pageBreakPreview" zoomScale="80" zoomScaleNormal="70" zoomScaleSheetLayoutView="80" zoomScalePageLayoutView="70" workbookViewId="0">
      <pane ySplit="1" topLeftCell="A2" activePane="bottomLeft" state="frozen"/>
      <selection pane="bottomLeft" activeCell="B1" sqref="B1"/>
    </sheetView>
  </sheetViews>
  <sheetFormatPr defaultColWidth="9.140625" defaultRowHeight="12.75" outlineLevelCol="1"/>
  <cols>
    <col min="1" max="1" width="4.7109375" style="81" customWidth="1"/>
    <col min="2" max="6" width="11.7109375" style="81" customWidth="1"/>
    <col min="7" max="8" width="20.7109375" style="81" customWidth="1"/>
    <col min="9" max="9" width="20.7109375" style="81" customWidth="1" outlineLevel="1"/>
    <col min="10" max="10" width="20.7109375" style="81" customWidth="1"/>
    <col min="11" max="16384" width="9.140625" style="81"/>
  </cols>
  <sheetData>
    <row r="1" spans="1:15" s="2286" customFormat="1" ht="18" customHeight="1">
      <c r="A1" s="2299"/>
      <c r="B1" s="2285" t="s">
        <v>490</v>
      </c>
      <c r="C1" s="2285"/>
      <c r="D1" s="2280"/>
      <c r="E1" s="2299"/>
      <c r="F1" s="2299"/>
      <c r="G1" s="2299"/>
      <c r="H1" s="2299"/>
      <c r="I1" s="2299"/>
    </row>
    <row r="2" spans="1:15" s="470" customFormat="1" ht="18" customHeight="1">
      <c r="A2" s="469"/>
      <c r="B2" s="627"/>
      <c r="C2" s="627"/>
      <c r="D2" s="26"/>
      <c r="E2" s="26"/>
      <c r="F2" s="26"/>
      <c r="G2" s="471"/>
      <c r="H2" s="471"/>
      <c r="I2" s="471"/>
      <c r="J2" s="471"/>
      <c r="K2" s="471"/>
      <c r="L2" s="471"/>
      <c r="M2" s="471"/>
      <c r="N2" s="471"/>
      <c r="O2" s="471"/>
    </row>
    <row r="3" spans="1:15" ht="90" customHeight="1">
      <c r="A3" s="106"/>
      <c r="B3" s="4197" t="s">
        <v>309</v>
      </c>
      <c r="C3" s="4198"/>
      <c r="D3" s="4199"/>
      <c r="E3" s="4200"/>
      <c r="F3" s="79"/>
      <c r="G3" s="79"/>
      <c r="H3" s="79"/>
      <c r="I3" s="79"/>
      <c r="J3" s="179"/>
      <c r="K3" s="179"/>
      <c r="L3" s="179"/>
      <c r="M3" s="179"/>
    </row>
    <row r="4" spans="1:15" ht="18" customHeight="1">
      <c r="A4" s="106"/>
      <c r="B4" s="19" t="s">
        <v>59</v>
      </c>
      <c r="C4" s="79"/>
      <c r="D4" s="79"/>
      <c r="E4" s="79"/>
      <c r="F4" s="79"/>
      <c r="G4" s="79"/>
      <c r="H4" s="79"/>
      <c r="I4" s="79"/>
      <c r="J4" s="179"/>
      <c r="K4" s="179"/>
      <c r="L4" s="179"/>
      <c r="M4" s="179"/>
    </row>
    <row r="5" spans="1:15" s="93" customFormat="1" ht="30">
      <c r="A5" s="4474" t="s">
        <v>2</v>
      </c>
      <c r="B5" s="4475"/>
      <c r="C5" s="4476"/>
      <c r="D5" s="2378" t="s">
        <v>42</v>
      </c>
      <c r="E5" s="2378" t="s">
        <v>41</v>
      </c>
      <c r="F5" s="2378" t="s">
        <v>54</v>
      </c>
      <c r="G5" s="2424" t="s">
        <v>3181</v>
      </c>
      <c r="H5" s="3578" t="s">
        <v>3182</v>
      </c>
      <c r="I5" s="3578" t="s">
        <v>3183</v>
      </c>
      <c r="J5" s="528"/>
      <c r="K5" s="528"/>
      <c r="L5" s="528"/>
      <c r="M5" s="528"/>
    </row>
    <row r="6" spans="1:15" s="318" customFormat="1" ht="32.25" customHeight="1">
      <c r="A6" s="4589" t="s">
        <v>30</v>
      </c>
      <c r="B6" s="4730" t="s">
        <v>284</v>
      </c>
      <c r="C6" s="4731"/>
      <c r="D6" s="4213" t="s">
        <v>35</v>
      </c>
      <c r="E6" s="4213" t="s">
        <v>34</v>
      </c>
      <c r="F6" s="1103" t="s">
        <v>0</v>
      </c>
      <c r="G6" s="2477">
        <f>CEILING('Полотна база'!AE54*(1+скидки_наценки!$B$30)*скидки_наценки!$D$13*скидки_наценки!$F$13/скидки_наценки!$B$4, 50)</f>
        <v>30100</v>
      </c>
      <c r="H6" s="2474">
        <f>G6</f>
        <v>30100</v>
      </c>
      <c r="I6" s="2474">
        <f>G6</f>
        <v>30100</v>
      </c>
      <c r="J6" s="25"/>
      <c r="K6" s="25"/>
      <c r="L6" s="25"/>
      <c r="M6" s="25"/>
    </row>
    <row r="7" spans="1:15" s="318" customFormat="1" ht="15.75" customHeight="1">
      <c r="A7" s="4590"/>
      <c r="B7" s="4732"/>
      <c r="C7" s="4733"/>
      <c r="D7" s="4214"/>
      <c r="E7" s="4214"/>
      <c r="F7" s="183" t="s">
        <v>306</v>
      </c>
      <c r="G7" s="2475">
        <f>IF(G6=0,0,(Погонаж!$C$13*2.5+Погонаж!$E$13*5))</f>
        <v>12375</v>
      </c>
      <c r="H7" s="2475">
        <f>IF(H6=0,0,(Погонаж!$C$13*2.5+Погонаж!$E$13*5))</f>
        <v>12375</v>
      </c>
      <c r="I7" s="2475">
        <f>IF(I6=0,0,(Погонаж!$C$13*2.5+Погонаж!$E$13*5))</f>
        <v>12375</v>
      </c>
      <c r="J7" s="25"/>
      <c r="K7" s="25"/>
      <c r="L7" s="25"/>
      <c r="M7" s="25"/>
    </row>
    <row r="8" spans="1:15" s="318" customFormat="1" ht="32.25" customHeight="1">
      <c r="A8" s="4621"/>
      <c r="B8" s="4734"/>
      <c r="C8" s="4735"/>
      <c r="D8" s="4215"/>
      <c r="E8" s="4215"/>
      <c r="F8" s="267" t="s">
        <v>1</v>
      </c>
      <c r="G8" s="2476">
        <f>G6+G7</f>
        <v>42475</v>
      </c>
      <c r="H8" s="2476">
        <f>H6+H7</f>
        <v>42475</v>
      </c>
      <c r="I8" s="2476">
        <f>I6+I7</f>
        <v>42475</v>
      </c>
      <c r="J8" s="25"/>
      <c r="K8" s="25"/>
      <c r="L8" s="25"/>
      <c r="M8" s="25"/>
    </row>
    <row r="9" spans="1:15" s="393" customFormat="1" ht="32.25" customHeight="1">
      <c r="A9" s="395"/>
      <c r="B9" s="392"/>
      <c r="C9" s="887"/>
      <c r="D9" s="140"/>
      <c r="E9" s="140"/>
      <c r="F9" s="396"/>
      <c r="G9" s="397"/>
      <c r="H9" s="397"/>
      <c r="I9" s="79"/>
      <c r="J9" s="25"/>
      <c r="K9" s="25"/>
      <c r="L9" s="25"/>
      <c r="M9" s="25"/>
    </row>
  </sheetData>
  <mergeCells count="6">
    <mergeCell ref="B3:E3"/>
    <mergeCell ref="A5:C5"/>
    <mergeCell ref="B6:C8"/>
    <mergeCell ref="A6:A8"/>
    <mergeCell ref="D6:D8"/>
    <mergeCell ref="E6:E8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39370078740157483" bottom="0.31496062992125984" header="0.39370078740157483" footer="0.31496062992125984"/>
  <pageSetup paperSize="9" scale="75" firstPageNumber="54" orientation="landscape" useFirstPageNumber="1" r:id="rId1"/>
  <headerFooter>
    <oddFooter>&amp;L&amp;P&amp;R&amp;26&amp;G</oddFooter>
  </headerFooter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Лист41"/>
  <dimension ref="B1:K333"/>
  <sheetViews>
    <sheetView view="pageBreakPreview" zoomScale="80" zoomScaleNormal="85" zoomScaleSheetLayoutView="80" zoomScalePageLayoutView="70" workbookViewId="0">
      <selection activeCell="E24" sqref="E24"/>
    </sheetView>
  </sheetViews>
  <sheetFormatPr defaultColWidth="9.140625" defaultRowHeight="12.75"/>
  <cols>
    <col min="1" max="1" width="3.7109375" style="81" customWidth="1"/>
    <col min="2" max="2" width="34.28515625" style="81" customWidth="1"/>
    <col min="3" max="5" width="34.7109375" style="81" customWidth="1"/>
    <col min="6" max="6" width="38.28515625" style="81" customWidth="1"/>
    <col min="7" max="8" width="34.7109375" style="81" customWidth="1"/>
    <col min="9" max="9" width="34.7109375" style="81" hidden="1" customWidth="1"/>
    <col min="10" max="10" width="14.28515625" style="81" customWidth="1"/>
    <col min="11" max="16384" width="9.140625" style="81"/>
  </cols>
  <sheetData>
    <row r="1" spans="2:9" s="2286" customFormat="1" ht="18" customHeight="1">
      <c r="B1" s="2285" t="s">
        <v>490</v>
      </c>
      <c r="C1" s="2287"/>
      <c r="D1" s="2287"/>
      <c r="E1" s="2287"/>
      <c r="F1" s="2287"/>
      <c r="G1" s="2287"/>
      <c r="I1" s="2287"/>
    </row>
    <row r="2" spans="2:9" s="94" customFormat="1" ht="15" customHeight="1">
      <c r="B2" s="264" t="s">
        <v>129</v>
      </c>
      <c r="C2" s="108"/>
      <c r="D2" s="540"/>
      <c r="E2" s="108"/>
      <c r="F2" s="108"/>
      <c r="G2" s="108"/>
      <c r="H2" s="1181"/>
      <c r="I2" s="108"/>
    </row>
    <row r="3" spans="2:9" ht="42.75" customHeight="1">
      <c r="B3" s="5659" t="s">
        <v>42</v>
      </c>
      <c r="C3" s="5661" t="s">
        <v>41</v>
      </c>
      <c r="D3" s="747" t="s">
        <v>131</v>
      </c>
      <c r="E3" s="5663" t="s">
        <v>130</v>
      </c>
      <c r="F3" s="5663" t="s">
        <v>757</v>
      </c>
      <c r="G3" s="5663" t="s">
        <v>758</v>
      </c>
      <c r="H3" s="5651" t="s">
        <v>1197</v>
      </c>
      <c r="I3" s="5652"/>
    </row>
    <row r="4" spans="2:9" ht="32.25" customHeight="1" thickBot="1">
      <c r="B4" s="5660"/>
      <c r="C4" s="5662"/>
      <c r="D4" s="3063" t="s">
        <v>132</v>
      </c>
      <c r="E4" s="5664"/>
      <c r="F4" s="5664"/>
      <c r="G4" s="5664"/>
      <c r="H4" s="3064" t="s">
        <v>133</v>
      </c>
      <c r="I4" s="748" t="s">
        <v>29</v>
      </c>
    </row>
    <row r="5" spans="2:9" ht="21.95" customHeight="1">
      <c r="B5" s="5658" t="s">
        <v>741</v>
      </c>
      <c r="C5" s="3066" t="s">
        <v>2800</v>
      </c>
      <c r="D5" s="3067">
        <v>0.1</v>
      </c>
      <c r="E5" s="3068">
        <v>2120</v>
      </c>
      <c r="F5" s="3068">
        <v>2150</v>
      </c>
      <c r="G5" s="3068">
        <f>E5</f>
        <v>2120</v>
      </c>
      <c r="H5" s="3069">
        <v>0</v>
      </c>
      <c r="I5" s="3060"/>
    </row>
    <row r="6" spans="2:9" ht="21.95" customHeight="1">
      <c r="B6" s="5654"/>
      <c r="C6" s="3057" t="s">
        <v>2801</v>
      </c>
      <c r="D6" s="3052">
        <f>D5+5%</f>
        <v>0.15000000000000002</v>
      </c>
      <c r="E6" s="3053"/>
      <c r="F6" s="3053"/>
      <c r="G6" s="3053"/>
      <c r="H6" s="3070"/>
      <c r="I6" s="3060"/>
    </row>
    <row r="7" spans="2:9" ht="21.95" customHeight="1">
      <c r="B7" s="5654"/>
      <c r="C7" s="3049" t="s">
        <v>134</v>
      </c>
      <c r="D7" s="3050">
        <v>0</v>
      </c>
      <c r="E7" s="3051">
        <f>E5</f>
        <v>2120</v>
      </c>
      <c r="F7" s="3051">
        <v>2150</v>
      </c>
      <c r="G7" s="3051">
        <f>G5</f>
        <v>2120</v>
      </c>
      <c r="H7" s="3072">
        <v>0</v>
      </c>
      <c r="I7" s="3061"/>
    </row>
    <row r="8" spans="2:9" ht="21.95" customHeight="1">
      <c r="B8" s="5654"/>
      <c r="C8" s="3057" t="s">
        <v>2802</v>
      </c>
      <c r="D8" s="3052">
        <f>D7+5%</f>
        <v>0.05</v>
      </c>
      <c r="E8" s="3053">
        <v>2400</v>
      </c>
      <c r="F8" s="3053">
        <v>2400</v>
      </c>
      <c r="G8" s="3053">
        <v>2400</v>
      </c>
      <c r="H8" s="3070">
        <v>0.2</v>
      </c>
      <c r="I8" s="3060"/>
    </row>
    <row r="9" spans="2:9" ht="21.95" customHeight="1">
      <c r="B9" s="5654"/>
      <c r="C9" s="3049">
        <v>2100</v>
      </c>
      <c r="D9" s="3050">
        <v>0</v>
      </c>
      <c r="E9" s="3051"/>
      <c r="F9" s="3051"/>
      <c r="G9" s="3051"/>
      <c r="H9" s="3072"/>
      <c r="I9" s="3060"/>
    </row>
    <row r="10" spans="2:9" ht="21.95" customHeight="1">
      <c r="B10" s="5654"/>
      <c r="C10" s="3058">
        <v>2150</v>
      </c>
      <c r="D10" s="3052">
        <f>D9+5%</f>
        <v>0.05</v>
      </c>
      <c r="E10" s="3056">
        <v>2400</v>
      </c>
      <c r="F10" s="3056">
        <v>2400</v>
      </c>
      <c r="G10" s="3056">
        <v>2400</v>
      </c>
      <c r="H10" s="3071">
        <v>0.2</v>
      </c>
      <c r="I10" s="3062"/>
    </row>
    <row r="11" spans="2:9" ht="21.95" customHeight="1">
      <c r="B11" s="5654"/>
      <c r="C11" s="3058">
        <v>2200</v>
      </c>
      <c r="D11" s="3075">
        <v>0.2</v>
      </c>
      <c r="E11" s="3058"/>
      <c r="F11" s="3058"/>
      <c r="G11" s="3058"/>
      <c r="H11" s="3076"/>
      <c r="I11" s="3062"/>
    </row>
    <row r="12" spans="2:9" ht="21.95" customHeight="1">
      <c r="B12" s="5654"/>
      <c r="C12" s="3058">
        <v>2250</v>
      </c>
      <c r="D12" s="3052">
        <f>D11+5%</f>
        <v>0.25</v>
      </c>
      <c r="E12" s="3056"/>
      <c r="F12" s="3056"/>
      <c r="G12" s="3056"/>
      <c r="H12" s="3071"/>
      <c r="I12" s="3062"/>
    </row>
    <row r="13" spans="2:9" ht="21.95" customHeight="1">
      <c r="B13" s="5654"/>
      <c r="C13" s="3049">
        <v>2300</v>
      </c>
      <c r="D13" s="3050">
        <v>0.3</v>
      </c>
      <c r="E13" s="3051">
        <v>2400</v>
      </c>
      <c r="F13" s="3051">
        <v>2750</v>
      </c>
      <c r="G13" s="3051">
        <v>2750</v>
      </c>
      <c r="H13" s="3072">
        <v>0.5</v>
      </c>
      <c r="I13" s="3060"/>
    </row>
    <row r="14" spans="2:9" ht="21.95" customHeight="1">
      <c r="B14" s="5654"/>
      <c r="C14" s="3057">
        <v>2350</v>
      </c>
      <c r="D14" s="3052">
        <f>D13+5%</f>
        <v>0.35</v>
      </c>
      <c r="E14" s="3053"/>
      <c r="F14" s="3053"/>
      <c r="G14" s="3053"/>
      <c r="H14" s="3070"/>
      <c r="I14" s="3060"/>
    </row>
    <row r="15" spans="2:9" s="94" customFormat="1" ht="21.95" customHeight="1">
      <c r="B15" s="5654"/>
      <c r="C15" s="3054">
        <v>2400</v>
      </c>
      <c r="D15" s="3055">
        <v>0.4</v>
      </c>
      <c r="E15" s="3056">
        <v>2750</v>
      </c>
      <c r="F15" s="3056">
        <v>2750</v>
      </c>
      <c r="G15" s="3056">
        <v>2750</v>
      </c>
      <c r="H15" s="3071">
        <v>0.5</v>
      </c>
      <c r="I15" s="3061"/>
    </row>
    <row r="16" spans="2:9" s="94" customFormat="1" ht="21.95" customHeight="1">
      <c r="B16" s="5654"/>
      <c r="C16" s="3058">
        <v>2450</v>
      </c>
      <c r="D16" s="3052">
        <f>D15+5%</f>
        <v>0.45</v>
      </c>
      <c r="E16" s="3056"/>
      <c r="F16" s="3056"/>
      <c r="G16" s="3056"/>
      <c r="H16" s="3071"/>
      <c r="I16" s="3061"/>
    </row>
    <row r="17" spans="2:9" ht="21.95" customHeight="1">
      <c r="B17" s="5654"/>
      <c r="C17" s="3049">
        <v>2500</v>
      </c>
      <c r="D17" s="3050">
        <v>0.5</v>
      </c>
      <c r="E17" s="3051">
        <v>2750</v>
      </c>
      <c r="F17" s="3051">
        <v>2750</v>
      </c>
      <c r="G17" s="3051">
        <v>2750</v>
      </c>
      <c r="H17" s="3072">
        <v>0.5</v>
      </c>
      <c r="I17" s="3060"/>
    </row>
    <row r="18" spans="2:9" ht="21.95" customHeight="1">
      <c r="B18" s="5654"/>
      <c r="C18" s="3059">
        <v>2550</v>
      </c>
      <c r="D18" s="3052">
        <f>D17+5%</f>
        <v>0.55000000000000004</v>
      </c>
      <c r="E18" s="3051"/>
      <c r="F18" s="3051"/>
      <c r="G18" s="3051"/>
      <c r="H18" s="3072"/>
      <c r="I18" s="3060"/>
    </row>
    <row r="19" spans="2:9" ht="21.95" customHeight="1">
      <c r="B19" s="5654"/>
      <c r="C19" s="3049">
        <v>2600</v>
      </c>
      <c r="D19" s="3055">
        <v>0.55000000000000004</v>
      </c>
      <c r="E19" s="3051"/>
      <c r="F19" s="3051"/>
      <c r="G19" s="3051"/>
      <c r="H19" s="3072"/>
      <c r="I19" s="3060"/>
    </row>
    <row r="20" spans="2:9" ht="21.95" customHeight="1">
      <c r="B20" s="5654"/>
      <c r="C20" s="3058">
        <v>2650</v>
      </c>
      <c r="D20" s="3052">
        <f>D19+5%</f>
        <v>0.60000000000000009</v>
      </c>
      <c r="E20" s="3056">
        <v>3100</v>
      </c>
      <c r="F20" s="3056">
        <v>3150</v>
      </c>
      <c r="G20" s="3056">
        <v>3050</v>
      </c>
      <c r="H20" s="3071">
        <v>0.55000000000000004</v>
      </c>
      <c r="I20" s="3061"/>
    </row>
    <row r="21" spans="2:9" ht="21.95" customHeight="1">
      <c r="B21" s="5654"/>
      <c r="C21" s="3054">
        <v>2700</v>
      </c>
      <c r="D21" s="3055">
        <v>0.6</v>
      </c>
      <c r="E21" s="3056"/>
      <c r="F21" s="3056"/>
      <c r="G21" s="3056"/>
      <c r="H21" s="3071"/>
      <c r="I21" s="3061"/>
    </row>
    <row r="22" spans="2:9" ht="21.95" customHeight="1">
      <c r="B22" s="5654"/>
      <c r="C22" s="3058">
        <v>2750</v>
      </c>
      <c r="D22" s="3052">
        <f>D21+5%</f>
        <v>0.65</v>
      </c>
      <c r="E22" s="3056"/>
      <c r="F22" s="3056"/>
      <c r="G22" s="3056"/>
      <c r="H22" s="3071"/>
      <c r="I22" s="3061"/>
    </row>
    <row r="23" spans="2:9" ht="21.95" customHeight="1">
      <c r="B23" s="5654"/>
      <c r="C23" s="3054">
        <v>2800</v>
      </c>
      <c r="D23" s="3055">
        <v>0.7</v>
      </c>
      <c r="E23" s="3056"/>
      <c r="F23" s="3056"/>
      <c r="G23" s="3056"/>
      <c r="H23" s="3071"/>
      <c r="I23" s="3061"/>
    </row>
    <row r="24" spans="2:9" ht="21.95" customHeight="1">
      <c r="B24" s="5654"/>
      <c r="C24" s="3058">
        <v>2850</v>
      </c>
      <c r="D24" s="3052">
        <f>D23+5%</f>
        <v>0.75</v>
      </c>
      <c r="E24" s="3056"/>
      <c r="F24" s="3056"/>
      <c r="G24" s="3056"/>
      <c r="H24" s="3071"/>
      <c r="I24" s="3061"/>
    </row>
    <row r="25" spans="2:9" ht="21.95" customHeight="1">
      <c r="B25" s="5654"/>
      <c r="C25" s="3054">
        <v>2900</v>
      </c>
      <c r="D25" s="3055">
        <v>0.8</v>
      </c>
      <c r="E25" s="3056"/>
      <c r="F25" s="3056"/>
      <c r="G25" s="3056"/>
      <c r="H25" s="3071"/>
      <c r="I25" s="3061"/>
    </row>
    <row r="26" spans="2:9" ht="21.95" customHeight="1">
      <c r="B26" s="5654"/>
      <c r="C26" s="3058">
        <v>2950</v>
      </c>
      <c r="D26" s="3052">
        <f>D25+5%</f>
        <v>0.85000000000000009</v>
      </c>
      <c r="E26" s="3056"/>
      <c r="F26" s="3056"/>
      <c r="G26" s="3056"/>
      <c r="H26" s="3071"/>
      <c r="I26" s="3061"/>
    </row>
    <row r="27" spans="2:9" ht="21.95" customHeight="1" thickBot="1">
      <c r="B27" s="5655"/>
      <c r="C27" s="3084">
        <v>3000</v>
      </c>
      <c r="D27" s="3086">
        <v>0.9</v>
      </c>
      <c r="E27" s="3087">
        <v>3100</v>
      </c>
      <c r="F27" s="3087">
        <v>3150</v>
      </c>
      <c r="G27" s="3087">
        <v>3050</v>
      </c>
      <c r="H27" s="3088">
        <v>0.55000000000000004</v>
      </c>
      <c r="I27" s="3060"/>
    </row>
    <row r="28" spans="2:9" ht="21.95" customHeight="1">
      <c r="B28" s="5648">
        <v>900</v>
      </c>
      <c r="C28" s="3079" t="str">
        <f>C5</f>
        <v>1500-1800</v>
      </c>
      <c r="D28" s="3055">
        <f>D5+5%</f>
        <v>0.15000000000000002</v>
      </c>
      <c r="E28" s="3080">
        <f>E5</f>
        <v>2120</v>
      </c>
      <c r="F28" s="3080">
        <f>F5</f>
        <v>2150</v>
      </c>
      <c r="G28" s="3080">
        <f>G5</f>
        <v>2120</v>
      </c>
      <c r="H28" s="3081">
        <v>0</v>
      </c>
      <c r="I28" s="3062"/>
    </row>
    <row r="29" spans="2:9" ht="21.95" customHeight="1">
      <c r="B29" s="5649"/>
      <c r="C29" s="3054" t="str">
        <f t="shared" ref="C29:C50" si="0">C6</f>
        <v>1550, 1650, 1750</v>
      </c>
      <c r="D29" s="3055">
        <f t="shared" ref="D29:D50" si="1">D6+5%</f>
        <v>0.2</v>
      </c>
      <c r="E29" s="3065"/>
      <c r="F29" s="3065"/>
      <c r="G29" s="3065"/>
      <c r="H29" s="3082"/>
      <c r="I29" s="3062"/>
    </row>
    <row r="30" spans="2:9" ht="21.95" customHeight="1">
      <c r="B30" s="5649"/>
      <c r="C30" s="3054" t="str">
        <f t="shared" si="0"/>
        <v>1900-2000</v>
      </c>
      <c r="D30" s="3055">
        <f t="shared" si="1"/>
        <v>0.05</v>
      </c>
      <c r="E30" s="3051">
        <f>E7</f>
        <v>2120</v>
      </c>
      <c r="F30" s="3051">
        <f>F7</f>
        <v>2150</v>
      </c>
      <c r="G30" s="3051">
        <f>G7</f>
        <v>2120</v>
      </c>
      <c r="H30" s="3072">
        <v>0</v>
      </c>
      <c r="I30" s="3060"/>
    </row>
    <row r="31" spans="2:9" ht="21.95" customHeight="1">
      <c r="B31" s="5649"/>
      <c r="C31" s="3054" t="str">
        <f t="shared" si="0"/>
        <v>1950, 2050</v>
      </c>
      <c r="D31" s="3055">
        <f t="shared" si="1"/>
        <v>0.1</v>
      </c>
      <c r="E31" s="3051"/>
      <c r="F31" s="3051"/>
      <c r="G31" s="3051"/>
      <c r="H31" s="3072"/>
      <c r="I31" s="3060"/>
    </row>
    <row r="32" spans="2:9" ht="21.95" customHeight="1">
      <c r="B32" s="5649"/>
      <c r="C32" s="3054">
        <f t="shared" si="0"/>
        <v>2100</v>
      </c>
      <c r="D32" s="3055">
        <f t="shared" si="1"/>
        <v>0.05</v>
      </c>
      <c r="E32" s="3056">
        <v>2400</v>
      </c>
      <c r="F32" s="3056">
        <v>2400</v>
      </c>
      <c r="G32" s="3056">
        <v>2400</v>
      </c>
      <c r="H32" s="3071">
        <v>0.2</v>
      </c>
      <c r="I32" s="3061"/>
    </row>
    <row r="33" spans="2:9" ht="21.95" customHeight="1">
      <c r="B33" s="5649"/>
      <c r="C33" s="3054">
        <f t="shared" si="0"/>
        <v>2150</v>
      </c>
      <c r="D33" s="3055">
        <f t="shared" si="1"/>
        <v>0.1</v>
      </c>
      <c r="E33" s="3056"/>
      <c r="F33" s="3056"/>
      <c r="G33" s="3056"/>
      <c r="H33" s="3071"/>
      <c r="I33" s="3061"/>
    </row>
    <row r="34" spans="2:9" ht="21.95" customHeight="1">
      <c r="B34" s="5649"/>
      <c r="C34" s="3054">
        <f t="shared" si="0"/>
        <v>2200</v>
      </c>
      <c r="D34" s="3055">
        <f t="shared" si="1"/>
        <v>0.25</v>
      </c>
      <c r="E34" s="3051">
        <v>2400</v>
      </c>
      <c r="F34" s="3051">
        <v>2400</v>
      </c>
      <c r="G34" s="3051">
        <v>2400</v>
      </c>
      <c r="H34" s="3072">
        <v>0.2</v>
      </c>
      <c r="I34" s="3060"/>
    </row>
    <row r="35" spans="2:9" ht="21.95" customHeight="1">
      <c r="B35" s="5649"/>
      <c r="C35" s="3054">
        <f t="shared" si="0"/>
        <v>2250</v>
      </c>
      <c r="D35" s="3055">
        <f t="shared" si="1"/>
        <v>0.3</v>
      </c>
      <c r="E35" s="3051"/>
      <c r="F35" s="3051"/>
      <c r="G35" s="3051"/>
      <c r="H35" s="3072"/>
      <c r="I35" s="3060"/>
    </row>
    <row r="36" spans="2:9" ht="21.95" customHeight="1">
      <c r="B36" s="5649"/>
      <c r="C36" s="3054">
        <f t="shared" si="0"/>
        <v>2300</v>
      </c>
      <c r="D36" s="3055">
        <f t="shared" si="1"/>
        <v>0.35</v>
      </c>
      <c r="E36" s="3056">
        <v>2400</v>
      </c>
      <c r="F36" s="3056">
        <v>2750</v>
      </c>
      <c r="G36" s="3056">
        <v>2750</v>
      </c>
      <c r="H36" s="3071">
        <v>0.5</v>
      </c>
      <c r="I36" s="3062"/>
    </row>
    <row r="37" spans="2:9" ht="21.95" customHeight="1">
      <c r="B37" s="5649"/>
      <c r="C37" s="3054">
        <f t="shared" si="0"/>
        <v>2350</v>
      </c>
      <c r="D37" s="3055">
        <f t="shared" si="1"/>
        <v>0.39999999999999997</v>
      </c>
      <c r="E37" s="3056"/>
      <c r="F37" s="3056"/>
      <c r="G37" s="3056"/>
      <c r="H37" s="3071"/>
      <c r="I37" s="3062"/>
    </row>
    <row r="38" spans="2:9" ht="21.95" customHeight="1">
      <c r="B38" s="5649"/>
      <c r="C38" s="3054">
        <f t="shared" si="0"/>
        <v>2400</v>
      </c>
      <c r="D38" s="3055">
        <f t="shared" si="1"/>
        <v>0.45</v>
      </c>
      <c r="E38" s="3051">
        <v>2800</v>
      </c>
      <c r="F38" s="3051">
        <v>2750</v>
      </c>
      <c r="G38" s="3051">
        <v>2750</v>
      </c>
      <c r="H38" s="3072">
        <v>0.5</v>
      </c>
      <c r="I38" s="3060"/>
    </row>
    <row r="39" spans="2:9" ht="21.95" customHeight="1">
      <c r="B39" s="5649"/>
      <c r="C39" s="3054">
        <f t="shared" si="0"/>
        <v>2450</v>
      </c>
      <c r="D39" s="3055">
        <f t="shared" si="1"/>
        <v>0.5</v>
      </c>
      <c r="E39" s="3051"/>
      <c r="F39" s="3051"/>
      <c r="G39" s="3051"/>
      <c r="H39" s="3072"/>
      <c r="I39" s="3060"/>
    </row>
    <row r="40" spans="2:9" ht="21.95" customHeight="1">
      <c r="B40" s="5649"/>
      <c r="C40" s="3054">
        <f t="shared" si="0"/>
        <v>2500</v>
      </c>
      <c r="D40" s="3055">
        <f t="shared" si="1"/>
        <v>0.55000000000000004</v>
      </c>
      <c r="E40" s="3056">
        <v>2800</v>
      </c>
      <c r="F40" s="3056">
        <v>2750</v>
      </c>
      <c r="G40" s="3056">
        <v>2750</v>
      </c>
      <c r="H40" s="3071">
        <v>0.5</v>
      </c>
      <c r="I40" s="3061"/>
    </row>
    <row r="41" spans="2:9" ht="21.95" customHeight="1">
      <c r="B41" s="5649"/>
      <c r="C41" s="3054">
        <f t="shared" si="0"/>
        <v>2550</v>
      </c>
      <c r="D41" s="3055">
        <f t="shared" si="1"/>
        <v>0.60000000000000009</v>
      </c>
      <c r="E41" s="3056"/>
      <c r="F41" s="3056"/>
      <c r="G41" s="3056"/>
      <c r="H41" s="3071"/>
      <c r="I41" s="3061"/>
    </row>
    <row r="42" spans="2:9" ht="21.95" customHeight="1">
      <c r="B42" s="5649"/>
      <c r="C42" s="3054">
        <f t="shared" si="0"/>
        <v>2600</v>
      </c>
      <c r="D42" s="3055">
        <f t="shared" si="1"/>
        <v>0.60000000000000009</v>
      </c>
      <c r="E42" s="3051">
        <v>2800</v>
      </c>
      <c r="F42" s="3051">
        <v>3150</v>
      </c>
      <c r="G42" s="3051">
        <v>3050</v>
      </c>
      <c r="H42" s="3072">
        <v>0.55000000000000004</v>
      </c>
      <c r="I42" s="3060"/>
    </row>
    <row r="43" spans="2:9" ht="21.95" customHeight="1">
      <c r="B43" s="5649"/>
      <c r="C43" s="3054">
        <f t="shared" si="0"/>
        <v>2650</v>
      </c>
      <c r="D43" s="3055">
        <f t="shared" si="1"/>
        <v>0.65000000000000013</v>
      </c>
      <c r="E43" s="3051"/>
      <c r="F43" s="3051"/>
      <c r="G43" s="3051"/>
      <c r="H43" s="3072"/>
      <c r="I43" s="3060"/>
    </row>
    <row r="44" spans="2:9" ht="21.95" customHeight="1">
      <c r="B44" s="5649"/>
      <c r="C44" s="3054">
        <f t="shared" si="0"/>
        <v>2700</v>
      </c>
      <c r="D44" s="3055">
        <f t="shared" si="1"/>
        <v>0.65</v>
      </c>
      <c r="E44" s="3051"/>
      <c r="F44" s="3051"/>
      <c r="G44" s="3051"/>
      <c r="H44" s="3072"/>
      <c r="I44" s="3060"/>
    </row>
    <row r="45" spans="2:9" ht="21.95" customHeight="1">
      <c r="B45" s="5649"/>
      <c r="C45" s="3054">
        <f t="shared" si="0"/>
        <v>2750</v>
      </c>
      <c r="D45" s="3055">
        <f t="shared" si="1"/>
        <v>0.70000000000000007</v>
      </c>
      <c r="E45" s="3056">
        <v>3100</v>
      </c>
      <c r="F45" s="3056">
        <v>3150</v>
      </c>
      <c r="G45" s="3056">
        <v>3050</v>
      </c>
      <c r="H45" s="3071">
        <v>0.55000000000000004</v>
      </c>
      <c r="I45" s="3061"/>
    </row>
    <row r="46" spans="2:9" ht="21.95" customHeight="1">
      <c r="B46" s="5649"/>
      <c r="C46" s="3054">
        <f t="shared" si="0"/>
        <v>2800</v>
      </c>
      <c r="D46" s="3055">
        <f t="shared" si="1"/>
        <v>0.75</v>
      </c>
      <c r="E46" s="3051"/>
      <c r="F46" s="3051"/>
      <c r="G46" s="3051"/>
      <c r="H46" s="3072"/>
      <c r="I46" s="3061"/>
    </row>
    <row r="47" spans="2:9" ht="21.95" customHeight="1">
      <c r="B47" s="5649"/>
      <c r="C47" s="3054">
        <f t="shared" si="0"/>
        <v>2850</v>
      </c>
      <c r="D47" s="3055">
        <f t="shared" si="1"/>
        <v>0.8</v>
      </c>
      <c r="E47" s="3051"/>
      <c r="F47" s="3051"/>
      <c r="G47" s="3051"/>
      <c r="H47" s="3072"/>
      <c r="I47" s="3061"/>
    </row>
    <row r="48" spans="2:9" ht="21.95" customHeight="1">
      <c r="B48" s="5649"/>
      <c r="C48" s="3054">
        <f t="shared" si="0"/>
        <v>2900</v>
      </c>
      <c r="D48" s="3055">
        <f t="shared" si="1"/>
        <v>0.85000000000000009</v>
      </c>
      <c r="E48" s="3051"/>
      <c r="F48" s="3051"/>
      <c r="G48" s="3051"/>
      <c r="H48" s="3072"/>
      <c r="I48" s="3061"/>
    </row>
    <row r="49" spans="2:9" ht="21.95" customHeight="1">
      <c r="B49" s="5649"/>
      <c r="C49" s="3054">
        <f t="shared" si="0"/>
        <v>2950</v>
      </c>
      <c r="D49" s="3055">
        <f t="shared" si="1"/>
        <v>0.90000000000000013</v>
      </c>
      <c r="E49" s="3056"/>
      <c r="F49" s="3056"/>
      <c r="G49" s="3056"/>
      <c r="H49" s="3071"/>
      <c r="I49" s="3061"/>
    </row>
    <row r="50" spans="2:9" ht="21.95" customHeight="1" thickBot="1">
      <c r="B50" s="5650"/>
      <c r="C50" s="3083">
        <f t="shared" si="0"/>
        <v>3000</v>
      </c>
      <c r="D50" s="3055">
        <f t="shared" si="1"/>
        <v>0.95000000000000007</v>
      </c>
      <c r="E50" s="3073"/>
      <c r="F50" s="3073"/>
      <c r="G50" s="3073"/>
      <c r="H50" s="3074"/>
      <c r="I50" s="3061"/>
    </row>
    <row r="51" spans="2:9" ht="21.95" customHeight="1">
      <c r="B51" s="5653" t="s">
        <v>2803</v>
      </c>
      <c r="C51" s="3085" t="str">
        <f>C5</f>
        <v>1500-1800</v>
      </c>
      <c r="D51" s="3089">
        <f>D28+5%</f>
        <v>0.2</v>
      </c>
      <c r="E51" s="3090">
        <f>E5</f>
        <v>2120</v>
      </c>
      <c r="F51" s="3090">
        <f>F5</f>
        <v>2150</v>
      </c>
      <c r="G51" s="3090">
        <f>G5</f>
        <v>2120</v>
      </c>
      <c r="H51" s="3091">
        <v>0</v>
      </c>
      <c r="I51" s="3060"/>
    </row>
    <row r="52" spans="2:9" ht="21.95" customHeight="1">
      <c r="B52" s="5654"/>
      <c r="C52" s="3085" t="str">
        <f t="shared" ref="C52:C73" si="2">C6</f>
        <v>1550, 1650, 1750</v>
      </c>
      <c r="D52" s="3089">
        <f t="shared" ref="D52:D73" si="3">D29+5%</f>
        <v>0.25</v>
      </c>
      <c r="E52" s="3051"/>
      <c r="F52" s="3051"/>
      <c r="G52" s="3051"/>
      <c r="H52" s="3072"/>
      <c r="I52" s="3060"/>
    </row>
    <row r="53" spans="2:9" ht="21.95" customHeight="1">
      <c r="B53" s="5654"/>
      <c r="C53" s="3085" t="str">
        <f t="shared" si="2"/>
        <v>1900-2000</v>
      </c>
      <c r="D53" s="3089">
        <f t="shared" si="3"/>
        <v>0.1</v>
      </c>
      <c r="E53" s="3053">
        <f>E7</f>
        <v>2120</v>
      </c>
      <c r="F53" s="3053">
        <f>F7</f>
        <v>2150</v>
      </c>
      <c r="G53" s="3053">
        <f>G7</f>
        <v>2120</v>
      </c>
      <c r="H53" s="3071">
        <v>0</v>
      </c>
      <c r="I53" s="3077"/>
    </row>
    <row r="54" spans="2:9" ht="21.95" customHeight="1">
      <c r="B54" s="5654"/>
      <c r="C54" s="3085" t="str">
        <f t="shared" si="2"/>
        <v>1950, 2050</v>
      </c>
      <c r="D54" s="3089">
        <f t="shared" si="3"/>
        <v>0.15000000000000002</v>
      </c>
      <c r="E54" s="3053"/>
      <c r="F54" s="3053"/>
      <c r="G54" s="3053"/>
      <c r="H54" s="3071"/>
      <c r="I54" s="3077"/>
    </row>
    <row r="55" spans="2:9" ht="21.95" customHeight="1">
      <c r="B55" s="5654"/>
      <c r="C55" s="3085">
        <f t="shared" si="2"/>
        <v>2100</v>
      </c>
      <c r="D55" s="3089">
        <f t="shared" si="3"/>
        <v>0.1</v>
      </c>
      <c r="E55" s="3051">
        <v>2400</v>
      </c>
      <c r="F55" s="3051">
        <v>2400</v>
      </c>
      <c r="G55" s="3051">
        <v>2400</v>
      </c>
      <c r="H55" s="3072">
        <v>0.2</v>
      </c>
      <c r="I55" s="3060"/>
    </row>
    <row r="56" spans="2:9" ht="21.95" customHeight="1">
      <c r="B56" s="5654"/>
      <c r="C56" s="3085">
        <f t="shared" si="2"/>
        <v>2150</v>
      </c>
      <c r="D56" s="3089">
        <f t="shared" si="3"/>
        <v>0.15000000000000002</v>
      </c>
      <c r="E56" s="3051"/>
      <c r="F56" s="3051"/>
      <c r="G56" s="3051"/>
      <c r="H56" s="3072"/>
      <c r="I56" s="3060"/>
    </row>
    <row r="57" spans="2:9" ht="21.95" customHeight="1">
      <c r="B57" s="5654"/>
      <c r="C57" s="3085">
        <f t="shared" si="2"/>
        <v>2200</v>
      </c>
      <c r="D57" s="3089">
        <f t="shared" si="3"/>
        <v>0.3</v>
      </c>
      <c r="E57" s="3056">
        <v>2400</v>
      </c>
      <c r="F57" s="3056">
        <v>2400</v>
      </c>
      <c r="G57" s="3056">
        <v>2400</v>
      </c>
      <c r="H57" s="3071">
        <v>0.2</v>
      </c>
      <c r="I57" s="3061"/>
    </row>
    <row r="58" spans="2:9" ht="21.95" customHeight="1">
      <c r="B58" s="5654"/>
      <c r="C58" s="3085">
        <f t="shared" si="2"/>
        <v>2250</v>
      </c>
      <c r="D58" s="3089">
        <f t="shared" si="3"/>
        <v>0.35</v>
      </c>
      <c r="E58" s="3056"/>
      <c r="F58" s="3056"/>
      <c r="G58" s="3056"/>
      <c r="H58" s="3071"/>
      <c r="I58" s="3061"/>
    </row>
    <row r="59" spans="2:9" ht="21.95" customHeight="1">
      <c r="B59" s="5654"/>
      <c r="C59" s="3085">
        <f t="shared" si="2"/>
        <v>2300</v>
      </c>
      <c r="D59" s="3089">
        <f t="shared" si="3"/>
        <v>0.39999999999999997</v>
      </c>
      <c r="E59" s="3051">
        <v>2400</v>
      </c>
      <c r="F59" s="3051">
        <v>2750</v>
      </c>
      <c r="G59" s="3051">
        <v>2750</v>
      </c>
      <c r="H59" s="3072">
        <v>0.5</v>
      </c>
      <c r="I59" s="3060"/>
    </row>
    <row r="60" spans="2:9" ht="21.95" customHeight="1">
      <c r="B60" s="5654"/>
      <c r="C60" s="3085">
        <f t="shared" si="2"/>
        <v>2350</v>
      </c>
      <c r="D60" s="3089">
        <f t="shared" si="3"/>
        <v>0.44999999999999996</v>
      </c>
      <c r="E60" s="3051"/>
      <c r="F60" s="3051"/>
      <c r="G60" s="3051"/>
      <c r="H60" s="3072"/>
      <c r="I60" s="3060"/>
    </row>
    <row r="61" spans="2:9" ht="21.95" customHeight="1">
      <c r="B61" s="5654"/>
      <c r="C61" s="3085">
        <f t="shared" si="2"/>
        <v>2400</v>
      </c>
      <c r="D61" s="3089">
        <f t="shared" si="3"/>
        <v>0.5</v>
      </c>
      <c r="E61" s="3056">
        <v>2800</v>
      </c>
      <c r="F61" s="3056">
        <v>2750</v>
      </c>
      <c r="G61" s="3056">
        <v>2750</v>
      </c>
      <c r="H61" s="3071">
        <v>0.5</v>
      </c>
      <c r="I61" s="3062"/>
    </row>
    <row r="62" spans="2:9" ht="21.95" customHeight="1">
      <c r="B62" s="5654"/>
      <c r="C62" s="3085">
        <f t="shared" si="2"/>
        <v>2450</v>
      </c>
      <c r="D62" s="3089">
        <f t="shared" si="3"/>
        <v>0.55000000000000004</v>
      </c>
      <c r="E62" s="3056"/>
      <c r="F62" s="3056"/>
      <c r="G62" s="3056"/>
      <c r="H62" s="3071"/>
      <c r="I62" s="3062"/>
    </row>
    <row r="63" spans="2:9" ht="21.95" customHeight="1">
      <c r="B63" s="5654"/>
      <c r="C63" s="3085">
        <f t="shared" si="2"/>
        <v>2500</v>
      </c>
      <c r="D63" s="3089">
        <f t="shared" si="3"/>
        <v>0.60000000000000009</v>
      </c>
      <c r="E63" s="3051">
        <v>2800</v>
      </c>
      <c r="F63" s="3051">
        <v>2750</v>
      </c>
      <c r="G63" s="3051">
        <v>2750</v>
      </c>
      <c r="H63" s="3072">
        <v>0.5</v>
      </c>
      <c r="I63" s="3060"/>
    </row>
    <row r="64" spans="2:9" ht="21.95" customHeight="1">
      <c r="B64" s="5654"/>
      <c r="C64" s="3085">
        <f t="shared" si="2"/>
        <v>2550</v>
      </c>
      <c r="D64" s="3089">
        <f t="shared" si="3"/>
        <v>0.65000000000000013</v>
      </c>
      <c r="E64" s="3051"/>
      <c r="F64" s="3051"/>
      <c r="G64" s="3051"/>
      <c r="H64" s="3072"/>
      <c r="I64" s="3060"/>
    </row>
    <row r="65" spans="2:9" ht="21.95" customHeight="1">
      <c r="B65" s="5654"/>
      <c r="C65" s="3085">
        <f t="shared" si="2"/>
        <v>2600</v>
      </c>
      <c r="D65" s="3089">
        <f t="shared" si="3"/>
        <v>0.65000000000000013</v>
      </c>
      <c r="E65" s="3056">
        <v>2800</v>
      </c>
      <c r="F65" s="3056">
        <v>3150</v>
      </c>
      <c r="G65" s="3056">
        <v>3050</v>
      </c>
      <c r="H65" s="3071">
        <v>0.55000000000000004</v>
      </c>
      <c r="I65" s="3061"/>
    </row>
    <row r="66" spans="2:9" ht="21.95" customHeight="1">
      <c r="B66" s="5654"/>
      <c r="C66" s="3085">
        <f t="shared" si="2"/>
        <v>2650</v>
      </c>
      <c r="D66" s="3089">
        <f t="shared" si="3"/>
        <v>0.70000000000000018</v>
      </c>
      <c r="E66" s="3056"/>
      <c r="F66" s="3056"/>
      <c r="G66" s="3056"/>
      <c r="H66" s="3071"/>
      <c r="I66" s="3061"/>
    </row>
    <row r="67" spans="2:9" ht="21.95" customHeight="1">
      <c r="B67" s="5655"/>
      <c r="C67" s="3085">
        <f t="shared" si="2"/>
        <v>2700</v>
      </c>
      <c r="D67" s="3089">
        <f t="shared" si="3"/>
        <v>0.70000000000000007</v>
      </c>
      <c r="E67" s="3078"/>
      <c r="F67" s="3078"/>
      <c r="G67" s="3078"/>
      <c r="H67" s="3092"/>
      <c r="I67" s="3061"/>
    </row>
    <row r="68" spans="2:9" ht="21.95" customHeight="1">
      <c r="B68" s="5655"/>
      <c r="C68" s="3085">
        <f t="shared" si="2"/>
        <v>2750</v>
      </c>
      <c r="D68" s="3089">
        <f t="shared" si="3"/>
        <v>0.75000000000000011</v>
      </c>
      <c r="E68" s="3078"/>
      <c r="F68" s="3078"/>
      <c r="G68" s="3078"/>
      <c r="H68" s="3092"/>
      <c r="I68" s="3061"/>
    </row>
    <row r="69" spans="2:9" ht="21.95" customHeight="1">
      <c r="B69" s="5655"/>
      <c r="C69" s="3085">
        <f t="shared" si="2"/>
        <v>2800</v>
      </c>
      <c r="D69" s="3089">
        <f t="shared" si="3"/>
        <v>0.8</v>
      </c>
      <c r="E69" s="3078"/>
      <c r="F69" s="3078"/>
      <c r="G69" s="3078"/>
      <c r="H69" s="3092"/>
      <c r="I69" s="3061"/>
    </row>
    <row r="70" spans="2:9" ht="21.95" customHeight="1">
      <c r="B70" s="5655"/>
      <c r="C70" s="3085">
        <f t="shared" si="2"/>
        <v>2850</v>
      </c>
      <c r="D70" s="3089">
        <f t="shared" si="3"/>
        <v>0.85000000000000009</v>
      </c>
      <c r="E70" s="3078"/>
      <c r="F70" s="3078"/>
      <c r="G70" s="3078"/>
      <c r="H70" s="3092"/>
      <c r="I70" s="3061"/>
    </row>
    <row r="71" spans="2:9" ht="21.95" customHeight="1">
      <c r="B71" s="5655"/>
      <c r="C71" s="3085">
        <f t="shared" si="2"/>
        <v>2900</v>
      </c>
      <c r="D71" s="3089">
        <f t="shared" si="3"/>
        <v>0.90000000000000013</v>
      </c>
      <c r="E71" s="3078"/>
      <c r="F71" s="3078"/>
      <c r="G71" s="3078"/>
      <c r="H71" s="3092"/>
      <c r="I71" s="3061"/>
    </row>
    <row r="72" spans="2:9" ht="21.95" customHeight="1">
      <c r="B72" s="5655"/>
      <c r="C72" s="3085">
        <f t="shared" si="2"/>
        <v>2950</v>
      </c>
      <c r="D72" s="3089">
        <f t="shared" si="3"/>
        <v>0.95000000000000018</v>
      </c>
      <c r="E72" s="3078"/>
      <c r="F72" s="3078"/>
      <c r="G72" s="3078"/>
      <c r="H72" s="3092"/>
      <c r="I72" s="3061"/>
    </row>
    <row r="73" spans="2:9" ht="21.95" customHeight="1" thickBot="1">
      <c r="B73" s="5656"/>
      <c r="C73" s="3085">
        <f t="shared" si="2"/>
        <v>3000</v>
      </c>
      <c r="D73" s="3089">
        <f t="shared" si="3"/>
        <v>1</v>
      </c>
      <c r="E73" s="3073">
        <v>3100</v>
      </c>
      <c r="F73" s="3073">
        <v>3150</v>
      </c>
      <c r="G73" s="3073">
        <v>3050</v>
      </c>
      <c r="H73" s="3074">
        <v>0.55000000000000004</v>
      </c>
      <c r="I73" s="3060"/>
    </row>
    <row r="74" spans="2:9" ht="13.5" customHeight="1">
      <c r="B74" s="79"/>
      <c r="C74" s="79"/>
      <c r="D74" s="79"/>
      <c r="E74" s="79"/>
      <c r="F74" s="79"/>
      <c r="G74" s="79"/>
      <c r="H74" s="79"/>
      <c r="I74" s="79"/>
    </row>
    <row r="75" spans="2:9" ht="13.5" customHeight="1">
      <c r="B75" s="79"/>
      <c r="C75" s="79"/>
      <c r="D75" s="79"/>
      <c r="E75" s="79"/>
      <c r="F75" s="79"/>
      <c r="G75" s="79"/>
      <c r="H75" s="79"/>
      <c r="I75" s="79"/>
    </row>
    <row r="76" spans="2:9" ht="13.5" customHeight="1">
      <c r="B76" s="264" t="s">
        <v>135</v>
      </c>
      <c r="C76" s="79"/>
      <c r="D76" s="79"/>
      <c r="E76" s="79"/>
      <c r="F76" s="79"/>
      <c r="G76" s="79"/>
      <c r="H76" s="79"/>
      <c r="I76" s="79"/>
    </row>
    <row r="77" spans="2:9" ht="35.25" customHeight="1">
      <c r="B77" s="5657" t="s">
        <v>27</v>
      </c>
      <c r="C77" s="5657"/>
      <c r="D77" s="5657" t="s">
        <v>112</v>
      </c>
      <c r="E77" s="5657"/>
      <c r="F77" s="708" t="s">
        <v>133</v>
      </c>
      <c r="G77" s="265" t="s">
        <v>29</v>
      </c>
    </row>
    <row r="78" spans="2:9" ht="21.95" customHeight="1">
      <c r="B78" s="5646" t="s">
        <v>178</v>
      </c>
      <c r="C78" s="5646"/>
      <c r="D78" s="5642" t="s">
        <v>136</v>
      </c>
      <c r="E78" s="5642"/>
      <c r="F78" s="709">
        <v>0</v>
      </c>
      <c r="G78" s="262"/>
    </row>
    <row r="79" spans="2:9" ht="21.95" customHeight="1">
      <c r="B79" s="5646"/>
      <c r="C79" s="5646"/>
      <c r="D79" s="5643" t="s">
        <v>137</v>
      </c>
      <c r="E79" s="5643"/>
      <c r="F79" s="710">
        <v>0</v>
      </c>
      <c r="G79" s="263"/>
    </row>
    <row r="80" spans="2:9" ht="21.95" customHeight="1">
      <c r="B80" s="5646"/>
      <c r="C80" s="5646"/>
      <c r="D80" s="5641">
        <v>2000</v>
      </c>
      <c r="E80" s="5642"/>
      <c r="F80" s="709">
        <v>0.3</v>
      </c>
      <c r="G80" s="262" t="s">
        <v>138</v>
      </c>
    </row>
    <row r="81" spans="2:11" ht="21.95" customHeight="1">
      <c r="B81" s="5646"/>
      <c r="C81" s="5646"/>
      <c r="D81" s="5643" t="s">
        <v>139</v>
      </c>
      <c r="E81" s="5643"/>
      <c r="F81" s="710">
        <v>0.4</v>
      </c>
      <c r="G81" s="263" t="s">
        <v>138</v>
      </c>
    </row>
    <row r="82" spans="2:11" ht="21.95" customHeight="1">
      <c r="B82" s="5644" t="s">
        <v>140</v>
      </c>
      <c r="C82" s="5644"/>
      <c r="D82" s="5642" t="s">
        <v>136</v>
      </c>
      <c r="E82" s="5642"/>
      <c r="F82" s="709">
        <v>0</v>
      </c>
      <c r="G82" s="262"/>
    </row>
    <row r="83" spans="2:11" ht="21.95" customHeight="1">
      <c r="B83" s="5644"/>
      <c r="C83" s="5644"/>
      <c r="D83" s="5645" t="s">
        <v>137</v>
      </c>
      <c r="E83" s="5645"/>
      <c r="F83" s="710">
        <v>0</v>
      </c>
      <c r="G83" s="263"/>
    </row>
    <row r="84" spans="2:11" ht="21.95" customHeight="1">
      <c r="B84" s="5644"/>
      <c r="C84" s="5644"/>
      <c r="D84" s="5641">
        <v>2000</v>
      </c>
      <c r="E84" s="5642"/>
      <c r="F84" s="709">
        <v>0.3</v>
      </c>
      <c r="G84" s="262" t="s">
        <v>141</v>
      </c>
    </row>
    <row r="85" spans="2:11" ht="21.95" customHeight="1">
      <c r="B85" s="5644"/>
      <c r="C85" s="5644"/>
      <c r="D85" s="5645" t="s">
        <v>139</v>
      </c>
      <c r="E85" s="5645"/>
      <c r="F85" s="710">
        <v>0.4</v>
      </c>
      <c r="G85" s="263" t="s">
        <v>141</v>
      </c>
    </row>
    <row r="86" spans="2:11" ht="21.95" customHeight="1">
      <c r="B86" s="5646" t="s">
        <v>699</v>
      </c>
      <c r="C86" s="5646"/>
      <c r="D86" s="5642" t="s">
        <v>142</v>
      </c>
      <c r="E86" s="5642"/>
      <c r="F86" s="709">
        <v>0</v>
      </c>
      <c r="G86" s="262"/>
    </row>
    <row r="87" spans="2:11" ht="21.95" customHeight="1">
      <c r="B87" s="5646"/>
      <c r="C87" s="5646"/>
      <c r="D87" s="5645" t="s">
        <v>143</v>
      </c>
      <c r="E87" s="5645"/>
      <c r="F87" s="710">
        <v>0.3</v>
      </c>
      <c r="G87" s="263"/>
    </row>
    <row r="88" spans="2:11" ht="21.95" customHeight="1">
      <c r="B88" s="5646"/>
      <c r="C88" s="5646"/>
      <c r="D88" s="5642" t="s">
        <v>139</v>
      </c>
      <c r="E88" s="5642"/>
      <c r="F88" s="709">
        <v>0.4</v>
      </c>
      <c r="G88" s="262"/>
    </row>
    <row r="89" spans="2:11" ht="15.75">
      <c r="B89" s="269" t="s">
        <v>283</v>
      </c>
      <c r="D89" s="79"/>
      <c r="F89" s="79"/>
      <c r="G89" s="79"/>
      <c r="H89" s="79"/>
      <c r="I89" s="79"/>
    </row>
    <row r="90" spans="2:11" ht="56.25" customHeight="1">
      <c r="C90" s="2315" t="s">
        <v>300</v>
      </c>
      <c r="E90" s="5647" t="s">
        <v>2399</v>
      </c>
      <c r="F90" s="5640"/>
      <c r="G90" s="5640"/>
      <c r="H90" s="105"/>
      <c r="I90" s="105"/>
    </row>
    <row r="91" spans="2:11">
      <c r="B91" s="87"/>
      <c r="D91" s="85"/>
      <c r="E91" s="85"/>
      <c r="F91" s="85"/>
      <c r="G91" s="85"/>
      <c r="H91" s="85"/>
      <c r="I91" s="85"/>
    </row>
    <row r="92" spans="2:11" ht="13.5" customHeight="1">
      <c r="B92" s="5640" t="s">
        <v>2777</v>
      </c>
      <c r="C92" s="5640"/>
      <c r="D92" s="5640"/>
    </row>
    <row r="93" spans="2:11" ht="15">
      <c r="B93" s="589" t="s">
        <v>2770</v>
      </c>
      <c r="C93" s="5527" t="s">
        <v>2771</v>
      </c>
      <c r="D93" s="5639"/>
      <c r="E93" s="5639"/>
      <c r="F93" s="5639"/>
      <c r="G93" s="5639"/>
      <c r="H93" s="5639"/>
      <c r="I93" s="5639"/>
      <c r="J93" s="5639"/>
      <c r="K93" s="5639"/>
    </row>
    <row r="94" spans="2:11" ht="15" customHeight="1">
      <c r="B94" s="2972" t="s">
        <v>2772</v>
      </c>
      <c r="C94" s="2973" t="s">
        <v>860</v>
      </c>
      <c r="D94" s="2973" t="s">
        <v>969</v>
      </c>
      <c r="E94" s="2973" t="s">
        <v>863</v>
      </c>
      <c r="F94" s="2973" t="s">
        <v>2578</v>
      </c>
      <c r="G94" s="2973" t="s">
        <v>840</v>
      </c>
      <c r="H94" s="2973" t="s">
        <v>2773</v>
      </c>
      <c r="I94" s="2973" t="s">
        <v>2774</v>
      </c>
      <c r="J94" s="2973" t="s">
        <v>2775</v>
      </c>
      <c r="K94" s="2973" t="s">
        <v>307</v>
      </c>
    </row>
    <row r="95" spans="2:11">
      <c r="B95" s="2974" t="s">
        <v>860</v>
      </c>
      <c r="C95" s="2975">
        <v>0.15</v>
      </c>
      <c r="D95" s="2975">
        <v>0.15</v>
      </c>
      <c r="E95" s="2975">
        <v>0.15</v>
      </c>
      <c r="F95" s="2975">
        <v>0.15</v>
      </c>
      <c r="G95" s="2975">
        <v>0.15</v>
      </c>
      <c r="H95" s="2975">
        <v>0.15</v>
      </c>
      <c r="I95" s="2975">
        <v>0.15</v>
      </c>
      <c r="J95" s="2975">
        <v>0.15</v>
      </c>
      <c r="K95" s="2975">
        <v>0.15</v>
      </c>
    </row>
    <row r="96" spans="2:11" ht="15" customHeight="1">
      <c r="B96" s="2903" t="s">
        <v>969</v>
      </c>
      <c r="C96" s="2976"/>
      <c r="D96" s="2976">
        <v>0.15</v>
      </c>
      <c r="E96" s="2976">
        <v>0.15</v>
      </c>
      <c r="F96" s="2976">
        <v>0.15</v>
      </c>
      <c r="G96" s="2976">
        <v>0.15</v>
      </c>
      <c r="H96" s="2976">
        <v>0.15</v>
      </c>
      <c r="I96" s="2976">
        <v>0.15</v>
      </c>
      <c r="J96" s="2976">
        <v>0.15</v>
      </c>
      <c r="K96" s="2976">
        <v>0.15</v>
      </c>
    </row>
    <row r="97" spans="2:11">
      <c r="B97" s="2977" t="s">
        <v>863</v>
      </c>
      <c r="C97" s="2392"/>
      <c r="D97" s="2392"/>
      <c r="E97" s="2392">
        <v>0.15</v>
      </c>
      <c r="F97" s="2392">
        <v>0.15</v>
      </c>
      <c r="G97" s="2392">
        <v>0.15</v>
      </c>
      <c r="H97" s="2392">
        <v>0.15</v>
      </c>
      <c r="I97" s="2392">
        <v>0.15</v>
      </c>
      <c r="J97" s="2392">
        <v>0.15</v>
      </c>
      <c r="K97" s="2392">
        <v>0.15</v>
      </c>
    </row>
    <row r="98" spans="2:11" ht="19.5" customHeight="1">
      <c r="B98" s="2978" t="s">
        <v>2578</v>
      </c>
      <c r="C98" s="2979"/>
      <c r="D98" s="2979"/>
      <c r="E98" s="2979"/>
      <c r="F98" s="2979">
        <v>0.15</v>
      </c>
      <c r="G98" s="2389">
        <v>0.2</v>
      </c>
      <c r="H98" s="2389">
        <v>0.2</v>
      </c>
      <c r="I98" s="2389">
        <v>0.2</v>
      </c>
      <c r="J98" s="2389">
        <v>0.2</v>
      </c>
      <c r="K98" s="2389">
        <v>0.2</v>
      </c>
    </row>
    <row r="99" spans="2:11">
      <c r="B99" s="2977" t="s">
        <v>840</v>
      </c>
      <c r="C99" s="2392"/>
      <c r="D99" s="2392"/>
      <c r="E99" s="2392"/>
      <c r="F99" s="2392"/>
      <c r="G99" s="2392">
        <v>0.15</v>
      </c>
      <c r="H99" s="2392">
        <v>0.2</v>
      </c>
      <c r="I99" s="2392">
        <v>0.2</v>
      </c>
      <c r="J99" s="2392">
        <v>0.2</v>
      </c>
      <c r="K99" s="2392">
        <v>0.2</v>
      </c>
    </row>
    <row r="100" spans="2:11" ht="13.35" customHeight="1">
      <c r="B100" s="2980" t="s">
        <v>2773</v>
      </c>
      <c r="C100" s="2389"/>
      <c r="D100" s="2979"/>
      <c r="E100" s="2389"/>
      <c r="F100" s="2979"/>
      <c r="G100" s="2981"/>
      <c r="H100" s="2979">
        <v>0.15</v>
      </c>
      <c r="I100" s="2979">
        <v>0.3</v>
      </c>
      <c r="J100" s="2979">
        <v>0.3</v>
      </c>
      <c r="K100" s="2979">
        <v>0.3</v>
      </c>
    </row>
    <row r="101" spans="2:11">
      <c r="B101" s="2977" t="s">
        <v>2776</v>
      </c>
      <c r="C101" s="2392"/>
      <c r="D101" s="2392"/>
      <c r="E101" s="2392"/>
      <c r="F101" s="2392"/>
      <c r="G101" s="2392"/>
      <c r="H101" s="2392"/>
      <c r="I101" s="2392">
        <v>0.15</v>
      </c>
      <c r="J101" s="2392">
        <v>0.3</v>
      </c>
      <c r="K101" s="2392">
        <v>0.3</v>
      </c>
    </row>
    <row r="102" spans="2:11" ht="15">
      <c r="B102" s="2982" t="s">
        <v>2775</v>
      </c>
      <c r="C102" s="2389"/>
      <c r="D102" s="2979"/>
      <c r="E102" s="2979"/>
      <c r="F102" s="2979"/>
      <c r="G102" s="2981"/>
      <c r="H102" s="2983"/>
      <c r="I102" s="2983"/>
      <c r="J102" s="2979">
        <v>0.15</v>
      </c>
      <c r="K102" s="2979">
        <v>0.3</v>
      </c>
    </row>
    <row r="103" spans="2:11" ht="15" customHeight="1">
      <c r="B103" s="2977" t="s">
        <v>307</v>
      </c>
      <c r="C103" s="2392"/>
      <c r="D103" s="2392"/>
      <c r="E103" s="2392"/>
      <c r="F103" s="2392"/>
      <c r="G103" s="2392"/>
      <c r="H103" s="2392"/>
      <c r="I103" s="2392"/>
      <c r="J103" s="2392"/>
      <c r="K103" s="2392">
        <v>0.15</v>
      </c>
    </row>
    <row r="104" spans="2:11" s="85" customFormat="1" ht="15" customHeight="1">
      <c r="B104" s="2904"/>
      <c r="C104" s="2985"/>
      <c r="D104" s="2985"/>
      <c r="E104" s="2985"/>
      <c r="F104" s="2985"/>
      <c r="G104" s="2985"/>
      <c r="H104" s="2985"/>
      <c r="I104" s="2985"/>
      <c r="J104" s="2985"/>
      <c r="K104" s="2985"/>
    </row>
    <row r="105" spans="2:11" ht="13.35" customHeight="1">
      <c r="B105" s="530" t="s">
        <v>320</v>
      </c>
    </row>
    <row r="106" spans="2:11" ht="15">
      <c r="B106" s="1971">
        <v>0</v>
      </c>
      <c r="C106" s="1974" t="s">
        <v>2591</v>
      </c>
    </row>
    <row r="107" spans="2:11" ht="15" customHeight="1">
      <c r="B107" s="1213">
        <v>1</v>
      </c>
      <c r="C107" s="1214" t="s">
        <v>1499</v>
      </c>
    </row>
    <row r="108" spans="2:11" ht="15">
      <c r="B108" s="1215" t="s">
        <v>1502</v>
      </c>
      <c r="C108" s="319" t="s">
        <v>1500</v>
      </c>
    </row>
    <row r="109" spans="2:11" ht="13.35" customHeight="1">
      <c r="B109" s="1215" t="s">
        <v>1503</v>
      </c>
      <c r="C109" s="319" t="s">
        <v>1501</v>
      </c>
    </row>
    <row r="110" spans="2:11" ht="15" customHeight="1">
      <c r="B110" s="1215" t="s">
        <v>1504</v>
      </c>
      <c r="C110" s="319" t="s">
        <v>2500</v>
      </c>
    </row>
    <row r="111" spans="2:11" ht="15">
      <c r="B111" s="1216">
        <v>2</v>
      </c>
      <c r="C111" s="1217" t="s">
        <v>1505</v>
      </c>
    </row>
    <row r="112" spans="2:11" ht="15" customHeight="1">
      <c r="B112" s="1216">
        <v>3</v>
      </c>
      <c r="C112" s="1217" t="s">
        <v>2515</v>
      </c>
    </row>
    <row r="113" spans="2:3" ht="15" customHeight="1">
      <c r="B113" s="1216">
        <v>5</v>
      </c>
      <c r="C113" s="426" t="s">
        <v>1506</v>
      </c>
    </row>
    <row r="114" spans="2:3" ht="21" customHeight="1">
      <c r="B114" s="1216">
        <v>6</v>
      </c>
      <c r="C114" s="426" t="s">
        <v>1508</v>
      </c>
    </row>
    <row r="115" spans="2:3" ht="15">
      <c r="B115" s="1216">
        <v>7</v>
      </c>
      <c r="C115" s="2984" t="s">
        <v>1507</v>
      </c>
    </row>
    <row r="116" spans="2:3" ht="13.35" customHeight="1"/>
    <row r="118" spans="2:3" ht="13.35" customHeight="1"/>
    <row r="120" spans="2:3" ht="13.35" customHeight="1"/>
    <row r="121" spans="2:3" ht="13.35" customHeight="1"/>
    <row r="122" spans="2:3" ht="13.35" customHeight="1"/>
    <row r="123" spans="2:3" ht="15" customHeight="1"/>
    <row r="124" spans="2:3" ht="13.35" customHeight="1"/>
    <row r="126" spans="2:3" ht="13.35" customHeight="1"/>
    <row r="128" spans="2:3" ht="15" customHeight="1"/>
    <row r="129" ht="22.5" customHeight="1"/>
    <row r="131" ht="13.35" customHeight="1"/>
    <row r="133" ht="13.35" customHeight="1"/>
    <row r="135" ht="13.35" customHeight="1"/>
    <row r="136" ht="13.35" customHeight="1"/>
    <row r="137" ht="13.35" customHeight="1"/>
    <row r="138" ht="13.35" customHeight="1"/>
    <row r="139" ht="13.35" customHeight="1"/>
    <row r="140" ht="13.35" customHeight="1"/>
    <row r="141" ht="13.35" customHeight="1"/>
    <row r="144" ht="15" customHeight="1"/>
    <row r="145" ht="20.25" customHeight="1"/>
    <row r="147" ht="13.35" customHeight="1"/>
    <row r="149" ht="13.35" customHeight="1"/>
    <row r="151" ht="13.35" customHeight="1"/>
    <row r="152" ht="13.35" customHeight="1"/>
    <row r="153" ht="13.35" customHeight="1"/>
    <row r="154" ht="13.35" customHeight="1"/>
    <row r="155" ht="13.35" customHeight="1"/>
    <row r="157" ht="13.35" customHeight="1"/>
    <row r="158" ht="15" customHeight="1"/>
    <row r="161" ht="19.5" customHeight="1"/>
    <row r="163" ht="13.35" customHeight="1"/>
    <row r="165" ht="13.35" customHeight="1"/>
    <row r="166" ht="14.1" customHeight="1"/>
    <row r="167" ht="13.35" customHeight="1"/>
    <row r="168" ht="13.35" customHeight="1"/>
    <row r="169" ht="13.35" customHeight="1"/>
    <row r="170" ht="13.35" customHeight="1"/>
    <row r="171" ht="13.35" customHeight="1"/>
    <row r="173" ht="13.35" customHeight="1"/>
    <row r="177" ht="22.5" customHeight="1"/>
    <row r="179" ht="13.35" customHeight="1"/>
    <row r="180" ht="15" customHeight="1"/>
    <row r="181" ht="13.35" customHeight="1"/>
    <row r="182" ht="13.35" customHeight="1"/>
    <row r="183" ht="13.35" customHeight="1"/>
    <row r="184" ht="13.35" customHeight="1"/>
    <row r="185" ht="13.35" customHeight="1"/>
    <row r="186" ht="15" customHeight="1"/>
    <row r="187" ht="13.35" customHeight="1"/>
    <row r="188" ht="15" customHeight="1"/>
    <row r="189" ht="15" customHeight="1"/>
    <row r="190" ht="22.5" customHeight="1"/>
    <row r="192" ht="13.35" customHeight="1"/>
    <row r="194" ht="13.35" customHeight="1"/>
    <row r="195" ht="14.1" customHeight="1"/>
    <row r="196" ht="13.35" customHeight="1"/>
    <row r="197" ht="13.35" customHeight="1"/>
    <row r="198" ht="13.35" customHeight="1"/>
    <row r="199" ht="13.35" customHeight="1"/>
    <row r="200" ht="13.35" customHeight="1"/>
    <row r="202" ht="13.35" customHeight="1"/>
    <row r="203" ht="22.5" customHeight="1"/>
    <row r="204" ht="15" customHeight="1"/>
    <row r="207" ht="13.35" customHeight="1"/>
    <row r="209" ht="24.75" customHeight="1"/>
    <row r="211" ht="13.35" customHeight="1"/>
    <row r="212" ht="15" customHeight="1"/>
    <row r="215" ht="13.35" customHeight="1"/>
    <row r="218" ht="15" customHeight="1"/>
    <row r="220" ht="21" customHeight="1"/>
    <row r="222" ht="13.35" customHeight="1"/>
    <row r="224" ht="13.35" customHeight="1"/>
    <row r="225" ht="16.350000000000001" customHeight="1"/>
    <row r="226" ht="16.350000000000001" customHeight="1"/>
    <row r="227" ht="13.35" customHeight="1"/>
    <row r="228" ht="13.35" customHeight="1"/>
    <row r="229" ht="23.45" customHeight="1"/>
    <row r="230" ht="25.35" customHeight="1"/>
    <row r="231" ht="13.35" customHeight="1"/>
    <row r="232" ht="13.35" customHeight="1"/>
    <row r="233" ht="15" customHeight="1"/>
    <row r="236" ht="15" customHeight="1"/>
    <row r="237" ht="21.75" customHeight="1"/>
    <row r="239" ht="13.35" customHeight="1"/>
    <row r="241" ht="13.35" customHeight="1"/>
    <row r="242" ht="13.35" customHeight="1"/>
    <row r="243" ht="13.35" customHeight="1"/>
    <row r="244" ht="13.35" customHeight="1"/>
    <row r="245" ht="13.35" customHeight="1"/>
    <row r="246" ht="13.35" customHeight="1"/>
    <row r="247" ht="13.35" customHeight="1"/>
    <row r="248" ht="13.35" customHeight="1"/>
    <row r="249" ht="13.35" customHeight="1"/>
    <row r="252" ht="15" customHeight="1"/>
    <row r="255" ht="23.25" customHeight="1"/>
    <row r="257" ht="13.35" customHeight="1"/>
    <row r="259" ht="13.35" customHeight="1"/>
    <row r="260" ht="13.35" customHeight="1"/>
    <row r="261" ht="13.35" customHeight="1"/>
    <row r="262" ht="13.35" customHeight="1"/>
    <row r="263" ht="13.35" customHeight="1"/>
    <row r="264" ht="13.35" customHeight="1"/>
    <row r="265" ht="13.35" customHeight="1"/>
    <row r="268" ht="15" customHeight="1"/>
    <row r="269" ht="21" customHeight="1"/>
    <row r="271" ht="13.35" customHeight="1"/>
    <row r="273" ht="13.35" customHeight="1"/>
    <row r="274" ht="13.35" customHeight="1"/>
    <row r="275" ht="13.35" customHeight="1"/>
    <row r="276" ht="13.35" customHeight="1"/>
    <row r="277" ht="13.35" customHeight="1"/>
    <row r="278" ht="13.35" customHeight="1"/>
    <row r="279" ht="13.35" customHeight="1"/>
    <row r="280" ht="13.35" customHeight="1"/>
    <row r="281" ht="13.35" customHeight="1"/>
    <row r="282" ht="15" customHeight="1"/>
    <row r="283" ht="15" customHeight="1"/>
    <row r="285" ht="15" customHeight="1"/>
    <row r="288" ht="15" customHeight="1"/>
    <row r="295" ht="15" customHeight="1"/>
    <row r="297" ht="15" customHeight="1"/>
    <row r="299" ht="15" customHeight="1"/>
    <row r="300" ht="24.75" customHeight="1"/>
    <row r="301" ht="15" customHeight="1"/>
    <row r="303" ht="13.35" customHeight="1"/>
    <row r="305" ht="13.35" customHeight="1"/>
    <row r="307" ht="13.35" customHeight="1"/>
    <row r="308" ht="29.25" customHeight="1"/>
    <row r="309" ht="13.35" customHeight="1"/>
    <row r="311" ht="13.35" customHeight="1"/>
    <row r="313" ht="13.35" customHeight="1"/>
    <row r="320" ht="20.25" customHeight="1"/>
    <row r="322" ht="25.5" customHeight="1"/>
    <row r="323" ht="17.100000000000001" customHeight="1"/>
    <row r="324" ht="24.75" customHeight="1"/>
    <row r="325" ht="17.100000000000001" customHeight="1"/>
    <row r="326" ht="24.75" customHeight="1"/>
    <row r="327" ht="17.100000000000001" customHeight="1"/>
    <row r="328" ht="24" customHeight="1"/>
    <row r="329" ht="17.100000000000001" customHeight="1"/>
    <row r="330" ht="17.100000000000001" customHeight="1"/>
    <row r="331" ht="17.100000000000001" customHeight="1"/>
    <row r="332" ht="22.5" customHeight="1"/>
    <row r="333" ht="23.25" customHeight="1"/>
  </sheetData>
  <mergeCells count="28">
    <mergeCell ref="D88:E88"/>
    <mergeCell ref="B28:B50"/>
    <mergeCell ref="H3:I3"/>
    <mergeCell ref="B51:B73"/>
    <mergeCell ref="B77:C77"/>
    <mergeCell ref="D77:E77"/>
    <mergeCell ref="B5:B27"/>
    <mergeCell ref="B3:B4"/>
    <mergeCell ref="C3:C4"/>
    <mergeCell ref="E3:E4"/>
    <mergeCell ref="F3:F4"/>
    <mergeCell ref="G3:G4"/>
    <mergeCell ref="C93:K93"/>
    <mergeCell ref="B92:D92"/>
    <mergeCell ref="D80:E80"/>
    <mergeCell ref="D81:E81"/>
    <mergeCell ref="B82:C85"/>
    <mergeCell ref="D82:E82"/>
    <mergeCell ref="D83:E83"/>
    <mergeCell ref="D84:E84"/>
    <mergeCell ref="B78:C81"/>
    <mergeCell ref="D78:E78"/>
    <mergeCell ref="D79:E79"/>
    <mergeCell ref="D85:E85"/>
    <mergeCell ref="E90:G90"/>
    <mergeCell ref="B86:C88"/>
    <mergeCell ref="D86:E86"/>
    <mergeCell ref="D87:E87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33" firstPageNumber="63" orientation="landscape" useFirstPageNumber="1" r:id="rId1"/>
  <headerFooter>
    <oddFooter>&amp;L&amp;P&amp;R&amp;24&amp;G</oddFooter>
  </headerFooter>
  <rowBreaks count="2" manualBreakCount="2">
    <brk id="74" max="7" man="1"/>
    <brk id="91" max="7" man="1"/>
  </rowBreaks>
  <legacyDrawingHF r:id="rId2"/>
</worksheet>
</file>

<file path=xl/worksheets/sheet65.xml><?xml version="1.0" encoding="utf-8"?>
<worksheet xmlns="http://schemas.openxmlformats.org/spreadsheetml/2006/main" xmlns:r="http://schemas.openxmlformats.org/officeDocument/2006/relationships">
  <dimension ref="A1:P299"/>
  <sheetViews>
    <sheetView view="pageBreakPreview" zoomScale="70" zoomScaleNormal="85" zoomScaleSheetLayoutView="70" zoomScalePageLayoutView="70" workbookViewId="0">
      <pane ySplit="4" topLeftCell="A5" activePane="bottomLeft" state="frozen"/>
      <selection pane="bottomLeft" activeCell="B1" sqref="B1"/>
    </sheetView>
  </sheetViews>
  <sheetFormatPr defaultColWidth="9.140625" defaultRowHeight="12.75"/>
  <cols>
    <col min="1" max="1" width="3.7109375" style="81" customWidth="1"/>
    <col min="2" max="2" width="25.85546875" style="81" customWidth="1"/>
    <col min="3" max="3" width="27.7109375" style="81" customWidth="1"/>
    <col min="4" max="4" width="24.42578125" style="81" customWidth="1"/>
    <col min="5" max="5" width="3.7109375" style="81" customWidth="1"/>
    <col min="6" max="6" width="34.7109375" style="81" customWidth="1"/>
    <col min="7" max="7" width="31.85546875" style="81" customWidth="1"/>
    <col min="8" max="8" width="24.28515625" style="81" customWidth="1"/>
    <col min="9" max="9" width="21.7109375" style="81" customWidth="1"/>
    <col min="10" max="10" width="34.7109375" style="81" customWidth="1"/>
    <col min="11" max="11" width="14.28515625" style="81" customWidth="1"/>
    <col min="12" max="16384" width="9.140625" style="81"/>
  </cols>
  <sheetData>
    <row r="1" spans="2:16" s="2286" customFormat="1" ht="18" customHeight="1">
      <c r="B1" s="2285" t="s">
        <v>490</v>
      </c>
      <c r="C1" s="2287"/>
      <c r="D1" s="2287"/>
      <c r="E1" s="2287"/>
      <c r="F1" s="2287"/>
      <c r="G1" s="2287"/>
      <c r="H1" s="2287"/>
      <c r="J1" s="2287"/>
    </row>
    <row r="2" spans="2:16" s="94" customFormat="1" ht="15" customHeight="1">
      <c r="B2" s="264" t="s">
        <v>129</v>
      </c>
      <c r="C2" s="108"/>
      <c r="D2" s="540"/>
      <c r="E2" s="540"/>
      <c r="F2" s="108"/>
      <c r="G2" s="108"/>
      <c r="H2" s="108"/>
      <c r="I2" s="1181"/>
      <c r="J2" s="108"/>
    </row>
    <row r="3" spans="2:16" ht="64.5" customHeight="1">
      <c r="B3" s="5659" t="s">
        <v>42</v>
      </c>
      <c r="C3" s="5661" t="s">
        <v>41</v>
      </c>
      <c r="D3" s="3206" t="s">
        <v>131</v>
      </c>
      <c r="E3" s="540"/>
      <c r="F3" s="5663" t="s">
        <v>2825</v>
      </c>
      <c r="G3" s="3203" t="s">
        <v>1197</v>
      </c>
      <c r="H3" s="5702" t="s">
        <v>2850</v>
      </c>
      <c r="I3" s="5702"/>
      <c r="J3" s="3118"/>
    </row>
    <row r="4" spans="2:16" ht="69" customHeight="1" thickBot="1">
      <c r="B4" s="5660"/>
      <c r="C4" s="5662"/>
      <c r="D4" s="3063" t="s">
        <v>132</v>
      </c>
      <c r="E4" s="540"/>
      <c r="F4" s="5664"/>
      <c r="G4" s="3153" t="s">
        <v>133</v>
      </c>
      <c r="H4" s="3209" t="s">
        <v>2849</v>
      </c>
      <c r="I4" s="3209" t="s">
        <v>3005</v>
      </c>
      <c r="J4" s="3005"/>
    </row>
    <row r="5" spans="2:16" ht="38.25" customHeight="1">
      <c r="B5" s="5703" t="s">
        <v>741</v>
      </c>
      <c r="C5" s="3100" t="s">
        <v>2832</v>
      </c>
      <c r="D5" s="3067">
        <v>0.1</v>
      </c>
      <c r="E5" s="540"/>
      <c r="F5" s="3068">
        <v>2120</v>
      </c>
      <c r="G5" s="3154">
        <v>0</v>
      </c>
      <c r="H5" s="3207"/>
      <c r="I5" s="3208"/>
    </row>
    <row r="6" spans="2:16" ht="21.95" customHeight="1">
      <c r="B6" s="5704"/>
      <c r="C6" s="3101" t="s">
        <v>2833</v>
      </c>
      <c r="D6" s="3146">
        <v>0</v>
      </c>
      <c r="E6" s="540"/>
      <c r="F6" s="3147">
        <f>F5</f>
        <v>2120</v>
      </c>
      <c r="G6" s="3155">
        <v>0</v>
      </c>
      <c r="H6" s="3192"/>
      <c r="I6" s="3102"/>
      <c r="J6" s="3120"/>
    </row>
    <row r="7" spans="2:16" ht="21.95" customHeight="1">
      <c r="B7" s="5704"/>
      <c r="C7" s="3103" t="s">
        <v>2834</v>
      </c>
      <c r="D7" s="3149">
        <v>0</v>
      </c>
      <c r="E7" s="540"/>
      <c r="F7" s="3150">
        <v>2400</v>
      </c>
      <c r="G7" s="3156">
        <v>0.1</v>
      </c>
      <c r="H7" s="3192"/>
      <c r="I7" s="3102"/>
      <c r="J7" s="3120"/>
    </row>
    <row r="8" spans="2:16" ht="21.95" customHeight="1">
      <c r="B8" s="5704"/>
      <c r="C8" s="3101" t="s">
        <v>2835</v>
      </c>
      <c r="D8" s="3146">
        <v>0.2</v>
      </c>
      <c r="E8" s="540"/>
      <c r="F8" s="3147">
        <v>2400</v>
      </c>
      <c r="G8" s="3156">
        <v>0.1</v>
      </c>
      <c r="H8" s="3192"/>
      <c r="I8" s="3102"/>
      <c r="J8" s="3120"/>
      <c r="N8" s="3198"/>
      <c r="O8" s="3205"/>
    </row>
    <row r="9" spans="2:16" ht="21.95" customHeight="1">
      <c r="B9" s="5704"/>
      <c r="C9" s="3103" t="s">
        <v>2836</v>
      </c>
      <c r="D9" s="3149">
        <v>0.3</v>
      </c>
      <c r="E9" s="540"/>
      <c r="F9" s="3150">
        <v>2700</v>
      </c>
      <c r="G9" s="3156">
        <v>0.3</v>
      </c>
      <c r="H9" s="3202">
        <f>G9-G8</f>
        <v>0.19999999999999998</v>
      </c>
      <c r="I9" s="3102"/>
      <c r="J9" s="3120"/>
      <c r="M9" s="3198"/>
      <c r="N9" s="3198"/>
      <c r="O9" s="3205"/>
      <c r="P9" s="3198"/>
    </row>
    <row r="10" spans="2:16" s="94" customFormat="1" ht="21.95" customHeight="1">
      <c r="B10" s="5704"/>
      <c r="C10" s="3101" t="s">
        <v>2837</v>
      </c>
      <c r="D10" s="3146">
        <v>0.4</v>
      </c>
      <c r="E10" s="540"/>
      <c r="F10" s="3147">
        <v>2700</v>
      </c>
      <c r="G10" s="3157">
        <v>0.3</v>
      </c>
      <c r="H10" s="3192">
        <f>G10-G8</f>
        <v>0.19999999999999998</v>
      </c>
      <c r="I10" s="3102"/>
      <c r="J10" s="3120"/>
      <c r="K10" s="3193"/>
      <c r="M10" s="3204"/>
      <c r="N10" s="3204"/>
      <c r="O10" s="3205"/>
    </row>
    <row r="11" spans="2:16" ht="21.95" customHeight="1">
      <c r="B11" s="5704"/>
      <c r="C11" s="3103" t="s">
        <v>2838</v>
      </c>
      <c r="D11" s="3149">
        <v>0.5</v>
      </c>
      <c r="E11" s="540"/>
      <c r="F11" s="3150">
        <v>2700</v>
      </c>
      <c r="G11" s="3156">
        <v>0.3</v>
      </c>
      <c r="H11" s="3192">
        <f>H10</f>
        <v>0.19999999999999998</v>
      </c>
      <c r="I11" s="3102"/>
      <c r="J11" s="3120"/>
      <c r="K11" s="3193"/>
    </row>
    <row r="12" spans="2:16" ht="21.95" customHeight="1">
      <c r="B12" s="5704"/>
      <c r="C12" s="3101" t="s">
        <v>2839</v>
      </c>
      <c r="D12" s="3146">
        <v>0.55000000000000004</v>
      </c>
      <c r="E12" s="540"/>
      <c r="F12" s="3147">
        <v>3000</v>
      </c>
      <c r="G12" s="3155">
        <v>0.5</v>
      </c>
      <c r="H12" s="3192">
        <f>G12-G8</f>
        <v>0.4</v>
      </c>
      <c r="I12" s="3102">
        <f>G12-G10</f>
        <v>0.2</v>
      </c>
      <c r="J12" s="3120"/>
      <c r="K12" s="3193"/>
    </row>
    <row r="13" spans="2:16" ht="21.95" customHeight="1">
      <c r="B13" s="5704"/>
      <c r="C13" s="3103" t="s">
        <v>2840</v>
      </c>
      <c r="D13" s="3149">
        <v>0.6</v>
      </c>
      <c r="E13" s="540"/>
      <c r="F13" s="3150">
        <v>3000</v>
      </c>
      <c r="G13" s="3156">
        <v>0.5</v>
      </c>
      <c r="H13" s="3192">
        <f>G13-G8</f>
        <v>0.4</v>
      </c>
      <c r="I13" s="3102">
        <f>G13-G9</f>
        <v>0.2</v>
      </c>
      <c r="J13" s="3120"/>
      <c r="K13" s="3193"/>
    </row>
    <row r="14" spans="2:16" ht="21.95" customHeight="1">
      <c r="B14" s="5704"/>
      <c r="C14" s="3101" t="s">
        <v>2841</v>
      </c>
      <c r="D14" s="3146">
        <v>0.7</v>
      </c>
      <c r="E14" s="540"/>
      <c r="F14" s="3147">
        <v>3000</v>
      </c>
      <c r="G14" s="3157">
        <v>0.5</v>
      </c>
      <c r="H14" s="3192">
        <f>H13</f>
        <v>0.4</v>
      </c>
      <c r="I14" s="3102">
        <f>I13</f>
        <v>0.2</v>
      </c>
      <c r="J14" s="3120"/>
      <c r="K14" s="3193"/>
    </row>
    <row r="15" spans="2:16" ht="21.75" customHeight="1">
      <c r="B15" s="5704"/>
      <c r="C15" s="3103" t="s">
        <v>2842</v>
      </c>
      <c r="D15" s="3149">
        <v>0.8</v>
      </c>
      <c r="E15" s="540"/>
      <c r="F15" s="3150">
        <v>3150</v>
      </c>
      <c r="G15" s="3156">
        <v>0.7</v>
      </c>
      <c r="H15" s="3192">
        <f>G15-G8</f>
        <v>0.6</v>
      </c>
      <c r="I15" s="3102">
        <f>G15-G11</f>
        <v>0.39999999999999997</v>
      </c>
      <c r="J15" s="3120"/>
      <c r="K15" s="3193"/>
    </row>
    <row r="16" spans="2:16" ht="21.95" customHeight="1" thickBot="1">
      <c r="B16" s="5705"/>
      <c r="C16" s="3104" t="s">
        <v>2843</v>
      </c>
      <c r="D16" s="3095">
        <v>0.9</v>
      </c>
      <c r="E16" s="540"/>
      <c r="F16" s="3096">
        <v>3150</v>
      </c>
      <c r="G16" s="3158">
        <v>0.7</v>
      </c>
      <c r="H16" s="3201">
        <v>0.6</v>
      </c>
      <c r="I16" s="3097">
        <f>G16-G11</f>
        <v>0.39999999999999997</v>
      </c>
      <c r="J16" s="3120"/>
      <c r="K16" s="3193"/>
    </row>
    <row r="17" spans="2:13" ht="35.25" customHeight="1">
      <c r="B17" s="5648">
        <v>900</v>
      </c>
      <c r="C17" s="3066" t="str">
        <f t="shared" ref="C17:C26" si="0">C5</f>
        <v xml:space="preserve">до 1850
</v>
      </c>
      <c r="D17" s="3067">
        <f t="shared" ref="D17:D26" si="1">D5+5%</f>
        <v>0.15000000000000002</v>
      </c>
      <c r="E17" s="540"/>
      <c r="F17" s="3068">
        <f>F5</f>
        <v>2120</v>
      </c>
      <c r="G17" s="3154">
        <f>G5</f>
        <v>0</v>
      </c>
      <c r="H17" s="3199"/>
      <c r="I17" s="3200"/>
      <c r="J17" s="3120"/>
    </row>
    <row r="18" spans="2:13" ht="21.95" customHeight="1">
      <c r="B18" s="5649"/>
      <c r="C18" s="3159" t="str">
        <f t="shared" si="0"/>
        <v>до 2000</v>
      </c>
      <c r="D18" s="3146">
        <f t="shared" si="1"/>
        <v>0.05</v>
      </c>
      <c r="E18" s="540"/>
      <c r="F18" s="3147">
        <f>F6</f>
        <v>2120</v>
      </c>
      <c r="G18" s="3155">
        <f>G6</f>
        <v>0</v>
      </c>
      <c r="H18" s="3192"/>
      <c r="I18" s="3102"/>
      <c r="J18" s="3119"/>
    </row>
    <row r="19" spans="2:13" ht="21.95" customHeight="1">
      <c r="B19" s="5649"/>
      <c r="C19" s="3160" t="str">
        <f t="shared" si="0"/>
        <v>до 2100</v>
      </c>
      <c r="D19" s="3149">
        <f t="shared" si="1"/>
        <v>0.05</v>
      </c>
      <c r="E19" s="540"/>
      <c r="F19" s="3150">
        <f t="shared" ref="F19:G26" si="2">F7</f>
        <v>2400</v>
      </c>
      <c r="G19" s="3156">
        <f t="shared" si="2"/>
        <v>0.1</v>
      </c>
      <c r="H19" s="3192"/>
      <c r="I19" s="3102"/>
      <c r="J19" s="3119"/>
    </row>
    <row r="20" spans="2:13" ht="21.95" customHeight="1">
      <c r="B20" s="5649"/>
      <c r="C20" s="3159" t="str">
        <f t="shared" si="0"/>
        <v>до 2200</v>
      </c>
      <c r="D20" s="3146">
        <f t="shared" si="1"/>
        <v>0.25</v>
      </c>
      <c r="E20" s="540"/>
      <c r="F20" s="3147">
        <f t="shared" si="2"/>
        <v>2400</v>
      </c>
      <c r="G20" s="3155">
        <f t="shared" si="2"/>
        <v>0.1</v>
      </c>
      <c r="H20" s="3192"/>
      <c r="I20" s="3102"/>
      <c r="J20" s="3119"/>
    </row>
    <row r="21" spans="2:13" ht="21.95" customHeight="1">
      <c r="B21" s="5649"/>
      <c r="C21" s="3160" t="str">
        <f t="shared" si="0"/>
        <v>до 2300</v>
      </c>
      <c r="D21" s="3149">
        <f t="shared" si="1"/>
        <v>0.35</v>
      </c>
      <c r="E21" s="540"/>
      <c r="F21" s="3150">
        <f t="shared" si="2"/>
        <v>2700</v>
      </c>
      <c r="G21" s="3156">
        <f t="shared" si="2"/>
        <v>0.3</v>
      </c>
      <c r="H21" s="3192">
        <f>H9</f>
        <v>0.19999999999999998</v>
      </c>
      <c r="I21" s="3102"/>
      <c r="J21" s="3120"/>
      <c r="M21" s="179"/>
    </row>
    <row r="22" spans="2:13" ht="21.95" customHeight="1">
      <c r="B22" s="5649"/>
      <c r="C22" s="3159" t="str">
        <f t="shared" si="0"/>
        <v>до 2400</v>
      </c>
      <c r="D22" s="3146">
        <f t="shared" si="1"/>
        <v>0.45</v>
      </c>
      <c r="E22" s="540"/>
      <c r="F22" s="3147">
        <f t="shared" si="2"/>
        <v>2700</v>
      </c>
      <c r="G22" s="3155">
        <f t="shared" si="2"/>
        <v>0.3</v>
      </c>
      <c r="H22" s="3192">
        <f>H10</f>
        <v>0.19999999999999998</v>
      </c>
      <c r="I22" s="3102"/>
      <c r="J22" s="3119"/>
      <c r="M22" s="179"/>
    </row>
    <row r="23" spans="2:13" ht="21.95" customHeight="1">
      <c r="B23" s="5649"/>
      <c r="C23" s="3160" t="str">
        <f t="shared" si="0"/>
        <v>до 2500</v>
      </c>
      <c r="D23" s="3149">
        <f t="shared" si="1"/>
        <v>0.55000000000000004</v>
      </c>
      <c r="E23" s="540"/>
      <c r="F23" s="3150">
        <f t="shared" si="2"/>
        <v>2700</v>
      </c>
      <c r="G23" s="3156">
        <f t="shared" si="2"/>
        <v>0.3</v>
      </c>
      <c r="H23" s="3192">
        <f t="shared" ref="H23:I28" si="3">H11</f>
        <v>0.19999999999999998</v>
      </c>
      <c r="I23" s="3102"/>
      <c r="J23" s="3119"/>
    </row>
    <row r="24" spans="2:13" ht="21.95" customHeight="1">
      <c r="B24" s="5649"/>
      <c r="C24" s="3159" t="str">
        <f t="shared" si="0"/>
        <v>до 2600</v>
      </c>
      <c r="D24" s="3146">
        <f t="shared" si="1"/>
        <v>0.60000000000000009</v>
      </c>
      <c r="E24" s="540"/>
      <c r="F24" s="3147">
        <f t="shared" si="2"/>
        <v>3000</v>
      </c>
      <c r="G24" s="3155">
        <f t="shared" si="2"/>
        <v>0.5</v>
      </c>
      <c r="H24" s="3192">
        <f t="shared" si="3"/>
        <v>0.4</v>
      </c>
      <c r="I24" s="3102">
        <f>I12</f>
        <v>0.2</v>
      </c>
      <c r="J24" s="3119"/>
    </row>
    <row r="25" spans="2:13" ht="21.95" customHeight="1">
      <c r="B25" s="5649"/>
      <c r="C25" s="3160" t="str">
        <f t="shared" si="0"/>
        <v>до 2700</v>
      </c>
      <c r="D25" s="3149">
        <f t="shared" si="1"/>
        <v>0.65</v>
      </c>
      <c r="E25" s="540"/>
      <c r="F25" s="3150">
        <f t="shared" si="2"/>
        <v>3000</v>
      </c>
      <c r="G25" s="3156">
        <f t="shared" si="2"/>
        <v>0.5</v>
      </c>
      <c r="H25" s="3192">
        <f t="shared" si="3"/>
        <v>0.4</v>
      </c>
      <c r="I25" s="3102">
        <f t="shared" si="3"/>
        <v>0.2</v>
      </c>
      <c r="J25" s="3119"/>
    </row>
    <row r="26" spans="2:13" ht="21.95" customHeight="1">
      <c r="B26" s="5649"/>
      <c r="C26" s="3159" t="str">
        <f t="shared" si="0"/>
        <v>до 2800</v>
      </c>
      <c r="D26" s="3146">
        <f t="shared" si="1"/>
        <v>0.75</v>
      </c>
      <c r="E26" s="540"/>
      <c r="F26" s="3147">
        <f t="shared" si="2"/>
        <v>3000</v>
      </c>
      <c r="G26" s="3155">
        <f t="shared" si="2"/>
        <v>0.5</v>
      </c>
      <c r="H26" s="3192">
        <f t="shared" si="3"/>
        <v>0.4</v>
      </c>
      <c r="I26" s="3102">
        <f t="shared" si="3"/>
        <v>0.2</v>
      </c>
      <c r="J26" s="3119"/>
    </row>
    <row r="27" spans="2:13" ht="21.95" customHeight="1">
      <c r="B27" s="5649"/>
      <c r="C27" s="3160" t="str">
        <f>C15</f>
        <v>до 2900</v>
      </c>
      <c r="D27" s="3149">
        <f>D15+5%</f>
        <v>0.85000000000000009</v>
      </c>
      <c r="E27" s="540"/>
      <c r="F27" s="3150">
        <f>F15</f>
        <v>3150</v>
      </c>
      <c r="G27" s="3156">
        <f>G15</f>
        <v>0.7</v>
      </c>
      <c r="H27" s="3192">
        <f t="shared" si="3"/>
        <v>0.6</v>
      </c>
      <c r="I27" s="3102">
        <f t="shared" si="3"/>
        <v>0.39999999999999997</v>
      </c>
      <c r="J27" s="3119"/>
    </row>
    <row r="28" spans="2:13" ht="21.95" customHeight="1" thickBot="1">
      <c r="B28" s="5650"/>
      <c r="C28" s="3094" t="str">
        <f>C16</f>
        <v>до 3000</v>
      </c>
      <c r="D28" s="3095">
        <f>D16+5%</f>
        <v>0.95000000000000007</v>
      </c>
      <c r="E28" s="540"/>
      <c r="F28" s="3096">
        <f>F16</f>
        <v>3150</v>
      </c>
      <c r="G28" s="3158">
        <f>G16</f>
        <v>0.7</v>
      </c>
      <c r="H28" s="3201">
        <f t="shared" si="3"/>
        <v>0.6</v>
      </c>
      <c r="I28" s="3097">
        <f>I16</f>
        <v>0.39999999999999997</v>
      </c>
      <c r="J28" s="3119"/>
    </row>
    <row r="29" spans="2:13" ht="39.75" customHeight="1">
      <c r="B29" s="5658" t="s">
        <v>2803</v>
      </c>
      <c r="C29" s="3066" t="str">
        <f t="shared" ref="C29:C38" si="4">C5</f>
        <v xml:space="preserve">до 1850
</v>
      </c>
      <c r="D29" s="3067">
        <f>D17+5%</f>
        <v>0.2</v>
      </c>
      <c r="E29" s="540"/>
      <c r="F29" s="3068">
        <f>F5</f>
        <v>2120</v>
      </c>
      <c r="G29" s="3154">
        <f>G5</f>
        <v>0</v>
      </c>
      <c r="H29" s="3199"/>
      <c r="I29" s="3200"/>
      <c r="J29" s="3119"/>
    </row>
    <row r="30" spans="2:13" ht="21.95" customHeight="1">
      <c r="B30" s="5654"/>
      <c r="C30" s="3159" t="str">
        <f t="shared" si="4"/>
        <v>до 2000</v>
      </c>
      <c r="D30" s="3093">
        <f t="shared" ref="D30:D40" si="5">D18+5%</f>
        <v>0.1</v>
      </c>
      <c r="E30" s="540"/>
      <c r="F30" s="3147">
        <f>F6</f>
        <v>2120</v>
      </c>
      <c r="G30" s="3155">
        <f>G6</f>
        <v>0</v>
      </c>
      <c r="H30" s="3192"/>
      <c r="I30" s="3102"/>
      <c r="J30" s="3119"/>
    </row>
    <row r="31" spans="2:13" ht="21.95" customHeight="1">
      <c r="B31" s="5654"/>
      <c r="C31" s="3160" t="str">
        <f t="shared" si="4"/>
        <v>до 2100</v>
      </c>
      <c r="D31" s="3089">
        <f t="shared" si="5"/>
        <v>0.1</v>
      </c>
      <c r="E31" s="540"/>
      <c r="F31" s="3150">
        <f t="shared" ref="F31:G38" si="6">F7</f>
        <v>2400</v>
      </c>
      <c r="G31" s="3156">
        <f t="shared" si="6"/>
        <v>0.1</v>
      </c>
      <c r="H31" s="3192"/>
      <c r="I31" s="3102"/>
      <c r="J31" s="3119"/>
    </row>
    <row r="32" spans="2:13" ht="21.95" customHeight="1">
      <c r="B32" s="5654"/>
      <c r="C32" s="3159" t="str">
        <f t="shared" si="4"/>
        <v>до 2200</v>
      </c>
      <c r="D32" s="3093">
        <f t="shared" si="5"/>
        <v>0.3</v>
      </c>
      <c r="E32" s="540"/>
      <c r="F32" s="3147">
        <f t="shared" si="6"/>
        <v>2400</v>
      </c>
      <c r="G32" s="3155">
        <f t="shared" si="6"/>
        <v>0.1</v>
      </c>
      <c r="H32" s="3192"/>
      <c r="I32" s="3102"/>
      <c r="J32" s="3119"/>
    </row>
    <row r="33" spans="2:10" ht="21.95" customHeight="1">
      <c r="B33" s="5654"/>
      <c r="C33" s="3160" t="str">
        <f t="shared" si="4"/>
        <v>до 2300</v>
      </c>
      <c r="D33" s="3089">
        <f t="shared" si="5"/>
        <v>0.39999999999999997</v>
      </c>
      <c r="E33" s="540"/>
      <c r="F33" s="3150">
        <f t="shared" si="6"/>
        <v>2700</v>
      </c>
      <c r="G33" s="3156">
        <f t="shared" si="6"/>
        <v>0.3</v>
      </c>
      <c r="H33" s="3192">
        <f>H9</f>
        <v>0.19999999999999998</v>
      </c>
      <c r="I33" s="3102"/>
      <c r="J33" s="3119"/>
    </row>
    <row r="34" spans="2:10" ht="21.95" customHeight="1">
      <c r="B34" s="5654"/>
      <c r="C34" s="3159" t="str">
        <f t="shared" si="4"/>
        <v>до 2400</v>
      </c>
      <c r="D34" s="3093">
        <f t="shared" si="5"/>
        <v>0.5</v>
      </c>
      <c r="E34" s="540"/>
      <c r="F34" s="3147">
        <f t="shared" si="6"/>
        <v>2700</v>
      </c>
      <c r="G34" s="3155">
        <f t="shared" si="6"/>
        <v>0.3</v>
      </c>
      <c r="H34" s="3192">
        <f>H22</f>
        <v>0.19999999999999998</v>
      </c>
      <c r="I34" s="3102"/>
      <c r="J34" s="3119"/>
    </row>
    <row r="35" spans="2:10" ht="21.95" customHeight="1">
      <c r="B35" s="5654"/>
      <c r="C35" s="3160" t="str">
        <f t="shared" si="4"/>
        <v>до 2500</v>
      </c>
      <c r="D35" s="3089">
        <f t="shared" si="5"/>
        <v>0.60000000000000009</v>
      </c>
      <c r="E35" s="540"/>
      <c r="F35" s="3150">
        <f t="shared" si="6"/>
        <v>2700</v>
      </c>
      <c r="G35" s="3156">
        <f t="shared" si="6"/>
        <v>0.3</v>
      </c>
      <c r="H35" s="3192">
        <f t="shared" ref="H35:I40" si="7">H23</f>
        <v>0.19999999999999998</v>
      </c>
      <c r="I35" s="3102"/>
      <c r="J35" s="3120"/>
    </row>
    <row r="36" spans="2:10" ht="21.95" customHeight="1">
      <c r="B36" s="5654"/>
      <c r="C36" s="3159" t="str">
        <f t="shared" si="4"/>
        <v>до 2600</v>
      </c>
      <c r="D36" s="3093">
        <f t="shared" si="5"/>
        <v>0.65000000000000013</v>
      </c>
      <c r="E36" s="540"/>
      <c r="F36" s="3147">
        <f t="shared" si="6"/>
        <v>3000</v>
      </c>
      <c r="G36" s="3155">
        <f t="shared" si="6"/>
        <v>0.5</v>
      </c>
      <c r="H36" s="3192">
        <f t="shared" si="7"/>
        <v>0.4</v>
      </c>
      <c r="I36" s="3102">
        <f>I12</f>
        <v>0.2</v>
      </c>
      <c r="J36" s="3120"/>
    </row>
    <row r="37" spans="2:10" ht="21.95" customHeight="1">
      <c r="B37" s="5654"/>
      <c r="C37" s="3160" t="str">
        <f t="shared" si="4"/>
        <v>до 2700</v>
      </c>
      <c r="D37" s="3089">
        <f t="shared" si="5"/>
        <v>0.70000000000000007</v>
      </c>
      <c r="E37" s="540"/>
      <c r="F37" s="3150">
        <f t="shared" si="6"/>
        <v>3000</v>
      </c>
      <c r="G37" s="3156">
        <f t="shared" si="6"/>
        <v>0.5</v>
      </c>
      <c r="H37" s="3192">
        <f t="shared" si="7"/>
        <v>0.4</v>
      </c>
      <c r="I37" s="3102">
        <f t="shared" si="7"/>
        <v>0.2</v>
      </c>
      <c r="J37" s="3119"/>
    </row>
    <row r="38" spans="2:10" ht="21.95" customHeight="1">
      <c r="B38" s="5654"/>
      <c r="C38" s="3159" t="str">
        <f t="shared" si="4"/>
        <v>до 2800</v>
      </c>
      <c r="D38" s="3093">
        <f t="shared" si="5"/>
        <v>0.8</v>
      </c>
      <c r="E38" s="540"/>
      <c r="F38" s="3147">
        <f t="shared" si="6"/>
        <v>3000</v>
      </c>
      <c r="G38" s="3155">
        <f t="shared" si="6"/>
        <v>0.5</v>
      </c>
      <c r="H38" s="3192">
        <f t="shared" si="7"/>
        <v>0.4</v>
      </c>
      <c r="I38" s="3102">
        <f t="shared" si="7"/>
        <v>0.2</v>
      </c>
      <c r="J38" s="3119"/>
    </row>
    <row r="39" spans="2:10" ht="21.95" customHeight="1">
      <c r="B39" s="5654"/>
      <c r="C39" s="3160" t="str">
        <f>C15</f>
        <v>до 2900</v>
      </c>
      <c r="D39" s="3089">
        <f t="shared" si="5"/>
        <v>0.90000000000000013</v>
      </c>
      <c r="E39" s="540"/>
      <c r="F39" s="3150">
        <f>F15</f>
        <v>3150</v>
      </c>
      <c r="G39" s="3156">
        <f>G15</f>
        <v>0.7</v>
      </c>
      <c r="H39" s="3192">
        <f t="shared" si="7"/>
        <v>0.6</v>
      </c>
      <c r="I39" s="3102">
        <f t="shared" si="7"/>
        <v>0.39999999999999997</v>
      </c>
      <c r="J39" s="3119"/>
    </row>
    <row r="40" spans="2:10" ht="21.95" customHeight="1" thickBot="1">
      <c r="B40" s="5656"/>
      <c r="C40" s="3094" t="str">
        <f>C16</f>
        <v>до 3000</v>
      </c>
      <c r="D40" s="3098">
        <f t="shared" si="5"/>
        <v>1</v>
      </c>
      <c r="E40" s="540"/>
      <c r="F40" s="3096">
        <f>F16</f>
        <v>3150</v>
      </c>
      <c r="G40" s="3158">
        <f>G16</f>
        <v>0.7</v>
      </c>
      <c r="H40" s="3201">
        <f t="shared" si="7"/>
        <v>0.6</v>
      </c>
      <c r="I40" s="3097">
        <f t="shared" si="7"/>
        <v>0.39999999999999997</v>
      </c>
      <c r="J40" s="3119"/>
    </row>
    <row r="41" spans="2:10" ht="27.75" customHeight="1">
      <c r="B41" s="5714" t="s">
        <v>3019</v>
      </c>
      <c r="C41" s="5714"/>
      <c r="D41" s="5714"/>
      <c r="E41" s="79"/>
      <c r="F41" s="3386" t="s">
        <v>3020</v>
      </c>
      <c r="G41" s="79"/>
      <c r="H41" s="79"/>
      <c r="I41" s="79"/>
      <c r="J41" s="79"/>
    </row>
    <row r="42" spans="2:10" ht="13.5" customHeight="1">
      <c r="B42" s="79" t="s">
        <v>2824</v>
      </c>
      <c r="C42" s="79"/>
      <c r="D42" s="79"/>
      <c r="E42" s="79"/>
      <c r="F42" s="5715" t="s">
        <v>3023</v>
      </c>
      <c r="G42" s="5715"/>
      <c r="H42" s="79"/>
      <c r="I42" s="79"/>
      <c r="J42" s="79"/>
    </row>
    <row r="43" spans="2:10" ht="13.5" customHeight="1">
      <c r="B43" s="5717" t="s">
        <v>2823</v>
      </c>
      <c r="C43" s="5717"/>
      <c r="D43" s="5717"/>
      <c r="E43" s="5717"/>
      <c r="F43" s="5716" t="s">
        <v>3024</v>
      </c>
      <c r="G43" s="5716"/>
      <c r="H43" s="3385"/>
      <c r="I43" s="3385"/>
      <c r="J43" s="79"/>
    </row>
    <row r="44" spans="2:10" ht="16.5" customHeight="1">
      <c r="B44" s="79" t="s">
        <v>3018</v>
      </c>
      <c r="C44" s="79"/>
      <c r="D44" s="79"/>
      <c r="E44" s="79"/>
      <c r="F44" s="5716" t="s">
        <v>3025</v>
      </c>
      <c r="G44" s="5716"/>
      <c r="H44" s="79"/>
      <c r="I44" s="79"/>
      <c r="J44" s="79"/>
    </row>
    <row r="45" spans="2:10" ht="16.5" customHeight="1">
      <c r="B45" s="79"/>
      <c r="C45" s="79"/>
      <c r="D45" s="79"/>
      <c r="E45" s="79"/>
      <c r="F45" s="79" t="s">
        <v>3021</v>
      </c>
      <c r="G45" s="79"/>
      <c r="H45" s="79"/>
      <c r="I45" s="79"/>
      <c r="J45" s="79"/>
    </row>
    <row r="46" spans="2:10" ht="15" customHeight="1">
      <c r="C46" s="79"/>
      <c r="D46" s="79"/>
      <c r="E46" s="79"/>
      <c r="H46" s="79"/>
      <c r="I46" s="79"/>
      <c r="J46" s="79"/>
    </row>
    <row r="47" spans="2:10" ht="15" customHeight="1">
      <c r="B47" s="79"/>
      <c r="C47" s="79"/>
      <c r="D47" s="79"/>
      <c r="E47" s="79"/>
      <c r="F47" s="79"/>
      <c r="G47" s="79"/>
      <c r="H47" s="79"/>
      <c r="I47" s="79"/>
      <c r="J47" s="79"/>
    </row>
    <row r="48" spans="2:10" ht="13.5" customHeight="1">
      <c r="B48" s="264" t="s">
        <v>135</v>
      </c>
      <c r="J48" s="79"/>
    </row>
    <row r="49" spans="2:10" ht="35.25" customHeight="1" thickBot="1">
      <c r="B49" s="3275" t="s">
        <v>27</v>
      </c>
      <c r="C49" s="5679" t="s">
        <v>112</v>
      </c>
      <c r="D49" s="5680"/>
      <c r="E49" s="5681"/>
      <c r="F49" s="3279" t="s">
        <v>133</v>
      </c>
      <c r="G49" s="3275" t="s">
        <v>29</v>
      </c>
      <c r="J49" s="79"/>
    </row>
    <row r="50" spans="2:10" ht="35.25" customHeight="1">
      <c r="B50" s="5677" t="s">
        <v>178</v>
      </c>
      <c r="C50" s="5682" t="s">
        <v>136</v>
      </c>
      <c r="D50" s="5682"/>
      <c r="E50" s="5682"/>
      <c r="F50" s="3280">
        <v>0</v>
      </c>
      <c r="G50" s="3281"/>
    </row>
    <row r="51" spans="2:10" ht="21.75" customHeight="1">
      <c r="B51" s="5698"/>
      <c r="C51" s="5683" t="s">
        <v>137</v>
      </c>
      <c r="D51" s="5683"/>
      <c r="E51" s="5683"/>
      <c r="F51" s="3138">
        <v>0</v>
      </c>
      <c r="G51" s="3139"/>
    </row>
    <row r="52" spans="2:10" ht="15.75" customHeight="1">
      <c r="B52" s="5698"/>
      <c r="C52" s="5697">
        <v>2000</v>
      </c>
      <c r="D52" s="5697"/>
      <c r="E52" s="5697"/>
      <c r="F52" s="3136">
        <v>0.3</v>
      </c>
      <c r="G52" s="3137" t="s">
        <v>138</v>
      </c>
    </row>
    <row r="53" spans="2:10" ht="21.95" customHeight="1">
      <c r="B53" s="5698"/>
      <c r="C53" s="5683" t="s">
        <v>139</v>
      </c>
      <c r="D53" s="5683"/>
      <c r="E53" s="5683"/>
      <c r="F53" s="3138">
        <v>0.4</v>
      </c>
      <c r="G53" s="3139" t="s">
        <v>138</v>
      </c>
    </row>
    <row r="54" spans="2:10" ht="21.95" customHeight="1" thickBot="1">
      <c r="B54" s="5678"/>
      <c r="C54" s="5696" t="s">
        <v>136</v>
      </c>
      <c r="D54" s="5696"/>
      <c r="E54" s="5696"/>
      <c r="F54" s="3140">
        <v>0</v>
      </c>
      <c r="G54" s="3141"/>
    </row>
    <row r="55" spans="2:10" ht="21.95" customHeight="1">
      <c r="B55" s="5675" t="s">
        <v>140</v>
      </c>
      <c r="C55" s="5684" t="s">
        <v>137</v>
      </c>
      <c r="D55" s="5685"/>
      <c r="E55" s="5686"/>
      <c r="F55" s="3277">
        <v>0</v>
      </c>
      <c r="G55" s="3278"/>
    </row>
    <row r="56" spans="2:10" ht="14.25" customHeight="1">
      <c r="B56" s="5675"/>
      <c r="C56" s="5687">
        <v>2000</v>
      </c>
      <c r="D56" s="5688"/>
      <c r="E56" s="5689"/>
      <c r="F56" s="3136">
        <v>0.3</v>
      </c>
      <c r="G56" s="3137" t="s">
        <v>141</v>
      </c>
    </row>
    <row r="57" spans="2:10" ht="21.95" customHeight="1">
      <c r="B57" s="5675"/>
      <c r="C57" s="5690" t="s">
        <v>139</v>
      </c>
      <c r="D57" s="5691"/>
      <c r="E57" s="5692"/>
      <c r="F57" s="3138">
        <v>0.4</v>
      </c>
      <c r="G57" s="3139" t="s">
        <v>141</v>
      </c>
    </row>
    <row r="58" spans="2:10" ht="21.95" customHeight="1" thickBot="1">
      <c r="B58" s="5676"/>
      <c r="C58" s="5693" t="s">
        <v>142</v>
      </c>
      <c r="D58" s="5694"/>
      <c r="E58" s="5695"/>
      <c r="F58" s="3140">
        <v>0</v>
      </c>
      <c r="G58" s="3141"/>
    </row>
    <row r="59" spans="2:10" ht="24" customHeight="1">
      <c r="B59" s="5677" t="s">
        <v>699</v>
      </c>
      <c r="C59" s="5699" t="s">
        <v>143</v>
      </c>
      <c r="D59" s="5700"/>
      <c r="E59" s="5701"/>
      <c r="F59" s="3134">
        <v>0.3</v>
      </c>
      <c r="G59" s="3135"/>
    </row>
    <row r="60" spans="2:10" ht="21.95" customHeight="1" thickBot="1">
      <c r="B60" s="5678"/>
      <c r="C60" s="5693" t="s">
        <v>139</v>
      </c>
      <c r="D60" s="5694"/>
      <c r="E60" s="5695"/>
      <c r="F60" s="3140">
        <v>0.4</v>
      </c>
      <c r="G60" s="3141"/>
    </row>
    <row r="61" spans="2:10" ht="11.25" customHeight="1">
      <c r="B61" s="3148" t="s">
        <v>2804</v>
      </c>
      <c r="C61" s="2923"/>
      <c r="D61" s="2923"/>
      <c r="E61" s="3006"/>
      <c r="J61" s="85"/>
    </row>
    <row r="62" spans="2:10" ht="11.25" customHeight="1">
      <c r="B62" s="3148"/>
      <c r="C62" s="3006"/>
      <c r="D62" s="3006"/>
      <c r="E62" s="3006"/>
      <c r="J62" s="85"/>
    </row>
    <row r="63" spans="2:10" ht="15" customHeight="1">
      <c r="B63" s="264"/>
      <c r="C63" s="2985"/>
      <c r="D63" s="2985"/>
      <c r="E63" s="2985"/>
      <c r="F63" s="2985"/>
      <c r="G63" s="2985"/>
      <c r="H63" s="2985"/>
      <c r="I63" s="2985"/>
    </row>
    <row r="64" spans="2:10" s="85" customFormat="1" ht="27.75" customHeight="1">
      <c r="B64" s="3197" t="s">
        <v>2830</v>
      </c>
      <c r="F64" s="81"/>
      <c r="G64" s="81"/>
      <c r="H64" s="2985"/>
      <c r="I64" s="2985"/>
      <c r="J64" s="2985"/>
    </row>
    <row r="65" spans="1:10" s="85" customFormat="1" ht="15" customHeight="1">
      <c r="B65" s="264"/>
      <c r="F65" s="81"/>
      <c r="G65" s="81"/>
      <c r="H65" s="2985"/>
      <c r="I65" s="2985"/>
      <c r="J65" s="2985"/>
    </row>
    <row r="66" spans="1:10" s="85" customFormat="1" ht="15" customHeight="1">
      <c r="B66" s="3195" t="s">
        <v>2844</v>
      </c>
      <c r="C66" s="5712" t="s">
        <v>2845</v>
      </c>
      <c r="D66" s="5713"/>
      <c r="E66" s="5706" t="s">
        <v>29</v>
      </c>
      <c r="F66" s="5707"/>
      <c r="G66" s="5708"/>
      <c r="H66" s="2985"/>
      <c r="I66" s="2985"/>
      <c r="J66" s="2985"/>
    </row>
    <row r="67" spans="1:10" s="85" customFormat="1" ht="51" customHeight="1">
      <c r="B67" s="3194" t="s">
        <v>2829</v>
      </c>
      <c r="C67" s="5665" t="s">
        <v>2831</v>
      </c>
      <c r="D67" s="5666"/>
      <c r="E67" s="5709" t="s">
        <v>2879</v>
      </c>
      <c r="F67" s="5710"/>
      <c r="G67" s="5711"/>
      <c r="H67" s="2985"/>
      <c r="I67" s="2985"/>
      <c r="J67" s="2985"/>
    </row>
    <row r="68" spans="1:10" s="172" customFormat="1" ht="63" customHeight="1">
      <c r="B68" s="3196" t="s">
        <v>2513</v>
      </c>
      <c r="C68" s="5667" t="s">
        <v>2514</v>
      </c>
      <c r="D68" s="5668"/>
      <c r="E68" s="5672" t="s">
        <v>2848</v>
      </c>
      <c r="F68" s="5673"/>
      <c r="G68" s="5674"/>
    </row>
    <row r="69" spans="1:10" s="172" customFormat="1" ht="99.75" customHeight="1">
      <c r="B69" s="3194" t="s">
        <v>1527</v>
      </c>
      <c r="C69" s="5665" t="s">
        <v>1537</v>
      </c>
      <c r="D69" s="5666"/>
      <c r="E69" s="5669" t="s">
        <v>2880</v>
      </c>
      <c r="F69" s="5670"/>
      <c r="G69" s="5671"/>
    </row>
    <row r="70" spans="1:10" s="172" customFormat="1" ht="90" customHeight="1">
      <c r="B70" s="3196" t="s">
        <v>2459</v>
      </c>
      <c r="C70" s="5667" t="s">
        <v>2460</v>
      </c>
      <c r="D70" s="5668"/>
      <c r="E70" s="5672" t="s">
        <v>2847</v>
      </c>
      <c r="F70" s="5673"/>
      <c r="G70" s="5674"/>
    </row>
    <row r="71" spans="1:10">
      <c r="A71" s="1971"/>
    </row>
    <row r="72" spans="1:10">
      <c r="A72" s="1971"/>
      <c r="B72" s="3191"/>
    </row>
    <row r="73" spans="1:10">
      <c r="A73" s="1971"/>
    </row>
    <row r="74" spans="1:10" ht="36" customHeight="1">
      <c r="A74" s="1213"/>
    </row>
    <row r="75" spans="1:10">
      <c r="A75" s="1215"/>
    </row>
    <row r="76" spans="1:10" ht="30.75" customHeight="1">
      <c r="A76" s="1215"/>
    </row>
    <row r="77" spans="1:10">
      <c r="A77" s="1216"/>
    </row>
    <row r="78" spans="1:10" ht="15" customHeight="1">
      <c r="A78" s="1216"/>
    </row>
    <row r="79" spans="1:10" ht="15" customHeight="1">
      <c r="A79" s="1216"/>
      <c r="B79" s="426"/>
    </row>
    <row r="80" spans="1:10" ht="21" customHeight="1">
      <c r="A80" s="1216"/>
    </row>
    <row r="81" spans="1:1">
      <c r="A81" s="1216"/>
    </row>
    <row r="82" spans="1:1" ht="13.35" customHeight="1"/>
    <row r="84" spans="1:1" ht="13.35" customHeight="1"/>
    <row r="86" spans="1:1" ht="13.35" customHeight="1"/>
    <row r="87" spans="1:1" ht="13.35" customHeight="1"/>
    <row r="88" spans="1:1" ht="13.35" customHeight="1"/>
    <row r="89" spans="1:1" ht="15" customHeight="1"/>
    <row r="90" spans="1:1" ht="13.35" customHeight="1"/>
    <row r="92" spans="1:1" ht="13.35" customHeight="1"/>
    <row r="94" spans="1:1" ht="15" customHeight="1"/>
    <row r="95" spans="1:1" ht="22.5" customHeight="1"/>
    <row r="97" ht="13.35" customHeight="1"/>
    <row r="99" ht="13.35" customHeight="1"/>
    <row r="101" ht="13.35" customHeight="1"/>
    <row r="102" ht="13.35" customHeight="1"/>
    <row r="103" ht="13.35" customHeight="1"/>
    <row r="104" ht="13.35" customHeight="1"/>
    <row r="105" ht="13.35" customHeight="1"/>
    <row r="106" ht="13.35" customHeight="1"/>
    <row r="107" ht="13.35" customHeight="1"/>
    <row r="110" ht="15" customHeight="1"/>
    <row r="111" ht="20.25" customHeight="1"/>
    <row r="113" ht="13.35" customHeight="1"/>
    <row r="115" ht="13.35" customHeight="1"/>
    <row r="117" ht="13.35" customHeight="1"/>
    <row r="118" ht="13.35" customHeight="1"/>
    <row r="119" ht="13.35" customHeight="1"/>
    <row r="120" ht="13.35" customHeight="1"/>
    <row r="121" ht="13.35" customHeight="1"/>
    <row r="123" ht="13.35" customHeight="1"/>
    <row r="124" ht="15" customHeight="1"/>
    <row r="127" ht="19.5" customHeight="1"/>
    <row r="129" ht="13.35" customHeight="1"/>
    <row r="131" ht="13.35" customHeight="1"/>
    <row r="132" ht="14.1" customHeight="1"/>
    <row r="133" ht="13.35" customHeight="1"/>
    <row r="134" ht="13.35" customHeight="1"/>
    <row r="135" ht="13.35" customHeight="1"/>
    <row r="136" ht="13.35" customHeight="1"/>
    <row r="137" ht="13.35" customHeight="1"/>
    <row r="139" ht="13.35" customHeight="1"/>
    <row r="143" ht="22.5" customHeight="1"/>
    <row r="145" ht="13.35" customHeight="1"/>
    <row r="146" ht="15" customHeight="1"/>
    <row r="147" ht="13.35" customHeight="1"/>
    <row r="148" ht="13.35" customHeight="1"/>
    <row r="149" ht="13.35" customHeight="1"/>
    <row r="150" ht="13.35" customHeight="1"/>
    <row r="151" ht="13.35" customHeight="1"/>
    <row r="152" ht="15" customHeight="1"/>
    <row r="153" ht="13.35" customHeight="1"/>
    <row r="154" ht="15" customHeight="1"/>
    <row r="155" ht="15" customHeight="1"/>
    <row r="156" ht="22.5" customHeight="1"/>
    <row r="158" ht="13.35" customHeight="1"/>
    <row r="160" ht="13.35" customHeight="1"/>
    <row r="161" ht="14.1" customHeight="1"/>
    <row r="162" ht="13.35" customHeight="1"/>
    <row r="163" ht="13.35" customHeight="1"/>
    <row r="164" ht="13.35" customHeight="1"/>
    <row r="165" ht="13.35" customHeight="1"/>
    <row r="166" ht="13.35" customHeight="1"/>
    <row r="168" ht="13.35" customHeight="1"/>
    <row r="169" ht="22.5" customHeight="1"/>
    <row r="170" ht="15" customHeight="1"/>
    <row r="173" ht="13.35" customHeight="1"/>
    <row r="175" ht="24.75" customHeight="1"/>
    <row r="177" ht="13.35" customHeight="1"/>
    <row r="178" ht="15" customHeight="1"/>
    <row r="181" ht="13.35" customHeight="1"/>
    <row r="184" ht="15" customHeight="1"/>
    <row r="186" ht="21" customHeight="1"/>
    <row r="188" ht="13.35" customHeight="1"/>
    <row r="190" ht="13.35" customHeight="1"/>
    <row r="191" ht="16.350000000000001" customHeight="1"/>
    <row r="192" ht="16.350000000000001" customHeight="1"/>
    <row r="193" ht="13.35" customHeight="1"/>
    <row r="194" ht="13.35" customHeight="1"/>
    <row r="195" ht="23.45" customHeight="1"/>
    <row r="196" ht="25.35" customHeight="1"/>
    <row r="197" ht="13.35" customHeight="1"/>
    <row r="198" ht="13.35" customHeight="1"/>
    <row r="199" ht="15" customHeight="1"/>
    <row r="202" ht="15" customHeight="1"/>
    <row r="203" ht="21.75" customHeight="1"/>
    <row r="205" ht="13.35" customHeight="1"/>
    <row r="207" ht="13.35" customHeight="1"/>
    <row r="208" ht="13.35" customHeight="1"/>
    <row r="209" ht="13.35" customHeight="1"/>
    <row r="210" ht="13.35" customHeight="1"/>
    <row r="211" ht="13.35" customHeight="1"/>
    <row r="212" ht="13.35" customHeight="1"/>
    <row r="213" ht="13.35" customHeight="1"/>
    <row r="214" ht="13.35" customHeight="1"/>
    <row r="215" ht="13.35" customHeight="1"/>
    <row r="218" ht="15" customHeight="1"/>
    <row r="221" ht="23.25" customHeight="1"/>
    <row r="223" ht="13.35" customHeight="1"/>
    <row r="225" ht="13.35" customHeight="1"/>
    <row r="226" ht="13.35" customHeight="1"/>
    <row r="227" ht="13.35" customHeight="1"/>
    <row r="228" ht="13.35" customHeight="1"/>
    <row r="229" ht="13.35" customHeight="1"/>
    <row r="230" ht="13.35" customHeight="1"/>
    <row r="231" ht="13.35" customHeight="1"/>
    <row r="234" ht="15" customHeight="1"/>
    <row r="235" ht="21" customHeight="1"/>
    <row r="237" ht="13.35" customHeight="1"/>
    <row r="239" ht="13.35" customHeight="1"/>
    <row r="240" ht="13.35" customHeight="1"/>
    <row r="241" ht="13.35" customHeight="1"/>
    <row r="242" ht="13.35" customHeight="1"/>
    <row r="243" ht="13.35" customHeight="1"/>
    <row r="244" ht="13.35" customHeight="1"/>
    <row r="245" ht="13.35" customHeight="1"/>
    <row r="246" ht="13.35" customHeight="1"/>
    <row r="247" ht="13.35" customHeight="1"/>
    <row r="248" ht="15" customHeight="1"/>
    <row r="249" ht="15" customHeight="1"/>
    <row r="251" ht="15" customHeight="1"/>
    <row r="254" ht="15" customHeight="1"/>
    <row r="261" ht="15" customHeight="1"/>
    <row r="263" ht="15" customHeight="1"/>
    <row r="265" ht="15" customHeight="1"/>
    <row r="266" ht="24.75" customHeight="1"/>
    <row r="267" ht="15" customHeight="1"/>
    <row r="269" ht="13.35" customHeight="1"/>
    <row r="271" ht="13.35" customHeight="1"/>
    <row r="273" ht="13.35" customHeight="1"/>
    <row r="274" ht="29.25" customHeight="1"/>
    <row r="275" ht="13.35" customHeight="1"/>
    <row r="277" ht="13.35" customHeight="1"/>
    <row r="279" ht="13.35" customHeight="1"/>
    <row r="286" ht="20.25" customHeight="1"/>
    <row r="288" ht="25.5" customHeight="1"/>
    <row r="289" ht="17.100000000000001" customHeight="1"/>
    <row r="290" ht="24.75" customHeight="1"/>
    <row r="291" ht="17.100000000000001" customHeight="1"/>
    <row r="292" ht="24.75" customHeight="1"/>
    <row r="293" ht="17.100000000000001" customHeight="1"/>
    <row r="294" ht="24" customHeight="1"/>
    <row r="295" ht="17.100000000000001" customHeight="1"/>
    <row r="296" ht="17.100000000000001" customHeight="1"/>
    <row r="297" ht="17.100000000000001" customHeight="1"/>
    <row r="298" ht="22.5" customHeight="1"/>
    <row r="299" ht="23.25" customHeight="1"/>
  </sheetData>
  <mergeCells count="37">
    <mergeCell ref="B41:D41"/>
    <mergeCell ref="F42:G42"/>
    <mergeCell ref="F43:G43"/>
    <mergeCell ref="F44:G44"/>
    <mergeCell ref="B43:E43"/>
    <mergeCell ref="E66:G66"/>
    <mergeCell ref="E67:G67"/>
    <mergeCell ref="E68:G68"/>
    <mergeCell ref="C68:D68"/>
    <mergeCell ref="C66:D66"/>
    <mergeCell ref="H3:I3"/>
    <mergeCell ref="B5:B16"/>
    <mergeCell ref="B17:B28"/>
    <mergeCell ref="B29:B40"/>
    <mergeCell ref="B3:B4"/>
    <mergeCell ref="C3:C4"/>
    <mergeCell ref="F3:F4"/>
    <mergeCell ref="B55:B58"/>
    <mergeCell ref="B59:B60"/>
    <mergeCell ref="C49:E49"/>
    <mergeCell ref="C50:E50"/>
    <mergeCell ref="C51:E51"/>
    <mergeCell ref="C53:E53"/>
    <mergeCell ref="C55:E55"/>
    <mergeCell ref="C56:E56"/>
    <mergeCell ref="C57:E57"/>
    <mergeCell ref="C58:E58"/>
    <mergeCell ref="C54:E54"/>
    <mergeCell ref="C52:E52"/>
    <mergeCell ref="B50:B54"/>
    <mergeCell ref="C59:E59"/>
    <mergeCell ref="C60:E60"/>
    <mergeCell ref="C69:D69"/>
    <mergeCell ref="C70:D70"/>
    <mergeCell ref="E69:G69"/>
    <mergeCell ref="E70:G70"/>
    <mergeCell ref="C67:D67"/>
  </mergeCells>
  <hyperlinks>
    <hyperlink ref="B1" location="Содержание!A1" display="Вернуться в содержание"/>
  </hyperlinks>
  <printOptions horizontalCentered="1"/>
  <pageMargins left="3.937007874015748E-2" right="3.937007874015748E-2" top="0.55118110236220474" bottom="0.55118110236220474" header="0.11811023622047245" footer="0.11811023622047245"/>
  <pageSetup paperSize="9" scale="45" firstPageNumber="63" orientation="landscape" useFirstPageNumber="1" r:id="rId1"/>
  <headerFooter>
    <oddFooter>&amp;L&amp;P&amp;R&amp;24&amp;G</oddFooter>
  </headerFooter>
  <rowBreaks count="1" manualBreakCount="1">
    <brk id="47" max="8" man="1"/>
  </rowBreaks>
  <legacyDrawingHF r:id="rId2"/>
</worksheet>
</file>

<file path=xl/worksheets/sheet66.xml><?xml version="1.0" encoding="utf-8"?>
<worksheet xmlns="http://schemas.openxmlformats.org/spreadsheetml/2006/main" xmlns:r="http://schemas.openxmlformats.org/officeDocument/2006/relationships">
  <sheetPr codeName="Лист38"/>
  <dimension ref="A1:I68"/>
  <sheetViews>
    <sheetView view="pageBreakPreview" zoomScale="80" zoomScaleNormal="60" zoomScaleSheetLayoutView="80" zoomScalePageLayoutView="85" workbookViewId="0">
      <pane ySplit="1" topLeftCell="A2" activePane="bottomLeft" state="frozen"/>
      <selection pane="bottomLeft" activeCell="B1" sqref="B1"/>
    </sheetView>
  </sheetViews>
  <sheetFormatPr defaultColWidth="9.140625" defaultRowHeight="15"/>
  <cols>
    <col min="1" max="1" width="7" style="125" customWidth="1"/>
    <col min="2" max="2" width="44.140625" style="125" customWidth="1"/>
    <col min="3" max="3" width="20.7109375" style="125" customWidth="1"/>
    <col min="4" max="4" width="22.28515625" style="125" customWidth="1"/>
    <col min="5" max="5" width="27.7109375" style="125" customWidth="1"/>
    <col min="6" max="6" width="26.5703125" style="125" customWidth="1"/>
    <col min="7" max="7" width="9.28515625" style="125" customWidth="1"/>
    <col min="8" max="8" width="27.7109375" style="125" customWidth="1"/>
    <col min="9" max="9" width="12.42578125" style="125" customWidth="1"/>
    <col min="10" max="10" width="9.85546875" style="125" customWidth="1"/>
    <col min="11" max="11" width="14.42578125" style="125" customWidth="1"/>
    <col min="12" max="12" width="12.7109375" style="125" customWidth="1"/>
    <col min="13" max="13" width="14" style="125" customWidth="1"/>
    <col min="14" max="14" width="22" style="125" customWidth="1"/>
    <col min="15" max="15" width="21.28515625" style="125" customWidth="1"/>
    <col min="16" max="16384" width="9.140625" style="125"/>
  </cols>
  <sheetData>
    <row r="1" spans="2:6" s="2273" customFormat="1" ht="18" customHeight="1">
      <c r="B1" s="2285" t="s">
        <v>490</v>
      </c>
      <c r="C1" s="2280"/>
    </row>
    <row r="3" spans="2:6" ht="15.75">
      <c r="B3" s="455"/>
      <c r="C3" s="81"/>
      <c r="D3" s="81"/>
      <c r="E3" s="81"/>
      <c r="F3" s="81"/>
    </row>
    <row r="4" spans="2:6" s="589" customFormat="1" ht="15.75">
      <c r="B4" s="455" t="s">
        <v>2854</v>
      </c>
    </row>
    <row r="5" spans="2:6" s="589" customFormat="1"/>
    <row r="6" spans="2:6" s="589" customFormat="1">
      <c r="B6" s="5731" t="s">
        <v>2806</v>
      </c>
      <c r="C6" s="5731"/>
      <c r="D6" s="3369" t="s">
        <v>131</v>
      </c>
      <c r="E6" s="5731" t="s">
        <v>29</v>
      </c>
      <c r="F6" s="5731"/>
    </row>
    <row r="7" spans="2:6" s="589" customFormat="1">
      <c r="B7" s="5734" t="s">
        <v>3175</v>
      </c>
      <c r="C7" s="5735"/>
      <c r="D7" s="5735"/>
      <c r="E7" s="5735"/>
      <c r="F7" s="5736"/>
    </row>
    <row r="8" spans="2:6" s="22" customFormat="1" ht="30" customHeight="1">
      <c r="B8" s="5740" t="s">
        <v>2853</v>
      </c>
      <c r="C8" s="5741"/>
      <c r="D8" s="3371">
        <v>0.2</v>
      </c>
      <c r="E8" s="5742"/>
      <c r="F8" s="5743"/>
    </row>
    <row r="9" spans="2:6" s="22" customFormat="1" ht="52.5" customHeight="1">
      <c r="B9" s="5740" t="s">
        <v>3000</v>
      </c>
      <c r="C9" s="5741"/>
      <c r="D9" s="3372">
        <v>3500</v>
      </c>
      <c r="E9" s="5732" t="s">
        <v>2997</v>
      </c>
      <c r="F9" s="5733"/>
    </row>
    <row r="10" spans="2:6" s="22" customFormat="1" ht="33.75" customHeight="1">
      <c r="B10" s="5744" t="s">
        <v>3433</v>
      </c>
      <c r="C10" s="5744"/>
      <c r="D10" s="3370">
        <v>0.15</v>
      </c>
      <c r="E10" s="5745" t="s">
        <v>3176</v>
      </c>
      <c r="F10" s="5746"/>
    </row>
    <row r="11" spans="2:6" s="22" customFormat="1" ht="83.25" customHeight="1">
      <c r="B11" s="5727" t="s">
        <v>3235</v>
      </c>
      <c r="C11" s="5727"/>
      <c r="D11" s="3617" t="s">
        <v>3220</v>
      </c>
      <c r="E11" s="5728" t="s">
        <v>3232</v>
      </c>
      <c r="F11" s="5728"/>
    </row>
    <row r="12" spans="2:6" s="22" customFormat="1" ht="15.75">
      <c r="B12" s="3343" t="s">
        <v>2962</v>
      </c>
      <c r="C12" s="3341"/>
      <c r="D12" s="3344"/>
      <c r="E12" s="3345"/>
      <c r="F12" s="3346"/>
    </row>
    <row r="13" spans="2:6" s="589" customFormat="1" ht="36" customHeight="1">
      <c r="B13" s="5721" t="s">
        <v>2961</v>
      </c>
      <c r="C13" s="5722"/>
      <c r="D13" s="3324">
        <v>0.7</v>
      </c>
      <c r="E13" s="3353" t="s">
        <v>2929</v>
      </c>
      <c r="F13" s="3354"/>
    </row>
    <row r="14" spans="2:6" s="589" customFormat="1" ht="15.75">
      <c r="B14" s="5721" t="s">
        <v>2965</v>
      </c>
      <c r="C14" s="5737"/>
      <c r="D14" s="3347">
        <v>0.3</v>
      </c>
      <c r="E14" s="5738" t="s">
        <v>2963</v>
      </c>
      <c r="F14" s="5739"/>
    </row>
    <row r="15" spans="2:6" s="589" customFormat="1" ht="33.75" customHeight="1">
      <c r="B15" s="5725" t="s">
        <v>2967</v>
      </c>
      <c r="C15" s="5726"/>
      <c r="D15" s="3347">
        <v>0.15</v>
      </c>
      <c r="E15" s="5723" t="s">
        <v>2966</v>
      </c>
      <c r="F15" s="5724"/>
    </row>
    <row r="16" spans="2:6" s="589" customFormat="1" ht="22.5" customHeight="1">
      <c r="B16" s="3352"/>
      <c r="C16" s="3352"/>
      <c r="D16" s="3342"/>
      <c r="E16" s="3351"/>
      <c r="F16" s="3351"/>
    </row>
    <row r="17" spans="1:8" s="589" customFormat="1"/>
    <row r="18" spans="1:8" s="589" customFormat="1" ht="15.75">
      <c r="B18" s="455" t="s">
        <v>2855</v>
      </c>
      <c r="C18" s="81"/>
      <c r="D18" s="81"/>
      <c r="E18" s="81"/>
      <c r="F18" s="81"/>
    </row>
    <row r="19" spans="1:8" s="589" customFormat="1" ht="15.75">
      <c r="B19" s="455"/>
      <c r="C19" s="81"/>
      <c r="D19" s="81"/>
      <c r="E19" s="81"/>
      <c r="F19" s="81"/>
    </row>
    <row r="20" spans="1:8" ht="15.75">
      <c r="B20" s="3099" t="s">
        <v>3178</v>
      </c>
    </row>
    <row r="21" spans="1:8">
      <c r="A21" s="897"/>
      <c r="B21" s="85" t="s">
        <v>2805</v>
      </c>
    </row>
    <row r="22" spans="1:8" ht="33" customHeight="1">
      <c r="A22" s="897"/>
      <c r="B22" s="897"/>
    </row>
    <row r="23" spans="1:8">
      <c r="A23" s="897"/>
      <c r="B23" s="897"/>
    </row>
    <row r="24" spans="1:8">
      <c r="A24" s="897"/>
      <c r="B24" s="897"/>
    </row>
    <row r="25" spans="1:8">
      <c r="A25" s="897"/>
      <c r="B25" s="897"/>
    </row>
    <row r="26" spans="1:8" ht="18.75" customHeight="1">
      <c r="A26" s="897"/>
      <c r="B26" s="897"/>
      <c r="H26" s="230"/>
    </row>
    <row r="27" spans="1:8">
      <c r="A27" s="897"/>
      <c r="B27" s="897"/>
    </row>
    <row r="28" spans="1:8" ht="33" customHeight="1">
      <c r="A28" s="897"/>
      <c r="B28" s="897"/>
    </row>
    <row r="29" spans="1:8" ht="21.75" customHeight="1">
      <c r="A29" s="897"/>
      <c r="B29" s="897"/>
    </row>
    <row r="30" spans="1:8" ht="18.75" customHeight="1">
      <c r="A30" s="897"/>
      <c r="B30" s="897"/>
    </row>
    <row r="31" spans="1:8" s="589" customFormat="1" ht="18.75" customHeight="1">
      <c r="A31" s="897"/>
      <c r="B31" s="897"/>
    </row>
    <row r="32" spans="1:8" s="589" customFormat="1" ht="15.75">
      <c r="B32" s="3099" t="s">
        <v>3177</v>
      </c>
    </row>
    <row r="33" spans="1:8" s="589" customFormat="1" ht="18.75" customHeight="1">
      <c r="A33" s="897"/>
      <c r="B33" s="897"/>
    </row>
    <row r="34" spans="1:8" ht="15.75">
      <c r="B34" s="3099" t="s">
        <v>2856</v>
      </c>
    </row>
    <row r="35" spans="1:8" s="589" customFormat="1">
      <c r="B35" s="3148"/>
    </row>
    <row r="36" spans="1:8" s="589" customFormat="1" ht="18.75">
      <c r="B36" s="3210" t="s">
        <v>2852</v>
      </c>
    </row>
    <row r="37" spans="1:8" s="589" customFormat="1" ht="18.75">
      <c r="B37" s="3210"/>
    </row>
    <row r="38" spans="1:8" s="589" customFormat="1" ht="15.75">
      <c r="B38" s="455" t="s">
        <v>3387</v>
      </c>
    </row>
    <row r="39" spans="1:8" s="589" customFormat="1" ht="15.75">
      <c r="B39" s="455"/>
    </row>
    <row r="40" spans="1:8" s="589" customFormat="1" ht="15.75">
      <c r="B40" s="3099" t="s">
        <v>3386</v>
      </c>
    </row>
    <row r="41" spans="1:8" s="589" customFormat="1" ht="21.75" customHeight="1">
      <c r="B41" s="3861" t="s">
        <v>3388</v>
      </c>
      <c r="C41" s="3861"/>
    </row>
    <row r="42" spans="1:8" s="589" customFormat="1" ht="33.75" customHeight="1">
      <c r="B42" s="5729" t="s">
        <v>3389</v>
      </c>
      <c r="C42" s="5729"/>
      <c r="D42" s="5729"/>
      <c r="E42" s="5729"/>
      <c r="F42" s="5729"/>
    </row>
    <row r="43" spans="1:8" s="589" customFormat="1" ht="32.25" customHeight="1">
      <c r="B43" s="5729" t="s">
        <v>3390</v>
      </c>
      <c r="C43" s="5729"/>
      <c r="D43" s="5729"/>
      <c r="E43" s="5729"/>
      <c r="F43" s="5729"/>
    </row>
    <row r="44" spans="1:8" s="589" customFormat="1" ht="17.25" customHeight="1">
      <c r="B44" s="5730" t="s">
        <v>3427</v>
      </c>
      <c r="C44" s="5730"/>
      <c r="D44" s="5730"/>
      <c r="E44" s="5730"/>
      <c r="F44" s="5730"/>
    </row>
    <row r="45" spans="1:8" s="589" customFormat="1" ht="18" customHeight="1">
      <c r="B45" s="5730"/>
      <c r="C45" s="5730"/>
      <c r="D45" s="5730"/>
      <c r="E45" s="5730"/>
      <c r="F45" s="5730"/>
    </row>
    <row r="46" spans="1:8" s="589" customFormat="1" ht="18" customHeight="1">
      <c r="B46" s="3920"/>
      <c r="C46" s="3920"/>
      <c r="D46" s="3920"/>
      <c r="E46" s="3920"/>
      <c r="F46" s="3920"/>
    </row>
    <row r="47" spans="1:8" s="589" customFormat="1" ht="24" customHeight="1">
      <c r="A47" s="1162"/>
      <c r="B47" s="455" t="s">
        <v>3391</v>
      </c>
      <c r="C47" s="1162"/>
      <c r="D47" s="1162"/>
      <c r="E47" s="1162"/>
      <c r="F47" s="1162"/>
      <c r="G47" s="1162"/>
      <c r="H47" s="1162"/>
    </row>
    <row r="48" spans="1:8" ht="19.5" customHeight="1">
      <c r="A48" s="544"/>
    </row>
    <row r="49" spans="1:9" s="1165" customFormat="1">
      <c r="B49" s="3161" t="s">
        <v>725</v>
      </c>
      <c r="C49" s="3162" t="s">
        <v>1439</v>
      </c>
      <c r="D49" s="3163" t="s">
        <v>2820</v>
      </c>
      <c r="E49" s="3162" t="s">
        <v>2819</v>
      </c>
    </row>
    <row r="50" spans="1:9">
      <c r="A50" s="125">
        <v>1</v>
      </c>
      <c r="B50" s="22" t="s">
        <v>1430</v>
      </c>
    </row>
    <row r="51" spans="1:9" ht="21.95" customHeight="1">
      <c r="B51" s="3185" t="s">
        <v>1441</v>
      </c>
      <c r="C51" s="3186" t="s">
        <v>1443</v>
      </c>
      <c r="D51" s="3188">
        <f>CEILING(E51*$A$68, 50)</f>
        <v>6300</v>
      </c>
      <c r="E51" s="3187">
        <v>3800</v>
      </c>
    </row>
    <row r="52" spans="1:9" ht="21.95" customHeight="1">
      <c r="B52" s="3167" t="s">
        <v>1442</v>
      </c>
      <c r="C52" s="3182" t="s">
        <v>1429</v>
      </c>
      <c r="D52" s="3184">
        <f>CEILING(E52*$A$68, 50)</f>
        <v>850</v>
      </c>
      <c r="E52" s="3183">
        <v>500</v>
      </c>
    </row>
    <row r="53" spans="1:9">
      <c r="B53" s="69"/>
      <c r="C53" s="3189"/>
      <c r="D53" s="69"/>
      <c r="E53" s="69"/>
    </row>
    <row r="54" spans="1:9" s="589" customFormat="1">
      <c r="A54" s="589">
        <v>2</v>
      </c>
      <c r="B54" s="443" t="s">
        <v>1431</v>
      </c>
      <c r="C54" s="3189"/>
      <c r="D54" s="69"/>
      <c r="E54" s="69"/>
    </row>
    <row r="55" spans="1:9" s="589" customFormat="1" ht="21.95" customHeight="1">
      <c r="B55" s="3185" t="s">
        <v>1437</v>
      </c>
      <c r="C55" s="3186" t="s">
        <v>1455</v>
      </c>
      <c r="D55" s="3188">
        <f>CEILING(E55*$A$68, 50)</f>
        <v>350</v>
      </c>
      <c r="E55" s="3190">
        <v>200</v>
      </c>
      <c r="I55" s="3177"/>
    </row>
    <row r="56" spans="1:9" ht="21.95" customHeight="1">
      <c r="B56" s="3166" t="s">
        <v>1435</v>
      </c>
      <c r="C56" s="5718" t="s">
        <v>1438</v>
      </c>
      <c r="D56" s="3180">
        <f>CEILING(E56*$A$68, 50)</f>
        <v>700</v>
      </c>
      <c r="E56" s="3175">
        <v>400</v>
      </c>
    </row>
    <row r="57" spans="1:9" s="589" customFormat="1" ht="21.95" customHeight="1">
      <c r="B57" s="3166" t="s">
        <v>1436</v>
      </c>
      <c r="C57" s="5719"/>
      <c r="D57" s="3180">
        <f>CEILING(E57*$A$68, 50)</f>
        <v>700</v>
      </c>
      <c r="E57" s="3175">
        <v>400</v>
      </c>
    </row>
    <row r="58" spans="1:9" s="589" customFormat="1" ht="21.95" customHeight="1">
      <c r="B58" s="3167" t="s">
        <v>2208</v>
      </c>
      <c r="C58" s="5720"/>
      <c r="D58" s="3179">
        <f>CEILING(E58*$A$68, 50)</f>
        <v>1650</v>
      </c>
      <c r="E58" s="3174">
        <v>1000</v>
      </c>
    </row>
    <row r="60" spans="1:9" s="589" customFormat="1">
      <c r="A60" s="589">
        <v>3</v>
      </c>
      <c r="B60" s="22" t="s">
        <v>1432</v>
      </c>
      <c r="D60" s="3172"/>
    </row>
    <row r="61" spans="1:9" ht="21.95" customHeight="1">
      <c r="B61" s="3164" t="s">
        <v>1454</v>
      </c>
      <c r="C61" s="3168" t="s">
        <v>1453</v>
      </c>
      <c r="D61" s="3178">
        <f>CEILING(E61*$A$68, 50)</f>
        <v>50</v>
      </c>
      <c r="E61" s="3173">
        <v>30</v>
      </c>
    </row>
    <row r="62" spans="1:9" s="589" customFormat="1" ht="29.25" customHeight="1">
      <c r="B62" s="3166" t="s">
        <v>1449</v>
      </c>
      <c r="C62" s="1167" t="s">
        <v>1452</v>
      </c>
      <c r="D62" s="3180">
        <f>CEILING(E62*$A$68, 50)</f>
        <v>50</v>
      </c>
      <c r="E62" s="3175">
        <v>30</v>
      </c>
    </row>
    <row r="63" spans="1:9" s="589" customFormat="1" ht="32.25" customHeight="1">
      <c r="B63" s="3165" t="s">
        <v>1450</v>
      </c>
      <c r="C63" s="3169" t="s">
        <v>1451</v>
      </c>
      <c r="D63" s="3179">
        <f>CEILING(E63*$A$68, 50)</f>
        <v>50</v>
      </c>
      <c r="E63" s="3174">
        <v>30</v>
      </c>
    </row>
    <row r="65" spans="1:5" s="589" customFormat="1">
      <c r="A65" s="589">
        <v>4</v>
      </c>
      <c r="B65" s="22" t="s">
        <v>1444</v>
      </c>
    </row>
    <row r="66" spans="1:5" s="589" customFormat="1" ht="21.95" customHeight="1">
      <c r="B66" s="3170" t="s">
        <v>1446</v>
      </c>
      <c r="C66" s="3171" t="s">
        <v>1445</v>
      </c>
      <c r="D66" s="3181">
        <f>CEILING(E66*$A$68, 50)</f>
        <v>2500</v>
      </c>
      <c r="E66" s="3176">
        <v>1500</v>
      </c>
    </row>
    <row r="67" spans="1:5" ht="3" customHeight="1"/>
    <row r="68" spans="1:5" hidden="1">
      <c r="A68" s="125">
        <v>1.65</v>
      </c>
    </row>
  </sheetData>
  <mergeCells count="20">
    <mergeCell ref="E6:F6"/>
    <mergeCell ref="B6:C6"/>
    <mergeCell ref="E9:F9"/>
    <mergeCell ref="B7:F7"/>
    <mergeCell ref="B14:C14"/>
    <mergeCell ref="E14:F14"/>
    <mergeCell ref="B9:C9"/>
    <mergeCell ref="B8:C8"/>
    <mergeCell ref="E8:F8"/>
    <mergeCell ref="B10:C10"/>
    <mergeCell ref="E10:F10"/>
    <mergeCell ref="C56:C58"/>
    <mergeCell ref="B13:C13"/>
    <mergeCell ref="E15:F15"/>
    <mergeCell ref="B15:C15"/>
    <mergeCell ref="B11:C11"/>
    <mergeCell ref="E11:F11"/>
    <mergeCell ref="B42:F42"/>
    <mergeCell ref="B43:F43"/>
    <mergeCell ref="B44:F45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57" firstPageNumber="68" orientation="portrait" useFirstPageNumber="1" r:id="rId1"/>
  <headerFooter>
    <oddFooter>&amp;L&amp;P&amp;R&amp;24&amp;G</oddFooter>
  </headerFooter>
  <rowBreaks count="1" manualBreakCount="1">
    <brk id="68" max="6" man="1"/>
  </rowBreaks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Лист43"/>
  <dimension ref="A1:P71"/>
  <sheetViews>
    <sheetView view="pageBreakPreview" zoomScale="80" zoomScaleNormal="100" zoomScaleSheetLayoutView="80" workbookViewId="0">
      <pane ySplit="1" topLeftCell="A2" activePane="bottomLeft" state="frozen"/>
      <selection pane="bottomLeft"/>
    </sheetView>
  </sheetViews>
  <sheetFormatPr defaultColWidth="9.140625" defaultRowHeight="15"/>
  <cols>
    <col min="1" max="1" width="60.7109375" style="81" customWidth="1"/>
    <col min="2" max="2" width="4.140625" style="81" customWidth="1"/>
    <col min="3" max="4" width="30.7109375" style="81" customWidth="1"/>
    <col min="5" max="5" width="17" style="81" customWidth="1"/>
    <col min="6" max="11" width="9.140625" style="81"/>
    <col min="12" max="16" width="9.140625" style="295"/>
    <col min="17" max="16384" width="9.140625" style="81"/>
  </cols>
  <sheetData>
    <row r="1" spans="1:16" ht="18" customHeight="1">
      <c r="A1" s="2285" t="s">
        <v>490</v>
      </c>
      <c r="B1" s="79"/>
      <c r="C1" s="79"/>
    </row>
    <row r="2" spans="1:16" ht="18" customHeight="1">
      <c r="A2" s="79"/>
      <c r="B2" s="79"/>
      <c r="C2" s="79"/>
      <c r="D2" s="79"/>
      <c r="L2" s="81"/>
      <c r="M2" s="81"/>
      <c r="N2" s="81"/>
      <c r="O2" s="81"/>
      <c r="P2" s="81"/>
    </row>
    <row r="3" spans="1:16" s="470" customFormat="1" ht="18" customHeight="1">
      <c r="A3" s="627"/>
      <c r="B3" s="26"/>
      <c r="C3" s="471"/>
      <c r="D3" s="4009"/>
      <c r="E3" s="471"/>
      <c r="F3" s="471"/>
      <c r="G3" s="471"/>
      <c r="H3" s="471"/>
      <c r="I3" s="471"/>
      <c r="J3" s="471"/>
      <c r="K3" s="471"/>
      <c r="L3" s="471"/>
      <c r="M3" s="471"/>
      <c r="N3" s="471"/>
      <c r="O3" s="471"/>
    </row>
    <row r="4" spans="1:16" ht="18" customHeight="1">
      <c r="A4" s="1080" t="s">
        <v>303</v>
      </c>
      <c r="B4" s="79"/>
      <c r="C4" s="5749" t="s">
        <v>19</v>
      </c>
      <c r="D4" s="5749"/>
      <c r="E4" s="79"/>
    </row>
    <row r="5" spans="1:16" ht="14.45" customHeight="1">
      <c r="A5" s="1159" t="s">
        <v>2887</v>
      </c>
      <c r="B5" s="79"/>
      <c r="C5" s="1159" t="s">
        <v>3501</v>
      </c>
      <c r="D5" s="1160" t="s">
        <v>175</v>
      </c>
      <c r="E5" s="79"/>
    </row>
    <row r="6" spans="1:16" s="95" customFormat="1" ht="14.45" customHeight="1">
      <c r="A6" s="3983" t="s">
        <v>166</v>
      </c>
      <c r="B6" s="461"/>
      <c r="C6" s="4010" t="s">
        <v>288</v>
      </c>
      <c r="D6" s="4011" t="s">
        <v>185</v>
      </c>
      <c r="E6" s="111"/>
    </row>
    <row r="7" spans="1:16" ht="14.45" customHeight="1">
      <c r="A7" s="3984" t="s">
        <v>2884</v>
      </c>
      <c r="B7" s="105"/>
      <c r="C7" s="4012" t="s">
        <v>291</v>
      </c>
      <c r="D7" s="4013" t="s">
        <v>282</v>
      </c>
      <c r="E7" s="79"/>
    </row>
    <row r="8" spans="1:16" ht="14.45" customHeight="1">
      <c r="A8" s="3983" t="s">
        <v>168</v>
      </c>
      <c r="B8" s="105"/>
      <c r="C8" s="4010" t="s">
        <v>292</v>
      </c>
      <c r="D8" s="4011" t="s">
        <v>185</v>
      </c>
      <c r="E8" s="79"/>
    </row>
    <row r="9" spans="1:16" ht="14.45" customHeight="1">
      <c r="A9" s="3984" t="s">
        <v>998</v>
      </c>
      <c r="B9" s="105"/>
      <c r="C9" s="4012" t="s">
        <v>999</v>
      </c>
      <c r="D9" s="4013" t="s">
        <v>1000</v>
      </c>
      <c r="E9" s="79"/>
    </row>
    <row r="10" spans="1:16" ht="14.45" customHeight="1">
      <c r="A10" s="3983" t="s">
        <v>238</v>
      </c>
      <c r="B10" s="105"/>
      <c r="C10" s="4010" t="s">
        <v>290</v>
      </c>
      <c r="D10" s="4011" t="s">
        <v>237</v>
      </c>
      <c r="E10" s="79"/>
    </row>
    <row r="11" spans="1:16" ht="14.45" customHeight="1">
      <c r="A11" s="3984" t="s">
        <v>167</v>
      </c>
      <c r="B11" s="105"/>
      <c r="C11" s="4012" t="s">
        <v>289</v>
      </c>
      <c r="D11" s="4013" t="s">
        <v>259</v>
      </c>
      <c r="E11" s="79"/>
    </row>
    <row r="12" spans="1:16" ht="14.45" customHeight="1">
      <c r="A12" s="3983" t="s">
        <v>2512</v>
      </c>
      <c r="B12" s="105"/>
      <c r="C12" s="4010" t="s">
        <v>2509</v>
      </c>
      <c r="D12" s="4011" t="s">
        <v>2510</v>
      </c>
      <c r="E12" s="79"/>
    </row>
    <row r="13" spans="1:16" ht="14.45" customHeight="1">
      <c r="A13" s="3984" t="s">
        <v>301</v>
      </c>
      <c r="B13" s="105"/>
      <c r="C13" s="4012" t="s">
        <v>293</v>
      </c>
      <c r="D13" s="4013" t="s">
        <v>185</v>
      </c>
      <c r="E13" s="79"/>
    </row>
    <row r="14" spans="1:16" ht="14.45" customHeight="1">
      <c r="A14" s="3983" t="s">
        <v>302</v>
      </c>
      <c r="B14" s="79"/>
      <c r="C14" s="4010" t="s">
        <v>294</v>
      </c>
      <c r="D14" s="4011" t="s">
        <v>177</v>
      </c>
      <c r="E14" s="79"/>
    </row>
    <row r="15" spans="1:16" ht="14.45" customHeight="1">
      <c r="B15" s="79"/>
      <c r="C15" s="4014" t="s">
        <v>3493</v>
      </c>
      <c r="D15" s="4015" t="s">
        <v>3480</v>
      </c>
      <c r="E15" s="79"/>
    </row>
    <row r="16" spans="1:16" ht="14.45" customHeight="1">
      <c r="A16" s="1159" t="s">
        <v>2888</v>
      </c>
      <c r="B16" s="79"/>
      <c r="C16" s="4016" t="s">
        <v>3490</v>
      </c>
      <c r="D16" s="4017" t="s">
        <v>3481</v>
      </c>
      <c r="E16" s="106"/>
    </row>
    <row r="17" spans="1:5" ht="14.45" customHeight="1">
      <c r="A17" s="3977" t="s">
        <v>1484</v>
      </c>
      <c r="B17" s="79"/>
      <c r="C17" s="4012" t="s">
        <v>3491</v>
      </c>
      <c r="D17" s="4015" t="s">
        <v>3482</v>
      </c>
      <c r="E17" s="106"/>
    </row>
    <row r="18" spans="1:5" ht="14.45" customHeight="1">
      <c r="A18" s="3978" t="s">
        <v>148</v>
      </c>
      <c r="B18" s="79"/>
      <c r="C18" s="4016" t="s">
        <v>3483</v>
      </c>
      <c r="D18" s="4017" t="s">
        <v>3489</v>
      </c>
      <c r="E18" s="106"/>
    </row>
    <row r="19" spans="1:5" ht="14.45" customHeight="1">
      <c r="A19" s="3979" t="s">
        <v>756</v>
      </c>
      <c r="B19" s="79"/>
      <c r="C19" s="4014" t="s">
        <v>3492</v>
      </c>
      <c r="D19" s="4015" t="s">
        <v>3488</v>
      </c>
      <c r="E19" s="106"/>
    </row>
    <row r="20" spans="1:5" ht="14.45" customHeight="1">
      <c r="A20" s="3980" t="s">
        <v>1001</v>
      </c>
      <c r="B20" s="79"/>
      <c r="C20" s="4010" t="s">
        <v>3484</v>
      </c>
      <c r="D20" s="4017" t="s">
        <v>3487</v>
      </c>
      <c r="E20" s="106"/>
    </row>
    <row r="21" spans="1:5" ht="14.45" customHeight="1">
      <c r="A21" s="3979" t="s">
        <v>1002</v>
      </c>
      <c r="B21" s="79"/>
      <c r="C21" s="4014" t="s">
        <v>3485</v>
      </c>
      <c r="D21" s="4015" t="s">
        <v>3486</v>
      </c>
      <c r="E21" s="79"/>
    </row>
    <row r="22" spans="1:5" ht="14.45" customHeight="1">
      <c r="A22" s="3978" t="s">
        <v>683</v>
      </c>
      <c r="B22" s="79"/>
      <c r="E22" s="79"/>
    </row>
    <row r="23" spans="1:5" ht="14.45" customHeight="1">
      <c r="A23" s="3977" t="s">
        <v>149</v>
      </c>
      <c r="B23" s="79"/>
      <c r="C23" s="1159" t="s">
        <v>3502</v>
      </c>
      <c r="D23" s="1160" t="s">
        <v>175</v>
      </c>
      <c r="E23" s="79"/>
    </row>
    <row r="24" spans="1:5" ht="14.45" customHeight="1">
      <c r="A24" s="3981" t="s">
        <v>242</v>
      </c>
      <c r="B24" s="79"/>
      <c r="C24" s="4018" t="s">
        <v>169</v>
      </c>
      <c r="D24" s="4011" t="s">
        <v>185</v>
      </c>
      <c r="E24" s="79"/>
    </row>
    <row r="25" spans="1:5" ht="14.45" customHeight="1">
      <c r="A25" s="3982" t="s">
        <v>151</v>
      </c>
      <c r="B25" s="79"/>
      <c r="C25" s="4019" t="s">
        <v>304</v>
      </c>
      <c r="D25" s="4013" t="s">
        <v>282</v>
      </c>
      <c r="E25" s="79"/>
    </row>
    <row r="26" spans="1:5" ht="14.45" customHeight="1">
      <c r="B26" s="79"/>
      <c r="C26" s="4018" t="s">
        <v>171</v>
      </c>
      <c r="D26" s="4011" t="s">
        <v>185</v>
      </c>
      <c r="E26" s="79"/>
    </row>
    <row r="27" spans="1:5" ht="14.45" customHeight="1">
      <c r="A27" s="1159" t="s">
        <v>3432</v>
      </c>
      <c r="B27" s="79"/>
      <c r="C27" s="4019" t="s">
        <v>1379</v>
      </c>
      <c r="D27" s="4013" t="s">
        <v>1000</v>
      </c>
      <c r="E27" s="79"/>
    </row>
    <row r="28" spans="1:5" ht="14.45" customHeight="1">
      <c r="A28" s="3974" t="s">
        <v>3429</v>
      </c>
      <c r="B28" s="79"/>
      <c r="C28" s="4018" t="s">
        <v>239</v>
      </c>
      <c r="D28" s="4011" t="s">
        <v>237</v>
      </c>
      <c r="E28" s="79"/>
    </row>
    <row r="29" spans="1:5" ht="15.75" customHeight="1">
      <c r="A29" s="3975" t="s">
        <v>3430</v>
      </c>
      <c r="B29" s="79"/>
      <c r="C29" s="4019" t="s">
        <v>170</v>
      </c>
      <c r="D29" s="4013" t="s">
        <v>259</v>
      </c>
      <c r="E29" s="79"/>
    </row>
    <row r="30" spans="1:5" ht="15.75" customHeight="1">
      <c r="A30" s="3976" t="s">
        <v>3431</v>
      </c>
      <c r="B30" s="79"/>
      <c r="C30" s="4018" t="s">
        <v>2511</v>
      </c>
      <c r="D30" s="4011" t="s">
        <v>2510</v>
      </c>
      <c r="E30" s="79"/>
    </row>
    <row r="31" spans="1:5" ht="15.75" customHeight="1">
      <c r="A31" s="3973"/>
      <c r="B31" s="79"/>
      <c r="C31" s="4019" t="s">
        <v>176</v>
      </c>
      <c r="D31" s="4013" t="s">
        <v>185</v>
      </c>
      <c r="E31" s="79"/>
    </row>
    <row r="32" spans="1:5" ht="15.75" customHeight="1">
      <c r="A32" s="4006" t="s">
        <v>2590</v>
      </c>
      <c r="B32" s="79"/>
      <c r="C32" s="4018" t="s">
        <v>172</v>
      </c>
      <c r="D32" s="4011" t="s">
        <v>177</v>
      </c>
      <c r="E32" s="79"/>
    </row>
    <row r="33" spans="1:11" ht="15.75" customHeight="1">
      <c r="A33" s="4007" t="s">
        <v>150</v>
      </c>
      <c r="B33" s="79"/>
      <c r="C33" s="4020" t="s">
        <v>3494</v>
      </c>
      <c r="D33" s="4015" t="s">
        <v>3480</v>
      </c>
      <c r="E33" s="79"/>
      <c r="I33" s="426" t="s">
        <v>5</v>
      </c>
      <c r="J33" s="531"/>
      <c r="K33" s="79"/>
    </row>
    <row r="34" spans="1:11" s="95" customFormat="1" ht="15.75" customHeight="1">
      <c r="A34" s="4008" t="s">
        <v>152</v>
      </c>
      <c r="B34" s="111"/>
      <c r="C34" s="4021" t="s">
        <v>3495</v>
      </c>
      <c r="D34" s="4017" t="s">
        <v>3481</v>
      </c>
      <c r="E34" s="111"/>
      <c r="I34" s="4187" t="s">
        <v>5</v>
      </c>
      <c r="J34" s="4187"/>
      <c r="K34" s="4187"/>
    </row>
    <row r="35" spans="1:11" ht="15.75" customHeight="1">
      <c r="A35" s="427" t="s">
        <v>429</v>
      </c>
      <c r="B35" s="79"/>
      <c r="C35" s="4019" t="s">
        <v>3496</v>
      </c>
      <c r="D35" s="4015" t="s">
        <v>3482</v>
      </c>
      <c r="E35" s="80"/>
    </row>
    <row r="36" spans="1:11" ht="15.75" customHeight="1">
      <c r="A36" s="81" t="s">
        <v>428</v>
      </c>
      <c r="B36" s="79"/>
      <c r="C36" s="4021" t="s">
        <v>3497</v>
      </c>
      <c r="D36" s="4017" t="s">
        <v>3489</v>
      </c>
      <c r="E36" s="79"/>
    </row>
    <row r="37" spans="1:11" ht="15.75" customHeight="1">
      <c r="A37" s="426" t="s">
        <v>2885</v>
      </c>
      <c r="B37" s="79"/>
      <c r="C37" s="4020" t="s">
        <v>3498</v>
      </c>
      <c r="D37" s="4015" t="s">
        <v>3488</v>
      </c>
      <c r="E37" s="79"/>
    </row>
    <row r="38" spans="1:11" ht="15.75" customHeight="1">
      <c r="A38" s="79"/>
      <c r="B38" s="79"/>
      <c r="C38" s="4018" t="s">
        <v>3500</v>
      </c>
      <c r="D38" s="4017" t="s">
        <v>3487</v>
      </c>
      <c r="E38" s="79"/>
    </row>
    <row r="39" spans="1:11" ht="18.75" customHeight="1">
      <c r="A39" s="81" t="s">
        <v>1003</v>
      </c>
      <c r="B39" s="79"/>
      <c r="C39" s="4020" t="s">
        <v>3499</v>
      </c>
      <c r="D39" s="4015" t="s">
        <v>3486</v>
      </c>
      <c r="E39" s="319"/>
    </row>
    <row r="40" spans="1:11" ht="17.25" customHeight="1">
      <c r="A40" s="81" t="s">
        <v>2886</v>
      </c>
      <c r="B40" s="79"/>
    </row>
    <row r="41" spans="1:11" ht="32.25" customHeight="1">
      <c r="A41" s="1973"/>
      <c r="B41" s="79"/>
      <c r="C41" s="3563" t="s">
        <v>147</v>
      </c>
      <c r="D41" s="3564"/>
    </row>
    <row r="42" spans="1:11" ht="19.5" customHeight="1">
      <c r="B42" s="79"/>
      <c r="C42" s="5747" t="s">
        <v>3179</v>
      </c>
      <c r="D42" s="5748"/>
    </row>
    <row r="43" spans="1:11" ht="27.75" customHeight="1">
      <c r="A43" s="79"/>
      <c r="B43" s="79"/>
      <c r="C43" s="426" t="s">
        <v>427</v>
      </c>
      <c r="D43" s="531"/>
      <c r="E43" s="79"/>
    </row>
    <row r="44" spans="1:11" ht="38.25" customHeight="1">
      <c r="A44" s="79"/>
      <c r="B44" s="79"/>
      <c r="C44" s="4187" t="s">
        <v>3174</v>
      </c>
      <c r="D44" s="4187"/>
      <c r="E44" s="4187"/>
    </row>
    <row r="45" spans="1:11" ht="14.45" customHeight="1">
      <c r="A45" s="79"/>
      <c r="B45" s="79"/>
      <c r="C45" s="79"/>
      <c r="D45" s="79"/>
      <c r="E45" s="79"/>
      <c r="F45" s="79"/>
      <c r="G45" s="79"/>
      <c r="H45" s="79"/>
      <c r="I45" s="79"/>
    </row>
    <row r="46" spans="1:11" ht="14.45" customHeight="1">
      <c r="A46" s="79"/>
      <c r="B46" s="79"/>
      <c r="C46" s="79"/>
      <c r="D46" s="79"/>
      <c r="E46" s="79"/>
      <c r="F46" s="79"/>
      <c r="G46" s="79"/>
      <c r="H46" s="79"/>
      <c r="I46" s="79"/>
    </row>
    <row r="47" spans="1:11" ht="14.45" customHeight="1">
      <c r="A47" s="79"/>
      <c r="B47" s="79"/>
      <c r="C47" s="79"/>
      <c r="D47" s="79"/>
      <c r="E47" s="79"/>
      <c r="F47" s="79"/>
      <c r="G47" s="79"/>
      <c r="H47" s="79"/>
      <c r="I47" s="79"/>
    </row>
    <row r="48" spans="1:11" ht="14.45" customHeight="1">
      <c r="A48" s="110"/>
      <c r="B48" s="79"/>
      <c r="C48" s="79"/>
      <c r="D48" s="79"/>
      <c r="E48" s="79"/>
      <c r="F48" s="79"/>
      <c r="G48" s="79"/>
      <c r="H48" s="79"/>
      <c r="I48" s="79"/>
    </row>
    <row r="49" spans="1:16" ht="14.45" customHeight="1">
      <c r="A49" s="110"/>
      <c r="B49" s="79"/>
      <c r="C49" s="79"/>
      <c r="D49" s="79"/>
      <c r="E49" s="79"/>
      <c r="F49" s="79"/>
      <c r="G49" s="79"/>
      <c r="H49" s="79"/>
      <c r="I49" s="79"/>
    </row>
    <row r="50" spans="1:16" ht="14.45" customHeight="1">
      <c r="A50" s="110"/>
      <c r="B50" s="79"/>
      <c r="C50" s="79"/>
      <c r="D50" s="79"/>
      <c r="E50" s="79"/>
      <c r="F50" s="79"/>
      <c r="G50" s="79"/>
      <c r="H50" s="79"/>
      <c r="I50" s="79"/>
    </row>
    <row r="51" spans="1:16" ht="14.45" customHeight="1">
      <c r="A51" s="110"/>
      <c r="B51" s="79"/>
      <c r="C51" s="79"/>
      <c r="D51" s="79"/>
      <c r="E51" s="79"/>
      <c r="F51" s="79"/>
      <c r="G51" s="79"/>
      <c r="H51" s="79"/>
      <c r="I51" s="79"/>
    </row>
    <row r="52" spans="1:16" ht="14.45" customHeight="1">
      <c r="A52" s="98"/>
      <c r="B52" s="79"/>
      <c r="C52" s="79"/>
      <c r="D52" s="79"/>
      <c r="E52" s="79"/>
      <c r="F52" s="79"/>
      <c r="G52" s="79"/>
      <c r="H52" s="79"/>
      <c r="I52" s="79"/>
    </row>
    <row r="53" spans="1:16" ht="14.45" customHeight="1">
      <c r="A53" s="98"/>
      <c r="B53" s="79"/>
      <c r="C53" s="79"/>
      <c r="D53" s="79"/>
      <c r="E53" s="79"/>
      <c r="F53" s="79"/>
      <c r="G53" s="79"/>
      <c r="H53" s="79"/>
      <c r="I53" s="79"/>
    </row>
    <row r="54" spans="1:16" ht="14.45" customHeight="1">
      <c r="A54" s="98"/>
      <c r="B54" s="79"/>
      <c r="C54" s="79"/>
      <c r="D54" s="79"/>
      <c r="E54" s="79"/>
      <c r="F54" s="79"/>
      <c r="G54" s="79"/>
      <c r="H54" s="79"/>
      <c r="I54" s="79"/>
    </row>
    <row r="55" spans="1:16" ht="14.45" customHeight="1">
      <c r="A55" s="98"/>
      <c r="B55" s="79"/>
      <c r="C55" s="79"/>
      <c r="D55" s="79"/>
      <c r="E55" s="79"/>
      <c r="F55" s="79"/>
      <c r="G55" s="79"/>
      <c r="H55" s="79"/>
      <c r="I55" s="79"/>
    </row>
    <row r="56" spans="1:16" ht="14.45" customHeight="1">
      <c r="A56" s="100"/>
      <c r="B56" s="79"/>
      <c r="C56" s="79"/>
      <c r="D56" s="79"/>
      <c r="E56" s="79"/>
      <c r="F56" s="79"/>
      <c r="G56" s="79"/>
      <c r="H56" s="79"/>
      <c r="I56" s="79"/>
    </row>
    <row r="57" spans="1:16" ht="14.45" customHeight="1">
      <c r="A57" s="88"/>
      <c r="B57" s="110"/>
      <c r="C57" s="110"/>
      <c r="D57" s="110"/>
      <c r="E57" s="79"/>
      <c r="F57" s="79"/>
      <c r="G57" s="79"/>
      <c r="H57" s="79"/>
      <c r="I57" s="79"/>
    </row>
    <row r="58" spans="1:16" s="179" customFormat="1" ht="14.45" customHeight="1">
      <c r="A58" s="98"/>
      <c r="B58" s="79"/>
      <c r="C58" s="298"/>
      <c r="D58" s="299"/>
      <c r="E58" s="110"/>
      <c r="F58" s="110"/>
      <c r="G58" s="110"/>
      <c r="H58" s="110"/>
      <c r="I58" s="110"/>
      <c r="L58" s="297"/>
      <c r="M58" s="297"/>
      <c r="N58" s="297"/>
      <c r="O58" s="297"/>
      <c r="P58" s="297"/>
    </row>
    <row r="59" spans="1:16" ht="14.45" customHeight="1">
      <c r="A59" s="98"/>
      <c r="B59" s="79"/>
      <c r="C59" s="79"/>
      <c r="D59" s="79"/>
      <c r="E59" s="79"/>
    </row>
    <row r="60" spans="1:16" ht="5.25" customHeight="1">
      <c r="A60" s="98"/>
      <c r="C60" s="79"/>
      <c r="D60" s="79"/>
      <c r="E60" s="79"/>
    </row>
    <row r="61" spans="1:16">
      <c r="A61" s="98"/>
      <c r="C61" s="79"/>
      <c r="D61" s="79"/>
    </row>
    <row r="62" spans="1:16">
      <c r="A62" s="98"/>
      <c r="C62" s="79"/>
      <c r="D62" s="79"/>
    </row>
    <row r="63" spans="1:16">
      <c r="A63" s="98"/>
    </row>
    <row r="64" spans="1:16">
      <c r="A64" s="98"/>
    </row>
    <row r="65" spans="1:1">
      <c r="A65" s="98"/>
    </row>
    <row r="66" spans="1:1">
      <c r="A66" s="98"/>
    </row>
    <row r="67" spans="1:1">
      <c r="A67" s="98"/>
    </row>
    <row r="68" spans="1:1">
      <c r="A68" s="98"/>
    </row>
    <row r="69" spans="1:1">
      <c r="A69" s="99"/>
    </row>
    <row r="70" spans="1:1">
      <c r="A70" s="98"/>
    </row>
    <row r="71" spans="1:1">
      <c r="A71" s="98"/>
    </row>
  </sheetData>
  <mergeCells count="4">
    <mergeCell ref="I34:K34"/>
    <mergeCell ref="C42:D42"/>
    <mergeCell ref="C44:E44"/>
    <mergeCell ref="C4:D4"/>
  </mergeCells>
  <hyperlinks>
    <hyperlink ref="A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9" firstPageNumber="64" orientation="landscape" useFirstPageNumber="1" r:id="rId1"/>
  <headerFooter>
    <oddFooter>&amp;L&amp;P&amp;R&amp;24&amp;G</oddFooter>
  </headerFooter>
  <legacyDrawingHF r:id="rId2"/>
</worksheet>
</file>

<file path=xl/worksheets/sheet68.xml><?xml version="1.0" encoding="utf-8"?>
<worksheet xmlns="http://schemas.openxmlformats.org/spreadsheetml/2006/main" xmlns:r="http://schemas.openxmlformats.org/officeDocument/2006/relationships">
  <sheetPr codeName="Лист59">
    <tabColor theme="0" tint="-0.14999847407452621"/>
  </sheetPr>
  <dimension ref="A1:P59"/>
  <sheetViews>
    <sheetView view="pageBreakPreview" zoomScale="85" zoomScaleNormal="60" zoomScaleSheetLayoutView="85" zoomScalePageLayoutView="85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1" sqref="B1"/>
    </sheetView>
  </sheetViews>
  <sheetFormatPr defaultColWidth="9.140625" defaultRowHeight="15" outlineLevelCol="1"/>
  <cols>
    <col min="1" max="1" width="2.5703125" style="81" customWidth="1"/>
    <col min="2" max="2" width="6.85546875" style="81" customWidth="1"/>
    <col min="3" max="3" width="11.7109375" style="129" hidden="1" customWidth="1"/>
    <col min="4" max="4" width="17.7109375" style="129" customWidth="1"/>
    <col min="5" max="5" width="24.7109375" style="129" bestFit="1" customWidth="1"/>
    <col min="6" max="6" width="17.28515625" style="129" hidden="1" customWidth="1" outlineLevel="1"/>
    <col min="7" max="7" width="9.7109375" style="465" hidden="1" customWidth="1"/>
    <col min="8" max="8" width="24.7109375" style="129" customWidth="1"/>
    <col min="9" max="9" width="19" style="129" customWidth="1"/>
    <col min="10" max="10" width="9.42578125" style="129" customWidth="1"/>
    <col min="11" max="11" width="5" style="129" customWidth="1"/>
    <col min="12" max="12" width="2.85546875" style="85" customWidth="1"/>
    <col min="13" max="13" width="6.85546875" style="81" customWidth="1"/>
    <col min="14" max="14" width="11.42578125" style="97" bestFit="1" customWidth="1"/>
    <col min="15" max="15" width="8.140625" style="81" customWidth="1"/>
    <col min="16" max="16" width="5" style="81" bestFit="1" customWidth="1"/>
    <col min="17" max="16384" width="9.140625" style="81"/>
  </cols>
  <sheetData>
    <row r="1" spans="1:16" s="2286" customFormat="1" ht="18.75">
      <c r="B1" s="2285" t="s">
        <v>490</v>
      </c>
      <c r="C1" s="2292"/>
      <c r="D1" s="2300"/>
      <c r="E1" s="2280"/>
      <c r="F1" s="2300"/>
      <c r="G1" s="465"/>
      <c r="H1" s="2300"/>
      <c r="I1" s="2300"/>
      <c r="J1" s="2300"/>
      <c r="K1" s="2300"/>
      <c r="L1" s="2301"/>
      <c r="N1" s="2302"/>
    </row>
    <row r="2" spans="1:16" s="295" customFormat="1" ht="18" customHeight="1">
      <c r="A2" s="79"/>
      <c r="B2" s="79"/>
      <c r="C2" s="428"/>
      <c r="D2" s="2393"/>
      <c r="E2" s="872"/>
      <c r="F2" s="1220"/>
      <c r="G2" s="456"/>
      <c r="H2" s="872"/>
      <c r="J2" s="1229" t="s">
        <v>1425</v>
      </c>
      <c r="K2" s="1229"/>
      <c r="L2" s="457"/>
      <c r="M2" s="471"/>
      <c r="N2" s="471"/>
      <c r="O2" s="471"/>
      <c r="P2" s="471"/>
    </row>
    <row r="3" spans="1:16" s="295" customFormat="1" ht="30" customHeight="1">
      <c r="A3" s="79"/>
      <c r="B3" s="877" t="s">
        <v>272</v>
      </c>
      <c r="C3" s="877" t="s">
        <v>173</v>
      </c>
      <c r="D3" s="2489" t="s">
        <v>2502</v>
      </c>
      <c r="E3" s="877" t="s">
        <v>27</v>
      </c>
      <c r="F3" s="1227" t="s">
        <v>1543</v>
      </c>
      <c r="G3" s="878" t="s">
        <v>174</v>
      </c>
      <c r="H3" s="877" t="s">
        <v>183</v>
      </c>
      <c r="I3" s="877" t="s">
        <v>273</v>
      </c>
      <c r="J3" s="877" t="s">
        <v>2461</v>
      </c>
      <c r="K3" s="877" t="s">
        <v>482</v>
      </c>
      <c r="L3" s="457"/>
      <c r="M3" s="471"/>
      <c r="N3" s="471"/>
      <c r="O3" s="471"/>
      <c r="P3" s="471"/>
    </row>
    <row r="4" spans="1:16" s="295" customFormat="1" ht="18.75">
      <c r="A4" s="5750"/>
      <c r="B4" s="2490">
        <v>1</v>
      </c>
      <c r="C4" s="2491" t="s">
        <v>63</v>
      </c>
      <c r="D4" s="5755" t="s">
        <v>2501</v>
      </c>
      <c r="E4" s="2492" t="s">
        <v>72</v>
      </c>
      <c r="F4" s="2493" t="s">
        <v>1544</v>
      </c>
      <c r="G4" s="2494">
        <v>0.18</v>
      </c>
      <c r="H4" s="2495" t="s">
        <v>199</v>
      </c>
      <c r="I4" s="2496" t="s">
        <v>274</v>
      </c>
      <c r="J4" s="2497">
        <v>1</v>
      </c>
      <c r="K4" s="2497" t="s">
        <v>407</v>
      </c>
      <c r="L4" s="457"/>
      <c r="M4" s="471"/>
      <c r="N4" s="471"/>
      <c r="O4" s="471"/>
      <c r="P4" s="471"/>
    </row>
    <row r="5" spans="1:16" s="295" customFormat="1" ht="18.75">
      <c r="A5" s="5750"/>
      <c r="B5" s="2490">
        <v>2</v>
      </c>
      <c r="C5" s="2491" t="s">
        <v>63</v>
      </c>
      <c r="D5" s="5755"/>
      <c r="E5" s="2492" t="s">
        <v>73</v>
      </c>
      <c r="F5" s="2493" t="s">
        <v>1545</v>
      </c>
      <c r="G5" s="2494">
        <v>0.18</v>
      </c>
      <c r="H5" s="2495" t="s">
        <v>200</v>
      </c>
      <c r="I5" s="2496" t="s">
        <v>274</v>
      </c>
      <c r="J5" s="2497">
        <v>1</v>
      </c>
      <c r="K5" s="2497" t="s">
        <v>407</v>
      </c>
      <c r="L5" s="457"/>
      <c r="N5" s="471"/>
      <c r="O5" s="471"/>
      <c r="P5" s="471"/>
    </row>
    <row r="6" spans="1:16" s="295" customFormat="1" ht="18.75">
      <c r="A6" s="5750"/>
      <c r="B6" s="2490">
        <v>3</v>
      </c>
      <c r="C6" s="2491" t="s">
        <v>63</v>
      </c>
      <c r="D6" s="5755"/>
      <c r="E6" s="2492" t="s">
        <v>1588</v>
      </c>
      <c r="F6" s="2493" t="s">
        <v>1546</v>
      </c>
      <c r="G6" s="2494">
        <v>0.18</v>
      </c>
      <c r="H6" s="2495" t="s">
        <v>200</v>
      </c>
      <c r="I6" s="2496" t="s">
        <v>274</v>
      </c>
      <c r="J6" s="2497">
        <v>1</v>
      </c>
      <c r="K6" s="2497" t="s">
        <v>407</v>
      </c>
      <c r="L6" s="457"/>
      <c r="N6" s="471"/>
      <c r="O6" s="471"/>
      <c r="P6" s="471"/>
    </row>
    <row r="7" spans="1:16" s="295" customFormat="1" ht="15.75">
      <c r="A7" s="5750"/>
      <c r="B7" s="2490">
        <v>4</v>
      </c>
      <c r="C7" s="2491" t="s">
        <v>63</v>
      </c>
      <c r="D7" s="5755"/>
      <c r="E7" s="2492" t="s">
        <v>74</v>
      </c>
      <c r="F7" s="2493" t="s">
        <v>1547</v>
      </c>
      <c r="G7" s="2494">
        <v>0.18</v>
      </c>
      <c r="H7" s="2495" t="s">
        <v>200</v>
      </c>
      <c r="I7" s="2496" t="s">
        <v>274</v>
      </c>
      <c r="J7" s="2497">
        <v>1</v>
      </c>
      <c r="K7" s="2497" t="s">
        <v>407</v>
      </c>
      <c r="L7" s="457"/>
    </row>
    <row r="8" spans="1:16" s="295" customFormat="1" ht="15.75">
      <c r="A8" s="5750"/>
      <c r="B8" s="2490">
        <v>5</v>
      </c>
      <c r="C8" s="2491" t="s">
        <v>63</v>
      </c>
      <c r="D8" s="5755"/>
      <c r="E8" s="2492" t="s">
        <v>1589</v>
      </c>
      <c r="F8" s="2493" t="s">
        <v>1548</v>
      </c>
      <c r="G8" s="2494">
        <v>0.18</v>
      </c>
      <c r="H8" s="2495" t="s">
        <v>198</v>
      </c>
      <c r="I8" s="2496" t="s">
        <v>274</v>
      </c>
      <c r="J8" s="2497">
        <v>1</v>
      </c>
      <c r="K8" s="2497" t="s">
        <v>407</v>
      </c>
      <c r="L8" s="457"/>
    </row>
    <row r="9" spans="1:16" s="457" customFormat="1" ht="15.75">
      <c r="A9" s="105"/>
      <c r="B9" s="2490">
        <v>6</v>
      </c>
      <c r="C9" s="2491" t="s">
        <v>63</v>
      </c>
      <c r="D9" s="5755"/>
      <c r="E9" s="2492" t="s">
        <v>180</v>
      </c>
      <c r="F9" s="2493" t="s">
        <v>1549</v>
      </c>
      <c r="G9" s="2494">
        <v>0.18</v>
      </c>
      <c r="H9" s="2495" t="s">
        <v>200</v>
      </c>
      <c r="I9" s="2496" t="s">
        <v>274</v>
      </c>
      <c r="J9" s="2497">
        <v>1</v>
      </c>
      <c r="K9" s="2497" t="s">
        <v>407</v>
      </c>
    </row>
    <row r="10" spans="1:16" s="457" customFormat="1" ht="15.75">
      <c r="A10" s="105"/>
      <c r="B10" s="2490">
        <v>7</v>
      </c>
      <c r="C10" s="2491" t="s">
        <v>483</v>
      </c>
      <c r="D10" s="5755"/>
      <c r="E10" s="2492" t="s">
        <v>2026</v>
      </c>
      <c r="F10" s="2493" t="s">
        <v>1550</v>
      </c>
      <c r="G10" s="2494">
        <v>0.18</v>
      </c>
      <c r="H10" s="2495" t="s">
        <v>195</v>
      </c>
      <c r="I10" s="2496" t="s">
        <v>276</v>
      </c>
      <c r="J10" s="2497">
        <v>1</v>
      </c>
      <c r="K10" s="2497" t="s">
        <v>192</v>
      </c>
    </row>
    <row r="11" spans="1:16" s="457" customFormat="1" ht="15.75" customHeight="1">
      <c r="A11" s="105"/>
      <c r="B11" s="2490">
        <v>8</v>
      </c>
      <c r="C11" s="2491" t="s">
        <v>483</v>
      </c>
      <c r="D11" s="5755"/>
      <c r="E11" s="2492" t="s">
        <v>1590</v>
      </c>
      <c r="F11" s="2493" t="s">
        <v>1551</v>
      </c>
      <c r="G11" s="2494">
        <v>0.18</v>
      </c>
      <c r="H11" s="2495" t="s">
        <v>200</v>
      </c>
      <c r="I11" s="2496" t="s">
        <v>276</v>
      </c>
      <c r="J11" s="2497">
        <v>1</v>
      </c>
      <c r="K11" s="2497" t="s">
        <v>192</v>
      </c>
    </row>
    <row r="12" spans="1:16" s="457" customFormat="1" ht="15.75">
      <c r="A12" s="105"/>
      <c r="B12" s="2490">
        <v>9</v>
      </c>
      <c r="C12" s="2491" t="s">
        <v>483</v>
      </c>
      <c r="D12" s="5755"/>
      <c r="E12" s="2492" t="s">
        <v>1591</v>
      </c>
      <c r="F12" s="2493" t="s">
        <v>1552</v>
      </c>
      <c r="G12" s="2494">
        <v>0.18</v>
      </c>
      <c r="H12" s="2495" t="s">
        <v>196</v>
      </c>
      <c r="I12" s="2496" t="s">
        <v>276</v>
      </c>
      <c r="J12" s="2497">
        <v>1</v>
      </c>
      <c r="K12" s="2497" t="s">
        <v>192</v>
      </c>
    </row>
    <row r="13" spans="1:16" s="458" customFormat="1" ht="15.75">
      <c r="A13" s="105"/>
      <c r="B13" s="2490">
        <v>10</v>
      </c>
      <c r="C13" s="2491" t="s">
        <v>483</v>
      </c>
      <c r="D13" s="5755"/>
      <c r="E13" s="2492" t="s">
        <v>275</v>
      </c>
      <c r="F13" s="2493" t="s">
        <v>1553</v>
      </c>
      <c r="G13" s="2494">
        <v>0.15</v>
      </c>
      <c r="H13" s="2495" t="s">
        <v>200</v>
      </c>
      <c r="I13" s="2496" t="s">
        <v>276</v>
      </c>
      <c r="J13" s="2497">
        <v>1</v>
      </c>
      <c r="K13" s="2497" t="s">
        <v>192</v>
      </c>
    </row>
    <row r="14" spans="1:16" s="458" customFormat="1" ht="15.75">
      <c r="A14" s="105"/>
      <c r="B14" s="2490">
        <v>11</v>
      </c>
      <c r="C14" s="2491" t="s">
        <v>64</v>
      </c>
      <c r="D14" s="5755"/>
      <c r="E14" s="2492" t="s">
        <v>75</v>
      </c>
      <c r="F14" s="2493" t="s">
        <v>1554</v>
      </c>
      <c r="G14" s="2494">
        <v>0.18</v>
      </c>
      <c r="H14" s="2495" t="s">
        <v>277</v>
      </c>
      <c r="I14" s="2496" t="s">
        <v>276</v>
      </c>
      <c r="J14" s="2497">
        <v>1</v>
      </c>
      <c r="K14" s="2497" t="s">
        <v>192</v>
      </c>
    </row>
    <row r="15" spans="1:16" s="458" customFormat="1" ht="15.75">
      <c r="A15" s="105"/>
      <c r="B15" s="2490">
        <v>12</v>
      </c>
      <c r="C15" s="2491" t="s">
        <v>483</v>
      </c>
      <c r="D15" s="5755" t="s">
        <v>2495</v>
      </c>
      <c r="E15" s="2492" t="s">
        <v>267</v>
      </c>
      <c r="F15" s="2493" t="s">
        <v>1555</v>
      </c>
      <c r="G15" s="2494">
        <v>0.18</v>
      </c>
      <c r="H15" s="2495" t="s">
        <v>421</v>
      </c>
      <c r="I15" s="2496" t="s">
        <v>278</v>
      </c>
      <c r="J15" s="2497">
        <v>1</v>
      </c>
      <c r="K15" s="2497" t="s">
        <v>192</v>
      </c>
    </row>
    <row r="16" spans="1:16" s="87" customFormat="1" ht="15.75">
      <c r="A16" s="460"/>
      <c r="B16" s="2490">
        <v>13</v>
      </c>
      <c r="C16" s="2491" t="s">
        <v>483</v>
      </c>
      <c r="D16" s="5755"/>
      <c r="E16" s="2492" t="s">
        <v>1831</v>
      </c>
      <c r="F16" s="2493" t="s">
        <v>1556</v>
      </c>
      <c r="G16" s="2494">
        <v>0.18</v>
      </c>
      <c r="H16" s="2495" t="s">
        <v>415</v>
      </c>
      <c r="I16" s="2496" t="s">
        <v>278</v>
      </c>
      <c r="J16" s="2497">
        <v>1</v>
      </c>
      <c r="K16" s="2497" t="s">
        <v>192</v>
      </c>
    </row>
    <row r="17" spans="1:16" s="87" customFormat="1" ht="15.75">
      <c r="A17" s="460"/>
      <c r="B17" s="2490">
        <v>14</v>
      </c>
      <c r="C17" s="2491" t="s">
        <v>483</v>
      </c>
      <c r="D17" s="5755"/>
      <c r="E17" s="2492" t="s">
        <v>268</v>
      </c>
      <c r="F17" s="2493" t="s">
        <v>1557</v>
      </c>
      <c r="G17" s="2494">
        <v>0.18</v>
      </c>
      <c r="H17" s="2495" t="s">
        <v>416</v>
      </c>
      <c r="I17" s="2496" t="s">
        <v>278</v>
      </c>
      <c r="J17" s="2497">
        <v>1</v>
      </c>
      <c r="K17" s="2497" t="s">
        <v>192</v>
      </c>
    </row>
    <row r="18" spans="1:16" s="459" customFormat="1" ht="15.75">
      <c r="A18" s="458"/>
      <c r="B18" s="2490">
        <v>15</v>
      </c>
      <c r="C18" s="2491" t="s">
        <v>483</v>
      </c>
      <c r="D18" s="5755"/>
      <c r="E18" s="2492" t="s">
        <v>269</v>
      </c>
      <c r="F18" s="2493" t="s">
        <v>1558</v>
      </c>
      <c r="G18" s="2494">
        <v>0.18</v>
      </c>
      <c r="H18" s="2495" t="s">
        <v>417</v>
      </c>
      <c r="I18" s="2496" t="s">
        <v>278</v>
      </c>
      <c r="J18" s="2497">
        <v>1</v>
      </c>
      <c r="K18" s="2497" t="s">
        <v>192</v>
      </c>
      <c r="L18" s="458"/>
    </row>
    <row r="19" spans="1:16" s="95" customFormat="1" ht="15.75">
      <c r="A19" s="461"/>
      <c r="B19" s="2498">
        <v>1</v>
      </c>
      <c r="C19" s="2499" t="s">
        <v>65</v>
      </c>
      <c r="D19" s="5752" t="s">
        <v>2494</v>
      </c>
      <c r="E19" s="2500" t="s">
        <v>76</v>
      </c>
      <c r="F19" s="2501" t="s">
        <v>1608</v>
      </c>
      <c r="G19" s="2502">
        <v>0.25</v>
      </c>
      <c r="H19" s="2503" t="s">
        <v>200</v>
      </c>
      <c r="I19" s="2504" t="s">
        <v>276</v>
      </c>
      <c r="J19" s="2505">
        <v>2</v>
      </c>
      <c r="K19" s="2505" t="s">
        <v>193</v>
      </c>
      <c r="L19" s="462"/>
    </row>
    <row r="20" spans="1:16" ht="15.75">
      <c r="A20" s="105"/>
      <c r="B20" s="2498">
        <v>2</v>
      </c>
      <c r="C20" s="2499" t="s">
        <v>414</v>
      </c>
      <c r="D20" s="5753"/>
      <c r="E20" s="2500" t="s">
        <v>1593</v>
      </c>
      <c r="F20" s="2501" t="s">
        <v>1559</v>
      </c>
      <c r="G20" s="2502">
        <v>0.25</v>
      </c>
      <c r="H20" s="2503" t="s">
        <v>279</v>
      </c>
      <c r="I20" s="2504" t="s">
        <v>276</v>
      </c>
      <c r="J20" s="2505">
        <v>2</v>
      </c>
      <c r="K20" s="2505" t="s">
        <v>193</v>
      </c>
      <c r="N20" s="81"/>
    </row>
    <row r="21" spans="1:16" ht="15.75">
      <c r="A21" s="105"/>
      <c r="B21" s="2498">
        <v>3</v>
      </c>
      <c r="C21" s="2499" t="s">
        <v>414</v>
      </c>
      <c r="D21" s="5753"/>
      <c r="E21" s="2500" t="s">
        <v>1594</v>
      </c>
      <c r="F21" s="2501" t="s">
        <v>1560</v>
      </c>
      <c r="G21" s="2502">
        <v>0.25</v>
      </c>
      <c r="H21" s="2503" t="s">
        <v>422</v>
      </c>
      <c r="I21" s="2504" t="s">
        <v>276</v>
      </c>
      <c r="J21" s="2505">
        <v>2</v>
      </c>
      <c r="K21" s="2505" t="s">
        <v>193</v>
      </c>
    </row>
    <row r="22" spans="1:16" s="464" customFormat="1" ht="15.75">
      <c r="A22" s="105"/>
      <c r="B22" s="2498">
        <v>4</v>
      </c>
      <c r="C22" s="2499" t="s">
        <v>414</v>
      </c>
      <c r="D22" s="5753"/>
      <c r="E22" s="2500" t="s">
        <v>1595</v>
      </c>
      <c r="F22" s="2501" t="s">
        <v>1561</v>
      </c>
      <c r="G22" s="2502">
        <v>0.25</v>
      </c>
      <c r="H22" s="2503" t="s">
        <v>196</v>
      </c>
      <c r="I22" s="2504" t="s">
        <v>276</v>
      </c>
      <c r="J22" s="2505">
        <v>2</v>
      </c>
      <c r="K22" s="2505" t="s">
        <v>193</v>
      </c>
      <c r="L22" s="463"/>
      <c r="P22" s="295"/>
    </row>
    <row r="23" spans="1:16" s="464" customFormat="1" ht="15.75" customHeight="1">
      <c r="A23" s="105"/>
      <c r="B23" s="2498">
        <v>5</v>
      </c>
      <c r="C23" s="2499" t="s">
        <v>414</v>
      </c>
      <c r="D23" s="5753"/>
      <c r="E23" s="2500" t="s">
        <v>1596</v>
      </c>
      <c r="F23" s="2501" t="s">
        <v>1562</v>
      </c>
      <c r="G23" s="2502">
        <v>0.25</v>
      </c>
      <c r="H23" s="2503" t="s">
        <v>279</v>
      </c>
      <c r="I23" s="2504" t="s">
        <v>276</v>
      </c>
      <c r="J23" s="2505">
        <v>2</v>
      </c>
      <c r="K23" s="2505" t="s">
        <v>193</v>
      </c>
      <c r="L23" s="463"/>
      <c r="P23" s="295"/>
    </row>
    <row r="24" spans="1:16" s="464" customFormat="1" ht="15.75" customHeight="1">
      <c r="A24" s="105"/>
      <c r="B24" s="2498">
        <v>6</v>
      </c>
      <c r="C24" s="2499" t="s">
        <v>414</v>
      </c>
      <c r="D24" s="5753"/>
      <c r="E24" s="2500" t="s">
        <v>411</v>
      </c>
      <c r="F24" s="2501" t="s">
        <v>1563</v>
      </c>
      <c r="G24" s="2502">
        <v>0.25</v>
      </c>
      <c r="H24" s="2503" t="s">
        <v>200</v>
      </c>
      <c r="I24" s="2504" t="s">
        <v>276</v>
      </c>
      <c r="J24" s="2505">
        <v>2</v>
      </c>
      <c r="K24" s="2505" t="s">
        <v>193</v>
      </c>
      <c r="L24" s="463"/>
      <c r="P24" s="295"/>
    </row>
    <row r="25" spans="1:16" s="881" customFormat="1" ht="15.75">
      <c r="A25" s="879"/>
      <c r="B25" s="2498">
        <v>7</v>
      </c>
      <c r="C25" s="2499" t="s">
        <v>414</v>
      </c>
      <c r="D25" s="5753"/>
      <c r="E25" s="2500" t="s">
        <v>1205</v>
      </c>
      <c r="F25" s="2501" t="s">
        <v>1575</v>
      </c>
      <c r="G25" s="2502">
        <v>0.25</v>
      </c>
      <c r="H25" s="2503" t="s">
        <v>422</v>
      </c>
      <c r="I25" s="2504" t="s">
        <v>276</v>
      </c>
      <c r="J25" s="2505">
        <v>2</v>
      </c>
      <c r="K25" s="2505" t="s">
        <v>201</v>
      </c>
      <c r="L25" s="880"/>
    </row>
    <row r="26" spans="1:16" s="881" customFormat="1" ht="15.75">
      <c r="A26" s="879"/>
      <c r="B26" s="2498">
        <v>8</v>
      </c>
      <c r="C26" s="2499" t="s">
        <v>414</v>
      </c>
      <c r="D26" s="5753"/>
      <c r="E26" s="2500" t="s">
        <v>1206</v>
      </c>
      <c r="F26" s="2501" t="s">
        <v>1576</v>
      </c>
      <c r="G26" s="2502">
        <v>0.25</v>
      </c>
      <c r="H26" s="2503" t="s">
        <v>200</v>
      </c>
      <c r="I26" s="2504" t="s">
        <v>276</v>
      </c>
      <c r="J26" s="2505">
        <v>2</v>
      </c>
      <c r="K26" s="2505" t="s">
        <v>201</v>
      </c>
      <c r="L26" s="880"/>
    </row>
    <row r="27" spans="1:16" s="881" customFormat="1" ht="15.75">
      <c r="A27" s="879"/>
      <c r="B27" s="2498">
        <v>9</v>
      </c>
      <c r="C27" s="2499" t="s">
        <v>414</v>
      </c>
      <c r="D27" s="5754"/>
      <c r="E27" s="2500" t="s">
        <v>1207</v>
      </c>
      <c r="F27" s="2501" t="s">
        <v>1577</v>
      </c>
      <c r="G27" s="2502">
        <v>0.25</v>
      </c>
      <c r="H27" s="2503" t="s">
        <v>277</v>
      </c>
      <c r="I27" s="2504" t="s">
        <v>276</v>
      </c>
      <c r="J27" s="2505">
        <v>2</v>
      </c>
      <c r="K27" s="2505" t="s">
        <v>201</v>
      </c>
      <c r="L27" s="880"/>
    </row>
    <row r="28" spans="1:16" s="295" customFormat="1" ht="15.75">
      <c r="A28" s="105"/>
      <c r="B28" s="2498">
        <v>10</v>
      </c>
      <c r="C28" s="2499" t="s">
        <v>414</v>
      </c>
      <c r="D28" s="5752" t="s">
        <v>2496</v>
      </c>
      <c r="E28" s="2500" t="s">
        <v>1597</v>
      </c>
      <c r="F28" s="2501" t="s">
        <v>1564</v>
      </c>
      <c r="G28" s="2502">
        <v>0.25</v>
      </c>
      <c r="H28" s="2503" t="s">
        <v>420</v>
      </c>
      <c r="I28" s="2504" t="s">
        <v>281</v>
      </c>
      <c r="J28" s="2505">
        <v>2</v>
      </c>
      <c r="K28" s="2505" t="s">
        <v>193</v>
      </c>
      <c r="L28" s="457"/>
      <c r="M28" s="81"/>
      <c r="N28" s="464"/>
      <c r="O28" s="464"/>
      <c r="P28" s="81"/>
    </row>
    <row r="29" spans="1:16" s="295" customFormat="1" ht="15.75" customHeight="1">
      <c r="A29" s="105"/>
      <c r="B29" s="2498">
        <v>11</v>
      </c>
      <c r="C29" s="2499" t="s">
        <v>63</v>
      </c>
      <c r="D29" s="5753"/>
      <c r="E29" s="2500" t="s">
        <v>69</v>
      </c>
      <c r="F29" s="2501" t="s">
        <v>1565</v>
      </c>
      <c r="G29" s="2502">
        <v>0.25</v>
      </c>
      <c r="H29" s="2503" t="s">
        <v>195</v>
      </c>
      <c r="I29" s="2504" t="s">
        <v>281</v>
      </c>
      <c r="J29" s="2505">
        <v>2</v>
      </c>
      <c r="K29" s="2505" t="s">
        <v>193</v>
      </c>
      <c r="L29" s="457"/>
      <c r="M29" s="81"/>
      <c r="N29" s="464"/>
      <c r="O29" s="464"/>
      <c r="P29" s="81"/>
    </row>
    <row r="30" spans="1:16" s="295" customFormat="1" ht="15.75">
      <c r="A30" s="105"/>
      <c r="B30" s="2498">
        <v>12</v>
      </c>
      <c r="C30" s="2499" t="s">
        <v>63</v>
      </c>
      <c r="D30" s="5753"/>
      <c r="E30" s="2500" t="s">
        <v>71</v>
      </c>
      <c r="F30" s="2501" t="s">
        <v>1566</v>
      </c>
      <c r="G30" s="2502">
        <v>0.25</v>
      </c>
      <c r="H30" s="2503" t="s">
        <v>197</v>
      </c>
      <c r="I30" s="2504" t="s">
        <v>281</v>
      </c>
      <c r="J30" s="2505">
        <v>2</v>
      </c>
      <c r="K30" s="2505" t="s">
        <v>193</v>
      </c>
      <c r="L30" s="457"/>
      <c r="M30" s="81"/>
      <c r="N30" s="464"/>
      <c r="O30" s="464"/>
      <c r="P30" s="81"/>
    </row>
    <row r="31" spans="1:16" s="295" customFormat="1" ht="15.75">
      <c r="A31" s="105"/>
      <c r="B31" s="2498">
        <v>13</v>
      </c>
      <c r="C31" s="2499" t="s">
        <v>63</v>
      </c>
      <c r="D31" s="5753"/>
      <c r="E31" s="2500" t="s">
        <v>70</v>
      </c>
      <c r="F31" s="2501" t="s">
        <v>1567</v>
      </c>
      <c r="G31" s="2502">
        <v>0.25</v>
      </c>
      <c r="H31" s="2503" t="s">
        <v>196</v>
      </c>
      <c r="I31" s="2504" t="s">
        <v>281</v>
      </c>
      <c r="J31" s="2505">
        <v>2</v>
      </c>
      <c r="K31" s="2505" t="s">
        <v>193</v>
      </c>
      <c r="L31" s="457"/>
      <c r="M31" s="81"/>
      <c r="N31" s="464"/>
      <c r="O31" s="464"/>
      <c r="P31" s="81"/>
    </row>
    <row r="32" spans="1:16" s="295" customFormat="1" ht="15.75">
      <c r="A32" s="105"/>
      <c r="B32" s="2498">
        <v>14</v>
      </c>
      <c r="C32" s="2499" t="s">
        <v>64</v>
      </c>
      <c r="D32" s="5753"/>
      <c r="E32" s="2500" t="s">
        <v>68</v>
      </c>
      <c r="F32" s="2501" t="s">
        <v>1568</v>
      </c>
      <c r="G32" s="2502">
        <v>0.25</v>
      </c>
      <c r="H32" s="2503" t="s">
        <v>195</v>
      </c>
      <c r="I32" s="2504" t="s">
        <v>281</v>
      </c>
      <c r="J32" s="2505">
        <v>2</v>
      </c>
      <c r="K32" s="2505" t="s">
        <v>193</v>
      </c>
      <c r="L32" s="457"/>
      <c r="M32" s="81"/>
      <c r="N32" s="464"/>
      <c r="O32" s="464"/>
      <c r="P32" s="81"/>
    </row>
    <row r="33" spans="1:16" ht="15.75">
      <c r="B33" s="2498">
        <v>15</v>
      </c>
      <c r="C33" s="2499" t="s">
        <v>63</v>
      </c>
      <c r="D33" s="5753"/>
      <c r="E33" s="2500" t="s">
        <v>1606</v>
      </c>
      <c r="F33" s="2501" t="s">
        <v>1582</v>
      </c>
      <c r="G33" s="2502">
        <v>0.25</v>
      </c>
      <c r="H33" s="2503" t="s">
        <v>195</v>
      </c>
      <c r="I33" s="2504" t="s">
        <v>280</v>
      </c>
      <c r="J33" s="2505">
        <v>2</v>
      </c>
      <c r="K33" s="2505" t="s">
        <v>201</v>
      </c>
      <c r="L33" s="81"/>
      <c r="N33" s="81"/>
    </row>
    <row r="34" spans="1:16" ht="15.75">
      <c r="B34" s="2498">
        <v>16</v>
      </c>
      <c r="C34" s="2499" t="s">
        <v>63</v>
      </c>
      <c r="D34" s="5753"/>
      <c r="E34" s="2500" t="s">
        <v>1607</v>
      </c>
      <c r="F34" s="2501" t="s">
        <v>1583</v>
      </c>
      <c r="G34" s="2502">
        <v>0.25</v>
      </c>
      <c r="H34" s="2503" t="s">
        <v>196</v>
      </c>
      <c r="I34" s="2504" t="s">
        <v>280</v>
      </c>
      <c r="J34" s="2505">
        <v>2</v>
      </c>
      <c r="K34" s="2505" t="s">
        <v>201</v>
      </c>
      <c r="L34" s="81"/>
      <c r="N34" s="81"/>
    </row>
    <row r="35" spans="1:16" ht="15.75">
      <c r="B35" s="2498">
        <v>17</v>
      </c>
      <c r="C35" s="2499" t="s">
        <v>63</v>
      </c>
      <c r="D35" s="5754"/>
      <c r="E35" s="2500" t="s">
        <v>2179</v>
      </c>
      <c r="F35" s="2501" t="s">
        <v>1584</v>
      </c>
      <c r="G35" s="2502">
        <v>0.25</v>
      </c>
      <c r="H35" s="2503" t="s">
        <v>195</v>
      </c>
      <c r="I35" s="2504" t="s">
        <v>280</v>
      </c>
      <c r="J35" s="2505">
        <v>2</v>
      </c>
      <c r="K35" s="2505" t="s">
        <v>201</v>
      </c>
      <c r="L35" s="81"/>
      <c r="N35" s="81"/>
    </row>
    <row r="36" spans="1:16" ht="15.75">
      <c r="B36" s="3360">
        <v>18</v>
      </c>
      <c r="C36" s="3361" t="s">
        <v>414</v>
      </c>
      <c r="D36" s="5756" t="s">
        <v>2975</v>
      </c>
      <c r="E36" s="3362" t="s">
        <v>2976</v>
      </c>
      <c r="F36" s="3363" t="s">
        <v>2977</v>
      </c>
      <c r="G36" s="3364">
        <v>0.25</v>
      </c>
      <c r="H36" s="3365" t="s">
        <v>195</v>
      </c>
      <c r="I36" s="3366" t="s">
        <v>1164</v>
      </c>
      <c r="J36" s="3367">
        <v>2</v>
      </c>
      <c r="K36" s="3367" t="s">
        <v>201</v>
      </c>
      <c r="L36" s="81"/>
      <c r="N36" s="81"/>
    </row>
    <row r="37" spans="1:16" ht="15.75">
      <c r="B37" s="3360">
        <v>19</v>
      </c>
      <c r="C37" s="3361" t="s">
        <v>414</v>
      </c>
      <c r="D37" s="5756"/>
      <c r="E37" s="3362" t="s">
        <v>2978</v>
      </c>
      <c r="F37" s="3363" t="s">
        <v>2979</v>
      </c>
      <c r="G37" s="3364">
        <v>0.25</v>
      </c>
      <c r="H37" s="3365" t="s">
        <v>2980</v>
      </c>
      <c r="I37" s="3366" t="s">
        <v>1164</v>
      </c>
      <c r="J37" s="3367">
        <v>2</v>
      </c>
      <c r="K37" s="3367" t="s">
        <v>201</v>
      </c>
      <c r="L37" s="81"/>
      <c r="N37" s="81"/>
    </row>
    <row r="38" spans="1:16" ht="15.75">
      <c r="B38" s="3360">
        <v>20</v>
      </c>
      <c r="C38" s="3361" t="s">
        <v>414</v>
      </c>
      <c r="D38" s="5756"/>
      <c r="E38" s="3362" t="s">
        <v>2981</v>
      </c>
      <c r="F38" s="3363" t="s">
        <v>2982</v>
      </c>
      <c r="G38" s="3364">
        <v>0.25</v>
      </c>
      <c r="H38" s="3365" t="s">
        <v>2983</v>
      </c>
      <c r="I38" s="3366" t="s">
        <v>1164</v>
      </c>
      <c r="J38" s="3367">
        <v>2</v>
      </c>
      <c r="K38" s="3367" t="s">
        <v>201</v>
      </c>
      <c r="L38" s="81"/>
      <c r="N38" s="81"/>
    </row>
    <row r="39" spans="1:16" ht="15.75">
      <c r="B39" s="3360">
        <v>21</v>
      </c>
      <c r="C39" s="3361" t="s">
        <v>414</v>
      </c>
      <c r="D39" s="5756"/>
      <c r="E39" s="3362" t="s">
        <v>2984</v>
      </c>
      <c r="F39" s="3363" t="s">
        <v>2985</v>
      </c>
      <c r="G39" s="3364">
        <v>0.25</v>
      </c>
      <c r="H39" s="3365" t="s">
        <v>2986</v>
      </c>
      <c r="I39" s="3366" t="s">
        <v>1164</v>
      </c>
      <c r="J39" s="3367">
        <v>2</v>
      </c>
      <c r="K39" s="3367" t="s">
        <v>201</v>
      </c>
      <c r="L39" s="81"/>
      <c r="N39" s="81"/>
    </row>
    <row r="40" spans="1:16" ht="18" customHeight="1">
      <c r="B40" s="3360">
        <v>22</v>
      </c>
      <c r="C40" s="3361" t="s">
        <v>414</v>
      </c>
      <c r="D40" s="5756"/>
      <c r="E40" s="3362" t="s">
        <v>2987</v>
      </c>
      <c r="F40" s="3363" t="s">
        <v>2988</v>
      </c>
      <c r="G40" s="3364">
        <v>0.25</v>
      </c>
      <c r="H40" s="3365" t="s">
        <v>2989</v>
      </c>
      <c r="I40" s="3366" t="s">
        <v>1164</v>
      </c>
      <c r="J40" s="3367">
        <v>2</v>
      </c>
      <c r="K40" s="3367" t="s">
        <v>201</v>
      </c>
      <c r="L40" s="81"/>
      <c r="N40" s="81"/>
    </row>
    <row r="41" spans="1:16" ht="18" customHeight="1">
      <c r="B41" s="3360">
        <v>23</v>
      </c>
      <c r="C41" s="3361" t="s">
        <v>414</v>
      </c>
      <c r="D41" s="5756"/>
      <c r="E41" s="3362" t="s">
        <v>2990</v>
      </c>
      <c r="F41" s="3363" t="s">
        <v>2991</v>
      </c>
      <c r="G41" s="3364">
        <v>0.25</v>
      </c>
      <c r="H41" s="3365" t="s">
        <v>2992</v>
      </c>
      <c r="I41" s="3366" t="s">
        <v>1164</v>
      </c>
      <c r="J41" s="3367">
        <v>2</v>
      </c>
      <c r="K41" s="3367" t="s">
        <v>201</v>
      </c>
      <c r="L41" s="81"/>
      <c r="N41" s="81"/>
    </row>
    <row r="42" spans="1:16" ht="18" customHeight="1">
      <c r="B42" s="3360">
        <v>24</v>
      </c>
      <c r="C42" s="3361" t="s">
        <v>414</v>
      </c>
      <c r="D42" s="5756"/>
      <c r="E42" s="3362" t="s">
        <v>2993</v>
      </c>
      <c r="F42" s="3363" t="s">
        <v>2994</v>
      </c>
      <c r="G42" s="3364">
        <v>0.25</v>
      </c>
      <c r="H42" s="3365" t="s">
        <v>2995</v>
      </c>
      <c r="I42" s="3366" t="s">
        <v>1164</v>
      </c>
      <c r="J42" s="3367">
        <v>2</v>
      </c>
      <c r="K42" s="3367" t="s">
        <v>201</v>
      </c>
      <c r="L42" s="81"/>
      <c r="N42" s="81"/>
    </row>
    <row r="43" spans="1:16" ht="15.75">
      <c r="B43" s="2498">
        <v>25</v>
      </c>
      <c r="C43" s="2499" t="s">
        <v>414</v>
      </c>
      <c r="D43" s="5751" t="s">
        <v>2498</v>
      </c>
      <c r="E43" s="2500" t="s">
        <v>1598</v>
      </c>
      <c r="F43" s="2501" t="s">
        <v>1571</v>
      </c>
      <c r="G43" s="2502">
        <v>0.18</v>
      </c>
      <c r="H43" s="2503" t="s">
        <v>430</v>
      </c>
      <c r="I43" s="2504" t="s">
        <v>278</v>
      </c>
      <c r="J43" s="2505">
        <v>2</v>
      </c>
      <c r="K43" s="2505" t="s">
        <v>193</v>
      </c>
      <c r="N43" s="464"/>
      <c r="O43" s="464"/>
    </row>
    <row r="44" spans="1:16" ht="15.75" customHeight="1">
      <c r="B44" s="2498">
        <v>26</v>
      </c>
      <c r="C44" s="2499" t="s">
        <v>414</v>
      </c>
      <c r="D44" s="5751"/>
      <c r="E44" s="2500" t="s">
        <v>1599</v>
      </c>
      <c r="F44" s="2501" t="s">
        <v>1572</v>
      </c>
      <c r="G44" s="2502">
        <v>0.18</v>
      </c>
      <c r="H44" s="2503" t="s">
        <v>431</v>
      </c>
      <c r="I44" s="2504" t="s">
        <v>278</v>
      </c>
      <c r="J44" s="2505">
        <v>2</v>
      </c>
      <c r="K44" s="2505" t="s">
        <v>193</v>
      </c>
      <c r="N44" s="464"/>
      <c r="O44" s="464"/>
    </row>
    <row r="45" spans="1:16" ht="15.75">
      <c r="B45" s="2498">
        <v>27</v>
      </c>
      <c r="C45" s="2499" t="s">
        <v>414</v>
      </c>
      <c r="D45" s="5751"/>
      <c r="E45" s="2500" t="s">
        <v>1600</v>
      </c>
      <c r="F45" s="2501" t="s">
        <v>1573</v>
      </c>
      <c r="G45" s="2502">
        <v>0.18</v>
      </c>
      <c r="H45" s="2503" t="s">
        <v>432</v>
      </c>
      <c r="I45" s="2504" t="s">
        <v>278</v>
      </c>
      <c r="J45" s="2505">
        <v>2</v>
      </c>
      <c r="K45" s="2505" t="s">
        <v>193</v>
      </c>
      <c r="N45" s="464"/>
      <c r="O45" s="464"/>
    </row>
    <row r="46" spans="1:16" ht="15.75">
      <c r="B46" s="2498">
        <v>28</v>
      </c>
      <c r="C46" s="2499" t="s">
        <v>414</v>
      </c>
      <c r="D46" s="5751"/>
      <c r="E46" s="2500" t="s">
        <v>1601</v>
      </c>
      <c r="F46" s="2501" t="s">
        <v>1574</v>
      </c>
      <c r="G46" s="2502">
        <v>0.18</v>
      </c>
      <c r="H46" s="2503" t="s">
        <v>433</v>
      </c>
      <c r="I46" s="2504" t="s">
        <v>278</v>
      </c>
      <c r="J46" s="2505">
        <v>2</v>
      </c>
      <c r="K46" s="2505" t="s">
        <v>193</v>
      </c>
      <c r="N46" s="464"/>
      <c r="O46" s="464"/>
    </row>
    <row r="47" spans="1:16" s="295" customFormat="1" ht="15.75">
      <c r="A47" s="105"/>
      <c r="B47" s="2498">
        <v>29</v>
      </c>
      <c r="C47" s="2499" t="s">
        <v>64</v>
      </c>
      <c r="D47" s="5751" t="s">
        <v>2497</v>
      </c>
      <c r="E47" s="2500" t="s">
        <v>67</v>
      </c>
      <c r="F47" s="2501" t="s">
        <v>1569</v>
      </c>
      <c r="G47" s="2502">
        <v>0.25</v>
      </c>
      <c r="H47" s="2503" t="s">
        <v>419</v>
      </c>
      <c r="I47" s="2504" t="s">
        <v>278</v>
      </c>
      <c r="J47" s="2505">
        <v>2</v>
      </c>
      <c r="K47" s="2505" t="s">
        <v>193</v>
      </c>
      <c r="L47" s="457"/>
      <c r="M47" s="81"/>
      <c r="N47" s="464"/>
      <c r="O47" s="464"/>
      <c r="P47" s="81"/>
    </row>
    <row r="48" spans="1:16" ht="15.75" customHeight="1">
      <c r="B48" s="2498">
        <v>30</v>
      </c>
      <c r="C48" s="2499" t="s">
        <v>62</v>
      </c>
      <c r="D48" s="5751"/>
      <c r="E48" s="2500" t="s">
        <v>66</v>
      </c>
      <c r="F48" s="2501" t="s">
        <v>1570</v>
      </c>
      <c r="G48" s="2502">
        <v>0.25</v>
      </c>
      <c r="H48" s="2503" t="s">
        <v>418</v>
      </c>
      <c r="I48" s="2504" t="s">
        <v>278</v>
      </c>
      <c r="J48" s="2505">
        <v>2</v>
      </c>
      <c r="K48" s="2505" t="s">
        <v>193</v>
      </c>
      <c r="L48" s="81"/>
      <c r="N48" s="464"/>
      <c r="O48" s="464"/>
    </row>
    <row r="49" spans="2:15" ht="15.75">
      <c r="B49" s="2506">
        <v>1</v>
      </c>
      <c r="C49" s="2507" t="s">
        <v>63</v>
      </c>
      <c r="D49" s="2508" t="s">
        <v>1483</v>
      </c>
      <c r="E49" s="2509" t="s">
        <v>409</v>
      </c>
      <c r="F49" s="2510" t="s">
        <v>1585</v>
      </c>
      <c r="G49" s="2511">
        <v>0.25</v>
      </c>
      <c r="H49" s="2512" t="s">
        <v>409</v>
      </c>
      <c r="I49" s="2513" t="s">
        <v>278</v>
      </c>
      <c r="J49" s="2508">
        <v>3</v>
      </c>
      <c r="K49" s="2508" t="s">
        <v>413</v>
      </c>
      <c r="L49" s="81"/>
      <c r="N49" s="81"/>
    </row>
    <row r="50" spans="2:15" ht="15" customHeight="1">
      <c r="B50" s="2506">
        <v>2</v>
      </c>
      <c r="C50" s="2507" t="s">
        <v>63</v>
      </c>
      <c r="D50" s="2508" t="s">
        <v>1483</v>
      </c>
      <c r="E50" s="2509" t="s">
        <v>410</v>
      </c>
      <c r="F50" s="2510" t="s">
        <v>1586</v>
      </c>
      <c r="G50" s="2511">
        <v>0.25</v>
      </c>
      <c r="H50" s="2512" t="s">
        <v>410</v>
      </c>
      <c r="I50" s="2513" t="s">
        <v>278</v>
      </c>
      <c r="J50" s="2508">
        <v>3</v>
      </c>
      <c r="K50" s="2508" t="s">
        <v>413</v>
      </c>
      <c r="L50" s="81"/>
      <c r="N50" s="81"/>
    </row>
    <row r="51" spans="2:15" ht="15" customHeight="1">
      <c r="B51" s="2506">
        <v>3</v>
      </c>
      <c r="C51" s="2507" t="s">
        <v>63</v>
      </c>
      <c r="D51" s="2508" t="s">
        <v>1483</v>
      </c>
      <c r="E51" s="2509" t="s">
        <v>408</v>
      </c>
      <c r="F51" s="2510" t="s">
        <v>1587</v>
      </c>
      <c r="G51" s="2511">
        <v>0.25</v>
      </c>
      <c r="H51" s="2512" t="s">
        <v>408</v>
      </c>
      <c r="I51" s="2513" t="s">
        <v>278</v>
      </c>
      <c r="J51" s="2508">
        <v>3</v>
      </c>
      <c r="K51" s="2508" t="s">
        <v>413</v>
      </c>
      <c r="L51" s="81"/>
      <c r="N51" s="81"/>
    </row>
    <row r="52" spans="2:15" ht="15.75">
      <c r="B52" s="2506">
        <v>4</v>
      </c>
      <c r="C52" s="2507" t="s">
        <v>414</v>
      </c>
      <c r="D52" s="2508" t="s">
        <v>1483</v>
      </c>
      <c r="E52" s="2509" t="s">
        <v>1602</v>
      </c>
      <c r="F52" s="2510" t="s">
        <v>1578</v>
      </c>
      <c r="G52" s="2511">
        <v>0.25</v>
      </c>
      <c r="H52" s="2512" t="s">
        <v>423</v>
      </c>
      <c r="I52" s="2513" t="s">
        <v>412</v>
      </c>
      <c r="J52" s="2508">
        <v>3</v>
      </c>
      <c r="K52" s="2508" t="s">
        <v>413</v>
      </c>
      <c r="N52" s="464"/>
      <c r="O52" s="464"/>
    </row>
    <row r="53" spans="2:15" ht="15.75">
      <c r="B53" s="2506">
        <v>5</v>
      </c>
      <c r="C53" s="2507" t="s">
        <v>414</v>
      </c>
      <c r="D53" s="2508" t="s">
        <v>1483</v>
      </c>
      <c r="E53" s="2509" t="s">
        <v>1603</v>
      </c>
      <c r="F53" s="2510" t="s">
        <v>1579</v>
      </c>
      <c r="G53" s="2511">
        <v>0.25</v>
      </c>
      <c r="H53" s="2512" t="s">
        <v>424</v>
      </c>
      <c r="I53" s="2513" t="s">
        <v>412</v>
      </c>
      <c r="J53" s="2508">
        <v>3</v>
      </c>
      <c r="K53" s="2508" t="s">
        <v>413</v>
      </c>
      <c r="N53" s="464"/>
      <c r="O53" s="464"/>
    </row>
    <row r="54" spans="2:15" ht="15.75">
      <c r="B54" s="2506">
        <v>6</v>
      </c>
      <c r="C54" s="2507" t="s">
        <v>414</v>
      </c>
      <c r="D54" s="2508" t="s">
        <v>1483</v>
      </c>
      <c r="E54" s="2509" t="s">
        <v>1604</v>
      </c>
      <c r="F54" s="2510" t="s">
        <v>1580</v>
      </c>
      <c r="G54" s="2511">
        <v>0.25</v>
      </c>
      <c r="H54" s="2512" t="s">
        <v>425</v>
      </c>
      <c r="I54" s="2513" t="s">
        <v>412</v>
      </c>
      <c r="J54" s="2508">
        <v>3</v>
      </c>
      <c r="K54" s="2508" t="s">
        <v>413</v>
      </c>
    </row>
    <row r="55" spans="2:15" ht="15.75">
      <c r="B55" s="2506">
        <v>7</v>
      </c>
      <c r="C55" s="2507" t="s">
        <v>414</v>
      </c>
      <c r="D55" s="2508" t="s">
        <v>1483</v>
      </c>
      <c r="E55" s="2509" t="s">
        <v>1605</v>
      </c>
      <c r="F55" s="2510" t="s">
        <v>1581</v>
      </c>
      <c r="G55" s="2511">
        <v>0.25</v>
      </c>
      <c r="H55" s="2512" t="s">
        <v>426</v>
      </c>
      <c r="I55" s="2513" t="s">
        <v>412</v>
      </c>
      <c r="J55" s="2508">
        <v>3</v>
      </c>
      <c r="K55" s="2508" t="s">
        <v>413</v>
      </c>
    </row>
    <row r="56" spans="2:15" ht="15" customHeight="1">
      <c r="B56" s="1228"/>
      <c r="C56" s="1226"/>
      <c r="D56" s="1226"/>
      <c r="E56" s="1226"/>
      <c r="F56" s="1226"/>
      <c r="G56" s="1226"/>
      <c r="H56" s="1226"/>
      <c r="I56" s="1226"/>
      <c r="J56" s="1226"/>
      <c r="K56" s="1226"/>
      <c r="L56" s="81"/>
      <c r="N56" s="81"/>
    </row>
    <row r="57" spans="2:15">
      <c r="B57" s="1228" t="s">
        <v>2503</v>
      </c>
    </row>
    <row r="58" spans="2:15" ht="15" customHeight="1">
      <c r="B58" s="882"/>
      <c r="E58" s="882"/>
      <c r="F58" s="882"/>
      <c r="I58" s="882"/>
      <c r="L58" s="81"/>
      <c r="N58" s="81"/>
    </row>
    <row r="59" spans="2:15" ht="15" customHeight="1">
      <c r="B59" s="458"/>
      <c r="E59" s="458"/>
      <c r="F59" s="458"/>
      <c r="I59" s="458"/>
      <c r="L59" s="81"/>
      <c r="N59" s="81"/>
    </row>
  </sheetData>
  <mergeCells count="8">
    <mergeCell ref="A4:A8"/>
    <mergeCell ref="D43:D46"/>
    <mergeCell ref="D47:D48"/>
    <mergeCell ref="D28:D35"/>
    <mergeCell ref="D4:D14"/>
    <mergeCell ref="D15:D18"/>
    <mergeCell ref="D19:D27"/>
    <mergeCell ref="D36:D42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4" firstPageNumber="65" orientation="portrait" useFirstPageNumber="1" r:id="rId1"/>
  <headerFooter>
    <oddFooter>&amp;L&amp;P&amp;R&amp;G</oddFooter>
  </headerFooter>
  <rowBreaks count="1" manualBreakCount="1">
    <brk id="48" max="8" man="1"/>
  </rowBreaks>
  <legacyDrawingHF r:id="rId2"/>
</worksheet>
</file>

<file path=xl/worksheets/sheet69.xml><?xml version="1.0" encoding="utf-8"?>
<worksheet xmlns="http://schemas.openxmlformats.org/spreadsheetml/2006/main" xmlns:r="http://schemas.openxmlformats.org/officeDocument/2006/relationships">
  <sheetPr codeName="Лист60"/>
  <dimension ref="A1:M42"/>
  <sheetViews>
    <sheetView view="pageBreakPreview" zoomScaleNormal="100" zoomScaleSheetLayoutView="100" zoomScalePageLayoutView="85" workbookViewId="0">
      <pane ySplit="1" topLeftCell="A2" activePane="bottomLeft" state="frozen"/>
      <selection pane="bottomLeft" activeCell="B1" sqref="B1"/>
    </sheetView>
  </sheetViews>
  <sheetFormatPr defaultColWidth="9.140625" defaultRowHeight="15" outlineLevelRow="1"/>
  <cols>
    <col min="1" max="1" width="9.140625" style="81"/>
    <col min="2" max="2" width="35.7109375" style="81" customWidth="1"/>
    <col min="3" max="3" width="14.7109375" style="81" customWidth="1"/>
    <col min="4" max="4" width="9.140625" style="81" customWidth="1"/>
    <col min="5" max="6" width="9.140625" style="81"/>
    <col min="7" max="7" width="39.7109375" style="81" customWidth="1"/>
    <col min="8" max="8" width="17.140625" style="81" customWidth="1"/>
    <col min="9" max="9" width="9.140625" style="295" customWidth="1"/>
    <col min="10" max="13" width="9.140625" style="295"/>
    <col min="14" max="16384" width="9.140625" style="81"/>
  </cols>
  <sheetData>
    <row r="1" spans="1:13" s="2286" customFormat="1" ht="18" customHeight="1">
      <c r="B1" s="2285" t="s">
        <v>490</v>
      </c>
      <c r="C1" s="2287"/>
      <c r="I1" s="295"/>
      <c r="J1" s="295"/>
      <c r="K1" s="295"/>
      <c r="L1" s="295"/>
      <c r="M1" s="295"/>
    </row>
    <row r="2" spans="1:13" s="589" customFormat="1" ht="18" customHeight="1">
      <c r="B2" s="627"/>
      <c r="C2" s="26"/>
      <c r="D2" s="471"/>
      <c r="E2" s="471"/>
      <c r="F2" s="471"/>
      <c r="G2" s="455"/>
      <c r="H2" s="471"/>
      <c r="I2" s="471"/>
      <c r="J2" s="471"/>
      <c r="K2" s="471"/>
      <c r="L2" s="471"/>
    </row>
    <row r="3" spans="1:13" s="589" customFormat="1" ht="18" customHeight="1">
      <c r="B3" s="455" t="s">
        <v>734</v>
      </c>
      <c r="C3" s="26"/>
      <c r="D3" s="471"/>
      <c r="E3" s="471"/>
      <c r="F3" s="471"/>
      <c r="G3" s="455"/>
      <c r="H3" s="471"/>
      <c r="I3" s="471"/>
      <c r="J3" s="471"/>
      <c r="K3" s="471"/>
      <c r="L3" s="471"/>
    </row>
    <row r="4" spans="1:13" s="589" customFormat="1" ht="18" customHeight="1">
      <c r="B4" s="1164" t="s">
        <v>1434</v>
      </c>
      <c r="C4" s="26"/>
      <c r="D4" s="471"/>
      <c r="E4" s="471"/>
      <c r="F4" s="471"/>
      <c r="G4" s="455"/>
      <c r="H4" s="471"/>
      <c r="I4" s="471"/>
      <c r="J4" s="471"/>
      <c r="K4" s="471"/>
      <c r="L4" s="471"/>
    </row>
    <row r="5" spans="1:13" ht="14.45" customHeight="1">
      <c r="A5" s="5757" t="s">
        <v>725</v>
      </c>
      <c r="B5" s="5757"/>
      <c r="C5" s="574" t="s">
        <v>834</v>
      </c>
      <c r="G5" s="571" t="s">
        <v>725</v>
      </c>
      <c r="H5" s="571" t="s">
        <v>834</v>
      </c>
    </row>
    <row r="6" spans="1:13" ht="6.75" customHeight="1">
      <c r="B6" s="79"/>
      <c r="C6" s="79"/>
    </row>
    <row r="7" spans="1:13" ht="14.45" customHeight="1">
      <c r="A7" s="574"/>
      <c r="B7" s="574" t="s">
        <v>788</v>
      </c>
      <c r="C7" s="571"/>
      <c r="G7" s="574" t="s">
        <v>730</v>
      </c>
      <c r="H7" s="571"/>
    </row>
    <row r="8" spans="1:13" s="659" customFormat="1" ht="14.45" customHeight="1">
      <c r="A8" s="657">
        <v>1</v>
      </c>
      <c r="B8" s="657" t="s">
        <v>3368</v>
      </c>
      <c r="C8" s="658">
        <f>SUM(C9:C10)</f>
        <v>895</v>
      </c>
      <c r="G8" s="575" t="s">
        <v>760</v>
      </c>
      <c r="H8" s="634">
        <v>2500</v>
      </c>
    </row>
    <row r="9" spans="1:13" s="609" customFormat="1" ht="14.45" customHeight="1" outlineLevel="1">
      <c r="A9" s="660"/>
      <c r="B9" s="660" t="s">
        <v>789</v>
      </c>
      <c r="C9" s="661">
        <v>370</v>
      </c>
      <c r="G9" s="576" t="s">
        <v>761</v>
      </c>
      <c r="H9" s="635">
        <f>70*50</f>
        <v>3500</v>
      </c>
      <c r="I9" s="663"/>
      <c r="J9" s="664"/>
      <c r="K9" s="664"/>
      <c r="L9" s="664"/>
      <c r="M9" s="664"/>
    </row>
    <row r="10" spans="1:13" s="609" customFormat="1" ht="14.45" customHeight="1" outlineLevel="1">
      <c r="A10" s="660"/>
      <c r="B10" s="660" t="s">
        <v>790</v>
      </c>
      <c r="C10" s="661">
        <v>525</v>
      </c>
      <c r="G10" s="575" t="s">
        <v>762</v>
      </c>
      <c r="H10" s="634">
        <f>H9</f>
        <v>3500</v>
      </c>
      <c r="I10" s="663"/>
      <c r="J10" s="664"/>
      <c r="K10" s="664"/>
      <c r="L10" s="664"/>
      <c r="M10" s="664"/>
    </row>
    <row r="11" spans="1:13" s="609" customFormat="1" ht="14.45" customHeight="1" outlineLevel="1">
      <c r="A11" s="660"/>
      <c r="B11" s="660" t="s">
        <v>791</v>
      </c>
      <c r="C11" s="661">
        <v>10</v>
      </c>
      <c r="G11" s="576" t="s">
        <v>759</v>
      </c>
      <c r="H11" s="634">
        <f t="shared" ref="H11:H12" si="0">H10</f>
        <v>3500</v>
      </c>
      <c r="I11" s="663"/>
      <c r="J11" s="664"/>
      <c r="K11" s="664"/>
      <c r="L11" s="664"/>
      <c r="M11" s="664"/>
    </row>
    <row r="12" spans="1:13" s="659" customFormat="1" ht="14.45" customHeight="1">
      <c r="A12" s="657">
        <v>2</v>
      </c>
      <c r="B12" s="657" t="s">
        <v>731</v>
      </c>
      <c r="C12" s="658">
        <f>C13+C14</f>
        <v>3975</v>
      </c>
      <c r="G12" s="575" t="s">
        <v>763</v>
      </c>
      <c r="H12" s="634">
        <f t="shared" si="0"/>
        <v>3500</v>
      </c>
      <c r="I12" s="663"/>
    </row>
    <row r="13" spans="1:13" s="609" customFormat="1" ht="14.45" customHeight="1" outlineLevel="1">
      <c r="A13" s="660"/>
      <c r="B13" s="660" t="s">
        <v>795</v>
      </c>
      <c r="C13" s="661">
        <v>2650</v>
      </c>
      <c r="G13" s="295"/>
      <c r="H13" s="296"/>
      <c r="I13" s="664"/>
      <c r="J13" s="664"/>
      <c r="K13" s="664"/>
      <c r="L13" s="664"/>
      <c r="M13" s="664"/>
    </row>
    <row r="14" spans="1:13" s="609" customFormat="1" ht="14.45" customHeight="1" outlineLevel="1">
      <c r="A14" s="660"/>
      <c r="B14" s="660" t="s">
        <v>797</v>
      </c>
      <c r="C14" s="661">
        <v>1325</v>
      </c>
      <c r="G14" s="574" t="s">
        <v>792</v>
      </c>
      <c r="H14" s="571"/>
      <c r="I14" s="664"/>
      <c r="J14" s="664"/>
      <c r="K14" s="664"/>
      <c r="L14" s="664"/>
      <c r="M14" s="664"/>
    </row>
    <row r="15" spans="1:13" s="609" customFormat="1" ht="14.45" customHeight="1" outlineLevel="1">
      <c r="A15" s="660"/>
      <c r="B15" s="660" t="s">
        <v>799</v>
      </c>
      <c r="C15" s="661">
        <v>85</v>
      </c>
      <c r="G15" s="573" t="s">
        <v>793</v>
      </c>
      <c r="H15" s="635">
        <v>18</v>
      </c>
      <c r="I15" s="664"/>
      <c r="J15" s="664"/>
      <c r="K15" s="664"/>
      <c r="L15" s="664"/>
      <c r="M15" s="664"/>
    </row>
    <row r="16" spans="1:13" s="659" customFormat="1" ht="14.45" customHeight="1">
      <c r="A16" s="657">
        <v>3</v>
      </c>
      <c r="B16" s="657" t="s">
        <v>732</v>
      </c>
      <c r="C16" s="658">
        <v>1600</v>
      </c>
      <c r="E16" s="2488"/>
      <c r="G16" s="572" t="s">
        <v>794</v>
      </c>
      <c r="H16" s="634">
        <v>45</v>
      </c>
    </row>
    <row r="17" spans="1:13" s="609" customFormat="1" ht="14.45" customHeight="1" outlineLevel="1">
      <c r="A17" s="657">
        <v>4</v>
      </c>
      <c r="B17" s="657" t="s">
        <v>733</v>
      </c>
      <c r="C17" s="658">
        <v>26000</v>
      </c>
      <c r="G17" s="577" t="s">
        <v>796</v>
      </c>
      <c r="H17" s="635">
        <v>85</v>
      </c>
      <c r="I17" s="664"/>
      <c r="J17" s="664"/>
      <c r="K17" s="664"/>
      <c r="L17" s="664"/>
      <c r="M17" s="664"/>
    </row>
    <row r="18" spans="1:13" s="609" customFormat="1" ht="14.45" customHeight="1" outlineLevel="1">
      <c r="A18" s="657">
        <v>5</v>
      </c>
      <c r="B18" s="657" t="s">
        <v>726</v>
      </c>
      <c r="C18" s="658">
        <f>C19+C20</f>
        <v>4750</v>
      </c>
      <c r="G18" s="575" t="s">
        <v>798</v>
      </c>
      <c r="H18" s="634">
        <v>95</v>
      </c>
      <c r="I18" s="664"/>
      <c r="J18" s="664"/>
      <c r="K18" s="664"/>
      <c r="L18" s="664"/>
      <c r="M18" s="664"/>
    </row>
    <row r="19" spans="1:13" s="609" customFormat="1" ht="14.45" customHeight="1" outlineLevel="1">
      <c r="A19" s="660"/>
      <c r="B19" s="660" t="s">
        <v>802</v>
      </c>
      <c r="C19" s="661">
        <v>3500</v>
      </c>
      <c r="G19" s="573" t="s">
        <v>800</v>
      </c>
      <c r="H19" s="635">
        <v>195</v>
      </c>
      <c r="I19" s="664"/>
      <c r="J19" s="664"/>
      <c r="K19" s="664"/>
      <c r="L19" s="664"/>
      <c r="M19" s="664"/>
    </row>
    <row r="20" spans="1:13" s="662" customFormat="1" ht="14.45" customHeight="1">
      <c r="A20" s="660"/>
      <c r="B20" s="660" t="s">
        <v>803</v>
      </c>
      <c r="C20" s="661">
        <v>1250</v>
      </c>
      <c r="G20" s="575" t="s">
        <v>801</v>
      </c>
      <c r="H20" s="634">
        <v>450</v>
      </c>
      <c r="I20" s="665"/>
      <c r="J20" s="665"/>
      <c r="K20" s="665"/>
      <c r="L20" s="665"/>
      <c r="M20" s="665"/>
    </row>
    <row r="21" spans="1:13" s="662" customFormat="1" ht="14.45" customHeight="1">
      <c r="A21" s="660"/>
      <c r="B21" s="660" t="s">
        <v>804</v>
      </c>
      <c r="C21" s="661">
        <v>65</v>
      </c>
      <c r="G21" s="573" t="s">
        <v>1388</v>
      </c>
      <c r="H21" s="635">
        <v>400</v>
      </c>
      <c r="I21" s="665"/>
      <c r="J21" s="665"/>
      <c r="K21" s="665"/>
      <c r="L21" s="665"/>
      <c r="M21" s="665"/>
    </row>
    <row r="22" spans="1:13" ht="14.45" customHeight="1">
      <c r="A22" s="657">
        <v>6</v>
      </c>
      <c r="B22" s="657" t="s">
        <v>727</v>
      </c>
      <c r="C22" s="658">
        <f>C23+C24</f>
        <v>4500</v>
      </c>
    </row>
    <row r="23" spans="1:13" ht="14.45" customHeight="1">
      <c r="A23" s="660"/>
      <c r="B23" s="660" t="s">
        <v>802</v>
      </c>
      <c r="C23" s="661">
        <v>3500</v>
      </c>
    </row>
    <row r="24" spans="1:13" ht="14.45" customHeight="1">
      <c r="A24" s="660"/>
      <c r="B24" s="660" t="s">
        <v>803</v>
      </c>
      <c r="C24" s="661">
        <v>1000</v>
      </c>
    </row>
    <row r="25" spans="1:13" s="609" customFormat="1" ht="14.45" customHeight="1" outlineLevel="1">
      <c r="A25" s="660"/>
      <c r="B25" s="660" t="s">
        <v>805</v>
      </c>
      <c r="C25" s="661">
        <v>70</v>
      </c>
      <c r="I25" s="664"/>
      <c r="J25" s="664"/>
      <c r="K25" s="664"/>
      <c r="L25" s="664"/>
      <c r="M25" s="664"/>
    </row>
    <row r="26" spans="1:13" s="609" customFormat="1" ht="14.45" customHeight="1" outlineLevel="1">
      <c r="A26" s="657">
        <v>7</v>
      </c>
      <c r="B26" s="657" t="s">
        <v>728</v>
      </c>
      <c r="C26" s="658">
        <f>C27+C28</f>
        <v>6000</v>
      </c>
      <c r="I26" s="664"/>
      <c r="J26" s="664"/>
      <c r="K26" s="664"/>
      <c r="L26" s="664"/>
      <c r="M26" s="664"/>
    </row>
    <row r="27" spans="1:13" s="609" customFormat="1" ht="14.45" customHeight="1" outlineLevel="1">
      <c r="A27" s="660"/>
      <c r="B27" s="660" t="s">
        <v>802</v>
      </c>
      <c r="C27" s="661">
        <v>3500</v>
      </c>
      <c r="I27" s="664"/>
      <c r="J27" s="664"/>
      <c r="K27" s="664"/>
      <c r="L27" s="664"/>
      <c r="M27" s="664"/>
    </row>
    <row r="28" spans="1:13" ht="14.45" customHeight="1">
      <c r="A28" s="660"/>
      <c r="B28" s="660" t="s">
        <v>803</v>
      </c>
      <c r="C28" s="661">
        <v>2500</v>
      </c>
    </row>
    <row r="29" spans="1:13" s="609" customFormat="1" ht="14.45" customHeight="1" outlineLevel="1">
      <c r="A29" s="660"/>
      <c r="B29" s="660" t="s">
        <v>806</v>
      </c>
      <c r="C29" s="661">
        <v>120</v>
      </c>
      <c r="I29" s="664"/>
      <c r="J29" s="664"/>
      <c r="K29" s="664"/>
      <c r="L29" s="664"/>
      <c r="M29" s="664"/>
    </row>
    <row r="30" spans="1:13" s="609" customFormat="1" ht="14.45" customHeight="1" outlineLevel="1">
      <c r="A30" s="657">
        <v>8</v>
      </c>
      <c r="B30" s="657" t="s">
        <v>729</v>
      </c>
      <c r="C30" s="658"/>
      <c r="I30" s="664"/>
      <c r="J30" s="664"/>
      <c r="K30" s="664"/>
      <c r="L30" s="664"/>
      <c r="M30" s="664"/>
    </row>
    <row r="31" spans="1:13" s="609" customFormat="1" ht="14.45" customHeight="1" outlineLevel="1">
      <c r="A31" s="660"/>
      <c r="B31" s="660" t="s">
        <v>802</v>
      </c>
      <c r="C31" s="661">
        <v>3500</v>
      </c>
      <c r="I31" s="664"/>
      <c r="J31" s="664"/>
      <c r="K31" s="664"/>
      <c r="L31" s="664"/>
      <c r="M31" s="664"/>
    </row>
    <row r="32" spans="1:13" ht="14.45" customHeight="1">
      <c r="A32" s="660"/>
      <c r="B32" s="660" t="s">
        <v>803</v>
      </c>
      <c r="C32" s="661">
        <v>550</v>
      </c>
    </row>
    <row r="33" spans="1:13" s="609" customFormat="1" ht="14.45" customHeight="1" outlineLevel="1">
      <c r="A33" s="660"/>
      <c r="B33" s="660" t="s">
        <v>807</v>
      </c>
      <c r="C33" s="661">
        <v>1500</v>
      </c>
      <c r="I33" s="664"/>
      <c r="J33" s="664"/>
      <c r="K33" s="664"/>
      <c r="L33" s="664"/>
      <c r="M33" s="664"/>
    </row>
    <row r="34" spans="1:13" s="609" customFormat="1" ht="14.45" customHeight="1" outlineLevel="1">
      <c r="A34" s="660"/>
      <c r="B34" s="660" t="s">
        <v>808</v>
      </c>
      <c r="C34" s="661"/>
      <c r="I34" s="664"/>
      <c r="J34" s="664"/>
      <c r="K34" s="664"/>
      <c r="L34" s="664"/>
      <c r="M34" s="664"/>
    </row>
    <row r="35" spans="1:13" s="609" customFormat="1" ht="14.45" customHeight="1" outlineLevel="1">
      <c r="A35" s="660"/>
      <c r="B35" s="660" t="s">
        <v>809</v>
      </c>
      <c r="C35" s="661"/>
      <c r="I35" s="664"/>
      <c r="J35" s="664"/>
      <c r="K35" s="664"/>
      <c r="L35" s="664"/>
      <c r="M35" s="664"/>
    </row>
    <row r="36" spans="1:13" ht="14.45" customHeight="1">
      <c r="A36" s="657">
        <v>9</v>
      </c>
      <c r="B36" s="657" t="s">
        <v>810</v>
      </c>
      <c r="C36" s="658">
        <f>C37+C38</f>
        <v>3950</v>
      </c>
    </row>
    <row r="37" spans="1:13" s="609" customFormat="1" ht="14.45" customHeight="1" outlineLevel="1">
      <c r="A37" s="660"/>
      <c r="B37" s="660" t="s">
        <v>802</v>
      </c>
      <c r="C37" s="661">
        <v>3500</v>
      </c>
      <c r="I37" s="664"/>
      <c r="J37" s="664"/>
      <c r="K37" s="664"/>
      <c r="L37" s="664"/>
      <c r="M37" s="664"/>
    </row>
    <row r="38" spans="1:13" s="609" customFormat="1" ht="14.45" customHeight="1" outlineLevel="1">
      <c r="A38" s="660"/>
      <c r="B38" s="660" t="s">
        <v>803</v>
      </c>
      <c r="C38" s="661">
        <v>450</v>
      </c>
      <c r="I38" s="664"/>
      <c r="J38" s="664"/>
      <c r="K38" s="664"/>
      <c r="L38" s="664"/>
      <c r="M38" s="664"/>
    </row>
    <row r="39" spans="1:13" s="609" customFormat="1" ht="14.45" customHeight="1" outlineLevel="1">
      <c r="I39" s="664"/>
      <c r="J39" s="664"/>
      <c r="K39" s="664"/>
      <c r="L39" s="664"/>
      <c r="M39" s="664"/>
    </row>
    <row r="40" spans="1:13" s="609" customFormat="1" ht="14.45" customHeight="1" outlineLevel="1">
      <c r="I40" s="664"/>
      <c r="J40" s="664"/>
      <c r="K40" s="664"/>
      <c r="L40" s="664"/>
      <c r="M40" s="664"/>
    </row>
    <row r="41" spans="1:13" s="609" customFormat="1" ht="14.45" customHeight="1" outlineLevel="1">
      <c r="I41" s="664"/>
      <c r="J41" s="664"/>
      <c r="K41" s="664"/>
      <c r="L41" s="664"/>
      <c r="M41" s="664"/>
    </row>
    <row r="42" spans="1:13" ht="14.45" customHeight="1"/>
  </sheetData>
  <mergeCells count="1">
    <mergeCell ref="A5:B5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73" firstPageNumber="67" orientation="landscape" useFirstPageNumber="1" r:id="rId1"/>
  <headerFooter>
    <oddFooter>&amp;L&amp;P&amp;R&amp;24 &amp;G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F0"/>
  </sheetPr>
  <dimension ref="A1:X96"/>
  <sheetViews>
    <sheetView zoomScale="90" zoomScaleNormal="90" workbookViewId="0">
      <selection activeCell="A2" sqref="A2:XFD95"/>
    </sheetView>
  </sheetViews>
  <sheetFormatPr defaultColWidth="9.140625" defaultRowHeight="15" outlineLevelRow="2" outlineLevelCol="1"/>
  <cols>
    <col min="1" max="1" width="3.28515625" style="589" bestFit="1" customWidth="1"/>
    <col min="2" max="2" width="15.5703125" style="589" customWidth="1"/>
    <col min="3" max="3" width="10.140625" style="589" hidden="1" customWidth="1" outlineLevel="1"/>
    <col min="4" max="5" width="10.28515625" style="1277" hidden="1" customWidth="1" outlineLevel="1"/>
    <col min="6" max="6" width="10.28515625" style="1250" hidden="1" customWidth="1" collapsed="1"/>
    <col min="7" max="7" width="8.5703125" style="1353" hidden="1" customWidth="1"/>
    <col min="8" max="8" width="6.7109375" style="1354" hidden="1" customWidth="1"/>
    <col min="9" max="9" width="17" style="589" customWidth="1"/>
    <col min="10" max="10" width="8.5703125" style="589" hidden="1" customWidth="1" outlineLevel="1"/>
    <col min="11" max="11" width="10" style="1232" hidden="1" customWidth="1" outlineLevel="1"/>
    <col min="12" max="12" width="8.7109375" style="1232" hidden="1" customWidth="1" outlineLevel="1"/>
    <col min="13" max="13" width="14.28515625" style="589" customWidth="1" collapsed="1"/>
    <col min="14" max="14" width="8.5703125" style="589" hidden="1" customWidth="1" outlineLevel="1"/>
    <col min="15" max="15" width="10" style="1232" hidden="1" customWidth="1" outlineLevel="1"/>
    <col min="16" max="16" width="8.7109375" style="1232" hidden="1" customWidth="1" outlineLevel="1"/>
    <col min="17" max="17" width="19.140625" style="589" customWidth="1" collapsed="1"/>
    <col min="18" max="18" width="8.5703125" style="589" hidden="1" customWidth="1" outlineLevel="1"/>
    <col min="19" max="19" width="10" style="1232" hidden="1" customWidth="1" outlineLevel="1"/>
    <col min="20" max="20" width="8.7109375" style="1232" hidden="1" customWidth="1" outlineLevel="1"/>
    <col min="21" max="21" width="10" style="1345" bestFit="1" customWidth="1" collapsed="1"/>
    <col min="22" max="22" width="9.140625" style="1345"/>
    <col min="23" max="16384" width="9.140625" style="589"/>
  </cols>
  <sheetData>
    <row r="1" spans="1:22">
      <c r="B1" s="73" t="s">
        <v>2130</v>
      </c>
    </row>
    <row r="2" spans="1:22" hidden="1" outlineLevel="1">
      <c r="B2" s="22" t="s">
        <v>2131</v>
      </c>
      <c r="C2" s="22"/>
      <c r="D2" s="1336"/>
      <c r="E2" s="1336"/>
      <c r="F2" s="1324"/>
      <c r="G2" s="1354"/>
    </row>
    <row r="3" spans="1:22" s="1234" customFormat="1" ht="12.75" hidden="1" outlineLevel="2">
      <c r="B3" s="1235" t="s">
        <v>1610</v>
      </c>
      <c r="C3" s="1236">
        <v>0.39</v>
      </c>
      <c r="D3" s="1325">
        <f>D5/C5</f>
        <v>1.639344262295082</v>
      </c>
      <c r="E3" s="1325"/>
      <c r="F3" s="1325"/>
      <c r="G3" s="1355"/>
      <c r="H3" s="1356"/>
      <c r="I3" s="1309" t="s">
        <v>1611</v>
      </c>
      <c r="J3" s="1310">
        <v>0.36</v>
      </c>
      <c r="K3" s="1326">
        <f>K13/J13</f>
        <v>1.5625</v>
      </c>
      <c r="L3" s="1311"/>
      <c r="M3" s="1261" t="s">
        <v>1612</v>
      </c>
      <c r="N3" s="1262">
        <v>0.4</v>
      </c>
      <c r="O3" s="1327">
        <f>O13/N13</f>
        <v>1.6666666666666667</v>
      </c>
      <c r="P3" s="1263"/>
      <c r="Q3" s="1268" t="s">
        <v>1613</v>
      </c>
      <c r="R3" s="1269">
        <v>0.41</v>
      </c>
      <c r="S3" s="1328">
        <f>S5/R5</f>
        <v>1.6870475941801932</v>
      </c>
      <c r="T3" s="1290"/>
      <c r="U3" s="1346"/>
      <c r="V3" s="1346"/>
    </row>
    <row r="4" spans="1:22" s="39" customFormat="1" ht="33.75" hidden="1" outlineLevel="2">
      <c r="B4" s="1306" t="s">
        <v>1616</v>
      </c>
      <c r="C4" s="1306" t="s">
        <v>2136</v>
      </c>
      <c r="D4" s="1306" t="s">
        <v>2135</v>
      </c>
      <c r="E4" s="1306" t="s">
        <v>2137</v>
      </c>
      <c r="F4" s="1306" t="s">
        <v>2134</v>
      </c>
      <c r="G4" s="1306" t="s">
        <v>2139</v>
      </c>
      <c r="H4" s="1306" t="s">
        <v>2138</v>
      </c>
      <c r="I4" s="1312" t="s">
        <v>1616</v>
      </c>
      <c r="J4" s="1312" t="s">
        <v>1383</v>
      </c>
      <c r="K4" s="1312" t="s">
        <v>1618</v>
      </c>
      <c r="L4" s="1312" t="s">
        <v>1691</v>
      </c>
      <c r="M4" s="1264" t="s">
        <v>1616</v>
      </c>
      <c r="N4" s="1264" t="s">
        <v>1383</v>
      </c>
      <c r="O4" s="1264" t="s">
        <v>1618</v>
      </c>
      <c r="P4" s="1264" t="s">
        <v>1691</v>
      </c>
      <c r="Q4" s="1270" t="s">
        <v>1616</v>
      </c>
      <c r="R4" s="1270" t="s">
        <v>1383</v>
      </c>
      <c r="S4" s="1270" t="s">
        <v>1618</v>
      </c>
      <c r="T4" s="1270" t="s">
        <v>1620</v>
      </c>
      <c r="U4" s="1347"/>
      <c r="V4" s="1347"/>
    </row>
    <row r="5" spans="1:22" hidden="1" outlineLevel="2">
      <c r="A5" s="589">
        <v>1</v>
      </c>
      <c r="B5" s="1243" t="str">
        <f>B39</f>
        <v>Rimini2</v>
      </c>
      <c r="C5" s="1257">
        <f t="shared" ref="C5:C34" si="0">C39+$C$72</f>
        <v>26718</v>
      </c>
      <c r="D5" s="1337">
        <f t="shared" ref="D5:D34" si="1">D39+$D$72</f>
        <v>43800</v>
      </c>
      <c r="E5" s="1257">
        <f t="shared" ref="E5:E34" si="2">E39+$E$72</f>
        <v>26718</v>
      </c>
      <c r="F5" s="1246">
        <f t="shared" ref="F5:F34" si="3">F39+$F$72</f>
        <v>43800</v>
      </c>
      <c r="G5" s="1357">
        <f>F5-D5</f>
        <v>0</v>
      </c>
      <c r="H5" s="1358">
        <f>F5/D5-1</f>
        <v>0</v>
      </c>
      <c r="I5" s="1313"/>
      <c r="J5" s="1314"/>
      <c r="K5" s="1315"/>
      <c r="L5" s="1316"/>
      <c r="M5" s="1090" t="str">
        <f>M39</f>
        <v>Турин</v>
      </c>
      <c r="N5" s="1265">
        <f>N39+$N$72</f>
        <v>19413</v>
      </c>
      <c r="O5" s="1266">
        <f>O39+$O$72</f>
        <v>32355</v>
      </c>
      <c r="P5" s="1267">
        <f>F5/O5-1</f>
        <v>0.35373203523412156</v>
      </c>
      <c r="Q5" s="1271" t="str">
        <f>Q39</f>
        <v>CLASSIC/ ВАЛЕНСИЯ</v>
      </c>
      <c r="R5" s="1272">
        <f>R39+$R$72</f>
        <v>20681.100000000002</v>
      </c>
      <c r="S5" s="1273">
        <f>S39+$S$72</f>
        <v>34890</v>
      </c>
      <c r="T5" s="1274">
        <f t="shared" ref="T5:T12" si="4">F5/S5-1</f>
        <v>0.25537403267411873</v>
      </c>
      <c r="V5" s="1350"/>
    </row>
    <row r="6" spans="1:22" hidden="1" outlineLevel="2">
      <c r="A6" s="589">
        <v>2</v>
      </c>
      <c r="B6" s="1243" t="str">
        <f>B40</f>
        <v>Rimini4</v>
      </c>
      <c r="C6" s="1257">
        <f t="shared" si="0"/>
        <v>27023</v>
      </c>
      <c r="D6" s="1337">
        <f t="shared" si="1"/>
        <v>44300</v>
      </c>
      <c r="E6" s="1257">
        <f t="shared" si="2"/>
        <v>27023</v>
      </c>
      <c r="F6" s="1246">
        <f t="shared" si="3"/>
        <v>44300</v>
      </c>
      <c r="G6" s="1357">
        <f t="shared" ref="G6:G33" si="5">F6-D6</f>
        <v>0</v>
      </c>
      <c r="H6" s="1358">
        <f t="shared" ref="H6:H33" si="6">F6/D6-1</f>
        <v>0</v>
      </c>
      <c r="I6" s="1313"/>
      <c r="J6" s="1314"/>
      <c r="K6" s="1315"/>
      <c r="L6" s="1316"/>
      <c r="M6" s="1090" t="str">
        <f>M40</f>
        <v>Чикаго-О</v>
      </c>
      <c r="N6" s="1265">
        <f>N40+$N$72</f>
        <v>19695</v>
      </c>
      <c r="O6" s="1266">
        <f>O40+$O$72</f>
        <v>32825</v>
      </c>
      <c r="P6" s="1267">
        <f>F6/O6-1</f>
        <v>0.34958111195734953</v>
      </c>
      <c r="Q6" s="1271" t="str">
        <f>Q40</f>
        <v>CLASSIC/ ПАЛЕРМО</v>
      </c>
      <c r="R6" s="1272">
        <f t="shared" ref="R6:R33" si="7">R40+$R$72</f>
        <v>20952.5</v>
      </c>
      <c r="S6" s="1273">
        <f t="shared" ref="S6:S33" si="8">S40+$S$72</f>
        <v>35350</v>
      </c>
      <c r="T6" s="1274">
        <f t="shared" si="4"/>
        <v>0.25318246110325315</v>
      </c>
      <c r="V6" s="1350"/>
    </row>
    <row r="7" spans="1:22" hidden="1" outlineLevel="2">
      <c r="A7" s="589">
        <v>3</v>
      </c>
      <c r="B7" s="1243" t="str">
        <f>B41</f>
        <v>Rimini1</v>
      </c>
      <c r="C7" s="1257">
        <f t="shared" si="0"/>
        <v>26352</v>
      </c>
      <c r="D7" s="1337">
        <f t="shared" si="1"/>
        <v>43200</v>
      </c>
      <c r="E7" s="1257">
        <f t="shared" si="2"/>
        <v>26352</v>
      </c>
      <c r="F7" s="1246">
        <f t="shared" si="3"/>
        <v>43200</v>
      </c>
      <c r="G7" s="1357">
        <f t="shared" si="5"/>
        <v>0</v>
      </c>
      <c r="H7" s="1358">
        <f t="shared" si="6"/>
        <v>0</v>
      </c>
      <c r="I7" s="1313"/>
      <c r="J7" s="1314"/>
      <c r="K7" s="1315"/>
      <c r="L7" s="1316"/>
      <c r="M7" s="1090"/>
      <c r="N7" s="1265"/>
      <c r="O7" s="1266"/>
      <c r="P7" s="1267"/>
      <c r="Q7" s="1271" t="str">
        <f>Q41</f>
        <v>CLASSIC/ МИЛАН</v>
      </c>
      <c r="R7" s="1272">
        <f t="shared" si="7"/>
        <v>20427.400000000001</v>
      </c>
      <c r="S7" s="1273">
        <f t="shared" si="8"/>
        <v>34460</v>
      </c>
      <c r="T7" s="1274">
        <f t="shared" si="4"/>
        <v>0.25362739408009283</v>
      </c>
      <c r="V7" s="1350"/>
    </row>
    <row r="8" spans="1:22" hidden="1" outlineLevel="2">
      <c r="A8" s="589">
        <v>4</v>
      </c>
      <c r="B8" s="1243" t="str">
        <f t="shared" ref="B8:B19" si="9">B42</f>
        <v>Milan</v>
      </c>
      <c r="C8" s="1257">
        <f t="shared" si="0"/>
        <v>8082.5</v>
      </c>
      <c r="D8" s="1337">
        <f t="shared" si="1"/>
        <v>13250</v>
      </c>
      <c r="E8" s="1257">
        <f t="shared" si="2"/>
        <v>8082.5</v>
      </c>
      <c r="F8" s="1246">
        <f t="shared" si="3"/>
        <v>13250</v>
      </c>
      <c r="G8" s="1357">
        <f t="shared" si="5"/>
        <v>0</v>
      </c>
      <c r="H8" s="1358">
        <f t="shared" si="6"/>
        <v>0</v>
      </c>
      <c r="I8" s="1313"/>
      <c r="J8" s="1314"/>
      <c r="K8" s="1315"/>
      <c r="L8" s="1316"/>
      <c r="M8" s="1090"/>
      <c r="N8" s="1265"/>
      <c r="O8" s="1266"/>
      <c r="P8" s="1267"/>
      <c r="Q8" s="1271" t="str">
        <f t="shared" ref="Q8:Q27" si="10">Q42</f>
        <v>CLASSIC/ ВЕРОНА</v>
      </c>
      <c r="R8" s="1272">
        <f t="shared" si="7"/>
        <v>21754.9</v>
      </c>
      <c r="S8" s="1273">
        <f t="shared" si="8"/>
        <v>36710</v>
      </c>
      <c r="T8" s="1274">
        <f t="shared" si="4"/>
        <v>-0.63906292563334244</v>
      </c>
      <c r="V8" s="1350"/>
    </row>
    <row r="9" spans="1:22" hidden="1" outlineLevel="2">
      <c r="A9" s="589">
        <v>5</v>
      </c>
      <c r="B9" s="1243" t="str">
        <f t="shared" si="9"/>
        <v>Rosso7 ДГ</v>
      </c>
      <c r="C9" s="1257" t="e">
        <f t="shared" si="0"/>
        <v>#REF!</v>
      </c>
      <c r="D9" s="1337" t="e">
        <f t="shared" si="1"/>
        <v>#REF!</v>
      </c>
      <c r="E9" s="1257" t="e">
        <f t="shared" si="2"/>
        <v>#REF!</v>
      </c>
      <c r="F9" s="1246" t="e">
        <f t="shared" si="3"/>
        <v>#REF!</v>
      </c>
      <c r="G9" s="1357" t="e">
        <f t="shared" si="5"/>
        <v>#REF!</v>
      </c>
      <c r="H9" s="1358" t="e">
        <f t="shared" si="6"/>
        <v>#REF!</v>
      </c>
      <c r="I9" s="1313"/>
      <c r="J9" s="1314"/>
      <c r="K9" s="1315"/>
      <c r="L9" s="1316"/>
      <c r="M9" s="1090" t="str">
        <f t="shared" ref="M9:M15" si="11">M43</f>
        <v>Венеция2ДГ</v>
      </c>
      <c r="N9" s="1265">
        <f t="shared" ref="N9:N15" si="12">N43+$N$72</f>
        <v>24477</v>
      </c>
      <c r="O9" s="1266">
        <f t="shared" ref="O9:O15" si="13">O43+$O$72</f>
        <v>40795</v>
      </c>
      <c r="P9" s="1267" t="e">
        <f t="shared" ref="P9:P15" si="14">F9/O9-1</f>
        <v>#REF!</v>
      </c>
      <c r="Q9" s="1271" t="str">
        <f t="shared" si="10"/>
        <v>CORSA2 ДГ</v>
      </c>
      <c r="R9" s="1272">
        <f t="shared" si="7"/>
        <v>27902.700000000004</v>
      </c>
      <c r="S9" s="1273">
        <f t="shared" si="8"/>
        <v>47130</v>
      </c>
      <c r="T9" s="1274" t="e">
        <f t="shared" si="4"/>
        <v>#REF!</v>
      </c>
      <c r="V9" s="1350"/>
    </row>
    <row r="10" spans="1:22" hidden="1" outlineLevel="2">
      <c r="A10" s="589">
        <v>6</v>
      </c>
      <c r="B10" s="1243" t="str">
        <f t="shared" si="9"/>
        <v>Rosso7 ДО фацет</v>
      </c>
      <c r="C10" s="1257" t="e">
        <f t="shared" si="0"/>
        <v>#REF!</v>
      </c>
      <c r="D10" s="1337" t="e">
        <f t="shared" si="1"/>
        <v>#REF!</v>
      </c>
      <c r="E10" s="1257" t="e">
        <f t="shared" si="2"/>
        <v>#REF!</v>
      </c>
      <c r="F10" s="1246" t="e">
        <f t="shared" si="3"/>
        <v>#REF!</v>
      </c>
      <c r="G10" s="1357" t="e">
        <f t="shared" si="5"/>
        <v>#REF!</v>
      </c>
      <c r="H10" s="1358" t="e">
        <f t="shared" si="6"/>
        <v>#REF!</v>
      </c>
      <c r="I10" s="1313"/>
      <c r="J10" s="1314"/>
      <c r="K10" s="1315"/>
      <c r="L10" s="1316"/>
      <c r="M10" s="1090" t="str">
        <f t="shared" si="11"/>
        <v>Венеция2ДО</v>
      </c>
      <c r="N10" s="1265">
        <f t="shared" si="12"/>
        <v>26229</v>
      </c>
      <c r="O10" s="1266">
        <f t="shared" si="13"/>
        <v>43715</v>
      </c>
      <c r="P10" s="1267" t="e">
        <f t="shared" si="14"/>
        <v>#REF!</v>
      </c>
      <c r="Q10" s="1271" t="str">
        <f t="shared" si="10"/>
        <v>CORSA2 ДО вар.3</v>
      </c>
      <c r="R10" s="1272">
        <f t="shared" si="7"/>
        <v>34410.400000000009</v>
      </c>
      <c r="S10" s="1273">
        <f t="shared" si="8"/>
        <v>58160</v>
      </c>
      <c r="T10" s="1274" t="e">
        <f t="shared" si="4"/>
        <v>#REF!</v>
      </c>
      <c r="V10" s="1350"/>
    </row>
    <row r="11" spans="1:22" hidden="1" outlineLevel="2">
      <c r="A11" s="589">
        <v>7</v>
      </c>
      <c r="B11" s="1243" t="str">
        <f t="shared" si="9"/>
        <v>Rosso8 ДГ</v>
      </c>
      <c r="C11" s="1257" t="e">
        <f t="shared" si="0"/>
        <v>#REF!</v>
      </c>
      <c r="D11" s="1337" t="e">
        <f t="shared" si="1"/>
        <v>#REF!</v>
      </c>
      <c r="E11" s="1257" t="e">
        <f t="shared" si="2"/>
        <v>#REF!</v>
      </c>
      <c r="F11" s="1246" t="e">
        <f t="shared" si="3"/>
        <v>#REF!</v>
      </c>
      <c r="G11" s="1357" t="e">
        <f t="shared" si="5"/>
        <v>#REF!</v>
      </c>
      <c r="H11" s="1358" t="e">
        <f t="shared" si="6"/>
        <v>#REF!</v>
      </c>
      <c r="I11" s="1313"/>
      <c r="J11" s="1314"/>
      <c r="K11" s="1315"/>
      <c r="L11" s="1316"/>
      <c r="M11" s="1090" t="str">
        <f t="shared" si="11"/>
        <v>Венеция ДГ</v>
      </c>
      <c r="N11" s="1265">
        <f t="shared" si="12"/>
        <v>24477</v>
      </c>
      <c r="O11" s="1266">
        <f t="shared" si="13"/>
        <v>40795</v>
      </c>
      <c r="P11" s="1267" t="e">
        <f t="shared" si="14"/>
        <v>#REF!</v>
      </c>
      <c r="Q11" s="1271" t="str">
        <f t="shared" si="10"/>
        <v>CORSA1 ДГ</v>
      </c>
      <c r="R11" s="1272">
        <f t="shared" si="7"/>
        <v>27902.700000000004</v>
      </c>
      <c r="S11" s="1273">
        <f t="shared" si="8"/>
        <v>47130</v>
      </c>
      <c r="T11" s="1274" t="e">
        <f t="shared" si="4"/>
        <v>#REF!</v>
      </c>
      <c r="V11" s="1350"/>
    </row>
    <row r="12" spans="1:22" hidden="1" outlineLevel="2">
      <c r="A12" s="589">
        <v>8</v>
      </c>
      <c r="B12" s="1243" t="str">
        <f t="shared" si="9"/>
        <v>Rosso8 ДО фацет</v>
      </c>
      <c r="C12" s="1257" t="e">
        <f t="shared" si="0"/>
        <v>#REF!</v>
      </c>
      <c r="D12" s="1337" t="e">
        <f t="shared" si="1"/>
        <v>#REF!</v>
      </c>
      <c r="E12" s="1257" t="e">
        <f t="shared" si="2"/>
        <v>#REF!</v>
      </c>
      <c r="F12" s="1246" t="e">
        <f t="shared" si="3"/>
        <v>#REF!</v>
      </c>
      <c r="G12" s="1357" t="e">
        <f t="shared" si="5"/>
        <v>#REF!</v>
      </c>
      <c r="H12" s="1358" t="e">
        <f t="shared" si="6"/>
        <v>#REF!</v>
      </c>
      <c r="I12" s="1313"/>
      <c r="J12" s="1314"/>
      <c r="K12" s="1315"/>
      <c r="L12" s="1316"/>
      <c r="M12" s="1090" t="str">
        <f t="shared" si="11"/>
        <v>Венеция ДО</v>
      </c>
      <c r="N12" s="1265">
        <f t="shared" si="12"/>
        <v>26229</v>
      </c>
      <c r="O12" s="1266">
        <f t="shared" si="13"/>
        <v>43715</v>
      </c>
      <c r="P12" s="1267" t="e">
        <f t="shared" si="14"/>
        <v>#REF!</v>
      </c>
      <c r="Q12" s="1271" t="str">
        <f t="shared" si="10"/>
        <v>CORSA1 ДО вар.3</v>
      </c>
      <c r="R12" s="1272">
        <f t="shared" si="7"/>
        <v>34410.400000000009</v>
      </c>
      <c r="S12" s="1273">
        <f t="shared" si="8"/>
        <v>58160</v>
      </c>
      <c r="T12" s="1274" t="e">
        <f t="shared" si="4"/>
        <v>#REF!</v>
      </c>
      <c r="V12" s="1350"/>
    </row>
    <row r="13" spans="1:22" hidden="1" outlineLevel="2">
      <c r="A13" s="589">
        <v>9</v>
      </c>
      <c r="B13" s="1243" t="str">
        <f t="shared" si="9"/>
        <v>Rino2 браш</v>
      </c>
      <c r="C13" s="1257">
        <f t="shared" si="0"/>
        <v>25528.5</v>
      </c>
      <c r="D13" s="1337">
        <f t="shared" si="1"/>
        <v>41850</v>
      </c>
      <c r="E13" s="1257">
        <f t="shared" si="2"/>
        <v>25528.5</v>
      </c>
      <c r="F13" s="1246">
        <f t="shared" si="3"/>
        <v>41850</v>
      </c>
      <c r="G13" s="1357">
        <f t="shared" si="5"/>
        <v>0</v>
      </c>
      <c r="H13" s="1358">
        <f t="shared" si="6"/>
        <v>0</v>
      </c>
      <c r="I13" s="1313" t="str">
        <f>I47</f>
        <v>NEO CLASSIC 8002</v>
      </c>
      <c r="J13" s="1314">
        <f>J47+$J$72</f>
        <v>31103.360000000001</v>
      </c>
      <c r="K13" s="1315">
        <f>K47+$K$72</f>
        <v>48599</v>
      </c>
      <c r="L13" s="1316">
        <f>F13/K13-1</f>
        <v>-0.138871170188687</v>
      </c>
      <c r="M13" s="1090" t="str">
        <f t="shared" si="11"/>
        <v>Manchester M2</v>
      </c>
      <c r="N13" s="1265">
        <f t="shared" si="12"/>
        <v>20547</v>
      </c>
      <c r="O13" s="1266">
        <f t="shared" si="13"/>
        <v>34245</v>
      </c>
      <c r="P13" s="1267">
        <f t="shared" si="14"/>
        <v>0.22207621550591328</v>
      </c>
      <c r="Q13" s="1271"/>
      <c r="R13" s="1272"/>
      <c r="S13" s="1273"/>
      <c r="T13" s="1274"/>
      <c r="V13" s="1350"/>
    </row>
    <row r="14" spans="1:22" s="70" customFormat="1" hidden="1" outlineLevel="2">
      <c r="A14" s="589">
        <v>10</v>
      </c>
      <c r="B14" s="1243" t="str">
        <f t="shared" si="9"/>
        <v>Garda2</v>
      </c>
      <c r="C14" s="1257">
        <f t="shared" si="0"/>
        <v>21502.5</v>
      </c>
      <c r="D14" s="1337">
        <f t="shared" si="1"/>
        <v>35250</v>
      </c>
      <c r="E14" s="1257">
        <f t="shared" si="2"/>
        <v>21502.5</v>
      </c>
      <c r="F14" s="1246">
        <f t="shared" si="3"/>
        <v>35250</v>
      </c>
      <c r="G14" s="1357">
        <f t="shared" si="5"/>
        <v>0</v>
      </c>
      <c r="H14" s="1358">
        <f t="shared" si="6"/>
        <v>0</v>
      </c>
      <c r="I14" s="1313" t="str">
        <f>I48</f>
        <v>GALANT 1421</v>
      </c>
      <c r="J14" s="1314">
        <f>J48+$J$72</f>
        <v>25407.360000000001</v>
      </c>
      <c r="K14" s="1315">
        <f>K48+$K$72</f>
        <v>39699</v>
      </c>
      <c r="L14" s="1316">
        <f>F14/K14-1</f>
        <v>-0.11206831406332651</v>
      </c>
      <c r="M14" s="1090" t="str">
        <f t="shared" si="11"/>
        <v>ЛИОН</v>
      </c>
      <c r="N14" s="1265">
        <f t="shared" si="12"/>
        <v>16329</v>
      </c>
      <c r="O14" s="1266">
        <f t="shared" si="13"/>
        <v>27215</v>
      </c>
      <c r="P14" s="1267">
        <f t="shared" si="14"/>
        <v>0.29524159470880029</v>
      </c>
      <c r="Q14" s="1271" t="str">
        <f t="shared" si="10"/>
        <v>LEGNO2</v>
      </c>
      <c r="R14" s="1272">
        <f t="shared" si="7"/>
        <v>18427.300000000003</v>
      </c>
      <c r="S14" s="1273">
        <f t="shared" si="8"/>
        <v>31070</v>
      </c>
      <c r="T14" s="1274">
        <f>F14/S14-1</f>
        <v>0.13453492114579979</v>
      </c>
      <c r="U14" s="1348"/>
      <c r="V14" s="1350"/>
    </row>
    <row r="15" spans="1:22" s="70" customFormat="1" hidden="1" outlineLevel="2">
      <c r="A15" s="589">
        <v>11</v>
      </c>
      <c r="B15" s="1243" t="str">
        <f t="shared" si="9"/>
        <v>Garda4</v>
      </c>
      <c r="C15" s="1257">
        <f t="shared" si="0"/>
        <v>8082.5</v>
      </c>
      <c r="D15" s="1337">
        <f t="shared" si="1"/>
        <v>13250</v>
      </c>
      <c r="E15" s="1257">
        <f t="shared" si="2"/>
        <v>8082.5</v>
      </c>
      <c r="F15" s="1246">
        <f t="shared" si="3"/>
        <v>13250</v>
      </c>
      <c r="G15" s="1357">
        <f t="shared" si="5"/>
        <v>0</v>
      </c>
      <c r="H15" s="1358">
        <f t="shared" si="6"/>
        <v>0</v>
      </c>
      <c r="I15" s="1313" t="str">
        <f>I49</f>
        <v>GALANT 1431</v>
      </c>
      <c r="J15" s="1314">
        <f>J49+$J$72</f>
        <v>25983.360000000001</v>
      </c>
      <c r="K15" s="1315">
        <f>K49+$K$72</f>
        <v>40599</v>
      </c>
      <c r="L15" s="1316">
        <f>F15/K15-1</f>
        <v>-0.67363728170644599</v>
      </c>
      <c r="M15" s="1090" t="str">
        <f t="shared" si="11"/>
        <v>БОСТОН</v>
      </c>
      <c r="N15" s="1265">
        <f t="shared" si="12"/>
        <v>16329</v>
      </c>
      <c r="O15" s="1266">
        <f t="shared" si="13"/>
        <v>27215</v>
      </c>
      <c r="P15" s="1267">
        <f t="shared" si="14"/>
        <v>-0.51313613815910342</v>
      </c>
      <c r="Q15" s="1271" t="str">
        <f t="shared" si="10"/>
        <v>LEGNO4</v>
      </c>
      <c r="R15" s="1272">
        <f t="shared" si="7"/>
        <v>18427.300000000003</v>
      </c>
      <c r="S15" s="1273">
        <f t="shared" si="8"/>
        <v>31070</v>
      </c>
      <c r="T15" s="1274">
        <f>F15/S15-1</f>
        <v>-0.573543611200515</v>
      </c>
      <c r="U15" s="1348"/>
      <c r="V15" s="1350"/>
    </row>
    <row r="16" spans="1:22" s="70" customFormat="1" hidden="1" outlineLevel="2">
      <c r="A16" s="589">
        <v>12</v>
      </c>
      <c r="B16" s="1243" t="str">
        <f t="shared" si="9"/>
        <v>Garda1</v>
      </c>
      <c r="C16" s="1257" t="e">
        <f t="shared" si="0"/>
        <v>#REF!</v>
      </c>
      <c r="D16" s="1337" t="e">
        <f t="shared" si="1"/>
        <v>#REF!</v>
      </c>
      <c r="E16" s="1257" t="e">
        <f t="shared" si="2"/>
        <v>#REF!</v>
      </c>
      <c r="F16" s="1246" t="e">
        <f t="shared" si="3"/>
        <v>#REF!</v>
      </c>
      <c r="G16" s="1357" t="e">
        <f t="shared" si="5"/>
        <v>#REF!</v>
      </c>
      <c r="H16" s="1358" t="e">
        <f t="shared" si="6"/>
        <v>#REF!</v>
      </c>
      <c r="I16" s="1313" t="str">
        <f>I50</f>
        <v>GALANT 1401</v>
      </c>
      <c r="J16" s="1314">
        <f>J50+$J$72</f>
        <v>24319.360000000001</v>
      </c>
      <c r="K16" s="1315">
        <f>K50+$K$72</f>
        <v>37999</v>
      </c>
      <c r="L16" s="1316" t="e">
        <f>F16/K16-1</f>
        <v>#REF!</v>
      </c>
      <c r="M16" s="1090"/>
      <c r="N16" s="1265"/>
      <c r="O16" s="1266"/>
      <c r="P16" s="1267"/>
      <c r="Q16" s="1271" t="str">
        <f t="shared" si="10"/>
        <v>LEGNO1</v>
      </c>
      <c r="R16" s="1272">
        <f t="shared" si="7"/>
        <v>18427.300000000003</v>
      </c>
      <c r="S16" s="1273">
        <f t="shared" si="8"/>
        <v>31070</v>
      </c>
      <c r="T16" s="1274" t="e">
        <f>F16/S16-1</f>
        <v>#REF!</v>
      </c>
      <c r="U16" s="1348"/>
      <c r="V16" s="1350"/>
    </row>
    <row r="17" spans="1:22" s="70" customFormat="1" hidden="1" outlineLevel="2">
      <c r="A17" s="589">
        <v>13</v>
      </c>
      <c r="B17" s="1243" t="str">
        <f t="shared" si="9"/>
        <v>Garda3</v>
      </c>
      <c r="C17" s="1257">
        <f t="shared" si="0"/>
        <v>21502.5</v>
      </c>
      <c r="D17" s="1337">
        <f t="shared" si="1"/>
        <v>35250</v>
      </c>
      <c r="E17" s="1257">
        <f t="shared" si="2"/>
        <v>21502.5</v>
      </c>
      <c r="F17" s="1246">
        <f t="shared" si="3"/>
        <v>35250</v>
      </c>
      <c r="G17" s="1357">
        <f t="shared" si="5"/>
        <v>0</v>
      </c>
      <c r="H17" s="1358">
        <f t="shared" si="6"/>
        <v>0</v>
      </c>
      <c r="I17" s="1313"/>
      <c r="J17" s="1314"/>
      <c r="K17" s="1315"/>
      <c r="L17" s="1316"/>
      <c r="M17" s="1090"/>
      <c r="N17" s="1265"/>
      <c r="O17" s="1266"/>
      <c r="P17" s="1267"/>
      <c r="Q17" s="1271" t="str">
        <f t="shared" si="10"/>
        <v>LEGNO3</v>
      </c>
      <c r="R17" s="1272">
        <f t="shared" si="7"/>
        <v>18427.300000000003</v>
      </c>
      <c r="S17" s="1273">
        <f t="shared" si="8"/>
        <v>31070</v>
      </c>
      <c r="T17" s="1274">
        <f>F17/S17-1</f>
        <v>0.13453492114579979</v>
      </c>
      <c r="U17" s="1348"/>
      <c r="V17" s="1350"/>
    </row>
    <row r="18" spans="1:22" s="70" customFormat="1" hidden="1" outlineLevel="2">
      <c r="A18" s="589">
        <v>14</v>
      </c>
      <c r="B18" s="1243" t="str">
        <f t="shared" si="9"/>
        <v>Garda5</v>
      </c>
      <c r="C18" s="1257" t="e">
        <f t="shared" si="0"/>
        <v>#REF!</v>
      </c>
      <c r="D18" s="1337" t="e">
        <f t="shared" si="1"/>
        <v>#REF!</v>
      </c>
      <c r="E18" s="1257" t="e">
        <f t="shared" si="2"/>
        <v>#REF!</v>
      </c>
      <c r="F18" s="1246" t="e">
        <f t="shared" si="3"/>
        <v>#REF!</v>
      </c>
      <c r="G18" s="1357" t="e">
        <f t="shared" si="5"/>
        <v>#REF!</v>
      </c>
      <c r="H18" s="1358" t="e">
        <f t="shared" si="6"/>
        <v>#REF!</v>
      </c>
      <c r="I18" s="1313" t="str">
        <f>I52</f>
        <v>GALANT 1411</v>
      </c>
      <c r="J18" s="1314">
        <f>J52+$J$72</f>
        <v>25407.360000000001</v>
      </c>
      <c r="K18" s="1315">
        <f>K52+$K$72</f>
        <v>39699</v>
      </c>
      <c r="L18" s="1316" t="e">
        <f>F18/K18-1</f>
        <v>#REF!</v>
      </c>
      <c r="M18" s="1090"/>
      <c r="N18" s="1265"/>
      <c r="O18" s="1266"/>
      <c r="P18" s="1267"/>
      <c r="Q18" s="1271"/>
      <c r="R18" s="1272"/>
      <c r="S18" s="1273"/>
      <c r="T18" s="1274"/>
      <c r="U18" s="1348"/>
      <c r="V18" s="1350"/>
    </row>
    <row r="19" spans="1:22" s="70" customFormat="1" hidden="1" outlineLevel="2">
      <c r="A19" s="589">
        <v>15</v>
      </c>
      <c r="B19" s="1243" t="str">
        <f t="shared" si="9"/>
        <v>Florence4</v>
      </c>
      <c r="C19" s="1257">
        <f t="shared" si="0"/>
        <v>24674.5</v>
      </c>
      <c r="D19" s="1337">
        <f t="shared" si="1"/>
        <v>40450</v>
      </c>
      <c r="E19" s="1257">
        <f t="shared" si="2"/>
        <v>24674.5</v>
      </c>
      <c r="F19" s="1246">
        <f t="shared" si="3"/>
        <v>40450</v>
      </c>
      <c r="G19" s="1357">
        <f t="shared" si="5"/>
        <v>0</v>
      </c>
      <c r="H19" s="1358">
        <f t="shared" si="6"/>
        <v>0</v>
      </c>
      <c r="I19" s="1313"/>
      <c r="J19" s="1314"/>
      <c r="K19" s="1315"/>
      <c r="L19" s="1316"/>
      <c r="M19" s="1090"/>
      <c r="N19" s="1265"/>
      <c r="O19" s="1266"/>
      <c r="P19" s="1267"/>
      <c r="Q19" s="1271"/>
      <c r="R19" s="1272"/>
      <c r="S19" s="1273"/>
      <c r="T19" s="1274"/>
      <c r="U19" s="1348"/>
      <c r="V19" s="1350"/>
    </row>
    <row r="20" spans="1:22" s="70" customFormat="1" hidden="1" outlineLevel="2">
      <c r="A20" s="589">
        <v>16</v>
      </c>
      <c r="B20" s="1243" t="str">
        <f t="shared" ref="B20:B34" si="15">B54</f>
        <v>Strada11 триплекс</v>
      </c>
      <c r="C20" s="1257">
        <f t="shared" si="0"/>
        <v>23393.5</v>
      </c>
      <c r="D20" s="1337">
        <f t="shared" si="1"/>
        <v>38350</v>
      </c>
      <c r="E20" s="1257">
        <f t="shared" si="2"/>
        <v>23393.5</v>
      </c>
      <c r="F20" s="1246">
        <f t="shared" si="3"/>
        <v>38350</v>
      </c>
      <c r="G20" s="1357">
        <f t="shared" si="5"/>
        <v>0</v>
      </c>
      <c r="H20" s="1358">
        <f t="shared" si="6"/>
        <v>0</v>
      </c>
      <c r="I20" s="1313" t="str">
        <f>I54</f>
        <v>PLANUM 2102</v>
      </c>
      <c r="J20" s="1314">
        <f>J54+$J$72</f>
        <v>24895.360000000001</v>
      </c>
      <c r="K20" s="1315">
        <f>K54+$K$72</f>
        <v>38899</v>
      </c>
      <c r="L20" s="1316">
        <f>F20/K20-1</f>
        <v>-1.411347335407076E-2</v>
      </c>
      <c r="M20" s="1090"/>
      <c r="N20" s="1265"/>
      <c r="O20" s="1266"/>
      <c r="P20" s="1267"/>
      <c r="Q20" s="1271"/>
      <c r="R20" s="1272"/>
      <c r="S20" s="1273"/>
      <c r="T20" s="1274"/>
      <c r="U20" s="1348"/>
      <c r="V20" s="1350"/>
    </row>
    <row r="21" spans="1:22" s="70" customFormat="1" hidden="1" outlineLevel="2">
      <c r="A21" s="589">
        <v>17</v>
      </c>
      <c r="B21" s="1243" t="str">
        <f t="shared" si="15"/>
        <v>Strada04</v>
      </c>
      <c r="C21" s="1257" t="e">
        <f t="shared" si="0"/>
        <v>#REF!</v>
      </c>
      <c r="D21" s="1337" t="e">
        <f t="shared" si="1"/>
        <v>#REF!</v>
      </c>
      <c r="E21" s="1257" t="e">
        <f t="shared" si="2"/>
        <v>#REF!</v>
      </c>
      <c r="F21" s="1246" t="e">
        <f t="shared" si="3"/>
        <v>#REF!</v>
      </c>
      <c r="G21" s="1357" t="e">
        <f t="shared" si="5"/>
        <v>#REF!</v>
      </c>
      <c r="H21" s="1358" t="e">
        <f t="shared" si="6"/>
        <v>#REF!</v>
      </c>
      <c r="I21" s="1313"/>
      <c r="J21" s="1314"/>
      <c r="K21" s="1315"/>
      <c r="L21" s="1316"/>
      <c r="M21" s="1090"/>
      <c r="N21" s="1265"/>
      <c r="O21" s="1266"/>
      <c r="P21" s="1267"/>
      <c r="Q21" s="1271"/>
      <c r="R21" s="1272"/>
      <c r="S21" s="1273"/>
      <c r="T21" s="1274"/>
      <c r="U21" s="1348"/>
      <c r="V21" s="1350"/>
    </row>
    <row r="22" spans="1:22" s="70" customFormat="1" hidden="1" outlineLevel="2">
      <c r="A22" s="589">
        <v>18</v>
      </c>
      <c r="B22" s="1243" t="str">
        <f t="shared" si="15"/>
        <v>Strada14</v>
      </c>
      <c r="C22" s="1257">
        <f t="shared" si="0"/>
        <v>22417.5</v>
      </c>
      <c r="D22" s="1337">
        <f t="shared" si="1"/>
        <v>36750</v>
      </c>
      <c r="E22" s="1257">
        <f t="shared" si="2"/>
        <v>22417.5</v>
      </c>
      <c r="F22" s="1246">
        <f t="shared" si="3"/>
        <v>36750</v>
      </c>
      <c r="G22" s="1357">
        <f t="shared" si="5"/>
        <v>0</v>
      </c>
      <c r="H22" s="1358">
        <f t="shared" si="6"/>
        <v>0</v>
      </c>
      <c r="I22" s="1313"/>
      <c r="J22" s="1314"/>
      <c r="K22" s="1315"/>
      <c r="L22" s="1316"/>
      <c r="M22" s="1090"/>
      <c r="N22" s="1265"/>
      <c r="O22" s="1266"/>
      <c r="P22" s="1267"/>
      <c r="Q22" s="1271"/>
      <c r="R22" s="1272"/>
      <c r="S22" s="1273"/>
      <c r="T22" s="1274"/>
      <c r="U22" s="1348"/>
      <c r="V22" s="1350"/>
    </row>
    <row r="23" spans="1:22" s="70" customFormat="1" hidden="1" outlineLevel="2">
      <c r="A23" s="589">
        <v>19</v>
      </c>
      <c r="B23" s="1243" t="str">
        <f t="shared" si="15"/>
        <v>Strada15</v>
      </c>
      <c r="C23" s="1257">
        <f t="shared" si="0"/>
        <v>22112.5</v>
      </c>
      <c r="D23" s="1337">
        <f t="shared" si="1"/>
        <v>36250</v>
      </c>
      <c r="E23" s="1257">
        <f t="shared" si="2"/>
        <v>22112.5</v>
      </c>
      <c r="F23" s="1246">
        <f t="shared" si="3"/>
        <v>36250</v>
      </c>
      <c r="G23" s="1357">
        <f t="shared" si="5"/>
        <v>0</v>
      </c>
      <c r="H23" s="1358">
        <f t="shared" si="6"/>
        <v>0</v>
      </c>
      <c r="I23" s="1313"/>
      <c r="J23" s="1314"/>
      <c r="K23" s="1315"/>
      <c r="L23" s="1316"/>
      <c r="M23" s="1090"/>
      <c r="N23" s="1265"/>
      <c r="O23" s="1266"/>
      <c r="P23" s="1267"/>
      <c r="Q23" s="1271"/>
      <c r="R23" s="1272"/>
      <c r="S23" s="1273"/>
      <c r="T23" s="1274"/>
      <c r="U23" s="1348"/>
      <c r="V23" s="1350"/>
    </row>
    <row r="24" spans="1:22" s="70" customFormat="1" hidden="1" outlineLevel="2">
      <c r="A24" s="589">
        <v>20</v>
      </c>
      <c r="B24" s="1243" t="str">
        <f t="shared" si="15"/>
        <v>Vario</v>
      </c>
      <c r="C24" s="1257" t="e">
        <f t="shared" si="0"/>
        <v>#REF!</v>
      </c>
      <c r="D24" s="1337" t="e">
        <f t="shared" si="1"/>
        <v>#REF!</v>
      </c>
      <c r="E24" s="1257" t="e">
        <f t="shared" si="2"/>
        <v>#REF!</v>
      </c>
      <c r="F24" s="1246" t="e">
        <f t="shared" si="3"/>
        <v>#REF!</v>
      </c>
      <c r="G24" s="1357" t="e">
        <f t="shared" si="5"/>
        <v>#REF!</v>
      </c>
      <c r="H24" s="1358" t="e">
        <f t="shared" si="6"/>
        <v>#REF!</v>
      </c>
      <c r="I24" s="1313"/>
      <c r="J24" s="1314"/>
      <c r="K24" s="1315"/>
      <c r="L24" s="1316"/>
      <c r="M24" s="1090"/>
      <c r="N24" s="1265"/>
      <c r="O24" s="1266"/>
      <c r="P24" s="1267"/>
      <c r="Q24" s="1271"/>
      <c r="R24" s="1272"/>
      <c r="S24" s="1273"/>
      <c r="T24" s="1274"/>
      <c r="U24" s="1348"/>
      <c r="V24" s="1350"/>
    </row>
    <row r="25" spans="1:22" s="70" customFormat="1" hidden="1" outlineLevel="2">
      <c r="A25" s="589">
        <v>21</v>
      </c>
      <c r="B25" s="1243" t="str">
        <f t="shared" si="15"/>
        <v>Vario01</v>
      </c>
      <c r="C25" s="1257" t="e">
        <f t="shared" si="0"/>
        <v>#REF!</v>
      </c>
      <c r="D25" s="1337" t="e">
        <f t="shared" si="1"/>
        <v>#REF!</v>
      </c>
      <c r="E25" s="1257" t="e">
        <f t="shared" si="2"/>
        <v>#REF!</v>
      </c>
      <c r="F25" s="1246" t="e">
        <f t="shared" si="3"/>
        <v>#REF!</v>
      </c>
      <c r="G25" s="1357" t="e">
        <f t="shared" si="5"/>
        <v>#REF!</v>
      </c>
      <c r="H25" s="1358" t="e">
        <f t="shared" si="6"/>
        <v>#REF!</v>
      </c>
      <c r="I25" s="1313"/>
      <c r="J25" s="1314"/>
      <c r="K25" s="1315"/>
      <c r="L25" s="1316"/>
      <c r="M25" s="1090"/>
      <c r="N25" s="1265"/>
      <c r="O25" s="1266"/>
      <c r="P25" s="1267"/>
      <c r="Q25" s="1271"/>
      <c r="R25" s="1272"/>
      <c r="S25" s="1273"/>
      <c r="T25" s="1274"/>
      <c r="U25" s="1348"/>
      <c r="V25" s="1350"/>
    </row>
    <row r="26" spans="1:22" s="70" customFormat="1" hidden="1" outlineLevel="2">
      <c r="A26" s="589">
        <v>22</v>
      </c>
      <c r="B26" s="1243" t="str">
        <f t="shared" si="15"/>
        <v>Vario12</v>
      </c>
      <c r="C26" s="1257" t="e">
        <f t="shared" si="0"/>
        <v>#REF!</v>
      </c>
      <c r="D26" s="1337" t="e">
        <f t="shared" si="1"/>
        <v>#REF!</v>
      </c>
      <c r="E26" s="1257" t="e">
        <f t="shared" si="2"/>
        <v>#REF!</v>
      </c>
      <c r="F26" s="1246" t="e">
        <f t="shared" si="3"/>
        <v>#REF!</v>
      </c>
      <c r="G26" s="1357" t="e">
        <f t="shared" si="5"/>
        <v>#REF!</v>
      </c>
      <c r="H26" s="1358" t="e">
        <f t="shared" si="6"/>
        <v>#REF!</v>
      </c>
      <c r="I26" s="1313"/>
      <c r="J26" s="1314"/>
      <c r="K26" s="1315"/>
      <c r="L26" s="1316"/>
      <c r="M26" s="1090"/>
      <c r="N26" s="1265"/>
      <c r="O26" s="1266"/>
      <c r="P26" s="1267"/>
      <c r="Q26" s="1271"/>
      <c r="R26" s="1272"/>
      <c r="S26" s="1273"/>
      <c r="T26" s="1274"/>
      <c r="U26" s="1348"/>
      <c r="V26" s="1350"/>
    </row>
    <row r="27" spans="1:22" s="70" customFormat="1" hidden="1" outlineLevel="2">
      <c r="A27" s="589">
        <v>23</v>
      </c>
      <c r="B27" s="1243" t="str">
        <f t="shared" si="15"/>
        <v xml:space="preserve">Vario11 </v>
      </c>
      <c r="C27" s="1257">
        <f t="shared" si="0"/>
        <v>24339</v>
      </c>
      <c r="D27" s="1337">
        <f t="shared" si="1"/>
        <v>39900</v>
      </c>
      <c r="E27" s="1257">
        <f t="shared" si="2"/>
        <v>24339</v>
      </c>
      <c r="F27" s="1246">
        <f t="shared" si="3"/>
        <v>39900</v>
      </c>
      <c r="G27" s="1357">
        <f t="shared" si="5"/>
        <v>0</v>
      </c>
      <c r="H27" s="1358">
        <f t="shared" si="6"/>
        <v>0</v>
      </c>
      <c r="I27" s="1313" t="str">
        <f>I61</f>
        <v>PLANUM 4114</v>
      </c>
      <c r="J27" s="1314">
        <f>J61+$J$72</f>
        <v>29311.360000000001</v>
      </c>
      <c r="K27" s="1315">
        <f>K61+$K$72</f>
        <v>45799</v>
      </c>
      <c r="L27" s="1316">
        <f>F27/K27-1</f>
        <v>-0.12880193890696301</v>
      </c>
      <c r="M27" s="1090"/>
      <c r="N27" s="1265"/>
      <c r="O27" s="1266"/>
      <c r="P27" s="1267"/>
      <c r="Q27" s="1271" t="str">
        <f t="shared" si="10"/>
        <v>MARCO2 ДО</v>
      </c>
      <c r="R27" s="1272">
        <f t="shared" si="7"/>
        <v>17371.2</v>
      </c>
      <c r="S27" s="1273">
        <f t="shared" si="8"/>
        <v>29280</v>
      </c>
      <c r="T27" s="1274">
        <f>F27/S27-1</f>
        <v>0.36270491803278682</v>
      </c>
      <c r="U27" s="1348"/>
      <c r="V27" s="1350"/>
    </row>
    <row r="28" spans="1:22" s="70" customFormat="1" hidden="1" outlineLevel="2">
      <c r="A28" s="589">
        <v>24</v>
      </c>
      <c r="B28" s="1243" t="str">
        <f t="shared" si="15"/>
        <v>Porte01</v>
      </c>
      <c r="C28" s="1257">
        <f t="shared" si="0"/>
        <v>21624.5</v>
      </c>
      <c r="D28" s="1337">
        <f t="shared" si="1"/>
        <v>35450</v>
      </c>
      <c r="E28" s="1257">
        <f t="shared" si="2"/>
        <v>21624.5</v>
      </c>
      <c r="F28" s="1246">
        <f t="shared" si="3"/>
        <v>35450</v>
      </c>
      <c r="G28" s="1357">
        <f t="shared" si="5"/>
        <v>0</v>
      </c>
      <c r="H28" s="1358">
        <f t="shared" si="6"/>
        <v>0</v>
      </c>
      <c r="I28" s="1313" t="str">
        <f>I62</f>
        <v>PLANUM 010</v>
      </c>
      <c r="J28" s="1314">
        <f>J62+$J$72</f>
        <v>21311.360000000001</v>
      </c>
      <c r="K28" s="1315">
        <f>K62+$K$72</f>
        <v>33299</v>
      </c>
      <c r="L28" s="1316">
        <f>F28/K28-1</f>
        <v>6.4596534430463315E-2</v>
      </c>
      <c r="M28" s="1090" t="str">
        <f>M62</f>
        <v>Галактика</v>
      </c>
      <c r="N28" s="1265">
        <f>N62+$N$72</f>
        <v>16137</v>
      </c>
      <c r="O28" s="1266">
        <f>O62+$O$72</f>
        <v>26895</v>
      </c>
      <c r="P28" s="1267">
        <f>F28/O28-1</f>
        <v>0.31808886410113413</v>
      </c>
      <c r="Q28" s="1271" t="str">
        <f t="shared" ref="Q28:Q33" si="16">Q62</f>
        <v>MARCO1</v>
      </c>
      <c r="R28" s="1272">
        <f t="shared" si="7"/>
        <v>15418.300000000001</v>
      </c>
      <c r="S28" s="1273">
        <f t="shared" si="8"/>
        <v>25970</v>
      </c>
      <c r="T28" s="1274">
        <f t="shared" ref="T28:T33" si="17">F28/S28-1</f>
        <v>0.36503658067000377</v>
      </c>
      <c r="U28" s="1348"/>
      <c r="V28" s="1350"/>
    </row>
    <row r="29" spans="1:22" s="70" customFormat="1" hidden="1" outlineLevel="2">
      <c r="A29" s="589">
        <v>25</v>
      </c>
      <c r="B29" s="1243" t="str">
        <f t="shared" si="15"/>
        <v>Porte02</v>
      </c>
      <c r="C29" s="1257" t="e">
        <f t="shared" si="0"/>
        <v>#REF!</v>
      </c>
      <c r="D29" s="1337" t="e">
        <f t="shared" si="1"/>
        <v>#REF!</v>
      </c>
      <c r="E29" s="1257" t="e">
        <f t="shared" si="2"/>
        <v>#REF!</v>
      </c>
      <c r="F29" s="1246" t="e">
        <f t="shared" si="3"/>
        <v>#REF!</v>
      </c>
      <c r="G29" s="1357" t="e">
        <f t="shared" si="5"/>
        <v>#REF!</v>
      </c>
      <c r="H29" s="1358" t="e">
        <f t="shared" si="6"/>
        <v>#REF!</v>
      </c>
      <c r="I29" s="1313"/>
      <c r="J29" s="1314"/>
      <c r="K29" s="1315"/>
      <c r="L29" s="1316"/>
      <c r="M29" s="1090" t="str">
        <f>M63</f>
        <v>Лайн1</v>
      </c>
      <c r="N29" s="1265">
        <f>N63+$N$72</f>
        <v>17625</v>
      </c>
      <c r="O29" s="1266">
        <f>O63+$O$72</f>
        <v>29375</v>
      </c>
      <c r="P29" s="1267" t="e">
        <f>F29/O29-1</f>
        <v>#REF!</v>
      </c>
      <c r="Q29" s="1271" t="str">
        <f t="shared" si="16"/>
        <v>MARCO2</v>
      </c>
      <c r="R29" s="1272">
        <f t="shared" si="7"/>
        <v>16226.600000000002</v>
      </c>
      <c r="S29" s="1273">
        <f t="shared" si="8"/>
        <v>27340</v>
      </c>
      <c r="T29" s="1274" t="e">
        <f t="shared" si="17"/>
        <v>#REF!</v>
      </c>
      <c r="U29" s="1348"/>
      <c r="V29" s="1350"/>
    </row>
    <row r="30" spans="1:22" s="70" customFormat="1" hidden="1" outlineLevel="2">
      <c r="A30" s="589">
        <v>26</v>
      </c>
      <c r="B30" s="1243" t="str">
        <f t="shared" si="15"/>
        <v>Porte03</v>
      </c>
      <c r="C30" s="1257" t="e">
        <f t="shared" si="0"/>
        <v>#REF!</v>
      </c>
      <c r="D30" s="1337" t="e">
        <f t="shared" si="1"/>
        <v>#REF!</v>
      </c>
      <c r="E30" s="1257" t="e">
        <f t="shared" si="2"/>
        <v>#REF!</v>
      </c>
      <c r="F30" s="1246" t="e">
        <f t="shared" si="3"/>
        <v>#REF!</v>
      </c>
      <c r="G30" s="1357" t="e">
        <f t="shared" si="5"/>
        <v>#REF!</v>
      </c>
      <c r="H30" s="1358" t="e">
        <f t="shared" si="6"/>
        <v>#REF!</v>
      </c>
      <c r="I30" s="1313"/>
      <c r="J30" s="1314"/>
      <c r="K30" s="1315"/>
      <c r="L30" s="1316"/>
      <c r="M30" s="1090" t="str">
        <f>M64</f>
        <v>Лайн3</v>
      </c>
      <c r="N30" s="1265">
        <f>N64+$N$72</f>
        <v>17625</v>
      </c>
      <c r="O30" s="1266">
        <f>O64+$O$72</f>
        <v>29375</v>
      </c>
      <c r="P30" s="1267" t="e">
        <f>F30/O30-1</f>
        <v>#REF!</v>
      </c>
      <c r="Q30" s="1271" t="str">
        <f t="shared" si="16"/>
        <v>MARCO4</v>
      </c>
      <c r="R30" s="1272">
        <f t="shared" si="7"/>
        <v>16226.600000000002</v>
      </c>
      <c r="S30" s="1273">
        <f t="shared" si="8"/>
        <v>27340</v>
      </c>
      <c r="T30" s="1274" t="e">
        <f t="shared" si="17"/>
        <v>#REF!</v>
      </c>
      <c r="U30" s="1348"/>
      <c r="V30" s="1350"/>
    </row>
    <row r="31" spans="1:22" s="70" customFormat="1" hidden="1" outlineLevel="2">
      <c r="A31" s="589">
        <v>27</v>
      </c>
      <c r="B31" s="1243" t="str">
        <f t="shared" si="15"/>
        <v>Vetro11</v>
      </c>
      <c r="C31" s="1257">
        <f t="shared" si="0"/>
        <v>23942.5</v>
      </c>
      <c r="D31" s="1337">
        <f t="shared" si="1"/>
        <v>39250</v>
      </c>
      <c r="E31" s="1257">
        <f t="shared" si="2"/>
        <v>23942.5</v>
      </c>
      <c r="F31" s="1246">
        <f t="shared" si="3"/>
        <v>39250</v>
      </c>
      <c r="G31" s="1357">
        <f t="shared" si="5"/>
        <v>0</v>
      </c>
      <c r="H31" s="1358">
        <f t="shared" si="6"/>
        <v>0</v>
      </c>
      <c r="I31" s="1313"/>
      <c r="J31" s="1314"/>
      <c r="K31" s="1315"/>
      <c r="L31" s="1316"/>
      <c r="M31" s="1090" t="str">
        <f>M65</f>
        <v>Вита</v>
      </c>
      <c r="N31" s="1265">
        <f>N65+$N$72</f>
        <v>19101</v>
      </c>
      <c r="O31" s="1266">
        <f>O65+$O$72</f>
        <v>31835</v>
      </c>
      <c r="P31" s="1267">
        <f>F31/O31-1</f>
        <v>0.23291974242186275</v>
      </c>
      <c r="Q31" s="1271" t="str">
        <f t="shared" si="16"/>
        <v>X-LINE1</v>
      </c>
      <c r="R31" s="1272">
        <f t="shared" si="7"/>
        <v>19099.900000000001</v>
      </c>
      <c r="S31" s="1273">
        <f t="shared" si="8"/>
        <v>32210</v>
      </c>
      <c r="T31" s="1274">
        <f t="shared" si="17"/>
        <v>0.21856566283762802</v>
      </c>
      <c r="U31" s="1348"/>
      <c r="V31" s="1350"/>
    </row>
    <row r="32" spans="1:22" s="70" customFormat="1" hidden="1" outlineLevel="2">
      <c r="A32" s="589">
        <v>28</v>
      </c>
      <c r="B32" s="1243" t="str">
        <f t="shared" si="15"/>
        <v>Vetro12</v>
      </c>
      <c r="C32" s="1257">
        <f t="shared" si="0"/>
        <v>24979.5</v>
      </c>
      <c r="D32" s="1337">
        <f t="shared" si="1"/>
        <v>40950</v>
      </c>
      <c r="E32" s="1257">
        <f t="shared" si="2"/>
        <v>24979.5</v>
      </c>
      <c r="F32" s="1246">
        <f t="shared" si="3"/>
        <v>40950</v>
      </c>
      <c r="G32" s="1357">
        <f t="shared" si="5"/>
        <v>0</v>
      </c>
      <c r="H32" s="1358">
        <f t="shared" si="6"/>
        <v>0</v>
      </c>
      <c r="I32" s="1313"/>
      <c r="J32" s="1314"/>
      <c r="K32" s="1315"/>
      <c r="L32" s="1316"/>
      <c r="M32" s="1090"/>
      <c r="N32" s="1265"/>
      <c r="O32" s="1266"/>
      <c r="P32" s="1267"/>
      <c r="Q32" s="1271" t="str">
        <f t="shared" si="16"/>
        <v>X-LINE4</v>
      </c>
      <c r="R32" s="1272">
        <f t="shared" si="7"/>
        <v>20439.200000000004</v>
      </c>
      <c r="S32" s="1273">
        <f t="shared" si="8"/>
        <v>34480</v>
      </c>
      <c r="T32" s="1274">
        <f t="shared" si="17"/>
        <v>0.18764501160092806</v>
      </c>
      <c r="U32" s="1348"/>
      <c r="V32" s="1350"/>
    </row>
    <row r="33" spans="1:22" s="70" customFormat="1" hidden="1" outlineLevel="2">
      <c r="A33" s="589">
        <v>29</v>
      </c>
      <c r="B33" s="1243" t="str">
        <f t="shared" si="15"/>
        <v>Vetro14</v>
      </c>
      <c r="C33" s="1257">
        <f t="shared" si="0"/>
        <v>24979.5</v>
      </c>
      <c r="D33" s="1337">
        <f t="shared" si="1"/>
        <v>40950</v>
      </c>
      <c r="E33" s="1257">
        <f t="shared" si="2"/>
        <v>24979.5</v>
      </c>
      <c r="F33" s="1246">
        <f t="shared" si="3"/>
        <v>40950</v>
      </c>
      <c r="G33" s="1357">
        <f t="shared" si="5"/>
        <v>0</v>
      </c>
      <c r="H33" s="1358">
        <f t="shared" si="6"/>
        <v>0</v>
      </c>
      <c r="I33" s="1313"/>
      <c r="J33" s="1314"/>
      <c r="K33" s="1315"/>
      <c r="L33" s="1316"/>
      <c r="M33" s="1090" t="str">
        <f>M67</f>
        <v>Вита2</v>
      </c>
      <c r="N33" s="1265">
        <f>N67+$N$72</f>
        <v>19761</v>
      </c>
      <c r="O33" s="1266">
        <f>O67+$O$72</f>
        <v>32935</v>
      </c>
      <c r="P33" s="1267">
        <f>F33/O33-1</f>
        <v>0.24335812964930925</v>
      </c>
      <c r="Q33" s="1271" t="str">
        <f t="shared" si="16"/>
        <v>X-LINE5</v>
      </c>
      <c r="R33" s="1272">
        <f t="shared" si="7"/>
        <v>19099.900000000001</v>
      </c>
      <c r="S33" s="1273">
        <f t="shared" si="8"/>
        <v>32210</v>
      </c>
      <c r="T33" s="1274">
        <f t="shared" si="17"/>
        <v>0.27134430301148704</v>
      </c>
      <c r="U33" s="1348"/>
      <c r="V33" s="1350"/>
    </row>
    <row r="34" spans="1:22" s="70" customFormat="1" hidden="1" outlineLevel="2">
      <c r="A34" s="589"/>
      <c r="B34" s="1243" t="str">
        <f t="shared" si="15"/>
        <v>Combo</v>
      </c>
      <c r="C34" s="1257">
        <f t="shared" si="0"/>
        <v>24308.5</v>
      </c>
      <c r="D34" s="1337">
        <f t="shared" si="1"/>
        <v>39850</v>
      </c>
      <c r="E34" s="1257">
        <f t="shared" si="2"/>
        <v>24308.5</v>
      </c>
      <c r="F34" s="1246">
        <f t="shared" si="3"/>
        <v>39850</v>
      </c>
      <c r="G34" s="1357">
        <f>F34-D34</f>
        <v>0</v>
      </c>
      <c r="H34" s="1358">
        <f>F34/D34-1</f>
        <v>0</v>
      </c>
      <c r="I34" s="1313"/>
      <c r="J34" s="1314"/>
      <c r="K34" s="1315"/>
      <c r="L34" s="1316"/>
      <c r="M34" s="1090" t="str">
        <f>M68</f>
        <v>Veсtor V13</v>
      </c>
      <c r="N34" s="1265">
        <f>N68+$N$72</f>
        <v>21015</v>
      </c>
      <c r="O34" s="1266">
        <f>O68+$O$72</f>
        <v>35025</v>
      </c>
      <c r="P34" s="1267">
        <f>F34/O34-1</f>
        <v>0.13775874375446118</v>
      </c>
      <c r="Q34" s="1271"/>
      <c r="R34" s="1272"/>
      <c r="S34" s="1273"/>
      <c r="T34" s="1274"/>
      <c r="U34" s="1348"/>
      <c r="V34" s="1348"/>
    </row>
    <row r="35" spans="1:22" hidden="1" outlineLevel="1" collapsed="1">
      <c r="I35" s="1250"/>
      <c r="J35" s="1250"/>
      <c r="K35" s="1250"/>
      <c r="L35" s="1250"/>
      <c r="M35" s="1250"/>
      <c r="N35" s="1250"/>
      <c r="O35" s="1250"/>
      <c r="P35" s="1250"/>
      <c r="Q35" s="1250"/>
      <c r="R35" s="1250"/>
      <c r="S35" s="1250"/>
      <c r="T35" s="1250"/>
      <c r="U35" s="1349"/>
    </row>
    <row r="36" spans="1:22" hidden="1" outlineLevel="1">
      <c r="B36" s="22" t="s">
        <v>912</v>
      </c>
      <c r="C36" s="22"/>
      <c r="I36" s="1250"/>
      <c r="J36" s="1250"/>
      <c r="K36" s="1250"/>
      <c r="L36" s="1250"/>
      <c r="M36" s="1250"/>
      <c r="N36" s="1250"/>
      <c r="O36" s="1250"/>
      <c r="P36" s="1250"/>
      <c r="Q36" s="1250"/>
      <c r="R36" s="1250"/>
      <c r="S36" s="1250"/>
      <c r="T36" s="1250"/>
      <c r="U36" s="1349"/>
    </row>
    <row r="37" spans="1:22" s="1234" customFormat="1" hidden="1" outlineLevel="2">
      <c r="B37" s="1291" t="str">
        <f>B3</f>
        <v>терем</v>
      </c>
      <c r="C37" s="1292">
        <f>C3</f>
        <v>0.39</v>
      </c>
      <c r="D37" s="1329">
        <f>D3</f>
        <v>1.639344262295082</v>
      </c>
      <c r="E37" s="1329"/>
      <c r="F37" s="1329">
        <f>F3</f>
        <v>0</v>
      </c>
      <c r="G37" s="1359"/>
      <c r="H37" s="1360"/>
      <c r="I37" s="1309" t="str">
        <f>I3</f>
        <v>волховец</v>
      </c>
      <c r="J37" s="1310">
        <f>J3</f>
        <v>0.36</v>
      </c>
      <c r="K37" s="1330">
        <f>K3</f>
        <v>1.5625</v>
      </c>
      <c r="L37" s="1311"/>
      <c r="M37" s="1261" t="str">
        <f>M3</f>
        <v>дариано</v>
      </c>
      <c r="N37" s="1262">
        <f>N3</f>
        <v>0.4</v>
      </c>
      <c r="O37" s="1331">
        <f>O3</f>
        <v>1.6666666666666667</v>
      </c>
      <c r="P37" s="1263"/>
      <c r="Q37" s="1268" t="str">
        <f>Q3</f>
        <v>рада</v>
      </c>
      <c r="R37" s="1269">
        <f>R3</f>
        <v>0.41</v>
      </c>
      <c r="S37" s="1332">
        <f>S3</f>
        <v>1.6870475941801932</v>
      </c>
      <c r="T37" s="1290"/>
      <c r="U37" s="1345"/>
      <c r="V37" s="1346"/>
    </row>
    <row r="38" spans="1:22" s="39" customFormat="1" ht="33.75" hidden="1" outlineLevel="2">
      <c r="B38" s="1306" t="s">
        <v>1616</v>
      </c>
      <c r="C38" s="1306" t="s">
        <v>2136</v>
      </c>
      <c r="D38" s="1306" t="s">
        <v>2135</v>
      </c>
      <c r="E38" s="1306" t="s">
        <v>2137</v>
      </c>
      <c r="F38" s="1306" t="s">
        <v>2134</v>
      </c>
      <c r="G38" s="1306" t="s">
        <v>2139</v>
      </c>
      <c r="H38" s="1306" t="s">
        <v>2138</v>
      </c>
      <c r="I38" s="1312" t="s">
        <v>1616</v>
      </c>
      <c r="J38" s="1312" t="s">
        <v>1383</v>
      </c>
      <c r="K38" s="1312" t="s">
        <v>1618</v>
      </c>
      <c r="L38" s="1312" t="s">
        <v>1691</v>
      </c>
      <c r="M38" s="1264" t="s">
        <v>1616</v>
      </c>
      <c r="N38" s="1264" t="s">
        <v>1383</v>
      </c>
      <c r="O38" s="1264" t="s">
        <v>1618</v>
      </c>
      <c r="P38" s="1264" t="s">
        <v>1691</v>
      </c>
      <c r="Q38" s="1270" t="s">
        <v>1616</v>
      </c>
      <c r="R38" s="1270" t="s">
        <v>1383</v>
      </c>
      <c r="S38" s="1270" t="s">
        <v>1618</v>
      </c>
      <c r="T38" s="1270" t="s">
        <v>1620</v>
      </c>
      <c r="U38" s="1345"/>
      <c r="V38" s="1347"/>
    </row>
    <row r="39" spans="1:22" hidden="1" outlineLevel="2">
      <c r="A39" s="589">
        <v>1</v>
      </c>
      <c r="B39" s="1243" t="s">
        <v>1692</v>
      </c>
      <c r="C39" s="1257">
        <f t="shared" ref="C39:C68" si="18">D39*(1-$C$37)</f>
        <v>18635.5</v>
      </c>
      <c r="D39" s="1337">
        <f>'Classic Rimini '!H6</f>
        <v>30550</v>
      </c>
      <c r="E39" s="1257">
        <f>F39*(1-$C$37)</f>
        <v>18635.5</v>
      </c>
      <c r="F39" s="1246">
        <f t="shared" ref="F39:F67" si="19">D39+G39</f>
        <v>30550</v>
      </c>
      <c r="G39" s="1357"/>
      <c r="H39" s="1358">
        <f t="shared" ref="H39:H67" si="20">F39/D39-1</f>
        <v>0</v>
      </c>
      <c r="I39" s="1313"/>
      <c r="J39" s="1314"/>
      <c r="K39" s="1315"/>
      <c r="L39" s="1316"/>
      <c r="M39" s="1090" t="s">
        <v>1693</v>
      </c>
      <c r="N39" s="1265">
        <f>O39*(1-$N$37)</f>
        <v>14508</v>
      </c>
      <c r="O39" s="1266">
        <v>24180</v>
      </c>
      <c r="P39" s="1267">
        <f>F39/O39-1</f>
        <v>0.26344086021505375</v>
      </c>
      <c r="Q39" s="1271" t="s">
        <v>2105</v>
      </c>
      <c r="R39" s="1272">
        <f t="shared" ref="R39:R46" si="21">S39*(1-$R$37)</f>
        <v>14921.100000000002</v>
      </c>
      <c r="S39" s="1273">
        <v>25290</v>
      </c>
      <c r="T39" s="1274">
        <f t="shared" ref="T39:T46" si="22">F39/S39-1</f>
        <v>0.20798734677738229</v>
      </c>
      <c r="U39" s="1350"/>
      <c r="V39" s="1350"/>
    </row>
    <row r="40" spans="1:22" hidden="1" outlineLevel="2">
      <c r="A40" s="589">
        <v>2</v>
      </c>
      <c r="B40" s="1243" t="s">
        <v>1694</v>
      </c>
      <c r="C40" s="1257">
        <f t="shared" si="18"/>
        <v>18940.5</v>
      </c>
      <c r="D40" s="1337">
        <f>'Classic Rimini '!I6</f>
        <v>31050</v>
      </c>
      <c r="E40" s="1257">
        <f t="shared" ref="E40:E68" si="23">F40*(1-$C$37)</f>
        <v>18940.5</v>
      </c>
      <c r="F40" s="1246">
        <f t="shared" si="19"/>
        <v>31050</v>
      </c>
      <c r="G40" s="1357"/>
      <c r="H40" s="1358">
        <f t="shared" si="20"/>
        <v>0</v>
      </c>
      <c r="I40" s="1313"/>
      <c r="J40" s="1314"/>
      <c r="K40" s="1315"/>
      <c r="L40" s="1316"/>
      <c r="M40" s="1090" t="s">
        <v>1695</v>
      </c>
      <c r="N40" s="1265">
        <f>O40*(1-$N$37)</f>
        <v>14790</v>
      </c>
      <c r="O40" s="1266">
        <v>24650</v>
      </c>
      <c r="P40" s="1267">
        <f t="shared" ref="P40:P49" si="24">F40/O40-1</f>
        <v>0.25963488843813387</v>
      </c>
      <c r="Q40" s="1271" t="s">
        <v>2106</v>
      </c>
      <c r="R40" s="1272">
        <f t="shared" si="21"/>
        <v>15192.500000000002</v>
      </c>
      <c r="S40" s="1273">
        <v>25750</v>
      </c>
      <c r="T40" s="1274">
        <f t="shared" si="22"/>
        <v>0.2058252427184466</v>
      </c>
      <c r="U40" s="1350"/>
      <c r="V40" s="1350"/>
    </row>
    <row r="41" spans="1:22" hidden="1" outlineLevel="2">
      <c r="A41" s="589">
        <v>3</v>
      </c>
      <c r="B41" s="1243" t="s">
        <v>1696</v>
      </c>
      <c r="C41" s="1257">
        <f t="shared" si="18"/>
        <v>18269.5</v>
      </c>
      <c r="D41" s="1337">
        <f>'Classic Rimini '!G6</f>
        <v>29950</v>
      </c>
      <c r="E41" s="1257">
        <f t="shared" si="23"/>
        <v>18269.5</v>
      </c>
      <c r="F41" s="1246">
        <f t="shared" si="19"/>
        <v>29950</v>
      </c>
      <c r="G41" s="1357"/>
      <c r="H41" s="1358">
        <f t="shared" si="20"/>
        <v>0</v>
      </c>
      <c r="I41" s="1313"/>
      <c r="J41" s="1314"/>
      <c r="K41" s="1315"/>
      <c r="L41" s="1316"/>
      <c r="M41" s="1090"/>
      <c r="N41" s="1265"/>
      <c r="O41" s="1266"/>
      <c r="P41" s="1267"/>
      <c r="Q41" s="1271" t="s">
        <v>2107</v>
      </c>
      <c r="R41" s="1272">
        <f t="shared" si="21"/>
        <v>14667.400000000001</v>
      </c>
      <c r="S41" s="1273">
        <v>24860</v>
      </c>
      <c r="T41" s="1274">
        <f t="shared" si="22"/>
        <v>0.20474658085277553</v>
      </c>
      <c r="U41" s="1350"/>
      <c r="V41" s="1350"/>
    </row>
    <row r="42" spans="1:22" hidden="1" outlineLevel="2">
      <c r="A42" s="589">
        <v>4</v>
      </c>
      <c r="B42" s="1243" t="s">
        <v>1697</v>
      </c>
      <c r="C42" s="1257">
        <f t="shared" si="18"/>
        <v>0</v>
      </c>
      <c r="D42" s="1337">
        <f>'Classic Rimini '!K6</f>
        <v>0</v>
      </c>
      <c r="E42" s="1257">
        <f t="shared" si="23"/>
        <v>0</v>
      </c>
      <c r="F42" s="1246">
        <f t="shared" si="19"/>
        <v>0</v>
      </c>
      <c r="G42" s="1357"/>
      <c r="H42" s="1358" t="e">
        <f t="shared" si="20"/>
        <v>#DIV/0!</v>
      </c>
      <c r="I42" s="1313"/>
      <c r="J42" s="1314"/>
      <c r="K42" s="1315"/>
      <c r="L42" s="1316"/>
      <c r="M42" s="1090"/>
      <c r="N42" s="1265"/>
      <c r="O42" s="1266"/>
      <c r="P42" s="1267"/>
      <c r="Q42" s="1271" t="s">
        <v>2108</v>
      </c>
      <c r="R42" s="1272">
        <f t="shared" si="21"/>
        <v>15994.900000000001</v>
      </c>
      <c r="S42" s="1273">
        <v>27110</v>
      </c>
      <c r="T42" s="1274">
        <f t="shared" si="22"/>
        <v>-1</v>
      </c>
      <c r="U42" s="1350"/>
      <c r="V42" s="1350"/>
    </row>
    <row r="43" spans="1:22" hidden="1" outlineLevel="2">
      <c r="A43" s="589">
        <v>5</v>
      </c>
      <c r="B43" s="1243" t="s">
        <v>1698</v>
      </c>
      <c r="C43" s="1257" t="e">
        <f t="shared" si="18"/>
        <v>#REF!</v>
      </c>
      <c r="D43" s="1337" t="e">
        <f>'Classic Rimini '!#REF!</f>
        <v>#REF!</v>
      </c>
      <c r="E43" s="1257" t="e">
        <f t="shared" si="23"/>
        <v>#REF!</v>
      </c>
      <c r="F43" s="1246" t="e">
        <f t="shared" si="19"/>
        <v>#REF!</v>
      </c>
      <c r="G43" s="1357"/>
      <c r="H43" s="1358" t="e">
        <f t="shared" si="20"/>
        <v>#REF!</v>
      </c>
      <c r="I43" s="1313"/>
      <c r="J43" s="1314"/>
      <c r="K43" s="1315"/>
      <c r="L43" s="1316"/>
      <c r="M43" s="1090" t="s">
        <v>1699</v>
      </c>
      <c r="N43" s="1265">
        <f t="shared" ref="N43:N49" si="25">O43*(1-$N$37)</f>
        <v>19572</v>
      </c>
      <c r="O43" s="1266">
        <v>32620</v>
      </c>
      <c r="P43" s="1267" t="e">
        <f t="shared" si="24"/>
        <v>#REF!</v>
      </c>
      <c r="Q43" s="1271" t="s">
        <v>2109</v>
      </c>
      <c r="R43" s="1272">
        <f t="shared" si="21"/>
        <v>22142.700000000004</v>
      </c>
      <c r="S43" s="1273">
        <v>37530</v>
      </c>
      <c r="T43" s="1274" t="e">
        <f t="shared" si="22"/>
        <v>#REF!</v>
      </c>
      <c r="U43" s="1350"/>
      <c r="V43" s="1350"/>
    </row>
    <row r="44" spans="1:22" hidden="1" outlineLevel="2">
      <c r="A44" s="589">
        <v>6</v>
      </c>
      <c r="B44" s="1243" t="s">
        <v>2127</v>
      </c>
      <c r="C44" s="1257" t="e">
        <f t="shared" si="18"/>
        <v>#REF!</v>
      </c>
      <c r="D44" s="1337" t="e">
        <f>D43+'Classic Rimini '!#REF!</f>
        <v>#REF!</v>
      </c>
      <c r="E44" s="1257" t="e">
        <f t="shared" si="23"/>
        <v>#REF!</v>
      </c>
      <c r="F44" s="1246" t="e">
        <f t="shared" si="19"/>
        <v>#REF!</v>
      </c>
      <c r="G44" s="1357"/>
      <c r="H44" s="1358" t="e">
        <f t="shared" si="20"/>
        <v>#REF!</v>
      </c>
      <c r="I44" s="1313"/>
      <c r="J44" s="1314"/>
      <c r="K44" s="1315"/>
      <c r="L44" s="1316"/>
      <c r="M44" s="1090" t="s">
        <v>1700</v>
      </c>
      <c r="N44" s="1265">
        <f t="shared" si="25"/>
        <v>21324</v>
      </c>
      <c r="O44" s="1266">
        <v>35540</v>
      </c>
      <c r="P44" s="1267" t="e">
        <f t="shared" si="24"/>
        <v>#REF!</v>
      </c>
      <c r="Q44" s="1271" t="s">
        <v>2132</v>
      </c>
      <c r="R44" s="1272">
        <f t="shared" si="21"/>
        <v>28650.400000000005</v>
      </c>
      <c r="S44" s="1273">
        <v>48560</v>
      </c>
      <c r="T44" s="1274" t="e">
        <f t="shared" si="22"/>
        <v>#REF!</v>
      </c>
      <c r="U44" s="1350"/>
      <c r="V44" s="1350"/>
    </row>
    <row r="45" spans="1:22" hidden="1" outlineLevel="2">
      <c r="A45" s="589">
        <v>7</v>
      </c>
      <c r="B45" s="1243" t="s">
        <v>1701</v>
      </c>
      <c r="C45" s="1257" t="e">
        <f t="shared" si="18"/>
        <v>#REF!</v>
      </c>
      <c r="D45" s="1337" t="e">
        <f>'Classic Rimini '!#REF!</f>
        <v>#REF!</v>
      </c>
      <c r="E45" s="1257" t="e">
        <f t="shared" si="23"/>
        <v>#REF!</v>
      </c>
      <c r="F45" s="1246" t="e">
        <f t="shared" si="19"/>
        <v>#REF!</v>
      </c>
      <c r="G45" s="1357"/>
      <c r="H45" s="1358" t="e">
        <f t="shared" si="20"/>
        <v>#REF!</v>
      </c>
      <c r="I45" s="1313"/>
      <c r="J45" s="1314"/>
      <c r="K45" s="1315"/>
      <c r="L45" s="1316"/>
      <c r="M45" s="1090" t="s">
        <v>1702</v>
      </c>
      <c r="N45" s="1265">
        <f t="shared" si="25"/>
        <v>19572</v>
      </c>
      <c r="O45" s="1266">
        <v>32620</v>
      </c>
      <c r="P45" s="1267" t="e">
        <f t="shared" si="24"/>
        <v>#REF!</v>
      </c>
      <c r="Q45" s="1271" t="s">
        <v>2110</v>
      </c>
      <c r="R45" s="1272">
        <f t="shared" si="21"/>
        <v>22142.700000000004</v>
      </c>
      <c r="S45" s="1273">
        <v>37530</v>
      </c>
      <c r="T45" s="1274" t="e">
        <f t="shared" si="22"/>
        <v>#REF!</v>
      </c>
      <c r="U45" s="1350"/>
      <c r="V45" s="1350"/>
    </row>
    <row r="46" spans="1:22" hidden="1" outlineLevel="2">
      <c r="A46" s="589">
        <v>8</v>
      </c>
      <c r="B46" s="1243" t="s">
        <v>2128</v>
      </c>
      <c r="C46" s="1257" t="e">
        <f t="shared" si="18"/>
        <v>#REF!</v>
      </c>
      <c r="D46" s="1337" t="e">
        <f>D45+'Classic Rimini '!#REF!</f>
        <v>#REF!</v>
      </c>
      <c r="E46" s="1257" t="e">
        <f t="shared" si="23"/>
        <v>#REF!</v>
      </c>
      <c r="F46" s="1246" t="e">
        <f t="shared" si="19"/>
        <v>#REF!</v>
      </c>
      <c r="G46" s="1357"/>
      <c r="H46" s="1358" t="e">
        <f t="shared" si="20"/>
        <v>#REF!</v>
      </c>
      <c r="I46" s="1313"/>
      <c r="J46" s="1314"/>
      <c r="K46" s="1315"/>
      <c r="L46" s="1316"/>
      <c r="M46" s="1090" t="s">
        <v>1703</v>
      </c>
      <c r="N46" s="1265">
        <f t="shared" si="25"/>
        <v>21324</v>
      </c>
      <c r="O46" s="1266">
        <v>35540</v>
      </c>
      <c r="P46" s="1267" t="e">
        <f t="shared" si="24"/>
        <v>#REF!</v>
      </c>
      <c r="Q46" s="1271" t="s">
        <v>2133</v>
      </c>
      <c r="R46" s="1272">
        <f t="shared" si="21"/>
        <v>28650.400000000005</v>
      </c>
      <c r="S46" s="1273">
        <v>48560</v>
      </c>
      <c r="T46" s="1274" t="e">
        <f t="shared" si="22"/>
        <v>#REF!</v>
      </c>
      <c r="U46" s="1350"/>
      <c r="V46" s="1350"/>
    </row>
    <row r="47" spans="1:22" hidden="1" outlineLevel="2">
      <c r="A47" s="589">
        <v>9</v>
      </c>
      <c r="B47" s="1243" t="s">
        <v>1704</v>
      </c>
      <c r="C47" s="1257">
        <f t="shared" si="18"/>
        <v>17446</v>
      </c>
      <c r="D47" s="1337">
        <f>Fusion!H10</f>
        <v>28600</v>
      </c>
      <c r="E47" s="1257">
        <f t="shared" si="23"/>
        <v>17446</v>
      </c>
      <c r="F47" s="1246">
        <f t="shared" si="19"/>
        <v>28600</v>
      </c>
      <c r="G47" s="1357"/>
      <c r="H47" s="1358">
        <f t="shared" si="20"/>
        <v>0</v>
      </c>
      <c r="I47" s="1313" t="s">
        <v>1630</v>
      </c>
      <c r="J47" s="1314">
        <f>K47*(1-$J$37)</f>
        <v>23103.360000000001</v>
      </c>
      <c r="K47" s="1315">
        <v>36099</v>
      </c>
      <c r="L47" s="1316">
        <f>F47/K47-1</f>
        <v>-0.20773428626831769</v>
      </c>
      <c r="M47" s="1090" t="s">
        <v>1631</v>
      </c>
      <c r="N47" s="1265">
        <f t="shared" si="25"/>
        <v>15642</v>
      </c>
      <c r="O47" s="1266">
        <v>26070</v>
      </c>
      <c r="P47" s="1267">
        <f t="shared" si="24"/>
        <v>9.704641350210963E-2</v>
      </c>
      <c r="Q47" s="1271"/>
      <c r="R47" s="1272"/>
      <c r="S47" s="1273">
        <v>0</v>
      </c>
      <c r="T47" s="1274"/>
      <c r="U47" s="1350"/>
      <c r="V47" s="1350"/>
    </row>
    <row r="48" spans="1:22" hidden="1" outlineLevel="2">
      <c r="A48" s="589">
        <v>10</v>
      </c>
      <c r="B48" s="1243" t="s">
        <v>1632</v>
      </c>
      <c r="C48" s="1257">
        <f t="shared" si="18"/>
        <v>13420</v>
      </c>
      <c r="D48" s="1337">
        <f>Neoclassic!H6</f>
        <v>22000</v>
      </c>
      <c r="E48" s="1257">
        <f t="shared" si="23"/>
        <v>13420</v>
      </c>
      <c r="F48" s="1246">
        <f t="shared" si="19"/>
        <v>22000</v>
      </c>
      <c r="G48" s="1357"/>
      <c r="H48" s="1358">
        <f t="shared" si="20"/>
        <v>0</v>
      </c>
      <c r="I48" s="1317" t="s">
        <v>1633</v>
      </c>
      <c r="J48" s="1314">
        <f>K48*(1-$J$37)</f>
        <v>17407.36</v>
      </c>
      <c r="K48" s="1315">
        <v>27199</v>
      </c>
      <c r="L48" s="1316">
        <f t="shared" ref="L48:L54" si="26">F48/K48-1</f>
        <v>-0.19114673333578436</v>
      </c>
      <c r="M48" s="1097" t="s">
        <v>2163</v>
      </c>
      <c r="N48" s="1265">
        <f t="shared" si="25"/>
        <v>11424</v>
      </c>
      <c r="O48" s="1266">
        <v>19040</v>
      </c>
      <c r="P48" s="1267">
        <f t="shared" si="24"/>
        <v>0.15546218487394947</v>
      </c>
      <c r="Q48" s="1275" t="s">
        <v>2037</v>
      </c>
      <c r="R48" s="1272">
        <f>S48*(1-$R$37)</f>
        <v>12667.300000000001</v>
      </c>
      <c r="S48" s="1273">
        <v>21470</v>
      </c>
      <c r="T48" s="1274">
        <f>F48/S48-1</f>
        <v>2.4685607824871836E-2</v>
      </c>
      <c r="U48" s="1350"/>
      <c r="V48" s="1350"/>
    </row>
    <row r="49" spans="1:22" hidden="1" outlineLevel="2">
      <c r="A49" s="589">
        <v>11</v>
      </c>
      <c r="B49" s="1243" t="s">
        <v>1637</v>
      </c>
      <c r="C49" s="1257">
        <f t="shared" si="18"/>
        <v>0</v>
      </c>
      <c r="D49" s="1337">
        <f>Neoclassic!N6</f>
        <v>0</v>
      </c>
      <c r="E49" s="1257">
        <f t="shared" si="23"/>
        <v>0</v>
      </c>
      <c r="F49" s="1246">
        <f t="shared" si="19"/>
        <v>0</v>
      </c>
      <c r="G49" s="1357"/>
      <c r="H49" s="1358" t="e">
        <f t="shared" si="20"/>
        <v>#DIV/0!</v>
      </c>
      <c r="I49" s="1317" t="s">
        <v>1638</v>
      </c>
      <c r="J49" s="1314">
        <f>K49*(1-$J$37)</f>
        <v>17983.36</v>
      </c>
      <c r="K49" s="1315">
        <v>28099</v>
      </c>
      <c r="L49" s="1316">
        <f t="shared" si="26"/>
        <v>-1</v>
      </c>
      <c r="M49" s="1097" t="s">
        <v>2162</v>
      </c>
      <c r="N49" s="1265">
        <f t="shared" si="25"/>
        <v>11424</v>
      </c>
      <c r="O49" s="1266">
        <v>19040</v>
      </c>
      <c r="P49" s="1267">
        <f t="shared" si="24"/>
        <v>-1</v>
      </c>
      <c r="Q49" s="1275" t="s">
        <v>2045</v>
      </c>
      <c r="R49" s="1272">
        <f>S49*(1-$R$37)</f>
        <v>12667.300000000001</v>
      </c>
      <c r="S49" s="1273">
        <v>21470</v>
      </c>
      <c r="T49" s="1274">
        <f>F49/S49-1</f>
        <v>-1</v>
      </c>
      <c r="U49" s="1350"/>
      <c r="V49" s="1350"/>
    </row>
    <row r="50" spans="1:22" hidden="1" outlineLevel="2">
      <c r="A50" s="589">
        <v>12</v>
      </c>
      <c r="B50" s="1251" t="s">
        <v>1640</v>
      </c>
      <c r="C50" s="1257" t="e">
        <f t="shared" si="18"/>
        <v>#REF!</v>
      </c>
      <c r="D50" s="1337" t="e">
        <f>Neoclassic!#REF!</f>
        <v>#REF!</v>
      </c>
      <c r="E50" s="1257" t="e">
        <f t="shared" si="23"/>
        <v>#REF!</v>
      </c>
      <c r="F50" s="1246" t="e">
        <f t="shared" si="19"/>
        <v>#REF!</v>
      </c>
      <c r="G50" s="1357"/>
      <c r="H50" s="1358" t="e">
        <f t="shared" si="20"/>
        <v>#REF!</v>
      </c>
      <c r="I50" s="1317" t="s">
        <v>1641</v>
      </c>
      <c r="J50" s="1314">
        <f>K50*(1-$J$37)</f>
        <v>16319.36</v>
      </c>
      <c r="K50" s="1315">
        <v>25499</v>
      </c>
      <c r="L50" s="1316" t="e">
        <f t="shared" si="26"/>
        <v>#REF!</v>
      </c>
      <c r="M50" s="1097"/>
      <c r="N50" s="1265"/>
      <c r="O50" s="1266"/>
      <c r="P50" s="1267"/>
      <c r="Q50" s="1275" t="s">
        <v>2046</v>
      </c>
      <c r="R50" s="1272">
        <f>S50*(1-$R$37)</f>
        <v>12667.300000000001</v>
      </c>
      <c r="S50" s="1273">
        <v>21470</v>
      </c>
      <c r="T50" s="1274" t="e">
        <f>F50/S50-1</f>
        <v>#REF!</v>
      </c>
      <c r="U50" s="1350"/>
      <c r="V50" s="1350"/>
    </row>
    <row r="51" spans="1:22" hidden="1" outlineLevel="2">
      <c r="A51" s="589">
        <v>13</v>
      </c>
      <c r="B51" s="1251" t="s">
        <v>1635</v>
      </c>
      <c r="C51" s="1257">
        <f t="shared" si="18"/>
        <v>13420</v>
      </c>
      <c r="D51" s="1337">
        <f>Neoclassic!L6</f>
        <v>22000</v>
      </c>
      <c r="E51" s="1257">
        <f t="shared" si="23"/>
        <v>13420</v>
      </c>
      <c r="F51" s="1246">
        <f t="shared" si="19"/>
        <v>22000</v>
      </c>
      <c r="G51" s="1357"/>
      <c r="H51" s="1358">
        <f t="shared" si="20"/>
        <v>0</v>
      </c>
      <c r="I51" s="1317"/>
      <c r="J51" s="1314"/>
      <c r="K51" s="1315"/>
      <c r="L51" s="1316"/>
      <c r="M51" s="1097"/>
      <c r="N51" s="1265"/>
      <c r="O51" s="1266"/>
      <c r="P51" s="1267"/>
      <c r="Q51" s="1275" t="s">
        <v>2038</v>
      </c>
      <c r="R51" s="1272">
        <f>S51*(1-$R$37)</f>
        <v>12667.300000000001</v>
      </c>
      <c r="S51" s="1273">
        <v>21470</v>
      </c>
      <c r="T51" s="1274">
        <f>F51/S51-1</f>
        <v>2.4685607824871836E-2</v>
      </c>
      <c r="U51" s="1350"/>
      <c r="V51" s="1350"/>
    </row>
    <row r="52" spans="1:22" hidden="1" outlineLevel="2">
      <c r="A52" s="589">
        <v>14</v>
      </c>
      <c r="B52" s="1251" t="s">
        <v>1643</v>
      </c>
      <c r="C52" s="1257" t="e">
        <f t="shared" si="18"/>
        <v>#REF!</v>
      </c>
      <c r="D52" s="1337" t="e">
        <f>Neoclassic!#REF!</f>
        <v>#REF!</v>
      </c>
      <c r="E52" s="1257" t="e">
        <f t="shared" si="23"/>
        <v>#REF!</v>
      </c>
      <c r="F52" s="1246" t="e">
        <f t="shared" si="19"/>
        <v>#REF!</v>
      </c>
      <c r="G52" s="1357"/>
      <c r="H52" s="1358" t="e">
        <f t="shared" si="20"/>
        <v>#REF!</v>
      </c>
      <c r="I52" s="1317" t="s">
        <v>1644</v>
      </c>
      <c r="J52" s="1314">
        <f>K52*(1-$J$37)</f>
        <v>17407.36</v>
      </c>
      <c r="K52" s="1315">
        <v>27199</v>
      </c>
      <c r="L52" s="1316" t="e">
        <f t="shared" si="26"/>
        <v>#REF!</v>
      </c>
      <c r="M52" s="1097"/>
      <c r="N52" s="1265"/>
      <c r="O52" s="1266"/>
      <c r="P52" s="1267"/>
      <c r="Q52" s="1275"/>
      <c r="R52" s="1272"/>
      <c r="S52" s="1273">
        <v>0</v>
      </c>
      <c r="T52" s="1274"/>
      <c r="U52" s="1350"/>
      <c r="V52" s="1350"/>
    </row>
    <row r="53" spans="1:22" hidden="1" outlineLevel="2">
      <c r="A53" s="589">
        <v>15</v>
      </c>
      <c r="B53" s="1251" t="s">
        <v>949</v>
      </c>
      <c r="C53" s="1257">
        <f t="shared" si="18"/>
        <v>16592</v>
      </c>
      <c r="D53" s="1337">
        <f>Neoclassic!O6</f>
        <v>27200</v>
      </c>
      <c r="E53" s="1257">
        <f t="shared" si="23"/>
        <v>16592</v>
      </c>
      <c r="F53" s="1246">
        <f t="shared" si="19"/>
        <v>27200</v>
      </c>
      <c r="G53" s="1357"/>
      <c r="H53" s="1358">
        <f t="shared" si="20"/>
        <v>0</v>
      </c>
      <c r="I53" s="1317"/>
      <c r="J53" s="1314"/>
      <c r="K53" s="1315"/>
      <c r="L53" s="1316"/>
      <c r="M53" s="1097"/>
      <c r="N53" s="1265"/>
      <c r="O53" s="1266"/>
      <c r="P53" s="1267"/>
      <c r="Q53" s="1275"/>
      <c r="R53" s="1272"/>
      <c r="S53" s="1273">
        <v>0</v>
      </c>
      <c r="T53" s="1274"/>
      <c r="U53" s="1350"/>
      <c r="V53" s="1350"/>
    </row>
    <row r="54" spans="1:22" hidden="1" outlineLevel="2">
      <c r="A54" s="589">
        <v>16</v>
      </c>
      <c r="B54" s="1251" t="s">
        <v>2154</v>
      </c>
      <c r="C54" s="1257">
        <f t="shared" si="18"/>
        <v>15311</v>
      </c>
      <c r="D54" s="1338">
        <f>Standart!H10</f>
        <v>25100</v>
      </c>
      <c r="E54" s="1257">
        <f t="shared" si="23"/>
        <v>15311</v>
      </c>
      <c r="F54" s="1246">
        <f t="shared" si="19"/>
        <v>25100</v>
      </c>
      <c r="G54" s="1357"/>
      <c r="H54" s="1358">
        <f t="shared" si="20"/>
        <v>0</v>
      </c>
      <c r="I54" s="1313" t="s">
        <v>1645</v>
      </c>
      <c r="J54" s="1314">
        <f>K54*(1-$J$37)</f>
        <v>16895.36</v>
      </c>
      <c r="K54" s="1315">
        <v>26399</v>
      </c>
      <c r="L54" s="1316">
        <f t="shared" si="26"/>
        <v>-4.9206409333686918E-2</v>
      </c>
      <c r="M54" s="1090"/>
      <c r="N54" s="1265"/>
      <c r="O54" s="1266"/>
      <c r="P54" s="1267"/>
      <c r="Q54" s="1271"/>
      <c r="R54" s="1272"/>
      <c r="S54" s="1273">
        <v>0</v>
      </c>
      <c r="T54" s="1274"/>
      <c r="U54" s="1350"/>
      <c r="V54" s="1350"/>
    </row>
    <row r="55" spans="1:22" hidden="1" outlineLevel="2">
      <c r="A55" s="589">
        <v>17</v>
      </c>
      <c r="B55" s="1258" t="s">
        <v>1705</v>
      </c>
      <c r="C55" s="1257" t="e">
        <f t="shared" si="18"/>
        <v>#REF!</v>
      </c>
      <c r="D55" s="1338" t="e">
        <f>Standart!#REF!</f>
        <v>#REF!</v>
      </c>
      <c r="E55" s="1257" t="e">
        <f t="shared" si="23"/>
        <v>#REF!</v>
      </c>
      <c r="F55" s="1246" t="e">
        <f t="shared" si="19"/>
        <v>#REF!</v>
      </c>
      <c r="G55" s="1357"/>
      <c r="H55" s="1358" t="e">
        <f t="shared" si="20"/>
        <v>#REF!</v>
      </c>
      <c r="I55" s="1313"/>
      <c r="J55" s="1314"/>
      <c r="K55" s="1315"/>
      <c r="L55" s="1316"/>
      <c r="M55" s="1090"/>
      <c r="N55" s="1265"/>
      <c r="O55" s="1266"/>
      <c r="P55" s="1267"/>
      <c r="Q55" s="1271"/>
      <c r="R55" s="1272"/>
      <c r="S55" s="1273">
        <v>0</v>
      </c>
      <c r="T55" s="1274"/>
      <c r="U55" s="1350"/>
      <c r="V55" s="1350"/>
    </row>
    <row r="56" spans="1:22" hidden="1" outlineLevel="2">
      <c r="A56" s="589">
        <v>18</v>
      </c>
      <c r="B56" s="1258" t="s">
        <v>1339</v>
      </c>
      <c r="C56" s="1257">
        <f t="shared" si="18"/>
        <v>14335</v>
      </c>
      <c r="D56" s="1338">
        <f>Standart!I10</f>
        <v>23500</v>
      </c>
      <c r="E56" s="1257">
        <f t="shared" si="23"/>
        <v>14335</v>
      </c>
      <c r="F56" s="1246">
        <f t="shared" si="19"/>
        <v>23500</v>
      </c>
      <c r="G56" s="1357"/>
      <c r="H56" s="1358">
        <f t="shared" si="20"/>
        <v>0</v>
      </c>
      <c r="I56" s="1313"/>
      <c r="J56" s="1314"/>
      <c r="K56" s="1315"/>
      <c r="L56" s="1316"/>
      <c r="M56" s="1090"/>
      <c r="N56" s="1265"/>
      <c r="O56" s="1266"/>
      <c r="P56" s="1267"/>
      <c r="Q56" s="1271"/>
      <c r="R56" s="1272"/>
      <c r="S56" s="1273">
        <v>0</v>
      </c>
      <c r="T56" s="1274"/>
      <c r="U56" s="1350"/>
      <c r="V56" s="1350"/>
    </row>
    <row r="57" spans="1:22" hidden="1" outlineLevel="2">
      <c r="A57" s="589">
        <v>19</v>
      </c>
      <c r="B57" s="1258" t="s">
        <v>1340</v>
      </c>
      <c r="C57" s="1257">
        <f t="shared" si="18"/>
        <v>14030</v>
      </c>
      <c r="D57" s="1338">
        <f>Standart!J10</f>
        <v>23000</v>
      </c>
      <c r="E57" s="1257">
        <f t="shared" si="23"/>
        <v>14030</v>
      </c>
      <c r="F57" s="1246">
        <f t="shared" si="19"/>
        <v>23000</v>
      </c>
      <c r="G57" s="1357"/>
      <c r="H57" s="1358">
        <f t="shared" si="20"/>
        <v>0</v>
      </c>
      <c r="I57" s="1313"/>
      <c r="J57" s="1314"/>
      <c r="K57" s="1315"/>
      <c r="L57" s="1316"/>
      <c r="M57" s="1090"/>
      <c r="N57" s="1265"/>
      <c r="O57" s="1266"/>
      <c r="P57" s="1267"/>
      <c r="Q57" s="1271"/>
      <c r="R57" s="1272"/>
      <c r="S57" s="1273">
        <v>0</v>
      </c>
      <c r="T57" s="1274"/>
      <c r="U57" s="1350"/>
      <c r="V57" s="1350"/>
    </row>
    <row r="58" spans="1:22" hidden="1" outlineLevel="2">
      <c r="A58" s="589">
        <v>20</v>
      </c>
      <c r="B58" s="1243" t="s">
        <v>1365</v>
      </c>
      <c r="C58" s="1257" t="e">
        <f t="shared" si="18"/>
        <v>#REF!</v>
      </c>
      <c r="D58" s="1338" t="e">
        <f>'Standart Vario'!G15</f>
        <v>#REF!</v>
      </c>
      <c r="E58" s="1257" t="e">
        <f t="shared" si="23"/>
        <v>#REF!</v>
      </c>
      <c r="F58" s="1246" t="e">
        <f t="shared" si="19"/>
        <v>#REF!</v>
      </c>
      <c r="G58" s="1357"/>
      <c r="H58" s="1358" t="e">
        <f t="shared" si="20"/>
        <v>#REF!</v>
      </c>
      <c r="I58" s="1313"/>
      <c r="J58" s="1314"/>
      <c r="K58" s="1315"/>
      <c r="L58" s="1316"/>
      <c r="M58" s="1090"/>
      <c r="N58" s="1265"/>
      <c r="O58" s="1266"/>
      <c r="P58" s="1267"/>
      <c r="Q58" s="1271"/>
      <c r="R58" s="1272"/>
      <c r="S58" s="1273">
        <v>0</v>
      </c>
      <c r="T58" s="1274"/>
      <c r="U58" s="1350"/>
      <c r="V58" s="1350"/>
    </row>
    <row r="59" spans="1:22" hidden="1" outlineLevel="2">
      <c r="A59" s="589">
        <v>21</v>
      </c>
      <c r="B59" s="1243" t="s">
        <v>1359</v>
      </c>
      <c r="C59" s="1257" t="e">
        <f t="shared" si="18"/>
        <v>#REF!</v>
      </c>
      <c r="D59" s="1338" t="e">
        <f>'Standart Vario'!H15</f>
        <v>#REF!</v>
      </c>
      <c r="E59" s="1257" t="e">
        <f t="shared" si="23"/>
        <v>#REF!</v>
      </c>
      <c r="F59" s="1246" t="e">
        <f t="shared" si="19"/>
        <v>#REF!</v>
      </c>
      <c r="G59" s="1357"/>
      <c r="H59" s="1358" t="e">
        <f t="shared" si="20"/>
        <v>#REF!</v>
      </c>
      <c r="I59" s="1313"/>
      <c r="J59" s="1314"/>
      <c r="K59" s="1315"/>
      <c r="L59" s="1316"/>
      <c r="M59" s="1090"/>
      <c r="N59" s="1265"/>
      <c r="O59" s="1266"/>
      <c r="P59" s="1267"/>
      <c r="Q59" s="1271"/>
      <c r="R59" s="1272"/>
      <c r="S59" s="1273">
        <v>0</v>
      </c>
      <c r="T59" s="1274"/>
      <c r="U59" s="1350"/>
      <c r="V59" s="1350"/>
    </row>
    <row r="60" spans="1:22" hidden="1" outlineLevel="2">
      <c r="A60" s="589">
        <v>22</v>
      </c>
      <c r="B60" s="1243" t="s">
        <v>1706</v>
      </c>
      <c r="C60" s="1257" t="e">
        <f t="shared" si="18"/>
        <v>#REF!</v>
      </c>
      <c r="D60" s="1338" t="e">
        <f>'Standart Vario'!J15</f>
        <v>#REF!</v>
      </c>
      <c r="E60" s="1257" t="e">
        <f t="shared" si="23"/>
        <v>#REF!</v>
      </c>
      <c r="F60" s="1246" t="e">
        <f t="shared" si="19"/>
        <v>#REF!</v>
      </c>
      <c r="G60" s="1357"/>
      <c r="H60" s="1358" t="e">
        <f t="shared" si="20"/>
        <v>#REF!</v>
      </c>
      <c r="I60" s="1313"/>
      <c r="J60" s="1314"/>
      <c r="K60" s="1315"/>
      <c r="L60" s="1316"/>
      <c r="M60" s="1090"/>
      <c r="N60" s="1265"/>
      <c r="O60" s="1266"/>
      <c r="P60" s="1267"/>
      <c r="Q60" s="1271"/>
      <c r="R60" s="1272"/>
      <c r="S60" s="1273">
        <v>0</v>
      </c>
      <c r="T60" s="1274"/>
      <c r="U60" s="1350"/>
      <c r="V60" s="1350"/>
    </row>
    <row r="61" spans="1:22" hidden="1" outlineLevel="2">
      <c r="A61" s="589">
        <v>23</v>
      </c>
      <c r="B61" s="1243" t="s">
        <v>1360</v>
      </c>
      <c r="C61" s="1257">
        <f t="shared" si="18"/>
        <v>16256.5</v>
      </c>
      <c r="D61" s="1337">
        <f>Standart!K10</f>
        <v>26650</v>
      </c>
      <c r="E61" s="1257">
        <f t="shared" si="23"/>
        <v>16256.5</v>
      </c>
      <c r="F61" s="1246">
        <f t="shared" si="19"/>
        <v>26650</v>
      </c>
      <c r="G61" s="1357"/>
      <c r="H61" s="1358">
        <f t="shared" si="20"/>
        <v>0</v>
      </c>
      <c r="I61" s="1317" t="s">
        <v>1646</v>
      </c>
      <c r="J61" s="1314">
        <f>K61*(1-$J$37)</f>
        <v>21311.360000000001</v>
      </c>
      <c r="K61" s="1315">
        <v>33299</v>
      </c>
      <c r="L61" s="1316">
        <f>F61/K61-1</f>
        <v>-0.19967566593591402</v>
      </c>
      <c r="M61" s="1090" t="s">
        <v>2167</v>
      </c>
      <c r="N61" s="1265">
        <f>O61*(1-$N$37)</f>
        <v>15078</v>
      </c>
      <c r="O61" s="1266">
        <v>25130</v>
      </c>
      <c r="P61" s="1267">
        <f>F61/O61-1</f>
        <v>6.0485475527258359E-2</v>
      </c>
      <c r="Q61" s="1275" t="s">
        <v>2111</v>
      </c>
      <c r="R61" s="1272">
        <f t="shared" ref="R61:R67" si="27">S61*(1-$R$37)</f>
        <v>11611.2</v>
      </c>
      <c r="S61" s="1273">
        <v>19680</v>
      </c>
      <c r="T61" s="1274">
        <f t="shared" ref="T61:T67" si="28">F61/S61-1</f>
        <v>0.35416666666666674</v>
      </c>
      <c r="U61" s="1350"/>
      <c r="V61" s="1350"/>
    </row>
    <row r="62" spans="1:22" hidden="1" outlineLevel="2">
      <c r="A62" s="589">
        <v>24</v>
      </c>
      <c r="B62" s="1243" t="s">
        <v>1647</v>
      </c>
      <c r="C62" s="1257">
        <f t="shared" si="18"/>
        <v>13542</v>
      </c>
      <c r="D62" s="1337">
        <f>Techno_Porte!G19</f>
        <v>22200</v>
      </c>
      <c r="E62" s="1257">
        <f t="shared" si="23"/>
        <v>13542</v>
      </c>
      <c r="F62" s="1246">
        <f t="shared" si="19"/>
        <v>22200</v>
      </c>
      <c r="G62" s="1357"/>
      <c r="H62" s="1358">
        <f t="shared" si="20"/>
        <v>0</v>
      </c>
      <c r="I62" s="1317" t="s">
        <v>1648</v>
      </c>
      <c r="J62" s="1314">
        <f>K62*(1-$J$37)</f>
        <v>13311.36</v>
      </c>
      <c r="K62" s="1315">
        <v>20799</v>
      </c>
      <c r="L62" s="1316">
        <f>F62/K62-1</f>
        <v>6.7359007644598234E-2</v>
      </c>
      <c r="M62" s="1097" t="s">
        <v>1649</v>
      </c>
      <c r="N62" s="1265">
        <f>O62*(1-$N$37)</f>
        <v>11232</v>
      </c>
      <c r="O62" s="1266">
        <v>18720</v>
      </c>
      <c r="P62" s="1267">
        <f>F62/O62-1</f>
        <v>0.1858974358974359</v>
      </c>
      <c r="Q62" s="1275" t="s">
        <v>1650</v>
      </c>
      <c r="R62" s="1272">
        <f t="shared" si="27"/>
        <v>9658.3000000000011</v>
      </c>
      <c r="S62" s="1273">
        <v>16370</v>
      </c>
      <c r="T62" s="1274">
        <f t="shared" si="28"/>
        <v>0.35613927916921195</v>
      </c>
      <c r="U62" s="1350"/>
      <c r="V62" s="1350"/>
    </row>
    <row r="63" spans="1:22" hidden="1" outlineLevel="2">
      <c r="A63" s="589">
        <v>25</v>
      </c>
      <c r="B63" s="1243" t="s">
        <v>1651</v>
      </c>
      <c r="C63" s="1257" t="e">
        <f t="shared" si="18"/>
        <v>#REF!</v>
      </c>
      <c r="D63" s="1337" t="e">
        <f>Techno_Porte!#REF!</f>
        <v>#REF!</v>
      </c>
      <c r="E63" s="1257" t="e">
        <f t="shared" si="23"/>
        <v>#REF!</v>
      </c>
      <c r="F63" s="1246" t="e">
        <f t="shared" si="19"/>
        <v>#REF!</v>
      </c>
      <c r="G63" s="1357"/>
      <c r="H63" s="1358" t="e">
        <f t="shared" si="20"/>
        <v>#REF!</v>
      </c>
      <c r="I63" s="1313"/>
      <c r="J63" s="1314"/>
      <c r="K63" s="1315"/>
      <c r="L63" s="1316"/>
      <c r="M63" s="1090" t="s">
        <v>1652</v>
      </c>
      <c r="N63" s="1265">
        <f>O63*(1-$N$37)</f>
        <v>12720</v>
      </c>
      <c r="O63" s="1266">
        <v>21200</v>
      </c>
      <c r="P63" s="1267" t="e">
        <f>F63/O63-1</f>
        <v>#REF!</v>
      </c>
      <c r="Q63" s="1271" t="s">
        <v>1653</v>
      </c>
      <c r="R63" s="1272">
        <f t="shared" si="27"/>
        <v>10466.600000000002</v>
      </c>
      <c r="S63" s="1273">
        <v>17740</v>
      </c>
      <c r="T63" s="1274" t="e">
        <f t="shared" si="28"/>
        <v>#REF!</v>
      </c>
      <c r="U63" s="1350"/>
      <c r="V63" s="1350"/>
    </row>
    <row r="64" spans="1:22" hidden="1" outlineLevel="2">
      <c r="A64" s="589">
        <v>26</v>
      </c>
      <c r="B64" s="1243" t="s">
        <v>1654</v>
      </c>
      <c r="C64" s="1257" t="e">
        <f t="shared" si="18"/>
        <v>#REF!</v>
      </c>
      <c r="D64" s="1337" t="e">
        <f>Techno_Porte!#REF!</f>
        <v>#REF!</v>
      </c>
      <c r="E64" s="1257" t="e">
        <f t="shared" si="23"/>
        <v>#REF!</v>
      </c>
      <c r="F64" s="1246" t="e">
        <f t="shared" si="19"/>
        <v>#REF!</v>
      </c>
      <c r="G64" s="1357"/>
      <c r="H64" s="1358" t="e">
        <f t="shared" si="20"/>
        <v>#REF!</v>
      </c>
      <c r="I64" s="1313"/>
      <c r="J64" s="1314"/>
      <c r="K64" s="1315"/>
      <c r="L64" s="1316"/>
      <c r="M64" s="1090" t="s">
        <v>1655</v>
      </c>
      <c r="N64" s="1265">
        <f>O64*(1-$N$37)</f>
        <v>12720</v>
      </c>
      <c r="O64" s="1266">
        <v>21200</v>
      </c>
      <c r="P64" s="1267" t="e">
        <f>F64/O64-1</f>
        <v>#REF!</v>
      </c>
      <c r="Q64" s="1271" t="s">
        <v>1656</v>
      </c>
      <c r="R64" s="1272">
        <f t="shared" si="27"/>
        <v>10466.600000000002</v>
      </c>
      <c r="S64" s="1273">
        <v>17740</v>
      </c>
      <c r="T64" s="1274" t="e">
        <f t="shared" si="28"/>
        <v>#REF!</v>
      </c>
      <c r="U64" s="1350"/>
      <c r="V64" s="1350"/>
    </row>
    <row r="65" spans="1:24" hidden="1" outlineLevel="2">
      <c r="A65" s="589">
        <v>27</v>
      </c>
      <c r="B65" s="1243" t="s">
        <v>1657</v>
      </c>
      <c r="C65" s="1257">
        <f t="shared" si="18"/>
        <v>15860</v>
      </c>
      <c r="D65" s="1337">
        <f>Techno_Vetro!G16</f>
        <v>26000</v>
      </c>
      <c r="E65" s="1257">
        <f t="shared" si="23"/>
        <v>15860</v>
      </c>
      <c r="F65" s="1246">
        <f t="shared" si="19"/>
        <v>26000</v>
      </c>
      <c r="G65" s="1357"/>
      <c r="H65" s="1358">
        <f t="shared" si="20"/>
        <v>0</v>
      </c>
      <c r="I65" s="1313"/>
      <c r="J65" s="1314"/>
      <c r="K65" s="1315"/>
      <c r="L65" s="1316"/>
      <c r="M65" s="1090" t="s">
        <v>1658</v>
      </c>
      <c r="N65" s="1265">
        <f>O65*(1-$N$37)</f>
        <v>14196</v>
      </c>
      <c r="O65" s="1266">
        <v>23660</v>
      </c>
      <c r="P65" s="1267">
        <f>F65/O65-1</f>
        <v>9.8901098901098994E-2</v>
      </c>
      <c r="Q65" s="1271" t="s">
        <v>1659</v>
      </c>
      <c r="R65" s="1272">
        <f t="shared" si="27"/>
        <v>13339.900000000001</v>
      </c>
      <c r="S65" s="1273">
        <v>22610</v>
      </c>
      <c r="T65" s="1274">
        <f t="shared" si="28"/>
        <v>0.14993365767359568</v>
      </c>
      <c r="U65" s="1350"/>
      <c r="V65" s="1350"/>
    </row>
    <row r="66" spans="1:24" hidden="1" outlineLevel="2">
      <c r="A66" s="589">
        <v>28</v>
      </c>
      <c r="B66" s="1243" t="s">
        <v>1660</v>
      </c>
      <c r="C66" s="1257">
        <f t="shared" si="18"/>
        <v>16897</v>
      </c>
      <c r="D66" s="1337">
        <f>Techno_Vetro!H16</f>
        <v>27700</v>
      </c>
      <c r="E66" s="1257">
        <f t="shared" si="23"/>
        <v>16897</v>
      </c>
      <c r="F66" s="1246">
        <f t="shared" si="19"/>
        <v>27700</v>
      </c>
      <c r="G66" s="1357"/>
      <c r="H66" s="1358">
        <f t="shared" si="20"/>
        <v>0</v>
      </c>
      <c r="I66" s="1313"/>
      <c r="J66" s="1314"/>
      <c r="K66" s="1315"/>
      <c r="L66" s="1316"/>
      <c r="M66" s="1090"/>
      <c r="N66" s="1265"/>
      <c r="O66" s="1266"/>
      <c r="P66" s="1267"/>
      <c r="Q66" s="1271" t="s">
        <v>1661</v>
      </c>
      <c r="R66" s="1272">
        <f t="shared" si="27"/>
        <v>14679.200000000003</v>
      </c>
      <c r="S66" s="1273">
        <v>24880</v>
      </c>
      <c r="T66" s="1274">
        <f t="shared" si="28"/>
        <v>0.11334405144694526</v>
      </c>
      <c r="U66" s="1350"/>
      <c r="V66" s="1350"/>
    </row>
    <row r="67" spans="1:24" hidden="1" outlineLevel="2">
      <c r="A67" s="589">
        <v>29</v>
      </c>
      <c r="B67" s="1243" t="s">
        <v>1662</v>
      </c>
      <c r="C67" s="1257">
        <f t="shared" si="18"/>
        <v>16897</v>
      </c>
      <c r="D67" s="1337">
        <f>Techno_Vetro!J16</f>
        <v>27700</v>
      </c>
      <c r="E67" s="1257">
        <f t="shared" si="23"/>
        <v>16897</v>
      </c>
      <c r="F67" s="1246">
        <f t="shared" si="19"/>
        <v>27700</v>
      </c>
      <c r="G67" s="1357"/>
      <c r="H67" s="1358">
        <f t="shared" si="20"/>
        <v>0</v>
      </c>
      <c r="I67" s="1313"/>
      <c r="J67" s="1314"/>
      <c r="K67" s="1315"/>
      <c r="L67" s="1316"/>
      <c r="M67" s="1090" t="s">
        <v>1663</v>
      </c>
      <c r="N67" s="1265">
        <f>O67*(1-$N$37)</f>
        <v>14856</v>
      </c>
      <c r="O67" s="1266">
        <v>24760</v>
      </c>
      <c r="P67" s="1267">
        <f>F67/O67-1</f>
        <v>0.11873990306946691</v>
      </c>
      <c r="Q67" s="1271" t="s">
        <v>1664</v>
      </c>
      <c r="R67" s="1272">
        <f t="shared" si="27"/>
        <v>13339.900000000001</v>
      </c>
      <c r="S67" s="1273">
        <v>22610</v>
      </c>
      <c r="T67" s="1274">
        <f t="shared" si="28"/>
        <v>0.22512162759840781</v>
      </c>
      <c r="U67" s="1350"/>
      <c r="V67" s="1350"/>
    </row>
    <row r="68" spans="1:24" hidden="1" outlineLevel="2">
      <c r="B68" s="1243" t="s">
        <v>2166</v>
      </c>
      <c r="C68" s="1257">
        <f t="shared" si="18"/>
        <v>16226</v>
      </c>
      <c r="D68" s="1337">
        <f>Twist!G10</f>
        <v>26600</v>
      </c>
      <c r="E68" s="1257">
        <f t="shared" si="23"/>
        <v>16226</v>
      </c>
      <c r="F68" s="1246">
        <f>D68+G68</f>
        <v>26600</v>
      </c>
      <c r="G68" s="1357"/>
      <c r="H68" s="1358">
        <f>F68/D68-1</f>
        <v>0</v>
      </c>
      <c r="I68" s="1313"/>
      <c r="J68" s="1314"/>
      <c r="K68" s="1315"/>
      <c r="L68" s="1316"/>
      <c r="M68" s="1090" t="s">
        <v>2165</v>
      </c>
      <c r="N68" s="1265">
        <f>O68*(1-$N$37)</f>
        <v>16110</v>
      </c>
      <c r="O68" s="1266">
        <v>26850</v>
      </c>
      <c r="P68" s="1267">
        <f>F68/O68-1</f>
        <v>-9.3109869646182952E-3</v>
      </c>
      <c r="Q68" s="1271"/>
      <c r="R68" s="1272"/>
      <c r="S68" s="1273">
        <v>0</v>
      </c>
      <c r="T68" s="1274"/>
      <c r="U68" s="1350"/>
      <c r="V68" s="1350"/>
    </row>
    <row r="69" spans="1:24" hidden="1" outlineLevel="1" collapsed="1">
      <c r="B69" s="1252"/>
      <c r="C69" s="1252"/>
      <c r="D69" s="1339"/>
      <c r="E69" s="1339"/>
      <c r="F69" s="1253"/>
      <c r="G69" s="1361"/>
      <c r="H69" s="1362"/>
      <c r="I69" s="1253"/>
      <c r="J69" s="1253"/>
      <c r="K69" s="1253"/>
      <c r="L69" s="1253"/>
      <c r="M69" s="1253"/>
      <c r="N69" s="1253"/>
      <c r="O69" s="1253"/>
      <c r="P69" s="1253"/>
      <c r="Q69" s="1253"/>
      <c r="R69" s="1253"/>
      <c r="S69" s="1253"/>
      <c r="T69" s="1253"/>
    </row>
    <row r="70" spans="1:24" hidden="1" outlineLevel="1">
      <c r="B70" s="22" t="s">
        <v>909</v>
      </c>
      <c r="C70" s="1252"/>
      <c r="D70" s="1339"/>
      <c r="E70" s="1339"/>
      <c r="F70" s="1253"/>
      <c r="G70" s="1361"/>
      <c r="H70" s="1362"/>
      <c r="I70" s="1253"/>
      <c r="J70" s="1253"/>
      <c r="K70" s="1253"/>
      <c r="L70" s="1253"/>
      <c r="M70" s="1253"/>
      <c r="N70" s="1253"/>
      <c r="O70" s="1253"/>
      <c r="P70" s="1253"/>
      <c r="Q70" s="1253"/>
      <c r="R70" s="1253"/>
      <c r="S70" s="1253"/>
      <c r="T70" s="1253"/>
    </row>
    <row r="71" spans="1:24" hidden="1" outlineLevel="2">
      <c r="B71" s="1341" t="s">
        <v>2141</v>
      </c>
      <c r="C71" s="1344">
        <f>D71*(1-C73)</f>
        <v>8387.5</v>
      </c>
      <c r="D71" s="1342">
        <f>D81*2.5+D82*5</f>
        <v>13750</v>
      </c>
      <c r="E71" s="1344">
        <f>F71*(1-C73)</f>
        <v>8387.5</v>
      </c>
      <c r="F71" s="1342">
        <f>F81*2.5+F82*5</f>
        <v>13750</v>
      </c>
      <c r="G71" s="1363">
        <f>F71-D71</f>
        <v>0</v>
      </c>
      <c r="H71" s="1364">
        <f>F71/D71-1</f>
        <v>0</v>
      </c>
      <c r="I71" s="1368" t="s">
        <v>2148</v>
      </c>
      <c r="J71" s="1314">
        <f>K71*(1-$J$73)</f>
        <v>8128</v>
      </c>
      <c r="K71" s="1372">
        <f>K81*2.5+K82*5</f>
        <v>12700</v>
      </c>
      <c r="L71" s="1322">
        <f>F71/K71-1</f>
        <v>8.2677165354330784E-2</v>
      </c>
      <c r="M71" s="1369" t="s">
        <v>2148</v>
      </c>
      <c r="N71" s="1265">
        <f>O71*(1-$N$73)</f>
        <v>4905</v>
      </c>
      <c r="O71" s="1373">
        <f>O81*2.5+O82*5</f>
        <v>8175</v>
      </c>
      <c r="P71" s="1297">
        <f>F71/O71-1</f>
        <v>0.68195718654434256</v>
      </c>
      <c r="Q71" s="1289" t="s">
        <v>2148</v>
      </c>
      <c r="R71" s="1272">
        <f>S71*(1-$R$73)</f>
        <v>6136.0000000000009</v>
      </c>
      <c r="S71" s="1374">
        <f>S81*2.5+S82*5</f>
        <v>10400</v>
      </c>
      <c r="T71" s="1300">
        <f>F71/S71-1</f>
        <v>0.32211538461538458</v>
      </c>
    </row>
    <row r="72" spans="1:24" hidden="1" outlineLevel="1" collapsed="1">
      <c r="B72" s="1341" t="s">
        <v>2140</v>
      </c>
      <c r="C72" s="1344">
        <f>D72*(1-C73)</f>
        <v>8082.5</v>
      </c>
      <c r="D72" s="1342">
        <f>D75*2.5+D76*5</f>
        <v>13250</v>
      </c>
      <c r="E72" s="1342">
        <f>F72*(1-C73)</f>
        <v>8082.5</v>
      </c>
      <c r="F72" s="1343">
        <f>F75*2.5+F76*5</f>
        <v>13250</v>
      </c>
      <c r="G72" s="1363">
        <f>F72-D72</f>
        <v>0</v>
      </c>
      <c r="H72" s="1364">
        <f>F72/D72-1</f>
        <v>0</v>
      </c>
      <c r="I72" s="1368" t="s">
        <v>2149</v>
      </c>
      <c r="J72" s="1314">
        <f>K72*(1-$J$73)</f>
        <v>8000</v>
      </c>
      <c r="K72" s="1372">
        <f>K75*2.5+K76*5</f>
        <v>12500</v>
      </c>
      <c r="L72" s="1322">
        <f>F72/K72-1</f>
        <v>6.0000000000000053E-2</v>
      </c>
      <c r="M72" s="1369" t="s">
        <v>2149</v>
      </c>
      <c r="N72" s="1265">
        <f>O72*(1-$N$73)</f>
        <v>4905</v>
      </c>
      <c r="O72" s="1373">
        <f>O75*2.5+O76*5</f>
        <v>8175</v>
      </c>
      <c r="P72" s="1297">
        <f>F72/O72-1</f>
        <v>0.62079510703363905</v>
      </c>
      <c r="Q72" s="1289" t="s">
        <v>2149</v>
      </c>
      <c r="R72" s="1272">
        <f>S72*(1-$N$73)</f>
        <v>5760</v>
      </c>
      <c r="S72" s="1374">
        <f>S75*2.5+S76*5</f>
        <v>9600</v>
      </c>
      <c r="T72" s="1300">
        <f>F72/S72-1</f>
        <v>0.38020833333333326</v>
      </c>
      <c r="V72" s="589"/>
    </row>
    <row r="73" spans="1:24" s="1375" customFormat="1" hidden="1" outlineLevel="2">
      <c r="B73" s="1376" t="str">
        <f>B3</f>
        <v>терем</v>
      </c>
      <c r="C73" s="1377">
        <f>C3</f>
        <v>0.39</v>
      </c>
      <c r="D73" s="1378">
        <f>D3</f>
        <v>1.639344262295082</v>
      </c>
      <c r="E73" s="1378"/>
      <c r="F73" s="1378">
        <f>F3</f>
        <v>0</v>
      </c>
      <c r="G73" s="1379"/>
      <c r="H73" s="1380"/>
      <c r="I73" s="1381" t="str">
        <f>I3</f>
        <v>волховец</v>
      </c>
      <c r="J73" s="1382">
        <f>J3</f>
        <v>0.36</v>
      </c>
      <c r="K73" s="1383">
        <f>K3</f>
        <v>1.5625</v>
      </c>
      <c r="L73" s="1381"/>
      <c r="M73" s="1384" t="str">
        <f>M3</f>
        <v>дариано</v>
      </c>
      <c r="N73" s="1385">
        <f>N3</f>
        <v>0.4</v>
      </c>
      <c r="O73" s="1386">
        <f>O3</f>
        <v>1.6666666666666667</v>
      </c>
      <c r="P73" s="1384"/>
      <c r="Q73" s="1387" t="str">
        <f>Q3</f>
        <v>рада</v>
      </c>
      <c r="R73" s="1388">
        <f>R3</f>
        <v>0.41</v>
      </c>
      <c r="S73" s="1389">
        <f>S3</f>
        <v>1.6870475941801932</v>
      </c>
      <c r="T73" s="1387"/>
      <c r="U73" s="1390"/>
      <c r="V73" s="1391"/>
      <c r="W73" s="22"/>
      <c r="X73" s="589"/>
    </row>
    <row r="74" spans="1:24" s="1305" customFormat="1" ht="24.75" hidden="1" outlineLevel="2">
      <c r="B74" s="1306" t="s">
        <v>1616</v>
      </c>
      <c r="C74" s="1306" t="s">
        <v>2136</v>
      </c>
      <c r="D74" s="1306" t="s">
        <v>2135</v>
      </c>
      <c r="E74" s="1306" t="s">
        <v>2137</v>
      </c>
      <c r="F74" s="1306" t="s">
        <v>2134</v>
      </c>
      <c r="G74" s="1306" t="s">
        <v>2139</v>
      </c>
      <c r="H74" s="1306" t="s">
        <v>2138</v>
      </c>
      <c r="I74" s="1318" t="s">
        <v>1616</v>
      </c>
      <c r="J74" s="1318" t="s">
        <v>1383</v>
      </c>
      <c r="K74" s="1318" t="s">
        <v>1618</v>
      </c>
      <c r="L74" s="1318" t="s">
        <v>1691</v>
      </c>
      <c r="M74" s="1308" t="s">
        <v>1616</v>
      </c>
      <c r="N74" s="1308" t="s">
        <v>1383</v>
      </c>
      <c r="O74" s="1308" t="s">
        <v>1618</v>
      </c>
      <c r="P74" s="1308" t="s">
        <v>1620</v>
      </c>
      <c r="Q74" s="1307" t="s">
        <v>1616</v>
      </c>
      <c r="R74" s="1307" t="s">
        <v>1383</v>
      </c>
      <c r="S74" s="1307" t="s">
        <v>1618</v>
      </c>
      <c r="T74" s="1307" t="s">
        <v>1620</v>
      </c>
      <c r="U74" s="1351"/>
      <c r="V74" s="589"/>
      <c r="W74" s="589"/>
      <c r="X74" s="589"/>
    </row>
    <row r="75" spans="1:24" s="33" customFormat="1" ht="45" hidden="1" outlineLevel="2">
      <c r="A75" s="33">
        <v>1</v>
      </c>
      <c r="B75" s="1293" t="s">
        <v>1673</v>
      </c>
      <c r="C75" s="1304">
        <f>D75*(1-$C$73)</f>
        <v>1525</v>
      </c>
      <c r="D75" s="1340">
        <f>Погонаж!C14</f>
        <v>2500</v>
      </c>
      <c r="E75" s="1304">
        <f>F75*(1-$C$73)</f>
        <v>1525</v>
      </c>
      <c r="F75" s="1301">
        <f t="shared" ref="F75:F80" si="29">D75+G75</f>
        <v>2500</v>
      </c>
      <c r="G75" s="1365"/>
      <c r="H75" s="1366">
        <f>F75/D75-1</f>
        <v>0</v>
      </c>
      <c r="I75" s="1335" t="s">
        <v>1674</v>
      </c>
      <c r="J75" s="1320">
        <f>K75*(1-$J$73)</f>
        <v>1561.6000000000001</v>
      </c>
      <c r="K75" s="1321">
        <f>6100/2.5</f>
        <v>2440</v>
      </c>
      <c r="L75" s="1322">
        <f>F75/K75-1</f>
        <v>2.4590163934426146E-2</v>
      </c>
      <c r="M75" s="1334" t="s">
        <v>1708</v>
      </c>
      <c r="N75" s="1295">
        <f>O75*(1-$N$73)</f>
        <v>858</v>
      </c>
      <c r="O75" s="1296">
        <v>1430</v>
      </c>
      <c r="P75" s="1297">
        <f>F75/O75-1</f>
        <v>0.74825174825174834</v>
      </c>
      <c r="Q75" s="1333" t="s">
        <v>2112</v>
      </c>
      <c r="R75" s="1298">
        <f>S75*(1-$R$73)</f>
        <v>1038.4000000000001</v>
      </c>
      <c r="S75" s="1367">
        <v>1760</v>
      </c>
      <c r="T75" s="1300">
        <f>F75/S75-1</f>
        <v>0.42045454545454541</v>
      </c>
      <c r="U75" s="1455"/>
      <c r="V75" s="1455"/>
      <c r="W75" s="589"/>
      <c r="X75" s="589"/>
    </row>
    <row r="76" spans="1:24" s="33" customFormat="1" ht="22.5" hidden="1" outlineLevel="2">
      <c r="A76" s="33">
        <v>2</v>
      </c>
      <c r="B76" s="1293" t="s">
        <v>1709</v>
      </c>
      <c r="C76" s="1304">
        <f>D76*(1-$C$73)</f>
        <v>854</v>
      </c>
      <c r="D76" s="1340">
        <f>Погонаж!E14</f>
        <v>1400</v>
      </c>
      <c r="E76" s="1304">
        <f>F76*(1-$C$73)</f>
        <v>854</v>
      </c>
      <c r="F76" s="1301">
        <f t="shared" si="29"/>
        <v>1400</v>
      </c>
      <c r="G76" s="1365"/>
      <c r="H76" s="1366">
        <f t="shared" ref="H76:H86" si="30">F76/D76-1</f>
        <v>0</v>
      </c>
      <c r="I76" s="1335" t="s">
        <v>1676</v>
      </c>
      <c r="J76" s="1320">
        <f t="shared" ref="J76:J84" si="31">K76*(1-$J$73)</f>
        <v>819.2</v>
      </c>
      <c r="K76" s="1321">
        <f>3200/2.5</f>
        <v>1280</v>
      </c>
      <c r="L76" s="1322">
        <f>F76/K76-1</f>
        <v>9.375E-2</v>
      </c>
      <c r="M76" s="1334" t="s">
        <v>1677</v>
      </c>
      <c r="N76" s="1295">
        <f>O76*(1-$N$73)</f>
        <v>552</v>
      </c>
      <c r="O76" s="1296">
        <v>920</v>
      </c>
      <c r="P76" s="1297">
        <f>F76/O76-1</f>
        <v>0.52173913043478271</v>
      </c>
      <c r="Q76" s="1333" t="s">
        <v>2029</v>
      </c>
      <c r="R76" s="1298">
        <f>S76*(1-$R$73)</f>
        <v>613.60000000000014</v>
      </c>
      <c r="S76" s="1367">
        <v>1040</v>
      </c>
      <c r="T76" s="1300">
        <f>F76/S76-1</f>
        <v>0.34615384615384626</v>
      </c>
      <c r="U76" s="1455"/>
      <c r="V76" s="1455"/>
      <c r="W76" s="589"/>
      <c r="X76" s="589"/>
    </row>
    <row r="77" spans="1:24" s="33" customFormat="1" ht="22.5" hidden="1" outlineLevel="2">
      <c r="A77" s="33">
        <v>3</v>
      </c>
      <c r="B77" s="1293" t="s">
        <v>1710</v>
      </c>
      <c r="C77" s="1304">
        <f>D77*(1-$C$73)</f>
        <v>976</v>
      </c>
      <c r="D77" s="1340">
        <f>Погонаж!F14</f>
        <v>1600</v>
      </c>
      <c r="E77" s="1304">
        <f>F77*(1-$C$73)</f>
        <v>976</v>
      </c>
      <c r="F77" s="1301">
        <f t="shared" si="29"/>
        <v>1600</v>
      </c>
      <c r="G77" s="1365"/>
      <c r="H77" s="1366">
        <f t="shared" si="30"/>
        <v>0</v>
      </c>
      <c r="I77" s="1335"/>
      <c r="J77" s="1320"/>
      <c r="K77" s="1321"/>
      <c r="L77" s="1322"/>
      <c r="M77" s="1334"/>
      <c r="N77" s="1295"/>
      <c r="O77" s="1296"/>
      <c r="P77" s="1297"/>
      <c r="Q77" s="1333" t="s">
        <v>2113</v>
      </c>
      <c r="R77" s="1298">
        <f>S77*(1-$R$73)</f>
        <v>737.50000000000011</v>
      </c>
      <c r="S77" s="1367">
        <v>1250</v>
      </c>
      <c r="T77" s="1300">
        <f>F77/S77-1</f>
        <v>0.28000000000000003</v>
      </c>
      <c r="U77" s="1455"/>
      <c r="V77" s="1455"/>
      <c r="W77" s="589"/>
      <c r="X77" s="589"/>
    </row>
    <row r="78" spans="1:24" s="37" customFormat="1" ht="22.5" hidden="1" outlineLevel="2">
      <c r="A78" s="33">
        <v>4</v>
      </c>
      <c r="B78" s="1293" t="s">
        <v>2114</v>
      </c>
      <c r="C78" s="1304">
        <f>D78*(1-$C$73)</f>
        <v>1494.5</v>
      </c>
      <c r="D78" s="1340">
        <f>Погонаж!J14</f>
        <v>2450</v>
      </c>
      <c r="E78" s="1304">
        <f>F78*(1-$C$73)</f>
        <v>1494.5</v>
      </c>
      <c r="F78" s="1301">
        <f t="shared" si="29"/>
        <v>2450</v>
      </c>
      <c r="G78" s="1365"/>
      <c r="H78" s="1366">
        <f t="shared" si="30"/>
        <v>0</v>
      </c>
      <c r="I78" s="1335" t="s">
        <v>2124</v>
      </c>
      <c r="J78" s="1319"/>
      <c r="K78" s="1321">
        <f>3750/2.5</f>
        <v>1500</v>
      </c>
      <c r="L78" s="1322">
        <f>F78/K78-1</f>
        <v>0.6333333333333333</v>
      </c>
      <c r="M78" s="1334" t="s">
        <v>2142</v>
      </c>
      <c r="N78" s="1295">
        <f>O78*(1-$N$73)</f>
        <v>804</v>
      </c>
      <c r="O78" s="1296">
        <v>1340</v>
      </c>
      <c r="P78" s="1297">
        <f>F78/O78-1</f>
        <v>0.82835820895522394</v>
      </c>
      <c r="Q78" s="1333" t="s">
        <v>2035</v>
      </c>
      <c r="R78" s="1302">
        <f>S78*(1-$R$73)</f>
        <v>708.00000000000011</v>
      </c>
      <c r="S78" s="1367">
        <v>1200</v>
      </c>
      <c r="T78" s="1300">
        <f>F78/S78-1</f>
        <v>1.0416666666666665</v>
      </c>
      <c r="U78" s="1455"/>
      <c r="V78" s="1455"/>
      <c r="W78" s="589"/>
      <c r="X78" s="589"/>
    </row>
    <row r="79" spans="1:24" s="37" customFormat="1" hidden="1" outlineLevel="2">
      <c r="A79" s="33">
        <v>5</v>
      </c>
      <c r="B79" s="1293"/>
      <c r="C79" s="1304"/>
      <c r="D79" s="1340"/>
      <c r="E79" s="1304"/>
      <c r="F79" s="1301"/>
      <c r="G79" s="1365"/>
      <c r="H79" s="1366"/>
      <c r="I79" s="1335"/>
      <c r="J79" s="1319"/>
      <c r="K79" s="1321"/>
      <c r="L79" s="1322"/>
      <c r="M79" s="1334"/>
      <c r="N79" s="1295"/>
      <c r="O79" s="1296"/>
      <c r="P79" s="1297"/>
      <c r="Q79" s="1333"/>
      <c r="R79" s="1302"/>
      <c r="S79" s="1302">
        <v>0</v>
      </c>
      <c r="T79" s="1300"/>
      <c r="U79" s="1455"/>
      <c r="V79" s="1455"/>
      <c r="W79" s="589"/>
      <c r="X79" s="589"/>
    </row>
    <row r="80" spans="1:24" s="33" customFormat="1" ht="23.25" hidden="1" outlineLevel="2" thickBot="1">
      <c r="A80" s="33">
        <v>6</v>
      </c>
      <c r="B80" s="1410" t="s">
        <v>1678</v>
      </c>
      <c r="C80" s="1411">
        <f t="shared" ref="C80:C91" si="32">D80*(1-$C$73)</f>
        <v>854</v>
      </c>
      <c r="D80" s="1412">
        <f>Погонаж!R14</f>
        <v>1400</v>
      </c>
      <c r="E80" s="1411">
        <f>F80*(1-$C$73)</f>
        <v>854</v>
      </c>
      <c r="F80" s="1413">
        <f t="shared" si="29"/>
        <v>1400</v>
      </c>
      <c r="G80" s="1414"/>
      <c r="H80" s="1415">
        <f t="shared" si="30"/>
        <v>0</v>
      </c>
      <c r="I80" s="1416" t="s">
        <v>1679</v>
      </c>
      <c r="J80" s="1417">
        <f t="shared" si="31"/>
        <v>665.6</v>
      </c>
      <c r="K80" s="1418">
        <f>2600/2.5</f>
        <v>1040</v>
      </c>
      <c r="L80" s="1419">
        <f t="shared" ref="L80:L86" si="33">F80/K80-1</f>
        <v>0.34615384615384626</v>
      </c>
      <c r="M80" s="1420" t="s">
        <v>1680</v>
      </c>
      <c r="N80" s="1421">
        <f>O80*(1-$N$73)</f>
        <v>516</v>
      </c>
      <c r="O80" s="1422">
        <v>860</v>
      </c>
      <c r="P80" s="1423">
        <f>F80/O80-1</f>
        <v>0.62790697674418605</v>
      </c>
      <c r="Q80" s="1424" t="s">
        <v>2036</v>
      </c>
      <c r="R80" s="1425">
        <f>S80*(1-$R$73)</f>
        <v>719.80000000000007</v>
      </c>
      <c r="S80" s="1426">
        <v>1220</v>
      </c>
      <c r="T80" s="1427">
        <f>F80/S80-1</f>
        <v>0.14754098360655732</v>
      </c>
      <c r="U80" s="1455"/>
      <c r="V80" s="1455"/>
      <c r="W80" s="589"/>
      <c r="X80" s="589"/>
    </row>
    <row r="81" spans="1:24" s="33" customFormat="1" ht="15.75" hidden="1" outlineLevel="2" thickTop="1">
      <c r="A81" s="33">
        <v>7</v>
      </c>
      <c r="B81" s="1393" t="s">
        <v>1681</v>
      </c>
      <c r="C81" s="1394">
        <f t="shared" si="32"/>
        <v>1525</v>
      </c>
      <c r="D81" s="1395">
        <f>Погонаж!C41</f>
        <v>2500</v>
      </c>
      <c r="E81" s="1395">
        <f>F81*(1-$C$73)</f>
        <v>1525</v>
      </c>
      <c r="F81" s="1392">
        <f>D81+G81</f>
        <v>2500</v>
      </c>
      <c r="G81" s="1396"/>
      <c r="H81" s="1397">
        <f t="shared" si="30"/>
        <v>0</v>
      </c>
      <c r="I81" s="1398" t="s">
        <v>1682</v>
      </c>
      <c r="J81" s="1399">
        <f t="shared" si="31"/>
        <v>1561.6000000000001</v>
      </c>
      <c r="K81" s="1400">
        <f>6100/2.5</f>
        <v>2440</v>
      </c>
      <c r="L81" s="1401">
        <f t="shared" si="33"/>
        <v>2.4590163934426146E-2</v>
      </c>
      <c r="M81" s="1402" t="s">
        <v>1683</v>
      </c>
      <c r="N81" s="1403">
        <f>O81*(1-$N$73)</f>
        <v>858</v>
      </c>
      <c r="O81" s="1404">
        <f>O75</f>
        <v>1430</v>
      </c>
      <c r="P81" s="1405">
        <f>F81/O81-1</f>
        <v>0.74825174825174834</v>
      </c>
      <c r="Q81" s="1406" t="s">
        <v>2031</v>
      </c>
      <c r="R81" s="1407">
        <f>S81*(1-$R$73)</f>
        <v>1050.2</v>
      </c>
      <c r="S81" s="1408">
        <v>1780</v>
      </c>
      <c r="T81" s="1409">
        <f>F81/S81-1</f>
        <v>0.40449438202247201</v>
      </c>
      <c r="U81" s="1455"/>
      <c r="V81" s="1455"/>
      <c r="W81" s="589"/>
      <c r="X81" s="589"/>
    </row>
    <row r="82" spans="1:24" s="33" customFormat="1" hidden="1" outlineLevel="2">
      <c r="A82" s="33">
        <v>8</v>
      </c>
      <c r="B82" s="1293" t="s">
        <v>1684</v>
      </c>
      <c r="C82" s="1304">
        <f t="shared" si="32"/>
        <v>915</v>
      </c>
      <c r="D82" s="1340">
        <f>Погонаж!D41</f>
        <v>1500</v>
      </c>
      <c r="E82" s="1340">
        <f>F82*(1-$C$73)</f>
        <v>915</v>
      </c>
      <c r="F82" s="1301">
        <f>D82+G82</f>
        <v>1500</v>
      </c>
      <c r="G82" s="1365"/>
      <c r="H82" s="1366">
        <f t="shared" si="30"/>
        <v>0</v>
      </c>
      <c r="I82" s="1335" t="s">
        <v>1685</v>
      </c>
      <c r="J82" s="1320">
        <f t="shared" si="31"/>
        <v>844.80000000000007</v>
      </c>
      <c r="K82" s="1321">
        <f>3300/2.5</f>
        <v>1320</v>
      </c>
      <c r="L82" s="1322">
        <f t="shared" si="33"/>
        <v>0.13636363636363646</v>
      </c>
      <c r="M82" s="1334" t="s">
        <v>1686</v>
      </c>
      <c r="N82" s="1295">
        <f>O82*(1-$N$73)</f>
        <v>552</v>
      </c>
      <c r="O82" s="1296">
        <v>920</v>
      </c>
      <c r="P82" s="1297">
        <f>F82/O82-1</f>
        <v>0.63043478260869557</v>
      </c>
      <c r="Q82" s="1333" t="s">
        <v>2030</v>
      </c>
      <c r="R82" s="1298">
        <f>S82*(1-$R$73)</f>
        <v>702.10000000000014</v>
      </c>
      <c r="S82" s="1367">
        <v>1190</v>
      </c>
      <c r="T82" s="1300">
        <f>F82/S82-1</f>
        <v>0.26050420168067223</v>
      </c>
      <c r="U82" s="1455"/>
      <c r="V82" s="1455"/>
      <c r="W82" s="589"/>
      <c r="X82" s="589"/>
    </row>
    <row r="83" spans="1:24" s="33" customFormat="1" hidden="1" outlineLevel="2">
      <c r="A83" s="33">
        <v>9</v>
      </c>
      <c r="B83" s="1293" t="s">
        <v>1687</v>
      </c>
      <c r="C83" s="1304">
        <f t="shared" si="32"/>
        <v>1677.5</v>
      </c>
      <c r="D83" s="1340">
        <f>Погонаж!G41</f>
        <v>2750</v>
      </c>
      <c r="E83" s="1340">
        <f>F83*(1-$C$73)</f>
        <v>1677.5</v>
      </c>
      <c r="F83" s="1301">
        <f>D83+G83</f>
        <v>2750</v>
      </c>
      <c r="G83" s="1365"/>
      <c r="H83" s="1366">
        <f t="shared" si="30"/>
        <v>0</v>
      </c>
      <c r="I83" s="1335" t="s">
        <v>1688</v>
      </c>
      <c r="J83" s="1320">
        <f t="shared" si="31"/>
        <v>2252.8000000000002</v>
      </c>
      <c r="K83" s="1321">
        <f>8800/2.5</f>
        <v>3520</v>
      </c>
      <c r="L83" s="1322">
        <f t="shared" si="33"/>
        <v>-0.21875</v>
      </c>
      <c r="M83" s="1334"/>
      <c r="N83" s="1295"/>
      <c r="O83" s="1296"/>
      <c r="P83" s="1297"/>
      <c r="Q83" s="1333"/>
      <c r="R83" s="1298"/>
      <c r="S83" s="1299">
        <v>0</v>
      </c>
      <c r="T83" s="1300"/>
      <c r="U83" s="1455"/>
      <c r="V83" s="1455"/>
      <c r="W83" s="589"/>
      <c r="X83" s="589"/>
    </row>
    <row r="84" spans="1:24" s="33" customFormat="1" ht="15.75" hidden="1" outlineLevel="2" thickBot="1">
      <c r="A84" s="33">
        <v>10</v>
      </c>
      <c r="B84" s="1410" t="s">
        <v>1689</v>
      </c>
      <c r="C84" s="1411">
        <f t="shared" si="32"/>
        <v>915</v>
      </c>
      <c r="D84" s="1412">
        <f>Погонаж!H41</f>
        <v>1500</v>
      </c>
      <c r="E84" s="1412">
        <f>F84*(1-$C$73)</f>
        <v>915</v>
      </c>
      <c r="F84" s="1413">
        <f>D84+G84</f>
        <v>1500</v>
      </c>
      <c r="G84" s="1414"/>
      <c r="H84" s="1415">
        <f t="shared" si="30"/>
        <v>0</v>
      </c>
      <c r="I84" s="1416" t="s">
        <v>1690</v>
      </c>
      <c r="J84" s="1417">
        <f t="shared" si="31"/>
        <v>844.80000000000007</v>
      </c>
      <c r="K84" s="1418">
        <f>K82</f>
        <v>1320</v>
      </c>
      <c r="L84" s="1419">
        <f t="shared" si="33"/>
        <v>0.13636363636363646</v>
      </c>
      <c r="M84" s="1420"/>
      <c r="N84" s="1421"/>
      <c r="O84" s="1422"/>
      <c r="P84" s="1423"/>
      <c r="Q84" s="1424"/>
      <c r="R84" s="1425"/>
      <c r="S84" s="1428">
        <v>0</v>
      </c>
      <c r="T84" s="1427"/>
      <c r="U84" s="1455"/>
      <c r="V84" s="1455"/>
      <c r="W84" s="589"/>
      <c r="X84" s="589"/>
    </row>
    <row r="85" spans="1:24" ht="34.5" hidden="1" outlineLevel="2" thickTop="1">
      <c r="A85" s="33">
        <v>11</v>
      </c>
      <c r="B85" s="1293" t="s">
        <v>2117</v>
      </c>
      <c r="C85" s="1294">
        <f t="shared" si="32"/>
        <v>732</v>
      </c>
      <c r="D85" s="1340">
        <f>Плинтусы!C12</f>
        <v>1200</v>
      </c>
      <c r="E85" s="1340">
        <f t="shared" ref="E85:E91" si="34">F85*(1-$C$73)</f>
        <v>732</v>
      </c>
      <c r="F85" s="1301">
        <f t="shared" ref="F85:F91" si="35">D85+G85</f>
        <v>1200</v>
      </c>
      <c r="G85" s="1365"/>
      <c r="H85" s="1366">
        <f t="shared" si="30"/>
        <v>0</v>
      </c>
      <c r="I85" s="1335" t="s">
        <v>2125</v>
      </c>
      <c r="J85" s="1320">
        <f>K85*(1-$J$73)</f>
        <v>911.36</v>
      </c>
      <c r="K85" s="1321">
        <f>7120/5</f>
        <v>1424</v>
      </c>
      <c r="L85" s="1322">
        <f t="shared" si="33"/>
        <v>-0.15730337078651691</v>
      </c>
      <c r="M85" s="1334" t="s">
        <v>2143</v>
      </c>
      <c r="N85" s="1295">
        <f>O85*(1-$N$73)</f>
        <v>516</v>
      </c>
      <c r="O85" s="1296">
        <v>860</v>
      </c>
      <c r="P85" s="1297">
        <f>F85/O85-1</f>
        <v>0.39534883720930236</v>
      </c>
      <c r="Q85" s="1333" t="s">
        <v>2115</v>
      </c>
      <c r="R85" s="1298">
        <f>S85*(1-$R$73)</f>
        <v>796.50000000000011</v>
      </c>
      <c r="S85" s="1299">
        <v>1350</v>
      </c>
      <c r="T85" s="1300">
        <f>F85/S85-1</f>
        <v>-0.11111111111111116</v>
      </c>
      <c r="U85" s="1455"/>
      <c r="V85" s="1455"/>
    </row>
    <row r="86" spans="1:24" ht="22.5" hidden="1" outlineLevel="2">
      <c r="A86" s="33">
        <v>12</v>
      </c>
      <c r="B86" s="1293" t="s">
        <v>2118</v>
      </c>
      <c r="C86" s="1294">
        <f t="shared" si="32"/>
        <v>945.5</v>
      </c>
      <c r="D86" s="1340">
        <f>Плинтусы!D12</f>
        <v>1550</v>
      </c>
      <c r="E86" s="1340">
        <f t="shared" si="34"/>
        <v>945.5</v>
      </c>
      <c r="F86" s="1301">
        <f t="shared" si="35"/>
        <v>1550</v>
      </c>
      <c r="G86" s="1365"/>
      <c r="H86" s="1366">
        <f t="shared" si="30"/>
        <v>0</v>
      </c>
      <c r="I86" s="1335" t="s">
        <v>2126</v>
      </c>
      <c r="J86" s="1320">
        <f>K86*(1-$J$73)</f>
        <v>1231.3600000000001</v>
      </c>
      <c r="K86" s="1321">
        <f>9620/5</f>
        <v>1924</v>
      </c>
      <c r="L86" s="1322">
        <f t="shared" si="33"/>
        <v>-0.19438669438669443</v>
      </c>
      <c r="M86" s="1334"/>
      <c r="N86" s="1295"/>
      <c r="O86" s="1296"/>
      <c r="P86" s="1297"/>
      <c r="Q86" s="1333" t="s">
        <v>2116</v>
      </c>
      <c r="R86" s="1298">
        <f>S86*(1-$R$73)</f>
        <v>914.50000000000011</v>
      </c>
      <c r="S86" s="1299">
        <v>1550</v>
      </c>
      <c r="T86" s="1300">
        <f>F86/S86-1</f>
        <v>0</v>
      </c>
      <c r="U86" s="1455"/>
      <c r="V86" s="1455"/>
    </row>
    <row r="87" spans="1:24" ht="25.9" hidden="1" customHeight="1" outlineLevel="2">
      <c r="A87" s="33">
        <v>13</v>
      </c>
      <c r="B87" s="1293" t="s">
        <v>2119</v>
      </c>
      <c r="C87" s="1294">
        <f t="shared" si="32"/>
        <v>701.5</v>
      </c>
      <c r="D87" s="1340">
        <f>Стык.элементы!C11</f>
        <v>1150</v>
      </c>
      <c r="E87" s="1340">
        <f t="shared" si="34"/>
        <v>701.5</v>
      </c>
      <c r="F87" s="1301">
        <f t="shared" si="35"/>
        <v>1150</v>
      </c>
      <c r="G87" s="1365"/>
      <c r="H87" s="1366">
        <f>F87/D87-1</f>
        <v>0</v>
      </c>
      <c r="I87" s="1368"/>
      <c r="J87" s="1313"/>
      <c r="K87" s="1315"/>
      <c r="L87" s="1315"/>
      <c r="M87" s="1369"/>
      <c r="N87" s="1090"/>
      <c r="O87" s="1266"/>
      <c r="P87" s="1266"/>
      <c r="Q87" s="1370" t="s">
        <v>2121</v>
      </c>
      <c r="R87" s="1271"/>
      <c r="S87" s="1273">
        <v>0</v>
      </c>
      <c r="T87" s="1273"/>
      <c r="U87" s="1455"/>
      <c r="V87" s="1455"/>
    </row>
    <row r="88" spans="1:24" ht="25.9" hidden="1" customHeight="1" outlineLevel="2">
      <c r="A88" s="33">
        <v>14</v>
      </c>
      <c r="B88" s="1293" t="s">
        <v>2120</v>
      </c>
      <c r="C88" s="1294">
        <f t="shared" si="32"/>
        <v>945.5</v>
      </c>
      <c r="D88" s="1340">
        <f>Стык.элементы!C31</f>
        <v>1550</v>
      </c>
      <c r="E88" s="1340">
        <f t="shared" si="34"/>
        <v>945.5</v>
      </c>
      <c r="F88" s="1301">
        <f t="shared" si="35"/>
        <v>1550</v>
      </c>
      <c r="G88" s="1365"/>
      <c r="H88" s="1366">
        <f>F88/D88-1</f>
        <v>0</v>
      </c>
      <c r="I88" s="1368"/>
      <c r="J88" s="1313"/>
      <c r="K88" s="1315"/>
      <c r="L88" s="1315"/>
      <c r="M88" s="1369"/>
      <c r="N88" s="1090"/>
      <c r="O88" s="1266"/>
      <c r="P88" s="1266"/>
      <c r="Q88" s="1370" t="s">
        <v>2122</v>
      </c>
      <c r="R88" s="1271"/>
      <c r="S88" s="1273">
        <v>0</v>
      </c>
      <c r="T88" s="1273"/>
      <c r="U88" s="1455"/>
      <c r="V88" s="1455"/>
    </row>
    <row r="89" spans="1:24" ht="20.45" hidden="1" customHeight="1" outlineLevel="2">
      <c r="A89" s="33">
        <v>15</v>
      </c>
      <c r="B89" s="1293" t="s">
        <v>2123</v>
      </c>
      <c r="C89" s="1294">
        <f t="shared" si="32"/>
        <v>6313.5</v>
      </c>
      <c r="D89" s="1340">
        <f>Порталы!E71</f>
        <v>10350</v>
      </c>
      <c r="E89" s="1340">
        <f t="shared" si="34"/>
        <v>6313.5</v>
      </c>
      <c r="F89" s="1301">
        <f t="shared" si="35"/>
        <v>10350</v>
      </c>
      <c r="G89" s="1365"/>
      <c r="H89" s="1366">
        <f>F89/D89-1</f>
        <v>0</v>
      </c>
      <c r="I89" s="1368"/>
      <c r="J89" s="1313"/>
      <c r="K89" s="1315"/>
      <c r="L89" s="1315"/>
      <c r="M89" s="1369" t="s">
        <v>2147</v>
      </c>
      <c r="N89" s="1295">
        <f>O89*(1-$N$73)</f>
        <v>5610</v>
      </c>
      <c r="O89" s="1266">
        <v>9350</v>
      </c>
      <c r="P89" s="1297">
        <f>F89/O89-1</f>
        <v>0.10695187165775399</v>
      </c>
      <c r="Q89" s="1371" t="s">
        <v>2144</v>
      </c>
      <c r="R89" s="1298">
        <f>S89*(1-$R$73)</f>
        <v>4312.9000000000005</v>
      </c>
      <c r="S89" s="1367">
        <v>7310</v>
      </c>
      <c r="T89" s="1300">
        <f>F89/S89-1</f>
        <v>0.41586867305061559</v>
      </c>
      <c r="U89" s="1455"/>
      <c r="V89" s="1455"/>
    </row>
    <row r="90" spans="1:24" hidden="1" outlineLevel="2">
      <c r="A90" s="33">
        <v>16</v>
      </c>
      <c r="B90" s="1293" t="s">
        <v>2129</v>
      </c>
      <c r="C90" s="1294">
        <f t="shared" si="32"/>
        <v>3263.5</v>
      </c>
      <c r="D90" s="1277">
        <f>Порталы!I13</f>
        <v>5350</v>
      </c>
      <c r="E90" s="1340">
        <f t="shared" si="34"/>
        <v>3263.5</v>
      </c>
      <c r="F90" s="1301">
        <f t="shared" si="35"/>
        <v>5350</v>
      </c>
      <c r="G90" s="1365"/>
      <c r="H90" s="1366">
        <f>F90/D90-1</f>
        <v>0</v>
      </c>
      <c r="I90" s="1368"/>
      <c r="J90" s="1313"/>
      <c r="K90" s="1315"/>
      <c r="L90" s="1315"/>
      <c r="M90" s="1369"/>
      <c r="N90" s="1090"/>
      <c r="O90" s="1266"/>
      <c r="P90" s="1266"/>
      <c r="Q90" s="1370"/>
      <c r="R90" s="1271"/>
      <c r="S90" s="1273">
        <v>0</v>
      </c>
      <c r="T90" s="1273"/>
      <c r="U90" s="1454"/>
      <c r="V90" s="1455"/>
    </row>
    <row r="91" spans="1:24" ht="56.25" hidden="1" outlineLevel="2">
      <c r="A91" s="33">
        <v>17</v>
      </c>
      <c r="B91" s="1293" t="s">
        <v>2145</v>
      </c>
      <c r="C91" s="1294">
        <f t="shared" si="32"/>
        <v>2379</v>
      </c>
      <c r="D91" s="1340">
        <f>Рейки!F11</f>
        <v>3900</v>
      </c>
      <c r="E91" s="1340">
        <f t="shared" si="34"/>
        <v>2379</v>
      </c>
      <c r="F91" s="1301">
        <f t="shared" si="35"/>
        <v>3900</v>
      </c>
      <c r="G91" s="1365"/>
      <c r="H91" s="1366">
        <f>F91/D91-1</f>
        <v>0</v>
      </c>
      <c r="I91" s="1335"/>
      <c r="J91" s="1320"/>
      <c r="K91" s="1321"/>
      <c r="L91" s="1322"/>
      <c r="M91" s="1334" t="s">
        <v>2146</v>
      </c>
      <c r="N91" s="1295">
        <f>O91*(1-$N$73)</f>
        <v>1188</v>
      </c>
      <c r="O91" s="1296">
        <v>1980</v>
      </c>
      <c r="P91" s="1297">
        <f>F91/O91-1</f>
        <v>0.96969696969696972</v>
      </c>
      <c r="Q91" s="1333"/>
      <c r="R91" s="1298"/>
      <c r="S91" s="1299">
        <v>0</v>
      </c>
      <c r="T91" s="1300"/>
      <c r="U91" s="1459"/>
      <c r="V91" s="1455"/>
    </row>
    <row r="92" spans="1:24" hidden="1" outlineLevel="2"/>
    <row r="93" spans="1:24" hidden="1" outlineLevel="1" collapsed="1"/>
    <row r="94" spans="1:24" hidden="1" outlineLevel="1"/>
    <row r="95" spans="1:24" hidden="1" outlineLevel="1"/>
    <row r="96" spans="1:24" collapsed="1"/>
  </sheetData>
  <sheetProtection password="E910" sheet="1" objects="1" scenarios="1" formatCells="0" formatColumns="0" formatRows="0" insertColumns="0" insertRows="0" insertHyperlinks="0" deleteColumns="0" deleteRows="0" sort="0" autoFilter="0" pivotTables="0"/>
  <conditionalFormatting sqref="L2 L5:L12 P87:P88 L39:L68 T39:T68 L92:L1048576 L78:L90 T78:T88 P81:P84 P39:P60 P62:P68">
    <cfRule type="cellIs" dxfId="263" priority="77" operator="greaterThan">
      <formula>0</formula>
    </cfRule>
  </conditionalFormatting>
  <conditionalFormatting sqref="L73">
    <cfRule type="cellIs" dxfId="262" priority="73" operator="greaterThan">
      <formula>0</formula>
    </cfRule>
  </conditionalFormatting>
  <conditionalFormatting sqref="L3">
    <cfRule type="cellIs" dxfId="261" priority="75" operator="greaterThan">
      <formula>0</formula>
    </cfRule>
  </conditionalFormatting>
  <conditionalFormatting sqref="L37">
    <cfRule type="cellIs" dxfId="260" priority="74" operator="greaterThan">
      <formula>0</formula>
    </cfRule>
  </conditionalFormatting>
  <conditionalFormatting sqref="L13:L34">
    <cfRule type="cellIs" dxfId="259" priority="72" operator="greaterThan">
      <formula>0</formula>
    </cfRule>
  </conditionalFormatting>
  <conditionalFormatting sqref="L75:L77">
    <cfRule type="cellIs" dxfId="258" priority="71" operator="greaterThan">
      <formula>0</formula>
    </cfRule>
  </conditionalFormatting>
  <conditionalFormatting sqref="P73">
    <cfRule type="cellIs" dxfId="257" priority="63" operator="greaterThan">
      <formula>0</formula>
    </cfRule>
  </conditionalFormatting>
  <conditionalFormatting sqref="P75:P80">
    <cfRule type="cellIs" dxfId="256" priority="61" operator="greaterThan">
      <formula>0</formula>
    </cfRule>
  </conditionalFormatting>
  <conditionalFormatting sqref="P2 P90 P86 P92:P1048576 P5:P34">
    <cfRule type="cellIs" dxfId="255" priority="66" operator="greaterThan">
      <formula>0</formula>
    </cfRule>
  </conditionalFormatting>
  <conditionalFormatting sqref="P3">
    <cfRule type="cellIs" dxfId="254" priority="65" operator="greaterThan">
      <formula>0</formula>
    </cfRule>
  </conditionalFormatting>
  <conditionalFormatting sqref="P37">
    <cfRule type="cellIs" dxfId="253" priority="64" operator="greaterThan">
      <formula>0</formula>
    </cfRule>
  </conditionalFormatting>
  <conditionalFormatting sqref="T2 T90 T92:T1048576 T5:T34">
    <cfRule type="cellIs" dxfId="252" priority="59" operator="greaterThan">
      <formula>0</formula>
    </cfRule>
  </conditionalFormatting>
  <conditionalFormatting sqref="T73">
    <cfRule type="cellIs" dxfId="251" priority="56" operator="greaterThan">
      <formula>0</formula>
    </cfRule>
  </conditionalFormatting>
  <conditionalFormatting sqref="T3">
    <cfRule type="cellIs" dxfId="250" priority="58" operator="greaterThan">
      <formula>0</formula>
    </cfRule>
  </conditionalFormatting>
  <conditionalFormatting sqref="T37">
    <cfRule type="cellIs" dxfId="249" priority="57" operator="greaterThan">
      <formula>0</formula>
    </cfRule>
  </conditionalFormatting>
  <conditionalFormatting sqref="T75:T77">
    <cfRule type="cellIs" dxfId="248" priority="54" operator="greaterThan">
      <formula>0</formula>
    </cfRule>
  </conditionalFormatting>
  <conditionalFormatting sqref="G1:G3 G92:G1048576 G75:G90 G73 G5:G37 G39:G70">
    <cfRule type="cellIs" dxfId="247" priority="51" operator="greaterThan">
      <formula>0</formula>
    </cfRule>
    <cfRule type="cellIs" dxfId="246" priority="52" operator="lessThan">
      <formula>0</formula>
    </cfRule>
  </conditionalFormatting>
  <conditionalFormatting sqref="H1:H3 H75:H1048576 H73 H39:H70 H5:H37">
    <cfRule type="cellIs" dxfId="245" priority="49" operator="lessThan">
      <formula>0</formula>
    </cfRule>
    <cfRule type="cellIs" dxfId="244" priority="50" operator="greaterThan">
      <formula>0</formula>
    </cfRule>
  </conditionalFormatting>
  <conditionalFormatting sqref="T71:T72">
    <cfRule type="cellIs" dxfId="243" priority="20" operator="greaterThan">
      <formula>0</formula>
    </cfRule>
  </conditionalFormatting>
  <conditionalFormatting sqref="L71:L72">
    <cfRule type="cellIs" dxfId="242" priority="19" operator="greaterThan">
      <formula>0</formula>
    </cfRule>
  </conditionalFormatting>
  <conditionalFormatting sqref="P71:P72">
    <cfRule type="cellIs" dxfId="241" priority="18" operator="greaterThan">
      <formula>0</formula>
    </cfRule>
  </conditionalFormatting>
  <conditionalFormatting sqref="T89">
    <cfRule type="cellIs" dxfId="240" priority="37" operator="greaterThan">
      <formula>0</formula>
    </cfRule>
  </conditionalFormatting>
  <conditionalFormatting sqref="P85">
    <cfRule type="cellIs" dxfId="239" priority="36" operator="greaterThan">
      <formula>0</formula>
    </cfRule>
  </conditionalFormatting>
  <conditionalFormatting sqref="P89">
    <cfRule type="cellIs" dxfId="238" priority="22" operator="greaterThan">
      <formula>0</formula>
    </cfRule>
  </conditionalFormatting>
  <conditionalFormatting sqref="L91">
    <cfRule type="cellIs" dxfId="237" priority="30" operator="greaterThan">
      <formula>0</formula>
    </cfRule>
  </conditionalFormatting>
  <conditionalFormatting sqref="T91">
    <cfRule type="cellIs" dxfId="236" priority="29" operator="greaterThan">
      <formula>0</formula>
    </cfRule>
  </conditionalFormatting>
  <conditionalFormatting sqref="G91">
    <cfRule type="cellIs" dxfId="235" priority="27" operator="greaterThan">
      <formula>0</formula>
    </cfRule>
    <cfRule type="cellIs" dxfId="234" priority="28" operator="lessThan">
      <formula>0</formula>
    </cfRule>
  </conditionalFormatting>
  <conditionalFormatting sqref="P91">
    <cfRule type="cellIs" dxfId="233" priority="23" operator="greaterThan">
      <formula>0</formula>
    </cfRule>
  </conditionalFormatting>
  <conditionalFormatting sqref="G71:G72">
    <cfRule type="cellIs" dxfId="232" priority="16" operator="greaterThan">
      <formula>0</formula>
    </cfRule>
    <cfRule type="cellIs" dxfId="231" priority="17" operator="lessThan">
      <formula>0</formula>
    </cfRule>
  </conditionalFormatting>
  <conditionalFormatting sqref="H71:H72">
    <cfRule type="cellIs" dxfId="230" priority="14" operator="lessThan">
      <formula>0</formula>
    </cfRule>
    <cfRule type="cellIs" dxfId="229" priority="15" operator="greaterThan">
      <formula>0</formula>
    </cfRule>
  </conditionalFormatting>
  <conditionalFormatting sqref="P61">
    <cfRule type="cellIs" dxfId="228" priority="13" operator="greaterThan">
      <formula>0</formula>
    </cfRule>
  </conditionalFormatting>
  <pageMargins left="0.7" right="0.7" top="0.75" bottom="0.75" header="0.3" footer="0.3"/>
  <pageSetup paperSize="9" orientation="portrait" verticalDpi="0" r:id="rId1"/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0B0F0"/>
  </sheetPr>
  <dimension ref="A1:V93"/>
  <sheetViews>
    <sheetView topLeftCell="A94" zoomScale="90" zoomScaleNormal="90" workbookViewId="0">
      <selection sqref="A1:XFD93"/>
    </sheetView>
  </sheetViews>
  <sheetFormatPr defaultColWidth="9.140625" defaultRowHeight="15" outlineLevelRow="1" outlineLevelCol="1"/>
  <cols>
    <col min="1" max="1" width="10" style="589" bestFit="1" customWidth="1"/>
    <col min="2" max="2" width="15.5703125" style="589" customWidth="1"/>
    <col min="3" max="3" width="10.140625" style="589" hidden="1" customWidth="1" outlineLevel="1"/>
    <col min="4" max="5" width="10.28515625" style="1277" hidden="1" customWidth="1" outlineLevel="1"/>
    <col min="6" max="6" width="10.28515625" style="1250" customWidth="1" collapsed="1"/>
    <col min="7" max="7" width="11.140625" style="1353" customWidth="1"/>
    <col min="8" max="8" width="6.7109375" style="1354" customWidth="1"/>
    <col min="9" max="9" width="17" style="589" customWidth="1"/>
    <col min="10" max="10" width="10" style="1232" hidden="1" customWidth="1" outlineLevel="1"/>
    <col min="11" max="11" width="8.7109375" style="1232" hidden="1" customWidth="1" outlineLevel="1"/>
    <col min="12" max="12" width="14.28515625" style="589" customWidth="1" collapsed="1"/>
    <col min="13" max="13" width="10" style="1232" hidden="1" customWidth="1" outlineLevel="1"/>
    <col min="14" max="14" width="8.7109375" style="1232" hidden="1" customWidth="1" outlineLevel="1"/>
    <col min="15" max="15" width="19.140625" style="589" customWidth="1" collapsed="1"/>
    <col min="16" max="16" width="10" style="1232" hidden="1" customWidth="1" outlineLevel="1"/>
    <col min="17" max="17" width="8.7109375" style="1232" hidden="1" customWidth="1" outlineLevel="1"/>
    <col min="18" max="18" width="12.7109375" style="1451" bestFit="1" customWidth="1" collapsed="1"/>
    <col min="19" max="19" width="10" style="1454" bestFit="1" customWidth="1"/>
    <col min="20" max="16384" width="9.140625" style="589"/>
  </cols>
  <sheetData>
    <row r="1" spans="1:20" hidden="1">
      <c r="B1" s="73" t="s">
        <v>2158</v>
      </c>
      <c r="F1" s="1250">
        <v>0.05</v>
      </c>
    </row>
    <row r="2" spans="1:20" hidden="1">
      <c r="B2" s="1458">
        <v>0.05</v>
      </c>
      <c r="C2" s="589" t="s">
        <v>2159</v>
      </c>
    </row>
    <row r="3" spans="1:20" hidden="1">
      <c r="B3" s="22" t="s">
        <v>2131</v>
      </c>
      <c r="C3" s="22"/>
      <c r="D3" s="1336"/>
      <c r="E3" s="1336"/>
      <c r="F3" s="1324"/>
      <c r="G3" s="1354"/>
    </row>
    <row r="4" spans="1:20" s="143" customFormat="1" hidden="1">
      <c r="B4" s="2186" t="s">
        <v>2264</v>
      </c>
      <c r="C4" s="2248" t="e">
        <f>D4*(1-39%)</f>
        <v>#REF!</v>
      </c>
      <c r="D4" s="2248" t="e">
        <f>'Classic Rimini '!#REF!</f>
        <v>#REF!</v>
      </c>
      <c r="E4" s="2187"/>
      <c r="H4" s="2187"/>
      <c r="J4" s="2187">
        <v>9890</v>
      </c>
      <c r="M4" s="2187">
        <v>8525</v>
      </c>
      <c r="P4" s="2187">
        <v>11800</v>
      </c>
      <c r="Q4" s="2187"/>
    </row>
    <row r="5" spans="1:20" hidden="1" outlineLevel="1">
      <c r="C5" s="22" t="s">
        <v>2131</v>
      </c>
      <c r="D5" s="22"/>
      <c r="E5" s="1336"/>
      <c r="F5" s="1336"/>
      <c r="G5" s="1324"/>
      <c r="I5" s="1354"/>
      <c r="L5" s="1232"/>
      <c r="N5" s="589"/>
      <c r="O5" s="1232"/>
      <c r="P5" s="589"/>
      <c r="R5" s="589"/>
      <c r="S5" s="589"/>
    </row>
    <row r="6" spans="1:20" s="1234" customFormat="1" ht="12.75" hidden="1" outlineLevel="1">
      <c r="B6" s="1235" t="s">
        <v>1610</v>
      </c>
      <c r="C6" s="1236">
        <v>0.39</v>
      </c>
      <c r="D6" s="1325" t="e">
        <f>D8/C8</f>
        <v>#REF!</v>
      </c>
      <c r="E6" s="1325"/>
      <c r="F6" s="1325"/>
      <c r="G6" s="1355"/>
      <c r="H6" s="1356"/>
      <c r="I6" s="1309" t="s">
        <v>2267</v>
      </c>
      <c r="J6" s="1326"/>
      <c r="K6" s="1311"/>
      <c r="L6" s="1261" t="s">
        <v>1612</v>
      </c>
      <c r="M6" s="1327"/>
      <c r="N6" s="1263"/>
      <c r="O6" s="1268" t="s">
        <v>1613</v>
      </c>
      <c r="P6" s="1328"/>
      <c r="Q6" s="1290"/>
      <c r="R6" s="1447"/>
      <c r="S6" s="1346"/>
      <c r="T6" s="1323"/>
    </row>
    <row r="7" spans="1:20" s="39" customFormat="1" ht="33.75" hidden="1" outlineLevel="1">
      <c r="A7" s="1352" t="s">
        <v>1972</v>
      </c>
      <c r="B7" s="1306" t="s">
        <v>1616</v>
      </c>
      <c r="C7" s="1306" t="s">
        <v>2136</v>
      </c>
      <c r="D7" s="1306" t="s">
        <v>2135</v>
      </c>
      <c r="E7" s="1306" t="s">
        <v>2137</v>
      </c>
      <c r="F7" s="1306" t="s">
        <v>2134</v>
      </c>
      <c r="G7" s="1306" t="s">
        <v>2139</v>
      </c>
      <c r="H7" s="1306" t="s">
        <v>2138</v>
      </c>
      <c r="I7" s="1312" t="s">
        <v>1616</v>
      </c>
      <c r="J7" s="1312" t="s">
        <v>1618</v>
      </c>
      <c r="K7" s="1312" t="s">
        <v>1691</v>
      </c>
      <c r="L7" s="1264" t="s">
        <v>1616</v>
      </c>
      <c r="M7" s="1264" t="s">
        <v>1618</v>
      </c>
      <c r="N7" s="1264" t="s">
        <v>1691</v>
      </c>
      <c r="O7" s="1270" t="s">
        <v>1616</v>
      </c>
      <c r="P7" s="1270" t="s">
        <v>1618</v>
      </c>
      <c r="Q7" s="1270" t="s">
        <v>1620</v>
      </c>
      <c r="R7" s="1448"/>
      <c r="S7" s="1347"/>
    </row>
    <row r="8" spans="1:20" hidden="1" outlineLevel="1">
      <c r="A8" s="1445">
        <f>К_ясень!F5</f>
        <v>43800</v>
      </c>
      <c r="B8" s="1243" t="str">
        <f t="shared" ref="B8:B21" si="0">B31</f>
        <v>Rimini2</v>
      </c>
      <c r="C8" s="1257" t="e">
        <f t="shared" ref="C8:C21" si="1">C31+$C$4</f>
        <v>#REF!</v>
      </c>
      <c r="D8" s="1337" t="e">
        <f t="shared" ref="D8:D21" si="2">D31+$D$4</f>
        <v>#REF!</v>
      </c>
      <c r="E8" s="1257" t="e">
        <f t="shared" ref="E8:E21" si="3">E31+$E$71</f>
        <v>#REF!</v>
      </c>
      <c r="F8" s="1246">
        <v>36950</v>
      </c>
      <c r="G8" s="1357" t="e">
        <f>F8-D8</f>
        <v>#REF!</v>
      </c>
      <c r="H8" s="1358" t="e">
        <f>F8/D8-1</f>
        <v>#REF!</v>
      </c>
      <c r="I8" s="1313" t="str">
        <f>I31</f>
        <v>ПГ GENEVA 1</v>
      </c>
      <c r="J8" s="1315">
        <f>J31+$J$4</f>
        <v>36780</v>
      </c>
      <c r="K8" s="1316">
        <f t="shared" ref="K8:K17" si="4">F8/J8-1</f>
        <v>4.6220772158782619E-3</v>
      </c>
      <c r="L8" s="1090" t="str">
        <f>L31</f>
        <v>Турин</v>
      </c>
      <c r="M8" s="1266">
        <f>M31+$M$71</f>
        <v>37125</v>
      </c>
      <c r="N8" s="1267">
        <f>F8/M8-1</f>
        <v>-4.7138047138046701E-3</v>
      </c>
      <c r="O8" s="1271" t="str">
        <f t="shared" ref="O8:O16" si="5">O31</f>
        <v>CLASSIC/ ВАЛЕНСИЯ</v>
      </c>
      <c r="P8" s="1273">
        <f t="shared" ref="P8:P16" si="6">P31+$P$4</f>
        <v>37920</v>
      </c>
      <c r="Q8" s="1274">
        <f>F8/P8-1</f>
        <v>-2.5580168776371259E-2</v>
      </c>
      <c r="S8" s="1455"/>
    </row>
    <row r="9" spans="1:20" hidden="1" outlineLevel="1">
      <c r="A9" s="1445">
        <f>К_ясень!F6</f>
        <v>44300</v>
      </c>
      <c r="B9" s="1243" t="str">
        <f t="shared" si="0"/>
        <v>Rimini4</v>
      </c>
      <c r="C9" s="1257" t="e">
        <f t="shared" si="1"/>
        <v>#REF!</v>
      </c>
      <c r="D9" s="1337" t="e">
        <f t="shared" si="2"/>
        <v>#REF!</v>
      </c>
      <c r="E9" s="1257" t="e">
        <f t="shared" si="3"/>
        <v>#REF!</v>
      </c>
      <c r="F9" s="1246">
        <v>37950</v>
      </c>
      <c r="G9" s="1357" t="e">
        <f t="shared" ref="G9:G25" si="7">F9-D9</f>
        <v>#REF!</v>
      </c>
      <c r="H9" s="1358" t="e">
        <f t="shared" ref="H9:H25" si="8">F9/D9-1</f>
        <v>#REF!</v>
      </c>
      <c r="I9" s="1313" t="str">
        <f>I32</f>
        <v>ПГ GENEVA 2</v>
      </c>
      <c r="J9" s="1315">
        <f>J32+$J$4</f>
        <v>38080</v>
      </c>
      <c r="K9" s="1316">
        <f t="shared" si="4"/>
        <v>-3.4138655462184753E-3</v>
      </c>
      <c r="L9" s="1090" t="str">
        <f>L32</f>
        <v>Чикаго-О</v>
      </c>
      <c r="M9" s="1266">
        <f>M32+$M$71</f>
        <v>34925</v>
      </c>
      <c r="N9" s="1267">
        <f>F9/M9-1</f>
        <v>8.6614173228346525E-2</v>
      </c>
      <c r="O9" s="1271" t="str">
        <f t="shared" si="5"/>
        <v>CLASSIC/ ПАЛЕРМО</v>
      </c>
      <c r="P9" s="1273">
        <f t="shared" si="6"/>
        <v>37330</v>
      </c>
      <c r="Q9" s="1274">
        <f t="shared" ref="Q9:Q16" si="9">F9/P9-1</f>
        <v>1.6608625770158092E-2</v>
      </c>
      <c r="S9" s="1455"/>
    </row>
    <row r="10" spans="1:20" hidden="1" outlineLevel="1">
      <c r="A10" s="1445">
        <f>К_ясень!F7</f>
        <v>43200</v>
      </c>
      <c r="B10" s="1243" t="str">
        <f t="shared" si="0"/>
        <v>Rimini1</v>
      </c>
      <c r="C10" s="1257" t="e">
        <f t="shared" si="1"/>
        <v>#REF!</v>
      </c>
      <c r="D10" s="1337" t="e">
        <f t="shared" si="2"/>
        <v>#REF!</v>
      </c>
      <c r="E10" s="1257" t="e">
        <f t="shared" si="3"/>
        <v>#REF!</v>
      </c>
      <c r="F10" s="1246">
        <v>35950</v>
      </c>
      <c r="G10" s="1357" t="e">
        <f t="shared" si="7"/>
        <v>#REF!</v>
      </c>
      <c r="H10" s="1358" t="e">
        <f t="shared" si="8"/>
        <v>#REF!</v>
      </c>
      <c r="I10" s="1313" t="str">
        <f>I33</f>
        <v>ПГ GENEVA 7</v>
      </c>
      <c r="J10" s="1315">
        <f>J33+$J$4</f>
        <v>35180</v>
      </c>
      <c r="K10" s="1316">
        <f t="shared" si="4"/>
        <v>2.1887436043206421E-2</v>
      </c>
      <c r="L10" s="1090"/>
      <c r="M10" s="1266"/>
      <c r="N10" s="1267"/>
      <c r="O10" s="1271" t="str">
        <f t="shared" si="5"/>
        <v>CLASSIC/ МИЛАН</v>
      </c>
      <c r="P10" s="1273">
        <f t="shared" si="6"/>
        <v>36080</v>
      </c>
      <c r="Q10" s="1274">
        <f t="shared" si="9"/>
        <v>-3.6031042128603641E-3</v>
      </c>
      <c r="S10" s="1455"/>
    </row>
    <row r="11" spans="1:20" hidden="1" outlineLevel="1">
      <c r="A11" s="1445">
        <f>К_ясень!F8</f>
        <v>13250</v>
      </c>
      <c r="B11" s="1243" t="str">
        <f t="shared" si="0"/>
        <v>Milan</v>
      </c>
      <c r="C11" s="1257" t="e">
        <f t="shared" si="1"/>
        <v>#REF!</v>
      </c>
      <c r="D11" s="1337" t="e">
        <f t="shared" si="2"/>
        <v>#REF!</v>
      </c>
      <c r="E11" s="1257" t="e">
        <f t="shared" si="3"/>
        <v>#REF!</v>
      </c>
      <c r="F11" s="1246">
        <v>38950</v>
      </c>
      <c r="G11" s="1357" t="e">
        <f t="shared" si="7"/>
        <v>#REF!</v>
      </c>
      <c r="H11" s="1358" t="e">
        <f t="shared" si="8"/>
        <v>#REF!</v>
      </c>
      <c r="I11" s="1313"/>
      <c r="J11" s="1315"/>
      <c r="K11" s="1316"/>
      <c r="L11" s="1090"/>
      <c r="M11" s="1266"/>
      <c r="N11" s="1267"/>
      <c r="O11" s="1271" t="str">
        <f t="shared" si="5"/>
        <v>CLASSIC/ ВЕРОНА</v>
      </c>
      <c r="P11" s="1273">
        <f t="shared" si="6"/>
        <v>35270</v>
      </c>
      <c r="Q11" s="1274">
        <f t="shared" si="9"/>
        <v>0.10433796427558839</v>
      </c>
      <c r="S11" s="1455"/>
    </row>
    <row r="12" spans="1:20" hidden="1" outlineLevel="1">
      <c r="A12" s="1445" t="e">
        <f>К_ясень!F9</f>
        <v>#REF!</v>
      </c>
      <c r="B12" s="1243" t="str">
        <f t="shared" si="0"/>
        <v>Rosso7 ДГ</v>
      </c>
      <c r="C12" s="1257" t="e">
        <f t="shared" si="1"/>
        <v>#REF!</v>
      </c>
      <c r="D12" s="1337" t="e">
        <f t="shared" si="2"/>
        <v>#REF!</v>
      </c>
      <c r="E12" s="1257" t="e">
        <f t="shared" si="3"/>
        <v>#REF!</v>
      </c>
      <c r="F12" s="1246">
        <v>43950</v>
      </c>
      <c r="G12" s="1357" t="e">
        <f t="shared" si="7"/>
        <v>#REF!</v>
      </c>
      <c r="H12" s="1358" t="e">
        <f t="shared" si="8"/>
        <v>#REF!</v>
      </c>
      <c r="I12" s="1313"/>
      <c r="J12" s="1315"/>
      <c r="K12" s="1316"/>
      <c r="L12" s="1090" t="str">
        <f>L35</f>
        <v>Венеция2ДГ</v>
      </c>
      <c r="M12" s="1266">
        <f>M35+$M$71</f>
        <v>46175</v>
      </c>
      <c r="N12" s="1267">
        <f>F12/M12-1</f>
        <v>-4.8186247969680518E-2</v>
      </c>
      <c r="O12" s="1271" t="str">
        <f t="shared" si="5"/>
        <v>CORSA2 ДГ</v>
      </c>
      <c r="P12" s="1273">
        <f t="shared" si="6"/>
        <v>43930</v>
      </c>
      <c r="Q12" s="1274">
        <f t="shared" si="9"/>
        <v>4.5526974732523762E-4</v>
      </c>
      <c r="S12" s="1455"/>
    </row>
    <row r="13" spans="1:20" hidden="1" outlineLevel="1">
      <c r="A13" s="1445" t="e">
        <f>К_ясень!F10</f>
        <v>#REF!</v>
      </c>
      <c r="B13" s="1243" t="str">
        <f t="shared" si="0"/>
        <v>Rosso7 ДО фацет</v>
      </c>
      <c r="C13" s="1257" t="e">
        <f t="shared" si="1"/>
        <v>#REF!</v>
      </c>
      <c r="D13" s="1337" t="e">
        <f t="shared" si="2"/>
        <v>#REF!</v>
      </c>
      <c r="E13" s="1257" t="e">
        <f t="shared" si="3"/>
        <v>#REF!</v>
      </c>
      <c r="F13" s="1246">
        <v>49950</v>
      </c>
      <c r="G13" s="1357" t="e">
        <f t="shared" si="7"/>
        <v>#REF!</v>
      </c>
      <c r="H13" s="1358" t="e">
        <f t="shared" si="8"/>
        <v>#REF!</v>
      </c>
      <c r="I13" s="1313"/>
      <c r="J13" s="1315"/>
      <c r="K13" s="1316"/>
      <c r="L13" s="1090" t="str">
        <f>L36</f>
        <v>Венеция2ДО</v>
      </c>
      <c r="M13" s="1266">
        <f>M36+$M$71</f>
        <v>49065</v>
      </c>
      <c r="N13" s="1267">
        <f>F13/M13-1</f>
        <v>1.8037297462549784E-2</v>
      </c>
      <c r="O13" s="1271" t="str">
        <f t="shared" si="5"/>
        <v>CORSA2 ДО вар.3</v>
      </c>
      <c r="P13" s="1273">
        <f t="shared" si="6"/>
        <v>56240</v>
      </c>
      <c r="Q13" s="1274">
        <f t="shared" si="9"/>
        <v>-0.11184210526315785</v>
      </c>
      <c r="S13" s="1455"/>
    </row>
    <row r="14" spans="1:20" hidden="1" outlineLevel="1">
      <c r="A14" s="1445" t="e">
        <f>К_ясень!F11</f>
        <v>#REF!</v>
      </c>
      <c r="B14" s="1243" t="str">
        <f t="shared" si="0"/>
        <v>Rosso8 ДГ</v>
      </c>
      <c r="C14" s="1257" t="e">
        <f t="shared" si="1"/>
        <v>#REF!</v>
      </c>
      <c r="D14" s="1337" t="e">
        <f t="shared" si="2"/>
        <v>#REF!</v>
      </c>
      <c r="E14" s="1257" t="e">
        <f t="shared" si="3"/>
        <v>#REF!</v>
      </c>
      <c r="F14" s="1246">
        <v>43950</v>
      </c>
      <c r="G14" s="1357" t="e">
        <f t="shared" si="7"/>
        <v>#REF!</v>
      </c>
      <c r="H14" s="1358" t="e">
        <f t="shared" si="8"/>
        <v>#REF!</v>
      </c>
      <c r="I14" s="1313"/>
      <c r="J14" s="1315"/>
      <c r="K14" s="1316"/>
      <c r="L14" s="1090" t="str">
        <f>L37</f>
        <v>Венеция ДГ</v>
      </c>
      <c r="M14" s="1266">
        <f>M37+$M$71</f>
        <v>46175</v>
      </c>
      <c r="N14" s="1267">
        <f>F14/M14-1</f>
        <v>-4.8186247969680518E-2</v>
      </c>
      <c r="O14" s="1271" t="str">
        <f t="shared" si="5"/>
        <v>CORSA1 ДГ</v>
      </c>
      <c r="P14" s="1273">
        <f t="shared" si="6"/>
        <v>43930</v>
      </c>
      <c r="Q14" s="1274">
        <f t="shared" si="9"/>
        <v>4.5526974732523762E-4</v>
      </c>
      <c r="S14" s="1455"/>
    </row>
    <row r="15" spans="1:20" hidden="1" outlineLevel="1">
      <c r="A15" s="1445" t="e">
        <f>К_ясень!F12</f>
        <v>#REF!</v>
      </c>
      <c r="B15" s="1243" t="str">
        <f t="shared" si="0"/>
        <v>Rosso8 ДО фацет</v>
      </c>
      <c r="C15" s="1257" t="e">
        <f t="shared" si="1"/>
        <v>#REF!</v>
      </c>
      <c r="D15" s="1337" t="e">
        <f t="shared" si="2"/>
        <v>#REF!</v>
      </c>
      <c r="E15" s="1257" t="e">
        <f t="shared" si="3"/>
        <v>#REF!</v>
      </c>
      <c r="F15" s="1246">
        <v>51950</v>
      </c>
      <c r="G15" s="1357" t="e">
        <f t="shared" si="7"/>
        <v>#REF!</v>
      </c>
      <c r="H15" s="1358" t="e">
        <f t="shared" si="8"/>
        <v>#REF!</v>
      </c>
      <c r="I15" s="1313"/>
      <c r="J15" s="1315"/>
      <c r="K15" s="1316"/>
      <c r="L15" s="1090" t="str">
        <f>L38</f>
        <v>Венеция ДО</v>
      </c>
      <c r="M15" s="1266">
        <f>M38+$M$71</f>
        <v>49065</v>
      </c>
      <c r="N15" s="1267">
        <f>F15/M15-1</f>
        <v>5.8799551615204226E-2</v>
      </c>
      <c r="O15" s="1271" t="str">
        <f t="shared" si="5"/>
        <v>CORSA1 ДО вар.3</v>
      </c>
      <c r="P15" s="1273">
        <f t="shared" si="6"/>
        <v>56240</v>
      </c>
      <c r="Q15" s="1274">
        <f t="shared" si="9"/>
        <v>-7.6280227596017047E-2</v>
      </c>
      <c r="S15" s="1455"/>
    </row>
    <row r="16" spans="1:20" s="70" customFormat="1" hidden="1" outlineLevel="1">
      <c r="A16" s="1445">
        <f>К_ясень!F14</f>
        <v>35250</v>
      </c>
      <c r="B16" s="1243" t="str">
        <f t="shared" si="0"/>
        <v>Garda2</v>
      </c>
      <c r="C16" s="1257" t="e">
        <f t="shared" si="1"/>
        <v>#REF!</v>
      </c>
      <c r="D16" s="1337" t="e">
        <f t="shared" si="2"/>
        <v>#REF!</v>
      </c>
      <c r="E16" s="1257" t="e">
        <f t="shared" si="3"/>
        <v>#REF!</v>
      </c>
      <c r="F16" s="1246">
        <v>31950</v>
      </c>
      <c r="G16" s="1357" t="e">
        <f t="shared" si="7"/>
        <v>#REF!</v>
      </c>
      <c r="H16" s="1358" t="e">
        <f t="shared" si="8"/>
        <v>#REF!</v>
      </c>
      <c r="I16" s="1313" t="str">
        <f>I39</f>
        <v>ПГ ELEGANCE 2</v>
      </c>
      <c r="J16" s="1315">
        <f>J39+$J$4</f>
        <v>32680</v>
      </c>
      <c r="K16" s="1316">
        <f t="shared" si="4"/>
        <v>-2.2337821297429672E-2</v>
      </c>
      <c r="L16" s="1090" t="str">
        <f>L39</f>
        <v>ЛИОН</v>
      </c>
      <c r="M16" s="1266">
        <f>M39+$M$71</f>
        <v>29765</v>
      </c>
      <c r="N16" s="1267">
        <f>F16/M16-1</f>
        <v>7.3408365529984865E-2</v>
      </c>
      <c r="O16" s="1271" t="str">
        <f t="shared" si="5"/>
        <v>LEGNO2</v>
      </c>
      <c r="P16" s="1273">
        <f t="shared" si="6"/>
        <v>34410</v>
      </c>
      <c r="Q16" s="1274">
        <f t="shared" si="9"/>
        <v>-7.1490845684394122E-2</v>
      </c>
      <c r="R16" s="1451"/>
      <c r="S16" s="1455"/>
    </row>
    <row r="17" spans="1:21" s="70" customFormat="1" hidden="1" outlineLevel="1">
      <c r="A17" s="1445">
        <f>К_ясень!F19</f>
        <v>40450</v>
      </c>
      <c r="B17" s="1243" t="str">
        <f t="shared" si="0"/>
        <v>Florence4</v>
      </c>
      <c r="C17" s="1257" t="e">
        <f t="shared" si="1"/>
        <v>#REF!</v>
      </c>
      <c r="D17" s="1337" t="e">
        <f t="shared" si="2"/>
        <v>#REF!</v>
      </c>
      <c r="E17" s="1257" t="e">
        <f t="shared" si="3"/>
        <v>#REF!</v>
      </c>
      <c r="F17" s="1246">
        <v>34950</v>
      </c>
      <c r="G17" s="1357" t="e">
        <f t="shared" si="7"/>
        <v>#REF!</v>
      </c>
      <c r="H17" s="1358" t="e">
        <f t="shared" si="8"/>
        <v>#REF!</v>
      </c>
      <c r="I17" s="1313" t="str">
        <f>I40</f>
        <v>ПГ DUBLIN 2</v>
      </c>
      <c r="J17" s="1315">
        <f>J40+$J$4</f>
        <v>34980</v>
      </c>
      <c r="K17" s="1316">
        <f t="shared" si="4"/>
        <v>-8.5763293310459066E-4</v>
      </c>
      <c r="L17" s="1090"/>
      <c r="M17" s="1266"/>
      <c r="N17" s="1267"/>
      <c r="O17" s="1271"/>
      <c r="P17" s="1273"/>
      <c r="Q17" s="1274"/>
      <c r="R17" s="1451"/>
      <c r="S17" s="1455"/>
    </row>
    <row r="18" spans="1:21" s="70" customFormat="1" hidden="1" outlineLevel="1">
      <c r="A18" s="1445">
        <f>К_ясень!F20</f>
        <v>38350</v>
      </c>
      <c r="B18" s="1243" t="str">
        <f t="shared" si="0"/>
        <v>Strada11 триплекс</v>
      </c>
      <c r="C18" s="1257" t="e">
        <f t="shared" si="1"/>
        <v>#REF!</v>
      </c>
      <c r="D18" s="1337" t="e">
        <f t="shared" si="2"/>
        <v>#REF!</v>
      </c>
      <c r="E18" s="1257" t="e">
        <f t="shared" si="3"/>
        <v>#REF!</v>
      </c>
      <c r="F18" s="1246">
        <v>27950</v>
      </c>
      <c r="G18" s="1357" t="e">
        <f t="shared" si="7"/>
        <v>#REF!</v>
      </c>
      <c r="H18" s="1358" t="e">
        <f t="shared" si="8"/>
        <v>#REF!</v>
      </c>
      <c r="I18" s="1313"/>
      <c r="J18" s="1315"/>
      <c r="K18" s="1316"/>
      <c r="L18" s="1090"/>
      <c r="M18" s="1266"/>
      <c r="N18" s="1267"/>
      <c r="O18" s="1271"/>
      <c r="P18" s="1273"/>
      <c r="Q18" s="1274"/>
      <c r="R18" s="1451"/>
      <c r="S18" s="1455"/>
    </row>
    <row r="19" spans="1:21" s="70" customFormat="1" hidden="1" outlineLevel="1">
      <c r="A19" s="1445">
        <f>К_ясень!F27</f>
        <v>39900</v>
      </c>
      <c r="B19" s="1243" t="str">
        <f t="shared" si="0"/>
        <v xml:space="preserve">Vario11 </v>
      </c>
      <c r="C19" s="1257" t="e">
        <f t="shared" si="1"/>
        <v>#REF!</v>
      </c>
      <c r="D19" s="1337" t="e">
        <f t="shared" si="2"/>
        <v>#REF!</v>
      </c>
      <c r="E19" s="1257" t="e">
        <f t="shared" si="3"/>
        <v>#REF!</v>
      </c>
      <c r="F19" s="1246">
        <v>29950</v>
      </c>
      <c r="G19" s="1357" t="e">
        <f t="shared" si="7"/>
        <v>#REF!</v>
      </c>
      <c r="H19" s="1358" t="e">
        <f t="shared" si="8"/>
        <v>#REF!</v>
      </c>
      <c r="I19" s="1313"/>
      <c r="J19" s="1315"/>
      <c r="K19" s="1316"/>
      <c r="L19" s="1090"/>
      <c r="M19" s="1266"/>
      <c r="N19" s="1267"/>
      <c r="O19" s="1271" t="str">
        <f>O42</f>
        <v>MARCO2 ДО</v>
      </c>
      <c r="P19" s="1273">
        <f>P42+$P$4</f>
        <v>30170</v>
      </c>
      <c r="Q19" s="1274">
        <f>F19/P19-1</f>
        <v>-7.2920119323831578E-3</v>
      </c>
      <c r="R19" s="1451"/>
      <c r="S19" s="1455"/>
    </row>
    <row r="20" spans="1:21" s="70" customFormat="1" hidden="1" outlineLevel="1">
      <c r="A20" s="1445">
        <f>К_ясень!F28</f>
        <v>35450</v>
      </c>
      <c r="B20" s="1243" t="str">
        <f t="shared" si="0"/>
        <v>Porte01</v>
      </c>
      <c r="C20" s="1257" t="e">
        <f t="shared" si="1"/>
        <v>#REF!</v>
      </c>
      <c r="D20" s="1337" t="e">
        <f t="shared" si="2"/>
        <v>#REF!</v>
      </c>
      <c r="E20" s="1257" t="e">
        <f t="shared" si="3"/>
        <v>#REF!</v>
      </c>
      <c r="F20" s="1246">
        <v>26450</v>
      </c>
      <c r="G20" s="1357" t="e">
        <f t="shared" si="7"/>
        <v>#REF!</v>
      </c>
      <c r="H20" s="1358" t="e">
        <f t="shared" si="8"/>
        <v>#REF!</v>
      </c>
      <c r="I20" s="1313" t="str">
        <f>I43</f>
        <v>ПГ BASE 1</v>
      </c>
      <c r="J20" s="1315">
        <f>J43+$J$4</f>
        <v>26380</v>
      </c>
      <c r="K20" s="1316">
        <f>F20/J20-1</f>
        <v>2.6535253980288775E-3</v>
      </c>
      <c r="L20" s="1090" t="str">
        <f>L43</f>
        <v>Галактика</v>
      </c>
      <c r="M20" s="1266">
        <f>M43+$M$71</f>
        <v>29775</v>
      </c>
      <c r="N20" s="1267">
        <f>F20/M20-1</f>
        <v>-0.11167086481947941</v>
      </c>
      <c r="O20" s="1271" t="str">
        <f>O43</f>
        <v>MARCO1</v>
      </c>
      <c r="P20" s="1273">
        <f>P43+$P$4</f>
        <v>27000</v>
      </c>
      <c r="Q20" s="1274">
        <f>F20/P20-1</f>
        <v>-2.0370370370370372E-2</v>
      </c>
      <c r="R20" s="1451"/>
      <c r="S20" s="1455"/>
    </row>
    <row r="21" spans="1:21" s="70" customFormat="1" hidden="1" outlineLevel="1">
      <c r="A21" s="1445" t="e">
        <f>К_ясень!F29</f>
        <v>#REF!</v>
      </c>
      <c r="B21" s="1243" t="str">
        <f t="shared" si="0"/>
        <v>Porte02</v>
      </c>
      <c r="C21" s="1257" t="e">
        <f t="shared" si="1"/>
        <v>#REF!</v>
      </c>
      <c r="D21" s="1337" t="e">
        <f t="shared" si="2"/>
        <v>#REF!</v>
      </c>
      <c r="E21" s="1257" t="e">
        <f t="shared" si="3"/>
        <v>#REF!</v>
      </c>
      <c r="F21" s="1246">
        <v>26950</v>
      </c>
      <c r="G21" s="1357" t="e">
        <f t="shared" si="7"/>
        <v>#REF!</v>
      </c>
      <c r="H21" s="1358" t="e">
        <f t="shared" si="8"/>
        <v>#REF!</v>
      </c>
      <c r="I21" s="1313" t="str">
        <f>I44</f>
        <v>ПГ TOLEDO NEW 1</v>
      </c>
      <c r="J21" s="1315">
        <f>J44+$J$4</f>
        <v>27080</v>
      </c>
      <c r="K21" s="1316">
        <f t="shared" ref="K21:K26" si="10">F21/J21-1</f>
        <v>-4.8005908419497256E-3</v>
      </c>
      <c r="L21" s="1090" t="str">
        <f>L44</f>
        <v>Лайн1</v>
      </c>
      <c r="M21" s="1266">
        <f>M44+$M$71</f>
        <v>31245</v>
      </c>
      <c r="N21" s="1267">
        <f>F21/M21-1</f>
        <v>-0.13746199391902703</v>
      </c>
      <c r="O21" s="1271" t="str">
        <f>O44</f>
        <v>MARCO2</v>
      </c>
      <c r="P21" s="1273">
        <f>P44+$P$4</f>
        <v>28060</v>
      </c>
      <c r="Q21" s="1274">
        <f>F21/P21-1</f>
        <v>-3.9558089807555263E-2</v>
      </c>
      <c r="R21" s="1451"/>
      <c r="S21" s="1455"/>
    </row>
    <row r="22" spans="1:21" s="70" customFormat="1" hidden="1" outlineLevel="1">
      <c r="A22" s="1445"/>
      <c r="B22" s="1243"/>
      <c r="C22" s="1257"/>
      <c r="D22" s="1337"/>
      <c r="E22" s="1257"/>
      <c r="F22" s="1246"/>
      <c r="G22" s="1357"/>
      <c r="H22" s="1358"/>
      <c r="I22" s="1313"/>
      <c r="J22" s="1315"/>
      <c r="K22" s="1316"/>
      <c r="L22" s="1090"/>
      <c r="M22" s="1266"/>
      <c r="N22" s="1267"/>
      <c r="O22" s="1271"/>
      <c r="P22" s="1273"/>
      <c r="Q22" s="1274"/>
      <c r="R22" s="1451"/>
      <c r="S22" s="1455"/>
    </row>
    <row r="23" spans="1:21" s="70" customFormat="1" hidden="1" outlineLevel="1">
      <c r="A23" s="1445">
        <f>К_ясень!F31</f>
        <v>39250</v>
      </c>
      <c r="B23" s="1243" t="str">
        <f>B46</f>
        <v>Vetro11</v>
      </c>
      <c r="C23" s="1257" t="e">
        <f>C46+$C$4</f>
        <v>#REF!</v>
      </c>
      <c r="D23" s="1337" t="e">
        <f>D46+$D$4</f>
        <v>#REF!</v>
      </c>
      <c r="E23" s="1257" t="e">
        <f>E46+$E$71</f>
        <v>#REF!</v>
      </c>
      <c r="F23" s="1246">
        <v>30450</v>
      </c>
      <c r="G23" s="1357" t="e">
        <f t="shared" si="7"/>
        <v>#REF!</v>
      </c>
      <c r="H23" s="1358" t="e">
        <f t="shared" si="8"/>
        <v>#REF!</v>
      </c>
      <c r="I23" s="1313" t="str">
        <f>I46</f>
        <v>ПО LOFT 1</v>
      </c>
      <c r="J23" s="1315">
        <f>J46+$J$4</f>
        <v>30880</v>
      </c>
      <c r="K23" s="1316">
        <f t="shared" si="10"/>
        <v>-1.3924870466321293E-2</v>
      </c>
      <c r="L23" s="1090" t="str">
        <f>L46</f>
        <v>Вита</v>
      </c>
      <c r="M23" s="1266">
        <f>M46+$M$71</f>
        <v>37685</v>
      </c>
      <c r="N23" s="1267">
        <f>F23/M23-1</f>
        <v>-0.19198620140639511</v>
      </c>
      <c r="O23" s="1271" t="str">
        <f>O46</f>
        <v>X-LINE1</v>
      </c>
      <c r="P23" s="1273">
        <f>P46+$P$4</f>
        <v>32300</v>
      </c>
      <c r="Q23" s="1274">
        <f>F23/P23-1</f>
        <v>-5.727554179566563E-2</v>
      </c>
      <c r="R23" s="1451"/>
      <c r="S23" s="1455"/>
    </row>
    <row r="24" spans="1:21" s="70" customFormat="1" hidden="1" outlineLevel="1">
      <c r="A24" s="1445">
        <f>К_ясень!F32</f>
        <v>40950</v>
      </c>
      <c r="B24" s="1243" t="str">
        <f>B47</f>
        <v>Vetro12</v>
      </c>
      <c r="C24" s="1257" t="e">
        <f>C47+$C$4</f>
        <v>#REF!</v>
      </c>
      <c r="D24" s="1337" t="e">
        <f>D47+$D$4</f>
        <v>#REF!</v>
      </c>
      <c r="E24" s="1257" t="e">
        <f>E47+$E$71</f>
        <v>#REF!</v>
      </c>
      <c r="F24" s="1246">
        <v>31450</v>
      </c>
      <c r="G24" s="1357" t="e">
        <f t="shared" si="7"/>
        <v>#REF!</v>
      </c>
      <c r="H24" s="1358" t="e">
        <f t="shared" si="8"/>
        <v>#REF!</v>
      </c>
      <c r="I24" s="1313" t="str">
        <f>I47</f>
        <v>ПО LOFT 6</v>
      </c>
      <c r="J24" s="1315">
        <f>J47+$J$4</f>
        <v>33380</v>
      </c>
      <c r="K24" s="1316">
        <f>F24/J24-1</f>
        <v>-5.7819053325344538E-2</v>
      </c>
      <c r="L24" s="1090"/>
      <c r="M24" s="1266"/>
      <c r="N24" s="1267"/>
      <c r="O24" s="1271" t="str">
        <f>O47</f>
        <v>X-LINE4</v>
      </c>
      <c r="P24" s="1273">
        <f>P47+$P$4</f>
        <v>32300</v>
      </c>
      <c r="Q24" s="1274">
        <f>F24/P24-1</f>
        <v>-2.6315789473684181E-2</v>
      </c>
      <c r="R24" s="1451"/>
      <c r="S24" s="1455"/>
    </row>
    <row r="25" spans="1:21" s="70" customFormat="1" hidden="1" outlineLevel="1">
      <c r="A25" s="1445">
        <f>К_ясень!F33</f>
        <v>40950</v>
      </c>
      <c r="B25" s="1243" t="str">
        <f>B48</f>
        <v>Vetro14</v>
      </c>
      <c r="C25" s="1257" t="e">
        <f>C48+$C$4</f>
        <v>#REF!</v>
      </c>
      <c r="D25" s="1337" t="e">
        <f>D48+$D$4</f>
        <v>#REF!</v>
      </c>
      <c r="E25" s="1257" t="e">
        <f>E48+$E$71</f>
        <v>#REF!</v>
      </c>
      <c r="F25" s="1246">
        <v>31450</v>
      </c>
      <c r="G25" s="1357" t="e">
        <f t="shared" si="7"/>
        <v>#REF!</v>
      </c>
      <c r="H25" s="1358" t="e">
        <f t="shared" si="8"/>
        <v>#REF!</v>
      </c>
      <c r="I25" s="1313"/>
      <c r="J25" s="1315"/>
      <c r="K25" s="1316"/>
      <c r="L25" s="1090" t="str">
        <f>L48</f>
        <v>Вита2</v>
      </c>
      <c r="M25" s="1266">
        <f>M48+$M$71</f>
        <v>37685</v>
      </c>
      <c r="N25" s="1267">
        <f>F25/M25-1</f>
        <v>-0.16545044447392865</v>
      </c>
      <c r="O25" s="1271" t="str">
        <f>O48</f>
        <v>X-LINE5</v>
      </c>
      <c r="P25" s="1273">
        <f>P48+$P$4</f>
        <v>32300</v>
      </c>
      <c r="Q25" s="1274">
        <f>F25/P25-1</f>
        <v>-2.6315789473684181E-2</v>
      </c>
      <c r="R25" s="1451"/>
      <c r="S25" s="1455"/>
    </row>
    <row r="26" spans="1:21" s="70" customFormat="1" hidden="1" outlineLevel="1">
      <c r="A26" s="589"/>
      <c r="B26" s="1243" t="str">
        <f>B49</f>
        <v>Юнион</v>
      </c>
      <c r="C26" s="1257" t="e">
        <f>C49+$C$4</f>
        <v>#REF!</v>
      </c>
      <c r="D26" s="1337" t="e">
        <f>D49+$D$4</f>
        <v>#REF!</v>
      </c>
      <c r="E26" s="1257" t="e">
        <f>E49+$E$71</f>
        <v>#REF!</v>
      </c>
      <c r="F26" s="1246">
        <v>32950</v>
      </c>
      <c r="G26" s="1357" t="e">
        <f>F26-D26</f>
        <v>#REF!</v>
      </c>
      <c r="H26" s="1358" t="e">
        <f>F26/D26-1</f>
        <v>#REF!</v>
      </c>
      <c r="I26" s="1313" t="str">
        <f>I49</f>
        <v>ПГ SOLO 8</v>
      </c>
      <c r="J26" s="1315">
        <f>J49+$J$4</f>
        <v>33080</v>
      </c>
      <c r="K26" s="1316">
        <f t="shared" si="10"/>
        <v>-3.9298669891172366E-3</v>
      </c>
      <c r="L26" s="1090" t="str">
        <f>L49</f>
        <v>ГАЛАКТИКА специальная сшивка шпона "елочка"</v>
      </c>
      <c r="M26" s="1266">
        <f>M49+$M$71</f>
        <v>36825</v>
      </c>
      <c r="N26" s="1267">
        <f>F26/M26-1</f>
        <v>-0.10522742701968768</v>
      </c>
      <c r="O26" s="1271" t="str">
        <f>O49</f>
        <v xml:space="preserve">Forest ДГ      </v>
      </c>
      <c r="P26" s="1273">
        <f>P49+$P$4</f>
        <v>43780</v>
      </c>
      <c r="Q26" s="1274">
        <f>F26/P26-1</f>
        <v>-0.24737322978529008</v>
      </c>
      <c r="R26" s="1452"/>
      <c r="S26" s="1456"/>
    </row>
    <row r="27" spans="1:21" hidden="1" collapsed="1">
      <c r="I27" s="1250"/>
      <c r="J27" s="1250"/>
      <c r="K27" s="1250"/>
      <c r="L27" s="1250"/>
      <c r="M27" s="1250"/>
      <c r="N27" s="1250"/>
      <c r="O27" s="1250"/>
      <c r="P27" s="1250"/>
      <c r="Q27" s="1250"/>
      <c r="R27" s="1453"/>
    </row>
    <row r="28" spans="1:21" hidden="1">
      <c r="B28" s="22" t="s">
        <v>912</v>
      </c>
      <c r="C28" s="22"/>
      <c r="I28" s="1250"/>
      <c r="J28" s="1250"/>
      <c r="K28" s="1250"/>
      <c r="L28" s="1250"/>
      <c r="M28" s="1250"/>
      <c r="N28" s="1250"/>
      <c r="O28" s="1250"/>
      <c r="P28" s="1250"/>
      <c r="Q28" s="1250"/>
      <c r="R28" s="1453"/>
    </row>
    <row r="29" spans="1:21" s="1234" customFormat="1" hidden="1" outlineLevel="1">
      <c r="B29" s="1291" t="str">
        <f>B6</f>
        <v>терем</v>
      </c>
      <c r="C29" s="1292">
        <f>C6</f>
        <v>0.39</v>
      </c>
      <c r="D29" s="1329" t="e">
        <f>D6</f>
        <v>#REF!</v>
      </c>
      <c r="E29" s="1329"/>
      <c r="F29" s="1329">
        <f>F6</f>
        <v>0</v>
      </c>
      <c r="G29" s="1359"/>
      <c r="H29" s="1360"/>
      <c r="I29" s="1309" t="str">
        <f>I6</f>
        <v>Фрамир</v>
      </c>
      <c r="J29" s="1330">
        <f>J6</f>
        <v>0</v>
      </c>
      <c r="K29" s="1311"/>
      <c r="L29" s="1261" t="str">
        <f>L6</f>
        <v>дариано</v>
      </c>
      <c r="M29" s="1331">
        <f>M6</f>
        <v>0</v>
      </c>
      <c r="N29" s="1263"/>
      <c r="O29" s="1268" t="str">
        <f>O6</f>
        <v>рада</v>
      </c>
      <c r="P29" s="1332">
        <f>P6</f>
        <v>0</v>
      </c>
      <c r="Q29" s="1290"/>
      <c r="R29" s="1451"/>
      <c r="S29" s="1346"/>
    </row>
    <row r="30" spans="1:21" s="39" customFormat="1" ht="33.75" hidden="1" outlineLevel="1">
      <c r="A30" s="1352" t="s">
        <v>1972</v>
      </c>
      <c r="B30" s="1306" t="s">
        <v>1616</v>
      </c>
      <c r="C30" s="1306" t="s">
        <v>2136</v>
      </c>
      <c r="D30" s="1306" t="s">
        <v>2135</v>
      </c>
      <c r="E30" s="1306" t="s">
        <v>2137</v>
      </c>
      <c r="F30" s="1306" t="s">
        <v>2134</v>
      </c>
      <c r="G30" s="1306" t="s">
        <v>2139</v>
      </c>
      <c r="H30" s="1306" t="s">
        <v>2138</v>
      </c>
      <c r="I30" s="1312" t="s">
        <v>1616</v>
      </c>
      <c r="J30" s="1312" t="s">
        <v>1618</v>
      </c>
      <c r="K30" s="1312" t="s">
        <v>1691</v>
      </c>
      <c r="L30" s="1264" t="s">
        <v>1616</v>
      </c>
      <c r="M30" s="1264" t="s">
        <v>1618</v>
      </c>
      <c r="N30" s="1264" t="s">
        <v>1691</v>
      </c>
      <c r="O30" s="1270" t="s">
        <v>1616</v>
      </c>
      <c r="P30" s="1270" t="s">
        <v>1618</v>
      </c>
      <c r="Q30" s="1270" t="s">
        <v>1620</v>
      </c>
      <c r="R30" s="1451"/>
      <c r="S30" s="1347"/>
    </row>
    <row r="31" spans="1:21" hidden="1" outlineLevel="1">
      <c r="A31" s="1445">
        <f>К_ясень!F39</f>
        <v>30550</v>
      </c>
      <c r="B31" s="1243" t="s">
        <v>1692</v>
      </c>
      <c r="C31" s="1257" t="e">
        <f t="shared" ref="C31:C38" si="11">D31*(1-$C$29)</f>
        <v>#REF!</v>
      </c>
      <c r="D31" s="1337" t="e">
        <f>'Classic Rimini '!#REF!</f>
        <v>#REF!</v>
      </c>
      <c r="E31" s="1257" t="e">
        <f t="shared" ref="E31:E38" si="12">F31*(1-$C$29)</f>
        <v>#REF!</v>
      </c>
      <c r="F31" s="1246" t="e">
        <f>D31+G31</f>
        <v>#REF!</v>
      </c>
      <c r="G31" s="1357" t="e">
        <f t="shared" ref="G31:G44" si="13">G8</f>
        <v>#REF!</v>
      </c>
      <c r="H31" s="1358" t="e">
        <f t="shared" ref="H31:H48" si="14">F31/D31-1</f>
        <v>#REF!</v>
      </c>
      <c r="I31" s="1313" t="s">
        <v>2363</v>
      </c>
      <c r="J31" s="1315">
        <v>26890</v>
      </c>
      <c r="K31" s="1316" t="e">
        <f t="shared" ref="K31:K40" si="15">F31/J31-1</f>
        <v>#REF!</v>
      </c>
      <c r="L31" s="1090" t="s">
        <v>1693</v>
      </c>
      <c r="M31" s="1266">
        <v>28050</v>
      </c>
      <c r="N31" s="1267" t="e">
        <f>F31/M31-1</f>
        <v>#REF!</v>
      </c>
      <c r="O31" s="1271" t="s">
        <v>2105</v>
      </c>
      <c r="P31" s="1273">
        <v>26120</v>
      </c>
      <c r="Q31" s="1274" t="e">
        <f t="shared" ref="Q31:Q39" si="16">F31/P31-1</f>
        <v>#REF!</v>
      </c>
      <c r="S31" s="1455"/>
      <c r="U31" s="39"/>
    </row>
    <row r="32" spans="1:21" hidden="1" outlineLevel="1">
      <c r="A32" s="1445">
        <f>К_ясень!F40</f>
        <v>31050</v>
      </c>
      <c r="B32" s="1243" t="s">
        <v>1694</v>
      </c>
      <c r="C32" s="1257" t="e">
        <f t="shared" si="11"/>
        <v>#REF!</v>
      </c>
      <c r="D32" s="1337" t="e">
        <f>'Classic Rimini '!#REF!</f>
        <v>#REF!</v>
      </c>
      <c r="E32" s="1257" t="e">
        <f t="shared" si="12"/>
        <v>#REF!</v>
      </c>
      <c r="F32" s="1246" t="e">
        <f t="shared" ref="F32:F49" si="17">D32+G32</f>
        <v>#REF!</v>
      </c>
      <c r="G32" s="1357" t="e">
        <f t="shared" si="13"/>
        <v>#REF!</v>
      </c>
      <c r="H32" s="1358" t="e">
        <f t="shared" si="14"/>
        <v>#REF!</v>
      </c>
      <c r="I32" s="1313" t="s">
        <v>2364</v>
      </c>
      <c r="J32" s="1315">
        <v>28190</v>
      </c>
      <c r="K32" s="1316" t="e">
        <f t="shared" si="15"/>
        <v>#REF!</v>
      </c>
      <c r="L32" s="1090" t="s">
        <v>1695</v>
      </c>
      <c r="M32" s="1266">
        <v>25850</v>
      </c>
      <c r="N32" s="1267" t="e">
        <f>F32/M32-1</f>
        <v>#REF!</v>
      </c>
      <c r="O32" s="1271" t="s">
        <v>2106</v>
      </c>
      <c r="P32" s="1273">
        <v>25530</v>
      </c>
      <c r="Q32" s="1274" t="e">
        <f t="shared" si="16"/>
        <v>#REF!</v>
      </c>
      <c r="S32" s="1455"/>
      <c r="U32" s="39"/>
    </row>
    <row r="33" spans="1:21" hidden="1" outlineLevel="1">
      <c r="A33" s="1445">
        <f>К_ясень!F41</f>
        <v>29950</v>
      </c>
      <c r="B33" s="1243" t="s">
        <v>1696</v>
      </c>
      <c r="C33" s="1257" t="e">
        <f t="shared" si="11"/>
        <v>#REF!</v>
      </c>
      <c r="D33" s="1337" t="e">
        <f>'Classic Rimini '!#REF!</f>
        <v>#REF!</v>
      </c>
      <c r="E33" s="1257" t="e">
        <f t="shared" si="12"/>
        <v>#REF!</v>
      </c>
      <c r="F33" s="1246" t="e">
        <f t="shared" si="17"/>
        <v>#REF!</v>
      </c>
      <c r="G33" s="1357" t="e">
        <f t="shared" si="13"/>
        <v>#REF!</v>
      </c>
      <c r="H33" s="1358" t="e">
        <f t="shared" si="14"/>
        <v>#REF!</v>
      </c>
      <c r="I33" s="1313" t="s">
        <v>2365</v>
      </c>
      <c r="J33" s="1315">
        <v>25290</v>
      </c>
      <c r="K33" s="1316" t="e">
        <f t="shared" si="15"/>
        <v>#REF!</v>
      </c>
      <c r="L33" s="1090"/>
      <c r="M33" s="1266"/>
      <c r="N33" s="1267"/>
      <c r="O33" s="1271" t="s">
        <v>2107</v>
      </c>
      <c r="P33" s="1273">
        <v>24280</v>
      </c>
      <c r="Q33" s="1274" t="e">
        <f t="shared" si="16"/>
        <v>#REF!</v>
      </c>
      <c r="S33" s="1455"/>
      <c r="U33" s="39"/>
    </row>
    <row r="34" spans="1:21" hidden="1" outlineLevel="1">
      <c r="A34" s="1445">
        <f>К_ясень!F42</f>
        <v>0</v>
      </c>
      <c r="B34" s="1243" t="s">
        <v>1697</v>
      </c>
      <c r="C34" s="1257" t="e">
        <f t="shared" si="11"/>
        <v>#REF!</v>
      </c>
      <c r="D34" s="1337" t="e">
        <f>'Classic Rimini '!#REF!</f>
        <v>#REF!</v>
      </c>
      <c r="E34" s="1257" t="e">
        <f t="shared" si="12"/>
        <v>#REF!</v>
      </c>
      <c r="F34" s="1246" t="e">
        <f t="shared" si="17"/>
        <v>#REF!</v>
      </c>
      <c r="G34" s="1357" t="e">
        <f t="shared" si="13"/>
        <v>#REF!</v>
      </c>
      <c r="H34" s="1358" t="e">
        <f t="shared" si="14"/>
        <v>#REF!</v>
      </c>
      <c r="I34" s="1313"/>
      <c r="J34" s="1315"/>
      <c r="K34" s="1316"/>
      <c r="L34" s="1090"/>
      <c r="M34" s="1266"/>
      <c r="N34" s="1267"/>
      <c r="O34" s="1271" t="s">
        <v>2108</v>
      </c>
      <c r="P34" s="1273">
        <v>23470</v>
      </c>
      <c r="Q34" s="1274" t="e">
        <f t="shared" si="16"/>
        <v>#REF!</v>
      </c>
      <c r="S34" s="1455"/>
      <c r="U34" s="39"/>
    </row>
    <row r="35" spans="1:21" hidden="1" outlineLevel="1">
      <c r="A35" s="1445" t="e">
        <f>К_ясень!F43</f>
        <v>#REF!</v>
      </c>
      <c r="B35" s="1243" t="s">
        <v>1698</v>
      </c>
      <c r="C35" s="1257" t="e">
        <f t="shared" si="11"/>
        <v>#REF!</v>
      </c>
      <c r="D35" s="1337" t="e">
        <f>'Classic Rimini '!#REF!</f>
        <v>#REF!</v>
      </c>
      <c r="E35" s="1257" t="e">
        <f t="shared" si="12"/>
        <v>#REF!</v>
      </c>
      <c r="F35" s="1246" t="e">
        <f>D35+G35</f>
        <v>#REF!</v>
      </c>
      <c r="G35" s="1357" t="e">
        <f t="shared" si="13"/>
        <v>#REF!</v>
      </c>
      <c r="H35" s="1358" t="e">
        <f t="shared" si="14"/>
        <v>#REF!</v>
      </c>
      <c r="I35" s="1313"/>
      <c r="J35" s="1315"/>
      <c r="K35" s="1316"/>
      <c r="L35" s="1090" t="s">
        <v>1699</v>
      </c>
      <c r="M35" s="1266">
        <v>37100</v>
      </c>
      <c r="N35" s="1267" t="e">
        <f>F35/M35-1</f>
        <v>#REF!</v>
      </c>
      <c r="O35" s="1271" t="s">
        <v>2109</v>
      </c>
      <c r="P35" s="1273">
        <v>32130</v>
      </c>
      <c r="Q35" s="1274" t="e">
        <f t="shared" si="16"/>
        <v>#REF!</v>
      </c>
      <c r="S35" s="1455"/>
      <c r="U35" s="39"/>
    </row>
    <row r="36" spans="1:21" hidden="1" outlineLevel="1">
      <c r="A36" s="1445" t="e">
        <f>К_ясень!F44</f>
        <v>#REF!</v>
      </c>
      <c r="B36" s="1243" t="s">
        <v>2127</v>
      </c>
      <c r="C36" s="1257" t="e">
        <f t="shared" si="11"/>
        <v>#REF!</v>
      </c>
      <c r="D36" s="1337" t="e">
        <f>D35+'Classic Rimini '!#REF!</f>
        <v>#REF!</v>
      </c>
      <c r="E36" s="1257" t="e">
        <f t="shared" si="12"/>
        <v>#REF!</v>
      </c>
      <c r="F36" s="1246" t="e">
        <f t="shared" si="17"/>
        <v>#REF!</v>
      </c>
      <c r="G36" s="1357" t="e">
        <f t="shared" si="13"/>
        <v>#REF!</v>
      </c>
      <c r="H36" s="1358" t="e">
        <f t="shared" si="14"/>
        <v>#REF!</v>
      </c>
      <c r="I36" s="1313"/>
      <c r="J36" s="1315"/>
      <c r="K36" s="1316"/>
      <c r="L36" s="1090" t="s">
        <v>1700</v>
      </c>
      <c r="M36" s="1266">
        <v>39990</v>
      </c>
      <c r="N36" s="1267" t="e">
        <f>F36/M36-1</f>
        <v>#REF!</v>
      </c>
      <c r="O36" s="1271" t="s">
        <v>2132</v>
      </c>
      <c r="P36" s="1273">
        <v>44440</v>
      </c>
      <c r="Q36" s="1274" t="e">
        <f t="shared" si="16"/>
        <v>#REF!</v>
      </c>
      <c r="S36" s="1455"/>
      <c r="U36" s="39"/>
    </row>
    <row r="37" spans="1:21" hidden="1" outlineLevel="1">
      <c r="A37" s="1445" t="e">
        <f>К_ясень!F45</f>
        <v>#REF!</v>
      </c>
      <c r="B37" s="1243" t="s">
        <v>1701</v>
      </c>
      <c r="C37" s="1257" t="e">
        <f t="shared" si="11"/>
        <v>#REF!</v>
      </c>
      <c r="D37" s="1337" t="e">
        <f>'Classic Rimini '!#REF!</f>
        <v>#REF!</v>
      </c>
      <c r="E37" s="1257" t="e">
        <f t="shared" si="12"/>
        <v>#REF!</v>
      </c>
      <c r="F37" s="1246" t="e">
        <f t="shared" si="17"/>
        <v>#REF!</v>
      </c>
      <c r="G37" s="1357" t="e">
        <f t="shared" si="13"/>
        <v>#REF!</v>
      </c>
      <c r="H37" s="1358" t="e">
        <f t="shared" si="14"/>
        <v>#REF!</v>
      </c>
      <c r="I37" s="1313"/>
      <c r="J37" s="1315"/>
      <c r="K37" s="1316"/>
      <c r="L37" s="1090" t="s">
        <v>1702</v>
      </c>
      <c r="M37" s="1266">
        <v>37100</v>
      </c>
      <c r="N37" s="1267" t="e">
        <f>F37/M37-1</f>
        <v>#REF!</v>
      </c>
      <c r="O37" s="1271" t="s">
        <v>2110</v>
      </c>
      <c r="P37" s="1273">
        <v>32130</v>
      </c>
      <c r="Q37" s="1274" t="e">
        <f t="shared" si="16"/>
        <v>#REF!</v>
      </c>
      <c r="S37" s="1455"/>
      <c r="U37" s="39"/>
    </row>
    <row r="38" spans="1:21" hidden="1" outlineLevel="1">
      <c r="A38" s="1445" t="e">
        <f>К_ясень!F46</f>
        <v>#REF!</v>
      </c>
      <c r="B38" s="1243" t="s">
        <v>2128</v>
      </c>
      <c r="C38" s="1257" t="e">
        <f t="shared" si="11"/>
        <v>#REF!</v>
      </c>
      <c r="D38" s="1337" t="e">
        <f>D37+'Classic Rimini '!#REF!</f>
        <v>#REF!</v>
      </c>
      <c r="E38" s="1257" t="e">
        <f t="shared" si="12"/>
        <v>#REF!</v>
      </c>
      <c r="F38" s="1246" t="e">
        <f t="shared" si="17"/>
        <v>#REF!</v>
      </c>
      <c r="G38" s="1357" t="e">
        <f t="shared" si="13"/>
        <v>#REF!</v>
      </c>
      <c r="H38" s="1358" t="e">
        <f t="shared" si="14"/>
        <v>#REF!</v>
      </c>
      <c r="I38" s="1313"/>
      <c r="J38" s="1315"/>
      <c r="K38" s="1316"/>
      <c r="L38" s="1090" t="s">
        <v>1703</v>
      </c>
      <c r="M38" s="1266">
        <v>39990</v>
      </c>
      <c r="N38" s="1267" t="e">
        <f>F38/M38-1</f>
        <v>#REF!</v>
      </c>
      <c r="O38" s="1271" t="s">
        <v>2133</v>
      </c>
      <c r="P38" s="1273">
        <v>44440</v>
      </c>
      <c r="Q38" s="1274" t="e">
        <f t="shared" si="16"/>
        <v>#REF!</v>
      </c>
      <c r="S38" s="1455"/>
      <c r="U38" s="39"/>
    </row>
    <row r="39" spans="1:21" hidden="1" outlineLevel="1">
      <c r="A39" s="1445">
        <f>К_ясень!F48</f>
        <v>22000</v>
      </c>
      <c r="B39" s="1243" t="s">
        <v>1632</v>
      </c>
      <c r="C39" s="1257" t="e">
        <f t="shared" ref="C39:C44" si="18">D39*(1-$C$29)</f>
        <v>#REF!</v>
      </c>
      <c r="D39" s="1337" t="e">
        <f>Neoclassic!#REF!</f>
        <v>#REF!</v>
      </c>
      <c r="E39" s="1257" t="e">
        <f t="shared" ref="E39:E44" si="19">F39*(1-$C$29)</f>
        <v>#REF!</v>
      </c>
      <c r="F39" s="1246" t="e">
        <f t="shared" si="17"/>
        <v>#REF!</v>
      </c>
      <c r="G39" s="1357" t="e">
        <f t="shared" si="13"/>
        <v>#REF!</v>
      </c>
      <c r="H39" s="1358" t="e">
        <f t="shared" si="14"/>
        <v>#REF!</v>
      </c>
      <c r="I39" s="1313" t="s">
        <v>2360</v>
      </c>
      <c r="J39" s="1315">
        <v>22790</v>
      </c>
      <c r="K39" s="1316" t="e">
        <f t="shared" si="15"/>
        <v>#REF!</v>
      </c>
      <c r="L39" s="1097" t="s">
        <v>2163</v>
      </c>
      <c r="M39" s="1266">
        <v>20690</v>
      </c>
      <c r="N39" s="1267" t="e">
        <f>F39/M39-1</f>
        <v>#REF!</v>
      </c>
      <c r="O39" s="1275" t="s">
        <v>2037</v>
      </c>
      <c r="P39" s="1273">
        <v>22610</v>
      </c>
      <c r="Q39" s="1274" t="e">
        <f t="shared" si="16"/>
        <v>#REF!</v>
      </c>
      <c r="S39" s="1455"/>
      <c r="U39" s="39"/>
    </row>
    <row r="40" spans="1:21" hidden="1" outlineLevel="1">
      <c r="A40" s="1445">
        <f>К_ясень!F53</f>
        <v>27200</v>
      </c>
      <c r="B40" s="1251" t="s">
        <v>949</v>
      </c>
      <c r="C40" s="1257" t="e">
        <f t="shared" si="18"/>
        <v>#REF!</v>
      </c>
      <c r="D40" s="1337" t="e">
        <f>Neoclassic!#REF!</f>
        <v>#REF!</v>
      </c>
      <c r="E40" s="1257" t="e">
        <f t="shared" si="19"/>
        <v>#REF!</v>
      </c>
      <c r="F40" s="1246" t="e">
        <f t="shared" si="17"/>
        <v>#REF!</v>
      </c>
      <c r="G40" s="1357" t="e">
        <f t="shared" si="13"/>
        <v>#REF!</v>
      </c>
      <c r="H40" s="1358" t="e">
        <f t="shared" si="14"/>
        <v>#REF!</v>
      </c>
      <c r="I40" s="1313" t="s">
        <v>2362</v>
      </c>
      <c r="J40" s="1315">
        <v>25090</v>
      </c>
      <c r="K40" s="1316" t="e">
        <f t="shared" si="15"/>
        <v>#REF!</v>
      </c>
      <c r="L40" s="1097"/>
      <c r="M40" s="1266"/>
      <c r="N40" s="1267"/>
      <c r="O40" s="1275"/>
      <c r="P40" s="1273">
        <v>0</v>
      </c>
      <c r="Q40" s="1274"/>
      <c r="S40" s="1455"/>
      <c r="U40" s="39"/>
    </row>
    <row r="41" spans="1:21" hidden="1" outlineLevel="1">
      <c r="A41" s="1445">
        <f>К_ясень!F54</f>
        <v>25100</v>
      </c>
      <c r="B41" s="1251" t="s">
        <v>2154</v>
      </c>
      <c r="C41" s="1257" t="e">
        <f t="shared" si="18"/>
        <v>#REF!</v>
      </c>
      <c r="D41" s="1338" t="e">
        <f>Standart!#REF!</f>
        <v>#REF!</v>
      </c>
      <c r="E41" s="1257" t="e">
        <f t="shared" si="19"/>
        <v>#REF!</v>
      </c>
      <c r="F41" s="1246" t="e">
        <f t="shared" si="17"/>
        <v>#REF!</v>
      </c>
      <c r="G41" s="1357" t="e">
        <f t="shared" si="13"/>
        <v>#REF!</v>
      </c>
      <c r="H41" s="1358" t="e">
        <f t="shared" si="14"/>
        <v>#REF!</v>
      </c>
      <c r="I41" s="1313"/>
      <c r="J41" s="1315"/>
      <c r="K41" s="1316"/>
      <c r="L41" s="1090"/>
      <c r="M41" s="1266"/>
      <c r="N41" s="1267"/>
      <c r="O41" s="1271"/>
      <c r="P41" s="1273">
        <v>0</v>
      </c>
      <c r="Q41" s="1274"/>
      <c r="S41" s="1455"/>
      <c r="U41" s="39"/>
    </row>
    <row r="42" spans="1:21" hidden="1" outlineLevel="1">
      <c r="A42" s="1445">
        <f>К_ясень!F61</f>
        <v>26650</v>
      </c>
      <c r="B42" s="1243" t="s">
        <v>1360</v>
      </c>
      <c r="C42" s="1257" t="e">
        <f t="shared" si="18"/>
        <v>#REF!</v>
      </c>
      <c r="D42" s="1337" t="e">
        <f>Standart!#REF!</f>
        <v>#REF!</v>
      </c>
      <c r="E42" s="1257" t="e">
        <f t="shared" si="19"/>
        <v>#REF!</v>
      </c>
      <c r="F42" s="1246" t="e">
        <f t="shared" si="17"/>
        <v>#REF!</v>
      </c>
      <c r="G42" s="1357" t="e">
        <f t="shared" si="13"/>
        <v>#REF!</v>
      </c>
      <c r="H42" s="1358" t="e">
        <f t="shared" si="14"/>
        <v>#REF!</v>
      </c>
      <c r="I42" s="1317"/>
      <c r="J42" s="1315"/>
      <c r="K42" s="1316"/>
      <c r="L42" s="1097"/>
      <c r="M42" s="1266"/>
      <c r="N42" s="1267"/>
      <c r="O42" s="1275" t="s">
        <v>2111</v>
      </c>
      <c r="P42" s="1273">
        <v>18370</v>
      </c>
      <c r="Q42" s="1274" t="e">
        <f>F42/P42-1</f>
        <v>#REF!</v>
      </c>
      <c r="S42" s="1455"/>
      <c r="U42" s="39"/>
    </row>
    <row r="43" spans="1:21" hidden="1" outlineLevel="1">
      <c r="A43" s="1445">
        <f>К_ясень!F62</f>
        <v>22200</v>
      </c>
      <c r="B43" s="1243" t="s">
        <v>1647</v>
      </c>
      <c r="C43" s="1257" t="e">
        <f t="shared" si="18"/>
        <v>#REF!</v>
      </c>
      <c r="D43" s="1337" t="e">
        <f>Techno_Porte!#REF!</f>
        <v>#REF!</v>
      </c>
      <c r="E43" s="1257" t="e">
        <f t="shared" si="19"/>
        <v>#REF!</v>
      </c>
      <c r="F43" s="1246" t="e">
        <f t="shared" si="17"/>
        <v>#REF!</v>
      </c>
      <c r="G43" s="1357" t="e">
        <f t="shared" si="13"/>
        <v>#REF!</v>
      </c>
      <c r="H43" s="1358" t="e">
        <f t="shared" si="14"/>
        <v>#REF!</v>
      </c>
      <c r="I43" s="1313" t="s">
        <v>2357</v>
      </c>
      <c r="J43" s="1315">
        <v>16490</v>
      </c>
      <c r="K43" s="1316" t="e">
        <f>F43/J43-1</f>
        <v>#REF!</v>
      </c>
      <c r="L43" s="1097" t="s">
        <v>1649</v>
      </c>
      <c r="M43" s="1266">
        <v>20700</v>
      </c>
      <c r="N43" s="1267" t="e">
        <f>F43/M43-1</f>
        <v>#REF!</v>
      </c>
      <c r="O43" s="1275" t="s">
        <v>1650</v>
      </c>
      <c r="P43" s="1273">
        <v>15200</v>
      </c>
      <c r="Q43" s="1274" t="e">
        <f>F43/P43-1</f>
        <v>#REF!</v>
      </c>
      <c r="S43" s="1455"/>
      <c r="U43" s="39"/>
    </row>
    <row r="44" spans="1:21" hidden="1" outlineLevel="1">
      <c r="A44" s="1445" t="e">
        <f>К_ясень!F63</f>
        <v>#REF!</v>
      </c>
      <c r="B44" s="1243" t="s">
        <v>1651</v>
      </c>
      <c r="C44" s="1257" t="e">
        <f t="shared" si="18"/>
        <v>#REF!</v>
      </c>
      <c r="D44" s="1337" t="e">
        <f>Techno_Porte!#REF!</f>
        <v>#REF!</v>
      </c>
      <c r="E44" s="1257" t="e">
        <f t="shared" si="19"/>
        <v>#REF!</v>
      </c>
      <c r="F44" s="1246" t="e">
        <f t="shared" si="17"/>
        <v>#REF!</v>
      </c>
      <c r="G44" s="1357" t="e">
        <f t="shared" si="13"/>
        <v>#REF!</v>
      </c>
      <c r="H44" s="1358" t="e">
        <f t="shared" si="14"/>
        <v>#REF!</v>
      </c>
      <c r="I44" s="1313" t="s">
        <v>2358</v>
      </c>
      <c r="J44" s="1315">
        <v>17190</v>
      </c>
      <c r="K44" s="1316" t="e">
        <f t="shared" ref="K44:K49" si="20">F44/J44-1</f>
        <v>#REF!</v>
      </c>
      <c r="L44" s="1090" t="s">
        <v>1652</v>
      </c>
      <c r="M44" s="1266">
        <v>22170</v>
      </c>
      <c r="N44" s="1267" t="e">
        <f>F44/M44-1</f>
        <v>#REF!</v>
      </c>
      <c r="O44" s="1271" t="s">
        <v>1653</v>
      </c>
      <c r="P44" s="1273">
        <v>16260</v>
      </c>
      <c r="Q44" s="1274" t="e">
        <f>F44/P44-1</f>
        <v>#REF!</v>
      </c>
      <c r="S44" s="1455"/>
      <c r="U44" s="39"/>
    </row>
    <row r="45" spans="1:21" hidden="1" outlineLevel="1">
      <c r="A45" s="1445"/>
      <c r="B45" s="1243"/>
      <c r="C45" s="1257"/>
      <c r="D45" s="1337"/>
      <c r="E45" s="1257"/>
      <c r="F45" s="1246"/>
      <c r="G45" s="1357"/>
      <c r="H45" s="1358"/>
      <c r="I45" s="1313"/>
      <c r="J45" s="1315"/>
      <c r="K45" s="1316"/>
      <c r="L45" s="1090"/>
      <c r="M45" s="1266"/>
      <c r="N45" s="1267"/>
      <c r="O45" s="1271"/>
      <c r="P45" s="1273"/>
      <c r="Q45" s="1274"/>
      <c r="S45" s="1455"/>
      <c r="U45" s="39"/>
    </row>
    <row r="46" spans="1:21" hidden="1" outlineLevel="1">
      <c r="A46" s="1445">
        <f>К_ясень!F65</f>
        <v>26000</v>
      </c>
      <c r="B46" s="1243" t="s">
        <v>1657</v>
      </c>
      <c r="C46" s="1257" t="e">
        <f>D46*(1-$C$29)</f>
        <v>#REF!</v>
      </c>
      <c r="D46" s="1337" t="e">
        <f>Techno_Vetro!#REF!</f>
        <v>#REF!</v>
      </c>
      <c r="E46" s="1257" t="e">
        <f>F46*(1-$C$29)</f>
        <v>#REF!</v>
      </c>
      <c r="F46" s="1246" t="e">
        <f t="shared" si="17"/>
        <v>#REF!</v>
      </c>
      <c r="G46" s="1357" t="e">
        <f>G23</f>
        <v>#REF!</v>
      </c>
      <c r="H46" s="1358" t="e">
        <f t="shared" si="14"/>
        <v>#REF!</v>
      </c>
      <c r="I46" s="1313" t="s">
        <v>2359</v>
      </c>
      <c r="J46" s="1315">
        <v>20990</v>
      </c>
      <c r="K46" s="1316" t="e">
        <f t="shared" si="20"/>
        <v>#REF!</v>
      </c>
      <c r="L46" s="1090" t="s">
        <v>1658</v>
      </c>
      <c r="M46" s="1266">
        <v>28610</v>
      </c>
      <c r="N46" s="1267" t="e">
        <f>F46/M46-1</f>
        <v>#REF!</v>
      </c>
      <c r="O46" s="1271" t="s">
        <v>1659</v>
      </c>
      <c r="P46" s="1273">
        <v>20500</v>
      </c>
      <c r="Q46" s="1274" t="e">
        <f>F46/P46-1</f>
        <v>#REF!</v>
      </c>
      <c r="S46" s="1455"/>
      <c r="U46" s="39"/>
    </row>
    <row r="47" spans="1:21" hidden="1" outlineLevel="1">
      <c r="A47" s="1445">
        <f>К_ясень!F66</f>
        <v>27700</v>
      </c>
      <c r="B47" s="1243" t="s">
        <v>1660</v>
      </c>
      <c r="C47" s="1257" t="e">
        <f>D47*(1-$C$29)</f>
        <v>#REF!</v>
      </c>
      <c r="D47" s="1337" t="e">
        <f>Techno_Vetro!#REF!</f>
        <v>#REF!</v>
      </c>
      <c r="E47" s="1257" t="e">
        <f>F47*(1-$C$29)</f>
        <v>#REF!</v>
      </c>
      <c r="F47" s="1246" t="e">
        <f t="shared" si="17"/>
        <v>#REF!</v>
      </c>
      <c r="G47" s="1357" t="e">
        <f>G24</f>
        <v>#REF!</v>
      </c>
      <c r="H47" s="1358" t="e">
        <f t="shared" si="14"/>
        <v>#REF!</v>
      </c>
      <c r="I47" s="1313" t="s">
        <v>2370</v>
      </c>
      <c r="J47" s="1315">
        <v>23490</v>
      </c>
      <c r="K47" s="1316" t="e">
        <f t="shared" si="20"/>
        <v>#REF!</v>
      </c>
      <c r="L47" s="1090"/>
      <c r="M47" s="1266"/>
      <c r="N47" s="1267"/>
      <c r="O47" s="1271" t="s">
        <v>1661</v>
      </c>
      <c r="P47" s="1273">
        <v>20500</v>
      </c>
      <c r="Q47" s="1274" t="e">
        <f>F47/P47-1</f>
        <v>#REF!</v>
      </c>
      <c r="S47" s="1455"/>
      <c r="U47" s="39"/>
    </row>
    <row r="48" spans="1:21" hidden="1" outlineLevel="1">
      <c r="A48" s="1445">
        <f>К_ясень!F67</f>
        <v>27700</v>
      </c>
      <c r="B48" s="1243" t="s">
        <v>1662</v>
      </c>
      <c r="C48" s="1257" t="e">
        <f>D48*(1-$C$29)</f>
        <v>#REF!</v>
      </c>
      <c r="D48" s="1337" t="e">
        <f>Techno_Vetro!#REF!</f>
        <v>#REF!</v>
      </c>
      <c r="E48" s="1257" t="e">
        <f>F48*(1-$C$29)</f>
        <v>#REF!</v>
      </c>
      <c r="F48" s="1246" t="e">
        <f t="shared" si="17"/>
        <v>#REF!</v>
      </c>
      <c r="G48" s="1357" t="e">
        <f>G25</f>
        <v>#REF!</v>
      </c>
      <c r="H48" s="1358" t="e">
        <f t="shared" si="14"/>
        <v>#REF!</v>
      </c>
      <c r="I48" s="1313"/>
      <c r="J48" s="1315"/>
      <c r="K48" s="1316"/>
      <c r="L48" s="1090" t="s">
        <v>1663</v>
      </c>
      <c r="M48" s="1266">
        <v>28610</v>
      </c>
      <c r="N48" s="1267" t="e">
        <f>F48/M48-1</f>
        <v>#REF!</v>
      </c>
      <c r="O48" s="1271" t="s">
        <v>1664</v>
      </c>
      <c r="P48" s="1273">
        <v>20500</v>
      </c>
      <c r="Q48" s="1274" t="e">
        <f>F48/P48-1</f>
        <v>#REF!</v>
      </c>
      <c r="S48" s="1455"/>
      <c r="U48" s="39"/>
    </row>
    <row r="49" spans="1:21" hidden="1" outlineLevel="1">
      <c r="A49" s="1445"/>
      <c r="B49" s="1243" t="s">
        <v>2171</v>
      </c>
      <c r="C49" s="1257" t="e">
        <f>D49*(1-$C$29)</f>
        <v>#REF!</v>
      </c>
      <c r="D49" s="1337" t="e">
        <f>Design!#REF!</f>
        <v>#REF!</v>
      </c>
      <c r="E49" s="1257" t="e">
        <f>F49*(1-$C$29)</f>
        <v>#REF!</v>
      </c>
      <c r="F49" s="1246" t="e">
        <f t="shared" si="17"/>
        <v>#REF!</v>
      </c>
      <c r="G49" s="1357" t="e">
        <f>G26</f>
        <v>#REF!</v>
      </c>
      <c r="H49" s="1358" t="e">
        <f>F49/D49-1</f>
        <v>#REF!</v>
      </c>
      <c r="I49" s="1313" t="s">
        <v>2361</v>
      </c>
      <c r="J49" s="1315">
        <v>23190</v>
      </c>
      <c r="K49" s="1316" t="e">
        <f t="shared" si="20"/>
        <v>#REF!</v>
      </c>
      <c r="L49" s="1090" t="s">
        <v>1707</v>
      </c>
      <c r="M49" s="1266">
        <v>27750</v>
      </c>
      <c r="N49" s="1267" t="e">
        <f>F49/M49-1</f>
        <v>#REF!</v>
      </c>
      <c r="O49" s="1271" t="s">
        <v>2172</v>
      </c>
      <c r="P49" s="1273">
        <v>31980</v>
      </c>
      <c r="Q49" s="1274" t="e">
        <f>F49/P49-1</f>
        <v>#REF!</v>
      </c>
      <c r="U49" s="39"/>
    </row>
    <row r="50" spans="1:21" hidden="1" collapsed="1">
      <c r="B50" s="1252"/>
      <c r="C50" s="1252"/>
      <c r="D50" s="1339"/>
      <c r="E50" s="1339"/>
      <c r="F50" s="1253"/>
      <c r="G50" s="1361"/>
      <c r="H50" s="1362"/>
      <c r="I50" s="1253"/>
      <c r="J50" s="1253"/>
      <c r="K50" s="1253"/>
      <c r="L50" s="1253"/>
      <c r="M50" s="1253"/>
      <c r="N50" s="1253"/>
      <c r="O50" s="1253"/>
      <c r="P50" s="1253"/>
      <c r="Q50" s="1253"/>
      <c r="U50" s="39"/>
    </row>
    <row r="51" spans="1:21" hidden="1">
      <c r="A51" s="589" t="s">
        <v>2335</v>
      </c>
      <c r="D51" s="589"/>
      <c r="E51" s="589"/>
      <c r="F51" s="589"/>
      <c r="G51" s="589"/>
      <c r="H51" s="589"/>
      <c r="J51" s="589"/>
      <c r="K51" s="589"/>
      <c r="M51" s="589"/>
      <c r="N51" s="589"/>
      <c r="P51" s="589"/>
      <c r="Q51" s="589"/>
      <c r="R51" s="589"/>
      <c r="S51" s="589"/>
    </row>
    <row r="52" spans="1:21" s="143" customFormat="1" ht="15.75" hidden="1" thickBot="1">
      <c r="A52" s="143" t="s">
        <v>2264</v>
      </c>
      <c r="C52" s="2187">
        <v>12250</v>
      </c>
      <c r="G52" s="2187">
        <v>9890</v>
      </c>
      <c r="L52" s="2187">
        <v>11800</v>
      </c>
    </row>
    <row r="53" spans="1:21" ht="24" hidden="1" customHeight="1" thickBot="1">
      <c r="A53" s="2255"/>
      <c r="B53" s="4053" t="s">
        <v>2265</v>
      </c>
      <c r="C53" s="4054"/>
      <c r="D53" s="4053" t="s">
        <v>2266</v>
      </c>
      <c r="E53" s="4054"/>
      <c r="F53" s="4053" t="s">
        <v>2267</v>
      </c>
      <c r="G53" s="4054"/>
      <c r="H53" s="4053" t="s">
        <v>2269</v>
      </c>
      <c r="I53" s="4054"/>
      <c r="J53" s="2188"/>
      <c r="K53" s="4053" t="s">
        <v>2268</v>
      </c>
      <c r="L53" s="4054"/>
      <c r="M53" s="589"/>
      <c r="N53" s="589"/>
      <c r="P53" s="589"/>
      <c r="Q53" s="589"/>
      <c r="R53" s="589"/>
      <c r="S53" s="589"/>
    </row>
    <row r="54" spans="1:21" ht="27" hidden="1" thickTop="1" thickBot="1">
      <c r="A54" s="2256"/>
      <c r="B54" s="2189" t="s">
        <v>1616</v>
      </c>
      <c r="C54" s="2189" t="s">
        <v>1440</v>
      </c>
      <c r="D54" s="2189" t="s">
        <v>1616</v>
      </c>
      <c r="E54" s="2189" t="s">
        <v>1440</v>
      </c>
      <c r="F54" s="2189" t="s">
        <v>1616</v>
      </c>
      <c r="G54" s="2189" t="s">
        <v>1440</v>
      </c>
      <c r="H54" s="2189" t="s">
        <v>1616</v>
      </c>
      <c r="I54" s="2189" t="s">
        <v>1440</v>
      </c>
      <c r="J54" s="2189" t="s">
        <v>1440</v>
      </c>
      <c r="K54" s="2189" t="s">
        <v>1616</v>
      </c>
      <c r="L54" s="2189" t="s">
        <v>1440</v>
      </c>
      <c r="M54" s="589"/>
      <c r="N54" s="589"/>
      <c r="P54" s="589"/>
      <c r="Q54" s="589"/>
      <c r="R54" s="589"/>
      <c r="S54" s="589"/>
    </row>
    <row r="55" spans="1:21" ht="30.75" hidden="1" thickBot="1">
      <c r="A55" s="4055" t="s">
        <v>2270</v>
      </c>
      <c r="B55" s="2196" t="s">
        <v>2336</v>
      </c>
      <c r="C55" s="2195">
        <v>27950</v>
      </c>
      <c r="D55" s="2196" t="s">
        <v>2272</v>
      </c>
      <c r="E55" s="2197">
        <v>37999</v>
      </c>
      <c r="F55" s="2190" t="s">
        <v>2273</v>
      </c>
      <c r="G55" s="2198">
        <v>26380</v>
      </c>
      <c r="H55" s="2196" t="s">
        <v>1649</v>
      </c>
      <c r="I55" s="2257"/>
      <c r="J55" s="2195"/>
      <c r="K55" s="2196" t="s">
        <v>2274</v>
      </c>
      <c r="L55" s="2198">
        <v>27000</v>
      </c>
      <c r="M55" s="2193">
        <f>L55-L52</f>
        <v>15200</v>
      </c>
      <c r="N55" s="589"/>
      <c r="P55" s="589"/>
      <c r="Q55" s="589"/>
      <c r="R55" s="589"/>
      <c r="S55" s="589"/>
    </row>
    <row r="56" spans="1:21" ht="30.75" hidden="1" thickBot="1">
      <c r="A56" s="4056"/>
      <c r="B56" s="2196" t="s">
        <v>2275</v>
      </c>
      <c r="C56" s="2195"/>
      <c r="D56" s="2196"/>
      <c r="E56" s="2197"/>
      <c r="F56" s="2190" t="s">
        <v>2337</v>
      </c>
      <c r="G56" s="2198">
        <v>27680</v>
      </c>
      <c r="H56" s="2196"/>
      <c r="I56" s="2257"/>
      <c r="J56" s="2195"/>
      <c r="K56" s="2196"/>
      <c r="L56" s="2198"/>
      <c r="M56" s="589"/>
      <c r="N56" s="589"/>
      <c r="P56" s="589"/>
      <c r="Q56" s="589"/>
      <c r="R56" s="589"/>
      <c r="S56" s="589"/>
    </row>
    <row r="57" spans="1:21" ht="15.75" hidden="1" thickBot="1">
      <c r="A57" s="4056"/>
      <c r="B57" s="2196" t="s">
        <v>2276</v>
      </c>
      <c r="C57" s="2195"/>
      <c r="D57" s="2196"/>
      <c r="E57" s="2197"/>
      <c r="F57" s="2190"/>
      <c r="G57" s="2198"/>
      <c r="H57" s="2196"/>
      <c r="I57" s="2257"/>
      <c r="J57" s="2195"/>
      <c r="K57" s="2196"/>
      <c r="L57" s="2198"/>
      <c r="M57" s="589"/>
      <c r="N57" s="589"/>
      <c r="P57" s="589"/>
      <c r="Q57" s="589"/>
      <c r="R57" s="589"/>
      <c r="S57" s="589"/>
    </row>
    <row r="58" spans="1:21" ht="15.75" hidden="1" thickBot="1">
      <c r="A58" s="4056"/>
      <c r="B58" s="2196" t="s">
        <v>1657</v>
      </c>
      <c r="C58" s="2195">
        <v>32950</v>
      </c>
      <c r="D58" s="2258" t="s">
        <v>4</v>
      </c>
      <c r="E58" s="2258"/>
      <c r="F58" s="2190" t="s">
        <v>2278</v>
      </c>
      <c r="G58" s="2198">
        <v>30880</v>
      </c>
      <c r="H58" s="2196" t="s">
        <v>1658</v>
      </c>
      <c r="I58" s="2197"/>
      <c r="J58" s="2259"/>
      <c r="K58" s="2196" t="s">
        <v>2279</v>
      </c>
      <c r="L58" s="2198">
        <v>32300</v>
      </c>
      <c r="M58" s="589"/>
      <c r="N58" s="589"/>
      <c r="P58" s="589"/>
      <c r="Q58" s="589"/>
      <c r="R58" s="589"/>
      <c r="S58" s="589"/>
    </row>
    <row r="59" spans="1:21" ht="30.75" hidden="1" thickBot="1">
      <c r="A59" s="4056"/>
      <c r="B59" s="2190" t="s">
        <v>2166</v>
      </c>
      <c r="C59" s="2260">
        <v>34450</v>
      </c>
      <c r="D59" s="2199" t="s">
        <v>4</v>
      </c>
      <c r="E59" s="2199"/>
      <c r="F59" s="2200"/>
      <c r="G59" s="2200"/>
      <c r="H59" s="2190" t="s">
        <v>2283</v>
      </c>
      <c r="I59" s="2261"/>
      <c r="J59" s="2190"/>
      <c r="K59" s="2258" t="s">
        <v>4</v>
      </c>
      <c r="L59" s="2190"/>
      <c r="M59" s="589"/>
      <c r="N59" s="589"/>
      <c r="P59" s="589"/>
      <c r="Q59" s="589"/>
      <c r="R59" s="589"/>
      <c r="S59" s="589"/>
    </row>
    <row r="60" spans="1:21" ht="30.75" hidden="1" thickBot="1">
      <c r="A60" s="4057"/>
      <c r="B60" s="2190" t="s">
        <v>1629</v>
      </c>
      <c r="C60" s="2260">
        <v>34450</v>
      </c>
      <c r="D60" s="2190" t="s">
        <v>2286</v>
      </c>
      <c r="E60" s="2192"/>
      <c r="F60" s="2190" t="s">
        <v>2287</v>
      </c>
      <c r="G60" s="2198">
        <f>22490+G52</f>
        <v>32380</v>
      </c>
      <c r="H60" s="2190" t="s">
        <v>2288</v>
      </c>
      <c r="I60" s="2192"/>
      <c r="J60" s="2192"/>
      <c r="K60" s="2190" t="s">
        <v>2293</v>
      </c>
      <c r="L60" s="2198">
        <v>31270</v>
      </c>
      <c r="M60" s="589"/>
      <c r="N60" s="589"/>
      <c r="P60" s="589"/>
      <c r="Q60" s="589"/>
      <c r="R60" s="589"/>
      <c r="S60" s="589"/>
    </row>
    <row r="61" spans="1:21" ht="30.75" hidden="1" thickBot="1">
      <c r="A61" s="4058" t="s">
        <v>2301</v>
      </c>
      <c r="B61" s="2202" t="s">
        <v>1632</v>
      </c>
      <c r="C61" s="2262">
        <v>32950</v>
      </c>
      <c r="D61" s="2202" t="s">
        <v>2302</v>
      </c>
      <c r="E61" s="2205"/>
      <c r="F61" s="2202" t="s">
        <v>2338</v>
      </c>
      <c r="G61" s="2209">
        <v>34980</v>
      </c>
      <c r="H61" s="2202" t="s">
        <v>2339</v>
      </c>
      <c r="I61" s="2262"/>
      <c r="J61" s="2205"/>
      <c r="K61" s="2202" t="s">
        <v>2340</v>
      </c>
      <c r="L61" s="2210">
        <v>30270</v>
      </c>
      <c r="M61" s="589"/>
      <c r="N61" s="589"/>
      <c r="P61" s="589"/>
      <c r="Q61" s="589"/>
      <c r="R61" s="589"/>
      <c r="S61" s="589"/>
    </row>
    <row r="62" spans="1:21" ht="24" hidden="1" thickBot="1">
      <c r="A62" s="4059"/>
      <c r="B62" s="2202" t="s">
        <v>2341</v>
      </c>
      <c r="C62" s="2262">
        <v>29450</v>
      </c>
      <c r="D62" s="2206"/>
      <c r="E62" s="2263"/>
      <c r="F62" s="2202" t="s">
        <v>2306</v>
      </c>
      <c r="G62" s="2209">
        <v>30980</v>
      </c>
      <c r="H62" s="2208" t="s">
        <v>4</v>
      </c>
      <c r="I62" s="2263"/>
      <c r="J62" s="2206"/>
      <c r="K62" s="2202" t="s">
        <v>2342</v>
      </c>
      <c r="L62" s="2209"/>
      <c r="M62" s="589"/>
      <c r="N62" s="589"/>
      <c r="P62" s="589"/>
      <c r="Q62" s="589"/>
      <c r="R62" s="589"/>
      <c r="S62" s="589"/>
    </row>
    <row r="63" spans="1:21" ht="15.75" hidden="1" thickBot="1">
      <c r="A63" s="4060"/>
      <c r="B63" s="2202" t="s">
        <v>2343</v>
      </c>
      <c r="C63" s="2262">
        <v>30950</v>
      </c>
      <c r="D63" s="2202" t="s">
        <v>2296</v>
      </c>
      <c r="E63" s="2205"/>
      <c r="F63" s="2202" t="s">
        <v>2309</v>
      </c>
      <c r="G63" s="2209">
        <v>36380</v>
      </c>
      <c r="H63" s="2208" t="s">
        <v>4</v>
      </c>
      <c r="I63" s="2263"/>
      <c r="J63" s="2205"/>
      <c r="K63" s="2202" t="s">
        <v>2344</v>
      </c>
      <c r="L63" s="2210">
        <v>30470</v>
      </c>
      <c r="M63" s="589"/>
      <c r="N63" s="589"/>
      <c r="P63" s="589"/>
      <c r="Q63" s="589"/>
      <c r="R63" s="589"/>
      <c r="S63" s="589"/>
    </row>
    <row r="64" spans="1:21" ht="36.75" hidden="1" thickBot="1">
      <c r="A64" s="2264" t="s">
        <v>2311</v>
      </c>
      <c r="B64" s="2190" t="s">
        <v>1692</v>
      </c>
      <c r="C64" s="2260">
        <v>39950</v>
      </c>
      <c r="D64" s="2190" t="s">
        <v>2345</v>
      </c>
      <c r="E64" s="2192"/>
      <c r="F64" s="2196" t="s">
        <v>2346</v>
      </c>
      <c r="G64" s="2191">
        <v>36780</v>
      </c>
      <c r="H64" s="2190" t="s">
        <v>1693</v>
      </c>
      <c r="I64" s="2192"/>
      <c r="J64" s="2192"/>
      <c r="K64" s="2190" t="s">
        <v>2347</v>
      </c>
      <c r="L64" s="2191">
        <v>37920</v>
      </c>
      <c r="M64" s="589"/>
      <c r="N64" s="589"/>
      <c r="P64" s="589"/>
      <c r="Q64" s="589"/>
      <c r="R64" s="589"/>
      <c r="S64" s="589"/>
    </row>
    <row r="65" spans="1:22" ht="72.75" hidden="1" thickBot="1">
      <c r="A65" s="2264" t="s">
        <v>2348</v>
      </c>
      <c r="B65" s="2190" t="s">
        <v>2349</v>
      </c>
      <c r="C65" s="2265">
        <f>52950+600</f>
        <v>53550</v>
      </c>
      <c r="D65" s="2199" t="s">
        <v>4</v>
      </c>
      <c r="E65" s="2199"/>
      <c r="F65" s="2258" t="s">
        <v>4</v>
      </c>
      <c r="G65" s="2199" t="s">
        <v>4</v>
      </c>
      <c r="H65" s="2190" t="s">
        <v>2350</v>
      </c>
      <c r="I65" s="2192"/>
      <c r="J65" s="2266"/>
      <c r="K65" s="2190" t="s">
        <v>2324</v>
      </c>
      <c r="L65" s="2267">
        <v>58930</v>
      </c>
      <c r="M65" s="589"/>
      <c r="N65" s="589"/>
      <c r="P65" s="589"/>
      <c r="Q65" s="589"/>
      <c r="R65" s="589"/>
      <c r="S65" s="589"/>
    </row>
    <row r="66" spans="1:22" ht="105.75" hidden="1" thickBot="1">
      <c r="A66" s="4058" t="s">
        <v>2325</v>
      </c>
      <c r="B66" s="2202" t="s">
        <v>2351</v>
      </c>
      <c r="C66" s="2262">
        <v>31450</v>
      </c>
      <c r="D66" s="2208" t="s">
        <v>4</v>
      </c>
      <c r="E66" s="2208" t="s">
        <v>4</v>
      </c>
      <c r="F66" s="2268" t="s">
        <v>2352</v>
      </c>
      <c r="G66" s="2209">
        <v>33080</v>
      </c>
      <c r="H66" s="2202" t="s">
        <v>2353</v>
      </c>
      <c r="I66" s="2269"/>
      <c r="J66" s="2208"/>
      <c r="K66" s="2202" t="s">
        <v>2354</v>
      </c>
      <c r="L66" s="2209">
        <v>43670</v>
      </c>
      <c r="M66" s="589"/>
      <c r="N66" s="589"/>
      <c r="P66" s="589"/>
      <c r="Q66" s="589"/>
      <c r="R66" s="589"/>
      <c r="S66" s="589"/>
    </row>
    <row r="67" spans="1:22" ht="24" hidden="1" thickBot="1">
      <c r="A67" s="4059"/>
      <c r="B67" s="2202" t="s">
        <v>2355</v>
      </c>
      <c r="C67" s="2262">
        <v>41450</v>
      </c>
      <c r="D67" s="2211"/>
      <c r="E67" s="2211"/>
      <c r="F67" s="2211"/>
      <c r="G67" s="2211"/>
      <c r="H67" s="2206"/>
      <c r="I67" s="2206"/>
      <c r="J67" s="2211"/>
      <c r="K67" s="2206"/>
      <c r="L67" s="2206"/>
      <c r="M67" s="589"/>
      <c r="N67" s="589"/>
      <c r="P67" s="589"/>
      <c r="Q67" s="589"/>
      <c r="R67" s="589"/>
      <c r="S67" s="589"/>
    </row>
    <row r="68" spans="1:22" ht="24" hidden="1" thickBot="1">
      <c r="A68" s="4060"/>
      <c r="B68" s="2202" t="s">
        <v>2356</v>
      </c>
      <c r="C68" s="2262">
        <v>41450</v>
      </c>
      <c r="D68" s="2211"/>
      <c r="E68" s="2211"/>
      <c r="F68" s="2211"/>
      <c r="G68" s="2211"/>
      <c r="H68" s="2206"/>
      <c r="I68" s="2206"/>
      <c r="J68" s="2211"/>
      <c r="K68" s="2206"/>
      <c r="L68" s="2206"/>
      <c r="M68" s="589"/>
      <c r="N68" s="589"/>
      <c r="P68" s="589"/>
      <c r="Q68" s="589"/>
      <c r="R68" s="589"/>
      <c r="S68" s="589"/>
    </row>
    <row r="69" spans="1:22" hidden="1">
      <c r="B69" s="22" t="s">
        <v>909</v>
      </c>
      <c r="C69" s="1252"/>
      <c r="D69" s="1339"/>
      <c r="E69" s="1339"/>
      <c r="F69" s="1253"/>
      <c r="G69" s="1361"/>
      <c r="H69" s="1362"/>
      <c r="I69" s="1253"/>
      <c r="J69" s="1253"/>
      <c r="K69" s="1253"/>
      <c r="L69" s="1253"/>
      <c r="M69" s="1253"/>
      <c r="N69" s="1253"/>
      <c r="O69" s="1253"/>
      <c r="P69" s="1253"/>
      <c r="Q69" s="1253"/>
      <c r="U69" s="39"/>
    </row>
    <row r="70" spans="1:22" hidden="1" outlineLevel="1">
      <c r="B70" s="1341" t="s">
        <v>2141</v>
      </c>
      <c r="C70" s="1344" t="e">
        <f>D70*(1-C72)</f>
        <v>#REF!</v>
      </c>
      <c r="D70" s="1342" t="e">
        <f>D80*2.5+D81*5</f>
        <v>#REF!</v>
      </c>
      <c r="E70" s="1344" t="e">
        <f>F70*(1-C72)</f>
        <v>#REF!</v>
      </c>
      <c r="F70" s="1342" t="e">
        <f>F80*2.5+F81*5</f>
        <v>#REF!</v>
      </c>
      <c r="G70" s="1363" t="e">
        <f>F70-D70</f>
        <v>#REF!</v>
      </c>
      <c r="H70" s="1364" t="e">
        <f>F70/D70-1</f>
        <v>#REF!</v>
      </c>
      <c r="I70" s="1368" t="s">
        <v>2148</v>
      </c>
      <c r="J70" s="1372">
        <f>J80*2.5+J81*5</f>
        <v>0</v>
      </c>
      <c r="K70" s="1322" t="e">
        <f>F70/J70-1</f>
        <v>#REF!</v>
      </c>
      <c r="L70" s="1369" t="s">
        <v>2148</v>
      </c>
      <c r="M70" s="1373">
        <f>M80*2.5+M81*5</f>
        <v>0</v>
      </c>
      <c r="N70" s="1297" t="e">
        <f>F70/M70-1</f>
        <v>#REF!</v>
      </c>
      <c r="O70" s="1289" t="s">
        <v>2148</v>
      </c>
      <c r="P70" s="1374">
        <f>P80*2.5+P81*5</f>
        <v>11200</v>
      </c>
      <c r="Q70" s="1300" t="e">
        <f>F70/P70-1</f>
        <v>#REF!</v>
      </c>
      <c r="U70" s="39"/>
    </row>
    <row r="71" spans="1:22" hidden="1" collapsed="1">
      <c r="B71" s="1341" t="s">
        <v>2140</v>
      </c>
      <c r="C71" s="1344" t="e">
        <f>D71*(1-C72)</f>
        <v>#REF!</v>
      </c>
      <c r="D71" s="1342" t="e">
        <f>D74*2.5+D75*5</f>
        <v>#REF!</v>
      </c>
      <c r="E71" s="1342" t="e">
        <f>F71*(1-C72)</f>
        <v>#REF!</v>
      </c>
      <c r="F71" s="1343" t="e">
        <f>F74*2.5+F75*5</f>
        <v>#REF!</v>
      </c>
      <c r="G71" s="1363" t="e">
        <f>F71-D71</f>
        <v>#REF!</v>
      </c>
      <c r="H71" s="1364" t="e">
        <f>F71/D71-1</f>
        <v>#REF!</v>
      </c>
      <c r="I71" s="1368" t="s">
        <v>2149</v>
      </c>
      <c r="J71" s="1372">
        <f>J74*2.5+J75*5</f>
        <v>0</v>
      </c>
      <c r="K71" s="1322" t="e">
        <f>F71/J71-1</f>
        <v>#REF!</v>
      </c>
      <c r="L71" s="1369" t="s">
        <v>2149</v>
      </c>
      <c r="M71" s="1373">
        <f>M74*2.5+M75*5</f>
        <v>9075</v>
      </c>
      <c r="N71" s="1297" t="e">
        <f>F71/M71-1</f>
        <v>#REF!</v>
      </c>
      <c r="O71" s="1289" t="s">
        <v>2149</v>
      </c>
      <c r="P71" s="1374">
        <f>P74*2.5+P75*5</f>
        <v>11550</v>
      </c>
      <c r="Q71" s="1300" t="e">
        <f>F71/P71-1</f>
        <v>#REF!</v>
      </c>
      <c r="S71" s="24"/>
      <c r="U71" s="39"/>
    </row>
    <row r="72" spans="1:22" s="1375" customFormat="1" hidden="1" outlineLevel="1">
      <c r="B72" s="1376" t="str">
        <f>B6</f>
        <v>терем</v>
      </c>
      <c r="C72" s="1377">
        <f>C6</f>
        <v>0.39</v>
      </c>
      <c r="D72" s="1378" t="e">
        <f>D6</f>
        <v>#REF!</v>
      </c>
      <c r="E72" s="1378"/>
      <c r="F72" s="1378">
        <f>F6</f>
        <v>0</v>
      </c>
      <c r="G72" s="1379"/>
      <c r="H72" s="1380"/>
      <c r="I72" s="1381" t="str">
        <f>I6</f>
        <v>Фрамир</v>
      </c>
      <c r="J72" s="1383">
        <f>J6</f>
        <v>0</v>
      </c>
      <c r="K72" s="1381"/>
      <c r="L72" s="1384" t="str">
        <f>L6</f>
        <v>дариано</v>
      </c>
      <c r="M72" s="1386">
        <f>M6</f>
        <v>0</v>
      </c>
      <c r="N72" s="1384"/>
      <c r="O72" s="1387" t="str">
        <f>O6</f>
        <v>рада</v>
      </c>
      <c r="P72" s="1389">
        <f>P6</f>
        <v>0</v>
      </c>
      <c r="Q72" s="1387"/>
      <c r="R72" s="1449"/>
      <c r="S72" s="1457"/>
      <c r="T72" s="22"/>
      <c r="U72" s="39"/>
      <c r="V72" s="22"/>
    </row>
    <row r="73" spans="1:22" s="1305" customFormat="1" ht="24.75" hidden="1" outlineLevel="1">
      <c r="A73" s="1352" t="s">
        <v>1972</v>
      </c>
      <c r="B73" s="1306" t="s">
        <v>1616</v>
      </c>
      <c r="C73" s="1306" t="s">
        <v>2136</v>
      </c>
      <c r="D73" s="1306" t="s">
        <v>2135</v>
      </c>
      <c r="E73" s="1306" t="s">
        <v>2137</v>
      </c>
      <c r="F73" s="1306" t="s">
        <v>2134</v>
      </c>
      <c r="G73" s="1306" t="s">
        <v>2139</v>
      </c>
      <c r="H73" s="1306" t="s">
        <v>2138</v>
      </c>
      <c r="I73" s="1318" t="s">
        <v>1616</v>
      </c>
      <c r="J73" s="1318" t="s">
        <v>1618</v>
      </c>
      <c r="K73" s="1318" t="s">
        <v>1691</v>
      </c>
      <c r="L73" s="1308" t="s">
        <v>1616</v>
      </c>
      <c r="M73" s="1308" t="s">
        <v>1618</v>
      </c>
      <c r="N73" s="1308" t="s">
        <v>1620</v>
      </c>
      <c r="O73" s="1307" t="s">
        <v>1616</v>
      </c>
      <c r="P73" s="1307" t="s">
        <v>1618</v>
      </c>
      <c r="Q73" s="1307" t="s">
        <v>1620</v>
      </c>
      <c r="R73" s="1450"/>
      <c r="S73" s="24"/>
      <c r="T73" s="589"/>
      <c r="U73" s="39"/>
      <c r="V73" s="589"/>
    </row>
    <row r="74" spans="1:22" s="33" customFormat="1" ht="45" hidden="1" outlineLevel="1">
      <c r="A74" s="1446">
        <f>К_ясень!F75</f>
        <v>2500</v>
      </c>
      <c r="B74" s="1293" t="s">
        <v>1673</v>
      </c>
      <c r="C74" s="1304" t="e">
        <f>D74*(1-$C$72)</f>
        <v>#REF!</v>
      </c>
      <c r="D74" s="1340" t="e">
        <f>Погонаж!#REF!</f>
        <v>#REF!</v>
      </c>
      <c r="E74" s="1304" t="e">
        <f>F74*(1-$C$72)</f>
        <v>#REF!</v>
      </c>
      <c r="F74" s="1301" t="e">
        <f t="shared" ref="F74:F79" si="21">D74+G74</f>
        <v>#REF!</v>
      </c>
      <c r="G74" s="1365"/>
      <c r="H74" s="1366" t="e">
        <f>F74/D74-1</f>
        <v>#REF!</v>
      </c>
      <c r="I74" s="1335"/>
      <c r="J74" s="1321"/>
      <c r="K74" s="1322"/>
      <c r="L74" s="1334" t="s">
        <v>1708</v>
      </c>
      <c r="M74" s="1296">
        <v>1550</v>
      </c>
      <c r="N74" s="1297" t="e">
        <f>F74/M74-1</f>
        <v>#REF!</v>
      </c>
      <c r="O74" s="1333" t="s">
        <v>2112</v>
      </c>
      <c r="P74" s="1299">
        <v>2060</v>
      </c>
      <c r="Q74" s="1300" t="e">
        <f>F74/P74-1</f>
        <v>#REF!</v>
      </c>
      <c r="R74" s="1451"/>
      <c r="S74" s="1455"/>
      <c r="T74" s="589"/>
      <c r="U74" s="39"/>
      <c r="V74" s="589"/>
    </row>
    <row r="75" spans="1:22" s="33" customFormat="1" ht="22.5" hidden="1" outlineLevel="1">
      <c r="A75" s="1446">
        <f>К_ясень!F76</f>
        <v>1400</v>
      </c>
      <c r="B75" s="1293" t="s">
        <v>1709</v>
      </c>
      <c r="C75" s="1304" t="e">
        <f>D75*(1-$C$72)</f>
        <v>#REF!</v>
      </c>
      <c r="D75" s="1340" t="e">
        <f>Погонаж!#REF!</f>
        <v>#REF!</v>
      </c>
      <c r="E75" s="1304" t="e">
        <f>F75*(1-$C$72)</f>
        <v>#REF!</v>
      </c>
      <c r="F75" s="1301" t="e">
        <f t="shared" si="21"/>
        <v>#REF!</v>
      </c>
      <c r="G75" s="1365"/>
      <c r="H75" s="1366" t="e">
        <f t="shared" ref="H75:H90" si="22">F75/D75-1</f>
        <v>#REF!</v>
      </c>
      <c r="I75" s="1335"/>
      <c r="J75" s="1321"/>
      <c r="K75" s="1322"/>
      <c r="L75" s="1334" t="s">
        <v>1677</v>
      </c>
      <c r="M75" s="1296">
        <v>1040</v>
      </c>
      <c r="N75" s="1297" t="e">
        <f>F75/M75-1</f>
        <v>#REF!</v>
      </c>
      <c r="O75" s="1333" t="s">
        <v>2029</v>
      </c>
      <c r="P75" s="1299">
        <v>1280</v>
      </c>
      <c r="Q75" s="1300" t="e">
        <f>F75/P75-1</f>
        <v>#REF!</v>
      </c>
      <c r="R75" s="1451"/>
      <c r="S75" s="1455"/>
      <c r="T75" s="589"/>
      <c r="U75" s="39"/>
      <c r="V75" s="589"/>
    </row>
    <row r="76" spans="1:22" s="33" customFormat="1" ht="22.5" hidden="1" outlineLevel="1">
      <c r="A76" s="1446">
        <f>К_ясень!F77</f>
        <v>1600</v>
      </c>
      <c r="B76" s="1293" t="s">
        <v>1710</v>
      </c>
      <c r="C76" s="1304" t="e">
        <f>D76*(1-$C$72)</f>
        <v>#REF!</v>
      </c>
      <c r="D76" s="1340" t="e">
        <f>Погонаж!#REF!</f>
        <v>#REF!</v>
      </c>
      <c r="E76" s="1304" t="e">
        <f>F76*(1-$C$72)</f>
        <v>#REF!</v>
      </c>
      <c r="F76" s="1301" t="e">
        <f t="shared" si="21"/>
        <v>#REF!</v>
      </c>
      <c r="G76" s="1365"/>
      <c r="H76" s="1366" t="e">
        <f t="shared" si="22"/>
        <v>#REF!</v>
      </c>
      <c r="I76" s="1335"/>
      <c r="J76" s="1321"/>
      <c r="K76" s="1322"/>
      <c r="L76" s="1334"/>
      <c r="M76" s="1296"/>
      <c r="N76" s="1297"/>
      <c r="O76" s="1333" t="s">
        <v>2113</v>
      </c>
      <c r="P76" s="1299">
        <v>1580</v>
      </c>
      <c r="Q76" s="1300" t="e">
        <f>F76/P76-1</f>
        <v>#REF!</v>
      </c>
      <c r="R76" s="1451"/>
      <c r="S76" s="1455"/>
      <c r="T76" s="589"/>
      <c r="U76" s="39"/>
      <c r="V76" s="589"/>
    </row>
    <row r="77" spans="1:22" s="37" customFormat="1" ht="22.5" hidden="1" outlineLevel="1">
      <c r="A77" s="1446">
        <f>К_ясень!F78</f>
        <v>2450</v>
      </c>
      <c r="B77" s="1293" t="s">
        <v>2114</v>
      </c>
      <c r="C77" s="1304" t="e">
        <f>D77*(1-$C$72)</f>
        <v>#REF!</v>
      </c>
      <c r="D77" s="1340" t="e">
        <f>Погонаж!#REF!</f>
        <v>#REF!</v>
      </c>
      <c r="E77" s="1304" t="e">
        <f>F77*(1-$C$72)</f>
        <v>#REF!</v>
      </c>
      <c r="F77" s="1301" t="e">
        <f t="shared" si="21"/>
        <v>#REF!</v>
      </c>
      <c r="G77" s="1365"/>
      <c r="H77" s="1366" t="e">
        <f t="shared" si="22"/>
        <v>#REF!</v>
      </c>
      <c r="I77" s="1335"/>
      <c r="J77" s="1321"/>
      <c r="K77" s="1322"/>
      <c r="L77" s="1334" t="s">
        <v>2142</v>
      </c>
      <c r="M77" s="1296">
        <v>1680</v>
      </c>
      <c r="N77" s="1297" t="e">
        <f>F77/M77-1</f>
        <v>#REF!</v>
      </c>
      <c r="O77" s="1333" t="s">
        <v>2035</v>
      </c>
      <c r="P77" s="1299">
        <v>1450</v>
      </c>
      <c r="Q77" s="1300" t="e">
        <f>F77/P77-1</f>
        <v>#REF!</v>
      </c>
      <c r="R77" s="1451"/>
      <c r="S77" s="1455"/>
      <c r="T77" s="589"/>
      <c r="U77" s="39"/>
      <c r="V77" s="589"/>
    </row>
    <row r="78" spans="1:22" s="37" customFormat="1" hidden="1" outlineLevel="1">
      <c r="A78" s="1446">
        <f>К_ясень!F79</f>
        <v>0</v>
      </c>
      <c r="B78" s="1293"/>
      <c r="C78" s="1304"/>
      <c r="D78" s="1340"/>
      <c r="E78" s="1304"/>
      <c r="F78" s="1301"/>
      <c r="G78" s="1365"/>
      <c r="H78" s="1366"/>
      <c r="I78" s="1335"/>
      <c r="J78" s="1321"/>
      <c r="K78" s="1322"/>
      <c r="L78" s="1334"/>
      <c r="M78" s="1296"/>
      <c r="N78" s="1297"/>
      <c r="O78" s="1333"/>
      <c r="P78" s="1299">
        <v>0</v>
      </c>
      <c r="Q78" s="1300"/>
      <c r="R78" s="1451"/>
      <c r="S78" s="1455"/>
      <c r="T78" s="589"/>
      <c r="U78" s="39"/>
      <c r="V78" s="589"/>
    </row>
    <row r="79" spans="1:22" s="33" customFormat="1" ht="23.25" hidden="1" outlineLevel="1" thickBot="1">
      <c r="A79" s="1446">
        <f>К_ясень!F80</f>
        <v>1400</v>
      </c>
      <c r="B79" s="1410" t="s">
        <v>1678</v>
      </c>
      <c r="C79" s="1411" t="e">
        <f t="shared" ref="C79:C90" si="23">D79*(1-$C$72)</f>
        <v>#REF!</v>
      </c>
      <c r="D79" s="1412" t="e">
        <f>Погонаж!#REF!</f>
        <v>#REF!</v>
      </c>
      <c r="E79" s="1411" t="e">
        <f>F79*(1-$C$72)</f>
        <v>#REF!</v>
      </c>
      <c r="F79" s="1413" t="e">
        <f t="shared" si="21"/>
        <v>#REF!</v>
      </c>
      <c r="G79" s="1414"/>
      <c r="H79" s="1415" t="e">
        <f t="shared" si="22"/>
        <v>#REF!</v>
      </c>
      <c r="I79" s="1416"/>
      <c r="J79" s="1418"/>
      <c r="K79" s="1419"/>
      <c r="L79" s="1420" t="s">
        <v>1680</v>
      </c>
      <c r="M79" s="1422">
        <v>960</v>
      </c>
      <c r="N79" s="1423" t="e">
        <f>F79/M79-1</f>
        <v>#REF!</v>
      </c>
      <c r="O79" s="1424" t="s">
        <v>2036</v>
      </c>
      <c r="P79" s="1428">
        <v>1350</v>
      </c>
      <c r="Q79" s="1427" t="e">
        <f>F79/P79-1</f>
        <v>#REF!</v>
      </c>
      <c r="R79" s="1451"/>
      <c r="S79" s="1455"/>
      <c r="T79" s="589"/>
      <c r="U79" s="39"/>
      <c r="V79" s="589"/>
    </row>
    <row r="80" spans="1:22" s="33" customFormat="1" ht="15.75" hidden="1" outlineLevel="1" thickTop="1">
      <c r="A80" s="1446">
        <f>К_ясень!F81</f>
        <v>2500</v>
      </c>
      <c r="B80" s="1393" t="s">
        <v>1681</v>
      </c>
      <c r="C80" s="1394" t="e">
        <f t="shared" si="23"/>
        <v>#REF!</v>
      </c>
      <c r="D80" s="1395" t="e">
        <f>Погонаж!#REF!</f>
        <v>#REF!</v>
      </c>
      <c r="E80" s="1395" t="e">
        <f t="shared" ref="E80:E90" si="24">F80*(1-$C$72)</f>
        <v>#REF!</v>
      </c>
      <c r="F80" s="1392" t="e">
        <f>D80+G80</f>
        <v>#REF!</v>
      </c>
      <c r="G80" s="1396"/>
      <c r="H80" s="1397" t="e">
        <f t="shared" si="22"/>
        <v>#REF!</v>
      </c>
      <c r="I80" s="1398"/>
      <c r="J80" s="1400"/>
      <c r="K80" s="1401"/>
      <c r="L80" s="1402" t="s">
        <v>1683</v>
      </c>
      <c r="M80" s="1404"/>
      <c r="N80" s="1405"/>
      <c r="O80" s="1406" t="s">
        <v>2031</v>
      </c>
      <c r="P80" s="1303">
        <v>2080</v>
      </c>
      <c r="Q80" s="1409" t="e">
        <f>F80/P80-1</f>
        <v>#REF!</v>
      </c>
      <c r="R80" s="1451"/>
      <c r="S80" s="1455"/>
      <c r="T80" s="589"/>
      <c r="U80" s="39"/>
      <c r="V80" s="589"/>
    </row>
    <row r="81" spans="1:22" s="33" customFormat="1" hidden="1" outlineLevel="1">
      <c r="A81" s="1446">
        <f>К_ясень!F82</f>
        <v>1500</v>
      </c>
      <c r="B81" s="1293" t="s">
        <v>1684</v>
      </c>
      <c r="C81" s="1304" t="e">
        <f t="shared" si="23"/>
        <v>#REF!</v>
      </c>
      <c r="D81" s="1340" t="e">
        <f>Погонаж!#REF!</f>
        <v>#REF!</v>
      </c>
      <c r="E81" s="1340" t="e">
        <f t="shared" si="24"/>
        <v>#REF!</v>
      </c>
      <c r="F81" s="1301" t="e">
        <f t="shared" ref="F81:F90" si="25">D81+G81</f>
        <v>#REF!</v>
      </c>
      <c r="G81" s="1365"/>
      <c r="H81" s="1366" t="e">
        <f t="shared" si="22"/>
        <v>#REF!</v>
      </c>
      <c r="I81" s="1335"/>
      <c r="J81" s="1321"/>
      <c r="K81" s="1322"/>
      <c r="L81" s="1334" t="s">
        <v>1686</v>
      </c>
      <c r="M81" s="1296"/>
      <c r="N81" s="1297"/>
      <c r="O81" s="1333" t="s">
        <v>2030</v>
      </c>
      <c r="P81" s="1299">
        <v>1200</v>
      </c>
      <c r="Q81" s="1300" t="e">
        <f>F81/P81-1</f>
        <v>#REF!</v>
      </c>
      <c r="R81" s="1451"/>
      <c r="S81" s="1455"/>
      <c r="T81" s="589"/>
      <c r="U81" s="39"/>
      <c r="V81" s="589"/>
    </row>
    <row r="82" spans="1:22" s="33" customFormat="1" ht="22.5" hidden="1" outlineLevel="1">
      <c r="A82" s="1446">
        <f>К_ясень!F83</f>
        <v>2750</v>
      </c>
      <c r="B82" s="1293" t="s">
        <v>1687</v>
      </c>
      <c r="C82" s="1304" t="e">
        <f t="shared" si="23"/>
        <v>#REF!</v>
      </c>
      <c r="D82" s="1340" t="e">
        <f>Погонаж!#REF!</f>
        <v>#REF!</v>
      </c>
      <c r="E82" s="1340" t="e">
        <f t="shared" si="24"/>
        <v>#REF!</v>
      </c>
      <c r="F82" s="1301" t="e">
        <f>D82+G82</f>
        <v>#REF!</v>
      </c>
      <c r="G82" s="1365"/>
      <c r="H82" s="1366" t="e">
        <f t="shared" si="22"/>
        <v>#REF!</v>
      </c>
      <c r="I82" s="1335"/>
      <c r="J82" s="1321"/>
      <c r="K82" s="1322"/>
      <c r="L82" s="1334"/>
      <c r="M82" s="1296"/>
      <c r="N82" s="1297"/>
      <c r="O82" s="1333" t="s">
        <v>2170</v>
      </c>
      <c r="P82" s="1299">
        <v>2220</v>
      </c>
      <c r="Q82" s="1300" t="e">
        <f>F82/P82-1</f>
        <v>#REF!</v>
      </c>
      <c r="R82" s="1451"/>
      <c r="S82" s="1455"/>
      <c r="T82" s="589"/>
      <c r="U82" s="39"/>
      <c r="V82" s="589"/>
    </row>
    <row r="83" spans="1:22" s="33" customFormat="1" ht="15.75" hidden="1" outlineLevel="1" thickBot="1">
      <c r="A83" s="1446">
        <f>К_ясень!F84</f>
        <v>1500</v>
      </c>
      <c r="B83" s="1410" t="s">
        <v>1689</v>
      </c>
      <c r="C83" s="1411" t="e">
        <f t="shared" si="23"/>
        <v>#REF!</v>
      </c>
      <c r="D83" s="1412" t="e">
        <f>Погонаж!#REF!</f>
        <v>#REF!</v>
      </c>
      <c r="E83" s="1412" t="e">
        <f t="shared" si="24"/>
        <v>#REF!</v>
      </c>
      <c r="F83" s="1413" t="e">
        <f t="shared" si="25"/>
        <v>#REF!</v>
      </c>
      <c r="G83" s="1414"/>
      <c r="H83" s="1415" t="e">
        <f t="shared" si="22"/>
        <v>#REF!</v>
      </c>
      <c r="I83" s="1416"/>
      <c r="J83" s="1418"/>
      <c r="K83" s="1419"/>
      <c r="L83" s="1420"/>
      <c r="M83" s="1422"/>
      <c r="N83" s="1423"/>
      <c r="O83" s="1424"/>
      <c r="P83" s="1428">
        <v>0</v>
      </c>
      <c r="Q83" s="1427"/>
      <c r="R83" s="1451"/>
      <c r="S83" s="1455"/>
      <c r="T83" s="589"/>
      <c r="U83" s="39"/>
      <c r="V83" s="589"/>
    </row>
    <row r="84" spans="1:22" ht="34.5" hidden="1" outlineLevel="1" thickTop="1">
      <c r="A84" s="1446">
        <f>К_ясень!F85</f>
        <v>1200</v>
      </c>
      <c r="B84" s="1293" t="s">
        <v>2117</v>
      </c>
      <c r="C84" s="1294" t="e">
        <f t="shared" si="23"/>
        <v>#REF!</v>
      </c>
      <c r="D84" s="1340" t="e">
        <f>Плинтусы!#REF!</f>
        <v>#REF!</v>
      </c>
      <c r="E84" s="1340" t="e">
        <f t="shared" si="24"/>
        <v>#REF!</v>
      </c>
      <c r="F84" s="1301" t="e">
        <f t="shared" si="25"/>
        <v>#REF!</v>
      </c>
      <c r="G84" s="1365"/>
      <c r="H84" s="1366" t="e">
        <f t="shared" si="22"/>
        <v>#REF!</v>
      </c>
      <c r="I84" s="1335"/>
      <c r="J84" s="1321"/>
      <c r="K84" s="1322"/>
      <c r="L84" s="1334" t="s">
        <v>2143</v>
      </c>
      <c r="M84" s="1296">
        <v>990</v>
      </c>
      <c r="N84" s="1297" t="e">
        <f>F84/M84-1</f>
        <v>#REF!</v>
      </c>
      <c r="O84" s="1333" t="s">
        <v>2115</v>
      </c>
      <c r="P84" s="1299">
        <v>1250</v>
      </c>
      <c r="Q84" s="1300" t="e">
        <f>F84/P84-1</f>
        <v>#REF!</v>
      </c>
      <c r="S84" s="1455"/>
      <c r="U84" s="39"/>
    </row>
    <row r="85" spans="1:22" ht="22.5" hidden="1" outlineLevel="1">
      <c r="A85" s="1446">
        <f>К_ясень!F86</f>
        <v>1550</v>
      </c>
      <c r="B85" s="1293" t="s">
        <v>2118</v>
      </c>
      <c r="C85" s="1294" t="e">
        <f t="shared" si="23"/>
        <v>#REF!</v>
      </c>
      <c r="D85" s="1340" t="e">
        <f>Плинтусы!#REF!</f>
        <v>#REF!</v>
      </c>
      <c r="E85" s="1340" t="e">
        <f t="shared" si="24"/>
        <v>#REF!</v>
      </c>
      <c r="F85" s="1301" t="e">
        <f t="shared" si="25"/>
        <v>#REF!</v>
      </c>
      <c r="G85" s="1365"/>
      <c r="H85" s="1366" t="e">
        <f t="shared" si="22"/>
        <v>#REF!</v>
      </c>
      <c r="I85" s="1335"/>
      <c r="J85" s="1321"/>
      <c r="K85" s="1322"/>
      <c r="L85" s="1334"/>
      <c r="M85" s="1296"/>
      <c r="N85" s="1297"/>
      <c r="O85" s="1333" t="s">
        <v>2116</v>
      </c>
      <c r="P85" s="1299">
        <v>1400</v>
      </c>
      <c r="Q85" s="1300" t="e">
        <f>F85/P85-1</f>
        <v>#REF!</v>
      </c>
      <c r="S85" s="1455"/>
      <c r="U85" s="39"/>
    </row>
    <row r="86" spans="1:22" ht="25.9" hidden="1" customHeight="1" outlineLevel="1">
      <c r="A86" s="1446">
        <f>К_ясень!F87</f>
        <v>1150</v>
      </c>
      <c r="B86" s="1293" t="s">
        <v>2119</v>
      </c>
      <c r="C86" s="1294" t="e">
        <f t="shared" si="23"/>
        <v>#REF!</v>
      </c>
      <c r="D86" s="1340" t="e">
        <f>Стык.элементы!#REF!</f>
        <v>#REF!</v>
      </c>
      <c r="E86" s="1340" t="e">
        <f t="shared" si="24"/>
        <v>#REF!</v>
      </c>
      <c r="F86" s="1301" t="e">
        <f t="shared" si="25"/>
        <v>#REF!</v>
      </c>
      <c r="G86" s="1365"/>
      <c r="H86" s="1366" t="e">
        <f t="shared" si="22"/>
        <v>#REF!</v>
      </c>
      <c r="I86" s="1368"/>
      <c r="J86" s="1315"/>
      <c r="K86" s="1315"/>
      <c r="L86" s="1369"/>
      <c r="M86" s="1266"/>
      <c r="N86" s="1266"/>
      <c r="O86" s="1370"/>
      <c r="P86" s="1273">
        <v>0</v>
      </c>
      <c r="Q86" s="1273"/>
      <c r="S86" s="1455"/>
      <c r="U86" s="39"/>
    </row>
    <row r="87" spans="1:22" ht="25.9" hidden="1" customHeight="1" outlineLevel="1">
      <c r="A87" s="1446">
        <f>К_ясень!F88</f>
        <v>1550</v>
      </c>
      <c r="B87" s="1293" t="s">
        <v>2120</v>
      </c>
      <c r="C87" s="1294" t="e">
        <f t="shared" si="23"/>
        <v>#REF!</v>
      </c>
      <c r="D87" s="1340" t="e">
        <f>Стык.элементы!#REF!</f>
        <v>#REF!</v>
      </c>
      <c r="E87" s="1340" t="e">
        <f t="shared" si="24"/>
        <v>#REF!</v>
      </c>
      <c r="F87" s="1301" t="e">
        <f t="shared" si="25"/>
        <v>#REF!</v>
      </c>
      <c r="G87" s="1365"/>
      <c r="H87" s="1366" t="e">
        <f t="shared" si="22"/>
        <v>#REF!</v>
      </c>
      <c r="I87" s="1368"/>
      <c r="J87" s="1315"/>
      <c r="K87" s="1315"/>
      <c r="L87" s="1369"/>
      <c r="M87" s="1266"/>
      <c r="N87" s="1266"/>
      <c r="O87" s="1370"/>
      <c r="P87" s="1273">
        <v>0</v>
      </c>
      <c r="Q87" s="1273"/>
      <c r="S87" s="1455"/>
      <c r="U87" s="39"/>
    </row>
    <row r="88" spans="1:22" ht="20.45" hidden="1" customHeight="1" outlineLevel="1">
      <c r="A88" s="1446">
        <f>К_ясень!F89</f>
        <v>10350</v>
      </c>
      <c r="B88" s="1293" t="s">
        <v>2123</v>
      </c>
      <c r="C88" s="1294" t="e">
        <f t="shared" si="23"/>
        <v>#REF!</v>
      </c>
      <c r="D88" s="1340" t="e">
        <f>Порталы!#REF!</f>
        <v>#REF!</v>
      </c>
      <c r="E88" s="1340" t="e">
        <f t="shared" si="24"/>
        <v>#REF!</v>
      </c>
      <c r="F88" s="1301" t="e">
        <f t="shared" si="25"/>
        <v>#REF!</v>
      </c>
      <c r="G88" s="1365"/>
      <c r="H88" s="1366" t="e">
        <f t="shared" si="22"/>
        <v>#REF!</v>
      </c>
      <c r="I88" s="1368"/>
      <c r="J88" s="1315"/>
      <c r="K88" s="1315"/>
      <c r="L88" s="1369" t="s">
        <v>2147</v>
      </c>
      <c r="M88" s="1266">
        <v>10080</v>
      </c>
      <c r="N88" s="1297" t="e">
        <f>F88/M88-1</f>
        <v>#REF!</v>
      </c>
      <c r="O88" s="1371" t="s">
        <v>2144</v>
      </c>
      <c r="P88" s="1299">
        <v>8750</v>
      </c>
      <c r="Q88" s="1300" t="e">
        <f>F88/P88-1</f>
        <v>#REF!</v>
      </c>
      <c r="S88" s="1455"/>
      <c r="U88" s="39"/>
    </row>
    <row r="89" spans="1:22" hidden="1" outlineLevel="1">
      <c r="A89" s="1446">
        <f>К_ясень!F90</f>
        <v>5350</v>
      </c>
      <c r="B89" s="1293" t="s">
        <v>2129</v>
      </c>
      <c r="C89" s="1294" t="e">
        <f t="shared" si="23"/>
        <v>#REF!</v>
      </c>
      <c r="D89" s="1277" t="e">
        <f>Порталы!#REF!</f>
        <v>#REF!</v>
      </c>
      <c r="E89" s="1340" t="e">
        <f t="shared" si="24"/>
        <v>#REF!</v>
      </c>
      <c r="F89" s="1301" t="e">
        <f t="shared" si="25"/>
        <v>#REF!</v>
      </c>
      <c r="G89" s="1365"/>
      <c r="H89" s="1366" t="e">
        <f t="shared" si="22"/>
        <v>#REF!</v>
      </c>
      <c r="I89" s="1368"/>
      <c r="J89" s="1315"/>
      <c r="K89" s="1315"/>
      <c r="L89" s="1369"/>
      <c r="M89" s="1266"/>
      <c r="N89" s="1266"/>
      <c r="O89" s="1370"/>
      <c r="P89" s="1273">
        <v>0</v>
      </c>
      <c r="Q89" s="1273"/>
      <c r="S89" s="1455"/>
      <c r="U89" s="39"/>
    </row>
    <row r="90" spans="1:22" ht="56.25" hidden="1" outlineLevel="1">
      <c r="A90" s="1446">
        <f>К_ясень!F91</f>
        <v>3900</v>
      </c>
      <c r="B90" s="1293" t="s">
        <v>2145</v>
      </c>
      <c r="C90" s="1294" t="e">
        <f t="shared" si="23"/>
        <v>#REF!</v>
      </c>
      <c r="D90" s="1340" t="e">
        <f>Рейки!#REF!</f>
        <v>#REF!</v>
      </c>
      <c r="E90" s="1340" t="e">
        <f t="shared" si="24"/>
        <v>#REF!</v>
      </c>
      <c r="F90" s="1301" t="e">
        <f t="shared" si="25"/>
        <v>#REF!</v>
      </c>
      <c r="G90" s="1365"/>
      <c r="H90" s="1366" t="e">
        <f t="shared" si="22"/>
        <v>#REF!</v>
      </c>
      <c r="I90" s="1335"/>
      <c r="J90" s="1321"/>
      <c r="K90" s="1322"/>
      <c r="L90" s="1334" t="s">
        <v>2146</v>
      </c>
      <c r="M90" s="1296">
        <v>2210</v>
      </c>
      <c r="N90" s="1297" t="e">
        <f>F90/M90-1</f>
        <v>#REF!</v>
      </c>
      <c r="O90" s="1333"/>
      <c r="P90" s="1299">
        <v>0</v>
      </c>
      <c r="Q90" s="1300"/>
      <c r="S90" s="1455"/>
      <c r="U90" s="39"/>
    </row>
    <row r="91" spans="1:22" hidden="1" outlineLevel="1">
      <c r="U91" s="39"/>
    </row>
    <row r="92" spans="1:22" hidden="1" collapsed="1">
      <c r="U92" s="39"/>
    </row>
    <row r="93" spans="1:22" hidden="1">
      <c r="U93" s="39"/>
    </row>
  </sheetData>
  <sheetProtection password="E910" sheet="1" objects="1" scenarios="1" formatCells="0" formatColumns="0" formatRows="0" insertColumns="0" insertRows="0" insertHyperlinks="0" deleteColumns="0" deleteRows="0" sort="0" autoFilter="0" pivotTables="0"/>
  <mergeCells count="8">
    <mergeCell ref="K53:L53"/>
    <mergeCell ref="A55:A60"/>
    <mergeCell ref="A61:A63"/>
    <mergeCell ref="A66:A68"/>
    <mergeCell ref="B53:C53"/>
    <mergeCell ref="D53:E53"/>
    <mergeCell ref="F53:G53"/>
    <mergeCell ref="H53:I53"/>
  </mergeCells>
  <conditionalFormatting sqref="K90 K5:M5 N31:N48 Q31:Q49 Q8:Q26 K31:K49 K8:K26 N8:N26">
    <cfRule type="cellIs" dxfId="227" priority="28" operator="greaterThan">
      <formula>0</formula>
    </cfRule>
  </conditionalFormatting>
  <conditionalFormatting sqref="Q88">
    <cfRule type="cellIs" dxfId="226" priority="30" operator="greaterThan">
      <formula>0</formula>
    </cfRule>
  </conditionalFormatting>
  <conditionalFormatting sqref="N84">
    <cfRule type="cellIs" dxfId="225" priority="29" operator="greaterThan">
      <formula>0</formula>
    </cfRule>
  </conditionalFormatting>
  <conditionalFormatting sqref="Q70:Q71">
    <cfRule type="cellIs" dxfId="224" priority="22" operator="greaterThan">
      <formula>0</formula>
    </cfRule>
  </conditionalFormatting>
  <conditionalFormatting sqref="N70:N71">
    <cfRule type="cellIs" dxfId="223" priority="20" operator="greaterThan">
      <formula>0</formula>
    </cfRule>
  </conditionalFormatting>
  <conditionalFormatting sqref="K3 N86:N87 K91:K1048576 K77:K89 Q77:Q81 N80:N83 Q83:Q87">
    <cfRule type="cellIs" dxfId="222" priority="51" operator="greaterThan">
      <formula>0</formula>
    </cfRule>
  </conditionalFormatting>
  <conditionalFormatting sqref="K72">
    <cfRule type="cellIs" dxfId="221" priority="48" operator="greaterThan">
      <formula>0</formula>
    </cfRule>
  </conditionalFormatting>
  <conditionalFormatting sqref="K6">
    <cfRule type="cellIs" dxfId="220" priority="50" operator="greaterThan">
      <formula>0</formula>
    </cfRule>
  </conditionalFormatting>
  <conditionalFormatting sqref="K29">
    <cfRule type="cellIs" dxfId="219" priority="49" operator="greaterThan">
      <formula>0</formula>
    </cfRule>
  </conditionalFormatting>
  <conditionalFormatting sqref="K74:K76">
    <cfRule type="cellIs" dxfId="218" priority="46" operator="greaterThan">
      <formula>0</formula>
    </cfRule>
  </conditionalFormatting>
  <conditionalFormatting sqref="N72">
    <cfRule type="cellIs" dxfId="217" priority="42" operator="greaterThan">
      <formula>0</formula>
    </cfRule>
  </conditionalFormatting>
  <conditionalFormatting sqref="N74:N79">
    <cfRule type="cellIs" dxfId="216" priority="40" operator="greaterThan">
      <formula>0</formula>
    </cfRule>
  </conditionalFormatting>
  <conditionalFormatting sqref="N3 N89 N85 N91:N1048576">
    <cfRule type="cellIs" dxfId="215" priority="45" operator="greaterThan">
      <formula>0</formula>
    </cfRule>
  </conditionalFormatting>
  <conditionalFormatting sqref="N6">
    <cfRule type="cellIs" dxfId="214" priority="44" operator="greaterThan">
      <formula>0</formula>
    </cfRule>
  </conditionalFormatting>
  <conditionalFormatting sqref="N29">
    <cfRule type="cellIs" dxfId="213" priority="43" operator="greaterThan">
      <formula>0</formula>
    </cfRule>
  </conditionalFormatting>
  <conditionalFormatting sqref="Q3 Q89 Q91:Q1048576">
    <cfRule type="cellIs" dxfId="212" priority="39" operator="greaterThan">
      <formula>0</formula>
    </cfRule>
  </conditionalFormatting>
  <conditionalFormatting sqref="Q72">
    <cfRule type="cellIs" dxfId="211" priority="36" operator="greaterThan">
      <formula>0</formula>
    </cfRule>
  </conditionalFormatting>
  <conditionalFormatting sqref="Q6">
    <cfRule type="cellIs" dxfId="210" priority="38" operator="greaterThan">
      <formula>0</formula>
    </cfRule>
  </conditionalFormatting>
  <conditionalFormatting sqref="Q29">
    <cfRule type="cellIs" dxfId="209" priority="37" operator="greaterThan">
      <formula>0</formula>
    </cfRule>
  </conditionalFormatting>
  <conditionalFormatting sqref="Q74:Q76">
    <cfRule type="cellIs" dxfId="208" priority="35" operator="greaterThan">
      <formula>0</formula>
    </cfRule>
  </conditionalFormatting>
  <conditionalFormatting sqref="G1:G3 G91:G1048576 G74:G89 G72 G6 G31:G69 G8:G29">
    <cfRule type="cellIs" dxfId="207" priority="33" operator="greaterThan">
      <formula>0</formula>
    </cfRule>
    <cfRule type="cellIs" dxfId="206" priority="34" operator="lessThan">
      <formula>0</formula>
    </cfRule>
  </conditionalFormatting>
  <conditionalFormatting sqref="H1:H3 H74:H1048576 H72 H6 H31:H69 H8:H29">
    <cfRule type="cellIs" dxfId="205" priority="31" operator="lessThan">
      <formula>0</formula>
    </cfRule>
    <cfRule type="cellIs" dxfId="204" priority="32" operator="greaterThan">
      <formula>0</formula>
    </cfRule>
  </conditionalFormatting>
  <conditionalFormatting sqref="K70:K71">
    <cfRule type="cellIs" dxfId="203" priority="21" operator="greaterThan">
      <formula>0</formula>
    </cfRule>
  </conditionalFormatting>
  <conditionalFormatting sqref="N88">
    <cfRule type="cellIs" dxfId="202" priority="23" operator="greaterThan">
      <formula>0</formula>
    </cfRule>
  </conditionalFormatting>
  <conditionalFormatting sqref="Q90">
    <cfRule type="cellIs" dxfId="201" priority="27" operator="greaterThan">
      <formula>0</formula>
    </cfRule>
  </conditionalFormatting>
  <conditionalFormatting sqref="G90">
    <cfRule type="cellIs" dxfId="200" priority="25" operator="greaterThan">
      <formula>0</formula>
    </cfRule>
    <cfRule type="cellIs" dxfId="199" priority="26" operator="lessThan">
      <formula>0</formula>
    </cfRule>
  </conditionalFormatting>
  <conditionalFormatting sqref="N90">
    <cfRule type="cellIs" dxfId="198" priority="24" operator="greaterThan">
      <formula>0</formula>
    </cfRule>
  </conditionalFormatting>
  <conditionalFormatting sqref="G70:G71">
    <cfRule type="cellIs" dxfId="197" priority="18" operator="greaterThan">
      <formula>0</formula>
    </cfRule>
    <cfRule type="cellIs" dxfId="196" priority="19" operator="lessThan">
      <formula>0</formula>
    </cfRule>
  </conditionalFormatting>
  <conditionalFormatting sqref="H70:H71">
    <cfRule type="cellIs" dxfId="195" priority="16" operator="lessThan">
      <formula>0</formula>
    </cfRule>
    <cfRule type="cellIs" dxfId="194" priority="17" operator="greaterThan">
      <formula>0</formula>
    </cfRule>
  </conditionalFormatting>
  <conditionalFormatting sqref="Q82">
    <cfRule type="cellIs" dxfId="193" priority="15" operator="greaterThan">
      <formula>0</formula>
    </cfRule>
  </conditionalFormatting>
  <conditionalFormatting sqref="N49">
    <cfRule type="cellIs" dxfId="192" priority="14" operator="greaterThan">
      <formula>0</formula>
    </cfRule>
  </conditionalFormatting>
  <conditionalFormatting sqref="J4">
    <cfRule type="cellIs" dxfId="191" priority="1" operator="greaterThan">
      <formula>0</formula>
    </cfRule>
    <cfRule type="cellIs" dxfId="190" priority="2" operator="lessThan">
      <formula>0</formula>
    </cfRule>
  </conditionalFormatting>
  <conditionalFormatting sqref="H5">
    <cfRule type="cellIs" dxfId="189" priority="6" operator="greaterThan">
      <formula>0</formula>
    </cfRule>
    <cfRule type="cellIs" dxfId="188" priority="7" operator="lessThan">
      <formula>0</formula>
    </cfRule>
  </conditionalFormatting>
  <conditionalFormatting sqref="I5">
    <cfRule type="cellIs" dxfId="187" priority="4" operator="lessThan">
      <formula>0</formula>
    </cfRule>
    <cfRule type="cellIs" dxfId="186" priority="5" operator="greater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00B0F0"/>
  </sheetPr>
  <dimension ref="A1:Y94"/>
  <sheetViews>
    <sheetView zoomScale="90" zoomScaleNormal="90" workbookViewId="0">
      <selection activeCell="Q106" sqref="Q106"/>
    </sheetView>
  </sheetViews>
  <sheetFormatPr defaultColWidth="9.140625" defaultRowHeight="15" outlineLevelRow="1" outlineLevelCol="1"/>
  <cols>
    <col min="1" max="1" width="10" style="589" bestFit="1" customWidth="1"/>
    <col min="2" max="2" width="15.5703125" style="589" customWidth="1"/>
    <col min="3" max="3" width="10.140625" style="589" hidden="1" customWidth="1" outlineLevel="1"/>
    <col min="4" max="5" width="10.28515625" style="1277" hidden="1" customWidth="1" outlineLevel="1"/>
    <col min="6" max="6" width="10.28515625" style="1250" hidden="1" customWidth="1" collapsed="1"/>
    <col min="7" max="7" width="8.5703125" style="1353" hidden="1" customWidth="1"/>
    <col min="8" max="8" width="6.7109375" style="1354" hidden="1" customWidth="1"/>
    <col min="9" max="9" width="17" style="589" customWidth="1"/>
    <col min="10" max="10" width="8.5703125" style="589" hidden="1" customWidth="1" outlineLevel="1"/>
    <col min="11" max="11" width="10" style="1232" hidden="1" customWidth="1" outlineLevel="1"/>
    <col min="12" max="12" width="8.7109375" style="1232" hidden="1" customWidth="1" outlineLevel="1"/>
    <col min="13" max="13" width="14.28515625" style="589" customWidth="1" collapsed="1"/>
    <col min="14" max="14" width="8.5703125" style="589" hidden="1" customWidth="1" outlineLevel="1"/>
    <col min="15" max="15" width="10" style="1232" hidden="1" customWidth="1" outlineLevel="1"/>
    <col min="16" max="16" width="8.7109375" style="1232" hidden="1" customWidth="1" outlineLevel="1"/>
    <col min="17" max="17" width="19.140625" style="589" customWidth="1" collapsed="1"/>
    <col min="18" max="18" width="8.5703125" style="589" hidden="1" customWidth="1" outlineLevel="1"/>
    <col min="19" max="19" width="10" style="1232" hidden="1" customWidth="1" outlineLevel="1"/>
    <col min="20" max="20" width="8.7109375" style="1232" hidden="1" customWidth="1" outlineLevel="1"/>
    <col min="21" max="21" width="12.7109375" style="1451" bestFit="1" customWidth="1" collapsed="1"/>
    <col min="22" max="22" width="10" style="1454" bestFit="1" customWidth="1"/>
    <col min="23" max="16384" width="9.140625" style="589"/>
  </cols>
  <sheetData>
    <row r="1" spans="1:23">
      <c r="B1" s="73" t="s">
        <v>2152</v>
      </c>
    </row>
    <row r="2" spans="1:23">
      <c r="B2" s="1458">
        <v>0.08</v>
      </c>
      <c r="C2" s="589" t="s">
        <v>2161</v>
      </c>
    </row>
    <row r="3" spans="1:23">
      <c r="B3" s="22" t="s">
        <v>2131</v>
      </c>
      <c r="C3" s="22"/>
      <c r="D3" s="1336"/>
      <c r="E3" s="1336"/>
      <c r="F3" s="1324"/>
      <c r="G3" s="1354"/>
    </row>
    <row r="4" spans="1:23" s="1234" customFormat="1" hidden="1" outlineLevel="1">
      <c r="A4" s="589"/>
      <c r="B4" s="1235" t="s">
        <v>1610</v>
      </c>
      <c r="C4" s="1236">
        <v>0.39</v>
      </c>
      <c r="D4" s="1325">
        <f>D6/C6</f>
        <v>1.639344262295082</v>
      </c>
      <c r="E4" s="1325"/>
      <c r="F4" s="1325"/>
      <c r="G4" s="1355"/>
      <c r="H4" s="1356"/>
      <c r="I4" s="1309" t="s">
        <v>1611</v>
      </c>
      <c r="J4" s="1310">
        <v>0.36</v>
      </c>
      <c r="K4" s="1326" t="e">
        <f>K14/J14</f>
        <v>#DIV/0!</v>
      </c>
      <c r="L4" s="1311"/>
      <c r="M4" s="1261" t="s">
        <v>1612</v>
      </c>
      <c r="N4" s="1262">
        <v>0.4</v>
      </c>
      <c r="O4" s="1327" t="e">
        <f>O14/N14</f>
        <v>#DIV/0!</v>
      </c>
      <c r="P4" s="1263"/>
      <c r="Q4" s="1268" t="s">
        <v>1613</v>
      </c>
      <c r="R4" s="1269">
        <v>0.41</v>
      </c>
      <c r="S4" s="1328">
        <f>S6/R6</f>
        <v>1.6855468517836127</v>
      </c>
      <c r="T4" s="1290"/>
      <c r="U4" s="1447"/>
      <c r="V4" s="1346"/>
      <c r="W4" s="1323"/>
    </row>
    <row r="5" spans="1:23" s="39" customFormat="1" ht="33.75" hidden="1" outlineLevel="1">
      <c r="A5" s="1352" t="s">
        <v>2160</v>
      </c>
      <c r="B5" s="1306" t="s">
        <v>1616</v>
      </c>
      <c r="C5" s="1306" t="s">
        <v>2136</v>
      </c>
      <c r="D5" s="1306" t="s">
        <v>2135</v>
      </c>
      <c r="E5" s="1306" t="s">
        <v>2137</v>
      </c>
      <c r="F5" s="1306" t="s">
        <v>2134</v>
      </c>
      <c r="G5" s="1306" t="s">
        <v>2139</v>
      </c>
      <c r="H5" s="1306" t="s">
        <v>2138</v>
      </c>
      <c r="I5" s="1312" t="s">
        <v>1616</v>
      </c>
      <c r="J5" s="1312" t="s">
        <v>1383</v>
      </c>
      <c r="K5" s="1312" t="s">
        <v>1618</v>
      </c>
      <c r="L5" s="1312" t="s">
        <v>1691</v>
      </c>
      <c r="M5" s="1264" t="s">
        <v>1616</v>
      </c>
      <c r="N5" s="1264" t="s">
        <v>1383</v>
      </c>
      <c r="O5" s="1264" t="s">
        <v>1618</v>
      </c>
      <c r="P5" s="1264" t="s">
        <v>1691</v>
      </c>
      <c r="Q5" s="1270" t="s">
        <v>1616</v>
      </c>
      <c r="R5" s="1270" t="s">
        <v>1383</v>
      </c>
      <c r="S5" s="1270" t="s">
        <v>1618</v>
      </c>
      <c r="T5" s="1270" t="s">
        <v>1620</v>
      </c>
      <c r="U5" s="1448"/>
      <c r="V5" s="1347"/>
    </row>
    <row r="6" spans="1:23" hidden="1" outlineLevel="1">
      <c r="A6" s="1445">
        <f>К_дуб!F8</f>
        <v>36950</v>
      </c>
      <c r="B6" s="1243" t="str">
        <f>B40</f>
        <v>Rimini2</v>
      </c>
      <c r="C6" s="1257">
        <f t="shared" ref="C6:C34" si="0">C40+$C$73</f>
        <v>29295.25</v>
      </c>
      <c r="D6" s="1337">
        <f t="shared" ref="D6:D34" si="1">D40+$D$73</f>
        <v>48025</v>
      </c>
      <c r="E6" s="1257">
        <f t="shared" ref="E6:E34" si="2">E40+$E$73</f>
        <v>29295.25</v>
      </c>
      <c r="F6" s="1246">
        <f t="shared" ref="F6:F13" si="3">F40+$F$73</f>
        <v>48025</v>
      </c>
      <c r="G6" s="1357"/>
      <c r="H6" s="1358">
        <f>F6/D6-1</f>
        <v>0</v>
      </c>
      <c r="I6" s="1313"/>
      <c r="J6" s="1314"/>
      <c r="K6" s="1315"/>
      <c r="L6" s="1316"/>
      <c r="M6" s="1090"/>
      <c r="N6" s="1265"/>
      <c r="O6" s="1266"/>
      <c r="P6" s="1267"/>
      <c r="Q6" s="1271" t="str">
        <f>Q40</f>
        <v>CLASSIC/ ВАЛЕНСИЯ</v>
      </c>
      <c r="R6" s="1272">
        <f>R40+$R$73</f>
        <v>25238.100000000002</v>
      </c>
      <c r="S6" s="1273">
        <f>S40+$S$73</f>
        <v>42540</v>
      </c>
      <c r="T6" s="1274">
        <f t="shared" ref="T6:T13" si="4">F6/S6-1</f>
        <v>0.128937470615891</v>
      </c>
      <c r="V6" s="1455"/>
    </row>
    <row r="7" spans="1:23" hidden="1" outlineLevel="1">
      <c r="A7" s="1445">
        <f>К_дуб!F9</f>
        <v>37950</v>
      </c>
      <c r="B7" s="1243" t="str">
        <f>B41</f>
        <v>Rimini4</v>
      </c>
      <c r="C7" s="1257">
        <f t="shared" si="0"/>
        <v>29630.75</v>
      </c>
      <c r="D7" s="1337">
        <f t="shared" si="1"/>
        <v>48575</v>
      </c>
      <c r="E7" s="1257">
        <f t="shared" si="2"/>
        <v>29630.75</v>
      </c>
      <c r="F7" s="1246">
        <f t="shared" si="3"/>
        <v>48575</v>
      </c>
      <c r="G7" s="1357"/>
      <c r="H7" s="1358">
        <f t="shared" ref="H7:H34" si="5">F7/D7-1</f>
        <v>0</v>
      </c>
      <c r="I7" s="1313"/>
      <c r="J7" s="1314"/>
      <c r="K7" s="1315"/>
      <c r="L7" s="1316"/>
      <c r="M7" s="1090"/>
      <c r="N7" s="1265"/>
      <c r="O7" s="1266"/>
      <c r="P7" s="1267"/>
      <c r="Q7" s="1271" t="str">
        <f>Q41</f>
        <v>CLASSIC/ ПАЛЕРМО</v>
      </c>
      <c r="R7" s="1272">
        <f t="shared" ref="R7:R35" si="6">R41+$R$73</f>
        <v>25084.7</v>
      </c>
      <c r="S7" s="1273">
        <f t="shared" ref="S7:S35" si="7">S41+$S$73</f>
        <v>42280</v>
      </c>
      <c r="T7" s="1274">
        <f t="shared" si="4"/>
        <v>0.14888836329233679</v>
      </c>
      <c r="V7" s="1455"/>
    </row>
    <row r="8" spans="1:23" hidden="1" outlineLevel="1">
      <c r="A8" s="1445">
        <f>К_дуб!F10</f>
        <v>35950</v>
      </c>
      <c r="B8" s="1243" t="str">
        <f>B42</f>
        <v>Rimini1</v>
      </c>
      <c r="C8" s="1257">
        <f t="shared" si="0"/>
        <v>28868.25</v>
      </c>
      <c r="D8" s="1337">
        <f t="shared" si="1"/>
        <v>47325</v>
      </c>
      <c r="E8" s="1257">
        <f t="shared" si="2"/>
        <v>28868.25</v>
      </c>
      <c r="F8" s="1246">
        <f t="shared" si="3"/>
        <v>47325</v>
      </c>
      <c r="G8" s="1357"/>
      <c r="H8" s="1358">
        <f t="shared" si="5"/>
        <v>0</v>
      </c>
      <c r="I8" s="1313"/>
      <c r="J8" s="1314"/>
      <c r="K8" s="1315"/>
      <c r="L8" s="1316"/>
      <c r="M8" s="1090"/>
      <c r="N8" s="1265"/>
      <c r="O8" s="1266"/>
      <c r="P8" s="1267"/>
      <c r="Q8" s="1271" t="str">
        <f>Q42</f>
        <v>CLASSIC/ МИЛАН</v>
      </c>
      <c r="R8" s="1272">
        <f t="shared" si="6"/>
        <v>24500.600000000002</v>
      </c>
      <c r="S8" s="1273">
        <f t="shared" si="7"/>
        <v>41290</v>
      </c>
      <c r="T8" s="1274">
        <f t="shared" si="4"/>
        <v>0.14616129813514167</v>
      </c>
      <c r="V8" s="1455"/>
    </row>
    <row r="9" spans="1:23" hidden="1" outlineLevel="1">
      <c r="A9" s="1445">
        <f>К_дуб!F11</f>
        <v>38950</v>
      </c>
      <c r="B9" s="1243" t="str">
        <f t="shared" ref="B9:B20" si="8">B43</f>
        <v>Milan</v>
      </c>
      <c r="C9" s="1257">
        <f t="shared" si="0"/>
        <v>8768.75</v>
      </c>
      <c r="D9" s="1337">
        <f t="shared" si="1"/>
        <v>14375</v>
      </c>
      <c r="E9" s="1257">
        <f t="shared" si="2"/>
        <v>8768.75</v>
      </c>
      <c r="F9" s="1246">
        <f t="shared" si="3"/>
        <v>14375</v>
      </c>
      <c r="G9" s="1357"/>
      <c r="H9" s="1358">
        <f t="shared" si="5"/>
        <v>0</v>
      </c>
      <c r="I9" s="1313"/>
      <c r="J9" s="1314"/>
      <c r="K9" s="1315"/>
      <c r="L9" s="1316"/>
      <c r="M9" s="1090"/>
      <c r="N9" s="1265"/>
      <c r="O9" s="1266"/>
      <c r="P9" s="1267"/>
      <c r="Q9" s="1271" t="str">
        <f t="shared" ref="Q9:Q28" si="9">Q43</f>
        <v>CLASSIC/ ВЕРОНА</v>
      </c>
      <c r="R9" s="1272">
        <f t="shared" si="6"/>
        <v>23698.200000000004</v>
      </c>
      <c r="S9" s="1273">
        <f t="shared" si="7"/>
        <v>39930</v>
      </c>
      <c r="T9" s="1274">
        <f t="shared" si="4"/>
        <v>-0.63999499123466064</v>
      </c>
      <c r="V9" s="1455"/>
    </row>
    <row r="10" spans="1:23" hidden="1" outlineLevel="1">
      <c r="A10" s="1445">
        <f>К_дуб!F12</f>
        <v>43950</v>
      </c>
      <c r="B10" s="1243" t="str">
        <f t="shared" si="8"/>
        <v>Rosso7 ДГ</v>
      </c>
      <c r="C10" s="1257" t="e">
        <f t="shared" si="0"/>
        <v>#REF!</v>
      </c>
      <c r="D10" s="1337" t="e">
        <f t="shared" si="1"/>
        <v>#REF!</v>
      </c>
      <c r="E10" s="1257" t="e">
        <f t="shared" si="2"/>
        <v>#REF!</v>
      </c>
      <c r="F10" s="1246" t="e">
        <f t="shared" si="3"/>
        <v>#REF!</v>
      </c>
      <c r="G10" s="1357"/>
      <c r="H10" s="1358" t="e">
        <f t="shared" si="5"/>
        <v>#REF!</v>
      </c>
      <c r="I10" s="1313"/>
      <c r="J10" s="1314"/>
      <c r="K10" s="1315"/>
      <c r="L10" s="1316"/>
      <c r="M10" s="1090"/>
      <c r="N10" s="1265"/>
      <c r="O10" s="1266"/>
      <c r="P10" s="1267"/>
      <c r="Q10" s="1271" t="str">
        <f t="shared" si="9"/>
        <v>CORSA2 ДГ</v>
      </c>
      <c r="R10" s="1272">
        <f t="shared" si="6"/>
        <v>32737.000000000004</v>
      </c>
      <c r="S10" s="1273">
        <f t="shared" si="7"/>
        <v>55250</v>
      </c>
      <c r="T10" s="1274" t="e">
        <f t="shared" si="4"/>
        <v>#REF!</v>
      </c>
      <c r="V10" s="1455"/>
    </row>
    <row r="11" spans="1:23" hidden="1" outlineLevel="1">
      <c r="A11" s="1445">
        <f>К_дуб!F13</f>
        <v>49950</v>
      </c>
      <c r="B11" s="1243" t="str">
        <f t="shared" si="8"/>
        <v>Rosso7 ДО фацет</v>
      </c>
      <c r="C11" s="1257" t="e">
        <f t="shared" si="0"/>
        <v>#REF!</v>
      </c>
      <c r="D11" s="1337" t="e">
        <f t="shared" si="1"/>
        <v>#REF!</v>
      </c>
      <c r="E11" s="1257" t="e">
        <f t="shared" si="2"/>
        <v>#REF!</v>
      </c>
      <c r="F11" s="1246" t="e">
        <f t="shared" si="3"/>
        <v>#REF!</v>
      </c>
      <c r="G11" s="1357"/>
      <c r="H11" s="1358" t="e">
        <f t="shared" si="5"/>
        <v>#REF!</v>
      </c>
      <c r="I11" s="1313"/>
      <c r="J11" s="1314"/>
      <c r="K11" s="1315"/>
      <c r="L11" s="1316"/>
      <c r="M11" s="1090"/>
      <c r="N11" s="1265"/>
      <c r="O11" s="1266"/>
      <c r="P11" s="1267"/>
      <c r="Q11" s="1271" t="str">
        <f t="shared" si="9"/>
        <v>CORSA2 ДО вар.3</v>
      </c>
      <c r="R11" s="1272">
        <f t="shared" si="6"/>
        <v>39887.800000000003</v>
      </c>
      <c r="S11" s="1273">
        <f t="shared" si="7"/>
        <v>67370</v>
      </c>
      <c r="T11" s="1274" t="e">
        <f t="shared" si="4"/>
        <v>#REF!</v>
      </c>
      <c r="V11" s="1455"/>
    </row>
    <row r="12" spans="1:23" hidden="1" outlineLevel="1">
      <c r="A12" s="1445">
        <f>К_дуб!F14</f>
        <v>43950</v>
      </c>
      <c r="B12" s="1243" t="str">
        <f t="shared" si="8"/>
        <v>Rosso8 ДГ</v>
      </c>
      <c r="C12" s="1257" t="e">
        <f t="shared" si="0"/>
        <v>#REF!</v>
      </c>
      <c r="D12" s="1337" t="e">
        <f t="shared" si="1"/>
        <v>#REF!</v>
      </c>
      <c r="E12" s="1257" t="e">
        <f t="shared" si="2"/>
        <v>#REF!</v>
      </c>
      <c r="F12" s="1246" t="e">
        <f t="shared" si="3"/>
        <v>#REF!</v>
      </c>
      <c r="G12" s="1357"/>
      <c r="H12" s="1358" t="e">
        <f t="shared" si="5"/>
        <v>#REF!</v>
      </c>
      <c r="I12" s="1313"/>
      <c r="J12" s="1314"/>
      <c r="K12" s="1315"/>
      <c r="L12" s="1316"/>
      <c r="M12" s="1090"/>
      <c r="N12" s="1265"/>
      <c r="O12" s="1266"/>
      <c r="P12" s="1267"/>
      <c r="Q12" s="1271" t="str">
        <f t="shared" si="9"/>
        <v>CORSA1 ДГ</v>
      </c>
      <c r="R12" s="1272">
        <f t="shared" si="6"/>
        <v>32737.000000000004</v>
      </c>
      <c r="S12" s="1273">
        <f t="shared" si="7"/>
        <v>55250</v>
      </c>
      <c r="T12" s="1274" t="e">
        <f t="shared" si="4"/>
        <v>#REF!</v>
      </c>
      <c r="V12" s="1455"/>
    </row>
    <row r="13" spans="1:23" hidden="1" outlineLevel="1">
      <c r="A13" s="1445">
        <f>К_дуб!F15</f>
        <v>51950</v>
      </c>
      <c r="B13" s="1243" t="str">
        <f t="shared" si="8"/>
        <v>Rosso8 ДО фацет</v>
      </c>
      <c r="C13" s="1257" t="e">
        <f t="shared" si="0"/>
        <v>#REF!</v>
      </c>
      <c r="D13" s="1337" t="e">
        <f t="shared" si="1"/>
        <v>#REF!</v>
      </c>
      <c r="E13" s="1257" t="e">
        <f t="shared" si="2"/>
        <v>#REF!</v>
      </c>
      <c r="F13" s="1246" t="e">
        <f t="shared" si="3"/>
        <v>#REF!</v>
      </c>
      <c r="G13" s="1357"/>
      <c r="H13" s="1358" t="e">
        <f t="shared" si="5"/>
        <v>#REF!</v>
      </c>
      <c r="I13" s="1313"/>
      <c r="J13" s="1314"/>
      <c r="K13" s="1315"/>
      <c r="L13" s="1316"/>
      <c r="M13" s="1090"/>
      <c r="N13" s="1265"/>
      <c r="O13" s="1266"/>
      <c r="P13" s="1267"/>
      <c r="Q13" s="1271" t="str">
        <f t="shared" si="9"/>
        <v>CORSA1 ДО вар.3</v>
      </c>
      <c r="R13" s="1272">
        <f t="shared" si="6"/>
        <v>39887.800000000003</v>
      </c>
      <c r="S13" s="1273">
        <f t="shared" si="7"/>
        <v>67370</v>
      </c>
      <c r="T13" s="1274" t="e">
        <f t="shared" si="4"/>
        <v>#REF!</v>
      </c>
      <c r="V13" s="1455"/>
    </row>
    <row r="14" spans="1:23" hidden="1" outlineLevel="1">
      <c r="A14" s="1445"/>
      <c r="B14" s="1243"/>
      <c r="C14" s="1257">
        <f t="shared" si="0"/>
        <v>8768.75</v>
      </c>
      <c r="D14" s="1337">
        <f t="shared" si="1"/>
        <v>14375</v>
      </c>
      <c r="E14" s="1257">
        <f t="shared" si="2"/>
        <v>8768.75</v>
      </c>
      <c r="F14" s="1246"/>
      <c r="G14" s="1357"/>
      <c r="H14" s="1358"/>
      <c r="I14" s="1313"/>
      <c r="J14" s="1314"/>
      <c r="K14" s="1315"/>
      <c r="L14" s="1316"/>
      <c r="M14" s="1090"/>
      <c r="N14" s="1265"/>
      <c r="O14" s="1266"/>
      <c r="P14" s="1267"/>
      <c r="Q14" s="1271"/>
      <c r="R14" s="1272"/>
      <c r="S14" s="1273"/>
      <c r="T14" s="1274"/>
      <c r="V14" s="1455"/>
    </row>
    <row r="15" spans="1:23" s="70" customFormat="1" hidden="1" outlineLevel="1">
      <c r="A15" s="1445">
        <f>К_дуб!F16</f>
        <v>31950</v>
      </c>
      <c r="B15" s="1243" t="str">
        <f t="shared" si="8"/>
        <v>Garda2</v>
      </c>
      <c r="C15" s="1257">
        <f t="shared" si="0"/>
        <v>23530.75</v>
      </c>
      <c r="D15" s="1337">
        <f t="shared" si="1"/>
        <v>38575</v>
      </c>
      <c r="E15" s="1257">
        <f t="shared" si="2"/>
        <v>23530.75</v>
      </c>
      <c r="F15" s="1246">
        <f t="shared" ref="F15:F34" si="10">F49+$F$73</f>
        <v>38575</v>
      </c>
      <c r="G15" s="1357"/>
      <c r="H15" s="1358">
        <f t="shared" si="5"/>
        <v>0</v>
      </c>
      <c r="I15" s="1313" t="str">
        <f>I49</f>
        <v>GALANT 1421</v>
      </c>
      <c r="J15" s="1314">
        <f>J49+$J$73</f>
        <v>26815.360000000001</v>
      </c>
      <c r="K15" s="1315">
        <f>K49+$K$73</f>
        <v>41899</v>
      </c>
      <c r="L15" s="1316">
        <f>F15/K15-1</f>
        <v>-7.9333635647628853E-2</v>
      </c>
      <c r="M15" s="1090"/>
      <c r="N15" s="1265"/>
      <c r="O15" s="1266"/>
      <c r="P15" s="1267"/>
      <c r="Q15" s="1271" t="str">
        <f t="shared" si="9"/>
        <v>LEGNO2</v>
      </c>
      <c r="R15" s="1272">
        <f t="shared" si="6"/>
        <v>21822</v>
      </c>
      <c r="S15" s="1273">
        <f t="shared" si="7"/>
        <v>36750</v>
      </c>
      <c r="T15" s="1274">
        <f>F15/S15-1</f>
        <v>4.9659863945578309E-2</v>
      </c>
      <c r="U15" s="1451"/>
      <c r="V15" s="1455"/>
    </row>
    <row r="16" spans="1:23" s="70" customFormat="1" hidden="1" outlineLevel="1">
      <c r="A16" s="1445" t="e">
        <f>К_дуб!#REF!</f>
        <v>#REF!</v>
      </c>
      <c r="B16" s="1243" t="str">
        <f t="shared" si="8"/>
        <v>Garda4</v>
      </c>
      <c r="C16" s="1257">
        <f t="shared" si="0"/>
        <v>8768.75</v>
      </c>
      <c r="D16" s="1337">
        <f t="shared" si="1"/>
        <v>14375</v>
      </c>
      <c r="E16" s="1257">
        <f t="shared" si="2"/>
        <v>8768.75</v>
      </c>
      <c r="F16" s="1246">
        <f t="shared" si="10"/>
        <v>14375</v>
      </c>
      <c r="G16" s="1357"/>
      <c r="H16" s="1358">
        <f t="shared" si="5"/>
        <v>0</v>
      </c>
      <c r="I16" s="1313" t="str">
        <f>I50</f>
        <v>GALANT 1431</v>
      </c>
      <c r="J16" s="1314">
        <f>J50+$J$73</f>
        <v>27455.360000000001</v>
      </c>
      <c r="K16" s="1315">
        <f>K50+$K$73</f>
        <v>42899</v>
      </c>
      <c r="L16" s="1316">
        <f>F16/K16-1</f>
        <v>-0.6649106039767827</v>
      </c>
      <c r="M16" s="1090"/>
      <c r="N16" s="1265"/>
      <c r="O16" s="1266"/>
      <c r="P16" s="1267"/>
      <c r="Q16" s="1271" t="str">
        <f t="shared" si="9"/>
        <v>LEGNO4</v>
      </c>
      <c r="R16" s="1272">
        <f t="shared" si="6"/>
        <v>21822</v>
      </c>
      <c r="S16" s="1273">
        <f t="shared" si="7"/>
        <v>36750</v>
      </c>
      <c r="T16" s="1274">
        <f>F16/S16-1</f>
        <v>-0.608843537414966</v>
      </c>
      <c r="U16" s="1451"/>
      <c r="V16" s="1455"/>
    </row>
    <row r="17" spans="1:22" s="70" customFormat="1" hidden="1" outlineLevel="1">
      <c r="A17" s="1445" t="e">
        <f>К_дуб!#REF!</f>
        <v>#REF!</v>
      </c>
      <c r="B17" s="1243" t="str">
        <f t="shared" si="8"/>
        <v>Garda1</v>
      </c>
      <c r="C17" s="1257" t="e">
        <f t="shared" si="0"/>
        <v>#REF!</v>
      </c>
      <c r="D17" s="1337" t="e">
        <f t="shared" si="1"/>
        <v>#REF!</v>
      </c>
      <c r="E17" s="1257" t="e">
        <f t="shared" si="2"/>
        <v>#REF!</v>
      </c>
      <c r="F17" s="1246" t="e">
        <f t="shared" si="10"/>
        <v>#REF!</v>
      </c>
      <c r="G17" s="1357"/>
      <c r="H17" s="1358" t="e">
        <f t="shared" si="5"/>
        <v>#REF!</v>
      </c>
      <c r="I17" s="1313" t="str">
        <f>I51</f>
        <v>GALANT 1401</v>
      </c>
      <c r="J17" s="1314">
        <f>J51+$J$73</f>
        <v>25663.360000000001</v>
      </c>
      <c r="K17" s="1315">
        <f>K51+$K$73</f>
        <v>40099</v>
      </c>
      <c r="L17" s="1316" t="e">
        <f>F17/K17-1</f>
        <v>#REF!</v>
      </c>
      <c r="M17" s="1090"/>
      <c r="N17" s="1265"/>
      <c r="O17" s="1266"/>
      <c r="P17" s="1267"/>
      <c r="Q17" s="1271" t="str">
        <f t="shared" si="9"/>
        <v>LEGNO1</v>
      </c>
      <c r="R17" s="1272">
        <f t="shared" si="6"/>
        <v>21822</v>
      </c>
      <c r="S17" s="1273">
        <f t="shared" si="7"/>
        <v>36750</v>
      </c>
      <c r="T17" s="1274" t="e">
        <f>F17/S17-1</f>
        <v>#REF!</v>
      </c>
      <c r="U17" s="1451"/>
      <c r="V17" s="1455"/>
    </row>
    <row r="18" spans="1:22" s="70" customFormat="1" hidden="1" outlineLevel="1">
      <c r="A18" s="1445" t="e">
        <f>К_дуб!#REF!</f>
        <v>#REF!</v>
      </c>
      <c r="B18" s="1243" t="str">
        <f t="shared" si="8"/>
        <v>Garda3</v>
      </c>
      <c r="C18" s="1257">
        <f t="shared" si="0"/>
        <v>23530.75</v>
      </c>
      <c r="D18" s="1337">
        <f t="shared" si="1"/>
        <v>38575</v>
      </c>
      <c r="E18" s="1257">
        <f t="shared" si="2"/>
        <v>23530.75</v>
      </c>
      <c r="F18" s="1246">
        <f t="shared" si="10"/>
        <v>38575</v>
      </c>
      <c r="G18" s="1357"/>
      <c r="H18" s="1358">
        <f t="shared" si="5"/>
        <v>0</v>
      </c>
      <c r="I18" s="1313"/>
      <c r="J18" s="1314"/>
      <c r="K18" s="1315"/>
      <c r="L18" s="1316"/>
      <c r="M18" s="1090"/>
      <c r="N18" s="1265"/>
      <c r="O18" s="1266"/>
      <c r="P18" s="1267"/>
      <c r="Q18" s="1271" t="str">
        <f t="shared" si="9"/>
        <v>LEGNO3</v>
      </c>
      <c r="R18" s="1272">
        <f t="shared" si="6"/>
        <v>21822</v>
      </c>
      <c r="S18" s="1273">
        <f t="shared" si="7"/>
        <v>36750</v>
      </c>
      <c r="T18" s="1274">
        <f>F18/S18-1</f>
        <v>4.9659863945578309E-2</v>
      </c>
      <c r="U18" s="1451"/>
      <c r="V18" s="1455"/>
    </row>
    <row r="19" spans="1:22" s="70" customFormat="1" hidden="1" outlineLevel="1">
      <c r="A19" s="1445" t="e">
        <f>К_дуб!#REF!</f>
        <v>#REF!</v>
      </c>
      <c r="B19" s="1243" t="str">
        <f t="shared" si="8"/>
        <v>Garda5</v>
      </c>
      <c r="C19" s="1257" t="e">
        <f t="shared" si="0"/>
        <v>#REF!</v>
      </c>
      <c r="D19" s="1337" t="e">
        <f t="shared" si="1"/>
        <v>#REF!</v>
      </c>
      <c r="E19" s="1257" t="e">
        <f t="shared" si="2"/>
        <v>#REF!</v>
      </c>
      <c r="F19" s="1246" t="e">
        <f t="shared" si="10"/>
        <v>#REF!</v>
      </c>
      <c r="G19" s="1357"/>
      <c r="H19" s="1358" t="e">
        <f t="shared" si="5"/>
        <v>#REF!</v>
      </c>
      <c r="I19" s="1313" t="str">
        <f>I53</f>
        <v>GALANT 1411</v>
      </c>
      <c r="J19" s="1314">
        <f>J53+$J$73</f>
        <v>26815.360000000001</v>
      </c>
      <c r="K19" s="1315">
        <f>K53+$K$73</f>
        <v>41899</v>
      </c>
      <c r="L19" s="1316" t="e">
        <f>F19/K19-1</f>
        <v>#REF!</v>
      </c>
      <c r="M19" s="1090"/>
      <c r="N19" s="1265"/>
      <c r="O19" s="1266"/>
      <c r="P19" s="1267"/>
      <c r="Q19" s="1271"/>
      <c r="R19" s="1272">
        <f t="shared" si="6"/>
        <v>8370</v>
      </c>
      <c r="S19" s="1273">
        <f t="shared" si="7"/>
        <v>13950</v>
      </c>
      <c r="T19" s="1274"/>
      <c r="U19" s="1451"/>
      <c r="V19" s="1455"/>
    </row>
    <row r="20" spans="1:22" s="70" customFormat="1" hidden="1" outlineLevel="1">
      <c r="A20" s="1445">
        <f>К_дуб!F17</f>
        <v>34950</v>
      </c>
      <c r="B20" s="1243" t="str">
        <f t="shared" si="8"/>
        <v>Florence4</v>
      </c>
      <c r="C20" s="1257">
        <f t="shared" si="0"/>
        <v>26702.75</v>
      </c>
      <c r="D20" s="1337">
        <f t="shared" si="1"/>
        <v>43775</v>
      </c>
      <c r="E20" s="1257">
        <f t="shared" si="2"/>
        <v>26702.75</v>
      </c>
      <c r="F20" s="1246">
        <f t="shared" si="10"/>
        <v>43775</v>
      </c>
      <c r="G20" s="1357"/>
      <c r="H20" s="1358">
        <f t="shared" si="5"/>
        <v>0</v>
      </c>
      <c r="I20" s="1313"/>
      <c r="J20" s="1314"/>
      <c r="K20" s="1315"/>
      <c r="L20" s="1316"/>
      <c r="M20" s="1090"/>
      <c r="N20" s="1265"/>
      <c r="O20" s="1266"/>
      <c r="P20" s="1267"/>
      <c r="Q20" s="1271"/>
      <c r="R20" s="1272">
        <f t="shared" si="6"/>
        <v>8370</v>
      </c>
      <c r="S20" s="1273">
        <f t="shared" si="7"/>
        <v>13950</v>
      </c>
      <c r="T20" s="1274"/>
      <c r="U20" s="1451"/>
      <c r="V20" s="1455"/>
    </row>
    <row r="21" spans="1:22" s="70" customFormat="1" hidden="1" outlineLevel="1">
      <c r="A21" s="1445">
        <f>К_дуб!F18</f>
        <v>27950</v>
      </c>
      <c r="B21" s="1243" t="str">
        <f t="shared" ref="B21:B34" si="11">B55</f>
        <v>Strada11 триплекс</v>
      </c>
      <c r="C21" s="1257">
        <f t="shared" si="0"/>
        <v>28929.25</v>
      </c>
      <c r="D21" s="1337">
        <f t="shared" si="1"/>
        <v>47425</v>
      </c>
      <c r="E21" s="1257">
        <f t="shared" si="2"/>
        <v>28929.25</v>
      </c>
      <c r="F21" s="1246">
        <f t="shared" si="10"/>
        <v>47425</v>
      </c>
      <c r="G21" s="1357"/>
      <c r="H21" s="1358">
        <f t="shared" si="5"/>
        <v>0</v>
      </c>
      <c r="I21" s="1313" t="str">
        <f>I55</f>
        <v>PLANUM 2102</v>
      </c>
      <c r="J21" s="1314">
        <f>J55+$J$73</f>
        <v>26303.360000000001</v>
      </c>
      <c r="K21" s="1315">
        <f>K55+$K$73</f>
        <v>41099</v>
      </c>
      <c r="L21" s="1316">
        <f>F21/K21-1</f>
        <v>0.15392101997615515</v>
      </c>
      <c r="M21" s="1090"/>
      <c r="N21" s="1265"/>
      <c r="O21" s="1266"/>
      <c r="P21" s="1267"/>
      <c r="Q21" s="1271"/>
      <c r="R21" s="1272">
        <f t="shared" si="6"/>
        <v>8370</v>
      </c>
      <c r="S21" s="1273">
        <f t="shared" si="7"/>
        <v>13950</v>
      </c>
      <c r="T21" s="1274"/>
      <c r="U21" s="1451"/>
      <c r="V21" s="1455"/>
    </row>
    <row r="22" spans="1:22" s="70" customFormat="1" hidden="1" outlineLevel="1">
      <c r="A22" s="1445"/>
      <c r="B22" s="1243"/>
      <c r="C22" s="1257"/>
      <c r="D22" s="1337"/>
      <c r="E22" s="1257"/>
      <c r="F22" s="1246"/>
      <c r="G22" s="1357"/>
      <c r="H22" s="1358"/>
      <c r="I22" s="1313"/>
      <c r="J22" s="1314"/>
      <c r="K22" s="1315"/>
      <c r="L22" s="1316"/>
      <c r="M22" s="1090"/>
      <c r="N22" s="1265"/>
      <c r="O22" s="1266"/>
      <c r="P22" s="1267"/>
      <c r="Q22" s="1271"/>
      <c r="R22" s="1272"/>
      <c r="S22" s="1273"/>
      <c r="T22" s="1274"/>
      <c r="U22" s="1451"/>
      <c r="V22" s="1455"/>
    </row>
    <row r="23" spans="1:22" s="70" customFormat="1" hidden="1" outlineLevel="1">
      <c r="A23" s="1445" t="e">
        <f>К_дуб!#REF!</f>
        <v>#REF!</v>
      </c>
      <c r="B23" s="1243" t="str">
        <f t="shared" si="11"/>
        <v>Strada14</v>
      </c>
      <c r="C23" s="1257">
        <f t="shared" si="0"/>
        <v>24445.75</v>
      </c>
      <c r="D23" s="1337">
        <f t="shared" si="1"/>
        <v>40075</v>
      </c>
      <c r="E23" s="1257">
        <f t="shared" si="2"/>
        <v>24445.75</v>
      </c>
      <c r="F23" s="1246">
        <f t="shared" si="10"/>
        <v>40075</v>
      </c>
      <c r="G23" s="1357"/>
      <c r="H23" s="1358">
        <f t="shared" si="5"/>
        <v>0</v>
      </c>
      <c r="I23" s="1313"/>
      <c r="J23" s="1314"/>
      <c r="K23" s="1315"/>
      <c r="L23" s="1316"/>
      <c r="M23" s="1090"/>
      <c r="N23" s="1265"/>
      <c r="O23" s="1266"/>
      <c r="P23" s="1267"/>
      <c r="Q23" s="1271"/>
      <c r="R23" s="1272">
        <f t="shared" si="6"/>
        <v>8370</v>
      </c>
      <c r="S23" s="1273">
        <f t="shared" si="7"/>
        <v>13950</v>
      </c>
      <c r="T23" s="1274"/>
      <c r="U23" s="1451"/>
      <c r="V23" s="1455"/>
    </row>
    <row r="24" spans="1:22" s="70" customFormat="1" hidden="1" outlineLevel="1">
      <c r="A24" s="1445" t="e">
        <f>К_дуб!#REF!</f>
        <v>#REF!</v>
      </c>
      <c r="B24" s="1243" t="str">
        <f t="shared" si="11"/>
        <v>Strada15</v>
      </c>
      <c r="C24" s="1257">
        <f t="shared" si="0"/>
        <v>24140.75</v>
      </c>
      <c r="D24" s="1337">
        <f t="shared" si="1"/>
        <v>39575</v>
      </c>
      <c r="E24" s="1257">
        <f t="shared" si="2"/>
        <v>24140.75</v>
      </c>
      <c r="F24" s="1246">
        <f t="shared" si="10"/>
        <v>39575</v>
      </c>
      <c r="G24" s="1357"/>
      <c r="H24" s="1358">
        <f t="shared" si="5"/>
        <v>0</v>
      </c>
      <c r="I24" s="1313"/>
      <c r="J24" s="1314"/>
      <c r="K24" s="1315"/>
      <c r="L24" s="1316"/>
      <c r="M24" s="1090"/>
      <c r="N24" s="1265"/>
      <c r="O24" s="1266"/>
      <c r="P24" s="1267"/>
      <c r="Q24" s="1271"/>
      <c r="R24" s="1272">
        <f t="shared" si="6"/>
        <v>8370</v>
      </c>
      <c r="S24" s="1273">
        <f t="shared" si="7"/>
        <v>13950</v>
      </c>
      <c r="T24" s="1274"/>
      <c r="U24" s="1451"/>
      <c r="V24" s="1455"/>
    </row>
    <row r="25" spans="1:22" s="70" customFormat="1" hidden="1" outlineLevel="1">
      <c r="A25" s="1445" t="e">
        <f>К_дуб!#REF!</f>
        <v>#REF!</v>
      </c>
      <c r="B25" s="1243" t="str">
        <f t="shared" si="11"/>
        <v>Vario</v>
      </c>
      <c r="C25" s="1257" t="e">
        <f t="shared" si="0"/>
        <v>#REF!</v>
      </c>
      <c r="D25" s="1337" t="e">
        <f t="shared" si="1"/>
        <v>#REF!</v>
      </c>
      <c r="E25" s="1257" t="e">
        <f t="shared" si="2"/>
        <v>#REF!</v>
      </c>
      <c r="F25" s="1246" t="e">
        <f t="shared" si="10"/>
        <v>#REF!</v>
      </c>
      <c r="G25" s="1357"/>
      <c r="H25" s="1358" t="e">
        <f t="shared" si="5"/>
        <v>#REF!</v>
      </c>
      <c r="I25" s="1313"/>
      <c r="J25" s="1314"/>
      <c r="K25" s="1315"/>
      <c r="L25" s="1316"/>
      <c r="M25" s="1090"/>
      <c r="N25" s="1265"/>
      <c r="O25" s="1266"/>
      <c r="P25" s="1267"/>
      <c r="Q25" s="1271"/>
      <c r="R25" s="1272">
        <f t="shared" si="6"/>
        <v>8370</v>
      </c>
      <c r="S25" s="1273">
        <f t="shared" si="7"/>
        <v>13950</v>
      </c>
      <c r="T25" s="1274"/>
      <c r="U25" s="1451"/>
      <c r="V25" s="1455"/>
    </row>
    <row r="26" spans="1:22" s="70" customFormat="1" hidden="1" outlineLevel="1">
      <c r="A26" s="1445" t="e">
        <f>К_дуб!#REF!</f>
        <v>#REF!</v>
      </c>
      <c r="B26" s="1243" t="str">
        <f t="shared" si="11"/>
        <v>Vario01</v>
      </c>
      <c r="C26" s="1257" t="e">
        <f t="shared" si="0"/>
        <v>#REF!</v>
      </c>
      <c r="D26" s="1337" t="e">
        <f t="shared" si="1"/>
        <v>#REF!</v>
      </c>
      <c r="E26" s="1257" t="e">
        <f t="shared" si="2"/>
        <v>#REF!</v>
      </c>
      <c r="F26" s="1246" t="e">
        <f t="shared" si="10"/>
        <v>#REF!</v>
      </c>
      <c r="G26" s="1357"/>
      <c r="H26" s="1358" t="e">
        <f t="shared" si="5"/>
        <v>#REF!</v>
      </c>
      <c r="I26" s="1313"/>
      <c r="J26" s="1314"/>
      <c r="K26" s="1315"/>
      <c r="L26" s="1316"/>
      <c r="M26" s="1090"/>
      <c r="N26" s="1265"/>
      <c r="O26" s="1266"/>
      <c r="P26" s="1267"/>
      <c r="Q26" s="1271"/>
      <c r="R26" s="1272">
        <f t="shared" si="6"/>
        <v>8370</v>
      </c>
      <c r="S26" s="1273">
        <f t="shared" si="7"/>
        <v>13950</v>
      </c>
      <c r="T26" s="1274"/>
      <c r="U26" s="1451"/>
      <c r="V26" s="1455"/>
    </row>
    <row r="27" spans="1:22" s="70" customFormat="1" hidden="1" outlineLevel="1">
      <c r="A27" s="1445" t="e">
        <f>К_дуб!#REF!</f>
        <v>#REF!</v>
      </c>
      <c r="B27" s="1243" t="str">
        <f t="shared" si="11"/>
        <v>Vario12</v>
      </c>
      <c r="C27" s="1257" t="e">
        <f t="shared" si="0"/>
        <v>#REF!</v>
      </c>
      <c r="D27" s="1337" t="e">
        <f t="shared" si="1"/>
        <v>#REF!</v>
      </c>
      <c r="E27" s="1257" t="e">
        <f t="shared" si="2"/>
        <v>#REF!</v>
      </c>
      <c r="F27" s="1246" t="e">
        <f t="shared" si="10"/>
        <v>#REF!</v>
      </c>
      <c r="G27" s="1357"/>
      <c r="H27" s="1358" t="e">
        <f t="shared" si="5"/>
        <v>#REF!</v>
      </c>
      <c r="I27" s="1313"/>
      <c r="J27" s="1314"/>
      <c r="K27" s="1315"/>
      <c r="L27" s="1316"/>
      <c r="M27" s="1090"/>
      <c r="N27" s="1265"/>
      <c r="O27" s="1266"/>
      <c r="P27" s="1267"/>
      <c r="Q27" s="1271"/>
      <c r="R27" s="1272">
        <f t="shared" si="6"/>
        <v>8370</v>
      </c>
      <c r="S27" s="1273">
        <f t="shared" si="7"/>
        <v>13950</v>
      </c>
      <c r="T27" s="1274"/>
      <c r="U27" s="1451"/>
      <c r="V27" s="1455"/>
    </row>
    <row r="28" spans="1:22" s="70" customFormat="1" hidden="1" outlineLevel="1">
      <c r="A28" s="1445">
        <f>К_дуб!F19</f>
        <v>29950</v>
      </c>
      <c r="B28" s="1243" t="str">
        <f t="shared" si="11"/>
        <v xml:space="preserve">Vario11 </v>
      </c>
      <c r="C28" s="1257">
        <f t="shared" si="0"/>
        <v>30149.25</v>
      </c>
      <c r="D28" s="1337">
        <f t="shared" si="1"/>
        <v>49425</v>
      </c>
      <c r="E28" s="1257">
        <f t="shared" si="2"/>
        <v>30149.25</v>
      </c>
      <c r="F28" s="1246">
        <f t="shared" si="10"/>
        <v>49425</v>
      </c>
      <c r="G28" s="1357"/>
      <c r="H28" s="1358">
        <f t="shared" si="5"/>
        <v>0</v>
      </c>
      <c r="I28" s="1313" t="str">
        <f>I62</f>
        <v>PLANUM 4114</v>
      </c>
      <c r="J28" s="1314">
        <f>J62+$J$73</f>
        <v>30911.360000000001</v>
      </c>
      <c r="K28" s="1315">
        <f>K62+$K$73</f>
        <v>48299</v>
      </c>
      <c r="L28" s="1316">
        <f>F28/K28-1</f>
        <v>2.3313112072713693E-2</v>
      </c>
      <c r="M28" s="1090"/>
      <c r="N28" s="1265"/>
      <c r="O28" s="1266"/>
      <c r="P28" s="1267"/>
      <c r="Q28" s="1271" t="str">
        <f t="shared" si="9"/>
        <v>MARCO2 ДО</v>
      </c>
      <c r="R28" s="1272">
        <f t="shared" si="6"/>
        <v>20907.5</v>
      </c>
      <c r="S28" s="1273">
        <f t="shared" si="7"/>
        <v>35200</v>
      </c>
      <c r="T28" s="1274">
        <f>F28/S28-1</f>
        <v>0.40411931818181812</v>
      </c>
      <c r="U28" s="1451"/>
      <c r="V28" s="1455"/>
    </row>
    <row r="29" spans="1:22" s="70" customFormat="1" hidden="1" outlineLevel="1">
      <c r="A29" s="1445">
        <f>К_дуб!F20</f>
        <v>26450</v>
      </c>
      <c r="B29" s="1243" t="str">
        <f t="shared" si="11"/>
        <v>Porte01</v>
      </c>
      <c r="C29" s="1257">
        <f t="shared" si="0"/>
        <v>23317.25</v>
      </c>
      <c r="D29" s="1337">
        <f t="shared" si="1"/>
        <v>38225</v>
      </c>
      <c r="E29" s="1257">
        <f t="shared" si="2"/>
        <v>23317.25</v>
      </c>
      <c r="F29" s="1246">
        <f t="shared" si="10"/>
        <v>38225</v>
      </c>
      <c r="G29" s="1357"/>
      <c r="H29" s="1358">
        <f t="shared" si="5"/>
        <v>0</v>
      </c>
      <c r="I29" s="1313" t="str">
        <f>I63</f>
        <v>PLANUM 010</v>
      </c>
      <c r="J29" s="1314">
        <f>J63+$J$73</f>
        <v>22527.360000000001</v>
      </c>
      <c r="K29" s="1315">
        <f>K63+$K$73</f>
        <v>35199</v>
      </c>
      <c r="L29" s="1316">
        <f>F29/K29-1</f>
        <v>8.5968351373618468E-2</v>
      </c>
      <c r="M29" s="1090" t="str">
        <f>M63</f>
        <v>Галактика</v>
      </c>
      <c r="N29" s="1265">
        <f>N63+$N$73</f>
        <v>21138</v>
      </c>
      <c r="O29" s="1266">
        <f>O63+$O$73</f>
        <v>35230</v>
      </c>
      <c r="P29" s="1267">
        <f>F29/O29-1</f>
        <v>8.5012773204655057E-2</v>
      </c>
      <c r="Q29" s="1271" t="str">
        <f t="shared" ref="Q29:Q35" si="12">Q63</f>
        <v>MARCO1</v>
      </c>
      <c r="R29" s="1272">
        <f t="shared" si="6"/>
        <v>18476.7</v>
      </c>
      <c r="S29" s="1273">
        <f t="shared" si="7"/>
        <v>31080</v>
      </c>
      <c r="T29" s="1274">
        <f t="shared" ref="T29:T35" si="13">F29/S29-1</f>
        <v>0.22989060489060487</v>
      </c>
      <c r="U29" s="1451"/>
      <c r="V29" s="1455"/>
    </row>
    <row r="30" spans="1:22" s="70" customFormat="1" hidden="1" outlineLevel="1">
      <c r="A30" s="1445">
        <f>К_дуб!F21</f>
        <v>26950</v>
      </c>
      <c r="B30" s="1243" t="str">
        <f t="shared" si="11"/>
        <v>Porte02</v>
      </c>
      <c r="C30" s="1257" t="e">
        <f t="shared" si="0"/>
        <v>#REF!</v>
      </c>
      <c r="D30" s="1337" t="e">
        <f t="shared" si="1"/>
        <v>#REF!</v>
      </c>
      <c r="E30" s="1257" t="e">
        <f t="shared" si="2"/>
        <v>#REF!</v>
      </c>
      <c r="F30" s="1246" t="e">
        <f t="shared" si="10"/>
        <v>#REF!</v>
      </c>
      <c r="G30" s="1357"/>
      <c r="H30" s="1358" t="e">
        <f t="shared" si="5"/>
        <v>#REF!</v>
      </c>
      <c r="I30" s="1313"/>
      <c r="J30" s="1314"/>
      <c r="K30" s="1315"/>
      <c r="L30" s="1316"/>
      <c r="M30" s="1090"/>
      <c r="N30" s="1265"/>
      <c r="O30" s="1266"/>
      <c r="P30" s="1267"/>
      <c r="Q30" s="1271" t="str">
        <f t="shared" si="12"/>
        <v>MARCO2</v>
      </c>
      <c r="R30" s="1272">
        <f t="shared" si="6"/>
        <v>18883.800000000003</v>
      </c>
      <c r="S30" s="1273">
        <f t="shared" si="7"/>
        <v>31770</v>
      </c>
      <c r="T30" s="1274" t="e">
        <f t="shared" si="13"/>
        <v>#REF!</v>
      </c>
      <c r="U30" s="1451"/>
      <c r="V30" s="1455"/>
    </row>
    <row r="31" spans="1:22" s="70" customFormat="1" hidden="1" outlineLevel="1">
      <c r="A31" s="1445">
        <f>К_дуб!F22</f>
        <v>0</v>
      </c>
      <c r="B31" s="1243" t="str">
        <f t="shared" si="11"/>
        <v>Porte03</v>
      </c>
      <c r="C31" s="1257" t="e">
        <f t="shared" si="0"/>
        <v>#REF!</v>
      </c>
      <c r="D31" s="1337" t="e">
        <f t="shared" si="1"/>
        <v>#REF!</v>
      </c>
      <c r="E31" s="1257" t="e">
        <f t="shared" si="2"/>
        <v>#REF!</v>
      </c>
      <c r="F31" s="1246" t="e">
        <f t="shared" si="10"/>
        <v>#REF!</v>
      </c>
      <c r="G31" s="1357"/>
      <c r="H31" s="1358" t="e">
        <f t="shared" si="5"/>
        <v>#REF!</v>
      </c>
      <c r="I31" s="1313"/>
      <c r="J31" s="1314"/>
      <c r="K31" s="1315"/>
      <c r="L31" s="1316"/>
      <c r="M31" s="1090"/>
      <c r="N31" s="1265"/>
      <c r="O31" s="1266"/>
      <c r="P31" s="1267"/>
      <c r="Q31" s="1271" t="str">
        <f t="shared" si="12"/>
        <v>MARCO4</v>
      </c>
      <c r="R31" s="1272">
        <f t="shared" si="6"/>
        <v>18883.800000000003</v>
      </c>
      <c r="S31" s="1273">
        <f t="shared" si="7"/>
        <v>31770</v>
      </c>
      <c r="T31" s="1274" t="e">
        <f t="shared" si="13"/>
        <v>#REF!</v>
      </c>
      <c r="U31" s="1451"/>
      <c r="V31" s="1455"/>
    </row>
    <row r="32" spans="1:22" s="70" customFormat="1" hidden="1" outlineLevel="1">
      <c r="A32" s="1445">
        <f>К_дуб!F23</f>
        <v>30450</v>
      </c>
      <c r="B32" s="1243" t="str">
        <f t="shared" si="11"/>
        <v>Vetro11</v>
      </c>
      <c r="C32" s="1257">
        <f t="shared" si="0"/>
        <v>25635.25</v>
      </c>
      <c r="D32" s="1337">
        <f t="shared" si="1"/>
        <v>42025</v>
      </c>
      <c r="E32" s="1257">
        <f t="shared" si="2"/>
        <v>25635.25</v>
      </c>
      <c r="F32" s="1246">
        <f t="shared" si="10"/>
        <v>42025</v>
      </c>
      <c r="G32" s="1357"/>
      <c r="H32" s="1358">
        <f t="shared" si="5"/>
        <v>0</v>
      </c>
      <c r="I32" s="1313"/>
      <c r="J32" s="1314"/>
      <c r="K32" s="1315"/>
      <c r="L32" s="1316"/>
      <c r="M32" s="1090"/>
      <c r="N32" s="1265"/>
      <c r="O32" s="1266"/>
      <c r="P32" s="1267"/>
      <c r="Q32" s="1271" t="str">
        <f t="shared" si="12"/>
        <v>X-LINE1</v>
      </c>
      <c r="R32" s="1272">
        <f t="shared" si="6"/>
        <v>22341.200000000004</v>
      </c>
      <c r="S32" s="1273">
        <f t="shared" si="7"/>
        <v>37630</v>
      </c>
      <c r="T32" s="1274">
        <f t="shared" si="13"/>
        <v>0.11679511028434764</v>
      </c>
      <c r="U32" s="1451"/>
      <c r="V32" s="1455"/>
    </row>
    <row r="33" spans="1:24" s="70" customFormat="1" hidden="1" outlineLevel="1">
      <c r="A33" s="1445">
        <f>К_дуб!F24</f>
        <v>31450</v>
      </c>
      <c r="B33" s="1243" t="str">
        <f t="shared" si="11"/>
        <v>Vetro12</v>
      </c>
      <c r="C33" s="1257">
        <f t="shared" si="0"/>
        <v>26672.25</v>
      </c>
      <c r="D33" s="1337">
        <f t="shared" si="1"/>
        <v>43725</v>
      </c>
      <c r="E33" s="1257">
        <f t="shared" si="2"/>
        <v>26672.25</v>
      </c>
      <c r="F33" s="1246">
        <f t="shared" si="10"/>
        <v>43725</v>
      </c>
      <c r="G33" s="1357"/>
      <c r="H33" s="1358">
        <f t="shared" si="5"/>
        <v>0</v>
      </c>
      <c r="I33" s="1313"/>
      <c r="J33" s="1314"/>
      <c r="K33" s="1315"/>
      <c r="L33" s="1316"/>
      <c r="M33" s="1090"/>
      <c r="N33" s="1265"/>
      <c r="O33" s="1266"/>
      <c r="P33" s="1267"/>
      <c r="Q33" s="1271" t="str">
        <f t="shared" si="12"/>
        <v>X-LINE4</v>
      </c>
      <c r="R33" s="1272">
        <f t="shared" si="6"/>
        <v>23049.200000000004</v>
      </c>
      <c r="S33" s="1273">
        <f t="shared" si="7"/>
        <v>38830</v>
      </c>
      <c r="T33" s="1274">
        <f t="shared" si="13"/>
        <v>0.1260623229461757</v>
      </c>
      <c r="U33" s="1451"/>
      <c r="V33" s="1455"/>
    </row>
    <row r="34" spans="1:24" s="70" customFormat="1" hidden="1" outlineLevel="1">
      <c r="A34" s="1445">
        <f>К_дуб!F25</f>
        <v>31450</v>
      </c>
      <c r="B34" s="1243" t="str">
        <f t="shared" si="11"/>
        <v>Vetro14</v>
      </c>
      <c r="C34" s="1257">
        <f t="shared" si="0"/>
        <v>26672.25</v>
      </c>
      <c r="D34" s="1337">
        <f t="shared" si="1"/>
        <v>43725</v>
      </c>
      <c r="E34" s="1257">
        <f t="shared" si="2"/>
        <v>26672.25</v>
      </c>
      <c r="F34" s="1246">
        <f t="shared" si="10"/>
        <v>43725</v>
      </c>
      <c r="G34" s="1357"/>
      <c r="H34" s="1358">
        <f t="shared" si="5"/>
        <v>0</v>
      </c>
      <c r="I34" s="1313"/>
      <c r="J34" s="1314"/>
      <c r="K34" s="1315"/>
      <c r="L34" s="1316"/>
      <c r="M34" s="1090"/>
      <c r="N34" s="1265"/>
      <c r="O34" s="1266"/>
      <c r="P34" s="1267"/>
      <c r="Q34" s="1271" t="str">
        <f t="shared" si="12"/>
        <v>X-LINE5</v>
      </c>
      <c r="R34" s="1272">
        <f t="shared" si="6"/>
        <v>23049.200000000004</v>
      </c>
      <c r="S34" s="1273">
        <f t="shared" si="7"/>
        <v>38830</v>
      </c>
      <c r="T34" s="1274">
        <f t="shared" si="13"/>
        <v>0.1260623229461757</v>
      </c>
      <c r="U34" s="1451"/>
      <c r="V34" s="1455"/>
    </row>
    <row r="35" spans="1:24" s="70" customFormat="1" hidden="1" outlineLevel="1">
      <c r="A35" s="1445">
        <f>К_дуб!F26</f>
        <v>32950</v>
      </c>
      <c r="B35" s="1243" t="str">
        <f>B69</f>
        <v>Юнион</v>
      </c>
      <c r="C35" s="1257">
        <f>C69+$C$73</f>
        <v>29417.25</v>
      </c>
      <c r="D35" s="1337">
        <f>D69+$D$73</f>
        <v>48225</v>
      </c>
      <c r="E35" s="1257">
        <f>E69+$E$73</f>
        <v>29417.25</v>
      </c>
      <c r="F35" s="1246">
        <f>F69+$F$73</f>
        <v>48225</v>
      </c>
      <c r="G35" s="1357"/>
      <c r="H35" s="1358">
        <f>F35/D35-1</f>
        <v>0</v>
      </c>
      <c r="I35" s="1313"/>
      <c r="J35" s="1314"/>
      <c r="K35" s="1315"/>
      <c r="L35" s="1316"/>
      <c r="M35" s="1090" t="str">
        <f>M69</f>
        <v>ГАЛАКТИКА специальная сшивка шпона "елочка"</v>
      </c>
      <c r="N35" s="1265">
        <f>N69+$N$73</f>
        <v>28866</v>
      </c>
      <c r="O35" s="1266">
        <f>O69+$O$73</f>
        <v>48110</v>
      </c>
      <c r="P35" s="1267">
        <f>F35/O35-1</f>
        <v>2.3903554354605117E-3</v>
      </c>
      <c r="Q35" s="1271" t="str">
        <f t="shared" si="12"/>
        <v xml:space="preserve">Forest ДГ      </v>
      </c>
      <c r="R35" s="1272">
        <f t="shared" si="6"/>
        <v>27509.600000000002</v>
      </c>
      <c r="S35" s="1273">
        <f t="shared" si="7"/>
        <v>46390</v>
      </c>
      <c r="T35" s="1274">
        <f t="shared" si="13"/>
        <v>3.9555938779909372E-2</v>
      </c>
      <c r="U35" s="1452"/>
      <c r="V35" s="1456"/>
    </row>
    <row r="36" spans="1:24" collapsed="1">
      <c r="A36" s="1250"/>
      <c r="B36" s="1250"/>
      <c r="C36" s="1250"/>
      <c r="D36" s="1250"/>
      <c r="E36" s="1250"/>
      <c r="G36" s="1250"/>
      <c r="H36" s="1250"/>
      <c r="I36" s="1250"/>
      <c r="J36" s="1250"/>
      <c r="K36" s="1250"/>
      <c r="L36" s="1250"/>
      <c r="M36" s="1250"/>
      <c r="N36" s="1250"/>
      <c r="O36" s="1250"/>
      <c r="P36" s="1250"/>
      <c r="Q36" s="1250"/>
      <c r="R36" s="1250"/>
      <c r="S36" s="1250"/>
      <c r="T36" s="1250"/>
      <c r="U36" s="1453"/>
    </row>
    <row r="37" spans="1:24">
      <c r="B37" s="22" t="s">
        <v>912</v>
      </c>
      <c r="C37" s="22"/>
      <c r="I37" s="1250"/>
      <c r="J37" s="1250"/>
      <c r="K37" s="1250"/>
      <c r="L37" s="1250"/>
      <c r="M37" s="1250"/>
      <c r="N37" s="1250"/>
      <c r="O37" s="1250"/>
      <c r="P37" s="1250"/>
      <c r="Q37" s="1250"/>
      <c r="R37" s="1250"/>
      <c r="S37" s="1250"/>
      <c r="T37" s="1250"/>
      <c r="U37" s="1453"/>
    </row>
    <row r="38" spans="1:24" s="1234" customFormat="1" hidden="1" outlineLevel="1">
      <c r="B38" s="1291" t="str">
        <f>B4</f>
        <v>терем</v>
      </c>
      <c r="C38" s="1292">
        <f>C4</f>
        <v>0.39</v>
      </c>
      <c r="D38" s="1329">
        <f>D4</f>
        <v>1.639344262295082</v>
      </c>
      <c r="E38" s="1329"/>
      <c r="F38" s="1329">
        <f>F4</f>
        <v>0</v>
      </c>
      <c r="G38" s="1359"/>
      <c r="H38" s="1360"/>
      <c r="I38" s="1309" t="str">
        <f>I4</f>
        <v>волховец</v>
      </c>
      <c r="J38" s="1310">
        <f>J4</f>
        <v>0.36</v>
      </c>
      <c r="K38" s="1330" t="e">
        <f>K4</f>
        <v>#DIV/0!</v>
      </c>
      <c r="L38" s="1311"/>
      <c r="M38" s="1261" t="str">
        <f>M4</f>
        <v>дариано</v>
      </c>
      <c r="N38" s="1262">
        <f>N4</f>
        <v>0.4</v>
      </c>
      <c r="O38" s="1331" t="e">
        <f>O4</f>
        <v>#DIV/0!</v>
      </c>
      <c r="P38" s="1263"/>
      <c r="Q38" s="1268" t="str">
        <f>Q4</f>
        <v>рада</v>
      </c>
      <c r="R38" s="1269">
        <f>R4</f>
        <v>0.41</v>
      </c>
      <c r="S38" s="1332">
        <f>S4</f>
        <v>1.6855468517836127</v>
      </c>
      <c r="T38" s="1290"/>
      <c r="U38" s="1451"/>
      <c r="V38" s="1346"/>
    </row>
    <row r="39" spans="1:24" s="39" customFormat="1" ht="33.75" hidden="1" outlineLevel="1">
      <c r="A39" s="1352" t="s">
        <v>2160</v>
      </c>
      <c r="B39" s="1306" t="s">
        <v>1616</v>
      </c>
      <c r="C39" s="1306" t="s">
        <v>2136</v>
      </c>
      <c r="D39" s="1306" t="s">
        <v>2135</v>
      </c>
      <c r="E39" s="1306" t="s">
        <v>2137</v>
      </c>
      <c r="F39" s="1306" t="s">
        <v>2134</v>
      </c>
      <c r="G39" s="1306" t="s">
        <v>2139</v>
      </c>
      <c r="H39" s="1306" t="s">
        <v>2138</v>
      </c>
      <c r="I39" s="1312" t="s">
        <v>1616</v>
      </c>
      <c r="J39" s="1312" t="s">
        <v>1383</v>
      </c>
      <c r="K39" s="1312" t="s">
        <v>1618</v>
      </c>
      <c r="L39" s="1312" t="s">
        <v>1691</v>
      </c>
      <c r="M39" s="1264" t="s">
        <v>1616</v>
      </c>
      <c r="N39" s="1264" t="s">
        <v>1383</v>
      </c>
      <c r="O39" s="1264" t="s">
        <v>1618</v>
      </c>
      <c r="P39" s="1264" t="s">
        <v>1691</v>
      </c>
      <c r="Q39" s="1270" t="s">
        <v>1616</v>
      </c>
      <c r="R39" s="1270" t="s">
        <v>1383</v>
      </c>
      <c r="S39" s="1270" t="s">
        <v>1618</v>
      </c>
      <c r="T39" s="1270" t="s">
        <v>1620</v>
      </c>
      <c r="U39" s="1451"/>
      <c r="V39" s="1347"/>
      <c r="X39" s="1234"/>
    </row>
    <row r="40" spans="1:24" hidden="1" outlineLevel="1">
      <c r="A40" s="1445" t="e">
        <f>К_дуб!F31</f>
        <v>#REF!</v>
      </c>
      <c r="B40" s="1243" t="s">
        <v>1692</v>
      </c>
      <c r="C40" s="1257">
        <f t="shared" ref="C40:C47" si="14">D40*(1-$C$38)</f>
        <v>20526.5</v>
      </c>
      <c r="D40" s="1337">
        <f>'Classic Rimini '!H9</f>
        <v>33650</v>
      </c>
      <c r="E40" s="1257">
        <f>F40*(1-$C$38)</f>
        <v>20526.5</v>
      </c>
      <c r="F40" s="1246">
        <f t="shared" ref="F40:F69" si="15">D40+G40</f>
        <v>33650</v>
      </c>
      <c r="G40" s="1357"/>
      <c r="H40" s="1358">
        <f t="shared" ref="H40:H68" si="16">F40/D40-1</f>
        <v>0</v>
      </c>
      <c r="I40" s="1313"/>
      <c r="J40" s="1314"/>
      <c r="K40" s="1315"/>
      <c r="L40" s="1316"/>
      <c r="M40" s="1090"/>
      <c r="N40" s="1265"/>
      <c r="O40" s="1266"/>
      <c r="P40" s="1267"/>
      <c r="Q40" s="1271" t="s">
        <v>2105</v>
      </c>
      <c r="R40" s="1272">
        <f t="shared" ref="R40:R47" si="17">S40*(1-$R$38)</f>
        <v>16868.100000000002</v>
      </c>
      <c r="S40" s="1273">
        <v>28590</v>
      </c>
      <c r="T40" s="1274">
        <f t="shared" ref="T40:T47" si="18">F40/S40-1</f>
        <v>0.17698495977614548</v>
      </c>
      <c r="V40" s="1455"/>
      <c r="X40" s="1234"/>
    </row>
    <row r="41" spans="1:24" hidden="1" outlineLevel="1">
      <c r="A41" s="1445" t="e">
        <f>К_дуб!F32</f>
        <v>#REF!</v>
      </c>
      <c r="B41" s="1243" t="s">
        <v>1694</v>
      </c>
      <c r="C41" s="1257">
        <f t="shared" si="14"/>
        <v>20862</v>
      </c>
      <c r="D41" s="1337">
        <f>'Classic Rimini '!I9</f>
        <v>34200</v>
      </c>
      <c r="E41" s="1257">
        <f t="shared" ref="E41:E69" si="19">F41*(1-$C$38)</f>
        <v>20862</v>
      </c>
      <c r="F41" s="1246">
        <f t="shared" si="15"/>
        <v>34200</v>
      </c>
      <c r="G41" s="1357"/>
      <c r="H41" s="1358">
        <f t="shared" si="16"/>
        <v>0</v>
      </c>
      <c r="I41" s="1313"/>
      <c r="J41" s="1314"/>
      <c r="K41" s="1315"/>
      <c r="L41" s="1316"/>
      <c r="M41" s="1090"/>
      <c r="N41" s="1265"/>
      <c r="O41" s="1266"/>
      <c r="P41" s="1267"/>
      <c r="Q41" s="1271" t="s">
        <v>2106</v>
      </c>
      <c r="R41" s="1272">
        <f t="shared" si="17"/>
        <v>16714.7</v>
      </c>
      <c r="S41" s="1273">
        <v>28330</v>
      </c>
      <c r="T41" s="1274">
        <f t="shared" si="18"/>
        <v>0.20720084715848919</v>
      </c>
      <c r="V41" s="1455"/>
      <c r="X41" s="1234"/>
    </row>
    <row r="42" spans="1:24" hidden="1" outlineLevel="1">
      <c r="A42" s="1445" t="e">
        <f>К_дуб!F33</f>
        <v>#REF!</v>
      </c>
      <c r="B42" s="1243" t="s">
        <v>1696</v>
      </c>
      <c r="C42" s="1257">
        <f t="shared" si="14"/>
        <v>20099.5</v>
      </c>
      <c r="D42" s="1337">
        <f>'Classic Rimini '!G9</f>
        <v>32950</v>
      </c>
      <c r="E42" s="1257">
        <f t="shared" si="19"/>
        <v>20099.5</v>
      </c>
      <c r="F42" s="1246">
        <f t="shared" si="15"/>
        <v>32950</v>
      </c>
      <c r="G42" s="1357"/>
      <c r="H42" s="1358">
        <f t="shared" si="16"/>
        <v>0</v>
      </c>
      <c r="I42" s="1313"/>
      <c r="J42" s="1314"/>
      <c r="K42" s="1315"/>
      <c r="L42" s="1316"/>
      <c r="M42" s="1090"/>
      <c r="N42" s="1265"/>
      <c r="O42" s="1266"/>
      <c r="P42" s="1267"/>
      <c r="Q42" s="1271" t="s">
        <v>2107</v>
      </c>
      <c r="R42" s="1272">
        <f t="shared" si="17"/>
        <v>16130.600000000002</v>
      </c>
      <c r="S42" s="1273">
        <v>27340</v>
      </c>
      <c r="T42" s="1274">
        <f t="shared" si="18"/>
        <v>0.20519385515727873</v>
      </c>
      <c r="V42" s="1455"/>
      <c r="X42" s="1234"/>
    </row>
    <row r="43" spans="1:24" hidden="1" outlineLevel="1">
      <c r="A43" s="1445" t="e">
        <f>К_дуб!F34</f>
        <v>#REF!</v>
      </c>
      <c r="B43" s="1243" t="s">
        <v>1697</v>
      </c>
      <c r="C43" s="1257">
        <f t="shared" si="14"/>
        <v>0</v>
      </c>
      <c r="D43" s="1337">
        <f>'Classic Rimini '!K9</f>
        <v>0</v>
      </c>
      <c r="E43" s="1257">
        <f t="shared" si="19"/>
        <v>0</v>
      </c>
      <c r="F43" s="1246">
        <f t="shared" si="15"/>
        <v>0</v>
      </c>
      <c r="G43" s="1357"/>
      <c r="H43" s="1358" t="e">
        <f t="shared" si="16"/>
        <v>#DIV/0!</v>
      </c>
      <c r="I43" s="1313"/>
      <c r="J43" s="1314"/>
      <c r="K43" s="1315"/>
      <c r="L43" s="1316"/>
      <c r="M43" s="1090"/>
      <c r="N43" s="1265"/>
      <c r="O43" s="1266"/>
      <c r="P43" s="1267"/>
      <c r="Q43" s="1271" t="s">
        <v>2108</v>
      </c>
      <c r="R43" s="1272">
        <f t="shared" si="17"/>
        <v>15328.200000000003</v>
      </c>
      <c r="S43" s="1273">
        <v>25980</v>
      </c>
      <c r="T43" s="1274">
        <f t="shared" si="18"/>
        <v>-1</v>
      </c>
      <c r="V43" s="1455"/>
      <c r="X43" s="1234"/>
    </row>
    <row r="44" spans="1:24" hidden="1" outlineLevel="1">
      <c r="A44" s="1445" t="e">
        <f>К_дуб!F35</f>
        <v>#REF!</v>
      </c>
      <c r="B44" s="1243" t="s">
        <v>1698</v>
      </c>
      <c r="C44" s="1257" t="e">
        <f t="shared" si="14"/>
        <v>#REF!</v>
      </c>
      <c r="D44" s="1337" t="e">
        <f>'Classic Rimini '!#REF!</f>
        <v>#REF!</v>
      </c>
      <c r="E44" s="1257" t="e">
        <f t="shared" si="19"/>
        <v>#REF!</v>
      </c>
      <c r="F44" s="1246" t="e">
        <f t="shared" si="15"/>
        <v>#REF!</v>
      </c>
      <c r="G44" s="1357"/>
      <c r="H44" s="1358" t="e">
        <f t="shared" si="16"/>
        <v>#REF!</v>
      </c>
      <c r="I44" s="1313"/>
      <c r="J44" s="1314"/>
      <c r="K44" s="1315"/>
      <c r="L44" s="1316"/>
      <c r="M44" s="1090"/>
      <c r="N44" s="1265"/>
      <c r="O44" s="1266"/>
      <c r="P44" s="1267"/>
      <c r="Q44" s="1271" t="s">
        <v>2109</v>
      </c>
      <c r="R44" s="1272">
        <f t="shared" si="17"/>
        <v>24367.000000000004</v>
      </c>
      <c r="S44" s="1273">
        <v>41300</v>
      </c>
      <c r="T44" s="1274" t="e">
        <f t="shared" si="18"/>
        <v>#REF!</v>
      </c>
      <c r="V44" s="1455"/>
      <c r="X44" s="1234"/>
    </row>
    <row r="45" spans="1:24" hidden="1" outlineLevel="1">
      <c r="A45" s="1445" t="e">
        <f>К_дуб!F36</f>
        <v>#REF!</v>
      </c>
      <c r="B45" s="1243" t="s">
        <v>2127</v>
      </c>
      <c r="C45" s="1257" t="e">
        <f t="shared" si="14"/>
        <v>#REF!</v>
      </c>
      <c r="D45" s="1337" t="e">
        <f>D44+'Classic Rimini '!#REF!</f>
        <v>#REF!</v>
      </c>
      <c r="E45" s="1257" t="e">
        <f t="shared" si="19"/>
        <v>#REF!</v>
      </c>
      <c r="F45" s="1246" t="e">
        <f t="shared" si="15"/>
        <v>#REF!</v>
      </c>
      <c r="G45" s="1357"/>
      <c r="H45" s="1358" t="e">
        <f t="shared" si="16"/>
        <v>#REF!</v>
      </c>
      <c r="I45" s="1313"/>
      <c r="J45" s="1314"/>
      <c r="K45" s="1315"/>
      <c r="L45" s="1316"/>
      <c r="M45" s="1090"/>
      <c r="N45" s="1265"/>
      <c r="O45" s="1266"/>
      <c r="P45" s="1267"/>
      <c r="Q45" s="1271" t="s">
        <v>2132</v>
      </c>
      <c r="R45" s="1272">
        <f t="shared" si="17"/>
        <v>31517.800000000003</v>
      </c>
      <c r="S45" s="1273">
        <v>53420</v>
      </c>
      <c r="T45" s="1274" t="e">
        <f t="shared" si="18"/>
        <v>#REF!</v>
      </c>
      <c r="V45" s="1455"/>
      <c r="X45" s="1234"/>
    </row>
    <row r="46" spans="1:24" hidden="1" outlineLevel="1">
      <c r="A46" s="1445" t="e">
        <f>К_дуб!F37</f>
        <v>#REF!</v>
      </c>
      <c r="B46" s="1243" t="s">
        <v>1701</v>
      </c>
      <c r="C46" s="1257" t="e">
        <f t="shared" si="14"/>
        <v>#REF!</v>
      </c>
      <c r="D46" s="1337" t="e">
        <f>'Classic Rimini '!#REF!</f>
        <v>#REF!</v>
      </c>
      <c r="E46" s="1257" t="e">
        <f t="shared" si="19"/>
        <v>#REF!</v>
      </c>
      <c r="F46" s="1246" t="e">
        <f t="shared" si="15"/>
        <v>#REF!</v>
      </c>
      <c r="G46" s="1357"/>
      <c r="H46" s="1358" t="e">
        <f t="shared" si="16"/>
        <v>#REF!</v>
      </c>
      <c r="I46" s="1313"/>
      <c r="J46" s="1314"/>
      <c r="K46" s="1315"/>
      <c r="L46" s="1316"/>
      <c r="M46" s="1090"/>
      <c r="N46" s="1265"/>
      <c r="O46" s="1266"/>
      <c r="P46" s="1267"/>
      <c r="Q46" s="1271" t="s">
        <v>2110</v>
      </c>
      <c r="R46" s="1272">
        <f t="shared" si="17"/>
        <v>24367.000000000004</v>
      </c>
      <c r="S46" s="1273">
        <v>41300</v>
      </c>
      <c r="T46" s="1274" t="e">
        <f t="shared" si="18"/>
        <v>#REF!</v>
      </c>
      <c r="V46" s="1455"/>
      <c r="X46" s="1234"/>
    </row>
    <row r="47" spans="1:24" hidden="1" outlineLevel="1">
      <c r="A47" s="1445" t="e">
        <f>К_дуб!F38</f>
        <v>#REF!</v>
      </c>
      <c r="B47" s="1243" t="s">
        <v>2128</v>
      </c>
      <c r="C47" s="1257" t="e">
        <f t="shared" si="14"/>
        <v>#REF!</v>
      </c>
      <c r="D47" s="1337" t="e">
        <f>D46+'Classic Rimini '!#REF!</f>
        <v>#REF!</v>
      </c>
      <c r="E47" s="1257" t="e">
        <f t="shared" si="19"/>
        <v>#REF!</v>
      </c>
      <c r="F47" s="1246" t="e">
        <f t="shared" si="15"/>
        <v>#REF!</v>
      </c>
      <c r="G47" s="1357"/>
      <c r="H47" s="1358" t="e">
        <f t="shared" si="16"/>
        <v>#REF!</v>
      </c>
      <c r="I47" s="1313"/>
      <c r="J47" s="1314"/>
      <c r="K47" s="1315"/>
      <c r="L47" s="1316"/>
      <c r="M47" s="1090"/>
      <c r="N47" s="1265"/>
      <c r="O47" s="1266"/>
      <c r="P47" s="1267"/>
      <c r="Q47" s="1271" t="s">
        <v>2133</v>
      </c>
      <c r="R47" s="1272">
        <f t="shared" si="17"/>
        <v>31517.800000000003</v>
      </c>
      <c r="S47" s="1273">
        <v>53420</v>
      </c>
      <c r="T47" s="1274" t="e">
        <f t="shared" si="18"/>
        <v>#REF!</v>
      </c>
      <c r="V47" s="1455"/>
      <c r="X47" s="1234"/>
    </row>
    <row r="48" spans="1:24" hidden="1" outlineLevel="1">
      <c r="A48" s="1445" t="e">
        <f>К_дуб!#REF!</f>
        <v>#REF!</v>
      </c>
      <c r="B48" s="1243"/>
      <c r="C48" s="1257"/>
      <c r="D48" s="1337"/>
      <c r="E48" s="1257"/>
      <c r="F48" s="1246"/>
      <c r="G48" s="1357"/>
      <c r="H48" s="1358"/>
      <c r="I48" s="1313"/>
      <c r="J48" s="1314"/>
      <c r="K48" s="1315"/>
      <c r="L48" s="1316"/>
      <c r="M48" s="1090"/>
      <c r="N48" s="1265"/>
      <c r="O48" s="1266"/>
      <c r="P48" s="1267"/>
      <c r="Q48" s="1271"/>
      <c r="R48" s="1272"/>
      <c r="S48" s="1273">
        <v>0</v>
      </c>
      <c r="T48" s="1274"/>
      <c r="V48" s="1455"/>
      <c r="X48" s="1234"/>
    </row>
    <row r="49" spans="1:24" hidden="1" outlineLevel="1">
      <c r="A49" s="1445" t="e">
        <f>К_дуб!F39</f>
        <v>#REF!</v>
      </c>
      <c r="B49" s="1243" t="s">
        <v>1632</v>
      </c>
      <c r="C49" s="1257">
        <f t="shared" ref="C49:C69" si="20">D49*(1-$C$38)</f>
        <v>14762</v>
      </c>
      <c r="D49" s="1337">
        <f>Neoclassic!H9</f>
        <v>24200</v>
      </c>
      <c r="E49" s="1257">
        <f t="shared" si="19"/>
        <v>14762</v>
      </c>
      <c r="F49" s="1246">
        <f t="shared" si="15"/>
        <v>24200</v>
      </c>
      <c r="G49" s="1357"/>
      <c r="H49" s="1358">
        <f t="shared" si="16"/>
        <v>0</v>
      </c>
      <c r="I49" s="1317" t="s">
        <v>1633</v>
      </c>
      <c r="J49" s="1314">
        <f>K49*(1-$J$38)</f>
        <v>18303.36</v>
      </c>
      <c r="K49" s="1315">
        <v>28599</v>
      </c>
      <c r="L49" s="1316">
        <f t="shared" ref="L49:L55" si="21">F49/K49-1</f>
        <v>-0.15381656701283264</v>
      </c>
      <c r="M49" s="1097"/>
      <c r="N49" s="1265"/>
      <c r="O49" s="1266"/>
      <c r="P49" s="1267"/>
      <c r="Q49" s="1275" t="s">
        <v>2037</v>
      </c>
      <c r="R49" s="1272">
        <f>S49*(1-$R$38)</f>
        <v>13452.000000000002</v>
      </c>
      <c r="S49" s="1273">
        <v>22800</v>
      </c>
      <c r="T49" s="1274">
        <f>F49/S49-1</f>
        <v>6.1403508771929793E-2</v>
      </c>
      <c r="V49" s="1455"/>
      <c r="X49" s="1234"/>
    </row>
    <row r="50" spans="1:24" hidden="1" outlineLevel="1">
      <c r="A50" s="1445" t="e">
        <f>К_дуб!#REF!</f>
        <v>#REF!</v>
      </c>
      <c r="B50" s="1243" t="s">
        <v>1637</v>
      </c>
      <c r="C50" s="1257">
        <f t="shared" si="20"/>
        <v>0</v>
      </c>
      <c r="D50" s="1337">
        <f>Neoclassic!N9</f>
        <v>0</v>
      </c>
      <c r="E50" s="1257">
        <f t="shared" si="19"/>
        <v>0</v>
      </c>
      <c r="F50" s="1246">
        <f t="shared" si="15"/>
        <v>0</v>
      </c>
      <c r="G50" s="1357"/>
      <c r="H50" s="1358" t="e">
        <f t="shared" si="16"/>
        <v>#DIV/0!</v>
      </c>
      <c r="I50" s="1317" t="s">
        <v>1638</v>
      </c>
      <c r="J50" s="1314">
        <f>K50*(1-$J$38)</f>
        <v>18943.36</v>
      </c>
      <c r="K50" s="1315">
        <v>29599</v>
      </c>
      <c r="L50" s="1316">
        <f t="shared" si="21"/>
        <v>-1</v>
      </c>
      <c r="M50" s="1097"/>
      <c r="N50" s="1265"/>
      <c r="O50" s="1266"/>
      <c r="P50" s="1267"/>
      <c r="Q50" s="1275" t="s">
        <v>2045</v>
      </c>
      <c r="R50" s="1272">
        <f>S50*(1-$R$38)</f>
        <v>13452.000000000002</v>
      </c>
      <c r="S50" s="1273">
        <v>22800</v>
      </c>
      <c r="T50" s="1274">
        <f>F50/S50-1</f>
        <v>-1</v>
      </c>
      <c r="V50" s="1455"/>
      <c r="X50" s="1234"/>
    </row>
    <row r="51" spans="1:24" hidden="1" outlineLevel="1">
      <c r="A51" s="1445" t="e">
        <f>К_дуб!#REF!</f>
        <v>#REF!</v>
      </c>
      <c r="B51" s="1251" t="s">
        <v>1640</v>
      </c>
      <c r="C51" s="1257" t="e">
        <f t="shared" si="20"/>
        <v>#REF!</v>
      </c>
      <c r="D51" s="1337" t="e">
        <f>Neoclassic!#REF!</f>
        <v>#REF!</v>
      </c>
      <c r="E51" s="1257" t="e">
        <f t="shared" si="19"/>
        <v>#REF!</v>
      </c>
      <c r="F51" s="1246" t="e">
        <f t="shared" si="15"/>
        <v>#REF!</v>
      </c>
      <c r="G51" s="1357"/>
      <c r="H51" s="1358" t="e">
        <f t="shared" si="16"/>
        <v>#REF!</v>
      </c>
      <c r="I51" s="1317" t="s">
        <v>1641</v>
      </c>
      <c r="J51" s="1314">
        <f>K51*(1-$J$38)</f>
        <v>17151.36</v>
      </c>
      <c r="K51" s="1315">
        <v>26799</v>
      </c>
      <c r="L51" s="1316" t="e">
        <f t="shared" si="21"/>
        <v>#REF!</v>
      </c>
      <c r="M51" s="1097"/>
      <c r="N51" s="1265"/>
      <c r="O51" s="1266"/>
      <c r="P51" s="1267"/>
      <c r="Q51" s="1275" t="s">
        <v>2046</v>
      </c>
      <c r="R51" s="1272">
        <f>S51*(1-$R$38)</f>
        <v>13452.000000000002</v>
      </c>
      <c r="S51" s="1273">
        <v>22800</v>
      </c>
      <c r="T51" s="1274" t="e">
        <f>F51/S51-1</f>
        <v>#REF!</v>
      </c>
      <c r="V51" s="1455"/>
      <c r="X51" s="1234"/>
    </row>
    <row r="52" spans="1:24" hidden="1" outlineLevel="1">
      <c r="A52" s="1445" t="e">
        <f>К_дуб!#REF!</f>
        <v>#REF!</v>
      </c>
      <c r="B52" s="1251" t="s">
        <v>1635</v>
      </c>
      <c r="C52" s="1257">
        <f t="shared" si="20"/>
        <v>14762</v>
      </c>
      <c r="D52" s="1337">
        <f>Neoclassic!L9</f>
        <v>24200</v>
      </c>
      <c r="E52" s="1257">
        <f t="shared" si="19"/>
        <v>14762</v>
      </c>
      <c r="F52" s="1246">
        <f t="shared" si="15"/>
        <v>24200</v>
      </c>
      <c r="G52" s="1357"/>
      <c r="H52" s="1358">
        <f t="shared" si="16"/>
        <v>0</v>
      </c>
      <c r="I52" s="1317"/>
      <c r="J52" s="1314"/>
      <c r="K52" s="1315"/>
      <c r="L52" s="1316"/>
      <c r="M52" s="1097"/>
      <c r="N52" s="1265"/>
      <c r="O52" s="1266"/>
      <c r="P52" s="1267"/>
      <c r="Q52" s="1275" t="s">
        <v>2038</v>
      </c>
      <c r="R52" s="1272">
        <f>S52*(1-$R$38)</f>
        <v>13452.000000000002</v>
      </c>
      <c r="S52" s="1273">
        <v>22800</v>
      </c>
      <c r="T52" s="1274">
        <f>F52/S52-1</f>
        <v>6.1403508771929793E-2</v>
      </c>
      <c r="V52" s="1455"/>
      <c r="X52" s="1234"/>
    </row>
    <row r="53" spans="1:24" hidden="1" outlineLevel="1">
      <c r="A53" s="1445" t="e">
        <f>К_дуб!#REF!</f>
        <v>#REF!</v>
      </c>
      <c r="B53" s="1251" t="s">
        <v>1643</v>
      </c>
      <c r="C53" s="1257" t="e">
        <f t="shared" si="20"/>
        <v>#REF!</v>
      </c>
      <c r="D53" s="1337" t="e">
        <f>Neoclassic!#REF!</f>
        <v>#REF!</v>
      </c>
      <c r="E53" s="1257" t="e">
        <f t="shared" si="19"/>
        <v>#REF!</v>
      </c>
      <c r="F53" s="1246" t="e">
        <f t="shared" si="15"/>
        <v>#REF!</v>
      </c>
      <c r="G53" s="1357"/>
      <c r="H53" s="1358" t="e">
        <f t="shared" si="16"/>
        <v>#REF!</v>
      </c>
      <c r="I53" s="1317" t="s">
        <v>1644</v>
      </c>
      <c r="J53" s="1314">
        <f>K53*(1-$J$38)</f>
        <v>18303.36</v>
      </c>
      <c r="K53" s="1315">
        <v>28599</v>
      </c>
      <c r="L53" s="1316" t="e">
        <f t="shared" si="21"/>
        <v>#REF!</v>
      </c>
      <c r="M53" s="1097"/>
      <c r="N53" s="1265"/>
      <c r="O53" s="1266"/>
      <c r="P53" s="1267"/>
      <c r="Q53" s="1275"/>
      <c r="R53" s="1272"/>
      <c r="S53" s="1273">
        <v>0</v>
      </c>
      <c r="T53" s="1274"/>
      <c r="V53" s="1455"/>
      <c r="X53" s="1234"/>
    </row>
    <row r="54" spans="1:24" hidden="1" outlineLevel="1">
      <c r="A54" s="1445" t="e">
        <f>К_дуб!F40</f>
        <v>#REF!</v>
      </c>
      <c r="B54" s="1251" t="s">
        <v>949</v>
      </c>
      <c r="C54" s="1257">
        <f t="shared" si="20"/>
        <v>17934</v>
      </c>
      <c r="D54" s="1337">
        <f>Neoclassic!O9</f>
        <v>29400</v>
      </c>
      <c r="E54" s="1257">
        <f t="shared" si="19"/>
        <v>17934</v>
      </c>
      <c r="F54" s="1246">
        <f t="shared" si="15"/>
        <v>29400</v>
      </c>
      <c r="G54" s="1357"/>
      <c r="H54" s="1358">
        <f t="shared" si="16"/>
        <v>0</v>
      </c>
      <c r="I54" s="1317"/>
      <c r="J54" s="1314"/>
      <c r="K54" s="1315"/>
      <c r="L54" s="1316"/>
      <c r="M54" s="1097"/>
      <c r="N54" s="1265"/>
      <c r="O54" s="1266"/>
      <c r="P54" s="1267"/>
      <c r="Q54" s="1275"/>
      <c r="R54" s="1272"/>
      <c r="S54" s="1273">
        <v>0</v>
      </c>
      <c r="T54" s="1274"/>
      <c r="V54" s="1455"/>
      <c r="X54" s="1234"/>
    </row>
    <row r="55" spans="1:24" hidden="1" outlineLevel="1">
      <c r="A55" s="1445" t="e">
        <f>К_дуб!F41</f>
        <v>#REF!</v>
      </c>
      <c r="B55" s="1251" t="s">
        <v>2154</v>
      </c>
      <c r="C55" s="1257">
        <f t="shared" si="20"/>
        <v>20160.5</v>
      </c>
      <c r="D55" s="1338">
        <f>Standart!H13</f>
        <v>33050</v>
      </c>
      <c r="E55" s="1257">
        <f t="shared" si="19"/>
        <v>20160.5</v>
      </c>
      <c r="F55" s="1246">
        <f t="shared" si="15"/>
        <v>33050</v>
      </c>
      <c r="G55" s="1357"/>
      <c r="H55" s="1358">
        <f t="shared" si="16"/>
        <v>0</v>
      </c>
      <c r="I55" s="1313" t="s">
        <v>1645</v>
      </c>
      <c r="J55" s="1314">
        <f>K55*(1-$J$38)</f>
        <v>17791.36</v>
      </c>
      <c r="K55" s="1315">
        <v>27799</v>
      </c>
      <c r="L55" s="1316">
        <f t="shared" si="21"/>
        <v>0.18889168675132195</v>
      </c>
      <c r="M55" s="1090"/>
      <c r="N55" s="1265"/>
      <c r="O55" s="1266"/>
      <c r="P55" s="1267"/>
      <c r="Q55" s="1271"/>
      <c r="R55" s="1272"/>
      <c r="S55" s="1273">
        <v>0</v>
      </c>
      <c r="T55" s="1274"/>
      <c r="V55" s="1455"/>
      <c r="X55" s="1234"/>
    </row>
    <row r="56" spans="1:24" hidden="1" outlineLevel="1">
      <c r="A56" s="1445" t="e">
        <f>К_дуб!#REF!</f>
        <v>#REF!</v>
      </c>
      <c r="B56" s="1258" t="s">
        <v>1705</v>
      </c>
      <c r="C56" s="1257" t="e">
        <f t="shared" si="20"/>
        <v>#REF!</v>
      </c>
      <c r="D56" s="1338" t="e">
        <f>Standart!#REF!</f>
        <v>#REF!</v>
      </c>
      <c r="E56" s="1257" t="e">
        <f t="shared" si="19"/>
        <v>#REF!</v>
      </c>
      <c r="F56" s="1246" t="e">
        <f t="shared" si="15"/>
        <v>#REF!</v>
      </c>
      <c r="G56" s="1357"/>
      <c r="H56" s="1358" t="e">
        <f t="shared" si="16"/>
        <v>#REF!</v>
      </c>
      <c r="I56" s="1313"/>
      <c r="J56" s="1314"/>
      <c r="K56" s="1315"/>
      <c r="L56" s="1316"/>
      <c r="M56" s="1090"/>
      <c r="N56" s="1265"/>
      <c r="O56" s="1266"/>
      <c r="P56" s="1267"/>
      <c r="Q56" s="1271"/>
      <c r="R56" s="1272"/>
      <c r="S56" s="1273">
        <v>0</v>
      </c>
      <c r="T56" s="1274"/>
      <c r="V56" s="1455"/>
      <c r="X56" s="1234"/>
    </row>
    <row r="57" spans="1:24" hidden="1" outlineLevel="1">
      <c r="A57" s="1445" t="e">
        <f>К_дуб!#REF!</f>
        <v>#REF!</v>
      </c>
      <c r="B57" s="1258" t="s">
        <v>1339</v>
      </c>
      <c r="C57" s="1257">
        <f t="shared" si="20"/>
        <v>15677</v>
      </c>
      <c r="D57" s="1338">
        <f>Standart!I13</f>
        <v>25700</v>
      </c>
      <c r="E57" s="1257">
        <f t="shared" si="19"/>
        <v>15677</v>
      </c>
      <c r="F57" s="1246">
        <f t="shared" si="15"/>
        <v>25700</v>
      </c>
      <c r="G57" s="1357"/>
      <c r="H57" s="1358">
        <f t="shared" si="16"/>
        <v>0</v>
      </c>
      <c r="I57" s="1313"/>
      <c r="J57" s="1314"/>
      <c r="K57" s="1315"/>
      <c r="L57" s="1316"/>
      <c r="M57" s="1090"/>
      <c r="N57" s="1265"/>
      <c r="O57" s="1266"/>
      <c r="P57" s="1267"/>
      <c r="Q57" s="1271"/>
      <c r="R57" s="1272"/>
      <c r="S57" s="1273">
        <v>0</v>
      </c>
      <c r="T57" s="1274"/>
      <c r="V57" s="1455"/>
      <c r="X57" s="1234"/>
    </row>
    <row r="58" spans="1:24" hidden="1" outlineLevel="1">
      <c r="A58" s="1445" t="e">
        <f>К_дуб!#REF!</f>
        <v>#REF!</v>
      </c>
      <c r="B58" s="1258" t="s">
        <v>1340</v>
      </c>
      <c r="C58" s="1257">
        <f t="shared" si="20"/>
        <v>15372</v>
      </c>
      <c r="D58" s="1338">
        <f>Standart!J13</f>
        <v>25200</v>
      </c>
      <c r="E58" s="1257">
        <f t="shared" si="19"/>
        <v>15372</v>
      </c>
      <c r="F58" s="1246">
        <f t="shared" si="15"/>
        <v>25200</v>
      </c>
      <c r="G58" s="1357"/>
      <c r="H58" s="1358">
        <f t="shared" si="16"/>
        <v>0</v>
      </c>
      <c r="I58" s="1313"/>
      <c r="J58" s="1314"/>
      <c r="K58" s="1315"/>
      <c r="L58" s="1316"/>
      <c r="M58" s="1090"/>
      <c r="N58" s="1265"/>
      <c r="O58" s="1266"/>
      <c r="P58" s="1267"/>
      <c r="Q58" s="1271"/>
      <c r="R58" s="1272"/>
      <c r="S58" s="1273">
        <v>0</v>
      </c>
      <c r="T58" s="1274"/>
      <c r="V58" s="1455"/>
      <c r="X58" s="1234"/>
    </row>
    <row r="59" spans="1:24" hidden="1" outlineLevel="1">
      <c r="A59" s="1445" t="e">
        <f>К_дуб!#REF!</f>
        <v>#REF!</v>
      </c>
      <c r="B59" s="1243" t="s">
        <v>1365</v>
      </c>
      <c r="C59" s="1257" t="e">
        <f t="shared" si="20"/>
        <v>#REF!</v>
      </c>
      <c r="D59" s="1338" t="e">
        <f>'Standart Vario'!G21</f>
        <v>#REF!</v>
      </c>
      <c r="E59" s="1257" t="e">
        <f t="shared" si="19"/>
        <v>#REF!</v>
      </c>
      <c r="F59" s="1246" t="e">
        <f t="shared" si="15"/>
        <v>#REF!</v>
      </c>
      <c r="G59" s="1357"/>
      <c r="H59" s="1358" t="e">
        <f t="shared" si="16"/>
        <v>#REF!</v>
      </c>
      <c r="I59" s="1313"/>
      <c r="J59" s="1314"/>
      <c r="K59" s="1315"/>
      <c r="L59" s="1316"/>
      <c r="M59" s="1090"/>
      <c r="N59" s="1265"/>
      <c r="O59" s="1266"/>
      <c r="P59" s="1267"/>
      <c r="Q59" s="1271"/>
      <c r="R59" s="1272"/>
      <c r="S59" s="1273">
        <v>0</v>
      </c>
      <c r="T59" s="1274"/>
      <c r="V59" s="1455"/>
      <c r="X59" s="1234"/>
    </row>
    <row r="60" spans="1:24" hidden="1" outlineLevel="1">
      <c r="A60" s="1445" t="e">
        <f>К_дуб!#REF!</f>
        <v>#REF!</v>
      </c>
      <c r="B60" s="1243" t="s">
        <v>1359</v>
      </c>
      <c r="C60" s="1257" t="e">
        <f t="shared" si="20"/>
        <v>#REF!</v>
      </c>
      <c r="D60" s="1338" t="e">
        <f>'Standart Vario'!H21</f>
        <v>#REF!</v>
      </c>
      <c r="E60" s="1257" t="e">
        <f t="shared" si="19"/>
        <v>#REF!</v>
      </c>
      <c r="F60" s="1246" t="e">
        <f t="shared" si="15"/>
        <v>#REF!</v>
      </c>
      <c r="G60" s="1357"/>
      <c r="H60" s="1358" t="e">
        <f t="shared" si="16"/>
        <v>#REF!</v>
      </c>
      <c r="I60" s="1313"/>
      <c r="J60" s="1314"/>
      <c r="K60" s="1315"/>
      <c r="L60" s="1316"/>
      <c r="M60" s="1090"/>
      <c r="N60" s="1265"/>
      <c r="O60" s="1266"/>
      <c r="P60" s="1267"/>
      <c r="Q60" s="1271"/>
      <c r="R60" s="1272"/>
      <c r="S60" s="1273">
        <v>0</v>
      </c>
      <c r="T60" s="1274"/>
      <c r="V60" s="1455"/>
      <c r="X60" s="1234"/>
    </row>
    <row r="61" spans="1:24" hidden="1" outlineLevel="1">
      <c r="A61" s="1445" t="e">
        <f>К_дуб!#REF!</f>
        <v>#REF!</v>
      </c>
      <c r="B61" s="1243" t="s">
        <v>1706</v>
      </c>
      <c r="C61" s="1257" t="e">
        <f t="shared" si="20"/>
        <v>#REF!</v>
      </c>
      <c r="D61" s="1338" t="e">
        <f>'Standart Vario'!J21</f>
        <v>#REF!</v>
      </c>
      <c r="E61" s="1257" t="e">
        <f t="shared" si="19"/>
        <v>#REF!</v>
      </c>
      <c r="F61" s="1246" t="e">
        <f t="shared" si="15"/>
        <v>#REF!</v>
      </c>
      <c r="G61" s="1357"/>
      <c r="H61" s="1358" t="e">
        <f t="shared" si="16"/>
        <v>#REF!</v>
      </c>
      <c r="I61" s="1313"/>
      <c r="J61" s="1314"/>
      <c r="K61" s="1315"/>
      <c r="L61" s="1316"/>
      <c r="M61" s="1090"/>
      <c r="N61" s="1265"/>
      <c r="O61" s="1266"/>
      <c r="P61" s="1267"/>
      <c r="Q61" s="1271"/>
      <c r="R61" s="1272"/>
      <c r="S61" s="1273">
        <v>0</v>
      </c>
      <c r="T61" s="1274"/>
      <c r="V61" s="1455"/>
      <c r="X61" s="1234"/>
    </row>
    <row r="62" spans="1:24" hidden="1" outlineLevel="1">
      <c r="A62" s="1445" t="e">
        <f>К_дуб!F42</f>
        <v>#REF!</v>
      </c>
      <c r="B62" s="1243" t="s">
        <v>1360</v>
      </c>
      <c r="C62" s="1257">
        <f t="shared" si="20"/>
        <v>21380.5</v>
      </c>
      <c r="D62" s="1337">
        <f>Standart!K13</f>
        <v>35050</v>
      </c>
      <c r="E62" s="1257">
        <f t="shared" si="19"/>
        <v>21380.5</v>
      </c>
      <c r="F62" s="1246">
        <f t="shared" si="15"/>
        <v>35050</v>
      </c>
      <c r="G62" s="1357"/>
      <c r="H62" s="1358">
        <f t="shared" si="16"/>
        <v>0</v>
      </c>
      <c r="I62" s="1317" t="s">
        <v>1646</v>
      </c>
      <c r="J62" s="1314">
        <f>K62*(1-$J$38)</f>
        <v>22399.360000000001</v>
      </c>
      <c r="K62" s="1315">
        <v>34999</v>
      </c>
      <c r="L62" s="1316">
        <f>F62/K62-1</f>
        <v>1.4571844909854192E-3</v>
      </c>
      <c r="M62" s="1097"/>
      <c r="N62" s="1265"/>
      <c r="O62" s="1266"/>
      <c r="P62" s="1267"/>
      <c r="Q62" s="1275" t="s">
        <v>2111</v>
      </c>
      <c r="R62" s="1272">
        <f t="shared" ref="R62:R69" si="22">S62*(1-$R$38)</f>
        <v>12537.500000000002</v>
      </c>
      <c r="S62" s="1273">
        <v>21250</v>
      </c>
      <c r="T62" s="1274">
        <f t="shared" ref="T62:T69" si="23">F62/S62-1</f>
        <v>0.64941176470588236</v>
      </c>
      <c r="V62" s="1455"/>
      <c r="X62" s="1234"/>
    </row>
    <row r="63" spans="1:24" hidden="1" outlineLevel="1">
      <c r="A63" s="1445" t="e">
        <f>К_дуб!F43</f>
        <v>#REF!</v>
      </c>
      <c r="B63" s="1243" t="s">
        <v>1647</v>
      </c>
      <c r="C63" s="1257">
        <f t="shared" si="20"/>
        <v>14548.5</v>
      </c>
      <c r="D63" s="1337">
        <f>Techno_Porte!G22</f>
        <v>23850</v>
      </c>
      <c r="E63" s="1257">
        <f t="shared" si="19"/>
        <v>14548.5</v>
      </c>
      <c r="F63" s="1246">
        <f t="shared" si="15"/>
        <v>23850</v>
      </c>
      <c r="G63" s="1357"/>
      <c r="H63" s="1358">
        <f t="shared" si="16"/>
        <v>0</v>
      </c>
      <c r="I63" s="1317" t="s">
        <v>1648</v>
      </c>
      <c r="J63" s="1314">
        <f>K63*(1-$J$38)</f>
        <v>14015.36</v>
      </c>
      <c r="K63" s="1315">
        <v>21899</v>
      </c>
      <c r="L63" s="1316">
        <f>F63/K63-1</f>
        <v>8.909082606511709E-2</v>
      </c>
      <c r="M63" s="1097" t="s">
        <v>1649</v>
      </c>
      <c r="N63" s="1265">
        <f>O63*(1-$N$38)</f>
        <v>14628</v>
      </c>
      <c r="O63" s="1266">
        <v>24380</v>
      </c>
      <c r="P63" s="1267">
        <f>F63/O63-1</f>
        <v>-2.1739130434782594E-2</v>
      </c>
      <c r="Q63" s="1275" t="s">
        <v>1650</v>
      </c>
      <c r="R63" s="1272">
        <f t="shared" si="22"/>
        <v>10106.700000000001</v>
      </c>
      <c r="S63" s="1273">
        <v>17130</v>
      </c>
      <c r="T63" s="1274">
        <f t="shared" si="23"/>
        <v>0.39229422066549913</v>
      </c>
      <c r="V63" s="1455"/>
      <c r="X63" s="1234"/>
    </row>
    <row r="64" spans="1:24" hidden="1" outlineLevel="1">
      <c r="A64" s="1445" t="e">
        <f>К_дуб!F44</f>
        <v>#REF!</v>
      </c>
      <c r="B64" s="1243" t="s">
        <v>1651</v>
      </c>
      <c r="C64" s="1257" t="e">
        <f t="shared" si="20"/>
        <v>#REF!</v>
      </c>
      <c r="D64" s="1337" t="e">
        <f>Techno_Porte!#REF!</f>
        <v>#REF!</v>
      </c>
      <c r="E64" s="1257" t="e">
        <f t="shared" si="19"/>
        <v>#REF!</v>
      </c>
      <c r="F64" s="1246" t="e">
        <f t="shared" si="15"/>
        <v>#REF!</v>
      </c>
      <c r="G64" s="1357"/>
      <c r="H64" s="1358" t="e">
        <f t="shared" si="16"/>
        <v>#REF!</v>
      </c>
      <c r="I64" s="1313"/>
      <c r="J64" s="1314"/>
      <c r="K64" s="1315"/>
      <c r="L64" s="1316"/>
      <c r="M64" s="1090" t="s">
        <v>1652</v>
      </c>
      <c r="N64" s="1265">
        <f>O64*(1-$N$38)</f>
        <v>0</v>
      </c>
      <c r="O64" s="1266"/>
      <c r="P64" s="1267" t="e">
        <f>F64/O64-1</f>
        <v>#REF!</v>
      </c>
      <c r="Q64" s="1271" t="s">
        <v>1653</v>
      </c>
      <c r="R64" s="1272">
        <f t="shared" si="22"/>
        <v>10513.800000000001</v>
      </c>
      <c r="S64" s="1273">
        <v>17820</v>
      </c>
      <c r="T64" s="1274" t="e">
        <f t="shared" si="23"/>
        <v>#REF!</v>
      </c>
      <c r="V64" s="1455"/>
      <c r="X64" s="1234"/>
    </row>
    <row r="65" spans="1:25" hidden="1" outlineLevel="1">
      <c r="A65" s="1445">
        <f>К_дуб!F45</f>
        <v>0</v>
      </c>
      <c r="B65" s="1243" t="s">
        <v>1654</v>
      </c>
      <c r="C65" s="1257" t="e">
        <f t="shared" si="20"/>
        <v>#REF!</v>
      </c>
      <c r="D65" s="1337" t="e">
        <f>Techno_Porte!#REF!</f>
        <v>#REF!</v>
      </c>
      <c r="E65" s="1257" t="e">
        <f t="shared" si="19"/>
        <v>#REF!</v>
      </c>
      <c r="F65" s="1246" t="e">
        <f t="shared" si="15"/>
        <v>#REF!</v>
      </c>
      <c r="G65" s="1357"/>
      <c r="H65" s="1358" t="e">
        <f t="shared" si="16"/>
        <v>#REF!</v>
      </c>
      <c r="I65" s="1313"/>
      <c r="J65" s="1314"/>
      <c r="K65" s="1315"/>
      <c r="L65" s="1316"/>
      <c r="M65" s="1090" t="s">
        <v>1655</v>
      </c>
      <c r="N65" s="1265">
        <f>O65*(1-$N$38)</f>
        <v>0</v>
      </c>
      <c r="O65" s="1266"/>
      <c r="P65" s="1267" t="e">
        <f>F65/O65-1</f>
        <v>#REF!</v>
      </c>
      <c r="Q65" s="1271" t="s">
        <v>1656</v>
      </c>
      <c r="R65" s="1272">
        <f t="shared" si="22"/>
        <v>10513.800000000001</v>
      </c>
      <c r="S65" s="1273">
        <v>17820</v>
      </c>
      <c r="T65" s="1274" t="e">
        <f t="shared" si="23"/>
        <v>#REF!</v>
      </c>
      <c r="V65" s="1455"/>
      <c r="X65" s="1234"/>
    </row>
    <row r="66" spans="1:25" hidden="1" outlineLevel="1">
      <c r="A66" s="1445" t="e">
        <f>К_дуб!F46</f>
        <v>#REF!</v>
      </c>
      <c r="B66" s="1243" t="s">
        <v>1657</v>
      </c>
      <c r="C66" s="1257">
        <f t="shared" si="20"/>
        <v>16866.5</v>
      </c>
      <c r="D66" s="1337">
        <f>Techno_Vetro!G19</f>
        <v>27650</v>
      </c>
      <c r="E66" s="1257">
        <f t="shared" si="19"/>
        <v>16866.5</v>
      </c>
      <c r="F66" s="1246">
        <f t="shared" si="15"/>
        <v>27650</v>
      </c>
      <c r="G66" s="1357"/>
      <c r="H66" s="1358">
        <f t="shared" si="16"/>
        <v>0</v>
      </c>
      <c r="I66" s="1313"/>
      <c r="J66" s="1314"/>
      <c r="K66" s="1315"/>
      <c r="L66" s="1316"/>
      <c r="M66" s="1090" t="s">
        <v>1658</v>
      </c>
      <c r="N66" s="1265">
        <f>O66*(1-$N$38)</f>
        <v>0</v>
      </c>
      <c r="O66" s="1266"/>
      <c r="P66" s="1267" t="e">
        <f>F66/O66-1</f>
        <v>#DIV/0!</v>
      </c>
      <c r="Q66" s="1271" t="s">
        <v>1659</v>
      </c>
      <c r="R66" s="1272">
        <f t="shared" si="22"/>
        <v>13971.200000000003</v>
      </c>
      <c r="S66" s="1273">
        <v>23680</v>
      </c>
      <c r="T66" s="1274">
        <f t="shared" si="23"/>
        <v>0.16765202702702697</v>
      </c>
      <c r="V66" s="1455"/>
      <c r="X66" s="1234"/>
    </row>
    <row r="67" spans="1:25" hidden="1" outlineLevel="1">
      <c r="A67" s="1445" t="e">
        <f>К_дуб!F47</f>
        <v>#REF!</v>
      </c>
      <c r="B67" s="1243" t="s">
        <v>1660</v>
      </c>
      <c r="C67" s="1257">
        <f t="shared" si="20"/>
        <v>17903.5</v>
      </c>
      <c r="D67" s="1337">
        <f>Techno_Vetro!H19</f>
        <v>29350</v>
      </c>
      <c r="E67" s="1257">
        <f t="shared" si="19"/>
        <v>17903.5</v>
      </c>
      <c r="F67" s="1246">
        <f t="shared" si="15"/>
        <v>29350</v>
      </c>
      <c r="G67" s="1357"/>
      <c r="H67" s="1358">
        <f t="shared" si="16"/>
        <v>0</v>
      </c>
      <c r="I67" s="1313"/>
      <c r="J67" s="1314"/>
      <c r="K67" s="1315"/>
      <c r="L67" s="1316"/>
      <c r="M67" s="1090"/>
      <c r="N67" s="1265"/>
      <c r="O67" s="1266"/>
      <c r="P67" s="1267"/>
      <c r="Q67" s="1271" t="s">
        <v>1661</v>
      </c>
      <c r="R67" s="1272">
        <f t="shared" si="22"/>
        <v>14679.200000000003</v>
      </c>
      <c r="S67" s="1273">
        <v>24880</v>
      </c>
      <c r="T67" s="1274">
        <f t="shared" si="23"/>
        <v>0.17966237942122176</v>
      </c>
      <c r="V67" s="1455"/>
      <c r="X67" s="1234"/>
    </row>
    <row r="68" spans="1:25" hidden="1" outlineLevel="1">
      <c r="A68" s="1445" t="e">
        <f>К_дуб!F48</f>
        <v>#REF!</v>
      </c>
      <c r="B68" s="1243" t="s">
        <v>1662</v>
      </c>
      <c r="C68" s="1257">
        <f t="shared" si="20"/>
        <v>17903.5</v>
      </c>
      <c r="D68" s="1337">
        <f>Techno_Vetro!J19</f>
        <v>29350</v>
      </c>
      <c r="E68" s="1257">
        <f t="shared" si="19"/>
        <v>17903.5</v>
      </c>
      <c r="F68" s="1246">
        <f t="shared" si="15"/>
        <v>29350</v>
      </c>
      <c r="G68" s="1357"/>
      <c r="H68" s="1358">
        <f t="shared" si="16"/>
        <v>0</v>
      </c>
      <c r="I68" s="1313"/>
      <c r="J68" s="1314"/>
      <c r="K68" s="1315"/>
      <c r="L68" s="1316"/>
      <c r="M68" s="1090" t="s">
        <v>1663</v>
      </c>
      <c r="N68" s="1265">
        <f>O68*(1-$N$38)</f>
        <v>0</v>
      </c>
      <c r="O68" s="1266"/>
      <c r="P68" s="1267" t="e">
        <f>F68/O68-1</f>
        <v>#DIV/0!</v>
      </c>
      <c r="Q68" s="1271" t="s">
        <v>1664</v>
      </c>
      <c r="R68" s="1272">
        <f t="shared" si="22"/>
        <v>14679.200000000003</v>
      </c>
      <c r="S68" s="1273">
        <v>24880</v>
      </c>
      <c r="T68" s="1274">
        <f t="shared" si="23"/>
        <v>0.17966237942122176</v>
      </c>
      <c r="V68" s="1455"/>
      <c r="X68" s="1234"/>
    </row>
    <row r="69" spans="1:25" hidden="1" outlineLevel="1">
      <c r="B69" s="1243" t="s">
        <v>2171</v>
      </c>
      <c r="C69" s="1257">
        <f t="shared" si="20"/>
        <v>20648.5</v>
      </c>
      <c r="D69" s="1337">
        <f>Design!G13</f>
        <v>33850</v>
      </c>
      <c r="E69" s="1257">
        <f t="shared" si="19"/>
        <v>20648.5</v>
      </c>
      <c r="F69" s="1246">
        <f t="shared" si="15"/>
        <v>33850</v>
      </c>
      <c r="G69" s="1357"/>
      <c r="H69" s="1358"/>
      <c r="I69" s="1313"/>
      <c r="J69" s="1314"/>
      <c r="K69" s="1315"/>
      <c r="L69" s="1316"/>
      <c r="M69" s="1090" t="s">
        <v>1707</v>
      </c>
      <c r="N69" s="1265">
        <f>O69*(1-$N$38)</f>
        <v>22356</v>
      </c>
      <c r="O69" s="1266">
        <v>37260</v>
      </c>
      <c r="P69" s="1267">
        <f>F69/O69-1</f>
        <v>-9.1519055287171192E-2</v>
      </c>
      <c r="Q69" s="1271" t="s">
        <v>2172</v>
      </c>
      <c r="R69" s="1272">
        <f t="shared" si="22"/>
        <v>19139.600000000002</v>
      </c>
      <c r="S69" s="1273">
        <v>32440</v>
      </c>
      <c r="T69" s="1274">
        <f t="shared" si="23"/>
        <v>4.3464858199753431E-2</v>
      </c>
      <c r="X69" s="1234"/>
    </row>
    <row r="70" spans="1:25" collapsed="1">
      <c r="B70" s="1252"/>
      <c r="C70" s="1252"/>
      <c r="D70" s="1339"/>
      <c r="E70" s="1339"/>
      <c r="F70" s="1253"/>
      <c r="G70" s="1361"/>
      <c r="H70" s="1362"/>
      <c r="I70" s="1253"/>
      <c r="J70" s="1253"/>
      <c r="K70" s="1253"/>
      <c r="L70" s="1253"/>
      <c r="M70" s="1253"/>
      <c r="N70" s="1253"/>
      <c r="O70" s="1253"/>
      <c r="P70" s="1253"/>
      <c r="Q70" s="1253"/>
      <c r="R70" s="1253"/>
      <c r="S70" s="1253"/>
      <c r="T70" s="1253"/>
      <c r="X70" s="1234"/>
    </row>
    <row r="71" spans="1:25">
      <c r="B71" s="22" t="s">
        <v>909</v>
      </c>
      <c r="C71" s="1252"/>
      <c r="D71" s="1339"/>
      <c r="E71" s="1339"/>
      <c r="F71" s="1253"/>
      <c r="G71" s="1361"/>
      <c r="H71" s="1362"/>
      <c r="I71" s="1253"/>
      <c r="J71" s="1253"/>
      <c r="K71" s="1253"/>
      <c r="L71" s="1253"/>
      <c r="M71" s="1253"/>
      <c r="N71" s="1253"/>
      <c r="O71" s="1253"/>
      <c r="P71" s="1253"/>
      <c r="Q71" s="1253"/>
      <c r="R71" s="1253"/>
      <c r="S71" s="1253"/>
      <c r="T71" s="1253"/>
      <c r="X71" s="1234"/>
    </row>
    <row r="72" spans="1:25">
      <c r="B72" s="1341" t="s">
        <v>2141</v>
      </c>
      <c r="C72" s="1344">
        <f>D72*(1-C74)</f>
        <v>9760</v>
      </c>
      <c r="D72" s="1342">
        <f>D82*2.5+D83*5</f>
        <v>16000</v>
      </c>
      <c r="E72" s="1344">
        <f>F72*(1-C74)</f>
        <v>9760</v>
      </c>
      <c r="F72" s="1342">
        <f>F82*2.5+F83*5</f>
        <v>16000</v>
      </c>
      <c r="G72" s="1363">
        <f>F72-D72</f>
        <v>0</v>
      </c>
      <c r="H72" s="1364">
        <f>F72/D72-1</f>
        <v>0</v>
      </c>
      <c r="I72" s="1368" t="s">
        <v>2148</v>
      </c>
      <c r="J72" s="1314">
        <f>K72*(1-$J$74)</f>
        <v>8640</v>
      </c>
      <c r="K72" s="1372">
        <f>K82*2.5+K83*5</f>
        <v>13500</v>
      </c>
      <c r="L72" s="1322">
        <f>F72/K72-1</f>
        <v>0.18518518518518512</v>
      </c>
      <c r="M72" s="1369" t="s">
        <v>2148</v>
      </c>
      <c r="N72" s="1265">
        <f>O72*(1-$N$74)</f>
        <v>0</v>
      </c>
      <c r="O72" s="1373">
        <f>O82*2.5+O83*5</f>
        <v>0</v>
      </c>
      <c r="P72" s="1297" t="e">
        <f>F72/O72-1</f>
        <v>#DIV/0!</v>
      </c>
      <c r="Q72" s="1289" t="s">
        <v>2148</v>
      </c>
      <c r="R72" s="1272">
        <f>S72*(1-$R$74)</f>
        <v>8024.0000000000009</v>
      </c>
      <c r="S72" s="1374">
        <f>S82*2.5+S83*5</f>
        <v>13600</v>
      </c>
      <c r="T72" s="1300">
        <f>F72/S72-1</f>
        <v>0.17647058823529416</v>
      </c>
      <c r="X72" s="1234"/>
    </row>
    <row r="73" spans="1:25" hidden="1" outlineLevel="1">
      <c r="B73" s="1341" t="s">
        <v>2140</v>
      </c>
      <c r="C73" s="1344">
        <f>D73*(1-C74)</f>
        <v>8768.75</v>
      </c>
      <c r="D73" s="1342">
        <f>D76*2.5+D77*5</f>
        <v>14375</v>
      </c>
      <c r="E73" s="1342">
        <f>F73*(1-C74)</f>
        <v>8768.75</v>
      </c>
      <c r="F73" s="1343">
        <f>F76*2.5+F77*5</f>
        <v>14375</v>
      </c>
      <c r="G73" s="1363">
        <f>F73-D73</f>
        <v>0</v>
      </c>
      <c r="H73" s="1364">
        <f>F73/D73-1</f>
        <v>0</v>
      </c>
      <c r="I73" s="1368" t="s">
        <v>2149</v>
      </c>
      <c r="J73" s="1314">
        <f>K73*(1-$J$74)</f>
        <v>8512</v>
      </c>
      <c r="K73" s="1372">
        <f>K76*2.5+K77*5</f>
        <v>13300</v>
      </c>
      <c r="L73" s="1322">
        <f>F73/K73-1</f>
        <v>8.0827067669172914E-2</v>
      </c>
      <c r="M73" s="1369" t="s">
        <v>2149</v>
      </c>
      <c r="N73" s="1265">
        <f>O73*(1-$N$74)</f>
        <v>6510</v>
      </c>
      <c r="O73" s="1373">
        <f>O76*2.5+O77*5</f>
        <v>10850</v>
      </c>
      <c r="P73" s="1297">
        <f>F73/O73-1</f>
        <v>0.3248847926267282</v>
      </c>
      <c r="Q73" s="1289" t="s">
        <v>2149</v>
      </c>
      <c r="R73" s="1272">
        <f>S73*(1-$N$74)</f>
        <v>8370</v>
      </c>
      <c r="S73" s="1374">
        <f>S76*2.5+S77*5</f>
        <v>13950</v>
      </c>
      <c r="T73" s="1300">
        <f>F73/S73-1</f>
        <v>3.0465949820788429E-2</v>
      </c>
      <c r="V73" s="24"/>
      <c r="X73" s="1234"/>
    </row>
    <row r="74" spans="1:25" s="1375" customFormat="1" hidden="1" outlineLevel="1">
      <c r="B74" s="1376" t="str">
        <f>B4</f>
        <v>терем</v>
      </c>
      <c r="C74" s="1377">
        <f>C4</f>
        <v>0.39</v>
      </c>
      <c r="D74" s="1378">
        <f>D4</f>
        <v>1.639344262295082</v>
      </c>
      <c r="E74" s="1378"/>
      <c r="F74" s="1378">
        <f>F4</f>
        <v>0</v>
      </c>
      <c r="G74" s="1379"/>
      <c r="H74" s="1380"/>
      <c r="I74" s="1381" t="str">
        <f>I4</f>
        <v>волховец</v>
      </c>
      <c r="J74" s="1382">
        <f>J4</f>
        <v>0.36</v>
      </c>
      <c r="K74" s="1383" t="e">
        <f>K4</f>
        <v>#DIV/0!</v>
      </c>
      <c r="L74" s="1381"/>
      <c r="M74" s="1384" t="str">
        <f>M4</f>
        <v>дариано</v>
      </c>
      <c r="N74" s="1385">
        <f>N4</f>
        <v>0.4</v>
      </c>
      <c r="O74" s="1386" t="e">
        <f>O4</f>
        <v>#DIV/0!</v>
      </c>
      <c r="P74" s="1384"/>
      <c r="Q74" s="1387" t="str">
        <f>Q4</f>
        <v>рада</v>
      </c>
      <c r="R74" s="1388">
        <f>R4</f>
        <v>0.41</v>
      </c>
      <c r="S74" s="1389">
        <f>S4</f>
        <v>1.6855468517836127</v>
      </c>
      <c r="T74" s="1387"/>
      <c r="U74" s="1449"/>
      <c r="V74" s="1457"/>
      <c r="W74" s="22"/>
      <c r="X74" s="1234"/>
      <c r="Y74" s="22"/>
    </row>
    <row r="75" spans="1:25" s="1305" customFormat="1" ht="24.75" hidden="1" outlineLevel="1">
      <c r="A75" s="1352" t="s">
        <v>2160</v>
      </c>
      <c r="B75" s="1306" t="s">
        <v>1616</v>
      </c>
      <c r="C75" s="1306" t="s">
        <v>2136</v>
      </c>
      <c r="D75" s="1306" t="s">
        <v>2135</v>
      </c>
      <c r="E75" s="1306" t="s">
        <v>2137</v>
      </c>
      <c r="F75" s="1306" t="s">
        <v>2134</v>
      </c>
      <c r="G75" s="1306" t="s">
        <v>2139</v>
      </c>
      <c r="H75" s="1306" t="s">
        <v>2138</v>
      </c>
      <c r="I75" s="1318" t="s">
        <v>1616</v>
      </c>
      <c r="J75" s="1318" t="s">
        <v>1383</v>
      </c>
      <c r="K75" s="1318" t="s">
        <v>1618</v>
      </c>
      <c r="L75" s="1318" t="s">
        <v>1691</v>
      </c>
      <c r="M75" s="1308" t="s">
        <v>1616</v>
      </c>
      <c r="N75" s="1308" t="s">
        <v>1383</v>
      </c>
      <c r="O75" s="1308" t="s">
        <v>1618</v>
      </c>
      <c r="P75" s="1308" t="s">
        <v>1620</v>
      </c>
      <c r="Q75" s="1307" t="s">
        <v>1616</v>
      </c>
      <c r="R75" s="1307" t="s">
        <v>1383</v>
      </c>
      <c r="S75" s="1307" t="s">
        <v>1618</v>
      </c>
      <c r="T75" s="1307" t="s">
        <v>1620</v>
      </c>
      <c r="U75" s="1450"/>
      <c r="V75" s="24"/>
      <c r="W75" s="589"/>
      <c r="X75" s="1234"/>
      <c r="Y75" s="589"/>
    </row>
    <row r="76" spans="1:25" s="33" customFormat="1" ht="45" hidden="1" outlineLevel="1">
      <c r="A76" s="1446" t="e">
        <f>К_дуб!F74</f>
        <v>#REF!</v>
      </c>
      <c r="B76" s="1293" t="s">
        <v>1673</v>
      </c>
      <c r="C76" s="1304">
        <f>D76*(1-$C$74)</f>
        <v>1677.5</v>
      </c>
      <c r="D76" s="1340">
        <f>Погонаж!C15</f>
        <v>2750</v>
      </c>
      <c r="E76" s="1304">
        <f>F76*(1-$C$74)</f>
        <v>1677.5</v>
      </c>
      <c r="F76" s="1301">
        <f t="shared" ref="F76:F81" si="24">D76+G76</f>
        <v>2750</v>
      </c>
      <c r="G76" s="1365"/>
      <c r="H76" s="1366">
        <f>F76/D76-1</f>
        <v>0</v>
      </c>
      <c r="I76" s="1335" t="s">
        <v>1674</v>
      </c>
      <c r="J76" s="1320">
        <f>K76*(1-$J$74)</f>
        <v>1664</v>
      </c>
      <c r="K76" s="1321">
        <f>6500/2.5</f>
        <v>2600</v>
      </c>
      <c r="L76" s="1322">
        <f>F76/K76-1</f>
        <v>5.7692307692307709E-2</v>
      </c>
      <c r="M76" s="1334" t="s">
        <v>1708</v>
      </c>
      <c r="N76" s="1295">
        <f>O76*(1-$N$74)</f>
        <v>984</v>
      </c>
      <c r="O76" s="1296">
        <v>1640</v>
      </c>
      <c r="P76" s="1297">
        <f>F76/O76-1</f>
        <v>0.67682926829268286</v>
      </c>
      <c r="Q76" s="1333" t="s">
        <v>2112</v>
      </c>
      <c r="R76" s="1298">
        <f>S76*(1-$R$74)</f>
        <v>1427.8000000000002</v>
      </c>
      <c r="S76" s="1299">
        <v>2420</v>
      </c>
      <c r="T76" s="1300">
        <f>F76/S76-1</f>
        <v>0.13636363636363646</v>
      </c>
      <c r="U76" s="1451"/>
      <c r="V76" s="1455"/>
      <c r="W76" s="589"/>
      <c r="X76" s="1234"/>
      <c r="Y76" s="589"/>
    </row>
    <row r="77" spans="1:25" s="33" customFormat="1" ht="22.5" hidden="1" outlineLevel="1">
      <c r="A77" s="1446" t="e">
        <f>К_дуб!F75</f>
        <v>#REF!</v>
      </c>
      <c r="B77" s="1293" t="s">
        <v>1709</v>
      </c>
      <c r="C77" s="1304">
        <f>D77*(1-$C$74)</f>
        <v>915</v>
      </c>
      <c r="D77" s="1340">
        <f>Погонаж!E15</f>
        <v>1500</v>
      </c>
      <c r="E77" s="1304">
        <f>F77*(1-$C$74)</f>
        <v>915</v>
      </c>
      <c r="F77" s="1301">
        <f t="shared" si="24"/>
        <v>1500</v>
      </c>
      <c r="G77" s="1365"/>
      <c r="H77" s="1366">
        <f t="shared" ref="H77:H92" si="25">F77/D77-1</f>
        <v>0</v>
      </c>
      <c r="I77" s="1335" t="s">
        <v>1676</v>
      </c>
      <c r="J77" s="1320">
        <f t="shared" ref="J77:J87" si="26">K77*(1-$J$74)</f>
        <v>870.4</v>
      </c>
      <c r="K77" s="1321">
        <f>3400/2.5</f>
        <v>1360</v>
      </c>
      <c r="L77" s="1322">
        <f>F77/K77-1</f>
        <v>0.10294117647058831</v>
      </c>
      <c r="M77" s="1334" t="s">
        <v>1677</v>
      </c>
      <c r="N77" s="1295">
        <f>O77*(1-$N$74)</f>
        <v>810</v>
      </c>
      <c r="O77" s="1296">
        <v>1350</v>
      </c>
      <c r="P77" s="1297">
        <f>F77/O77-1</f>
        <v>0.11111111111111116</v>
      </c>
      <c r="Q77" s="1333" t="s">
        <v>2029</v>
      </c>
      <c r="R77" s="1298">
        <f>S77*(1-$R$74)</f>
        <v>932.20000000000016</v>
      </c>
      <c r="S77" s="1299">
        <v>1580</v>
      </c>
      <c r="T77" s="1300">
        <f t="shared" ref="T77:T84" si="27">F77/S77-1</f>
        <v>-5.0632911392405111E-2</v>
      </c>
      <c r="U77" s="1451"/>
      <c r="V77" s="1455"/>
      <c r="W77" s="589"/>
      <c r="X77" s="1234"/>
      <c r="Y77" s="589"/>
    </row>
    <row r="78" spans="1:25" s="33" customFormat="1" ht="22.5" hidden="1" outlineLevel="1">
      <c r="A78" s="1446" t="e">
        <f>К_дуб!F76</f>
        <v>#REF!</v>
      </c>
      <c r="B78" s="1293" t="s">
        <v>1710</v>
      </c>
      <c r="C78" s="1304">
        <f>D78*(1-$C$74)</f>
        <v>1037</v>
      </c>
      <c r="D78" s="1340">
        <f>Погонаж!F15</f>
        <v>1700</v>
      </c>
      <c r="E78" s="1304">
        <f>F78*(1-$C$74)</f>
        <v>1037</v>
      </c>
      <c r="F78" s="1301">
        <f t="shared" si="24"/>
        <v>1700</v>
      </c>
      <c r="G78" s="1365"/>
      <c r="H78" s="1366">
        <f t="shared" si="25"/>
        <v>0</v>
      </c>
      <c r="I78" s="1335"/>
      <c r="J78" s="1320"/>
      <c r="K78" s="1321"/>
      <c r="L78" s="1322"/>
      <c r="M78" s="1334"/>
      <c r="N78" s="1295"/>
      <c r="O78" s="1296"/>
      <c r="P78" s="1297"/>
      <c r="Q78" s="1333" t="s">
        <v>2113</v>
      </c>
      <c r="R78" s="1298">
        <f>S78*(1-$R$74)</f>
        <v>1132.8000000000002</v>
      </c>
      <c r="S78" s="1299">
        <v>1920</v>
      </c>
      <c r="T78" s="1300">
        <f t="shared" si="27"/>
        <v>-0.11458333333333337</v>
      </c>
      <c r="U78" s="1451"/>
      <c r="V78" s="1455"/>
      <c r="W78" s="589"/>
      <c r="X78" s="1234"/>
      <c r="Y78" s="589"/>
    </row>
    <row r="79" spans="1:25" s="37" customFormat="1" ht="22.5" hidden="1" outlineLevel="1">
      <c r="A79" s="1446" t="e">
        <f>К_дуб!F77</f>
        <v>#REF!</v>
      </c>
      <c r="B79" s="1293" t="s">
        <v>2114</v>
      </c>
      <c r="C79" s="1304">
        <f>D79*(1-$C$74)</f>
        <v>1586</v>
      </c>
      <c r="D79" s="1340">
        <f>Погонаж!J15</f>
        <v>2600</v>
      </c>
      <c r="E79" s="1304">
        <f>F79*(1-$C$74)</f>
        <v>1586</v>
      </c>
      <c r="F79" s="1301">
        <f t="shared" si="24"/>
        <v>2600</v>
      </c>
      <c r="G79" s="1365"/>
      <c r="H79" s="1366">
        <f t="shared" si="25"/>
        <v>0</v>
      </c>
      <c r="I79" s="1335" t="s">
        <v>2124</v>
      </c>
      <c r="J79" s="1319"/>
      <c r="K79" s="1321">
        <f>3950/2.5</f>
        <v>1580</v>
      </c>
      <c r="L79" s="1322">
        <f>F79/K79-1</f>
        <v>0.64556962025316467</v>
      </c>
      <c r="M79" s="1334" t="s">
        <v>2142</v>
      </c>
      <c r="N79" s="1295">
        <f>O79*(1-$N$74)</f>
        <v>1170</v>
      </c>
      <c r="O79" s="1296">
        <v>1950</v>
      </c>
      <c r="P79" s="1297">
        <f>F79/O79-1</f>
        <v>0.33333333333333326</v>
      </c>
      <c r="Q79" s="1333" t="s">
        <v>2035</v>
      </c>
      <c r="R79" s="1298">
        <f>S79*(1-$R$74)</f>
        <v>1038.4000000000001</v>
      </c>
      <c r="S79" s="1299">
        <v>1760</v>
      </c>
      <c r="T79" s="1300">
        <f t="shared" si="27"/>
        <v>0.47727272727272729</v>
      </c>
      <c r="U79" s="1451"/>
      <c r="V79" s="1455"/>
      <c r="W79" s="589"/>
      <c r="X79" s="1234"/>
      <c r="Y79" s="589"/>
    </row>
    <row r="80" spans="1:25" s="37" customFormat="1" hidden="1" outlineLevel="1">
      <c r="A80" s="1446">
        <f>К_дуб!F78</f>
        <v>0</v>
      </c>
      <c r="B80" s="1293"/>
      <c r="C80" s="1304"/>
      <c r="D80" s="1340"/>
      <c r="E80" s="1304"/>
      <c r="F80" s="1301"/>
      <c r="G80" s="1365"/>
      <c r="H80" s="1366"/>
      <c r="I80" s="1335"/>
      <c r="J80" s="1319"/>
      <c r="K80" s="1321"/>
      <c r="L80" s="1322"/>
      <c r="M80" s="1334"/>
      <c r="N80" s="1295"/>
      <c r="O80" s="1296"/>
      <c r="P80" s="1297"/>
      <c r="Q80" s="1333"/>
      <c r="R80" s="1302"/>
      <c r="S80" s="1299">
        <v>0</v>
      </c>
      <c r="T80" s="1300"/>
      <c r="U80" s="1451"/>
      <c r="V80" s="1455"/>
      <c r="W80" s="589"/>
      <c r="X80" s="1234"/>
      <c r="Y80" s="589"/>
    </row>
    <row r="81" spans="1:25" s="33" customFormat="1" ht="23.25" hidden="1" outlineLevel="1" thickBot="1">
      <c r="A81" s="1446" t="e">
        <f>К_дуб!F79</f>
        <v>#REF!</v>
      </c>
      <c r="B81" s="1410" t="s">
        <v>1678</v>
      </c>
      <c r="C81" s="1411">
        <f t="shared" ref="C81:C92" si="28">D81*(1-$C$74)</f>
        <v>915</v>
      </c>
      <c r="D81" s="1412">
        <f>Погонаж!R15</f>
        <v>1500</v>
      </c>
      <c r="E81" s="1411">
        <f>F81*(1-$C$74)</f>
        <v>915</v>
      </c>
      <c r="F81" s="1413">
        <f t="shared" si="24"/>
        <v>1500</v>
      </c>
      <c r="G81" s="1414"/>
      <c r="H81" s="1415">
        <f t="shared" si="25"/>
        <v>0</v>
      </c>
      <c r="I81" s="1416" t="s">
        <v>1679</v>
      </c>
      <c r="J81" s="1417">
        <f t="shared" si="26"/>
        <v>698.88</v>
      </c>
      <c r="K81" s="1418">
        <f>2730/2.5</f>
        <v>1092</v>
      </c>
      <c r="L81" s="1419">
        <f t="shared" ref="L81:L87" si="29">F81/K81-1</f>
        <v>0.37362637362637363</v>
      </c>
      <c r="M81" s="1420" t="s">
        <v>1680</v>
      </c>
      <c r="N81" s="1421">
        <f>O81*(1-$N$74)</f>
        <v>666</v>
      </c>
      <c r="O81" s="1422">
        <v>1110</v>
      </c>
      <c r="P81" s="1423">
        <f>F81/O81-1</f>
        <v>0.35135135135135132</v>
      </c>
      <c r="Q81" s="1424" t="s">
        <v>2036</v>
      </c>
      <c r="R81" s="1425">
        <f>S81*(1-$R$74)</f>
        <v>973.50000000000011</v>
      </c>
      <c r="S81" s="1428">
        <v>1650</v>
      </c>
      <c r="T81" s="1427">
        <f t="shared" si="27"/>
        <v>-9.0909090909090939E-2</v>
      </c>
      <c r="U81" s="1451"/>
      <c r="V81" s="1455"/>
      <c r="W81" s="589"/>
      <c r="X81" s="1234"/>
      <c r="Y81" s="589"/>
    </row>
    <row r="82" spans="1:25" s="33" customFormat="1" ht="15.75" hidden="1" outlineLevel="1" thickTop="1">
      <c r="A82" s="1446" t="e">
        <f>К_дуб!F80</f>
        <v>#REF!</v>
      </c>
      <c r="B82" s="1393" t="s">
        <v>1681</v>
      </c>
      <c r="C82" s="1394">
        <f t="shared" si="28"/>
        <v>1769</v>
      </c>
      <c r="D82" s="1395">
        <f>Погонаж!C44</f>
        <v>2900</v>
      </c>
      <c r="E82" s="1395">
        <f t="shared" ref="E82:E92" si="30">F82*(1-$C$74)</f>
        <v>1769</v>
      </c>
      <c r="F82" s="1392">
        <f>D82+G82</f>
        <v>2900</v>
      </c>
      <c r="G82" s="1396"/>
      <c r="H82" s="1397">
        <f t="shared" si="25"/>
        <v>0</v>
      </c>
      <c r="I82" s="1398" t="s">
        <v>1682</v>
      </c>
      <c r="J82" s="1399">
        <f t="shared" si="26"/>
        <v>1664</v>
      </c>
      <c r="K82" s="1400">
        <f>6500/2.5</f>
        <v>2600</v>
      </c>
      <c r="L82" s="1401">
        <f t="shared" si="29"/>
        <v>0.11538461538461542</v>
      </c>
      <c r="M82" s="1402" t="s">
        <v>1683</v>
      </c>
      <c r="N82" s="1403">
        <f>O82*(1-$N$74)</f>
        <v>0</v>
      </c>
      <c r="O82" s="1404"/>
      <c r="P82" s="1405"/>
      <c r="Q82" s="1406" t="s">
        <v>2031</v>
      </c>
      <c r="R82" s="1407">
        <f>S82*(1-$R$74)</f>
        <v>1439.6000000000001</v>
      </c>
      <c r="S82" s="1303">
        <v>2440</v>
      </c>
      <c r="T82" s="1409">
        <f t="shared" si="27"/>
        <v>0.18852459016393452</v>
      </c>
      <c r="U82" s="1451"/>
      <c r="V82" s="1455"/>
      <c r="W82" s="589"/>
      <c r="X82" s="1234"/>
      <c r="Y82" s="589"/>
    </row>
    <row r="83" spans="1:25" s="33" customFormat="1" hidden="1" outlineLevel="1">
      <c r="A83" s="1446" t="e">
        <f>К_дуб!F81</f>
        <v>#REF!</v>
      </c>
      <c r="B83" s="1293" t="s">
        <v>1684</v>
      </c>
      <c r="C83" s="1304">
        <f t="shared" si="28"/>
        <v>1067.5</v>
      </c>
      <c r="D83" s="1340">
        <f>Погонаж!D44</f>
        <v>1750</v>
      </c>
      <c r="E83" s="1340">
        <f t="shared" si="30"/>
        <v>1067.5</v>
      </c>
      <c r="F83" s="1301">
        <f t="shared" ref="F83:F92" si="31">D83+G83</f>
        <v>1750</v>
      </c>
      <c r="G83" s="1365"/>
      <c r="H83" s="1366">
        <f t="shared" si="25"/>
        <v>0</v>
      </c>
      <c r="I83" s="1335" t="s">
        <v>1685</v>
      </c>
      <c r="J83" s="1320">
        <f t="shared" si="26"/>
        <v>896</v>
      </c>
      <c r="K83" s="1321">
        <f>3500/2.5</f>
        <v>1400</v>
      </c>
      <c r="L83" s="1322">
        <f t="shared" si="29"/>
        <v>0.25</v>
      </c>
      <c r="M83" s="1334" t="s">
        <v>1686</v>
      </c>
      <c r="N83" s="1295">
        <f>O83*(1-$N$74)</f>
        <v>0</v>
      </c>
      <c r="O83" s="1296"/>
      <c r="P83" s="1297"/>
      <c r="Q83" s="1333" t="s">
        <v>2030</v>
      </c>
      <c r="R83" s="1298">
        <f>S83*(1-$R$74)</f>
        <v>885.00000000000011</v>
      </c>
      <c r="S83" s="1299">
        <v>1500</v>
      </c>
      <c r="T83" s="1300">
        <f t="shared" si="27"/>
        <v>0.16666666666666674</v>
      </c>
      <c r="U83" s="1451"/>
      <c r="V83" s="1455"/>
      <c r="W83" s="589"/>
      <c r="X83" s="1234"/>
      <c r="Y83" s="589"/>
    </row>
    <row r="84" spans="1:25" s="33" customFormat="1" ht="22.5" hidden="1" outlineLevel="1">
      <c r="A84" s="1446" t="e">
        <f>К_дуб!F82</f>
        <v>#REF!</v>
      </c>
      <c r="B84" s="1293" t="s">
        <v>1687</v>
      </c>
      <c r="C84" s="1304">
        <f t="shared" si="28"/>
        <v>1952</v>
      </c>
      <c r="D84" s="1340">
        <f>Погонаж!G44</f>
        <v>3200</v>
      </c>
      <c r="E84" s="1340">
        <f t="shared" si="30"/>
        <v>1952</v>
      </c>
      <c r="F84" s="1301">
        <f>D84+G84</f>
        <v>3200</v>
      </c>
      <c r="G84" s="1365"/>
      <c r="H84" s="1366">
        <f t="shared" si="25"/>
        <v>0</v>
      </c>
      <c r="I84" s="1335" t="s">
        <v>1688</v>
      </c>
      <c r="J84" s="1320">
        <f t="shared" si="26"/>
        <v>2380.8000000000002</v>
      </c>
      <c r="K84" s="1321">
        <f>9300/2.5</f>
        <v>3720</v>
      </c>
      <c r="L84" s="1322">
        <f t="shared" si="29"/>
        <v>-0.13978494623655913</v>
      </c>
      <c r="M84" s="1334"/>
      <c r="N84" s="1295"/>
      <c r="O84" s="1296"/>
      <c r="P84" s="1297"/>
      <c r="Q84" s="1333" t="s">
        <v>2170</v>
      </c>
      <c r="R84" s="1298">
        <f>S84*(1-$R$74)</f>
        <v>1516.3000000000002</v>
      </c>
      <c r="S84" s="1299">
        <v>2570</v>
      </c>
      <c r="T84" s="1300">
        <f t="shared" si="27"/>
        <v>0.24513618677042803</v>
      </c>
      <c r="U84" s="1451"/>
      <c r="V84" s="1455"/>
      <c r="W84" s="589"/>
      <c r="X84" s="1234"/>
      <c r="Y84" s="589"/>
    </row>
    <row r="85" spans="1:25" s="33" customFormat="1" ht="15.75" hidden="1" outlineLevel="1" thickBot="1">
      <c r="A85" s="1446" t="e">
        <f>К_дуб!F83</f>
        <v>#REF!</v>
      </c>
      <c r="B85" s="1410" t="s">
        <v>1689</v>
      </c>
      <c r="C85" s="1411">
        <f t="shared" si="28"/>
        <v>1067.5</v>
      </c>
      <c r="D85" s="1412">
        <f>Погонаж!H44</f>
        <v>1750</v>
      </c>
      <c r="E85" s="1412">
        <f t="shared" si="30"/>
        <v>1067.5</v>
      </c>
      <c r="F85" s="1413">
        <f t="shared" si="31"/>
        <v>1750</v>
      </c>
      <c r="G85" s="1414"/>
      <c r="H85" s="1415">
        <f t="shared" si="25"/>
        <v>0</v>
      </c>
      <c r="I85" s="1416" t="s">
        <v>1690</v>
      </c>
      <c r="J85" s="1417">
        <f t="shared" si="26"/>
        <v>896</v>
      </c>
      <c r="K85" s="1418">
        <f>3500/2.5</f>
        <v>1400</v>
      </c>
      <c r="L85" s="1419">
        <f t="shared" si="29"/>
        <v>0.25</v>
      </c>
      <c r="M85" s="1420"/>
      <c r="N85" s="1421"/>
      <c r="O85" s="1422"/>
      <c r="P85" s="1423"/>
      <c r="Q85" s="1424"/>
      <c r="R85" s="1425"/>
      <c r="S85" s="1428">
        <v>0</v>
      </c>
      <c r="T85" s="1427"/>
      <c r="U85" s="1451"/>
      <c r="V85" s="1455"/>
      <c r="W85" s="589"/>
      <c r="X85" s="1234"/>
      <c r="Y85" s="589"/>
    </row>
    <row r="86" spans="1:25" ht="34.5" hidden="1" outlineLevel="1" thickTop="1">
      <c r="A86" s="1446" t="e">
        <f>К_дуб!F84</f>
        <v>#REF!</v>
      </c>
      <c r="B86" s="1293" t="s">
        <v>2117</v>
      </c>
      <c r="C86" s="1294">
        <f t="shared" si="28"/>
        <v>762.5</v>
      </c>
      <c r="D86" s="1340">
        <f>Плинтусы!C13</f>
        <v>1250</v>
      </c>
      <c r="E86" s="1340">
        <f t="shared" si="30"/>
        <v>762.5</v>
      </c>
      <c r="F86" s="1301">
        <f t="shared" si="31"/>
        <v>1250</v>
      </c>
      <c r="G86" s="1365"/>
      <c r="H86" s="1366">
        <f t="shared" si="25"/>
        <v>0</v>
      </c>
      <c r="I86" s="1335" t="s">
        <v>2125</v>
      </c>
      <c r="J86" s="1320">
        <f t="shared" si="26"/>
        <v>0</v>
      </c>
      <c r="K86" s="1321"/>
      <c r="L86" s="1322" t="e">
        <f t="shared" si="29"/>
        <v>#DIV/0!</v>
      </c>
      <c r="M86" s="1334" t="s">
        <v>2143</v>
      </c>
      <c r="N86" s="1295">
        <f>O86*(1-$N$74)</f>
        <v>612</v>
      </c>
      <c r="O86" s="1296">
        <v>1020</v>
      </c>
      <c r="P86" s="1297">
        <f>F86/O86-1</f>
        <v>0.22549019607843146</v>
      </c>
      <c r="Q86" s="1333" t="s">
        <v>2115</v>
      </c>
      <c r="R86" s="1298">
        <f>S86*(1-$R$74)</f>
        <v>885.00000000000011</v>
      </c>
      <c r="S86" s="1299">
        <v>1500</v>
      </c>
      <c r="T86" s="1300">
        <f>F86/S86-1</f>
        <v>-0.16666666666666663</v>
      </c>
      <c r="V86" s="1455"/>
      <c r="X86" s="1234"/>
    </row>
    <row r="87" spans="1:25" ht="22.5" hidden="1" outlineLevel="1">
      <c r="A87" s="1446" t="e">
        <f>К_дуб!F85</f>
        <v>#REF!</v>
      </c>
      <c r="B87" s="1293" t="s">
        <v>2118</v>
      </c>
      <c r="C87" s="1294">
        <f t="shared" si="28"/>
        <v>1006.5</v>
      </c>
      <c r="D87" s="1340">
        <f>Плинтусы!D13</f>
        <v>1650</v>
      </c>
      <c r="E87" s="1340">
        <f t="shared" si="30"/>
        <v>1006.5</v>
      </c>
      <c r="F87" s="1301">
        <f t="shared" si="31"/>
        <v>1650</v>
      </c>
      <c r="G87" s="1365"/>
      <c r="H87" s="1366">
        <f t="shared" si="25"/>
        <v>0</v>
      </c>
      <c r="I87" s="1335" t="s">
        <v>2126</v>
      </c>
      <c r="J87" s="1320">
        <f t="shared" si="26"/>
        <v>0</v>
      </c>
      <c r="K87" s="1321"/>
      <c r="L87" s="1322" t="e">
        <f t="shared" si="29"/>
        <v>#DIV/0!</v>
      </c>
      <c r="M87" s="1334"/>
      <c r="N87" s="1295"/>
      <c r="O87" s="1296"/>
      <c r="P87" s="1297"/>
      <c r="Q87" s="1333" t="s">
        <v>2116</v>
      </c>
      <c r="R87" s="1298">
        <f>S87*(1-$R$74)</f>
        <v>1008.9000000000001</v>
      </c>
      <c r="S87" s="1299">
        <v>1710</v>
      </c>
      <c r="T87" s="1300">
        <f>F87/S87-1</f>
        <v>-3.5087719298245612E-2</v>
      </c>
      <c r="V87" s="1455"/>
      <c r="X87" s="1234"/>
    </row>
    <row r="88" spans="1:25" ht="25.9" hidden="1" customHeight="1" outlineLevel="1">
      <c r="A88" s="1446" t="e">
        <f>К_дуб!F86</f>
        <v>#REF!</v>
      </c>
      <c r="B88" s="1293" t="s">
        <v>2119</v>
      </c>
      <c r="C88" s="1294">
        <f t="shared" si="28"/>
        <v>732</v>
      </c>
      <c r="D88" s="1340">
        <f>Стык.элементы!C12</f>
        <v>1200</v>
      </c>
      <c r="E88" s="1340">
        <f t="shared" si="30"/>
        <v>732</v>
      </c>
      <c r="F88" s="1301">
        <f t="shared" si="31"/>
        <v>1200</v>
      </c>
      <c r="G88" s="1365"/>
      <c r="H88" s="1366">
        <f t="shared" si="25"/>
        <v>0</v>
      </c>
      <c r="I88" s="1368"/>
      <c r="J88" s="1313"/>
      <c r="K88" s="1315"/>
      <c r="L88" s="1315"/>
      <c r="M88" s="1369"/>
      <c r="N88" s="1090"/>
      <c r="O88" s="1266"/>
      <c r="P88" s="1266"/>
      <c r="Q88" s="1370"/>
      <c r="R88" s="1271"/>
      <c r="S88" s="1273">
        <v>0</v>
      </c>
      <c r="T88" s="1273"/>
      <c r="V88" s="1455"/>
      <c r="X88" s="1234"/>
    </row>
    <row r="89" spans="1:25" ht="25.9" hidden="1" customHeight="1" outlineLevel="1">
      <c r="A89" s="1446" t="e">
        <f>К_дуб!F87</f>
        <v>#REF!</v>
      </c>
      <c r="B89" s="1293" t="s">
        <v>2120</v>
      </c>
      <c r="C89" s="1294">
        <f t="shared" si="28"/>
        <v>1006.5</v>
      </c>
      <c r="D89" s="1340">
        <f>Стык.элементы!C32</f>
        <v>1650</v>
      </c>
      <c r="E89" s="1340">
        <f t="shared" si="30"/>
        <v>1006.5</v>
      </c>
      <c r="F89" s="1301">
        <f t="shared" si="31"/>
        <v>1650</v>
      </c>
      <c r="G89" s="1365"/>
      <c r="H89" s="1366">
        <f t="shared" si="25"/>
        <v>0</v>
      </c>
      <c r="I89" s="1368"/>
      <c r="J89" s="1313"/>
      <c r="K89" s="1315"/>
      <c r="L89" s="1315"/>
      <c r="M89" s="1369"/>
      <c r="N89" s="1090"/>
      <c r="O89" s="1266"/>
      <c r="P89" s="1266"/>
      <c r="Q89" s="1370"/>
      <c r="R89" s="1271"/>
      <c r="S89" s="1273">
        <v>0</v>
      </c>
      <c r="T89" s="1273"/>
      <c r="V89" s="1455"/>
      <c r="X89" s="1234"/>
    </row>
    <row r="90" spans="1:25" ht="20.45" hidden="1" customHeight="1" outlineLevel="1">
      <c r="A90" s="1446" t="e">
        <f>К_дуб!F88</f>
        <v>#REF!</v>
      </c>
      <c r="B90" s="1293" t="s">
        <v>2123</v>
      </c>
      <c r="C90" s="1294">
        <f t="shared" si="28"/>
        <v>6801.5</v>
      </c>
      <c r="D90" s="1340">
        <f>Порталы!E72</f>
        <v>11150</v>
      </c>
      <c r="E90" s="1340">
        <f t="shared" si="30"/>
        <v>6801.5</v>
      </c>
      <c r="F90" s="1301">
        <f t="shared" si="31"/>
        <v>11150</v>
      </c>
      <c r="G90" s="1365"/>
      <c r="H90" s="1366">
        <f t="shared" si="25"/>
        <v>0</v>
      </c>
      <c r="I90" s="1368"/>
      <c r="J90" s="1313"/>
      <c r="K90" s="1315"/>
      <c r="L90" s="1315"/>
      <c r="M90" s="1369" t="s">
        <v>2147</v>
      </c>
      <c r="N90" s="1295">
        <f>O90*(1-$N$74)</f>
        <v>0</v>
      </c>
      <c r="O90" s="1266"/>
      <c r="P90" s="1297" t="e">
        <f>F90/O90-1</f>
        <v>#DIV/0!</v>
      </c>
      <c r="Q90" s="1371" t="s">
        <v>2144</v>
      </c>
      <c r="R90" s="1298">
        <f>S90*(1-$R$74)</f>
        <v>5941.3000000000011</v>
      </c>
      <c r="S90" s="1299">
        <v>10070</v>
      </c>
      <c r="T90" s="1300">
        <f>F90/S90-1</f>
        <v>0.10724925521350537</v>
      </c>
      <c r="V90" s="1455"/>
      <c r="X90" s="1234"/>
    </row>
    <row r="91" spans="1:25" hidden="1" outlineLevel="1">
      <c r="A91" s="1446" t="e">
        <f>К_дуб!F89</f>
        <v>#REF!</v>
      </c>
      <c r="B91" s="1293" t="s">
        <v>2129</v>
      </c>
      <c r="C91" s="1294">
        <f t="shared" si="28"/>
        <v>3507.5</v>
      </c>
      <c r="D91" s="1277">
        <f>Порталы!I14</f>
        <v>5750</v>
      </c>
      <c r="E91" s="1340">
        <f t="shared" si="30"/>
        <v>3507.5</v>
      </c>
      <c r="F91" s="1301">
        <f t="shared" si="31"/>
        <v>5750</v>
      </c>
      <c r="G91" s="1365"/>
      <c r="H91" s="1366">
        <f t="shared" si="25"/>
        <v>0</v>
      </c>
      <c r="I91" s="1368"/>
      <c r="J91" s="1313"/>
      <c r="K91" s="1315"/>
      <c r="L91" s="1315"/>
      <c r="M91" s="1369"/>
      <c r="N91" s="1090"/>
      <c r="O91" s="1266"/>
      <c r="P91" s="1266"/>
      <c r="Q91" s="1370"/>
      <c r="R91" s="1271"/>
      <c r="S91" s="1273">
        <v>0</v>
      </c>
      <c r="T91" s="1273"/>
      <c r="V91" s="1455"/>
      <c r="X91" s="1234"/>
    </row>
    <row r="92" spans="1:25" ht="56.25" hidden="1" outlineLevel="1">
      <c r="A92" s="1446" t="e">
        <f>К_дуб!F90</f>
        <v>#REF!</v>
      </c>
      <c r="B92" s="1293" t="s">
        <v>2145</v>
      </c>
      <c r="C92" s="1294">
        <f t="shared" si="28"/>
        <v>2562</v>
      </c>
      <c r="D92" s="1340">
        <f>Рейки!F12</f>
        <v>4200</v>
      </c>
      <c r="E92" s="1340">
        <f t="shared" si="30"/>
        <v>2562</v>
      </c>
      <c r="F92" s="1301">
        <f t="shared" si="31"/>
        <v>4200</v>
      </c>
      <c r="G92" s="1365"/>
      <c r="H92" s="1366">
        <f t="shared" si="25"/>
        <v>0</v>
      </c>
      <c r="I92" s="1335"/>
      <c r="J92" s="1320"/>
      <c r="K92" s="1321"/>
      <c r="L92" s="1322"/>
      <c r="M92" s="1334" t="s">
        <v>2146</v>
      </c>
      <c r="N92" s="1295">
        <f>O92*(1-$N$74)</f>
        <v>1590</v>
      </c>
      <c r="O92" s="1296">
        <v>2650</v>
      </c>
      <c r="P92" s="1297">
        <f>F92/O92-1</f>
        <v>0.58490566037735858</v>
      </c>
      <c r="Q92" s="1333"/>
      <c r="R92" s="1298"/>
      <c r="S92" s="1299">
        <v>0</v>
      </c>
      <c r="T92" s="1300"/>
      <c r="V92" s="1455"/>
      <c r="X92" s="1234"/>
    </row>
    <row r="93" spans="1:25" hidden="1" outlineLevel="1">
      <c r="X93" s="1234"/>
    </row>
    <row r="94" spans="1:25" collapsed="1"/>
  </sheetData>
  <sheetProtection password="E910" sheet="1" objects="1" scenarios="1" formatCells="0" formatColumns="0" formatRows="0" insertColumns="0" insertRows="0" insertHyperlinks="0" deleteColumns="0" deleteRows="0" sort="0" autoFilter="0" pivotTables="0"/>
  <conditionalFormatting sqref="T72:T73">
    <cfRule type="cellIs" dxfId="185" priority="12" operator="greaterThan">
      <formula>0</formula>
    </cfRule>
  </conditionalFormatting>
  <conditionalFormatting sqref="P92">
    <cfRule type="cellIs" dxfId="184" priority="14" operator="greaterThan">
      <formula>0</formula>
    </cfRule>
  </conditionalFormatting>
  <conditionalFormatting sqref="P90">
    <cfRule type="cellIs" dxfId="183" priority="13" operator="greaterThan">
      <formula>0</formula>
    </cfRule>
  </conditionalFormatting>
  <conditionalFormatting sqref="L72:L73">
    <cfRule type="cellIs" dxfId="182" priority="11" operator="greaterThan">
      <formula>0</formula>
    </cfRule>
  </conditionalFormatting>
  <conditionalFormatting sqref="P72:P73">
    <cfRule type="cellIs" dxfId="181" priority="10" operator="greaterThan">
      <formula>0</formula>
    </cfRule>
  </conditionalFormatting>
  <conditionalFormatting sqref="L3 L6:L13 P88:P89 L40:L69 T40:T68 L93:L1048576 L79:L91 T79:T89 P82:P85 P40:P69">
    <cfRule type="cellIs" dxfId="180" priority="41" operator="greaterThan">
      <formula>0</formula>
    </cfRule>
  </conditionalFormatting>
  <conditionalFormatting sqref="L74">
    <cfRule type="cellIs" dxfId="179" priority="38" operator="greaterThan">
      <formula>0</formula>
    </cfRule>
  </conditionalFormatting>
  <conditionalFormatting sqref="L4">
    <cfRule type="cellIs" dxfId="178" priority="40" operator="greaterThan">
      <formula>0</formula>
    </cfRule>
  </conditionalFormatting>
  <conditionalFormatting sqref="L38">
    <cfRule type="cellIs" dxfId="177" priority="39" operator="greaterThan">
      <formula>0</formula>
    </cfRule>
  </conditionalFormatting>
  <conditionalFormatting sqref="L14:L35">
    <cfRule type="cellIs" dxfId="176" priority="37" operator="greaterThan">
      <formula>0</formula>
    </cfRule>
  </conditionalFormatting>
  <conditionalFormatting sqref="L76:L78">
    <cfRule type="cellIs" dxfId="175" priority="36" operator="greaterThan">
      <formula>0</formula>
    </cfRule>
  </conditionalFormatting>
  <conditionalFormatting sqref="P74">
    <cfRule type="cellIs" dxfId="174" priority="32" operator="greaterThan">
      <formula>0</formula>
    </cfRule>
  </conditionalFormatting>
  <conditionalFormatting sqref="P76:P81">
    <cfRule type="cellIs" dxfId="173" priority="30" operator="greaterThan">
      <formula>0</formula>
    </cfRule>
  </conditionalFormatting>
  <conditionalFormatting sqref="P3 P91 P87 P93:P1048576 P6:P35">
    <cfRule type="cellIs" dxfId="172" priority="35" operator="greaterThan">
      <formula>0</formula>
    </cfRule>
  </conditionalFormatting>
  <conditionalFormatting sqref="P4">
    <cfRule type="cellIs" dxfId="171" priority="34" operator="greaterThan">
      <formula>0</formula>
    </cfRule>
  </conditionalFormatting>
  <conditionalFormatting sqref="P38">
    <cfRule type="cellIs" dxfId="170" priority="33" operator="greaterThan">
      <formula>0</formula>
    </cfRule>
  </conditionalFormatting>
  <conditionalFormatting sqref="T3 T91 T93:T1048576 T6:T35">
    <cfRule type="cellIs" dxfId="169" priority="29" operator="greaterThan">
      <formula>0</formula>
    </cfRule>
  </conditionalFormatting>
  <conditionalFormatting sqref="T74">
    <cfRule type="cellIs" dxfId="168" priority="26" operator="greaterThan">
      <formula>0</formula>
    </cfRule>
  </conditionalFormatting>
  <conditionalFormatting sqref="T4">
    <cfRule type="cellIs" dxfId="167" priority="28" operator="greaterThan">
      <formula>0</formula>
    </cfRule>
  </conditionalFormatting>
  <conditionalFormatting sqref="T38">
    <cfRule type="cellIs" dxfId="166" priority="27" operator="greaterThan">
      <formula>0</formula>
    </cfRule>
  </conditionalFormatting>
  <conditionalFormatting sqref="T76:T78">
    <cfRule type="cellIs" dxfId="165" priority="25" operator="greaterThan">
      <formula>0</formula>
    </cfRule>
  </conditionalFormatting>
  <conditionalFormatting sqref="G1 G93:G1048576 G76:G91 G74 G40:G71 G3:G4 G6:G35 G37:G38">
    <cfRule type="cellIs" dxfId="164" priority="23" operator="greaterThan">
      <formula>0</formula>
    </cfRule>
    <cfRule type="cellIs" dxfId="163" priority="24" operator="lessThan">
      <formula>0</formula>
    </cfRule>
  </conditionalFormatting>
  <conditionalFormatting sqref="H1 H76:H1048576 H74 H40:H71 H3:H4 H6:H35 H37:H38">
    <cfRule type="cellIs" dxfId="162" priority="21" operator="lessThan">
      <formula>0</formula>
    </cfRule>
    <cfRule type="cellIs" dxfId="161" priority="22" operator="greaterThan">
      <formula>0</formula>
    </cfRule>
  </conditionalFormatting>
  <conditionalFormatting sqref="T90">
    <cfRule type="cellIs" dxfId="160" priority="20" operator="greaterThan">
      <formula>0</formula>
    </cfRule>
  </conditionalFormatting>
  <conditionalFormatting sqref="P86">
    <cfRule type="cellIs" dxfId="159" priority="19" operator="greaterThan">
      <formula>0</formula>
    </cfRule>
  </conditionalFormatting>
  <conditionalFormatting sqref="L92">
    <cfRule type="cellIs" dxfId="158" priority="18" operator="greaterThan">
      <formula>0</formula>
    </cfRule>
  </conditionalFormatting>
  <conditionalFormatting sqref="T92">
    <cfRule type="cellIs" dxfId="157" priority="17" operator="greaterThan">
      <formula>0</formula>
    </cfRule>
  </conditionalFormatting>
  <conditionalFormatting sqref="G92">
    <cfRule type="cellIs" dxfId="156" priority="15" operator="greaterThan">
      <formula>0</formula>
    </cfRule>
    <cfRule type="cellIs" dxfId="155" priority="16" operator="lessThan">
      <formula>0</formula>
    </cfRule>
  </conditionalFormatting>
  <conditionalFormatting sqref="G72:G73">
    <cfRule type="cellIs" dxfId="154" priority="8" operator="greaterThan">
      <formula>0</formula>
    </cfRule>
    <cfRule type="cellIs" dxfId="153" priority="9" operator="lessThan">
      <formula>0</formula>
    </cfRule>
  </conditionalFormatting>
  <conditionalFormatting sqref="H72:H73">
    <cfRule type="cellIs" dxfId="152" priority="6" operator="lessThan">
      <formula>0</formula>
    </cfRule>
    <cfRule type="cellIs" dxfId="151" priority="7" operator="greaterThan">
      <formula>0</formula>
    </cfRule>
  </conditionalFormatting>
  <conditionalFormatting sqref="G2">
    <cfRule type="cellIs" dxfId="150" priority="4" operator="greaterThan">
      <formula>0</formula>
    </cfRule>
    <cfRule type="cellIs" dxfId="149" priority="5" operator="lessThan">
      <formula>0</formula>
    </cfRule>
  </conditionalFormatting>
  <conditionalFormatting sqref="H2">
    <cfRule type="cellIs" dxfId="148" priority="2" operator="lessThan">
      <formula>0</formula>
    </cfRule>
    <cfRule type="cellIs" dxfId="147" priority="3" operator="greaterThan">
      <formula>0</formula>
    </cfRule>
  </conditionalFormatting>
  <conditionalFormatting sqref="T69">
    <cfRule type="cellIs" dxfId="146" priority="1" operator="greaterThan">
      <formula>0</formula>
    </cfRule>
  </conditionalFormatting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70</vt:i4>
      </vt:variant>
      <vt:variant>
        <vt:lpstr>Именованные диапазоны</vt:lpstr>
      </vt:variant>
      <vt:variant>
        <vt:i4>109</vt:i4>
      </vt:variant>
    </vt:vector>
  </HeadingPairs>
  <TitlesOfParts>
    <vt:vector size="179" baseType="lpstr">
      <vt:lpstr>стекла сайт</vt:lpstr>
      <vt:lpstr>погонаж сайт</vt:lpstr>
      <vt:lpstr>полотна сайт</vt:lpstr>
      <vt:lpstr>кр</vt:lpstr>
      <vt:lpstr>К_пвх</vt:lpstr>
      <vt:lpstr>К_эмаль</vt:lpstr>
      <vt:lpstr>К_ясень</vt:lpstr>
      <vt:lpstr>К_дуб</vt:lpstr>
      <vt:lpstr>К_орех</vt:lpstr>
      <vt:lpstr>скидки розница</vt:lpstr>
      <vt:lpstr>наценки РФ</vt:lpstr>
      <vt:lpstr>скидки_наценки</vt:lpstr>
      <vt:lpstr>изменения прайса</vt:lpstr>
      <vt:lpstr>Титул</vt:lpstr>
      <vt:lpstr>Содержание</vt:lpstr>
      <vt:lpstr>Содержание (2)</vt:lpstr>
      <vt:lpstr>Techno_Porte</vt:lpstr>
      <vt:lpstr>стекло+зеркала_база</vt:lpstr>
      <vt:lpstr>Techno_Vetro</vt:lpstr>
      <vt:lpstr>Techno_Slot</vt:lpstr>
      <vt:lpstr>Design</vt:lpstr>
      <vt:lpstr>E-Design</vt:lpstr>
      <vt:lpstr>Twist</vt:lpstr>
      <vt:lpstr>Полотна база</vt:lpstr>
      <vt:lpstr>Fusion_Plainе</vt:lpstr>
      <vt:lpstr>Fusion</vt:lpstr>
      <vt:lpstr>Fusion Bruno</vt:lpstr>
      <vt:lpstr>Eclectica_Stripe</vt:lpstr>
      <vt:lpstr>Eclectica_Belluno</vt:lpstr>
      <vt:lpstr>Elegance</vt:lpstr>
      <vt:lpstr>Modern Turin</vt:lpstr>
      <vt:lpstr>Modern Bergamo</vt:lpstr>
      <vt:lpstr>Provеnce Sienna</vt:lpstr>
      <vt:lpstr>Provеnce Amelia</vt:lpstr>
      <vt:lpstr>E-Classic</vt:lpstr>
      <vt:lpstr>Classic Rosso</vt:lpstr>
      <vt:lpstr>Classic Rimini </vt:lpstr>
      <vt:lpstr>Neoclassic</vt:lpstr>
      <vt:lpstr>Standart</vt:lpstr>
      <vt:lpstr>Алюминивые двери Steel</vt:lpstr>
      <vt:lpstr>Погонаж база</vt:lpstr>
      <vt:lpstr>Алюм. двери Frame</vt:lpstr>
      <vt:lpstr>Алюм.погонаж</vt:lpstr>
      <vt:lpstr>Standart Strada2</vt:lpstr>
      <vt:lpstr>Standart Vario</vt:lpstr>
      <vt:lpstr>Декоры база</vt:lpstr>
      <vt:lpstr>Погонаж</vt:lpstr>
      <vt:lpstr>Скрытая дверь РРЦ</vt:lpstr>
      <vt:lpstr>Скрытая дверь ОПТ</vt:lpstr>
      <vt:lpstr>Погонаж для прочих</vt:lpstr>
      <vt:lpstr>Стык.элементы</vt:lpstr>
      <vt:lpstr>Плинтусы</vt:lpstr>
      <vt:lpstr>Рейки</vt:lpstr>
      <vt:lpstr>Порталы</vt:lpstr>
      <vt:lpstr>Стекла для перегородок</vt:lpstr>
      <vt:lpstr>Перегородки база </vt:lpstr>
      <vt:lpstr>Классические прегородки</vt:lpstr>
      <vt:lpstr>Современные перегородки</vt:lpstr>
      <vt:lpstr>Алюм. перегородки Meta_Steel</vt:lpstr>
      <vt:lpstr>Стен. панели</vt:lpstr>
      <vt:lpstr>Фрамуги_накладки</vt:lpstr>
      <vt:lpstr>Двери для обьектов</vt:lpstr>
      <vt:lpstr>Жалюзийные двери Louver</vt:lpstr>
      <vt:lpstr>Наценки (1)</vt:lpstr>
      <vt:lpstr>Наценки за габариты</vt:lpstr>
      <vt:lpstr>Прочее наценки</vt:lpstr>
      <vt:lpstr>Покрытия_шпон_эмаль</vt:lpstr>
      <vt:lpstr>Покрытия_ПВХ</vt:lpstr>
      <vt:lpstr>Рекламная продукция</vt:lpstr>
      <vt:lpstr>Лист1</vt:lpstr>
      <vt:lpstr>'Classic Rimini '!Print_Area</vt:lpstr>
      <vt:lpstr>'Classic Rosso'!Print_Area</vt:lpstr>
      <vt:lpstr>Design!Print_Area</vt:lpstr>
      <vt:lpstr>'E-Classic'!Print_Area</vt:lpstr>
      <vt:lpstr>Eclectica_Belluno!Print_Area</vt:lpstr>
      <vt:lpstr>Eclectica_Stripe!Print_Area</vt:lpstr>
      <vt:lpstr>'E-Design'!Print_Area</vt:lpstr>
      <vt:lpstr>Elegance!Print_Area</vt:lpstr>
      <vt:lpstr>Fusion!Print_Area</vt:lpstr>
      <vt:lpstr>Fusion_Plainе!Print_Area</vt:lpstr>
      <vt:lpstr>'Modern Bergamo'!Print_Area</vt:lpstr>
      <vt:lpstr>'Modern Turin'!Print_Area</vt:lpstr>
      <vt:lpstr>Neoclassic!Print_Area</vt:lpstr>
      <vt:lpstr>'Provеnce Amelia'!Print_Area</vt:lpstr>
      <vt:lpstr>'Provеnce Sienna'!Print_Area</vt:lpstr>
      <vt:lpstr>Standart!Print_Area</vt:lpstr>
      <vt:lpstr>'Standart Strada2'!Print_Area</vt:lpstr>
      <vt:lpstr>'Standart Vario'!Print_Area</vt:lpstr>
      <vt:lpstr>Techno_Porte!Print_Area</vt:lpstr>
      <vt:lpstr>Techno_Slot!Print_Area</vt:lpstr>
      <vt:lpstr>Techno_Vetro!Print_Area</vt:lpstr>
      <vt:lpstr>Twist!Print_Area</vt:lpstr>
      <vt:lpstr>'Алюм. перегородки Meta_Steel'!Print_Area</vt:lpstr>
      <vt:lpstr>Алюм.погонаж!Print_Area</vt:lpstr>
      <vt:lpstr>'Алюминивые двери Steel'!Print_Area</vt:lpstr>
      <vt:lpstr>'Двери для обьектов'!Print_Area</vt:lpstr>
      <vt:lpstr>'Жалюзийные двери Louver'!Print_Area</vt:lpstr>
      <vt:lpstr>'Классические прегородки'!Print_Area</vt:lpstr>
      <vt:lpstr>'Наценки (1)'!Print_Area</vt:lpstr>
      <vt:lpstr>'Наценки за габариты'!Print_Area</vt:lpstr>
      <vt:lpstr>'Перегородки база '!Print_Area</vt:lpstr>
      <vt:lpstr>Плинтусы!Print_Area</vt:lpstr>
      <vt:lpstr>Погонаж!Print_Area</vt:lpstr>
      <vt:lpstr>'Погонаж база'!Print_Area</vt:lpstr>
      <vt:lpstr>'Погонаж для прочих'!Print_Area</vt:lpstr>
      <vt:lpstr>Покрытия_ПВХ!Print_Area</vt:lpstr>
      <vt:lpstr>Покрытия_шпон_эмаль!Print_Area</vt:lpstr>
      <vt:lpstr>Порталы!Print_Area</vt:lpstr>
      <vt:lpstr>Рейки!Print_Area</vt:lpstr>
      <vt:lpstr>'Рекламная продукция'!Print_Area</vt:lpstr>
      <vt:lpstr>'Скрытая дверь ОПТ'!Print_Area</vt:lpstr>
      <vt:lpstr>'Скрытая дверь РРЦ'!Print_Area</vt:lpstr>
      <vt:lpstr>'Современные перегородки'!Print_Area</vt:lpstr>
      <vt:lpstr>Содержание!Print_Area</vt:lpstr>
      <vt:lpstr>'Содержание (2)'!Print_Area</vt:lpstr>
      <vt:lpstr>'Стен. панели'!Print_Area</vt:lpstr>
      <vt:lpstr>Титул!Print_Area</vt:lpstr>
      <vt:lpstr>Фрамуги_накладки!Print_Area</vt:lpstr>
      <vt:lpstr>'погонаж сайт'!амелия</vt:lpstr>
      <vt:lpstr>амелия3</vt:lpstr>
      <vt:lpstr>'полотна сайт'!амелия4</vt:lpstr>
      <vt:lpstr>'наценки РФ'!Заголовки_для_печати</vt:lpstr>
      <vt:lpstr>Покрытия_ПВХ!Заголовки_для_печати</vt:lpstr>
      <vt:lpstr>'Classic Rimini '!Область_печати</vt:lpstr>
      <vt:lpstr>'Classic Rosso'!Область_печати</vt:lpstr>
      <vt:lpstr>Design!Область_печати</vt:lpstr>
      <vt:lpstr>'E-Classic'!Область_печати</vt:lpstr>
      <vt:lpstr>Eclectica_Belluno!Область_печати</vt:lpstr>
      <vt:lpstr>Eclectica_Stripe!Область_печати</vt:lpstr>
      <vt:lpstr>'E-Design'!Область_печати</vt:lpstr>
      <vt:lpstr>Elegance!Область_печати</vt:lpstr>
      <vt:lpstr>Fusion!Область_печати</vt:lpstr>
      <vt:lpstr>'Fusion Bruno'!Область_печати</vt:lpstr>
      <vt:lpstr>Fusion_Plainе!Область_печати</vt:lpstr>
      <vt:lpstr>'Modern Bergamo'!Область_печати</vt:lpstr>
      <vt:lpstr>'Modern Turin'!Область_печати</vt:lpstr>
      <vt:lpstr>Neoclassic!Область_печати</vt:lpstr>
      <vt:lpstr>'Provеnce Amelia'!Область_печати</vt:lpstr>
      <vt:lpstr>'Provеnce Sienna'!Область_печати</vt:lpstr>
      <vt:lpstr>Standart!Область_печати</vt:lpstr>
      <vt:lpstr>'Standart Strada2'!Область_печати</vt:lpstr>
      <vt:lpstr>'Standart Vario'!Область_печати</vt:lpstr>
      <vt:lpstr>Techno_Porte!Область_печати</vt:lpstr>
      <vt:lpstr>Techno_Slot!Область_печати</vt:lpstr>
      <vt:lpstr>Techno_Vetro!Область_печати</vt:lpstr>
      <vt:lpstr>Twist!Область_печати</vt:lpstr>
      <vt:lpstr>'Алюм. двери Frame'!Область_печати</vt:lpstr>
      <vt:lpstr>'Алюм. перегородки Meta_Steel'!Область_печати</vt:lpstr>
      <vt:lpstr>Алюм.погонаж!Область_печати</vt:lpstr>
      <vt:lpstr>'Алюминивые двери Steel'!Область_печати</vt:lpstr>
      <vt:lpstr>'Двери для обьектов'!Область_печати</vt:lpstr>
      <vt:lpstr>'Жалюзийные двери Louver'!Область_печати</vt:lpstr>
      <vt:lpstr>'изменения прайса'!Область_печати</vt:lpstr>
      <vt:lpstr>'Классические прегородки'!Область_печати</vt:lpstr>
      <vt:lpstr>'Наценки (1)'!Область_печати</vt:lpstr>
      <vt:lpstr>'Наценки за габариты'!Область_печати</vt:lpstr>
      <vt:lpstr>'Перегородки база '!Область_печати</vt:lpstr>
      <vt:lpstr>Плинтусы!Область_печати</vt:lpstr>
      <vt:lpstr>Погонаж!Область_печати</vt:lpstr>
      <vt:lpstr>'Погонаж база'!Область_печати</vt:lpstr>
      <vt:lpstr>'Погонаж для прочих'!Область_печати</vt:lpstr>
      <vt:lpstr>Покрытия_ПВХ!Область_печати</vt:lpstr>
      <vt:lpstr>Покрытия_шпон_эмаль!Область_печати</vt:lpstr>
      <vt:lpstr>'полотна сайт'!Область_печати</vt:lpstr>
      <vt:lpstr>Порталы!Область_печати</vt:lpstr>
      <vt:lpstr>'Прочее наценки'!Область_печати</vt:lpstr>
      <vt:lpstr>Рейки!Область_печати</vt:lpstr>
      <vt:lpstr>'Рекламная продукция'!Область_печати</vt:lpstr>
      <vt:lpstr>'скидки розница'!Область_печати</vt:lpstr>
      <vt:lpstr>скидки_наценки!Область_печати</vt:lpstr>
      <vt:lpstr>'Скрытая дверь ОПТ'!Область_печати</vt:lpstr>
      <vt:lpstr>'Скрытая дверь РРЦ'!Область_печати</vt:lpstr>
      <vt:lpstr>'Современные перегородки'!Область_печати</vt:lpstr>
      <vt:lpstr>Содержание!Область_печати</vt:lpstr>
      <vt:lpstr>'Содержание (2)'!Область_печати</vt:lpstr>
      <vt:lpstr>'Стен. панели'!Область_печати</vt:lpstr>
      <vt:lpstr>Стык.элементы!Область_печати</vt:lpstr>
      <vt:lpstr>Титул!Область_печати</vt:lpstr>
      <vt:lpstr>Фрамуги_накладки!Область_печати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2024-04-25T04:11:41Z</dcterms:modified>
</cp:coreProperties>
</file>